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autoCompressPictures="0" defaultThemeVersion="124226"/>
  <mc:AlternateContent xmlns:mc="http://schemas.openxmlformats.org/markup-compatibility/2006">
    <mc:Choice Requires="x15">
      <x15ac:absPath xmlns:x15ac="http://schemas.microsoft.com/office/spreadsheetml/2010/11/ac" url="https://shiminingenieria.sharepoint.com/sites/GerenciaComercial/Documentos compartidos/Planilla Master/"/>
    </mc:Choice>
  </mc:AlternateContent>
  <xr:revisionPtr revIDLastSave="10109" documentId="1_{D2EC87F5-0A18-4AAC-AABB-409C685A68BF}" xr6:coauthVersionLast="47" xr6:coauthVersionMax="47" xr10:uidLastSave="{96F7D0CF-75FE-45F4-8727-77AD56E75304}"/>
  <bookViews>
    <workbookView xWindow="-28920" yWindow="-120" windowWidth="29040" windowHeight="15720" tabRatio="644" firstSheet="1" activeTab="1" xr2:uid="{00000000-000D-0000-FFFF-FFFF00000000}"/>
  </bookViews>
  <sheets>
    <sheet name="Hoja2" sheetId="50" state="hidden" r:id="rId1"/>
    <sheet name="Ofertas" sheetId="10" r:id="rId2"/>
    <sheet name="Sheet1" sheetId="55" state="hidden" r:id="rId3"/>
    <sheet name="Hoja1" sheetId="47" state="hidden" r:id="rId4"/>
    <sheet name="Hoja3" sheetId="49" state="hidden" r:id="rId5"/>
    <sheet name="Indicadores" sheetId="45" r:id="rId6"/>
    <sheet name="Base de Datos Tipo de Servicio" sheetId="51" r:id="rId7"/>
    <sheet name="Graficos-Ind 2" sheetId="43" r:id="rId8"/>
    <sheet name="Rango" sheetId="52" r:id="rId9"/>
    <sheet name="Hoja4" sheetId="53" r:id="rId10"/>
    <sheet name="Hoja5" sheetId="54" r:id="rId11"/>
    <sheet name="Hoja6" sheetId="56" r:id="rId12"/>
  </sheets>
  <definedNames>
    <definedName name="_xlnm._FilterDatabase" localSheetId="1" hidden="1">Ofertas!$A$22:$BM$2757</definedName>
    <definedName name="_Títulos_a_imprimir" localSheetId="1">Ofertas!$22:$22</definedName>
    <definedName name="aaa" localSheetId="5">#REF!</definedName>
    <definedName name="aaa">#REF!</definedName>
    <definedName name="_xlnm.Print_Area" localSheetId="1">Ofertas!$B$22:$W$2747</definedName>
    <definedName name="GG" localSheetId="5">#REF!</definedName>
    <definedName name="GG">#REF!</definedName>
    <definedName name="OLE_LINK1" localSheetId="1">Ofertas!#REF!</definedName>
    <definedName name="_xlnm.Print_Titles" localSheetId="1">Ofertas!$22:$22</definedName>
  </definedNames>
  <calcPr calcId="191028"/>
  <pivotCaches>
    <pivotCache cacheId="3702" r:id="rId13"/>
    <pivotCache cacheId="3703" r:id="rId14"/>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47" i="10" l="1"/>
  <c r="AG23" i="10"/>
  <c r="Y23" i="10"/>
  <c r="B23" i="10"/>
  <c r="A23" i="10"/>
  <c r="AG24" i="10"/>
  <c r="Y24" i="10"/>
  <c r="B24" i="10"/>
  <c r="A24" i="10"/>
  <c r="AG25" i="10"/>
  <c r="Y25" i="10"/>
  <c r="B25" i="10"/>
  <c r="A25" i="10"/>
  <c r="AG26" i="10"/>
  <c r="Y26" i="10"/>
  <c r="B26" i="10"/>
  <c r="A26" i="10"/>
  <c r="AG27" i="10"/>
  <c r="Y27" i="10"/>
  <c r="B27" i="10"/>
  <c r="A27" i="10"/>
  <c r="AG28" i="10"/>
  <c r="Y28" i="10"/>
  <c r="B28" i="10"/>
  <c r="A28" i="10"/>
  <c r="AG29" i="10"/>
  <c r="Y29" i="10"/>
  <c r="B29" i="10"/>
  <c r="A29" i="10"/>
  <c r="AG30" i="10"/>
  <c r="Y30" i="10"/>
  <c r="B30" i="10"/>
  <c r="A30" i="10"/>
  <c r="X52" i="10"/>
  <c r="X71" i="10"/>
  <c r="X70" i="10"/>
  <c r="AG31" i="10"/>
  <c r="Y31" i="10"/>
  <c r="B31" i="10"/>
  <c r="A31" i="10"/>
  <c r="A32" i="10"/>
  <c r="B32" i="10"/>
  <c r="Y32" i="10"/>
  <c r="AG32" i="10"/>
  <c r="AH32" i="10"/>
  <c r="AI32" i="10"/>
  <c r="AJ32" i="10"/>
  <c r="AK32" i="10"/>
  <c r="AL32" i="10"/>
  <c r="AM32" i="10"/>
  <c r="AN32" i="10"/>
  <c r="AO32" i="10"/>
  <c r="AP32" i="10"/>
  <c r="AQ32" i="10"/>
  <c r="AR32" i="10"/>
  <c r="AS32" i="10"/>
  <c r="AT32" i="10"/>
  <c r="AU32" i="10"/>
  <c r="AV32" i="10"/>
  <c r="AW32" i="10"/>
  <c r="AX32" i="10"/>
  <c r="AG33" i="10"/>
  <c r="Y33" i="10"/>
  <c r="B33" i="10"/>
  <c r="A33" i="10"/>
  <c r="AG34" i="10"/>
  <c r="Y34" i="10"/>
  <c r="B34" i="10"/>
  <c r="A34" i="10"/>
  <c r="AG35" i="10"/>
  <c r="Y35" i="10"/>
  <c r="B35" i="10"/>
  <c r="A35" i="10"/>
  <c r="AG36" i="10"/>
  <c r="Y36" i="10"/>
  <c r="B36" i="10"/>
  <c r="A36" i="10"/>
  <c r="AG37" i="10"/>
  <c r="Y37" i="10"/>
  <c r="B37" i="10"/>
  <c r="A37" i="10"/>
  <c r="AG38" i="10"/>
  <c r="Y38" i="10"/>
  <c r="B38" i="10"/>
  <c r="A38" i="10"/>
  <c r="AG39" i="10"/>
  <c r="Y39" i="10"/>
  <c r="B39" i="10"/>
  <c r="A39" i="10"/>
  <c r="AG40" i="10"/>
  <c r="Y40" i="10"/>
  <c r="B40" i="10"/>
  <c r="A40" i="10"/>
  <c r="AG41" i="10"/>
  <c r="Y41" i="10"/>
  <c r="B41" i="10"/>
  <c r="A41" i="10"/>
  <c r="AG42" i="10"/>
  <c r="Y42" i="10"/>
  <c r="B42" i="10"/>
  <c r="A42" i="10"/>
  <c r="AG43" i="10"/>
  <c r="Y43" i="10"/>
  <c r="B43" i="10"/>
  <c r="A43" i="10"/>
  <c r="AG44" i="10"/>
  <c r="Y44" i="10"/>
  <c r="B44" i="10"/>
  <c r="A44" i="10"/>
  <c r="AG45" i="10"/>
  <c r="Y45" i="10"/>
  <c r="B45" i="10"/>
  <c r="A45" i="10"/>
  <c r="AG46" i="10"/>
  <c r="Y46" i="10"/>
  <c r="B46" i="10"/>
  <c r="A46" i="10"/>
  <c r="AG47" i="10"/>
  <c r="Y47" i="10"/>
  <c r="B47" i="10"/>
  <c r="A47" i="10"/>
  <c r="AG48" i="10"/>
  <c r="Y48" i="10"/>
  <c r="B48" i="10"/>
  <c r="A48" i="10"/>
  <c r="AG49" i="10"/>
  <c r="Y49" i="10"/>
  <c r="B49" i="10"/>
  <c r="A49" i="10"/>
  <c r="AG50" i="10"/>
  <c r="Y50" i="10"/>
  <c r="B50" i="10"/>
  <c r="A50" i="10"/>
  <c r="AG51" i="10"/>
  <c r="Y51" i="10"/>
  <c r="B51" i="10"/>
  <c r="A51" i="10"/>
  <c r="AG52" i="10"/>
  <c r="Y52" i="10"/>
  <c r="B52" i="10"/>
  <c r="A52" i="10"/>
  <c r="AG53" i="10"/>
  <c r="Y53" i="10"/>
  <c r="B53" i="10"/>
  <c r="A53" i="10"/>
  <c r="AG54" i="10"/>
  <c r="Y54" i="10"/>
  <c r="B54" i="10"/>
  <c r="A54" i="10"/>
  <c r="AG55" i="10"/>
  <c r="Y55" i="10"/>
  <c r="B55" i="10"/>
  <c r="A55" i="10"/>
  <c r="A56" i="10"/>
  <c r="B56" i="10"/>
  <c r="Y56" i="10"/>
  <c r="AG56" i="10"/>
  <c r="AH56" i="10"/>
  <c r="AI56" i="10"/>
  <c r="AJ56" i="10"/>
  <c r="AK56" i="10"/>
  <c r="AL56" i="10"/>
  <c r="AM56" i="10"/>
  <c r="AN56" i="10"/>
  <c r="AO56" i="10"/>
  <c r="AP56" i="10"/>
  <c r="AQ56" i="10"/>
  <c r="AR56" i="10"/>
  <c r="AS56" i="10"/>
  <c r="AT56" i="10"/>
  <c r="AU56" i="10"/>
  <c r="AV56" i="10"/>
  <c r="AW56" i="10"/>
  <c r="AX56" i="10"/>
  <c r="AG57" i="10"/>
  <c r="Y57" i="10"/>
  <c r="B57" i="10"/>
  <c r="A57" i="10"/>
  <c r="AG58" i="10"/>
  <c r="Y58" i="10"/>
  <c r="B58" i="10"/>
  <c r="A58" i="10"/>
  <c r="AG59" i="10"/>
  <c r="Y59" i="10"/>
  <c r="B59" i="10"/>
  <c r="A59" i="10"/>
  <c r="AG60" i="10"/>
  <c r="Y60" i="10"/>
  <c r="B60" i="10"/>
  <c r="A60" i="10"/>
  <c r="AG61" i="10"/>
  <c r="Y61" i="10"/>
  <c r="B61" i="10"/>
  <c r="A61" i="10"/>
  <c r="AG62" i="10"/>
  <c r="Y62" i="10"/>
  <c r="B62" i="10"/>
  <c r="A62" i="10"/>
  <c r="AG63" i="10"/>
  <c r="Y63" i="10"/>
  <c r="B63" i="10"/>
  <c r="A63" i="10"/>
  <c r="AG64" i="10"/>
  <c r="Y64" i="10"/>
  <c r="B64" i="10"/>
  <c r="A64" i="10"/>
  <c r="AG65" i="10"/>
  <c r="Y65" i="10"/>
  <c r="B65" i="10"/>
  <c r="A65" i="10"/>
  <c r="AG66" i="10"/>
  <c r="Y66" i="10"/>
  <c r="B66" i="10"/>
  <c r="A66" i="10"/>
  <c r="AG67" i="10"/>
  <c r="Y67" i="10"/>
  <c r="B67" i="10"/>
  <c r="A67" i="10"/>
  <c r="AG68" i="10"/>
  <c r="Y68" i="10"/>
  <c r="B68" i="10"/>
  <c r="A68" i="10"/>
  <c r="AG69" i="10"/>
  <c r="Y69" i="10"/>
  <c r="B69" i="10"/>
  <c r="A69" i="10"/>
  <c r="AG70" i="10"/>
  <c r="Y70" i="10"/>
  <c r="B70" i="10"/>
  <c r="A70" i="10"/>
  <c r="AG71" i="10"/>
  <c r="Y71" i="10"/>
  <c r="B71" i="10"/>
  <c r="A71" i="10"/>
  <c r="AG72" i="10"/>
  <c r="Y72" i="10"/>
  <c r="B72" i="10"/>
  <c r="A72" i="10"/>
  <c r="X78" i="10"/>
  <c r="AG73" i="10"/>
  <c r="Y73" i="10"/>
  <c r="B73" i="10"/>
  <c r="A73" i="10"/>
  <c r="AG74" i="10"/>
  <c r="Y74" i="10"/>
  <c r="B74" i="10"/>
  <c r="A74" i="10"/>
  <c r="AG75" i="10"/>
  <c r="Y75" i="10"/>
  <c r="B75" i="10"/>
  <c r="A75" i="10"/>
  <c r="AG76" i="10"/>
  <c r="Y76" i="10"/>
  <c r="B76" i="10"/>
  <c r="A76" i="10"/>
  <c r="AG77" i="10"/>
  <c r="Y77" i="10"/>
  <c r="B77" i="10"/>
  <c r="A77" i="10"/>
  <c r="AG141" i="10"/>
  <c r="AG142" i="10"/>
  <c r="AG143" i="10"/>
  <c r="AG144" i="10"/>
  <c r="AH144" i="10" s="1"/>
  <c r="AG145" i="10"/>
  <c r="AH145" i="10" s="1"/>
  <c r="AG146" i="10"/>
  <c r="AH146" i="10" s="1"/>
  <c r="AG147" i="10"/>
  <c r="AH147" i="10" s="1"/>
  <c r="AG148" i="10"/>
  <c r="AG149" i="10"/>
  <c r="AG150" i="10"/>
  <c r="AG151" i="10"/>
  <c r="AH151" i="10" s="1"/>
  <c r="AG152" i="10"/>
  <c r="AH152" i="10" s="1"/>
  <c r="AG153" i="10"/>
  <c r="AH153" i="10" s="1"/>
  <c r="AG154" i="10"/>
  <c r="AH154" i="10" s="1"/>
  <c r="AG155" i="10"/>
  <c r="AH155" i="10" s="1"/>
  <c r="AG156" i="10"/>
  <c r="AG157" i="10"/>
  <c r="AH157" i="10" s="1"/>
  <c r="AG158" i="10"/>
  <c r="AG159" i="10"/>
  <c r="AH159" i="10" s="1"/>
  <c r="AG160" i="10"/>
  <c r="AH160" i="10" s="1"/>
  <c r="AG161" i="10"/>
  <c r="AH161" i="10" s="1"/>
  <c r="AG162" i="10"/>
  <c r="AH162" i="10" s="1"/>
  <c r="AG163" i="10"/>
  <c r="AG164" i="10"/>
  <c r="AG165" i="10"/>
  <c r="AG166" i="10"/>
  <c r="AG737" i="10"/>
  <c r="AI737" i="10" s="1"/>
  <c r="AG168" i="10"/>
  <c r="AG169" i="10"/>
  <c r="AH169" i="10" s="1"/>
  <c r="AG170" i="10"/>
  <c r="AH170" i="10" s="1"/>
  <c r="AG171" i="10"/>
  <c r="AH171" i="10" s="1"/>
  <c r="AG172" i="10"/>
  <c r="AG173" i="10"/>
  <c r="AG174" i="10"/>
  <c r="AG175" i="10"/>
  <c r="AH175" i="10" s="1"/>
  <c r="AG176" i="10"/>
  <c r="AJ176" i="10" s="1"/>
  <c r="AG177" i="10"/>
  <c r="AH177" i="10" s="1"/>
  <c r="AG178" i="10"/>
  <c r="AG179" i="10"/>
  <c r="AG180" i="10"/>
  <c r="AG181" i="10"/>
  <c r="AG182" i="10"/>
  <c r="AG183" i="10"/>
  <c r="AG184" i="10"/>
  <c r="AH184" i="10" s="1"/>
  <c r="AG185" i="10"/>
  <c r="AH185" i="10" s="1"/>
  <c r="AG186" i="10"/>
  <c r="AH186" i="10" s="1"/>
  <c r="AG187" i="10"/>
  <c r="AH187" i="10" s="1"/>
  <c r="AG188" i="10"/>
  <c r="AG189" i="10"/>
  <c r="AG190" i="10"/>
  <c r="AG191" i="10"/>
  <c r="AH191" i="10" s="1"/>
  <c r="AG192" i="10"/>
  <c r="AH192" i="10" s="1"/>
  <c r="AG193" i="10"/>
  <c r="AH193" i="10" s="1"/>
  <c r="AG194" i="10"/>
  <c r="AH194" i="10" s="1"/>
  <c r="AG195" i="10"/>
  <c r="AH195" i="10" s="1"/>
  <c r="AG196" i="10"/>
  <c r="AG197" i="10"/>
  <c r="AH197" i="10" s="1"/>
  <c r="AG198" i="10"/>
  <c r="AG199" i="10"/>
  <c r="AH199" i="10" s="1"/>
  <c r="AG200" i="10"/>
  <c r="AH200" i="10" s="1"/>
  <c r="AG201" i="10"/>
  <c r="AH201" i="10" s="1"/>
  <c r="AG202" i="10"/>
  <c r="AG203" i="10"/>
  <c r="AG204" i="10"/>
  <c r="AG205" i="10"/>
  <c r="AG206" i="10"/>
  <c r="AG207" i="10"/>
  <c r="AH207" i="10" s="1"/>
  <c r="AG208" i="10"/>
  <c r="AH208" i="10" s="1"/>
  <c r="AG209" i="10"/>
  <c r="AH209" i="10" s="1"/>
  <c r="AG210" i="10"/>
  <c r="AH210" i="10" s="1"/>
  <c r="AG211" i="10"/>
  <c r="AH211" i="10" s="1"/>
  <c r="AG212" i="10"/>
  <c r="AG213" i="10"/>
  <c r="AG1621" i="10"/>
  <c r="AG215" i="10"/>
  <c r="AG216" i="10"/>
  <c r="AH216" i="10" s="1"/>
  <c r="AG217" i="10"/>
  <c r="AH217" i="10" s="1"/>
  <c r="AG218" i="10"/>
  <c r="AG219" i="10"/>
  <c r="AH219" i="10" s="1"/>
  <c r="AG220" i="10"/>
  <c r="AG221" i="10"/>
  <c r="AG222" i="10"/>
  <c r="AG223" i="10"/>
  <c r="AG224" i="10"/>
  <c r="AG225" i="10"/>
  <c r="AH225" i="10" s="1"/>
  <c r="AG226" i="10"/>
  <c r="AH226" i="10" s="1"/>
  <c r="AG227" i="10"/>
  <c r="AH227" i="10" s="1"/>
  <c r="AG228" i="10"/>
  <c r="AG229" i="10"/>
  <c r="AG230" i="10"/>
  <c r="AG231" i="10"/>
  <c r="AH231" i="10" s="1"/>
  <c r="AG232" i="10"/>
  <c r="AG233" i="10"/>
  <c r="AH233" i="10" s="1"/>
  <c r="AG234" i="10"/>
  <c r="AH234" i="10" s="1"/>
  <c r="AG235" i="10"/>
  <c r="AH235" i="10" s="1"/>
  <c r="AG236" i="10"/>
  <c r="AG237" i="10"/>
  <c r="AG238" i="10"/>
  <c r="AG239" i="10"/>
  <c r="AH239" i="10" s="1"/>
  <c r="AG240" i="10"/>
  <c r="AH240" i="10" s="1"/>
  <c r="AG241" i="10"/>
  <c r="AH241" i="10" s="1"/>
  <c r="AG242" i="10"/>
  <c r="AH242" i="10" s="1"/>
  <c r="AG243" i="10"/>
  <c r="AH243" i="10" s="1"/>
  <c r="AG244" i="10"/>
  <c r="AG245" i="10"/>
  <c r="AG246" i="10"/>
  <c r="AG247" i="10"/>
  <c r="AH247" i="10" s="1"/>
  <c r="AG248" i="10"/>
  <c r="AH248" i="10" s="1"/>
  <c r="AG249" i="10"/>
  <c r="AH249" i="10" s="1"/>
  <c r="AG250" i="10"/>
  <c r="AH250" i="10" s="1"/>
  <c r="AG251" i="10"/>
  <c r="AH251" i="10" s="1"/>
  <c r="AG252" i="10"/>
  <c r="AG253" i="10"/>
  <c r="AH253" i="10" s="1"/>
  <c r="AG254" i="10"/>
  <c r="AG255" i="10"/>
  <c r="AH255" i="10" s="1"/>
  <c r="AG256" i="10"/>
  <c r="AG257" i="10"/>
  <c r="AH257" i="10" s="1"/>
  <c r="AG258" i="10"/>
  <c r="AH258" i="10" s="1"/>
  <c r="AG259" i="10"/>
  <c r="AH259" i="10" s="1"/>
  <c r="AG260" i="10"/>
  <c r="AG261" i="10"/>
  <c r="AG262" i="10"/>
  <c r="AG263" i="10"/>
  <c r="AH263" i="10" s="1"/>
  <c r="AG264" i="10"/>
  <c r="AH264" i="10" s="1"/>
  <c r="AG265" i="10"/>
  <c r="AH265" i="10" s="1"/>
  <c r="AG266" i="10"/>
  <c r="AH266" i="10" s="1"/>
  <c r="AG267" i="10"/>
  <c r="AH267" i="10" s="1"/>
  <c r="AG268" i="10"/>
  <c r="AG269" i="10"/>
  <c r="AG270" i="10"/>
  <c r="AG271" i="10"/>
  <c r="AH271" i="10" s="1"/>
  <c r="AG272" i="10"/>
  <c r="AH272" i="10" s="1"/>
  <c r="AG273" i="10"/>
  <c r="AH273" i="10" s="1"/>
  <c r="AG274" i="10"/>
  <c r="AH274" i="10" s="1"/>
  <c r="AG275" i="10"/>
  <c r="AH275" i="10" s="1"/>
  <c r="AG276" i="10"/>
  <c r="AG277" i="10"/>
  <c r="AG278" i="10"/>
  <c r="AG279" i="10"/>
  <c r="AG280" i="10"/>
  <c r="AH280" i="10" s="1"/>
  <c r="AG281" i="10"/>
  <c r="AH281" i="10" s="1"/>
  <c r="AG282" i="10"/>
  <c r="AH282" i="10" s="1"/>
  <c r="AG283" i="10"/>
  <c r="AH283" i="10" s="1"/>
  <c r="AG284" i="10"/>
  <c r="AG285" i="10"/>
  <c r="AG286" i="10"/>
  <c r="AG287" i="10"/>
  <c r="AG288" i="10"/>
  <c r="AH288" i="10" s="1"/>
  <c r="AG289" i="10"/>
  <c r="AH289" i="10" s="1"/>
  <c r="AG290" i="10"/>
  <c r="AH290" i="10" s="1"/>
  <c r="AG291" i="10"/>
  <c r="AH291" i="10" s="1"/>
  <c r="AG292" i="10"/>
  <c r="AG293" i="10"/>
  <c r="AG294" i="10"/>
  <c r="AG295" i="10"/>
  <c r="AH295" i="10" s="1"/>
  <c r="AG296" i="10"/>
  <c r="AH296" i="10" s="1"/>
  <c r="AG297" i="10"/>
  <c r="AH297" i="10" s="1"/>
  <c r="AG298" i="10"/>
  <c r="AG299" i="10"/>
  <c r="AH299" i="10" s="1"/>
  <c r="AG300" i="10"/>
  <c r="AG301" i="10"/>
  <c r="AG302" i="10"/>
  <c r="AG303" i="10"/>
  <c r="AG304" i="10"/>
  <c r="AH304" i="10" s="1"/>
  <c r="AG305" i="10"/>
  <c r="AH305" i="10" s="1"/>
  <c r="AG306" i="10"/>
  <c r="AH306" i="10" s="1"/>
  <c r="AG307" i="10"/>
  <c r="AH307" i="10" s="1"/>
  <c r="AG308" i="10"/>
  <c r="AG309" i="10"/>
  <c r="AH309" i="10" s="1"/>
  <c r="AG310" i="10"/>
  <c r="AG311" i="10"/>
  <c r="AH311" i="10" s="1"/>
  <c r="AG312" i="10"/>
  <c r="AH312" i="10" s="1"/>
  <c r="AG313" i="10"/>
  <c r="AH313" i="10" s="1"/>
  <c r="AG314" i="10"/>
  <c r="AH314" i="10" s="1"/>
  <c r="AG315" i="10"/>
  <c r="AH315" i="10" s="1"/>
  <c r="AG316" i="10"/>
  <c r="AG317" i="10"/>
  <c r="AG318" i="10"/>
  <c r="AG319" i="10"/>
  <c r="AH319" i="10" s="1"/>
  <c r="AG320" i="10"/>
  <c r="AG321" i="10"/>
  <c r="AH321" i="10" s="1"/>
  <c r="AG322" i="10"/>
  <c r="AH322" i="10" s="1"/>
  <c r="AG323" i="10"/>
  <c r="AH323" i="10" s="1"/>
  <c r="AG324" i="10"/>
  <c r="AG325" i="10"/>
  <c r="AG326" i="10"/>
  <c r="AG327" i="10"/>
  <c r="AG328" i="10"/>
  <c r="AH328" i="10" s="1"/>
  <c r="AG329" i="10"/>
  <c r="AH329" i="10" s="1"/>
  <c r="AG330" i="10"/>
  <c r="AH330" i="10" s="1"/>
  <c r="AG331" i="10"/>
  <c r="AH331" i="10" s="1"/>
  <c r="AG332" i="10"/>
  <c r="AG333" i="10"/>
  <c r="AG334" i="10"/>
  <c r="AG139" i="10"/>
  <c r="AH139" i="10" s="1"/>
  <c r="AG140" i="10"/>
  <c r="AH140" i="10" s="1"/>
  <c r="AG78" i="10"/>
  <c r="Y78" i="10"/>
  <c r="B78" i="10"/>
  <c r="A78" i="10"/>
  <c r="AG79" i="10"/>
  <c r="Y79" i="10"/>
  <c r="B79" i="10"/>
  <c r="A79" i="10"/>
  <c r="X81" i="10"/>
  <c r="AG80" i="10"/>
  <c r="AH80" i="10" s="1"/>
  <c r="Y80" i="10"/>
  <c r="B80" i="10"/>
  <c r="A80" i="10"/>
  <c r="AH2730" i="10"/>
  <c r="AH2729" i="10"/>
  <c r="AH2728" i="10"/>
  <c r="AH2727" i="10"/>
  <c r="AH2726" i="10"/>
  <c r="AH2725" i="10"/>
  <c r="AH2724" i="10"/>
  <c r="AH2723" i="10"/>
  <c r="AH2722" i="10"/>
  <c r="AH2721" i="10"/>
  <c r="AH2720" i="10"/>
  <c r="AH2719" i="10"/>
  <c r="AH2718" i="10"/>
  <c r="AH2717" i="10"/>
  <c r="AH2716" i="10"/>
  <c r="AH2715" i="10"/>
  <c r="AH2714" i="10"/>
  <c r="AH2713" i="10"/>
  <c r="AH2712" i="10"/>
  <c r="AH2711" i="10"/>
  <c r="AH2710" i="10"/>
  <c r="AH2709" i="10"/>
  <c r="AH2708" i="10"/>
  <c r="AH2707" i="10"/>
  <c r="AH2706" i="10"/>
  <c r="AH2705" i="10"/>
  <c r="AH2704" i="10"/>
  <c r="AH2703" i="10"/>
  <c r="AH2702" i="10"/>
  <c r="AH2701" i="10"/>
  <c r="AH2700" i="10"/>
  <c r="AH2699" i="10"/>
  <c r="AH2698" i="10"/>
  <c r="AH2697" i="10"/>
  <c r="AH2696" i="10"/>
  <c r="AH2695" i="10"/>
  <c r="AH2694" i="10"/>
  <c r="AH2693" i="10"/>
  <c r="AH2692" i="10"/>
  <c r="AH2691" i="10"/>
  <c r="AH2690" i="10"/>
  <c r="AH2689" i="10"/>
  <c r="AH2688" i="10"/>
  <c r="AH2687" i="10"/>
  <c r="AH2686" i="10"/>
  <c r="AH2685" i="10"/>
  <c r="AH2684" i="10"/>
  <c r="AH2683" i="10"/>
  <c r="AH2682" i="10"/>
  <c r="AH2681" i="10"/>
  <c r="AH2680" i="10"/>
  <c r="AH2679" i="10"/>
  <c r="AH2678" i="10"/>
  <c r="AH2677" i="10"/>
  <c r="AH2676" i="10"/>
  <c r="AH2675" i="10"/>
  <c r="AH2674" i="10"/>
  <c r="AH2673" i="10"/>
  <c r="AH2672" i="10"/>
  <c r="AH2671" i="10"/>
  <c r="AH2670" i="10"/>
  <c r="AH2669" i="10"/>
  <c r="AH2668" i="10"/>
  <c r="AH2667" i="10"/>
  <c r="AH2666" i="10"/>
  <c r="AH2665" i="10"/>
  <c r="AH2664" i="10"/>
  <c r="AH2663" i="10"/>
  <c r="AH2662" i="10"/>
  <c r="AH2661" i="10"/>
  <c r="AH2660" i="10"/>
  <c r="AH2659" i="10"/>
  <c r="AH2658" i="10"/>
  <c r="AH2657" i="10"/>
  <c r="AH2656" i="10"/>
  <c r="AH2655" i="10"/>
  <c r="AH2654" i="10"/>
  <c r="AH2653" i="10"/>
  <c r="AH2652" i="10"/>
  <c r="AH2651" i="10"/>
  <c r="AH2650" i="10"/>
  <c r="AH2649" i="10"/>
  <c r="AH2648" i="10"/>
  <c r="AH2647" i="10"/>
  <c r="AH2646" i="10"/>
  <c r="AH2645" i="10"/>
  <c r="AH2644" i="10"/>
  <c r="AH2643" i="10"/>
  <c r="AH2642" i="10"/>
  <c r="AH2641" i="10"/>
  <c r="AH2640" i="10"/>
  <c r="AH2639" i="10"/>
  <c r="AH2638" i="10"/>
  <c r="AH2637" i="10"/>
  <c r="AH2636" i="10"/>
  <c r="AH2635" i="10"/>
  <c r="AH2634" i="10"/>
  <c r="AH2633" i="10"/>
  <c r="AH2632" i="10"/>
  <c r="AH2631" i="10"/>
  <c r="AH2630" i="10"/>
  <c r="AH2629" i="10"/>
  <c r="AH2628" i="10"/>
  <c r="AH2627" i="10"/>
  <c r="AH2626" i="10"/>
  <c r="AH2625" i="10"/>
  <c r="AH2624" i="10"/>
  <c r="AH2623" i="10"/>
  <c r="AH2622" i="10"/>
  <c r="AH2621" i="10"/>
  <c r="AH2620" i="10"/>
  <c r="AH2619" i="10"/>
  <c r="AH2618" i="10"/>
  <c r="AH2617" i="10"/>
  <c r="AH2616" i="10"/>
  <c r="AH2615" i="10"/>
  <c r="AH2614" i="10"/>
  <c r="AH2613" i="10"/>
  <c r="AH2612" i="10"/>
  <c r="AH2611" i="10"/>
  <c r="AH2610" i="10"/>
  <c r="AH2609" i="10"/>
  <c r="AH2608" i="10"/>
  <c r="AH2607" i="10"/>
  <c r="AH2606" i="10"/>
  <c r="AH2605" i="10"/>
  <c r="AH2604" i="10"/>
  <c r="AH2603" i="10"/>
  <c r="AH2602" i="10"/>
  <c r="AH2601" i="10"/>
  <c r="AH2600" i="10"/>
  <c r="AH2599" i="10"/>
  <c r="AH2598" i="10"/>
  <c r="AH2597" i="10"/>
  <c r="AH2596" i="10"/>
  <c r="AH2595" i="10"/>
  <c r="AH2594" i="10"/>
  <c r="AH2593" i="10"/>
  <c r="AH2592" i="10"/>
  <c r="AH2591" i="10"/>
  <c r="AH2590" i="10"/>
  <c r="AH2589" i="10"/>
  <c r="AH2588" i="10"/>
  <c r="AH2587" i="10"/>
  <c r="AH2586" i="10"/>
  <c r="AH2585" i="10"/>
  <c r="AH2584" i="10"/>
  <c r="AH2583" i="10"/>
  <c r="AH2582" i="10"/>
  <c r="AH2581" i="10"/>
  <c r="AH2580" i="10"/>
  <c r="AH2579" i="10"/>
  <c r="AH2578" i="10"/>
  <c r="AH2577" i="10"/>
  <c r="AH2576" i="10"/>
  <c r="AH2575" i="10"/>
  <c r="AH2574" i="10"/>
  <c r="AH2573" i="10"/>
  <c r="AH2572" i="10"/>
  <c r="AH2571" i="10"/>
  <c r="AH2570" i="10"/>
  <c r="AH2569" i="10"/>
  <c r="AH2568" i="10"/>
  <c r="AH2567" i="10"/>
  <c r="AH2566" i="10"/>
  <c r="AH2565" i="10"/>
  <c r="AH2564" i="10"/>
  <c r="AH2563" i="10"/>
  <c r="AH2562" i="10"/>
  <c r="AH2561" i="10"/>
  <c r="AH2560" i="10"/>
  <c r="AH2559" i="10"/>
  <c r="AH2558" i="10"/>
  <c r="AH2557" i="10"/>
  <c r="AH2556" i="10"/>
  <c r="AH2555" i="10"/>
  <c r="AH2554" i="10"/>
  <c r="AH2553" i="10"/>
  <c r="AH2552" i="10"/>
  <c r="AH2551" i="10"/>
  <c r="AH2550" i="10"/>
  <c r="AH2549" i="10"/>
  <c r="AH2548" i="10"/>
  <c r="AH2547" i="10"/>
  <c r="AH2546" i="10"/>
  <c r="AH2545" i="10"/>
  <c r="AH2544" i="10"/>
  <c r="AH2543" i="10"/>
  <c r="AH2542" i="10"/>
  <c r="AH2541" i="10"/>
  <c r="AH2540" i="10"/>
  <c r="AH2539" i="10"/>
  <c r="AH2538" i="10"/>
  <c r="AH2537" i="10"/>
  <c r="AH2536" i="10"/>
  <c r="AH2535" i="10"/>
  <c r="AH2534" i="10"/>
  <c r="AH2533" i="10"/>
  <c r="AH2532" i="10"/>
  <c r="AH2531" i="10"/>
  <c r="AH2530" i="10"/>
  <c r="AH2529" i="10"/>
  <c r="AH2528" i="10"/>
  <c r="AH2527" i="10"/>
  <c r="AH2526" i="10"/>
  <c r="AH2525" i="10"/>
  <c r="AH2524" i="10"/>
  <c r="AH2523" i="10"/>
  <c r="AH2522" i="10"/>
  <c r="AH2521" i="10"/>
  <c r="AH2520" i="10"/>
  <c r="AH2519" i="10"/>
  <c r="AH2518" i="10"/>
  <c r="AH2517" i="10"/>
  <c r="AH2516" i="10"/>
  <c r="AH2515" i="10"/>
  <c r="AH2514" i="10"/>
  <c r="AH2513" i="10"/>
  <c r="AH2512" i="10"/>
  <c r="AH2511" i="10"/>
  <c r="AH2510" i="10"/>
  <c r="AH2509" i="10"/>
  <c r="AH2508" i="10"/>
  <c r="AH2507" i="10"/>
  <c r="AH2506" i="10"/>
  <c r="AH2505" i="10"/>
  <c r="AH2504" i="10"/>
  <c r="AH2503" i="10"/>
  <c r="AH2502" i="10"/>
  <c r="AH2501" i="10"/>
  <c r="AH2500" i="10"/>
  <c r="AH2499" i="10"/>
  <c r="AH2498" i="10"/>
  <c r="AH2497" i="10"/>
  <c r="AH2496" i="10"/>
  <c r="AH2495" i="10"/>
  <c r="AH2494" i="10"/>
  <c r="AH2493" i="10"/>
  <c r="AH2492" i="10"/>
  <c r="AH2491" i="10"/>
  <c r="AH2490" i="10"/>
  <c r="AH2489" i="10"/>
  <c r="AH2488" i="10"/>
  <c r="AH2487" i="10"/>
  <c r="AH2486" i="10"/>
  <c r="AH2485" i="10"/>
  <c r="AH2484" i="10"/>
  <c r="AH2483" i="10"/>
  <c r="AH2482" i="10"/>
  <c r="AH2481" i="10"/>
  <c r="AH2480" i="10"/>
  <c r="AH2479" i="10"/>
  <c r="AH2478" i="10"/>
  <c r="AH2477" i="10"/>
  <c r="AH2476" i="10"/>
  <c r="AH2475" i="10"/>
  <c r="AH2474" i="10"/>
  <c r="AH2473" i="10"/>
  <c r="AH2472" i="10"/>
  <c r="AH2471" i="10"/>
  <c r="AH2470" i="10"/>
  <c r="AH2469" i="10"/>
  <c r="AH2468" i="10"/>
  <c r="AH2467" i="10"/>
  <c r="AH2466" i="10"/>
  <c r="AH2465" i="10"/>
  <c r="AH2464" i="10"/>
  <c r="AH2463" i="10"/>
  <c r="AH2462" i="10"/>
  <c r="AH2461" i="10"/>
  <c r="AH2460" i="10"/>
  <c r="AH2459" i="10"/>
  <c r="AH2458" i="10"/>
  <c r="AH2457" i="10"/>
  <c r="AH2456" i="10"/>
  <c r="AH2455" i="10"/>
  <c r="AH2454" i="10"/>
  <c r="AH2453" i="10"/>
  <c r="AH2452" i="10"/>
  <c r="AH2451" i="10"/>
  <c r="AH2450" i="10"/>
  <c r="AH2449" i="10"/>
  <c r="AH2448" i="10"/>
  <c r="AH2447" i="10"/>
  <c r="AH2446" i="10"/>
  <c r="AH2445" i="10"/>
  <c r="AH2444" i="10"/>
  <c r="AH2443" i="10"/>
  <c r="AH2442" i="10"/>
  <c r="AH2441" i="10"/>
  <c r="AH2440" i="10"/>
  <c r="AH2439" i="10"/>
  <c r="AH2438" i="10"/>
  <c r="AH2437" i="10"/>
  <c r="AH2436" i="10"/>
  <c r="AH2435" i="10"/>
  <c r="AH2434" i="10"/>
  <c r="AH2433" i="10"/>
  <c r="AH2432" i="10"/>
  <c r="AH2431" i="10"/>
  <c r="AH2430" i="10"/>
  <c r="AH2429" i="10"/>
  <c r="AH2428" i="10"/>
  <c r="AH2427" i="10"/>
  <c r="AH2426" i="10"/>
  <c r="AH2425" i="10"/>
  <c r="AH2424" i="10"/>
  <c r="AH2423" i="10"/>
  <c r="AH2422" i="10"/>
  <c r="AH2421" i="10"/>
  <c r="AH2420" i="10"/>
  <c r="AH2419" i="10"/>
  <c r="AH2418" i="10"/>
  <c r="AH2417" i="10"/>
  <c r="AH2416" i="10"/>
  <c r="AH2415" i="10"/>
  <c r="AH2414" i="10"/>
  <c r="AH2413" i="10"/>
  <c r="AH2412" i="10"/>
  <c r="AH2411" i="10"/>
  <c r="AH2410" i="10"/>
  <c r="AH2409" i="10"/>
  <c r="AH2408" i="10"/>
  <c r="AH2407" i="10"/>
  <c r="AH2406" i="10"/>
  <c r="AH2405" i="10"/>
  <c r="AH2404" i="10"/>
  <c r="AH2403" i="10"/>
  <c r="AH2402" i="10"/>
  <c r="AH2401" i="10"/>
  <c r="AH2400" i="10"/>
  <c r="AH2399" i="10"/>
  <c r="AH2398" i="10"/>
  <c r="AH2397" i="10"/>
  <c r="AH2396" i="10"/>
  <c r="AH2395" i="10"/>
  <c r="AH2394" i="10"/>
  <c r="AH2393" i="10"/>
  <c r="AH2392" i="10"/>
  <c r="AH2391" i="10"/>
  <c r="AH2390" i="10"/>
  <c r="AH2389" i="10"/>
  <c r="AH2388" i="10"/>
  <c r="AH2387" i="10"/>
  <c r="AH2386" i="10"/>
  <c r="AH2385" i="10"/>
  <c r="AH2384" i="10"/>
  <c r="AH2383" i="10"/>
  <c r="AH2382" i="10"/>
  <c r="AH2381" i="10"/>
  <c r="AH2380" i="10"/>
  <c r="AH2379" i="10"/>
  <c r="AH2378" i="10"/>
  <c r="AH2377" i="10"/>
  <c r="AH2376" i="10"/>
  <c r="AH2375" i="10"/>
  <c r="AH2374" i="10"/>
  <c r="AH2373" i="10"/>
  <c r="AH2372" i="10"/>
  <c r="AH2371" i="10"/>
  <c r="AH2370" i="10"/>
  <c r="AH2369" i="10"/>
  <c r="AH2368" i="10"/>
  <c r="AH2367" i="10"/>
  <c r="AH2366" i="10"/>
  <c r="AH2365" i="10"/>
  <c r="AH2364" i="10"/>
  <c r="AH2363" i="10"/>
  <c r="AH2362" i="10"/>
  <c r="AH2361" i="10"/>
  <c r="AH2360" i="10"/>
  <c r="AH2359" i="10"/>
  <c r="AH2358" i="10"/>
  <c r="AH2357" i="10"/>
  <c r="AH2356" i="10"/>
  <c r="AH2355" i="10"/>
  <c r="AH2354" i="10"/>
  <c r="AH2353" i="10"/>
  <c r="AH2352" i="10"/>
  <c r="AH2351" i="10"/>
  <c r="AH2350" i="10"/>
  <c r="AH2349" i="10"/>
  <c r="AH2348" i="10"/>
  <c r="AH2347" i="10"/>
  <c r="AH2346" i="10"/>
  <c r="AH2345" i="10"/>
  <c r="AH2344" i="10"/>
  <c r="AH2343" i="10"/>
  <c r="AH2342" i="10"/>
  <c r="AH2341" i="10"/>
  <c r="AH2340" i="10"/>
  <c r="AH2339" i="10"/>
  <c r="AH2338" i="10"/>
  <c r="AH2337" i="10"/>
  <c r="AH2336" i="10"/>
  <c r="AH2335" i="10"/>
  <c r="AH2334" i="10"/>
  <c r="AH2333" i="10"/>
  <c r="AH2332" i="10"/>
  <c r="AH2331" i="10"/>
  <c r="AH2330" i="10"/>
  <c r="AH2329" i="10"/>
  <c r="AH2328" i="10"/>
  <c r="AH2327" i="10"/>
  <c r="AH2326" i="10"/>
  <c r="AH2325" i="10"/>
  <c r="AH2324" i="10"/>
  <c r="AH2323" i="10"/>
  <c r="AH2322" i="10"/>
  <c r="AH2321" i="10"/>
  <c r="AH2320" i="10"/>
  <c r="AH2319" i="10"/>
  <c r="AH2318" i="10"/>
  <c r="AH2317" i="10"/>
  <c r="AH2316" i="10"/>
  <c r="AH2315" i="10"/>
  <c r="AH2314" i="10"/>
  <c r="AH2313" i="10"/>
  <c r="AH2312" i="10"/>
  <c r="AH2311" i="10"/>
  <c r="AH2310" i="10"/>
  <c r="AH2309" i="10"/>
  <c r="AH2308" i="10"/>
  <c r="AH2307" i="10"/>
  <c r="AH2306" i="10"/>
  <c r="AH2305" i="10"/>
  <c r="AH2304" i="10"/>
  <c r="AH2303" i="10"/>
  <c r="AH2302" i="10"/>
  <c r="AH2301" i="10"/>
  <c r="AH2300" i="10"/>
  <c r="AH2299" i="10"/>
  <c r="AH2298" i="10"/>
  <c r="AH2297" i="10"/>
  <c r="AH2296" i="10"/>
  <c r="AH2295" i="10"/>
  <c r="AH2294" i="10"/>
  <c r="AH2293" i="10"/>
  <c r="AH2292" i="10"/>
  <c r="AH2291" i="10"/>
  <c r="AH2290" i="10"/>
  <c r="AH2289" i="10"/>
  <c r="AH2288" i="10"/>
  <c r="AH2287" i="10"/>
  <c r="AH2286" i="10"/>
  <c r="AH2285" i="10"/>
  <c r="AH2284" i="10"/>
  <c r="AH2283" i="10"/>
  <c r="AH2282" i="10"/>
  <c r="AH2281" i="10"/>
  <c r="AH2280" i="10"/>
  <c r="AH2279" i="10"/>
  <c r="AH2278" i="10"/>
  <c r="AH2277" i="10"/>
  <c r="AH2276" i="10"/>
  <c r="AH2275" i="10"/>
  <c r="AH2274" i="10"/>
  <c r="AH2273" i="10"/>
  <c r="AH2272" i="10"/>
  <c r="AH2271" i="10"/>
  <c r="AH2270" i="10"/>
  <c r="AH2269" i="10"/>
  <c r="AH2268" i="10"/>
  <c r="AH2267" i="10"/>
  <c r="AH2266" i="10"/>
  <c r="AH2265" i="10"/>
  <c r="AH2264" i="10"/>
  <c r="AH2263" i="10"/>
  <c r="AH2262" i="10"/>
  <c r="AH2261" i="10"/>
  <c r="AH2260" i="10"/>
  <c r="AH2259" i="10"/>
  <c r="AH2258" i="10"/>
  <c r="AH2257" i="10"/>
  <c r="AH2256" i="10"/>
  <c r="AH2255" i="10"/>
  <c r="AH2254" i="10"/>
  <c r="AH2253" i="10"/>
  <c r="AH2252" i="10"/>
  <c r="AH2251" i="10"/>
  <c r="AH2250" i="10"/>
  <c r="AH2249" i="10"/>
  <c r="AH2248" i="10"/>
  <c r="AH2247" i="10"/>
  <c r="AH2246" i="10"/>
  <c r="AH2245" i="10"/>
  <c r="AH2244" i="10"/>
  <c r="AH2243" i="10"/>
  <c r="AH2242" i="10"/>
  <c r="AH2241" i="10"/>
  <c r="AH2240" i="10"/>
  <c r="AH2239" i="10"/>
  <c r="AH2238" i="10"/>
  <c r="AH2237" i="10"/>
  <c r="AH2236" i="10"/>
  <c r="AH2235" i="10"/>
  <c r="AH2234" i="10"/>
  <c r="AH2233" i="10"/>
  <c r="AH2232" i="10"/>
  <c r="AH2231" i="10"/>
  <c r="AH2230" i="10"/>
  <c r="AH2229" i="10"/>
  <c r="AH2228" i="10"/>
  <c r="AH2227" i="10"/>
  <c r="AH2226" i="10"/>
  <c r="AH2225" i="10"/>
  <c r="AH2224" i="10"/>
  <c r="AH2223" i="10"/>
  <c r="AH2222" i="10"/>
  <c r="AH2221" i="10"/>
  <c r="AH2220" i="10"/>
  <c r="AH2219" i="10"/>
  <c r="AH2218" i="10"/>
  <c r="AH2217" i="10"/>
  <c r="AH2216" i="10"/>
  <c r="AH2215" i="10"/>
  <c r="AH2214" i="10"/>
  <c r="AH2213" i="10"/>
  <c r="AH2212" i="10"/>
  <c r="AH2211" i="10"/>
  <c r="AH2210" i="10"/>
  <c r="AH2209" i="10"/>
  <c r="AH2208" i="10"/>
  <c r="AH2207" i="10"/>
  <c r="AH2206" i="10"/>
  <c r="AH2205" i="10"/>
  <c r="AH2204" i="10"/>
  <c r="AH2203" i="10"/>
  <c r="AH2202" i="10"/>
  <c r="AH2201" i="10"/>
  <c r="AH2200" i="10"/>
  <c r="AH2199" i="10"/>
  <c r="AH2198" i="10"/>
  <c r="AH2197" i="10"/>
  <c r="AH2196" i="10"/>
  <c r="AH2195" i="10"/>
  <c r="AH2194" i="10"/>
  <c r="AH2193" i="10"/>
  <c r="AH2192" i="10"/>
  <c r="AH2191" i="10"/>
  <c r="AH2190" i="10"/>
  <c r="AH2189" i="10"/>
  <c r="AH2188" i="10"/>
  <c r="AH2187" i="10"/>
  <c r="AH2186" i="10"/>
  <c r="AH2185" i="10"/>
  <c r="AH2184" i="10"/>
  <c r="AH2183" i="10"/>
  <c r="AH2182" i="10"/>
  <c r="AH2181" i="10"/>
  <c r="AH2180" i="10"/>
  <c r="AH2179" i="10"/>
  <c r="AH2178" i="10"/>
  <c r="AH2177" i="10"/>
  <c r="AH2176" i="10"/>
  <c r="AH2175" i="10"/>
  <c r="AH2174" i="10"/>
  <c r="AH2173" i="10"/>
  <c r="AH2172" i="10"/>
  <c r="AH2171" i="10"/>
  <c r="AH2170" i="10"/>
  <c r="AH2169" i="10"/>
  <c r="AH2168" i="10"/>
  <c r="AH2167" i="10"/>
  <c r="AH2166" i="10"/>
  <c r="AH2165" i="10"/>
  <c r="AH2164" i="10"/>
  <c r="AH2163" i="10"/>
  <c r="AH2162" i="10"/>
  <c r="AH2161" i="10"/>
  <c r="AH2160" i="10"/>
  <c r="AH2159" i="10"/>
  <c r="AH2158" i="10"/>
  <c r="AH2157" i="10"/>
  <c r="AH2156" i="10"/>
  <c r="AH2155" i="10"/>
  <c r="AH2154" i="10"/>
  <c r="AH2153" i="10"/>
  <c r="AH2152" i="10"/>
  <c r="AH2151" i="10"/>
  <c r="AH2150" i="10"/>
  <c r="AH2149" i="10"/>
  <c r="AH2148" i="10"/>
  <c r="AH2147" i="10"/>
  <c r="AH2146" i="10"/>
  <c r="AH2145" i="10"/>
  <c r="AH2144" i="10"/>
  <c r="AH2143" i="10"/>
  <c r="AH2142" i="10"/>
  <c r="AH2141" i="10"/>
  <c r="AH2140" i="10"/>
  <c r="AH2139" i="10"/>
  <c r="AH2138" i="10"/>
  <c r="AH2137" i="10"/>
  <c r="AH2136" i="10"/>
  <c r="AH2135" i="10"/>
  <c r="AH2134" i="10"/>
  <c r="AH2133" i="10"/>
  <c r="AH2132" i="10"/>
  <c r="AH2131" i="10"/>
  <c r="AH2130" i="10"/>
  <c r="AH2129" i="10"/>
  <c r="AH2128" i="10"/>
  <c r="AH2127" i="10"/>
  <c r="AH2126" i="10"/>
  <c r="AH2125" i="10"/>
  <c r="AH2124" i="10"/>
  <c r="AH2123" i="10"/>
  <c r="AH2122" i="10"/>
  <c r="AH2121" i="10"/>
  <c r="AH2120" i="10"/>
  <c r="AH2119" i="10"/>
  <c r="AH2118" i="10"/>
  <c r="AH2117" i="10"/>
  <c r="AH2116" i="10"/>
  <c r="AH2115" i="10"/>
  <c r="AH2114" i="10"/>
  <c r="AH2113" i="10"/>
  <c r="AH2112" i="10"/>
  <c r="AH2111" i="10"/>
  <c r="AH2110" i="10"/>
  <c r="AH2109" i="10"/>
  <c r="AH2108" i="10"/>
  <c r="AH2107" i="10"/>
  <c r="AH2106" i="10"/>
  <c r="AH2105" i="10"/>
  <c r="AH2104" i="10"/>
  <c r="AH2103" i="10"/>
  <c r="AH2102" i="10"/>
  <c r="AH2101" i="10"/>
  <c r="AH2100" i="10"/>
  <c r="AH2099" i="10"/>
  <c r="AH2098" i="10"/>
  <c r="AH2097" i="10"/>
  <c r="AH2096" i="10"/>
  <c r="AH2095" i="10"/>
  <c r="AH2094" i="10"/>
  <c r="AH2093" i="10"/>
  <c r="AH2092" i="10"/>
  <c r="AH2091" i="10"/>
  <c r="AH2090" i="10"/>
  <c r="AH2089" i="10"/>
  <c r="AH2088" i="10"/>
  <c r="AH2087" i="10"/>
  <c r="AH2086" i="10"/>
  <c r="AH2085" i="10"/>
  <c r="AH2084" i="10"/>
  <c r="AH2083" i="10"/>
  <c r="AH2082" i="10"/>
  <c r="AH2081" i="10"/>
  <c r="AH2080" i="10"/>
  <c r="AH2079" i="10"/>
  <c r="AH2078" i="10"/>
  <c r="AH2077" i="10"/>
  <c r="AH2076" i="10"/>
  <c r="AH2075" i="10"/>
  <c r="AH2074" i="10"/>
  <c r="AH2073" i="10"/>
  <c r="AH2072" i="10"/>
  <c r="AH2071" i="10"/>
  <c r="AH2070" i="10"/>
  <c r="AH2069" i="10"/>
  <c r="AH2068" i="10"/>
  <c r="AH2067" i="10"/>
  <c r="AH2066" i="10"/>
  <c r="AH2065" i="10"/>
  <c r="AH2064" i="10"/>
  <c r="AH2063" i="10"/>
  <c r="AH2062" i="10"/>
  <c r="AH2061" i="10"/>
  <c r="AH2060" i="10"/>
  <c r="AH2059" i="10"/>
  <c r="AH2058" i="10"/>
  <c r="AH2057" i="10"/>
  <c r="AH2056" i="10"/>
  <c r="AH2055" i="10"/>
  <c r="AH2054" i="10"/>
  <c r="AH2053" i="10"/>
  <c r="AH2052" i="10"/>
  <c r="AH2051" i="10"/>
  <c r="AH2050" i="10"/>
  <c r="AH2049" i="10"/>
  <c r="AH2048" i="10"/>
  <c r="AH2047" i="10"/>
  <c r="AH2046" i="10"/>
  <c r="AH2045" i="10"/>
  <c r="AH2044" i="10"/>
  <c r="AH2043" i="10"/>
  <c r="AH2042" i="10"/>
  <c r="AH2041" i="10"/>
  <c r="AH2040" i="10"/>
  <c r="AH2039" i="10"/>
  <c r="AH2038" i="10"/>
  <c r="AH2037" i="10"/>
  <c r="AH2036" i="10"/>
  <c r="AH2035" i="10"/>
  <c r="AH2034" i="10"/>
  <c r="AH2033" i="10"/>
  <c r="AH2032" i="10"/>
  <c r="AH2031" i="10"/>
  <c r="AH2030" i="10"/>
  <c r="AH2029" i="10"/>
  <c r="AH2028" i="10"/>
  <c r="AH2027" i="10"/>
  <c r="AH2026" i="10"/>
  <c r="AH2025" i="10"/>
  <c r="AH2024" i="10"/>
  <c r="AH2023" i="10"/>
  <c r="AH2022" i="10"/>
  <c r="AH2021" i="10"/>
  <c r="AH2020" i="10"/>
  <c r="AH2019" i="10"/>
  <c r="AH2018" i="10"/>
  <c r="AH2017" i="10"/>
  <c r="AH2016" i="10"/>
  <c r="AH2015" i="10"/>
  <c r="AH2014" i="10"/>
  <c r="AH2013" i="10"/>
  <c r="AH2012" i="10"/>
  <c r="AH2011" i="10"/>
  <c r="AH2010" i="10"/>
  <c r="AH2009" i="10"/>
  <c r="AH2008" i="10"/>
  <c r="AH2007" i="10"/>
  <c r="AH2006" i="10"/>
  <c r="AH2005" i="10"/>
  <c r="AH2004" i="10"/>
  <c r="AH2003" i="10"/>
  <c r="AH2002" i="10"/>
  <c r="AH2001" i="10"/>
  <c r="AH2000" i="10"/>
  <c r="AH1999" i="10"/>
  <c r="AH1998" i="10"/>
  <c r="AH1997" i="10"/>
  <c r="AH1996" i="10"/>
  <c r="AH1995" i="10"/>
  <c r="AH1994" i="10"/>
  <c r="AH1993" i="10"/>
  <c r="AH1992" i="10"/>
  <c r="AH1991" i="10"/>
  <c r="AH1990" i="10"/>
  <c r="AH1989" i="10"/>
  <c r="AH1988" i="10"/>
  <c r="AH1987" i="10"/>
  <c r="AH1986" i="10"/>
  <c r="AH1985" i="10"/>
  <c r="AH1984" i="10"/>
  <c r="AH1983" i="10"/>
  <c r="AH1982" i="10"/>
  <c r="AH1981" i="10"/>
  <c r="AH1980" i="10"/>
  <c r="AH1979" i="10"/>
  <c r="AH1978" i="10"/>
  <c r="AH1977" i="10"/>
  <c r="AH1976" i="10"/>
  <c r="AH1975" i="10"/>
  <c r="AH1974" i="10"/>
  <c r="AH1973" i="10"/>
  <c r="AH1972" i="10"/>
  <c r="AH1971" i="10"/>
  <c r="AH1970" i="10"/>
  <c r="AH1969" i="10"/>
  <c r="AH1968" i="10"/>
  <c r="AH1967" i="10"/>
  <c r="AH1966" i="10"/>
  <c r="AH1965" i="10"/>
  <c r="AH1964" i="10"/>
  <c r="AH1963" i="10"/>
  <c r="AH1962" i="10"/>
  <c r="AH1961" i="10"/>
  <c r="AH1960" i="10"/>
  <c r="AH1959" i="10"/>
  <c r="AH1958" i="10"/>
  <c r="AH1957" i="10"/>
  <c r="AH1956" i="10"/>
  <c r="AH1955" i="10"/>
  <c r="AH1954" i="10"/>
  <c r="AH1953" i="10"/>
  <c r="AH1952" i="10"/>
  <c r="AH1951" i="10"/>
  <c r="AH1950" i="10"/>
  <c r="AH1949" i="10"/>
  <c r="AH1948" i="10"/>
  <c r="AH1947" i="10"/>
  <c r="AH1946" i="10"/>
  <c r="AH1945" i="10"/>
  <c r="AH1944" i="10"/>
  <c r="AH1943" i="10"/>
  <c r="AH1942" i="10"/>
  <c r="AH1941" i="10"/>
  <c r="AH1940" i="10"/>
  <c r="AH1939" i="10"/>
  <c r="AH1938" i="10"/>
  <c r="AH1937" i="10"/>
  <c r="AH1936" i="10"/>
  <c r="AH1935" i="10"/>
  <c r="AH1934" i="10"/>
  <c r="AH1933" i="10"/>
  <c r="AH1932" i="10"/>
  <c r="AH1931" i="10"/>
  <c r="AH1930" i="10"/>
  <c r="AH1929" i="10"/>
  <c r="AH1928" i="10"/>
  <c r="AH1927" i="10"/>
  <c r="AH1926" i="10"/>
  <c r="AH1925" i="10"/>
  <c r="AH1924" i="10"/>
  <c r="AH1923" i="10"/>
  <c r="AH1922" i="10"/>
  <c r="AH1921" i="10"/>
  <c r="AH1920" i="10"/>
  <c r="AH1919" i="10"/>
  <c r="AH1918" i="10"/>
  <c r="AH1917" i="10"/>
  <c r="AH1916" i="10"/>
  <c r="AH1915" i="10"/>
  <c r="AH1914" i="10"/>
  <c r="AH1913" i="10"/>
  <c r="AH1912" i="10"/>
  <c r="AH1911" i="10"/>
  <c r="AH1910" i="10"/>
  <c r="AH1909" i="10"/>
  <c r="AH1908" i="10"/>
  <c r="AH1907" i="10"/>
  <c r="AH1906" i="10"/>
  <c r="AH1905" i="10"/>
  <c r="AH1904" i="10"/>
  <c r="AH1903" i="10"/>
  <c r="AH1902" i="10"/>
  <c r="AH1901" i="10"/>
  <c r="AH1900" i="10"/>
  <c r="AH1899" i="10"/>
  <c r="AH1898" i="10"/>
  <c r="AH1897" i="10"/>
  <c r="AH1896" i="10"/>
  <c r="AH1895" i="10"/>
  <c r="AH1894" i="10"/>
  <c r="AH1893" i="10"/>
  <c r="AH1892" i="10"/>
  <c r="AH1891" i="10"/>
  <c r="AH1890" i="10"/>
  <c r="AH1889" i="10"/>
  <c r="AH1888" i="10"/>
  <c r="AH1887" i="10"/>
  <c r="AH1886" i="10"/>
  <c r="AH1885" i="10"/>
  <c r="AH1884" i="10"/>
  <c r="AH1883" i="10"/>
  <c r="AH1882" i="10"/>
  <c r="AH1881" i="10"/>
  <c r="AH1880" i="10"/>
  <c r="AH1879" i="10"/>
  <c r="AH1878" i="10"/>
  <c r="AH1877" i="10"/>
  <c r="AH1876" i="10"/>
  <c r="AH1875" i="10"/>
  <c r="AH1874" i="10"/>
  <c r="AH1873" i="10"/>
  <c r="AH1872" i="10"/>
  <c r="AH1871" i="10"/>
  <c r="AH1870" i="10"/>
  <c r="AH1869" i="10"/>
  <c r="AH1868" i="10"/>
  <c r="AH1867" i="10"/>
  <c r="AH1866" i="10"/>
  <c r="AH1865" i="10"/>
  <c r="AH1864" i="10"/>
  <c r="AH1863" i="10"/>
  <c r="AH1862" i="10"/>
  <c r="AH1861" i="10"/>
  <c r="AH1860" i="10"/>
  <c r="AH1859" i="10"/>
  <c r="AH1858" i="10"/>
  <c r="AH1857" i="10"/>
  <c r="AH1856" i="10"/>
  <c r="AH1855" i="10"/>
  <c r="AH1854" i="10"/>
  <c r="AH1853" i="10"/>
  <c r="AH1852" i="10"/>
  <c r="AH1851" i="10"/>
  <c r="AH1850" i="10"/>
  <c r="AH1849" i="10"/>
  <c r="AH1848" i="10"/>
  <c r="AH1847" i="10"/>
  <c r="AH1846" i="10"/>
  <c r="AH1845" i="10"/>
  <c r="AH1844" i="10"/>
  <c r="AH1843" i="10"/>
  <c r="AH1842" i="10"/>
  <c r="AH1841" i="10"/>
  <c r="AH1840" i="10"/>
  <c r="AH1839" i="10"/>
  <c r="AH1838" i="10"/>
  <c r="AH1837" i="10"/>
  <c r="AH1836" i="10"/>
  <c r="AH1835" i="10"/>
  <c r="AH1834" i="10"/>
  <c r="AH1833" i="10"/>
  <c r="AH1832" i="10"/>
  <c r="AH1831" i="10"/>
  <c r="AH1830" i="10"/>
  <c r="AH1829" i="10"/>
  <c r="AH1828" i="10"/>
  <c r="AH1827" i="10"/>
  <c r="AH1826" i="10"/>
  <c r="AH1825" i="10"/>
  <c r="AH1824" i="10"/>
  <c r="AH1823" i="10"/>
  <c r="AH1822" i="10"/>
  <c r="AH1821" i="10"/>
  <c r="AH1820" i="10"/>
  <c r="AH1819" i="10"/>
  <c r="AH1818" i="10"/>
  <c r="AH1817" i="10"/>
  <c r="AH1816" i="10"/>
  <c r="AH1815" i="10"/>
  <c r="AH1814" i="10"/>
  <c r="AH1813" i="10"/>
  <c r="AH1812" i="10"/>
  <c r="AH1811" i="10"/>
  <c r="AH1810" i="10"/>
  <c r="AH1809" i="10"/>
  <c r="AH1808" i="10"/>
  <c r="AH1807" i="10"/>
  <c r="AH1806" i="10"/>
  <c r="AH1805" i="10"/>
  <c r="AH1804" i="10"/>
  <c r="AH1803" i="10"/>
  <c r="AH1802" i="10"/>
  <c r="AH1801" i="10"/>
  <c r="AH1800" i="10"/>
  <c r="AH1799" i="10"/>
  <c r="AH1798" i="10"/>
  <c r="AH1797" i="10"/>
  <c r="AH1796" i="10"/>
  <c r="AH1795" i="10"/>
  <c r="AH1794" i="10"/>
  <c r="AH1793" i="10"/>
  <c r="AH1792" i="10"/>
  <c r="AH1791" i="10"/>
  <c r="AH1790" i="10"/>
  <c r="AH1789" i="10"/>
  <c r="AH1788" i="10"/>
  <c r="AH1787" i="10"/>
  <c r="AH1786" i="10"/>
  <c r="AH1785" i="10"/>
  <c r="AH1784" i="10"/>
  <c r="AH1783" i="10"/>
  <c r="AH1782" i="10"/>
  <c r="AH1781" i="10"/>
  <c r="AH1780" i="10"/>
  <c r="AH1779" i="10"/>
  <c r="AH1778" i="10"/>
  <c r="AH1777" i="10"/>
  <c r="AH1776" i="10"/>
  <c r="AH1775" i="10"/>
  <c r="AH1774" i="10"/>
  <c r="AH1773" i="10"/>
  <c r="AH1772" i="10"/>
  <c r="AH1771" i="10"/>
  <c r="AH1770" i="10"/>
  <c r="AH1769" i="10"/>
  <c r="AH1768" i="10"/>
  <c r="AH1767" i="10"/>
  <c r="AH1766" i="10"/>
  <c r="AH1765" i="10"/>
  <c r="AH1764" i="10"/>
  <c r="AH1763" i="10"/>
  <c r="AH1762" i="10"/>
  <c r="AH1761" i="10"/>
  <c r="AH1760" i="10"/>
  <c r="AH1759" i="10"/>
  <c r="AH1758" i="10"/>
  <c r="AH1757" i="10"/>
  <c r="AH1756" i="10"/>
  <c r="AH1755" i="10"/>
  <c r="AH1754" i="10"/>
  <c r="AH1753" i="10"/>
  <c r="AH1752" i="10"/>
  <c r="AH1751" i="10"/>
  <c r="AH1750" i="10"/>
  <c r="AH1749" i="10"/>
  <c r="AH1748" i="10"/>
  <c r="AH1747" i="10"/>
  <c r="AH1746" i="10"/>
  <c r="AH1745" i="10"/>
  <c r="AH1744" i="10"/>
  <c r="AH1743" i="10"/>
  <c r="AH1742" i="10"/>
  <c r="AH1741" i="10"/>
  <c r="AH1740" i="10"/>
  <c r="AH1739" i="10"/>
  <c r="AH1738" i="10"/>
  <c r="AH1737" i="10"/>
  <c r="AH1736" i="10"/>
  <c r="AH1735" i="10"/>
  <c r="AH1734" i="10"/>
  <c r="AH1733" i="10"/>
  <c r="AH1732" i="10"/>
  <c r="AH1731" i="10"/>
  <c r="AH1730" i="10"/>
  <c r="AH1729" i="10"/>
  <c r="AH1728" i="10"/>
  <c r="AH1727" i="10"/>
  <c r="AH1726" i="10"/>
  <c r="AH1725" i="10"/>
  <c r="AH1724" i="10"/>
  <c r="AH1723" i="10"/>
  <c r="AH1722" i="10"/>
  <c r="AH1721" i="10"/>
  <c r="AH1720" i="10"/>
  <c r="AH1719" i="10"/>
  <c r="AH1718" i="10"/>
  <c r="AH1717" i="10"/>
  <c r="AH1716" i="10"/>
  <c r="AH1715" i="10"/>
  <c r="AH1714" i="10"/>
  <c r="AH1713" i="10"/>
  <c r="AH1712" i="10"/>
  <c r="AH1711" i="10"/>
  <c r="AH1710" i="10"/>
  <c r="AH1709" i="10"/>
  <c r="AH1708" i="10"/>
  <c r="AH1707" i="10"/>
  <c r="AH1706" i="10"/>
  <c r="AH1705" i="10"/>
  <c r="AH1704" i="10"/>
  <c r="AH1703" i="10"/>
  <c r="AH1702" i="10"/>
  <c r="AH1701" i="10"/>
  <c r="AH1700" i="10"/>
  <c r="AH1699" i="10"/>
  <c r="AH1698" i="10"/>
  <c r="AH1697" i="10"/>
  <c r="AH1696" i="10"/>
  <c r="AH1695" i="10"/>
  <c r="AH1694" i="10"/>
  <c r="AH1693" i="10"/>
  <c r="AH1692" i="10"/>
  <c r="AH1691" i="10"/>
  <c r="AH1690" i="10"/>
  <c r="AH1689" i="10"/>
  <c r="AH1688" i="10"/>
  <c r="AH1687" i="10"/>
  <c r="AH1686" i="10"/>
  <c r="AH1685" i="10"/>
  <c r="AH1684" i="10"/>
  <c r="AH1683" i="10"/>
  <c r="AH1682" i="10"/>
  <c r="AH1681" i="10"/>
  <c r="AH1680" i="10"/>
  <c r="AH1679" i="10"/>
  <c r="AH1678" i="10"/>
  <c r="AH1677" i="10"/>
  <c r="AH1676" i="10"/>
  <c r="AH1675" i="10"/>
  <c r="AH1674" i="10"/>
  <c r="AH1673" i="10"/>
  <c r="AH1672" i="10"/>
  <c r="AH1671" i="10"/>
  <c r="AH1670" i="10"/>
  <c r="AH1669" i="10"/>
  <c r="AH1668" i="10"/>
  <c r="AH1667" i="10"/>
  <c r="AH1666" i="10"/>
  <c r="AH1665" i="10"/>
  <c r="AH1664" i="10"/>
  <c r="AH1663" i="10"/>
  <c r="AH1662" i="10"/>
  <c r="AH1661" i="10"/>
  <c r="AH1660" i="10"/>
  <c r="AH1659" i="10"/>
  <c r="AH1658" i="10"/>
  <c r="AH1657" i="10"/>
  <c r="AH1656" i="10"/>
  <c r="AH1655" i="10"/>
  <c r="AH1654" i="10"/>
  <c r="AH1653" i="10"/>
  <c r="AH1652" i="10"/>
  <c r="AH1651" i="10"/>
  <c r="AH1650" i="10"/>
  <c r="AH1649" i="10"/>
  <c r="AH1648" i="10"/>
  <c r="AH1647" i="10"/>
  <c r="AH1646" i="10"/>
  <c r="AH1645" i="10"/>
  <c r="AH1644" i="10"/>
  <c r="AH1643" i="10"/>
  <c r="AH1642" i="10"/>
  <c r="AH1641" i="10"/>
  <c r="AH1640" i="10"/>
  <c r="AH1639" i="10"/>
  <c r="AH1638" i="10"/>
  <c r="AH1637" i="10"/>
  <c r="AH1636" i="10"/>
  <c r="AH1635" i="10"/>
  <c r="AH1634" i="10"/>
  <c r="AH1633" i="10"/>
  <c r="AH1632" i="10"/>
  <c r="AH1631" i="10"/>
  <c r="AH1630" i="10"/>
  <c r="AH1629" i="10"/>
  <c r="AH1628" i="10"/>
  <c r="AH1627" i="10"/>
  <c r="AH1626" i="10"/>
  <c r="AH1625" i="10"/>
  <c r="AH1624" i="10"/>
  <c r="AH1623" i="10"/>
  <c r="AH1622" i="10"/>
  <c r="AH1621" i="10"/>
  <c r="AH1620" i="10"/>
  <c r="AH1619" i="10"/>
  <c r="AH1618" i="10"/>
  <c r="AH1617" i="10"/>
  <c r="AH1616" i="10"/>
  <c r="AH1615" i="10"/>
  <c r="AH1614" i="10"/>
  <c r="AH1613" i="10"/>
  <c r="AH1612" i="10"/>
  <c r="AH1611" i="10"/>
  <c r="AH1610" i="10"/>
  <c r="AH1609" i="10"/>
  <c r="AH1608" i="10"/>
  <c r="AH1607" i="10"/>
  <c r="AH1606" i="10"/>
  <c r="AH1605" i="10"/>
  <c r="AH1604" i="10"/>
  <c r="AH1603" i="10"/>
  <c r="AH1602" i="10"/>
  <c r="AH1601" i="10"/>
  <c r="AH1600" i="10"/>
  <c r="AH1599" i="10"/>
  <c r="AH1598" i="10"/>
  <c r="AH1597" i="10"/>
  <c r="AH1596" i="10"/>
  <c r="AH1595" i="10"/>
  <c r="AH1594" i="10"/>
  <c r="AH1593" i="10"/>
  <c r="AH1592" i="10"/>
  <c r="AH1591" i="10"/>
  <c r="AH1590" i="10"/>
  <c r="AH1589" i="10"/>
  <c r="AH1588" i="10"/>
  <c r="AH1587" i="10"/>
  <c r="AH1586" i="10"/>
  <c r="AH1585" i="10"/>
  <c r="AH1584" i="10"/>
  <c r="AH1583" i="10"/>
  <c r="AH1582" i="10"/>
  <c r="AH1581" i="10"/>
  <c r="AH1580" i="10"/>
  <c r="AH1579" i="10"/>
  <c r="AH1578" i="10"/>
  <c r="AH1577" i="10"/>
  <c r="AH1576" i="10"/>
  <c r="AH1575" i="10"/>
  <c r="AH1574" i="10"/>
  <c r="AH1573" i="10"/>
  <c r="AH1572" i="10"/>
  <c r="AH1571" i="10"/>
  <c r="AH1570" i="10"/>
  <c r="AH1569" i="10"/>
  <c r="AH1568" i="10"/>
  <c r="AH1567" i="10"/>
  <c r="AH1566" i="10"/>
  <c r="AH1565" i="10"/>
  <c r="AH1564" i="10"/>
  <c r="AH1563" i="10"/>
  <c r="AH1562" i="10"/>
  <c r="AH1561" i="10"/>
  <c r="AH1560" i="10"/>
  <c r="AH1559" i="10"/>
  <c r="AH1558" i="10"/>
  <c r="AH1557" i="10"/>
  <c r="AH1556" i="10"/>
  <c r="AH1555" i="10"/>
  <c r="AH1554" i="10"/>
  <c r="AH1553" i="10"/>
  <c r="AH1552" i="10"/>
  <c r="AH1551" i="10"/>
  <c r="AH1550" i="10"/>
  <c r="AH1549" i="10"/>
  <c r="AH1548" i="10"/>
  <c r="AH1547" i="10"/>
  <c r="AH1546" i="10"/>
  <c r="AH1545" i="10"/>
  <c r="AH1544" i="10"/>
  <c r="AH1543" i="10"/>
  <c r="AH1542" i="10"/>
  <c r="AH1541" i="10"/>
  <c r="AH1540" i="10"/>
  <c r="AH1539" i="10"/>
  <c r="AH1538" i="10"/>
  <c r="AH1537" i="10"/>
  <c r="AH1536" i="10"/>
  <c r="AH1535" i="10"/>
  <c r="AH1534" i="10"/>
  <c r="AH1533" i="10"/>
  <c r="AH1532" i="10"/>
  <c r="AH1531" i="10"/>
  <c r="AH1530" i="10"/>
  <c r="AH1529" i="10"/>
  <c r="AH1528" i="10"/>
  <c r="AH1527" i="10"/>
  <c r="AH1526" i="10"/>
  <c r="AH1525" i="10"/>
  <c r="AH1524" i="10"/>
  <c r="AH1523" i="10"/>
  <c r="AH1522" i="10"/>
  <c r="AH1521" i="10"/>
  <c r="AH1520" i="10"/>
  <c r="AH1519" i="10"/>
  <c r="AH1518" i="10"/>
  <c r="AH1517" i="10"/>
  <c r="AH1516" i="10"/>
  <c r="AH1515" i="10"/>
  <c r="AH1514" i="10"/>
  <c r="AH1513" i="10"/>
  <c r="AH1512" i="10"/>
  <c r="AH1511" i="10"/>
  <c r="AH1510" i="10"/>
  <c r="AH1509" i="10"/>
  <c r="AH1508" i="10"/>
  <c r="AH1507" i="10"/>
  <c r="AH1506" i="10"/>
  <c r="AH1505" i="10"/>
  <c r="AH1504" i="10"/>
  <c r="AH1503" i="10"/>
  <c r="AH1502" i="10"/>
  <c r="AH1501" i="10"/>
  <c r="AH1500" i="10"/>
  <c r="AH1499" i="10"/>
  <c r="AH1498" i="10"/>
  <c r="AH1497" i="10"/>
  <c r="AH1496" i="10"/>
  <c r="AH1495" i="10"/>
  <c r="AH1494" i="10"/>
  <c r="AH1493" i="10"/>
  <c r="AH1492" i="10"/>
  <c r="AH1491" i="10"/>
  <c r="AH1490" i="10"/>
  <c r="AH1489" i="10"/>
  <c r="AH1488" i="10"/>
  <c r="AH1487" i="10"/>
  <c r="AH1486" i="10"/>
  <c r="AH1485" i="10"/>
  <c r="AH1484" i="10"/>
  <c r="AH1483" i="10"/>
  <c r="AH1482" i="10"/>
  <c r="AH1481" i="10"/>
  <c r="AH1480" i="10"/>
  <c r="AH1479" i="10"/>
  <c r="AH1478" i="10"/>
  <c r="AH1477" i="10"/>
  <c r="AH1476" i="10"/>
  <c r="AH1475" i="10"/>
  <c r="AH1474" i="10"/>
  <c r="AH1473" i="10"/>
  <c r="AH1472" i="10"/>
  <c r="AH1471" i="10"/>
  <c r="AH1470" i="10"/>
  <c r="AH1469" i="10"/>
  <c r="AH1468" i="10"/>
  <c r="AH1467" i="10"/>
  <c r="AH1466" i="10"/>
  <c r="AH1465" i="10"/>
  <c r="AH1464" i="10"/>
  <c r="AH1463" i="10"/>
  <c r="AH1462" i="10"/>
  <c r="AH1461" i="10"/>
  <c r="AH1460" i="10"/>
  <c r="AH1459" i="10"/>
  <c r="AH1458" i="10"/>
  <c r="AH1457" i="10"/>
  <c r="AH1456" i="10"/>
  <c r="AH1455" i="10"/>
  <c r="AH1454" i="10"/>
  <c r="AH1453" i="10"/>
  <c r="AH1452" i="10"/>
  <c r="AH1451" i="10"/>
  <c r="AH1450" i="10"/>
  <c r="AH1449" i="10"/>
  <c r="AH1448" i="10"/>
  <c r="AH1447" i="10"/>
  <c r="AH1446" i="10"/>
  <c r="AH1445" i="10"/>
  <c r="AH1444" i="10"/>
  <c r="AH1443" i="10"/>
  <c r="AH1442" i="10"/>
  <c r="AH1441" i="10"/>
  <c r="AH1440" i="10"/>
  <c r="AH1439" i="10"/>
  <c r="AH1438" i="10"/>
  <c r="AH1437" i="10"/>
  <c r="AH1436" i="10"/>
  <c r="AH1435" i="10"/>
  <c r="AH1434" i="10"/>
  <c r="AH1433" i="10"/>
  <c r="AH1432" i="10"/>
  <c r="AH1431" i="10"/>
  <c r="AH1430" i="10"/>
  <c r="AH1429" i="10"/>
  <c r="AH1428" i="10"/>
  <c r="AH1427" i="10"/>
  <c r="AH1426" i="10"/>
  <c r="AH1425" i="10"/>
  <c r="AH1424" i="10"/>
  <c r="AH1423" i="10"/>
  <c r="AH1422" i="10"/>
  <c r="AH1421" i="10"/>
  <c r="AH1420" i="10"/>
  <c r="AH1419" i="10"/>
  <c r="AH1418" i="10"/>
  <c r="AH1417" i="10"/>
  <c r="AH1416" i="10"/>
  <c r="AH1415" i="10"/>
  <c r="AH1414" i="10"/>
  <c r="AH1413" i="10"/>
  <c r="AH1412" i="10"/>
  <c r="AH1411" i="10"/>
  <c r="AH1410" i="10"/>
  <c r="AH1409" i="10"/>
  <c r="AH1408" i="10"/>
  <c r="AH1407" i="10"/>
  <c r="AH1406" i="10"/>
  <c r="AH1405" i="10"/>
  <c r="AH1404" i="10"/>
  <c r="AH1403" i="10"/>
  <c r="AH1402" i="10"/>
  <c r="AH1401" i="10"/>
  <c r="AH1400" i="10"/>
  <c r="AH1399" i="10"/>
  <c r="AH1398" i="10"/>
  <c r="AH1397" i="10"/>
  <c r="AH1396" i="10"/>
  <c r="AH1395" i="10"/>
  <c r="AH1394" i="10"/>
  <c r="AH1393" i="10"/>
  <c r="AH1392" i="10"/>
  <c r="AH1391" i="10"/>
  <c r="AH1390" i="10"/>
  <c r="AH1389" i="10"/>
  <c r="AH1388" i="10"/>
  <c r="AH1387" i="10"/>
  <c r="AH1386" i="10"/>
  <c r="AH1385" i="10"/>
  <c r="AH1384" i="10"/>
  <c r="AH1383" i="10"/>
  <c r="AH1382" i="10"/>
  <c r="AH1381" i="10"/>
  <c r="AH1380" i="10"/>
  <c r="AH1379" i="10"/>
  <c r="AH1378" i="10"/>
  <c r="AH1377" i="10"/>
  <c r="AH1376" i="10"/>
  <c r="AH1375" i="10"/>
  <c r="AH1374" i="10"/>
  <c r="AH1373" i="10"/>
  <c r="AH1372" i="10"/>
  <c r="AH1371" i="10"/>
  <c r="AH1370" i="10"/>
  <c r="AH1369" i="10"/>
  <c r="AH1368" i="10"/>
  <c r="AH1367" i="10"/>
  <c r="AH1366" i="10"/>
  <c r="AH1365" i="10"/>
  <c r="AH1364" i="10"/>
  <c r="AH1363" i="10"/>
  <c r="AH1362" i="10"/>
  <c r="AH1361" i="10"/>
  <c r="AH1360" i="10"/>
  <c r="AH1359" i="10"/>
  <c r="AH1358" i="10"/>
  <c r="AH1357" i="10"/>
  <c r="AH1356" i="10"/>
  <c r="AH1355" i="10"/>
  <c r="AH1354" i="10"/>
  <c r="AH1353" i="10"/>
  <c r="AH1352" i="10"/>
  <c r="AH1351" i="10"/>
  <c r="AH1350" i="10"/>
  <c r="AH1349" i="10"/>
  <c r="AH1348" i="10"/>
  <c r="AH1347" i="10"/>
  <c r="AH1346" i="10"/>
  <c r="AH1345" i="10"/>
  <c r="AH1344" i="10"/>
  <c r="AH1343" i="10"/>
  <c r="AH1342" i="10"/>
  <c r="AH1341" i="10"/>
  <c r="AH1340" i="10"/>
  <c r="AH1339" i="10"/>
  <c r="AH1338" i="10"/>
  <c r="AH1337" i="10"/>
  <c r="AH1336" i="10"/>
  <c r="AH1335" i="10"/>
  <c r="AH1334" i="10"/>
  <c r="AH1333" i="10"/>
  <c r="AH1332" i="10"/>
  <c r="AH1331" i="10"/>
  <c r="AH1330" i="10"/>
  <c r="AH1329" i="10"/>
  <c r="AH1328" i="10"/>
  <c r="AH1327" i="10"/>
  <c r="AH1326" i="10"/>
  <c r="AH1325" i="10"/>
  <c r="AH1324" i="10"/>
  <c r="AH1323" i="10"/>
  <c r="AH1322" i="10"/>
  <c r="AH1321" i="10"/>
  <c r="AH1320" i="10"/>
  <c r="AH1319" i="10"/>
  <c r="AH1318" i="10"/>
  <c r="AH1317" i="10"/>
  <c r="AH1316" i="10"/>
  <c r="AH1315" i="10"/>
  <c r="AH1314" i="10"/>
  <c r="AH1313" i="10"/>
  <c r="AH1312" i="10"/>
  <c r="AH1311" i="10"/>
  <c r="AH1310" i="10"/>
  <c r="AH1309" i="10"/>
  <c r="AH1308" i="10"/>
  <c r="AH1307" i="10"/>
  <c r="AH1306" i="10"/>
  <c r="AH1305" i="10"/>
  <c r="AH1304" i="10"/>
  <c r="AH1303" i="10"/>
  <c r="AH1302" i="10"/>
  <c r="AH1301" i="10"/>
  <c r="AH1300" i="10"/>
  <c r="AH1299" i="10"/>
  <c r="AH1298" i="10"/>
  <c r="AH1297" i="10"/>
  <c r="AH1296" i="10"/>
  <c r="AH1295" i="10"/>
  <c r="AH1294" i="10"/>
  <c r="AH1293" i="10"/>
  <c r="AH1292" i="10"/>
  <c r="AH1291" i="10"/>
  <c r="AH1290" i="10"/>
  <c r="AH1289" i="10"/>
  <c r="AH1288" i="10"/>
  <c r="AH1287" i="10"/>
  <c r="AH1286" i="10"/>
  <c r="AH1285" i="10"/>
  <c r="AH1284" i="10"/>
  <c r="AH1283" i="10"/>
  <c r="AH1282" i="10"/>
  <c r="AH1281" i="10"/>
  <c r="AH1280" i="10"/>
  <c r="AH1279" i="10"/>
  <c r="AH1278" i="10"/>
  <c r="AH1277" i="10"/>
  <c r="AH1276" i="10"/>
  <c r="AH1275" i="10"/>
  <c r="AH1274" i="10"/>
  <c r="AH1273" i="10"/>
  <c r="AH1272" i="10"/>
  <c r="AH1271" i="10"/>
  <c r="AH1270" i="10"/>
  <c r="AH1269" i="10"/>
  <c r="AH1268" i="10"/>
  <c r="AH1267" i="10"/>
  <c r="AH1266" i="10"/>
  <c r="AH1265" i="10"/>
  <c r="AH1264" i="10"/>
  <c r="AH1263" i="10"/>
  <c r="AH1262" i="10"/>
  <c r="AH1261" i="10"/>
  <c r="AH1260" i="10"/>
  <c r="AH1259" i="10"/>
  <c r="AH1258" i="10"/>
  <c r="AH1257" i="10"/>
  <c r="AH1256" i="10"/>
  <c r="AH1255" i="10"/>
  <c r="AH1254" i="10"/>
  <c r="AH1253" i="10"/>
  <c r="AH1252" i="10"/>
  <c r="AH1251" i="10"/>
  <c r="AH1250" i="10"/>
  <c r="AH1249" i="10"/>
  <c r="AH1248" i="10"/>
  <c r="AH1247" i="10"/>
  <c r="AH1246" i="10"/>
  <c r="AH1245" i="10"/>
  <c r="AH1244" i="10"/>
  <c r="AH1243" i="10"/>
  <c r="AH1242" i="10"/>
  <c r="AH1241" i="10"/>
  <c r="AH1240" i="10"/>
  <c r="AH1239" i="10"/>
  <c r="AH1238" i="10"/>
  <c r="AH1237" i="10"/>
  <c r="AH1236" i="10"/>
  <c r="AH1235" i="10"/>
  <c r="AH1234" i="10"/>
  <c r="AH1233" i="10"/>
  <c r="AH1232" i="10"/>
  <c r="AH1231" i="10"/>
  <c r="AH1230" i="10"/>
  <c r="AH1229" i="10"/>
  <c r="AH1228" i="10"/>
  <c r="AH1227" i="10"/>
  <c r="AH1226" i="10"/>
  <c r="AH1225" i="10"/>
  <c r="AH1224" i="10"/>
  <c r="AH1223" i="10"/>
  <c r="AH1222" i="10"/>
  <c r="AH1221" i="10"/>
  <c r="AH1220" i="10"/>
  <c r="AH1219" i="10"/>
  <c r="AH1218" i="10"/>
  <c r="AH1217" i="10"/>
  <c r="AH1216" i="10"/>
  <c r="AH1215" i="10"/>
  <c r="AH1214" i="10"/>
  <c r="AH1213" i="10"/>
  <c r="AH1212" i="10"/>
  <c r="AH1211" i="10"/>
  <c r="AH1210" i="10"/>
  <c r="AH1209" i="10"/>
  <c r="AH1208" i="10"/>
  <c r="AH1207" i="10"/>
  <c r="AH1206" i="10"/>
  <c r="AH1205" i="10"/>
  <c r="AH1204" i="10"/>
  <c r="AH1203" i="10"/>
  <c r="AH1202" i="10"/>
  <c r="AH1201" i="10"/>
  <c r="AH1200" i="10"/>
  <c r="AH1199" i="10"/>
  <c r="AH1198" i="10"/>
  <c r="AH1197" i="10"/>
  <c r="AH1196" i="10"/>
  <c r="AH1195" i="10"/>
  <c r="AH1194" i="10"/>
  <c r="AH1193" i="10"/>
  <c r="AH1192" i="10"/>
  <c r="AH1191" i="10"/>
  <c r="AH1190" i="10"/>
  <c r="AH1189" i="10"/>
  <c r="AH1188" i="10"/>
  <c r="AH1187" i="10"/>
  <c r="AH1186" i="10"/>
  <c r="AH1185" i="10"/>
  <c r="AH1184" i="10"/>
  <c r="AH1183" i="10"/>
  <c r="AH1182" i="10"/>
  <c r="AH1181" i="10"/>
  <c r="AH1180" i="10"/>
  <c r="AH1179" i="10"/>
  <c r="AH1178" i="10"/>
  <c r="AH1177" i="10"/>
  <c r="AH1176" i="10"/>
  <c r="AH1175" i="10"/>
  <c r="AH1174" i="10"/>
  <c r="AH1173" i="10"/>
  <c r="AH1172" i="10"/>
  <c r="AH1171" i="10"/>
  <c r="AH1170" i="10"/>
  <c r="AH1169" i="10"/>
  <c r="AH1168" i="10"/>
  <c r="AH1167" i="10"/>
  <c r="AH1166" i="10"/>
  <c r="AH1165" i="10"/>
  <c r="AH1164" i="10"/>
  <c r="AH1163" i="10"/>
  <c r="AH1162" i="10"/>
  <c r="AH1161" i="10"/>
  <c r="AH1160" i="10"/>
  <c r="AH1159" i="10"/>
  <c r="AH1158" i="10"/>
  <c r="AH1157" i="10"/>
  <c r="AH1156" i="10"/>
  <c r="AH1155" i="10"/>
  <c r="AH1154" i="10"/>
  <c r="AH1153" i="10"/>
  <c r="AH1152" i="10"/>
  <c r="AH1151" i="10"/>
  <c r="AH1150" i="10"/>
  <c r="AH1149" i="10"/>
  <c r="AH1148" i="10"/>
  <c r="AH1147" i="10"/>
  <c r="AH1146" i="10"/>
  <c r="AH1145" i="10"/>
  <c r="AH1144" i="10"/>
  <c r="AH1143" i="10"/>
  <c r="AH1142" i="10"/>
  <c r="AH1141" i="10"/>
  <c r="AH1140" i="10"/>
  <c r="AH1139" i="10"/>
  <c r="AH1138" i="10"/>
  <c r="AH1137" i="10"/>
  <c r="AH1136" i="10"/>
  <c r="AH1135" i="10"/>
  <c r="AH1134" i="10"/>
  <c r="AH1133" i="10"/>
  <c r="AH1132" i="10"/>
  <c r="AH1131" i="10"/>
  <c r="AH1130" i="10"/>
  <c r="AH1129" i="10"/>
  <c r="AH1128" i="10"/>
  <c r="AH1127" i="10"/>
  <c r="AH1126" i="10"/>
  <c r="AH1125" i="10"/>
  <c r="AH1124" i="10"/>
  <c r="AH1123" i="10"/>
  <c r="AH1122" i="10"/>
  <c r="AH1121" i="10"/>
  <c r="AH1120" i="10"/>
  <c r="AH1119" i="10"/>
  <c r="AH1118" i="10"/>
  <c r="AH1117" i="10"/>
  <c r="AH1116" i="10"/>
  <c r="AH1115" i="10"/>
  <c r="AH1114" i="10"/>
  <c r="AH1113" i="10"/>
  <c r="AH1112" i="10"/>
  <c r="AH1111" i="10"/>
  <c r="AH1110" i="10"/>
  <c r="AH1109" i="10"/>
  <c r="AH1108" i="10"/>
  <c r="AH1107" i="10"/>
  <c r="AH1106" i="10"/>
  <c r="AH1105" i="10"/>
  <c r="AH1104" i="10"/>
  <c r="AH1103" i="10"/>
  <c r="AH1102" i="10"/>
  <c r="AH1101" i="10"/>
  <c r="AH1100" i="10"/>
  <c r="AH1099" i="10"/>
  <c r="AH1098" i="10"/>
  <c r="AH1097" i="10"/>
  <c r="AH1096" i="10"/>
  <c r="AH1095" i="10"/>
  <c r="AH1094" i="10"/>
  <c r="AH1093" i="10"/>
  <c r="AH1092" i="10"/>
  <c r="AH1091" i="10"/>
  <c r="AH1090" i="10"/>
  <c r="AH1089" i="10"/>
  <c r="AH1088" i="10"/>
  <c r="AH1087" i="10"/>
  <c r="AH1086" i="10"/>
  <c r="AH1085" i="10"/>
  <c r="AH1084" i="10"/>
  <c r="AH1083" i="10"/>
  <c r="AH1082" i="10"/>
  <c r="AH1081" i="10"/>
  <c r="AH1080" i="10"/>
  <c r="AH1079" i="10"/>
  <c r="AH1078" i="10"/>
  <c r="AH1077" i="10"/>
  <c r="AH1076" i="10"/>
  <c r="AH1075" i="10"/>
  <c r="AH1074" i="10"/>
  <c r="AH1073" i="10"/>
  <c r="AH1072" i="10"/>
  <c r="AH1071" i="10"/>
  <c r="AH1070" i="10"/>
  <c r="AH1069" i="10"/>
  <c r="AH1068" i="10"/>
  <c r="AH1067" i="10"/>
  <c r="AH1066" i="10"/>
  <c r="AH1065" i="10"/>
  <c r="AH1064" i="10"/>
  <c r="AH1063" i="10"/>
  <c r="AH1062" i="10"/>
  <c r="AH1061" i="10"/>
  <c r="AH1060" i="10"/>
  <c r="AH1059" i="10"/>
  <c r="AH1058" i="10"/>
  <c r="AH1057" i="10"/>
  <c r="AH1056" i="10"/>
  <c r="AH1055" i="10"/>
  <c r="AH1054" i="10"/>
  <c r="AH1053" i="10"/>
  <c r="AH1052" i="10"/>
  <c r="AH1051" i="10"/>
  <c r="AH1050" i="10"/>
  <c r="AH1049" i="10"/>
  <c r="AH1048" i="10"/>
  <c r="AH1047" i="10"/>
  <c r="AH1046" i="10"/>
  <c r="AH1045" i="10"/>
  <c r="AH1044" i="10"/>
  <c r="AH1043" i="10"/>
  <c r="AH1042" i="10"/>
  <c r="AH1041" i="10"/>
  <c r="AH1040" i="10"/>
  <c r="AH1039" i="10"/>
  <c r="AH1038" i="10"/>
  <c r="AH1037" i="10"/>
  <c r="AH1036" i="10"/>
  <c r="AH1035" i="10"/>
  <c r="AH1034" i="10"/>
  <c r="AH1033" i="10"/>
  <c r="AH1032" i="10"/>
  <c r="AH1031" i="10"/>
  <c r="AH1030" i="10"/>
  <c r="AH1029" i="10"/>
  <c r="AH1028" i="10"/>
  <c r="AH1027" i="10"/>
  <c r="AH1026" i="10"/>
  <c r="AH1025" i="10"/>
  <c r="AH1024" i="10"/>
  <c r="AH1023" i="10"/>
  <c r="AH1022" i="10"/>
  <c r="AH1021" i="10"/>
  <c r="AH1020" i="10"/>
  <c r="AH1019" i="10"/>
  <c r="AH1018" i="10"/>
  <c r="AH1017" i="10"/>
  <c r="AH1016" i="10"/>
  <c r="AH1015" i="10"/>
  <c r="AH1014" i="10"/>
  <c r="AH1013" i="10"/>
  <c r="AH1012" i="10"/>
  <c r="AH1011" i="10"/>
  <c r="AH1010" i="10"/>
  <c r="AH1009" i="10"/>
  <c r="AH1008" i="10"/>
  <c r="AH1007" i="10"/>
  <c r="AH1006" i="10"/>
  <c r="AH1005" i="10"/>
  <c r="AH1004" i="10"/>
  <c r="AH1003" i="10"/>
  <c r="AH1002" i="10"/>
  <c r="AH1001" i="10"/>
  <c r="AH1000" i="10"/>
  <c r="AH999" i="10"/>
  <c r="AH998" i="10"/>
  <c r="AH997" i="10"/>
  <c r="AH996" i="10"/>
  <c r="AH995" i="10"/>
  <c r="AH994" i="10"/>
  <c r="AH993" i="10"/>
  <c r="AH992" i="10"/>
  <c r="AH991" i="10"/>
  <c r="AH990" i="10"/>
  <c r="AH989" i="10"/>
  <c r="AH988" i="10"/>
  <c r="AH987" i="10"/>
  <c r="AH986" i="10"/>
  <c r="AH985" i="10"/>
  <c r="AH984" i="10"/>
  <c r="AH983" i="10"/>
  <c r="AH982" i="10"/>
  <c r="AH981" i="10"/>
  <c r="AH980" i="10"/>
  <c r="AH979" i="10"/>
  <c r="AH978" i="10"/>
  <c r="AH977" i="10"/>
  <c r="AH976" i="10"/>
  <c r="AH975" i="10"/>
  <c r="AH974" i="10"/>
  <c r="AH973" i="10"/>
  <c r="AH972" i="10"/>
  <c r="AH971" i="10"/>
  <c r="AH970" i="10"/>
  <c r="AH969" i="10"/>
  <c r="AH968" i="10"/>
  <c r="AH967" i="10"/>
  <c r="AH966" i="10"/>
  <c r="AH965" i="10"/>
  <c r="AH964" i="10"/>
  <c r="AH963" i="10"/>
  <c r="AH962" i="10"/>
  <c r="AH961" i="10"/>
  <c r="AH960" i="10"/>
  <c r="AH959" i="10"/>
  <c r="AH958" i="10"/>
  <c r="AH957" i="10"/>
  <c r="AH956" i="10"/>
  <c r="AH955" i="10"/>
  <c r="AH954" i="10"/>
  <c r="AH953" i="10"/>
  <c r="AH952" i="10"/>
  <c r="AH951" i="10"/>
  <c r="AH950" i="10"/>
  <c r="AH949" i="10"/>
  <c r="AH948" i="10"/>
  <c r="AH947" i="10"/>
  <c r="AH946" i="10"/>
  <c r="AH945" i="10"/>
  <c r="AH944" i="10"/>
  <c r="AH943" i="10"/>
  <c r="AH942" i="10"/>
  <c r="AH941" i="10"/>
  <c r="AH940" i="10"/>
  <c r="AH939" i="10"/>
  <c r="AH938" i="10"/>
  <c r="AH937" i="10"/>
  <c r="AH936" i="10"/>
  <c r="AH935" i="10"/>
  <c r="AH934" i="10"/>
  <c r="AH933" i="10"/>
  <c r="AH932" i="10"/>
  <c r="AH931" i="10"/>
  <c r="AH930" i="10"/>
  <c r="AH929" i="10"/>
  <c r="AH928" i="10"/>
  <c r="AH927" i="10"/>
  <c r="AH926" i="10"/>
  <c r="AH925" i="10"/>
  <c r="AH924" i="10"/>
  <c r="AH923" i="10"/>
  <c r="AH922" i="10"/>
  <c r="AH921" i="10"/>
  <c r="AH920" i="10"/>
  <c r="AH919" i="10"/>
  <c r="AH918" i="10"/>
  <c r="AH917" i="10"/>
  <c r="AH916" i="10"/>
  <c r="AH915" i="10"/>
  <c r="AH914" i="10"/>
  <c r="AH913" i="10"/>
  <c r="AH912" i="10"/>
  <c r="AH911" i="10"/>
  <c r="AH910" i="10"/>
  <c r="AH909" i="10"/>
  <c r="AH908" i="10"/>
  <c r="AH907" i="10"/>
  <c r="AH906" i="10"/>
  <c r="AH905" i="10"/>
  <c r="AH904" i="10"/>
  <c r="AH903" i="10"/>
  <c r="AH902" i="10"/>
  <c r="AH901" i="10"/>
  <c r="AH900" i="10"/>
  <c r="AH899" i="10"/>
  <c r="AH898" i="10"/>
  <c r="AH897" i="10"/>
  <c r="AH896" i="10"/>
  <c r="AH895" i="10"/>
  <c r="AH894" i="10"/>
  <c r="AH893" i="10"/>
  <c r="AH892" i="10"/>
  <c r="AH891" i="10"/>
  <c r="AH890" i="10"/>
  <c r="AH889" i="10"/>
  <c r="AH888" i="10"/>
  <c r="AH887" i="10"/>
  <c r="AH886" i="10"/>
  <c r="AH885" i="10"/>
  <c r="AH884" i="10"/>
  <c r="AH883" i="10"/>
  <c r="AH882" i="10"/>
  <c r="AH881" i="10"/>
  <c r="AH880" i="10"/>
  <c r="AH879" i="10"/>
  <c r="AH878" i="10"/>
  <c r="AH877" i="10"/>
  <c r="AH876" i="10"/>
  <c r="AH875" i="10"/>
  <c r="AH874" i="10"/>
  <c r="AH873" i="10"/>
  <c r="AH872" i="10"/>
  <c r="AH871" i="10"/>
  <c r="AH870" i="10"/>
  <c r="AH869" i="10"/>
  <c r="AH868" i="10"/>
  <c r="AH867" i="10"/>
  <c r="AH866" i="10"/>
  <c r="AH865" i="10"/>
  <c r="AH864" i="10"/>
  <c r="AH863" i="10"/>
  <c r="AH862" i="10"/>
  <c r="AH861" i="10"/>
  <c r="AH860" i="10"/>
  <c r="AH859" i="10"/>
  <c r="AH858" i="10"/>
  <c r="AH857" i="10"/>
  <c r="AH856" i="10"/>
  <c r="AH855" i="10"/>
  <c r="AH854" i="10"/>
  <c r="AH853" i="10"/>
  <c r="AH852" i="10"/>
  <c r="AH851" i="10"/>
  <c r="AH850" i="10"/>
  <c r="AH849" i="10"/>
  <c r="AH848" i="10"/>
  <c r="AH847" i="10"/>
  <c r="AH846" i="10"/>
  <c r="AH845" i="10"/>
  <c r="AH844" i="10"/>
  <c r="AH843" i="10"/>
  <c r="AH842" i="10"/>
  <c r="AH841" i="10"/>
  <c r="AH840" i="10"/>
  <c r="AH839" i="10"/>
  <c r="AH838" i="10"/>
  <c r="AH837" i="10"/>
  <c r="AH836" i="10"/>
  <c r="AH835" i="10"/>
  <c r="AH834" i="10"/>
  <c r="AH833" i="10"/>
  <c r="AH832" i="10"/>
  <c r="AH831" i="10"/>
  <c r="AH830" i="10"/>
  <c r="AH829" i="10"/>
  <c r="AH828" i="10"/>
  <c r="AH827" i="10"/>
  <c r="AH826" i="10"/>
  <c r="AH825" i="10"/>
  <c r="AH824" i="10"/>
  <c r="AH823" i="10"/>
  <c r="AH822" i="10"/>
  <c r="AH821" i="10"/>
  <c r="AH820" i="10"/>
  <c r="AH819" i="10"/>
  <c r="AH818" i="10"/>
  <c r="AH817" i="10"/>
  <c r="AH816" i="10"/>
  <c r="AH815" i="10"/>
  <c r="AH814" i="10"/>
  <c r="AH813" i="10"/>
  <c r="AH812" i="10"/>
  <c r="AH811" i="10"/>
  <c r="AH810" i="10"/>
  <c r="AH809" i="10"/>
  <c r="AH808" i="10"/>
  <c r="AH807" i="10"/>
  <c r="AH806" i="10"/>
  <c r="AH805" i="10"/>
  <c r="AH804" i="10"/>
  <c r="AH803" i="10"/>
  <c r="AH802" i="10"/>
  <c r="AH801" i="10"/>
  <c r="AH800" i="10"/>
  <c r="AH799" i="10"/>
  <c r="AH798" i="10"/>
  <c r="AH797" i="10"/>
  <c r="AH796" i="10"/>
  <c r="AH795" i="10"/>
  <c r="AH794" i="10"/>
  <c r="AH793" i="10"/>
  <c r="AH792" i="10"/>
  <c r="AH791" i="10"/>
  <c r="AH790" i="10"/>
  <c r="AH789" i="10"/>
  <c r="AH788" i="10"/>
  <c r="AH787" i="10"/>
  <c r="AH786" i="10"/>
  <c r="AH785" i="10"/>
  <c r="AH784" i="10"/>
  <c r="AH783" i="10"/>
  <c r="AH782" i="10"/>
  <c r="AH781" i="10"/>
  <c r="AH780" i="10"/>
  <c r="AH779" i="10"/>
  <c r="AH778" i="10"/>
  <c r="AH777" i="10"/>
  <c r="AH776" i="10"/>
  <c r="AH775" i="10"/>
  <c r="AH774" i="10"/>
  <c r="AH773" i="10"/>
  <c r="AH772" i="10"/>
  <c r="AH771" i="10"/>
  <c r="AH770" i="10"/>
  <c r="AH769" i="10"/>
  <c r="AH768" i="10"/>
  <c r="AH767" i="10"/>
  <c r="AH766" i="10"/>
  <c r="AH765" i="10"/>
  <c r="AH764" i="10"/>
  <c r="AH763" i="10"/>
  <c r="AH762" i="10"/>
  <c r="AH761" i="10"/>
  <c r="AH760" i="10"/>
  <c r="AH759" i="10"/>
  <c r="AH758" i="10"/>
  <c r="AH757" i="10"/>
  <c r="AH756" i="10"/>
  <c r="AH755" i="10"/>
  <c r="AH754" i="10"/>
  <c r="AH753" i="10"/>
  <c r="AH752" i="10"/>
  <c r="AH751" i="10"/>
  <c r="AH750" i="10"/>
  <c r="AH749" i="10"/>
  <c r="AH748" i="10"/>
  <c r="AH747" i="10"/>
  <c r="AH746" i="10"/>
  <c r="AH745" i="10"/>
  <c r="AH744" i="10"/>
  <c r="AH743" i="10"/>
  <c r="AH742" i="10"/>
  <c r="AH741" i="10"/>
  <c r="AH740" i="10"/>
  <c r="AH739" i="10"/>
  <c r="AH738" i="10"/>
  <c r="AH737" i="10"/>
  <c r="AH736" i="10"/>
  <c r="AH735" i="10"/>
  <c r="AH734" i="10"/>
  <c r="AH733" i="10"/>
  <c r="AH732" i="10"/>
  <c r="AH731" i="10"/>
  <c r="AH730" i="10"/>
  <c r="AH729" i="10"/>
  <c r="AH728" i="10"/>
  <c r="AH727" i="10"/>
  <c r="AH726" i="10"/>
  <c r="AH725" i="10"/>
  <c r="AH724" i="10"/>
  <c r="AH723" i="10"/>
  <c r="AH722" i="10"/>
  <c r="AH721" i="10"/>
  <c r="AH720" i="10"/>
  <c r="AH719" i="10"/>
  <c r="AH718" i="10"/>
  <c r="AH717" i="10"/>
  <c r="AH716" i="10"/>
  <c r="AH715" i="10"/>
  <c r="AH714" i="10"/>
  <c r="AH713" i="10"/>
  <c r="AH712" i="10"/>
  <c r="AH711" i="10"/>
  <c r="AH710" i="10"/>
  <c r="AH709" i="10"/>
  <c r="AH708" i="10"/>
  <c r="AH707" i="10"/>
  <c r="AH706" i="10"/>
  <c r="AH705" i="10"/>
  <c r="AH704" i="10"/>
  <c r="AH703" i="10"/>
  <c r="AH702" i="10"/>
  <c r="AH701" i="10"/>
  <c r="AH700" i="10"/>
  <c r="AH699" i="10"/>
  <c r="AH698" i="10"/>
  <c r="AH697" i="10"/>
  <c r="AH696" i="10"/>
  <c r="AH695" i="10"/>
  <c r="AH694" i="10"/>
  <c r="AH693" i="10"/>
  <c r="AH692" i="10"/>
  <c r="AH691" i="10"/>
  <c r="AH690" i="10"/>
  <c r="AH689" i="10"/>
  <c r="AH688" i="10"/>
  <c r="AH687" i="10"/>
  <c r="AH686" i="10"/>
  <c r="AH685" i="10"/>
  <c r="AH684" i="10"/>
  <c r="AH683" i="10"/>
  <c r="AH682" i="10"/>
  <c r="AH681" i="10"/>
  <c r="AH680" i="10"/>
  <c r="AH679" i="10"/>
  <c r="AH678" i="10"/>
  <c r="AH677" i="10"/>
  <c r="AH676" i="10"/>
  <c r="AH675" i="10"/>
  <c r="AH674" i="10"/>
  <c r="AH673" i="10"/>
  <c r="AH672" i="10"/>
  <c r="AH671" i="10"/>
  <c r="AH670" i="10"/>
  <c r="AH669" i="10"/>
  <c r="AH668" i="10"/>
  <c r="AH667" i="10"/>
  <c r="AH666" i="10"/>
  <c r="AH665" i="10"/>
  <c r="AH664" i="10"/>
  <c r="AH663" i="10"/>
  <c r="AH662" i="10"/>
  <c r="AH661" i="10"/>
  <c r="AH660" i="10"/>
  <c r="AH659" i="10"/>
  <c r="AH658" i="10"/>
  <c r="AH657" i="10"/>
  <c r="AH656" i="10"/>
  <c r="AH655" i="10"/>
  <c r="AH654" i="10"/>
  <c r="AH653" i="10"/>
  <c r="AH652" i="10"/>
  <c r="AH651" i="10"/>
  <c r="AH650" i="10"/>
  <c r="AH649" i="10"/>
  <c r="AH648" i="10"/>
  <c r="AH647" i="10"/>
  <c r="AH646" i="10"/>
  <c r="AH645" i="10"/>
  <c r="AH644" i="10"/>
  <c r="AH643" i="10"/>
  <c r="AH642" i="10"/>
  <c r="AH641" i="10"/>
  <c r="AH640" i="10"/>
  <c r="AH639" i="10"/>
  <c r="AH638" i="10"/>
  <c r="AH637" i="10"/>
  <c r="AH636" i="10"/>
  <c r="AH635" i="10"/>
  <c r="AH634" i="10"/>
  <c r="AH633" i="10"/>
  <c r="AH632" i="10"/>
  <c r="AH631" i="10"/>
  <c r="AH630" i="10"/>
  <c r="AH629" i="10"/>
  <c r="AH628" i="10"/>
  <c r="AH627" i="10"/>
  <c r="AH626" i="10"/>
  <c r="AH625" i="10"/>
  <c r="AH624" i="10"/>
  <c r="AH623" i="10"/>
  <c r="AH622" i="10"/>
  <c r="AH621" i="10"/>
  <c r="AH620" i="10"/>
  <c r="AH619" i="10"/>
  <c r="AH618" i="10"/>
  <c r="AH617" i="10"/>
  <c r="AH616" i="10"/>
  <c r="AH615" i="10"/>
  <c r="AH614" i="10"/>
  <c r="AH613" i="10"/>
  <c r="AH612" i="10"/>
  <c r="AH611" i="10"/>
  <c r="AH610" i="10"/>
  <c r="AH609" i="10"/>
  <c r="AH608" i="10"/>
  <c r="AH607" i="10"/>
  <c r="AH606" i="10"/>
  <c r="AH605" i="10"/>
  <c r="AH604" i="10"/>
  <c r="AH603" i="10"/>
  <c r="AH602" i="10"/>
  <c r="AH601" i="10"/>
  <c r="AH600" i="10"/>
  <c r="AH599" i="10"/>
  <c r="AH598" i="10"/>
  <c r="AH597" i="10"/>
  <c r="AH596" i="10"/>
  <c r="AH595" i="10"/>
  <c r="AH594" i="10"/>
  <c r="AH593" i="10"/>
  <c r="AH592" i="10"/>
  <c r="AH591" i="10"/>
  <c r="AH590" i="10"/>
  <c r="AH589" i="10"/>
  <c r="AH588" i="10"/>
  <c r="AH587" i="10"/>
  <c r="AH586" i="10"/>
  <c r="AH585" i="10"/>
  <c r="AH584" i="10"/>
  <c r="AH583" i="10"/>
  <c r="AH582" i="10"/>
  <c r="AH581" i="10"/>
  <c r="AH580" i="10"/>
  <c r="AH579" i="10"/>
  <c r="AH578" i="10"/>
  <c r="AH577" i="10"/>
  <c r="AH576" i="10"/>
  <c r="AH575" i="10"/>
  <c r="AH574" i="10"/>
  <c r="AH573" i="10"/>
  <c r="AH572" i="10"/>
  <c r="AH571" i="10"/>
  <c r="AH570" i="10"/>
  <c r="AH569" i="10"/>
  <c r="AH568" i="10"/>
  <c r="AH567" i="10"/>
  <c r="AH566" i="10"/>
  <c r="AH565" i="10"/>
  <c r="AH564" i="10"/>
  <c r="AH563" i="10"/>
  <c r="AH562" i="10"/>
  <c r="AH561" i="10"/>
  <c r="AH560" i="10"/>
  <c r="AH559" i="10"/>
  <c r="AH558" i="10"/>
  <c r="AH557" i="10"/>
  <c r="AH556" i="10"/>
  <c r="AH555" i="10"/>
  <c r="AH554" i="10"/>
  <c r="AH553" i="10"/>
  <c r="AH552" i="10"/>
  <c r="AH551" i="10"/>
  <c r="AH550" i="10"/>
  <c r="AH549" i="10"/>
  <c r="AH548" i="10"/>
  <c r="AH547" i="10"/>
  <c r="AH546" i="10"/>
  <c r="AH545" i="10"/>
  <c r="AH544" i="10"/>
  <c r="AH543" i="10"/>
  <c r="AH542" i="10"/>
  <c r="AH541" i="10"/>
  <c r="AH540" i="10"/>
  <c r="AH539" i="10"/>
  <c r="AH538" i="10"/>
  <c r="AH537" i="10"/>
  <c r="AH536" i="10"/>
  <c r="AH535" i="10"/>
  <c r="AH534" i="10"/>
  <c r="AH533" i="10"/>
  <c r="AH532" i="10"/>
  <c r="AH531" i="10"/>
  <c r="AH530" i="10"/>
  <c r="AH529" i="10"/>
  <c r="AH528" i="10"/>
  <c r="AH527" i="10"/>
  <c r="AH526" i="10"/>
  <c r="AH525" i="10"/>
  <c r="AH524" i="10"/>
  <c r="AH523" i="10"/>
  <c r="AH522" i="10"/>
  <c r="AH521" i="10"/>
  <c r="AH520" i="10"/>
  <c r="AH519" i="10"/>
  <c r="AH518" i="10"/>
  <c r="AH517" i="10"/>
  <c r="AH516" i="10"/>
  <c r="AH515" i="10"/>
  <c r="AH514" i="10"/>
  <c r="AH513" i="10"/>
  <c r="AH512" i="10"/>
  <c r="AH511" i="10"/>
  <c r="AH510" i="10"/>
  <c r="AH509" i="10"/>
  <c r="AH508" i="10"/>
  <c r="AH507" i="10"/>
  <c r="AH506" i="10"/>
  <c r="AH505" i="10"/>
  <c r="AG81" i="10"/>
  <c r="Y81" i="10"/>
  <c r="B81" i="10"/>
  <c r="A81" i="10"/>
  <c r="X96" i="10"/>
  <c r="X113" i="10"/>
  <c r="AG82" i="10"/>
  <c r="Y82" i="10"/>
  <c r="B82" i="10"/>
  <c r="A82" i="10"/>
  <c r="AG83" i="10"/>
  <c r="AH83" i="10" s="1"/>
  <c r="Y83" i="10"/>
  <c r="B83" i="10"/>
  <c r="A83" i="10"/>
  <c r="AG84" i="10"/>
  <c r="AH84" i="10" s="1"/>
  <c r="Y84" i="10"/>
  <c r="B84" i="10"/>
  <c r="A84" i="10"/>
  <c r="AG85" i="10"/>
  <c r="AH85" i="10" s="1"/>
  <c r="Y85" i="10"/>
  <c r="B85" i="10"/>
  <c r="A85" i="10"/>
  <c r="AG86" i="10"/>
  <c r="AH86" i="10" s="1"/>
  <c r="Y86" i="10"/>
  <c r="B86" i="10"/>
  <c r="A86" i="10"/>
  <c r="AG87" i="10"/>
  <c r="AH87" i="10" s="1"/>
  <c r="Y87" i="10"/>
  <c r="B87" i="10"/>
  <c r="A87" i="10"/>
  <c r="AG88" i="10"/>
  <c r="AH88" i="10" s="1"/>
  <c r="Y88" i="10"/>
  <c r="B88" i="10"/>
  <c r="A88" i="10"/>
  <c r="AG89" i="10"/>
  <c r="AH89" i="10" s="1"/>
  <c r="Y89" i="10"/>
  <c r="B89" i="10"/>
  <c r="A89" i="10"/>
  <c r="AG90" i="10"/>
  <c r="AH90" i="10" s="1"/>
  <c r="Y90" i="10"/>
  <c r="B90" i="10"/>
  <c r="A90" i="10"/>
  <c r="AG91" i="10"/>
  <c r="AH91" i="10" s="1"/>
  <c r="Y91" i="10"/>
  <c r="B91" i="10"/>
  <c r="A91" i="10"/>
  <c r="AG92" i="10"/>
  <c r="AH92" i="10" s="1"/>
  <c r="Y92" i="10"/>
  <c r="B92" i="10"/>
  <c r="A92" i="10"/>
  <c r="AG93" i="10"/>
  <c r="AH93" i="10" s="1"/>
  <c r="Y93" i="10"/>
  <c r="B93" i="10"/>
  <c r="A93" i="10"/>
  <c r="AG94" i="10"/>
  <c r="AH94" i="10" s="1"/>
  <c r="Y94" i="10"/>
  <c r="B94" i="10"/>
  <c r="A94" i="10"/>
  <c r="AG95" i="10"/>
  <c r="AH95" i="10" s="1"/>
  <c r="Y95" i="10"/>
  <c r="B95" i="10"/>
  <c r="A95" i="10"/>
  <c r="AG96" i="10"/>
  <c r="AH96" i="10" s="1"/>
  <c r="Y96" i="10"/>
  <c r="B96" i="10"/>
  <c r="A96" i="10"/>
  <c r="AG97" i="10"/>
  <c r="AH97" i="10" s="1"/>
  <c r="Y97" i="10"/>
  <c r="B97" i="10"/>
  <c r="A97" i="10"/>
  <c r="AG98" i="10"/>
  <c r="AH98" i="10" s="1"/>
  <c r="Y98" i="10"/>
  <c r="B98" i="10"/>
  <c r="A98" i="10"/>
  <c r="AG99" i="10"/>
  <c r="AH99" i="10" s="1"/>
  <c r="Y99" i="10"/>
  <c r="B99" i="10"/>
  <c r="A99" i="10"/>
  <c r="AG100" i="10"/>
  <c r="AH100" i="10" s="1"/>
  <c r="Y100" i="10"/>
  <c r="B100" i="10"/>
  <c r="A100" i="10"/>
  <c r="AG101" i="10"/>
  <c r="AH101" i="10" s="1"/>
  <c r="Y101" i="10"/>
  <c r="B101" i="10"/>
  <c r="A101" i="10"/>
  <c r="AG102" i="10"/>
  <c r="AH102" i="10" s="1"/>
  <c r="Y102" i="10"/>
  <c r="B102" i="10"/>
  <c r="A102" i="10"/>
  <c r="AG103" i="10"/>
  <c r="AH103" i="10" s="1"/>
  <c r="Y103" i="10"/>
  <c r="B103" i="10"/>
  <c r="A103" i="10"/>
  <c r="AG104" i="10"/>
  <c r="AH104" i="10" s="1"/>
  <c r="Y104" i="10"/>
  <c r="B104" i="10"/>
  <c r="A104" i="10"/>
  <c r="AG105" i="10"/>
  <c r="AH105" i="10" s="1"/>
  <c r="Y105" i="10"/>
  <c r="B105" i="10"/>
  <c r="A105" i="10"/>
  <c r="AG106" i="10"/>
  <c r="AH106" i="10" s="1"/>
  <c r="Y106" i="10"/>
  <c r="B106" i="10"/>
  <c r="A106" i="10"/>
  <c r="AG107" i="10"/>
  <c r="AH107" i="10" s="1"/>
  <c r="Y107" i="10"/>
  <c r="B107" i="10"/>
  <c r="A107" i="10"/>
  <c r="AG108" i="10"/>
  <c r="AH108" i="10" s="1"/>
  <c r="Y108" i="10"/>
  <c r="B108" i="10"/>
  <c r="A108" i="10"/>
  <c r="AG109" i="10"/>
  <c r="AH109" i="10" s="1"/>
  <c r="Y109" i="10"/>
  <c r="B109" i="10"/>
  <c r="A109" i="10"/>
  <c r="AG110" i="10"/>
  <c r="AH110" i="10" s="1"/>
  <c r="Y110" i="10"/>
  <c r="B110" i="10"/>
  <c r="A110" i="10"/>
  <c r="AG112" i="10"/>
  <c r="Y112" i="10"/>
  <c r="B112" i="10"/>
  <c r="A112" i="10"/>
  <c r="AG111" i="10"/>
  <c r="AH111" i="10" s="1"/>
  <c r="Y111" i="10"/>
  <c r="B111" i="10"/>
  <c r="A111" i="10"/>
  <c r="AG114" i="10"/>
  <c r="AH114" i="10" s="1"/>
  <c r="Y114" i="10"/>
  <c r="B114" i="10"/>
  <c r="A114" i="10"/>
  <c r="AG115" i="10"/>
  <c r="AH115" i="10" s="1"/>
  <c r="Y115" i="10"/>
  <c r="B115" i="10"/>
  <c r="A115" i="10"/>
  <c r="AG113" i="10"/>
  <c r="Y113" i="10"/>
  <c r="B113" i="10"/>
  <c r="A113" i="10"/>
  <c r="AG116" i="10"/>
  <c r="Y116" i="10"/>
  <c r="B116" i="10"/>
  <c r="A116" i="10"/>
  <c r="AG117" i="10"/>
  <c r="AH117" i="10" s="1"/>
  <c r="Y117" i="10"/>
  <c r="B117" i="10"/>
  <c r="A117" i="10"/>
  <c r="AG118" i="10"/>
  <c r="AH118" i="10" s="1"/>
  <c r="Y118" i="10"/>
  <c r="B118" i="10"/>
  <c r="A118" i="10"/>
  <c r="AG119" i="10"/>
  <c r="AH119" i="10" s="1"/>
  <c r="Y119" i="10"/>
  <c r="B119" i="10"/>
  <c r="A119" i="10"/>
  <c r="AG120" i="10"/>
  <c r="AH120" i="10" s="1"/>
  <c r="Y120" i="10"/>
  <c r="B120" i="10"/>
  <c r="A120" i="10"/>
  <c r="AG121" i="10"/>
  <c r="AH121" i="10" s="1"/>
  <c r="Y121" i="10"/>
  <c r="B121" i="10"/>
  <c r="A121" i="10"/>
  <c r="AG122" i="10"/>
  <c r="AH122" i="10" s="1"/>
  <c r="Y122" i="10"/>
  <c r="B122" i="10"/>
  <c r="A122" i="10"/>
  <c r="AG123" i="10"/>
  <c r="AH123" i="10" s="1"/>
  <c r="Y123" i="10"/>
  <c r="B123" i="10"/>
  <c r="A123" i="10"/>
  <c r="X166" i="10"/>
  <c r="X219" i="10"/>
  <c r="X159" i="10"/>
  <c r="AG124" i="10"/>
  <c r="AH124" i="10" s="1"/>
  <c r="Y124" i="10"/>
  <c r="B124" i="10"/>
  <c r="A124" i="10"/>
  <c r="AG125" i="10"/>
  <c r="AH125" i="10" s="1"/>
  <c r="Y125" i="10"/>
  <c r="B125" i="10"/>
  <c r="A125" i="10"/>
  <c r="AG126" i="10"/>
  <c r="AH126" i="10" s="1"/>
  <c r="Y126" i="10"/>
  <c r="B126" i="10"/>
  <c r="A126" i="10"/>
  <c r="AG127" i="10"/>
  <c r="Y127" i="10"/>
  <c r="B127" i="10"/>
  <c r="A127" i="10"/>
  <c r="AG128" i="10"/>
  <c r="AH128" i="10" s="1"/>
  <c r="Y128" i="10"/>
  <c r="A128" i="10"/>
  <c r="B128" i="10"/>
  <c r="X1166" i="10"/>
  <c r="AG129" i="10"/>
  <c r="AH129" i="10" s="1"/>
  <c r="Y129" i="10"/>
  <c r="B129" i="10"/>
  <c r="A129" i="10"/>
  <c r="AG130" i="10"/>
  <c r="AH130" i="10" s="1"/>
  <c r="Y130" i="10"/>
  <c r="B130" i="10"/>
  <c r="A130" i="10"/>
  <c r="AG131" i="10"/>
  <c r="Y131" i="10"/>
  <c r="B131" i="10"/>
  <c r="A131" i="10"/>
  <c r="AG132" i="10"/>
  <c r="AH132" i="10" s="1"/>
  <c r="Y132" i="10"/>
  <c r="B132" i="10"/>
  <c r="A132" i="10"/>
  <c r="AG133" i="10"/>
  <c r="AH133" i="10" s="1"/>
  <c r="Y133" i="10"/>
  <c r="B133" i="10"/>
  <c r="A133" i="10"/>
  <c r="AG134" i="10"/>
  <c r="AH134" i="10" s="1"/>
  <c r="Y134" i="10"/>
  <c r="B134" i="10"/>
  <c r="A134" i="10"/>
  <c r="Y135" i="10"/>
  <c r="AG135" i="10"/>
  <c r="AH135" i="10" s="1"/>
  <c r="B135" i="10"/>
  <c r="A135" i="10"/>
  <c r="AG136" i="10"/>
  <c r="AH136" i="10" s="1"/>
  <c r="Y136" i="10"/>
  <c r="B136" i="10"/>
  <c r="A136" i="10"/>
  <c r="AG137" i="10"/>
  <c r="Y137" i="10"/>
  <c r="B137" i="10"/>
  <c r="A137" i="10"/>
  <c r="Y139" i="10"/>
  <c r="B139" i="10"/>
  <c r="A139" i="10"/>
  <c r="AG138" i="10"/>
  <c r="AH138" i="10" s="1"/>
  <c r="Y138" i="10"/>
  <c r="B138" i="10"/>
  <c r="A138" i="10"/>
  <c r="Y140" i="10"/>
  <c r="B140" i="10"/>
  <c r="A140" i="10"/>
  <c r="X180" i="10"/>
  <c r="X255" i="10"/>
  <c r="AH141" i="10"/>
  <c r="Y141" i="10"/>
  <c r="A141" i="10"/>
  <c r="B141" i="10"/>
  <c r="AH142" i="10"/>
  <c r="Y142" i="10"/>
  <c r="B142" i="10"/>
  <c r="A142" i="10"/>
  <c r="Y143" i="10"/>
  <c r="B143" i="10"/>
  <c r="A143" i="10"/>
  <c r="Y144" i="10"/>
  <c r="B144" i="10"/>
  <c r="A144" i="10"/>
  <c r="Y147" i="10"/>
  <c r="B147" i="10"/>
  <c r="A147" i="10"/>
  <c r="Y145" i="10"/>
  <c r="B145" i="10"/>
  <c r="A145" i="10"/>
  <c r="Y146" i="10"/>
  <c r="B146" i="10"/>
  <c r="A146" i="10"/>
  <c r="AH148" i="10"/>
  <c r="Y148" i="10"/>
  <c r="B148" i="10"/>
  <c r="A148" i="10"/>
  <c r="AH149" i="10"/>
  <c r="Y149" i="10"/>
  <c r="B149" i="10"/>
  <c r="A149" i="10"/>
  <c r="Y150" i="10"/>
  <c r="B150" i="10"/>
  <c r="A150" i="10"/>
  <c r="A151" i="10"/>
  <c r="B151" i="10"/>
  <c r="Y151" i="10"/>
  <c r="Y152" i="10"/>
  <c r="B152" i="10"/>
  <c r="A152" i="10"/>
  <c r="X293" i="10"/>
  <c r="Y154" i="10"/>
  <c r="B154" i="10"/>
  <c r="A154" i="10"/>
  <c r="Y153" i="10"/>
  <c r="B153" i="10"/>
  <c r="A153" i="10"/>
  <c r="X155" i="10"/>
  <c r="X156" i="10"/>
  <c r="Y155" i="10"/>
  <c r="B155" i="10"/>
  <c r="A155" i="10"/>
  <c r="Y157" i="10"/>
  <c r="B157" i="10"/>
  <c r="A157" i="10"/>
  <c r="AH158" i="10"/>
  <c r="Y158" i="10"/>
  <c r="B158" i="10"/>
  <c r="A158" i="10"/>
  <c r="AH156" i="10"/>
  <c r="Y156" i="10"/>
  <c r="B156" i="10"/>
  <c r="A156" i="10"/>
  <c r="Y159" i="10"/>
  <c r="B159" i="10"/>
  <c r="A159" i="10"/>
  <c r="Y160" i="10"/>
  <c r="B160" i="10"/>
  <c r="A160" i="10"/>
  <c r="Y161" i="10"/>
  <c r="B161" i="10"/>
  <c r="A161" i="10"/>
  <c r="Y162" i="10"/>
  <c r="B162" i="10"/>
  <c r="A162" i="10"/>
  <c r="Y163" i="10"/>
  <c r="B163" i="10"/>
  <c r="A163" i="10"/>
  <c r="AH164" i="10"/>
  <c r="Y164" i="10"/>
  <c r="B164" i="10"/>
  <c r="A164" i="10"/>
  <c r="AH165" i="10"/>
  <c r="Y165" i="10"/>
  <c r="B165" i="10"/>
  <c r="A165" i="10"/>
  <c r="AH166" i="10"/>
  <c r="Y166" i="10"/>
  <c r="B166" i="10"/>
  <c r="A166" i="10"/>
  <c r="AG167" i="10"/>
  <c r="Y167" i="10"/>
  <c r="B167" i="10"/>
  <c r="A167" i="10"/>
  <c r="Y168" i="10"/>
  <c r="B168" i="10"/>
  <c r="A168" i="10"/>
  <c r="Y170" i="10"/>
  <c r="B170" i="10"/>
  <c r="A170" i="10"/>
  <c r="Y171" i="10"/>
  <c r="B171" i="10"/>
  <c r="A171" i="10"/>
  <c r="Y169" i="10"/>
  <c r="B169" i="10"/>
  <c r="A169" i="10"/>
  <c r="AH174" i="10"/>
  <c r="Y174" i="10"/>
  <c r="B174" i="10"/>
  <c r="A174" i="10"/>
  <c r="AH172" i="10"/>
  <c r="Y172" i="10"/>
  <c r="B172" i="10"/>
  <c r="A172" i="10"/>
  <c r="AH173" i="10"/>
  <c r="Y173" i="10"/>
  <c r="B173" i="10"/>
  <c r="A173" i="10"/>
  <c r="Y175" i="10"/>
  <c r="B175" i="10"/>
  <c r="A175" i="10"/>
  <c r="Y176" i="10"/>
  <c r="A176" i="10"/>
  <c r="B176" i="10"/>
  <c r="Y177" i="10"/>
  <c r="B177" i="10"/>
  <c r="A177" i="10"/>
  <c r="Y178" i="10"/>
  <c r="A178" i="10"/>
  <c r="B178" i="10"/>
  <c r="Y179" i="10"/>
  <c r="A179" i="10"/>
  <c r="B179" i="10"/>
  <c r="Y180" i="10"/>
  <c r="A180" i="10"/>
  <c r="B180" i="10"/>
  <c r="AT181" i="10"/>
  <c r="Y181" i="10"/>
  <c r="A181" i="10"/>
  <c r="B181" i="10"/>
  <c r="AK182" i="10"/>
  <c r="Y182" i="10"/>
  <c r="A182" i="10"/>
  <c r="B182" i="10"/>
  <c r="Y183" i="10"/>
  <c r="A183" i="10"/>
  <c r="B183" i="10"/>
  <c r="Y184" i="10"/>
  <c r="B184" i="10"/>
  <c r="A184" i="10"/>
  <c r="Y185" i="10"/>
  <c r="B185" i="10"/>
  <c r="A185" i="10"/>
  <c r="Y186" i="10"/>
  <c r="B186" i="10"/>
  <c r="A186" i="10"/>
  <c r="Y187" i="10"/>
  <c r="B187" i="10"/>
  <c r="A187" i="10"/>
  <c r="AH188" i="10"/>
  <c r="Y188" i="10"/>
  <c r="B188" i="10"/>
  <c r="A188" i="10"/>
  <c r="AH190" i="10"/>
  <c r="Y190" i="10"/>
  <c r="B190" i="10"/>
  <c r="A190" i="10"/>
  <c r="AH189" i="10"/>
  <c r="Y189" i="10"/>
  <c r="B189" i="10"/>
  <c r="A189" i="10"/>
  <c r="X196" i="10"/>
  <c r="X211" i="10"/>
  <c r="Y191" i="10"/>
  <c r="B191" i="10"/>
  <c r="A191" i="10"/>
  <c r="Y192" i="10"/>
  <c r="B192" i="10"/>
  <c r="A192" i="10"/>
  <c r="Y193" i="10"/>
  <c r="B193" i="10"/>
  <c r="A193" i="10"/>
  <c r="Y194" i="10"/>
  <c r="B194" i="10"/>
  <c r="A194" i="10"/>
  <c r="Y195" i="10"/>
  <c r="B195" i="10"/>
  <c r="A195" i="10"/>
  <c r="AH196" i="10"/>
  <c r="Y196" i="10"/>
  <c r="B196" i="10"/>
  <c r="A196" i="10"/>
  <c r="Y197" i="10"/>
  <c r="B197" i="10"/>
  <c r="A197" i="10"/>
  <c r="AH198" i="10"/>
  <c r="Y198" i="10"/>
  <c r="B198" i="10"/>
  <c r="A198" i="10"/>
  <c r="Y199" i="10"/>
  <c r="B199" i="10"/>
  <c r="A199" i="10"/>
  <c r="Y200" i="10"/>
  <c r="B200" i="10"/>
  <c r="A200" i="10"/>
  <c r="Y201" i="10"/>
  <c r="B201" i="10"/>
  <c r="A201" i="10"/>
  <c r="Y202" i="10"/>
  <c r="A202" i="10"/>
  <c r="B202" i="10"/>
  <c r="Y203" i="10"/>
  <c r="A203" i="10"/>
  <c r="B203" i="10"/>
  <c r="AH204" i="10"/>
  <c r="Y204" i="10"/>
  <c r="B204" i="10"/>
  <c r="A204" i="10"/>
  <c r="AH205" i="10"/>
  <c r="Y205" i="10"/>
  <c r="B205" i="10"/>
  <c r="A205" i="10"/>
  <c r="AH206" i="10"/>
  <c r="Y206" i="10"/>
  <c r="B206" i="10"/>
  <c r="A206" i="10"/>
  <c r="Y207" i="10"/>
  <c r="B207" i="10"/>
  <c r="A207" i="10"/>
  <c r="X215" i="10"/>
  <c r="X253" i="10"/>
  <c r="Y208" i="10"/>
  <c r="B208" i="10"/>
  <c r="A208" i="10"/>
  <c r="Y211" i="10"/>
  <c r="B211" i="10"/>
  <c r="A211" i="10"/>
  <c r="Y209" i="10"/>
  <c r="B209" i="10"/>
  <c r="A209" i="10"/>
  <c r="Y210" i="10"/>
  <c r="B210" i="10"/>
  <c r="A210" i="10"/>
  <c r="AH212" i="10"/>
  <c r="Y212" i="10"/>
  <c r="B212" i="10"/>
  <c r="A212" i="10"/>
  <c r="Y213" i="10"/>
  <c r="B213" i="10"/>
  <c r="A213" i="10"/>
  <c r="AG214" i="10"/>
  <c r="AH214" i="10" s="1"/>
  <c r="Y214" i="10"/>
  <c r="B214" i="10"/>
  <c r="A214" i="10"/>
  <c r="AH215" i="10"/>
  <c r="Y215" i="10"/>
  <c r="B215" i="10"/>
  <c r="A215" i="10"/>
  <c r="Y216" i="10"/>
  <c r="B216" i="10"/>
  <c r="A216" i="10"/>
  <c r="Y217" i="10"/>
  <c r="B217" i="10"/>
  <c r="A217" i="10"/>
  <c r="Y218" i="10"/>
  <c r="A218" i="10"/>
  <c r="B218" i="10"/>
  <c r="X849" i="10"/>
  <c r="Y219" i="10"/>
  <c r="B219" i="10"/>
  <c r="A219" i="10"/>
  <c r="AH220" i="10"/>
  <c r="Y220" i="10"/>
  <c r="B220" i="10"/>
  <c r="A220" i="10"/>
  <c r="AH221" i="10"/>
  <c r="Y221" i="10"/>
  <c r="B221" i="10"/>
  <c r="A221" i="10"/>
  <c r="X264" i="10"/>
  <c r="Y222" i="10"/>
  <c r="A222" i="10"/>
  <c r="B222" i="10"/>
  <c r="Y223" i="10"/>
  <c r="A223" i="10"/>
  <c r="B223" i="10"/>
  <c r="Y224" i="10"/>
  <c r="A224" i="10"/>
  <c r="B224" i="10"/>
  <c r="Y225" i="10"/>
  <c r="B225" i="10"/>
  <c r="A225" i="10"/>
  <c r="Y226" i="10"/>
  <c r="B226" i="10"/>
  <c r="A226" i="10"/>
  <c r="Y227" i="10"/>
  <c r="B227" i="10"/>
  <c r="A227" i="10"/>
  <c r="AH228" i="10"/>
  <c r="Y228" i="10"/>
  <c r="B228" i="10"/>
  <c r="A228" i="10"/>
  <c r="Y229" i="10"/>
  <c r="A229" i="10"/>
  <c r="B229" i="10"/>
  <c r="Y230" i="10"/>
  <c r="A230" i="10"/>
  <c r="B230" i="10"/>
  <c r="Y232" i="10"/>
  <c r="A232" i="10"/>
  <c r="B232" i="10"/>
  <c r="Y231" i="10"/>
  <c r="B231" i="10"/>
  <c r="A231" i="10"/>
  <c r="Y233" i="10"/>
  <c r="B233" i="10"/>
  <c r="A233" i="10"/>
  <c r="Y234" i="10"/>
  <c r="B234" i="10"/>
  <c r="A234" i="10"/>
  <c r="Y235" i="10"/>
  <c r="B235" i="10"/>
  <c r="A235" i="10"/>
  <c r="AH236" i="10"/>
  <c r="Y236" i="10"/>
  <c r="B236" i="10"/>
  <c r="A236" i="10"/>
  <c r="AH237" i="10"/>
  <c r="Y237" i="10"/>
  <c r="B237" i="10"/>
  <c r="A237" i="10"/>
  <c r="AH238" i="10"/>
  <c r="Y238" i="10"/>
  <c r="B238" i="10"/>
  <c r="A238" i="10"/>
  <c r="X239" i="10"/>
  <c r="Y239" i="10"/>
  <c r="B239" i="10"/>
  <c r="A239" i="10"/>
  <c r="Y240" i="10"/>
  <c r="B240" i="10"/>
  <c r="A240" i="10"/>
  <c r="Y243" i="10"/>
  <c r="B243" i="10"/>
  <c r="A243" i="10"/>
  <c r="Y242" i="10"/>
  <c r="B242" i="10"/>
  <c r="A242" i="10"/>
  <c r="Y241" i="10"/>
  <c r="B241" i="10"/>
  <c r="A241" i="10"/>
  <c r="AH244" i="10"/>
  <c r="Y244" i="10"/>
  <c r="B244" i="10"/>
  <c r="A244" i="10"/>
  <c r="AH245" i="10"/>
  <c r="Y245" i="10"/>
  <c r="B245" i="10"/>
  <c r="A245" i="10"/>
  <c r="AH246" i="10"/>
  <c r="Y246" i="10"/>
  <c r="B246" i="10"/>
  <c r="A246" i="10"/>
  <c r="Y247" i="10"/>
  <c r="B247" i="10"/>
  <c r="A247" i="10"/>
  <c r="Y248" i="10"/>
  <c r="B248" i="10"/>
  <c r="A248" i="10"/>
  <c r="Y249" i="10"/>
  <c r="B249" i="10"/>
  <c r="A249" i="10"/>
  <c r="X331" i="10"/>
  <c r="Y250" i="10"/>
  <c r="B250" i="10"/>
  <c r="A250" i="10"/>
  <c r="X267" i="10"/>
  <c r="Y251" i="10"/>
  <c r="B251" i="10"/>
  <c r="A251" i="10"/>
  <c r="AH252" i="10"/>
  <c r="Y252" i="10"/>
  <c r="B252" i="10"/>
  <c r="A252" i="10"/>
  <c r="Y253" i="10"/>
  <c r="B253" i="10"/>
  <c r="A253" i="10"/>
  <c r="AH254" i="10"/>
  <c r="Y254" i="10"/>
  <c r="B254" i="10"/>
  <c r="A254" i="10"/>
  <c r="Y255" i="10"/>
  <c r="B255" i="10"/>
  <c r="A255" i="10"/>
  <c r="Y256" i="10"/>
  <c r="A256" i="10"/>
  <c r="B256" i="10"/>
  <c r="Y257" i="10"/>
  <c r="B257" i="10"/>
  <c r="A257" i="10"/>
  <c r="Y258" i="10"/>
  <c r="B258" i="10"/>
  <c r="A258" i="10"/>
  <c r="Y259" i="10"/>
  <c r="B259" i="10"/>
  <c r="A259" i="10"/>
  <c r="AH260" i="10"/>
  <c r="Y260" i="10"/>
  <c r="B260" i="10"/>
  <c r="A260" i="10"/>
  <c r="AH261" i="10"/>
  <c r="Y261" i="10"/>
  <c r="B261" i="10"/>
  <c r="A261" i="10"/>
  <c r="AH262" i="10"/>
  <c r="Y262" i="10"/>
  <c r="B262" i="10"/>
  <c r="A262" i="10"/>
  <c r="Y263" i="10"/>
  <c r="B263" i="10"/>
  <c r="A263" i="10"/>
  <c r="Y264" i="10"/>
  <c r="B264" i="10"/>
  <c r="A264" i="10"/>
  <c r="Y265" i="10"/>
  <c r="B265" i="10"/>
  <c r="A265" i="10"/>
  <c r="Y266" i="10"/>
  <c r="B266" i="10"/>
  <c r="A266" i="10"/>
  <c r="Y267" i="10"/>
  <c r="B267" i="10"/>
  <c r="A267" i="10"/>
  <c r="AH268" i="10"/>
  <c r="Y268" i="10"/>
  <c r="B268" i="10"/>
  <c r="A268" i="10"/>
  <c r="AH269" i="10"/>
  <c r="Y269" i="10"/>
  <c r="B269" i="10"/>
  <c r="A269" i="10"/>
  <c r="AH270" i="10"/>
  <c r="Y270" i="10"/>
  <c r="B270" i="10"/>
  <c r="A270" i="10"/>
  <c r="Y271" i="10"/>
  <c r="B271" i="10"/>
  <c r="A271" i="10"/>
  <c r="Y272" i="10"/>
  <c r="B272" i="10"/>
  <c r="A272" i="10"/>
  <c r="Y273" i="10"/>
  <c r="B273" i="10"/>
  <c r="A273" i="10"/>
  <c r="Y274" i="10"/>
  <c r="B274" i="10"/>
  <c r="A274" i="10"/>
  <c r="AH276" i="10"/>
  <c r="Y276" i="10"/>
  <c r="B276" i="10"/>
  <c r="A276" i="10"/>
  <c r="X279" i="10"/>
  <c r="X352" i="10"/>
  <c r="AH278" i="10"/>
  <c r="Y278" i="10"/>
  <c r="B278" i="10"/>
  <c r="A278" i="10"/>
  <c r="Y275" i="10"/>
  <c r="B275" i="10"/>
  <c r="A275" i="10"/>
  <c r="AH277" i="10"/>
  <c r="Y277" i="10"/>
  <c r="B277" i="10"/>
  <c r="A277" i="10"/>
  <c r="Y280" i="10"/>
  <c r="B280" i="10"/>
  <c r="A280" i="10"/>
  <c r="Y281" i="10"/>
  <c r="B281" i="10"/>
  <c r="A281" i="10"/>
  <c r="AH279" i="10"/>
  <c r="Y279" i="10"/>
  <c r="B279" i="10"/>
  <c r="A279" i="10"/>
  <c r="Y282" i="10"/>
  <c r="B282" i="10"/>
  <c r="A282" i="10"/>
  <c r="Y284" i="10"/>
  <c r="Y283" i="10"/>
  <c r="B283" i="10"/>
  <c r="A283" i="10"/>
  <c r="AH284" i="10"/>
  <c r="B284" i="10"/>
  <c r="A284" i="10"/>
  <c r="AH285" i="10"/>
  <c r="Y285" i="10"/>
  <c r="B285" i="10"/>
  <c r="A285" i="10"/>
  <c r="AH286" i="10"/>
  <c r="Y286" i="10"/>
  <c r="B286" i="10"/>
  <c r="A286" i="10"/>
  <c r="AH287" i="10"/>
  <c r="Y287" i="10"/>
  <c r="B287" i="10"/>
  <c r="A287" i="10"/>
  <c r="AG545" i="10"/>
  <c r="AI545" i="10" s="1"/>
  <c r="Y289" i="10"/>
  <c r="B289" i="10"/>
  <c r="A289" i="10"/>
  <c r="Y290" i="10"/>
  <c r="B290" i="10"/>
  <c r="A290" i="10"/>
  <c r="Y291" i="10"/>
  <c r="B291" i="10"/>
  <c r="A291" i="10"/>
  <c r="Y288" i="10"/>
  <c r="B288" i="10"/>
  <c r="A288" i="10"/>
  <c r="AH292" i="10"/>
  <c r="Y292" i="10"/>
  <c r="B292" i="10"/>
  <c r="A292" i="10"/>
  <c r="AH293" i="10"/>
  <c r="Y293" i="10"/>
  <c r="B293" i="10"/>
  <c r="A293" i="10"/>
  <c r="AH294" i="10"/>
  <c r="Y294" i="10"/>
  <c r="B294" i="10"/>
  <c r="A294" i="10"/>
  <c r="Y295" i="10"/>
  <c r="B295" i="10"/>
  <c r="A295" i="10"/>
  <c r="Y296" i="10"/>
  <c r="B296" i="10"/>
  <c r="A296" i="10"/>
  <c r="Y297" i="10"/>
  <c r="B297" i="10"/>
  <c r="A297" i="10"/>
  <c r="Y298" i="10"/>
  <c r="A298" i="10"/>
  <c r="B298" i="10"/>
  <c r="Y299" i="10"/>
  <c r="B299" i="10"/>
  <c r="A299" i="10"/>
  <c r="X330" i="10"/>
  <c r="AH300" i="10"/>
  <c r="Y300" i="10"/>
  <c r="B300" i="10"/>
  <c r="A300" i="10"/>
  <c r="AH303" i="10"/>
  <c r="Y303" i="10"/>
  <c r="B303" i="10"/>
  <c r="A303" i="10"/>
  <c r="AH301" i="10"/>
  <c r="Y301" i="10"/>
  <c r="B301" i="10"/>
  <c r="A301" i="10"/>
  <c r="AH302" i="10"/>
  <c r="Y302" i="10"/>
  <c r="B302" i="10"/>
  <c r="A302" i="10"/>
  <c r="Y304" i="10"/>
  <c r="B304" i="10"/>
  <c r="A304" i="10"/>
  <c r="Y305" i="10"/>
  <c r="B305" i="10"/>
  <c r="A305" i="10"/>
  <c r="Y306" i="10"/>
  <c r="B306" i="10"/>
  <c r="A306" i="10"/>
  <c r="AH308" i="10"/>
  <c r="Y308" i="10"/>
  <c r="B308" i="10"/>
  <c r="A308" i="10"/>
  <c r="X406" i="10"/>
  <c r="Y307" i="10"/>
  <c r="B307" i="10"/>
  <c r="A307" i="10"/>
  <c r="Y309" i="10"/>
  <c r="B309" i="10"/>
  <c r="A309" i="10"/>
  <c r="AH310" i="10"/>
  <c r="Y310" i="10"/>
  <c r="B310" i="10"/>
  <c r="A310" i="10"/>
  <c r="Y311" i="10"/>
  <c r="B311" i="10"/>
  <c r="A311" i="10"/>
  <c r="Y312" i="10"/>
  <c r="B312" i="10"/>
  <c r="A312" i="10"/>
  <c r="AH318" i="10"/>
  <c r="Y318" i="10"/>
  <c r="B318" i="10"/>
  <c r="A318" i="10"/>
  <c r="Y319" i="10"/>
  <c r="B319" i="10"/>
  <c r="A319" i="10"/>
  <c r="Y320" i="10"/>
  <c r="B320" i="10"/>
  <c r="A320" i="10"/>
  <c r="Y313" i="10"/>
  <c r="B313" i="10"/>
  <c r="A313" i="10"/>
  <c r="Y314" i="10"/>
  <c r="B314" i="10"/>
  <c r="A314" i="10"/>
  <c r="Y315" i="10"/>
  <c r="B315" i="10"/>
  <c r="A315" i="10"/>
  <c r="AH316" i="10"/>
  <c r="Y316" i="10"/>
  <c r="B316" i="10"/>
  <c r="A316" i="10"/>
  <c r="X317" i="10"/>
  <c r="Y317" i="10" s="1"/>
  <c r="AH317" i="10"/>
  <c r="B317" i="10"/>
  <c r="A317" i="10"/>
  <c r="X662" i="10"/>
  <c r="X410" i="10"/>
  <c r="X382" i="10"/>
  <c r="X379" i="10"/>
  <c r="Y379" i="10" s="1"/>
  <c r="X373" i="10"/>
  <c r="X362" i="10"/>
  <c r="X345" i="10"/>
  <c r="X378" i="10"/>
  <c r="X337" i="10"/>
  <c r="Y337" i="10" s="1"/>
  <c r="Y321" i="10"/>
  <c r="B321" i="10"/>
  <c r="A321" i="10"/>
  <c r="Y322" i="10"/>
  <c r="B322" i="10"/>
  <c r="A322" i="10"/>
  <c r="Y323" i="10"/>
  <c r="B323" i="10"/>
  <c r="A323" i="10"/>
  <c r="AH324" i="10"/>
  <c r="Y324" i="10"/>
  <c r="B324" i="10"/>
  <c r="A324" i="10"/>
  <c r="Y326" i="10"/>
  <c r="A326" i="10"/>
  <c r="B326" i="10"/>
  <c r="Y325" i="10"/>
  <c r="A325" i="10"/>
  <c r="B325" i="10"/>
  <c r="Y327" i="10"/>
  <c r="A327" i="10"/>
  <c r="B327" i="10"/>
  <c r="Y328" i="10"/>
  <c r="B328" i="10"/>
  <c r="A328" i="10"/>
  <c r="X353" i="10"/>
  <c r="X351" i="10"/>
  <c r="Y329" i="10"/>
  <c r="B329" i="10"/>
  <c r="A329" i="10"/>
  <c r="Y330" i="10"/>
  <c r="B330" i="10"/>
  <c r="A330" i="10"/>
  <c r="Y331" i="10"/>
  <c r="B331" i="10"/>
  <c r="A331" i="10"/>
  <c r="AH332" i="10"/>
  <c r="Y332" i="10"/>
  <c r="B332" i="10"/>
  <c r="A332" i="10"/>
  <c r="AH333" i="10"/>
  <c r="Y333" i="10"/>
  <c r="B333" i="10"/>
  <c r="A333" i="10"/>
  <c r="AH334" i="10"/>
  <c r="Y334" i="10"/>
  <c r="B334" i="10"/>
  <c r="A334" i="10"/>
  <c r="AG335" i="10"/>
  <c r="Y335" i="10"/>
  <c r="A335" i="10"/>
  <c r="B335" i="10"/>
  <c r="AG336" i="10"/>
  <c r="Y336" i="10"/>
  <c r="A336" i="10"/>
  <c r="B336" i="10"/>
  <c r="AG337" i="10"/>
  <c r="A337" i="10"/>
  <c r="B337" i="10"/>
  <c r="AG338" i="10"/>
  <c r="Y338" i="10"/>
  <c r="A338" i="10"/>
  <c r="B338" i="10"/>
  <c r="AG339" i="10"/>
  <c r="AH339" i="10" s="1"/>
  <c r="Y339" i="10"/>
  <c r="B339" i="10"/>
  <c r="A339" i="10"/>
  <c r="AG340" i="10"/>
  <c r="AH340" i="10" s="1"/>
  <c r="Y340" i="10"/>
  <c r="B340" i="10"/>
  <c r="A340" i="10"/>
  <c r="AG341" i="10"/>
  <c r="AH341" i="10" s="1"/>
  <c r="Y341" i="10"/>
  <c r="B341" i="10"/>
  <c r="A341" i="10"/>
  <c r="AG342" i="10"/>
  <c r="AH342" i="10" s="1"/>
  <c r="Y342" i="10"/>
  <c r="B342" i="10"/>
  <c r="A342" i="10"/>
  <c r="AG343" i="10"/>
  <c r="AH343" i="10" s="1"/>
  <c r="Y343" i="10"/>
  <c r="B343" i="10"/>
  <c r="A343" i="10"/>
  <c r="AG344" i="10"/>
  <c r="AH344" i="10" s="1"/>
  <c r="Y344" i="10"/>
  <c r="B344" i="10"/>
  <c r="A344" i="10"/>
  <c r="AG345" i="10"/>
  <c r="AH345" i="10" s="1"/>
  <c r="Y345" i="10"/>
  <c r="B345" i="10"/>
  <c r="A345" i="10"/>
  <c r="AG346" i="10"/>
  <c r="AH346" i="10" s="1"/>
  <c r="Y346" i="10"/>
  <c r="B346" i="10"/>
  <c r="A346" i="10"/>
  <c r="AG347" i="10"/>
  <c r="AH347" i="10" s="1"/>
  <c r="Y347" i="10"/>
  <c r="B347" i="10"/>
  <c r="A347" i="10"/>
  <c r="AG348" i="10"/>
  <c r="AH348" i="10" s="1"/>
  <c r="Y348" i="10"/>
  <c r="B348" i="10"/>
  <c r="A348" i="10"/>
  <c r="AG349" i="10"/>
  <c r="AH349" i="10" s="1"/>
  <c r="Y349" i="10"/>
  <c r="B349" i="10"/>
  <c r="A349" i="10"/>
  <c r="AG350" i="10"/>
  <c r="AH350" i="10" s="1"/>
  <c r="Y350" i="10"/>
  <c r="B350" i="10"/>
  <c r="A350" i="10"/>
  <c r="AG351" i="10"/>
  <c r="Y351" i="10"/>
  <c r="A351" i="10"/>
  <c r="B351" i="10"/>
  <c r="AG352" i="10"/>
  <c r="AH352" i="10" s="1"/>
  <c r="Y352" i="10"/>
  <c r="B352" i="10"/>
  <c r="A352" i="10"/>
  <c r="AG353" i="10"/>
  <c r="AH353" i="10" s="1"/>
  <c r="Y353" i="10"/>
  <c r="B353" i="10"/>
  <c r="A353" i="10"/>
  <c r="AG354" i="10"/>
  <c r="AH354" i="10" s="1"/>
  <c r="Y354" i="10"/>
  <c r="B354" i="10"/>
  <c r="A354" i="10"/>
  <c r="AG355" i="10"/>
  <c r="AH355" i="10" s="1"/>
  <c r="Y355" i="10"/>
  <c r="B355" i="10"/>
  <c r="A355" i="10"/>
  <c r="AG356" i="10"/>
  <c r="AH356" i="10" s="1"/>
  <c r="Y356" i="10"/>
  <c r="B356" i="10"/>
  <c r="A356" i="10"/>
  <c r="AG357" i="10"/>
  <c r="AH357" i="10" s="1"/>
  <c r="Y357" i="10"/>
  <c r="B357" i="10"/>
  <c r="A357" i="10"/>
  <c r="AG358" i="10"/>
  <c r="AH358" i="10" s="1"/>
  <c r="Y358" i="10"/>
  <c r="B358" i="10"/>
  <c r="A358" i="10"/>
  <c r="X445" i="10"/>
  <c r="Y445" i="10" s="1"/>
  <c r="AG359" i="10"/>
  <c r="AH359" i="10" s="1"/>
  <c r="Y359" i="10"/>
  <c r="B359" i="10"/>
  <c r="A359" i="10"/>
  <c r="AG360" i="10"/>
  <c r="AH360" i="10" s="1"/>
  <c r="Y360" i="10"/>
  <c r="B360" i="10"/>
  <c r="A360" i="10"/>
  <c r="AG361" i="10"/>
  <c r="AH361" i="10" s="1"/>
  <c r="Y361" i="10"/>
  <c r="B361" i="10"/>
  <c r="A361" i="10"/>
  <c r="AG362" i="10"/>
  <c r="AH362" i="10" s="1"/>
  <c r="Y362" i="10"/>
  <c r="B362" i="10"/>
  <c r="A362" i="10"/>
  <c r="AG363" i="10"/>
  <c r="AH363" i="10" s="1"/>
  <c r="Y363" i="10"/>
  <c r="B363" i="10"/>
  <c r="A363" i="10"/>
  <c r="AG364" i="10"/>
  <c r="AH364" i="10" s="1"/>
  <c r="Y364" i="10"/>
  <c r="B364" i="10"/>
  <c r="A364" i="10"/>
  <c r="AG365" i="10"/>
  <c r="AH365" i="10" s="1"/>
  <c r="Y365" i="10"/>
  <c r="B365" i="10"/>
  <c r="A365" i="10"/>
  <c r="AG366" i="10"/>
  <c r="AH366" i="10" s="1"/>
  <c r="Y366" i="10"/>
  <c r="A366" i="10"/>
  <c r="B366" i="10"/>
  <c r="AG367" i="10"/>
  <c r="Y367" i="10"/>
  <c r="A367" i="10"/>
  <c r="B367" i="10"/>
  <c r="AG368" i="10"/>
  <c r="Y368" i="10"/>
  <c r="A368" i="10"/>
  <c r="B368" i="10"/>
  <c r="AG369" i="10"/>
  <c r="Y369" i="10"/>
  <c r="A369" i="10"/>
  <c r="B369" i="10"/>
  <c r="AG370" i="10"/>
  <c r="AH370" i="10" s="1"/>
  <c r="Y370" i="10"/>
  <c r="B370" i="10"/>
  <c r="A370" i="10"/>
  <c r="AG371" i="10"/>
  <c r="AH371" i="10" s="1"/>
  <c r="Y371" i="10"/>
  <c r="B371" i="10"/>
  <c r="A371" i="10"/>
  <c r="AG372" i="10"/>
  <c r="AH372" i="10" s="1"/>
  <c r="Y372" i="10"/>
  <c r="B372" i="10"/>
  <c r="A372" i="10"/>
  <c r="AG373" i="10"/>
  <c r="AH373" i="10" s="1"/>
  <c r="Y373" i="10"/>
  <c r="B373" i="10"/>
  <c r="A373" i="10"/>
  <c r="AG374" i="10"/>
  <c r="AH374" i="10" s="1"/>
  <c r="Y374" i="10"/>
  <c r="B374" i="10"/>
  <c r="A374" i="10"/>
  <c r="AG544" i="10"/>
  <c r="AI544" i="10" s="1"/>
  <c r="AG375" i="10"/>
  <c r="AH375" i="10" s="1"/>
  <c r="Y375" i="10"/>
  <c r="B375" i="10"/>
  <c r="A375" i="10"/>
  <c r="X376" i="10"/>
  <c r="AG376" i="10"/>
  <c r="AH376" i="10" s="1"/>
  <c r="Y376" i="10"/>
  <c r="B376" i="10"/>
  <c r="A376" i="10"/>
  <c r="AG377" i="10"/>
  <c r="AH377" i="10" s="1"/>
  <c r="Y377" i="10"/>
  <c r="B377" i="10"/>
  <c r="A377" i="10"/>
  <c r="AG378" i="10"/>
  <c r="AH378" i="10" s="1"/>
  <c r="Y378" i="10"/>
  <c r="B378" i="10"/>
  <c r="A378" i="10"/>
  <c r="X529" i="10"/>
  <c r="X407" i="10"/>
  <c r="X408" i="10"/>
  <c r="Y408" i="10" s="1"/>
  <c r="X394" i="10"/>
  <c r="X385" i="10"/>
  <c r="AG379" i="10"/>
  <c r="AH379" i="10" s="1"/>
  <c r="B379" i="10"/>
  <c r="A379" i="10"/>
  <c r="AG381" i="10"/>
  <c r="AH381" i="10" s="1"/>
  <c r="Y381" i="10"/>
  <c r="B381" i="10"/>
  <c r="A381" i="10"/>
  <c r="AG382" i="10"/>
  <c r="AH382" i="10" s="1"/>
  <c r="Y382" i="10"/>
  <c r="B382" i="10"/>
  <c r="A382" i="10"/>
  <c r="AG380" i="10"/>
  <c r="AH380" i="10" s="1"/>
  <c r="Y380" i="10"/>
  <c r="B380" i="10"/>
  <c r="A380" i="10"/>
  <c r="AG383" i="10"/>
  <c r="AH383" i="10" s="1"/>
  <c r="Y383" i="10"/>
  <c r="B383" i="10"/>
  <c r="A383" i="10"/>
  <c r="AG384" i="10"/>
  <c r="AH384" i="10" s="1"/>
  <c r="Y384" i="10"/>
  <c r="B384" i="10"/>
  <c r="A384" i="10"/>
  <c r="AG385" i="10"/>
  <c r="AH385" i="10" s="1"/>
  <c r="Y385" i="10"/>
  <c r="B385" i="10"/>
  <c r="A385" i="10"/>
  <c r="AG386" i="10"/>
  <c r="AH386" i="10" s="1"/>
  <c r="Y386" i="10"/>
  <c r="B386" i="10"/>
  <c r="A386" i="10"/>
  <c r="AG387" i="10"/>
  <c r="AH387" i="10" s="1"/>
  <c r="Y387" i="10"/>
  <c r="B387" i="10"/>
  <c r="A387" i="10"/>
  <c r="X413" i="10"/>
  <c r="X415" i="10"/>
  <c r="Y415" i="10" s="1"/>
  <c r="AG388" i="10"/>
  <c r="Y388" i="10"/>
  <c r="B388" i="10"/>
  <c r="A388" i="10"/>
  <c r="AG389" i="10"/>
  <c r="AH389" i="10" s="1"/>
  <c r="Y389" i="10"/>
  <c r="B389" i="10"/>
  <c r="A389" i="10"/>
  <c r="AG390" i="10"/>
  <c r="AH390" i="10" s="1"/>
  <c r="Y390" i="10"/>
  <c r="B390" i="10"/>
  <c r="A390" i="10"/>
  <c r="X440" i="10"/>
  <c r="X397" i="10"/>
  <c r="X395" i="10"/>
  <c r="X481" i="10"/>
  <c r="AG393" i="10"/>
  <c r="AH393" i="10" s="1"/>
  <c r="Y393" i="10"/>
  <c r="B393" i="10"/>
  <c r="A393" i="10"/>
  <c r="AG391" i="10"/>
  <c r="AH391" i="10" s="1"/>
  <c r="Y391" i="10"/>
  <c r="B391" i="10"/>
  <c r="A391" i="10"/>
  <c r="AG392" i="10"/>
  <c r="AH392" i="10" s="1"/>
  <c r="Y392" i="10"/>
  <c r="B392" i="10"/>
  <c r="A392" i="10"/>
  <c r="AG396" i="10"/>
  <c r="AH396" i="10" s="1"/>
  <c r="Y396" i="10"/>
  <c r="B396" i="10"/>
  <c r="A396" i="10"/>
  <c r="AG398" i="10"/>
  <c r="AH398" i="10" s="1"/>
  <c r="Y398" i="10"/>
  <c r="B398" i="10"/>
  <c r="A398" i="10"/>
  <c r="AG394" i="10"/>
  <c r="AH394" i="10" s="1"/>
  <c r="Y394" i="10"/>
  <c r="B394" i="10"/>
  <c r="A394" i="10"/>
  <c r="AG395" i="10"/>
  <c r="AH395" i="10" s="1"/>
  <c r="Y395" i="10"/>
  <c r="B395" i="10"/>
  <c r="A395" i="10"/>
  <c r="X409" i="10"/>
  <c r="AG397" i="10"/>
  <c r="AH397" i="10" s="1"/>
  <c r="Y397" i="10"/>
  <c r="B397" i="10"/>
  <c r="A397" i="10"/>
  <c r="AG399" i="10"/>
  <c r="AH399" i="10" s="1"/>
  <c r="Y399" i="10"/>
  <c r="B399" i="10"/>
  <c r="A399" i="10"/>
  <c r="AG400" i="10"/>
  <c r="AH400" i="10" s="1"/>
  <c r="Y400" i="10"/>
  <c r="B400" i="10"/>
  <c r="A400" i="10"/>
  <c r="AG597" i="10"/>
  <c r="AI597" i="10" s="1"/>
  <c r="AG559" i="10"/>
  <c r="AI559" i="10" s="1"/>
  <c r="AG509" i="10"/>
  <c r="AI509" i="10" s="1"/>
  <c r="AG468" i="10"/>
  <c r="AH468" i="10" s="1"/>
  <c r="AG584" i="10"/>
  <c r="AI584" i="10" s="1"/>
  <c r="AG402" i="10"/>
  <c r="Y402" i="10"/>
  <c r="A402" i="10"/>
  <c r="B402" i="10"/>
  <c r="AG403" i="10"/>
  <c r="Y403" i="10"/>
  <c r="A403" i="10"/>
  <c r="B403" i="10"/>
  <c r="AG404" i="10"/>
  <c r="Y404" i="10"/>
  <c r="A404" i="10"/>
  <c r="B404" i="10"/>
  <c r="AG405" i="10"/>
  <c r="Y405" i="10"/>
  <c r="A405" i="10"/>
  <c r="B405" i="10"/>
  <c r="V19" i="10"/>
  <c r="AG406" i="10"/>
  <c r="Y406" i="10"/>
  <c r="A406" i="10"/>
  <c r="B406" i="10"/>
  <c r="AG401" i="10"/>
  <c r="AH401" i="10" s="1"/>
  <c r="Y401" i="10"/>
  <c r="B401" i="10"/>
  <c r="A401" i="10"/>
  <c r="AG407" i="10"/>
  <c r="AH407" i="10" s="1"/>
  <c r="Y407" i="10"/>
  <c r="B407" i="10"/>
  <c r="A407" i="10"/>
  <c r="AG408" i="10"/>
  <c r="AH408" i="10" s="1"/>
  <c r="B408" i="10"/>
  <c r="A408" i="10"/>
  <c r="AG409" i="10"/>
  <c r="AH409" i="10" s="1"/>
  <c r="Y409" i="10"/>
  <c r="B409" i="10"/>
  <c r="A409" i="10"/>
  <c r="AG410" i="10"/>
  <c r="AH410" i="10" s="1"/>
  <c r="Y410" i="10"/>
  <c r="B410" i="10"/>
  <c r="A410" i="10"/>
  <c r="AG411" i="10"/>
  <c r="AH411" i="10" s="1"/>
  <c r="Y411" i="10"/>
  <c r="B411" i="10"/>
  <c r="A411" i="10"/>
  <c r="AG412" i="10"/>
  <c r="AH412" i="10" s="1"/>
  <c r="Y412" i="10"/>
  <c r="B412" i="10"/>
  <c r="A412" i="10"/>
  <c r="AG413" i="10"/>
  <c r="AH413" i="10" s="1"/>
  <c r="Y413" i="10"/>
  <c r="B413" i="10"/>
  <c r="A413" i="10"/>
  <c r="AG414" i="10"/>
  <c r="AH414" i="10" s="1"/>
  <c r="Y414" i="10"/>
  <c r="B414" i="10"/>
  <c r="A414" i="10"/>
  <c r="AG415" i="10"/>
  <c r="AH415" i="10" s="1"/>
  <c r="B415" i="10"/>
  <c r="A415" i="10"/>
  <c r="AG416" i="10"/>
  <c r="AH416" i="10" s="1"/>
  <c r="Y416" i="10"/>
  <c r="B416" i="10"/>
  <c r="A416" i="10"/>
  <c r="AG417" i="10"/>
  <c r="Y417" i="10"/>
  <c r="A417" i="10"/>
  <c r="B417" i="10"/>
  <c r="AG418" i="10"/>
  <c r="AH418" i="10" s="1"/>
  <c r="Y418" i="10"/>
  <c r="B418" i="10"/>
  <c r="A418" i="10"/>
  <c r="X595" i="10"/>
  <c r="AG419" i="10"/>
  <c r="AH419" i="10" s="1"/>
  <c r="Y419" i="10"/>
  <c r="B419" i="10"/>
  <c r="A419" i="10"/>
  <c r="AG420" i="10"/>
  <c r="AH420" i="10" s="1"/>
  <c r="Y420" i="10"/>
  <c r="B420" i="10"/>
  <c r="A420" i="10"/>
  <c r="AG595" i="10"/>
  <c r="AL595" i="10" s="1"/>
  <c r="Y595" i="10"/>
  <c r="A595" i="10"/>
  <c r="AG421" i="10"/>
  <c r="Y421" i="10"/>
  <c r="A421" i="10"/>
  <c r="B421" i="10"/>
  <c r="AG431" i="10"/>
  <c r="AH431" i="10" s="1"/>
  <c r="AG432" i="10"/>
  <c r="AH432" i="10" s="1"/>
  <c r="AG608" i="10"/>
  <c r="AI608" i="10" s="1"/>
  <c r="AG609" i="10"/>
  <c r="AI609" i="10" s="1"/>
  <c r="AG610" i="10"/>
  <c r="AI610" i="10" s="1"/>
  <c r="AG611" i="10"/>
  <c r="AI611" i="10" s="1"/>
  <c r="AG612" i="10"/>
  <c r="AI612" i="10" s="1"/>
  <c r="AG613" i="10"/>
  <c r="AI613" i="10" s="1"/>
  <c r="AG614" i="10"/>
  <c r="AG615" i="10"/>
  <c r="AG616" i="10"/>
  <c r="AG617" i="10"/>
  <c r="AG618" i="10"/>
  <c r="AI618" i="10" s="1"/>
  <c r="AG619" i="10"/>
  <c r="AI619" i="10" s="1"/>
  <c r="AG620" i="10"/>
  <c r="AI620" i="10" s="1"/>
  <c r="AG621" i="10"/>
  <c r="AI621" i="10" s="1"/>
  <c r="AG622" i="10"/>
  <c r="AI622" i="10" s="1"/>
  <c r="AG623" i="10"/>
  <c r="AI623" i="10" s="1"/>
  <c r="AG624" i="10"/>
  <c r="AI624" i="10" s="1"/>
  <c r="AG625" i="10"/>
  <c r="AI625" i="10" s="1"/>
  <c r="AG626" i="10"/>
  <c r="AI626" i="10" s="1"/>
  <c r="AG627" i="10"/>
  <c r="AI627" i="10" s="1"/>
  <c r="AG628" i="10"/>
  <c r="AG629" i="10"/>
  <c r="AI629" i="10" s="1"/>
  <c r="AG630" i="10"/>
  <c r="AI630" i="10" s="1"/>
  <c r="AG631" i="10"/>
  <c r="AI631" i="10" s="1"/>
  <c r="AG632" i="10"/>
  <c r="AI632" i="10" s="1"/>
  <c r="AG633" i="10"/>
  <c r="AG634" i="10"/>
  <c r="AI634" i="10" s="1"/>
  <c r="AG635" i="10"/>
  <c r="AI635" i="10" s="1"/>
  <c r="AG636" i="10"/>
  <c r="AI636" i="10" s="1"/>
  <c r="AG637" i="10"/>
  <c r="AI637" i="10" s="1"/>
  <c r="AG638" i="10"/>
  <c r="AI638" i="10" s="1"/>
  <c r="AG639" i="10"/>
  <c r="AI639" i="10" s="1"/>
  <c r="AG640" i="10"/>
  <c r="AI640" i="10" s="1"/>
  <c r="AG641" i="10"/>
  <c r="AI641" i="10" s="1"/>
  <c r="AG642" i="10"/>
  <c r="AI642" i="10" s="1"/>
  <c r="AG643" i="10"/>
  <c r="AI643" i="10" s="1"/>
  <c r="AG644" i="10"/>
  <c r="AI644" i="10" s="1"/>
  <c r="AG645" i="10"/>
  <c r="AI645" i="10" s="1"/>
  <c r="AG646" i="10"/>
  <c r="AI646" i="10" s="1"/>
  <c r="AG647" i="10"/>
  <c r="AI647" i="10" s="1"/>
  <c r="AG648" i="10"/>
  <c r="AI648" i="10" s="1"/>
  <c r="AG649" i="10"/>
  <c r="AI649" i="10" s="1"/>
  <c r="AG650" i="10"/>
  <c r="AI650" i="10" s="1"/>
  <c r="AG651" i="10"/>
  <c r="AI651" i="10" s="1"/>
  <c r="AG652" i="10"/>
  <c r="AG653" i="10"/>
  <c r="AI653" i="10" s="1"/>
  <c r="AG654" i="10"/>
  <c r="AI654" i="10" s="1"/>
  <c r="AG655" i="10"/>
  <c r="AI655" i="10" s="1"/>
  <c r="AG656" i="10"/>
  <c r="AI656" i="10" s="1"/>
  <c r="AG657" i="10"/>
  <c r="AI657" i="10" s="1"/>
  <c r="AG658" i="10"/>
  <c r="AI658" i="10" s="1"/>
  <c r="AG659" i="10"/>
  <c r="AI659" i="10" s="1"/>
  <c r="AG660" i="10"/>
  <c r="AG661" i="10"/>
  <c r="AI661" i="10" s="1"/>
  <c r="AG662" i="10"/>
  <c r="AI662" i="10" s="1"/>
  <c r="AG663" i="10"/>
  <c r="AI663" i="10" s="1"/>
  <c r="AG664" i="10"/>
  <c r="AI664" i="10" s="1"/>
  <c r="AG665" i="10"/>
  <c r="AI665" i="10" s="1"/>
  <c r="AG666" i="10"/>
  <c r="AG667" i="10"/>
  <c r="AI667" i="10" s="1"/>
  <c r="AG668" i="10"/>
  <c r="AI668" i="10" s="1"/>
  <c r="AG669" i="10"/>
  <c r="AI669" i="10" s="1"/>
  <c r="AG670" i="10"/>
  <c r="AG671" i="10"/>
  <c r="AG672" i="10"/>
  <c r="AG673" i="10"/>
  <c r="AI673" i="10" s="1"/>
  <c r="AG674" i="10"/>
  <c r="AG675" i="10"/>
  <c r="AI675" i="10" s="1"/>
  <c r="AG676" i="10"/>
  <c r="AI676" i="10" s="1"/>
  <c r="AG677" i="10"/>
  <c r="AI677" i="10" s="1"/>
  <c r="AG678" i="10"/>
  <c r="AI678" i="10" s="1"/>
  <c r="AG679" i="10"/>
  <c r="AI679" i="10" s="1"/>
  <c r="AG680" i="10"/>
  <c r="AG681" i="10"/>
  <c r="AI681" i="10" s="1"/>
  <c r="AG682" i="10"/>
  <c r="AI682" i="10" s="1"/>
  <c r="AG683" i="10"/>
  <c r="AG684" i="10"/>
  <c r="AW684" i="10" s="1"/>
  <c r="AG685" i="10"/>
  <c r="AG686" i="10"/>
  <c r="AI686" i="10" s="1"/>
  <c r="AG687" i="10"/>
  <c r="AI687" i="10" s="1"/>
  <c r="AG688" i="10"/>
  <c r="AI688" i="10" s="1"/>
  <c r="AG689" i="10"/>
  <c r="AI689" i="10" s="1"/>
  <c r="AG690" i="10"/>
  <c r="AI690" i="10" s="1"/>
  <c r="AG691" i="10"/>
  <c r="AG692" i="10"/>
  <c r="AI692" i="10" s="1"/>
  <c r="AG693" i="10"/>
  <c r="AI693" i="10" s="1"/>
  <c r="AG694" i="10"/>
  <c r="AG695" i="10"/>
  <c r="AI695" i="10" s="1"/>
  <c r="AG696" i="10"/>
  <c r="AI696" i="10" s="1"/>
  <c r="AG697" i="10"/>
  <c r="AW697" i="10" s="1"/>
  <c r="AG698" i="10"/>
  <c r="AG699" i="10"/>
  <c r="AI699" i="10" s="1"/>
  <c r="AG700" i="10"/>
  <c r="AI700" i="10" s="1"/>
  <c r="AG701" i="10"/>
  <c r="AG702" i="10"/>
  <c r="AI702" i="10" s="1"/>
  <c r="AG703" i="10"/>
  <c r="AI703" i="10" s="1"/>
  <c r="AG704" i="10"/>
  <c r="AI704" i="10" s="1"/>
  <c r="AG705" i="10"/>
  <c r="AN705" i="10" s="1"/>
  <c r="AG706" i="10"/>
  <c r="AI706" i="10" s="1"/>
  <c r="AG707" i="10"/>
  <c r="AI707" i="10" s="1"/>
  <c r="AG708" i="10"/>
  <c r="AI708" i="10" s="1"/>
  <c r="AG709" i="10"/>
  <c r="AG710" i="10"/>
  <c r="AI710" i="10" s="1"/>
  <c r="AG711" i="10"/>
  <c r="AI711" i="10" s="1"/>
  <c r="AG712" i="10"/>
  <c r="AG713" i="10"/>
  <c r="AM713" i="10" s="1"/>
  <c r="AG714" i="10"/>
  <c r="AI714" i="10" s="1"/>
  <c r="AG715" i="10"/>
  <c r="AG716" i="10"/>
  <c r="AL716" i="10" s="1"/>
  <c r="AG717" i="10"/>
  <c r="AI717" i="10" s="1"/>
  <c r="AG718" i="10"/>
  <c r="AQ718" i="10" s="1"/>
  <c r="AG719" i="10"/>
  <c r="AG720" i="10"/>
  <c r="AI720" i="10" s="1"/>
  <c r="AG721" i="10"/>
  <c r="AI721" i="10" s="1"/>
  <c r="AG722" i="10"/>
  <c r="AG723" i="10"/>
  <c r="AG724" i="10"/>
  <c r="AK724" i="10" s="1"/>
  <c r="AG725" i="10"/>
  <c r="AI725" i="10" s="1"/>
  <c r="AG726" i="10"/>
  <c r="AG727" i="10"/>
  <c r="AG728" i="10"/>
  <c r="AI728" i="10" s="1"/>
  <c r="AG729" i="10"/>
  <c r="AG730" i="10"/>
  <c r="AI730" i="10" s="1"/>
  <c r="AG731" i="10"/>
  <c r="AG732" i="10"/>
  <c r="AG733" i="10"/>
  <c r="AI733" i="10" s="1"/>
  <c r="AG734" i="10"/>
  <c r="AG735" i="10"/>
  <c r="AG736" i="10"/>
  <c r="AI736" i="10" s="1"/>
  <c r="AG738" i="10"/>
  <c r="AI738" i="10" s="1"/>
  <c r="AG739" i="10"/>
  <c r="AI739" i="10" s="1"/>
  <c r="AG740" i="10"/>
  <c r="AI740" i="10" s="1"/>
  <c r="AG741" i="10"/>
  <c r="AG742" i="10"/>
  <c r="AI742" i="10" s="1"/>
  <c r="AG743" i="10"/>
  <c r="AI743" i="10" s="1"/>
  <c r="AG744" i="10"/>
  <c r="AI744" i="10" s="1"/>
  <c r="AG745" i="10"/>
  <c r="AK745" i="10" s="1"/>
  <c r="AG746" i="10"/>
  <c r="AL746" i="10" s="1"/>
  <c r="AG747" i="10"/>
  <c r="AG748" i="10"/>
  <c r="AG749" i="10"/>
  <c r="AI749" i="10" s="1"/>
  <c r="AG750" i="10"/>
  <c r="AI750" i="10" s="1"/>
  <c r="AG751" i="10"/>
  <c r="AG752" i="10"/>
  <c r="AK752" i="10" s="1"/>
  <c r="AG753" i="10"/>
  <c r="AI753" i="10" s="1"/>
  <c r="AG754" i="10"/>
  <c r="AI754" i="10" s="1"/>
  <c r="AG755" i="10"/>
  <c r="AI755" i="10" s="1"/>
  <c r="AG756" i="10"/>
  <c r="AI756" i="10" s="1"/>
  <c r="AG757" i="10"/>
  <c r="AU757" i="10" s="1"/>
  <c r="AG758" i="10"/>
  <c r="AG759" i="10"/>
  <c r="AG760" i="10"/>
  <c r="AI760" i="10" s="1"/>
  <c r="AG761" i="10"/>
  <c r="AG762" i="10"/>
  <c r="AI762" i="10" s="1"/>
  <c r="AG763" i="10"/>
  <c r="AG764" i="10"/>
  <c r="AI764" i="10" s="1"/>
  <c r="AG765" i="10"/>
  <c r="AI765" i="10" s="1"/>
  <c r="AG766" i="10"/>
  <c r="AI766" i="10" s="1"/>
  <c r="AG767" i="10"/>
  <c r="AI767" i="10" s="1"/>
  <c r="AG768" i="10"/>
  <c r="AG769" i="10"/>
  <c r="AG770" i="10"/>
  <c r="AI770" i="10" s="1"/>
  <c r="AG771" i="10"/>
  <c r="AI771" i="10" s="1"/>
  <c r="AG772" i="10"/>
  <c r="AI772" i="10" s="1"/>
  <c r="AG773" i="10"/>
  <c r="AI773" i="10" s="1"/>
  <c r="AG774" i="10"/>
  <c r="AI774" i="10" s="1"/>
  <c r="AG775" i="10"/>
  <c r="AK775" i="10" s="1"/>
  <c r="AG776" i="10"/>
  <c r="AI776" i="10" s="1"/>
  <c r="AG777" i="10"/>
  <c r="AG778" i="10"/>
  <c r="AI778" i="10" s="1"/>
  <c r="AG779" i="10"/>
  <c r="AI779" i="10" s="1"/>
  <c r="AG780" i="10"/>
  <c r="AI780" i="10" s="1"/>
  <c r="AG781" i="10"/>
  <c r="AG782" i="10"/>
  <c r="AI782" i="10" s="1"/>
  <c r="AG783" i="10"/>
  <c r="AG784" i="10"/>
  <c r="AG785" i="10"/>
  <c r="AI785" i="10" s="1"/>
  <c r="AG786" i="10"/>
  <c r="AG787" i="10"/>
  <c r="AI787" i="10" s="1"/>
  <c r="AG788" i="10"/>
  <c r="AK788" i="10" s="1"/>
  <c r="AG789" i="10"/>
  <c r="AR789" i="10" s="1"/>
  <c r="AG790" i="10"/>
  <c r="AG791" i="10"/>
  <c r="AI791" i="10" s="1"/>
  <c r="AG792" i="10"/>
  <c r="AG793" i="10"/>
  <c r="AI793" i="10" s="1"/>
  <c r="AG794" i="10"/>
  <c r="AI794" i="10" s="1"/>
  <c r="AG795" i="10"/>
  <c r="AG796" i="10"/>
  <c r="AG797" i="10"/>
  <c r="AI797" i="10" s="1"/>
  <c r="AG798" i="10"/>
  <c r="AI798" i="10" s="1"/>
  <c r="AG799" i="10"/>
  <c r="AG800" i="10"/>
  <c r="AG801" i="10"/>
  <c r="AI801" i="10" s="1"/>
  <c r="AG802" i="10"/>
  <c r="AM802" i="10" s="1"/>
  <c r="AG803" i="10"/>
  <c r="AG804" i="10"/>
  <c r="AG805" i="10"/>
  <c r="AG806" i="10"/>
  <c r="AI806" i="10" s="1"/>
  <c r="AG807" i="10"/>
  <c r="AI807" i="10" s="1"/>
  <c r="AG808" i="10"/>
  <c r="AI808" i="10" s="1"/>
  <c r="AG809" i="10"/>
  <c r="AG810" i="10"/>
  <c r="AG811" i="10"/>
  <c r="AI811" i="10" s="1"/>
  <c r="AG812" i="10"/>
  <c r="AG813" i="10"/>
  <c r="AG814" i="10"/>
  <c r="AG815" i="10"/>
  <c r="AG816" i="10"/>
  <c r="AG817" i="10"/>
  <c r="AG818" i="10"/>
  <c r="AG819" i="10"/>
  <c r="AI819" i="10" s="1"/>
  <c r="AG820" i="10"/>
  <c r="AG821" i="10"/>
  <c r="AI821" i="10" s="1"/>
  <c r="AG822" i="10"/>
  <c r="AI822" i="10" s="1"/>
  <c r="AG823" i="10"/>
  <c r="AI823" i="10" s="1"/>
  <c r="AG824" i="10"/>
  <c r="AG825" i="10"/>
  <c r="AK825" i="10" s="1"/>
  <c r="AG826" i="10"/>
  <c r="AL826" i="10" s="1"/>
  <c r="AG827" i="10"/>
  <c r="AG828" i="10"/>
  <c r="AI828" i="10" s="1"/>
  <c r="AG829" i="10"/>
  <c r="AI829" i="10" s="1"/>
  <c r="AG830" i="10"/>
  <c r="AG831" i="10"/>
  <c r="AI831" i="10" s="1"/>
  <c r="AG832" i="10"/>
  <c r="AG833" i="10"/>
  <c r="AG834" i="10"/>
  <c r="AI834" i="10" s="1"/>
  <c r="AG835" i="10"/>
  <c r="AI835" i="10" s="1"/>
  <c r="AG836" i="10"/>
  <c r="AI836" i="10" s="1"/>
  <c r="AG837" i="10"/>
  <c r="AG838" i="10"/>
  <c r="AX838" i="10" s="1"/>
  <c r="AG839" i="10"/>
  <c r="AG840" i="10"/>
  <c r="AG841" i="10"/>
  <c r="AG842" i="10"/>
  <c r="AG843" i="10"/>
  <c r="AI843" i="10" s="1"/>
  <c r="AG844" i="10"/>
  <c r="AG845" i="10"/>
  <c r="AI845" i="10" s="1"/>
  <c r="AG846" i="10"/>
  <c r="AG847" i="10"/>
  <c r="AI847" i="10" s="1"/>
  <c r="AG848" i="10"/>
  <c r="AG849" i="10"/>
  <c r="AG850" i="10"/>
  <c r="AG851" i="10"/>
  <c r="AI851" i="10" s="1"/>
  <c r="AG852" i="10"/>
  <c r="AG853" i="10"/>
  <c r="AG854" i="10"/>
  <c r="AJ854" i="10" s="1"/>
  <c r="AG855" i="10"/>
  <c r="AG856" i="10"/>
  <c r="AG857" i="10"/>
  <c r="AL857" i="10" s="1"/>
  <c r="AG858" i="10"/>
  <c r="AI858" i="10" s="1"/>
  <c r="AG859" i="10"/>
  <c r="AG860" i="10"/>
  <c r="AG861" i="10"/>
  <c r="AG862" i="10"/>
  <c r="AG863" i="10"/>
  <c r="AG864" i="10"/>
  <c r="AG865" i="10"/>
  <c r="AG866" i="10"/>
  <c r="AG867" i="10"/>
  <c r="AG868" i="10"/>
  <c r="AG869" i="10"/>
  <c r="AG870" i="10"/>
  <c r="AG871" i="10"/>
  <c r="AG872" i="10"/>
  <c r="AX872" i="10" s="1"/>
  <c r="AG873" i="10"/>
  <c r="AG874" i="10"/>
  <c r="AG875" i="10"/>
  <c r="AG876" i="10"/>
  <c r="AI876" i="10" s="1"/>
  <c r="AG877" i="10"/>
  <c r="AG878" i="10"/>
  <c r="AI878" i="10" s="1"/>
  <c r="AG879" i="10"/>
  <c r="AK879" i="10" s="1"/>
  <c r="AG880" i="10"/>
  <c r="AG881" i="10"/>
  <c r="AG882" i="10"/>
  <c r="AG883" i="10"/>
  <c r="AG884" i="10"/>
  <c r="AG885" i="10"/>
  <c r="AG886" i="10"/>
  <c r="AI886" i="10" s="1"/>
  <c r="AG887" i="10"/>
  <c r="AG888" i="10"/>
  <c r="AG889" i="10"/>
  <c r="AG890" i="10"/>
  <c r="AI890" i="10" s="1"/>
  <c r="AG891" i="10"/>
  <c r="AI891" i="10" s="1"/>
  <c r="AG892" i="10"/>
  <c r="AG893" i="10"/>
  <c r="AG894" i="10"/>
  <c r="AG895" i="10"/>
  <c r="AG896" i="10"/>
  <c r="AI896" i="10" s="1"/>
  <c r="AG897" i="10"/>
  <c r="AI897" i="10" s="1"/>
  <c r="AG898" i="10"/>
  <c r="AI898" i="10" s="1"/>
  <c r="AG899" i="10"/>
  <c r="AR899" i="10" s="1"/>
  <c r="AG900" i="10"/>
  <c r="AG901" i="10"/>
  <c r="AI901" i="10" s="1"/>
  <c r="AG902" i="10"/>
  <c r="AI902" i="10" s="1"/>
  <c r="AG903" i="10"/>
  <c r="AI903" i="10" s="1"/>
  <c r="AG904" i="10"/>
  <c r="AG905" i="10"/>
  <c r="AG906" i="10"/>
  <c r="AI906" i="10" s="1"/>
  <c r="AG907" i="10"/>
  <c r="AG908" i="10"/>
  <c r="AG909" i="10"/>
  <c r="AG910" i="10"/>
  <c r="AG911" i="10"/>
  <c r="AN911" i="10" s="1"/>
  <c r="AG912" i="10"/>
  <c r="AJ912" i="10" s="1"/>
  <c r="AG913" i="10"/>
  <c r="AI913" i="10" s="1"/>
  <c r="AG914" i="10"/>
  <c r="AI914" i="10" s="1"/>
  <c r="AG915" i="10"/>
  <c r="AI915" i="10" s="1"/>
  <c r="AG916" i="10"/>
  <c r="AG917" i="10"/>
  <c r="AI917" i="10" s="1"/>
  <c r="AG918" i="10"/>
  <c r="AG919" i="10"/>
  <c r="AG920" i="10"/>
  <c r="AG921" i="10"/>
  <c r="AG922" i="10"/>
  <c r="AG923" i="10"/>
  <c r="AG924" i="10"/>
  <c r="AG925" i="10"/>
  <c r="AI925" i="10" s="1"/>
  <c r="AG926" i="10"/>
  <c r="AG927" i="10"/>
  <c r="AI927" i="10" s="1"/>
  <c r="AG928" i="10"/>
  <c r="AI928" i="10" s="1"/>
  <c r="AG929" i="10"/>
  <c r="AK929" i="10" s="1"/>
  <c r="AG930" i="10"/>
  <c r="AI930" i="10" s="1"/>
  <c r="AG931" i="10"/>
  <c r="AI931" i="10" s="1"/>
  <c r="AG932" i="10"/>
  <c r="AI932" i="10" s="1"/>
  <c r="AG933" i="10"/>
  <c r="AI933" i="10" s="1"/>
  <c r="AG934" i="10"/>
  <c r="AI934" i="10" s="1"/>
  <c r="AG935" i="10"/>
  <c r="AI935" i="10" s="1"/>
  <c r="AG936" i="10"/>
  <c r="AW936" i="10" s="1"/>
  <c r="AG937" i="10"/>
  <c r="AG938" i="10"/>
  <c r="AI938" i="10" s="1"/>
  <c r="AG939" i="10"/>
  <c r="AI939" i="10" s="1"/>
  <c r="AG940" i="10"/>
  <c r="AI940" i="10" s="1"/>
  <c r="AG941" i="10"/>
  <c r="AI941" i="10" s="1"/>
  <c r="AG942" i="10"/>
  <c r="AG943" i="10"/>
  <c r="AI943" i="10" s="1"/>
  <c r="AG944" i="10"/>
  <c r="AI944" i="10" s="1"/>
  <c r="AG945" i="10"/>
  <c r="AI945" i="10" s="1"/>
  <c r="AG946" i="10"/>
  <c r="AI946" i="10" s="1"/>
  <c r="AG947" i="10"/>
  <c r="AG948" i="10"/>
  <c r="AI948" i="10" s="1"/>
  <c r="AG949" i="10"/>
  <c r="AI949" i="10" s="1"/>
  <c r="AG950" i="10"/>
  <c r="AI950" i="10" s="1"/>
  <c r="AG951" i="10"/>
  <c r="AI951" i="10" s="1"/>
  <c r="AG952" i="10"/>
  <c r="AG953" i="10"/>
  <c r="AI953" i="10" s="1"/>
  <c r="AG954" i="10"/>
  <c r="AI954" i="10" s="1"/>
  <c r="AG955" i="10"/>
  <c r="AI955" i="10" s="1"/>
  <c r="AG956" i="10"/>
  <c r="AI956" i="10" s="1"/>
  <c r="AG957" i="10"/>
  <c r="AI957" i="10" s="1"/>
  <c r="AG958" i="10"/>
  <c r="AG959" i="10"/>
  <c r="AJ959" i="10" s="1"/>
  <c r="AG960" i="10"/>
  <c r="AI960" i="10" s="1"/>
  <c r="AG961" i="10"/>
  <c r="AI961" i="10" s="1"/>
  <c r="AG962" i="10"/>
  <c r="AI962" i="10" s="1"/>
  <c r="AG963" i="10"/>
  <c r="AI963" i="10" s="1"/>
  <c r="AG964" i="10"/>
  <c r="AG965" i="10"/>
  <c r="AG966" i="10"/>
  <c r="AI966" i="10" s="1"/>
  <c r="AG967" i="10"/>
  <c r="AI967" i="10" s="1"/>
  <c r="AG968" i="10"/>
  <c r="AI968" i="10" s="1"/>
  <c r="AG969" i="10"/>
  <c r="AG970" i="10"/>
  <c r="AK970" i="10" s="1"/>
  <c r="AG971" i="10"/>
  <c r="AI971" i="10" s="1"/>
  <c r="AG972" i="10"/>
  <c r="AI972" i="10" s="1"/>
  <c r="AG973" i="10"/>
  <c r="AI973" i="10" s="1"/>
  <c r="AG974" i="10"/>
  <c r="AI974" i="10" s="1"/>
  <c r="AG975" i="10"/>
  <c r="AI975" i="10" s="1"/>
  <c r="AG976" i="10"/>
  <c r="AX976" i="10" s="1"/>
  <c r="AG977" i="10"/>
  <c r="AI977" i="10" s="1"/>
  <c r="AG978" i="10"/>
  <c r="AG979" i="10"/>
  <c r="AI979" i="10" s="1"/>
  <c r="AG980" i="10"/>
  <c r="AG981" i="10"/>
  <c r="AG982" i="10"/>
  <c r="AT982" i="10" s="1"/>
  <c r="AG983" i="10"/>
  <c r="AG984" i="10"/>
  <c r="AG985" i="10"/>
  <c r="AI985" i="10" s="1"/>
  <c r="AG986" i="10"/>
  <c r="AI986" i="10" s="1"/>
  <c r="AG987" i="10"/>
  <c r="AI987" i="10" s="1"/>
  <c r="AG988" i="10"/>
  <c r="AG989" i="10"/>
  <c r="AG990" i="10"/>
  <c r="AG991" i="10"/>
  <c r="AI991" i="10" s="1"/>
  <c r="AG992" i="10"/>
  <c r="AG993" i="10"/>
  <c r="AI993" i="10" s="1"/>
  <c r="AG994" i="10"/>
  <c r="AI994" i="10" s="1"/>
  <c r="AG995" i="10"/>
  <c r="AG996" i="10"/>
  <c r="AG997" i="10"/>
  <c r="AI997" i="10" s="1"/>
  <c r="AG998" i="10"/>
  <c r="AG999" i="10"/>
  <c r="AG1000" i="10"/>
  <c r="AG1001" i="10"/>
  <c r="AG1002" i="10"/>
  <c r="AI1002" i="10" s="1"/>
  <c r="AG1003" i="10"/>
  <c r="AI1003" i="10" s="1"/>
  <c r="AG1004" i="10"/>
  <c r="AI1004" i="10" s="1"/>
  <c r="AG1005" i="10"/>
  <c r="AI1005" i="10" s="1"/>
  <c r="AG1006" i="10"/>
  <c r="AG1007" i="10"/>
  <c r="AG1008" i="10"/>
  <c r="AI1008" i="10" s="1"/>
  <c r="AG1009" i="10"/>
  <c r="AI1009" i="10" s="1"/>
  <c r="AG1010" i="10"/>
  <c r="AW1010" i="10" s="1"/>
  <c r="AG1011" i="10"/>
  <c r="AK1011" i="10" s="1"/>
  <c r="AG1012" i="10"/>
  <c r="AI1012" i="10" s="1"/>
  <c r="AG1013" i="10"/>
  <c r="AI1013" i="10" s="1"/>
  <c r="AG1014" i="10"/>
  <c r="AI1014" i="10" s="1"/>
  <c r="AG1015" i="10"/>
  <c r="AI1015" i="10" s="1"/>
  <c r="AG1016" i="10"/>
  <c r="AI1016" i="10" s="1"/>
  <c r="AG1017" i="10"/>
  <c r="AP1017" i="10" s="1"/>
  <c r="AG1018" i="10"/>
  <c r="AG1019" i="10"/>
  <c r="AI1019" i="10" s="1"/>
  <c r="AG1020" i="10"/>
  <c r="AG1021" i="10"/>
  <c r="AI1021" i="10" s="1"/>
  <c r="AG1022" i="10"/>
  <c r="AI1022" i="10" s="1"/>
  <c r="AG1023" i="10"/>
  <c r="AI1023" i="10" s="1"/>
  <c r="AG1024" i="10"/>
  <c r="AG1025" i="10"/>
  <c r="AI1025" i="10" s="1"/>
  <c r="AG1026" i="10"/>
  <c r="AI1026" i="10" s="1"/>
  <c r="AG1027" i="10"/>
  <c r="AG1028" i="10"/>
  <c r="AG1029" i="10"/>
  <c r="AG1030" i="10"/>
  <c r="AI1030" i="10" s="1"/>
  <c r="AG1031" i="10"/>
  <c r="AI1031" i="10" s="1"/>
  <c r="AG1032" i="10"/>
  <c r="AI1032" i="10" s="1"/>
  <c r="AG1033" i="10"/>
  <c r="AG1034" i="10"/>
  <c r="AI1034" i="10" s="1"/>
  <c r="AG1035" i="10"/>
  <c r="AI1035" i="10" s="1"/>
  <c r="AG1036" i="10"/>
  <c r="AI1036" i="10" s="1"/>
  <c r="AG1037" i="10"/>
  <c r="AI1037" i="10" s="1"/>
  <c r="AG1038" i="10"/>
  <c r="AG422" i="10"/>
  <c r="AH422" i="10" s="1"/>
  <c r="Y422" i="10"/>
  <c r="B422" i="10"/>
  <c r="A422" i="10"/>
  <c r="AG423" i="10"/>
  <c r="AH423" i="10" s="1"/>
  <c r="Y423" i="10"/>
  <c r="B423" i="10"/>
  <c r="A423" i="10"/>
  <c r="AG424" i="10"/>
  <c r="AH424" i="10" s="1"/>
  <c r="Y424" i="10"/>
  <c r="B424" i="10"/>
  <c r="A424" i="10"/>
  <c r="AG425" i="10"/>
  <c r="AH425" i="10" s="1"/>
  <c r="Y425" i="10"/>
  <c r="B425" i="10"/>
  <c r="A425" i="10"/>
  <c r="AG426" i="10"/>
  <c r="AH426" i="10" s="1"/>
  <c r="Y426" i="10"/>
  <c r="B426" i="10"/>
  <c r="A426" i="10"/>
  <c r="AG427" i="10"/>
  <c r="Y427" i="10"/>
  <c r="B427" i="10"/>
  <c r="A427" i="10"/>
  <c r="AG428" i="10"/>
  <c r="AH428" i="10" s="1"/>
  <c r="Y428" i="10"/>
  <c r="B428" i="10"/>
  <c r="A428" i="10"/>
  <c r="AG429" i="10"/>
  <c r="AH429" i="10" s="1"/>
  <c r="Y429" i="10"/>
  <c r="B429" i="10"/>
  <c r="A429" i="10"/>
  <c r="AG430" i="10"/>
  <c r="AH430" i="10" s="1"/>
  <c r="Y430" i="10"/>
  <c r="B430" i="10"/>
  <c r="A430" i="10"/>
  <c r="Y633" i="10"/>
  <c r="A633" i="10"/>
  <c r="Y431" i="10"/>
  <c r="B431" i="10"/>
  <c r="A431" i="10"/>
  <c r="Y432" i="10"/>
  <c r="B432" i="10"/>
  <c r="A432" i="10"/>
  <c r="AG433" i="10"/>
  <c r="AH433" i="10" s="1"/>
  <c r="Y433" i="10"/>
  <c r="B433" i="10"/>
  <c r="A433" i="10"/>
  <c r="AG434" i="10"/>
  <c r="AH434" i="10" s="1"/>
  <c r="Y434" i="10"/>
  <c r="B434" i="10"/>
  <c r="A434" i="10"/>
  <c r="AG435" i="10"/>
  <c r="AH435" i="10" s="1"/>
  <c r="Y435" i="10"/>
  <c r="B435" i="10"/>
  <c r="A435" i="10"/>
  <c r="AG436" i="10"/>
  <c r="AH436" i="10" s="1"/>
  <c r="Y436" i="10"/>
  <c r="B436" i="10"/>
  <c r="A436" i="10"/>
  <c r="AG437" i="10"/>
  <c r="AH437" i="10" s="1"/>
  <c r="Y437" i="10"/>
  <c r="B437" i="10"/>
  <c r="A437" i="10"/>
  <c r="X566" i="10"/>
  <c r="AG438" i="10"/>
  <c r="AH438" i="10" s="1"/>
  <c r="Y438" i="10"/>
  <c r="B438" i="10"/>
  <c r="A438" i="10"/>
  <c r="AG439" i="10"/>
  <c r="AH439" i="10" s="1"/>
  <c r="Y439" i="10"/>
  <c r="B439" i="10"/>
  <c r="A439" i="10"/>
  <c r="AG441" i="10"/>
  <c r="AH441" i="10" s="1"/>
  <c r="Y441" i="10"/>
  <c r="B441" i="10"/>
  <c r="A441" i="10"/>
  <c r="AG440" i="10"/>
  <c r="AH440" i="10" s="1"/>
  <c r="Y440" i="10"/>
  <c r="B440" i="10"/>
  <c r="A440" i="10"/>
  <c r="AG442" i="10"/>
  <c r="AH442" i="10" s="1"/>
  <c r="Y442" i="10"/>
  <c r="B442" i="10"/>
  <c r="A442" i="10"/>
  <c r="AG443" i="10"/>
  <c r="AH443" i="10" s="1"/>
  <c r="Y443" i="10"/>
  <c r="B443" i="10"/>
  <c r="A443" i="10"/>
  <c r="AG444" i="10"/>
  <c r="AH444" i="10" s="1"/>
  <c r="Y444" i="10"/>
  <c r="B444" i="10"/>
  <c r="A444" i="10"/>
  <c r="AG462" i="10"/>
  <c r="AG445" i="10"/>
  <c r="AH445" i="10" s="1"/>
  <c r="B445" i="10"/>
  <c r="A445" i="10"/>
  <c r="AG446" i="10"/>
  <c r="AH446" i="10" s="1"/>
  <c r="Y446" i="10"/>
  <c r="B446" i="10"/>
  <c r="A446" i="10"/>
  <c r="AG447" i="10"/>
  <c r="AH447" i="10" s="1"/>
  <c r="Y447" i="10"/>
  <c r="B447" i="10"/>
  <c r="A447" i="10"/>
  <c r="AG448" i="10"/>
  <c r="AH448" i="10" s="1"/>
  <c r="Y448" i="10"/>
  <c r="B448" i="10"/>
  <c r="A448" i="10"/>
  <c r="AG449" i="10"/>
  <c r="AH449" i="10" s="1"/>
  <c r="Y449" i="10"/>
  <c r="B449" i="10"/>
  <c r="A449" i="10"/>
  <c r="AG450" i="10"/>
  <c r="AH450" i="10" s="1"/>
  <c r="Y450" i="10"/>
  <c r="B450" i="10"/>
  <c r="A450" i="10"/>
  <c r="AG451" i="10"/>
  <c r="AH451" i="10" s="1"/>
  <c r="Y451" i="10"/>
  <c r="B451" i="10"/>
  <c r="A451" i="10"/>
  <c r="AG452" i="10"/>
  <c r="AH452" i="10" s="1"/>
  <c r="Y452" i="10"/>
  <c r="B452" i="10"/>
  <c r="A452" i="10"/>
  <c r="X468" i="10"/>
  <c r="AG453" i="10"/>
  <c r="AH453" i="10" s="1"/>
  <c r="Y453" i="10"/>
  <c r="B453" i="10"/>
  <c r="A453" i="10"/>
  <c r="X454" i="10"/>
  <c r="AG454" i="10"/>
  <c r="AH454" i="10" s="1"/>
  <c r="Y454" i="10"/>
  <c r="B454" i="10"/>
  <c r="A454" i="10"/>
  <c r="AG529" i="10"/>
  <c r="Y529" i="10"/>
  <c r="A529" i="10"/>
  <c r="AG455" i="10"/>
  <c r="AH455" i="10" s="1"/>
  <c r="Y455" i="10"/>
  <c r="B455" i="10"/>
  <c r="A455" i="10"/>
  <c r="AG456" i="10"/>
  <c r="AH456" i="10" s="1"/>
  <c r="Y456" i="10"/>
  <c r="B456" i="10"/>
  <c r="A456" i="10"/>
  <c r="AG457" i="10"/>
  <c r="AH457" i="10" s="1"/>
  <c r="Y457" i="10"/>
  <c r="B457" i="10"/>
  <c r="A457" i="10"/>
  <c r="AG458" i="10"/>
  <c r="AH458" i="10" s="1"/>
  <c r="Y458" i="10"/>
  <c r="B458" i="10"/>
  <c r="A458" i="10"/>
  <c r="AG459" i="10"/>
  <c r="AH459" i="10" s="1"/>
  <c r="Y459" i="10"/>
  <c r="B459" i="10"/>
  <c r="A459" i="10"/>
  <c r="AG460" i="10"/>
  <c r="AH460" i="10" s="1"/>
  <c r="Y460" i="10"/>
  <c r="B460" i="10"/>
  <c r="A460" i="10"/>
  <c r="AI2730" i="10"/>
  <c r="AI2729" i="10"/>
  <c r="AI2728" i="10"/>
  <c r="AI2727" i="10"/>
  <c r="AI2726" i="10"/>
  <c r="AI2725" i="10"/>
  <c r="AI2724" i="10"/>
  <c r="AI2723" i="10"/>
  <c r="AI2722" i="10"/>
  <c r="AI2721" i="10"/>
  <c r="AI2720" i="10"/>
  <c r="AI2719" i="10"/>
  <c r="AI2718" i="10"/>
  <c r="AI2717" i="10"/>
  <c r="AI2716" i="10"/>
  <c r="AI2715" i="10"/>
  <c r="AI2714" i="10"/>
  <c r="AI2713" i="10"/>
  <c r="AI2712" i="10"/>
  <c r="AI2711" i="10"/>
  <c r="AI2710" i="10"/>
  <c r="AI2709" i="10"/>
  <c r="AI2708" i="10"/>
  <c r="AI2707" i="10"/>
  <c r="AI2706" i="10"/>
  <c r="AI2705" i="10"/>
  <c r="AI2704" i="10"/>
  <c r="AI2703" i="10"/>
  <c r="AI2702" i="10"/>
  <c r="AI2701" i="10"/>
  <c r="AI2700" i="10"/>
  <c r="AI2699" i="10"/>
  <c r="AI2698" i="10"/>
  <c r="AI2697" i="10"/>
  <c r="AI2696" i="10"/>
  <c r="AI2695" i="10"/>
  <c r="AI2694" i="10"/>
  <c r="AI2693" i="10"/>
  <c r="AI2692" i="10"/>
  <c r="AI2691" i="10"/>
  <c r="AI2690" i="10"/>
  <c r="AI2689" i="10"/>
  <c r="AI2688" i="10"/>
  <c r="AI2687" i="10"/>
  <c r="AI2686" i="10"/>
  <c r="AI2685" i="10"/>
  <c r="AI2684" i="10"/>
  <c r="AI2683" i="10"/>
  <c r="AI2682" i="10"/>
  <c r="AI2681" i="10"/>
  <c r="AI2680" i="10"/>
  <c r="AI2679" i="10"/>
  <c r="AI2678" i="10"/>
  <c r="AI2677" i="10"/>
  <c r="AI2676" i="10"/>
  <c r="AI2675" i="10"/>
  <c r="AI2674" i="10"/>
  <c r="AI2673" i="10"/>
  <c r="AI2672" i="10"/>
  <c r="AI2671" i="10"/>
  <c r="AI2670" i="10"/>
  <c r="AI2669" i="10"/>
  <c r="AI2668" i="10"/>
  <c r="AI2667" i="10"/>
  <c r="AI2666" i="10"/>
  <c r="AI2665" i="10"/>
  <c r="AI2664" i="10"/>
  <c r="AI2663" i="10"/>
  <c r="AI2662" i="10"/>
  <c r="AI2661" i="10"/>
  <c r="AI2660" i="10"/>
  <c r="AI2659" i="10"/>
  <c r="AI2658" i="10"/>
  <c r="AI2657" i="10"/>
  <c r="AI2656" i="10"/>
  <c r="AI2655" i="10"/>
  <c r="AI2654" i="10"/>
  <c r="AI2653" i="10"/>
  <c r="AI2652" i="10"/>
  <c r="AI2651" i="10"/>
  <c r="AI2650" i="10"/>
  <c r="AI2649" i="10"/>
  <c r="AI2648" i="10"/>
  <c r="AI2647" i="10"/>
  <c r="AI2646" i="10"/>
  <c r="AI2645" i="10"/>
  <c r="AI2644" i="10"/>
  <c r="AI2643" i="10"/>
  <c r="AI2642" i="10"/>
  <c r="AI2641" i="10"/>
  <c r="AI2640" i="10"/>
  <c r="AI2639" i="10"/>
  <c r="AI1822" i="10"/>
  <c r="AI2638" i="10"/>
  <c r="AI2637" i="10"/>
  <c r="AI2636" i="10"/>
  <c r="AI2635" i="10"/>
  <c r="AI2634" i="10"/>
  <c r="AI2633" i="10"/>
  <c r="AI2632" i="10"/>
  <c r="AI2631" i="10"/>
  <c r="AI2630" i="10"/>
  <c r="AI2629" i="10"/>
  <c r="AI2628" i="10"/>
  <c r="AI2627" i="10"/>
  <c r="AI2626" i="10"/>
  <c r="AI2625" i="10"/>
  <c r="AI2624" i="10"/>
  <c r="AI2623" i="10"/>
  <c r="AI2622" i="10"/>
  <c r="AI2621" i="10"/>
  <c r="AI2620" i="10"/>
  <c r="AI2619" i="10"/>
  <c r="AI2618" i="10"/>
  <c r="AI2617" i="10"/>
  <c r="AI2616" i="10"/>
  <c r="AI2615" i="10"/>
  <c r="AI2614" i="10"/>
  <c r="AI2613" i="10"/>
  <c r="AI2612" i="10"/>
  <c r="AI2611" i="10"/>
  <c r="AI2610" i="10"/>
  <c r="AI2609" i="10"/>
  <c r="AI2608" i="10"/>
  <c r="AI2607" i="10"/>
  <c r="AI2606" i="10"/>
  <c r="AI2605" i="10"/>
  <c r="AI2604" i="10"/>
  <c r="AI2603" i="10"/>
  <c r="AI2602" i="10"/>
  <c r="AI2601" i="10"/>
  <c r="AI2600" i="10"/>
  <c r="AI2599" i="10"/>
  <c r="AI2598" i="10"/>
  <c r="AI2597" i="10"/>
  <c r="AI2596" i="10"/>
  <c r="AI2595" i="10"/>
  <c r="AI2594" i="10"/>
  <c r="AI2593" i="10"/>
  <c r="AI2592" i="10"/>
  <c r="AI2591" i="10"/>
  <c r="AI2590" i="10"/>
  <c r="AI2589" i="10"/>
  <c r="AI2588" i="10"/>
  <c r="AI2587" i="10"/>
  <c r="AI2586" i="10"/>
  <c r="AI2585" i="10"/>
  <c r="AI2584" i="10"/>
  <c r="AI2583" i="10"/>
  <c r="AI2582" i="10"/>
  <c r="AI2581" i="10"/>
  <c r="AI2580" i="10"/>
  <c r="AI2579" i="10"/>
  <c r="AI2578" i="10"/>
  <c r="AI2577" i="10"/>
  <c r="AI2576" i="10"/>
  <c r="AI2575" i="10"/>
  <c r="AI2574" i="10"/>
  <c r="AI2573" i="10"/>
  <c r="AI2572" i="10"/>
  <c r="AI2571" i="10"/>
  <c r="AI2570" i="10"/>
  <c r="AI2569" i="10"/>
  <c r="AI2568" i="10"/>
  <c r="AI2567" i="10"/>
  <c r="AI2566" i="10"/>
  <c r="AI2565" i="10"/>
  <c r="AI2564" i="10"/>
  <c r="AI2563" i="10"/>
  <c r="AI2562" i="10"/>
  <c r="AI2561" i="10"/>
  <c r="AI2560" i="10"/>
  <c r="AI2559" i="10"/>
  <c r="AI2558" i="10"/>
  <c r="AI2557" i="10"/>
  <c r="AI2556" i="10"/>
  <c r="AI2555" i="10"/>
  <c r="AI2554" i="10"/>
  <c r="AI2553" i="10"/>
  <c r="AI2552" i="10"/>
  <c r="AI2551" i="10"/>
  <c r="AI2550" i="10"/>
  <c r="AI2549" i="10"/>
  <c r="AI2548" i="10"/>
  <c r="AI2547" i="10"/>
  <c r="AI2546" i="10"/>
  <c r="AI2545" i="10"/>
  <c r="AI2544" i="10"/>
  <c r="AI2543" i="10"/>
  <c r="AI2542" i="10"/>
  <c r="AI2541" i="10"/>
  <c r="AI2540" i="10"/>
  <c r="AI2539" i="10"/>
  <c r="AI2538" i="10"/>
  <c r="AI2537" i="10"/>
  <c r="AI2536" i="10"/>
  <c r="AI2535" i="10"/>
  <c r="AI2534" i="10"/>
  <c r="AI2533" i="10"/>
  <c r="AI2532" i="10"/>
  <c r="AI2531" i="10"/>
  <c r="AI2530" i="10"/>
  <c r="AI2529" i="10"/>
  <c r="AI2528" i="10"/>
  <c r="AI2527" i="10"/>
  <c r="AI2526" i="10"/>
  <c r="AI2525" i="10"/>
  <c r="AI2524" i="10"/>
  <c r="AI2523" i="10"/>
  <c r="AI2522" i="10"/>
  <c r="AI2521" i="10"/>
  <c r="AI2520" i="10"/>
  <c r="AI2519" i="10"/>
  <c r="AI2518" i="10"/>
  <c r="AI2517" i="10"/>
  <c r="AI2516" i="10"/>
  <c r="AI2515" i="10"/>
  <c r="AI2514" i="10"/>
  <c r="AI2513" i="10"/>
  <c r="AI2512" i="10"/>
  <c r="AI2511" i="10"/>
  <c r="AI2510" i="10"/>
  <c r="AI2509" i="10"/>
  <c r="AI2508" i="10"/>
  <c r="AI2507" i="10"/>
  <c r="AI2506" i="10"/>
  <c r="AI2505" i="10"/>
  <c r="AI2504" i="10"/>
  <c r="AI2503" i="10"/>
  <c r="AI2502" i="10"/>
  <c r="AI2501" i="10"/>
  <c r="AI2500" i="10"/>
  <c r="AI2499" i="10"/>
  <c r="AI2498" i="10"/>
  <c r="AI2497" i="10"/>
  <c r="AI2496" i="10"/>
  <c r="AI2495" i="10"/>
  <c r="AI2494" i="10"/>
  <c r="AI2493" i="10"/>
  <c r="AI2492" i="10"/>
  <c r="AI2491" i="10"/>
  <c r="AI2490" i="10"/>
  <c r="AI2489" i="10"/>
  <c r="AI2488" i="10"/>
  <c r="AI2487" i="10"/>
  <c r="AI2486" i="10"/>
  <c r="AI2485" i="10"/>
  <c r="AI2484" i="10"/>
  <c r="AI2483" i="10"/>
  <c r="AI2482" i="10"/>
  <c r="AI2481" i="10"/>
  <c r="AI2480" i="10"/>
  <c r="AI2479" i="10"/>
  <c r="AI2478" i="10"/>
  <c r="AI2477" i="10"/>
  <c r="AI2476" i="10"/>
  <c r="AI2475" i="10"/>
  <c r="AI2474" i="10"/>
  <c r="AI2473" i="10"/>
  <c r="AI2472" i="10"/>
  <c r="AI2471" i="10"/>
  <c r="AI2470" i="10"/>
  <c r="AI2469" i="10"/>
  <c r="AI2468" i="10"/>
  <c r="AI2467" i="10"/>
  <c r="AI2466" i="10"/>
  <c r="AI2465" i="10"/>
  <c r="AI2464" i="10"/>
  <c r="AI2463" i="10"/>
  <c r="AI2462" i="10"/>
  <c r="AI2461" i="10"/>
  <c r="AI2460" i="10"/>
  <c r="AI2459" i="10"/>
  <c r="AI2458" i="10"/>
  <c r="AI2457" i="10"/>
  <c r="AI2456" i="10"/>
  <c r="AI2455" i="10"/>
  <c r="AI2454" i="10"/>
  <c r="AI2453" i="10"/>
  <c r="AI2452" i="10"/>
  <c r="AI2451" i="10"/>
  <c r="AI2450" i="10"/>
  <c r="AI2449" i="10"/>
  <c r="AI2448" i="10"/>
  <c r="AI2447" i="10"/>
  <c r="AI2446" i="10"/>
  <c r="AI2445" i="10"/>
  <c r="AI2444" i="10"/>
  <c r="AI2443" i="10"/>
  <c r="AI2442" i="10"/>
  <c r="AI2441" i="10"/>
  <c r="AI2440" i="10"/>
  <c r="AI2439" i="10"/>
  <c r="AI2438" i="10"/>
  <c r="AI2437" i="10"/>
  <c r="AI2436" i="10"/>
  <c r="AI2435" i="10"/>
  <c r="AI2434" i="10"/>
  <c r="AI2433" i="10"/>
  <c r="AI2432" i="10"/>
  <c r="AI2431" i="10"/>
  <c r="AI2430" i="10"/>
  <c r="AI2429" i="10"/>
  <c r="AI2428" i="10"/>
  <c r="AI2427" i="10"/>
  <c r="AI2426" i="10"/>
  <c r="AI2425" i="10"/>
  <c r="AI2424" i="10"/>
  <c r="AI2423" i="10"/>
  <c r="AI2422" i="10"/>
  <c r="AI2421" i="10"/>
  <c r="AI2420" i="10"/>
  <c r="AI2419" i="10"/>
  <c r="AI2418" i="10"/>
  <c r="AI2417" i="10"/>
  <c r="AI2416" i="10"/>
  <c r="AI2415" i="10"/>
  <c r="AI2414" i="10"/>
  <c r="AI2413" i="10"/>
  <c r="AI2412" i="10"/>
  <c r="AI2411" i="10"/>
  <c r="AI2410" i="10"/>
  <c r="AI2409" i="10"/>
  <c r="AI2408" i="10"/>
  <c r="AI2407" i="10"/>
  <c r="AI2406" i="10"/>
  <c r="AI2405" i="10"/>
  <c r="AI2404" i="10"/>
  <c r="AI2403" i="10"/>
  <c r="AI2402" i="10"/>
  <c r="AI2401" i="10"/>
  <c r="AI2400" i="10"/>
  <c r="AI2399" i="10"/>
  <c r="AI2398" i="10"/>
  <c r="AI2397" i="10"/>
  <c r="AI2396" i="10"/>
  <c r="AI2395" i="10"/>
  <c r="AI2394" i="10"/>
  <c r="AI2393" i="10"/>
  <c r="AI2392" i="10"/>
  <c r="AI2391" i="10"/>
  <c r="AI2390" i="10"/>
  <c r="AI2389" i="10"/>
  <c r="AI2388" i="10"/>
  <c r="AI2387" i="10"/>
  <c r="AI2386" i="10"/>
  <c r="AI2385" i="10"/>
  <c r="AI2384" i="10"/>
  <c r="AI2383" i="10"/>
  <c r="AI2382" i="10"/>
  <c r="AI2381" i="10"/>
  <c r="AI2380" i="10"/>
  <c r="AI2379" i="10"/>
  <c r="AI2378" i="10"/>
  <c r="AI2377" i="10"/>
  <c r="AI2376" i="10"/>
  <c r="AI2375" i="10"/>
  <c r="AI2374" i="10"/>
  <c r="AI2373" i="10"/>
  <c r="AI2372" i="10"/>
  <c r="AI2371" i="10"/>
  <c r="AI2370" i="10"/>
  <c r="AI2369" i="10"/>
  <c r="AI2368" i="10"/>
  <c r="AI2367" i="10"/>
  <c r="AI2366" i="10"/>
  <c r="AI2365" i="10"/>
  <c r="AI2364" i="10"/>
  <c r="AI2363" i="10"/>
  <c r="AI2362" i="10"/>
  <c r="AI2361" i="10"/>
  <c r="AI2360" i="10"/>
  <c r="AI2359" i="10"/>
  <c r="AI2358" i="10"/>
  <c r="AI2357" i="10"/>
  <c r="AI2356" i="10"/>
  <c r="AI2355" i="10"/>
  <c r="AI2354" i="10"/>
  <c r="AI2353" i="10"/>
  <c r="AI2352" i="10"/>
  <c r="AI2351" i="10"/>
  <c r="AI2350" i="10"/>
  <c r="AI2349" i="10"/>
  <c r="AI2348" i="10"/>
  <c r="AI2347" i="10"/>
  <c r="AI2346" i="10"/>
  <c r="AI2345" i="10"/>
  <c r="AI2344" i="10"/>
  <c r="AI2343" i="10"/>
  <c r="AI2342" i="10"/>
  <c r="AI2341" i="10"/>
  <c r="AI2340" i="10"/>
  <c r="AI2339" i="10"/>
  <c r="AI2338" i="10"/>
  <c r="AI2337" i="10"/>
  <c r="AI2336" i="10"/>
  <c r="AI2335" i="10"/>
  <c r="AI2334" i="10"/>
  <c r="AI2333" i="10"/>
  <c r="AI2332" i="10"/>
  <c r="AI2331" i="10"/>
  <c r="AI2330" i="10"/>
  <c r="AI2329" i="10"/>
  <c r="AI2328" i="10"/>
  <c r="AI2327" i="10"/>
  <c r="AI2326" i="10"/>
  <c r="AI2325" i="10"/>
  <c r="AI2324" i="10"/>
  <c r="AI2323" i="10"/>
  <c r="AI2322" i="10"/>
  <c r="AI2321" i="10"/>
  <c r="AI2320" i="10"/>
  <c r="AI2319" i="10"/>
  <c r="AI2318" i="10"/>
  <c r="AI2317" i="10"/>
  <c r="AI2316" i="10"/>
  <c r="AI2315" i="10"/>
  <c r="AI2314" i="10"/>
  <c r="AI2313" i="10"/>
  <c r="AI2312" i="10"/>
  <c r="AI2311" i="10"/>
  <c r="AI2310" i="10"/>
  <c r="AI2309" i="10"/>
  <c r="AI2308" i="10"/>
  <c r="AI2307" i="10"/>
  <c r="AI2306" i="10"/>
  <c r="AI2305" i="10"/>
  <c r="AI2304" i="10"/>
  <c r="AI2303" i="10"/>
  <c r="AI2302" i="10"/>
  <c r="AI2301" i="10"/>
  <c r="AI2300" i="10"/>
  <c r="AI2299" i="10"/>
  <c r="AI2298" i="10"/>
  <c r="AI2297" i="10"/>
  <c r="AI2296" i="10"/>
  <c r="AI2295" i="10"/>
  <c r="AI2294" i="10"/>
  <c r="AI2293" i="10"/>
  <c r="AI2292" i="10"/>
  <c r="AI2291" i="10"/>
  <c r="AI2290" i="10"/>
  <c r="AI2289" i="10"/>
  <c r="AI2288" i="10"/>
  <c r="AI2287" i="10"/>
  <c r="AI2286" i="10"/>
  <c r="AI2285" i="10"/>
  <c r="AI2284" i="10"/>
  <c r="AI2283" i="10"/>
  <c r="AI2282" i="10"/>
  <c r="AI2281" i="10"/>
  <c r="AI2280" i="10"/>
  <c r="AI2279" i="10"/>
  <c r="AI2278" i="10"/>
  <c r="AI2277" i="10"/>
  <c r="AI2276" i="10"/>
  <c r="AI2275" i="10"/>
  <c r="AI2274" i="10"/>
  <c r="AI2273" i="10"/>
  <c r="AI2272" i="10"/>
  <c r="AI2271" i="10"/>
  <c r="AI2270" i="10"/>
  <c r="AI2269" i="10"/>
  <c r="AI2268" i="10"/>
  <c r="AI2267" i="10"/>
  <c r="AI2266" i="10"/>
  <c r="AI2265" i="10"/>
  <c r="AI2264" i="10"/>
  <c r="AI2263" i="10"/>
  <c r="AI2262" i="10"/>
  <c r="AI2261" i="10"/>
  <c r="AI2260" i="10"/>
  <c r="AI2259" i="10"/>
  <c r="AI2258" i="10"/>
  <c r="AI2257" i="10"/>
  <c r="AI2256" i="10"/>
  <c r="AI2255" i="10"/>
  <c r="AI2254" i="10"/>
  <c r="AI2253" i="10"/>
  <c r="AI2252" i="10"/>
  <c r="AI2251" i="10"/>
  <c r="AI2250" i="10"/>
  <c r="AI2249" i="10"/>
  <c r="AI2248" i="10"/>
  <c r="AI2247" i="10"/>
  <c r="AI2246" i="10"/>
  <c r="AI2245" i="10"/>
  <c r="AI2244" i="10"/>
  <c r="AI2243" i="10"/>
  <c r="AI2242" i="10"/>
  <c r="AI2241" i="10"/>
  <c r="AI2240" i="10"/>
  <c r="AI2239" i="10"/>
  <c r="AI2238" i="10"/>
  <c r="AI2237" i="10"/>
  <c r="AI2236" i="10"/>
  <c r="AI2235" i="10"/>
  <c r="AI2234" i="10"/>
  <c r="AI2233" i="10"/>
  <c r="AI2232" i="10"/>
  <c r="AI2231" i="10"/>
  <c r="AI2230" i="10"/>
  <c r="AI2229" i="10"/>
  <c r="AI2228" i="10"/>
  <c r="AI2227" i="10"/>
  <c r="AI2226" i="10"/>
  <c r="AI2225" i="10"/>
  <c r="AI2224" i="10"/>
  <c r="AI2223" i="10"/>
  <c r="AI2222" i="10"/>
  <c r="AI2221" i="10"/>
  <c r="AI2220" i="10"/>
  <c r="AI2219" i="10"/>
  <c r="AI2218" i="10"/>
  <c r="AI2217" i="10"/>
  <c r="AI2216" i="10"/>
  <c r="AI2215" i="10"/>
  <c r="AI2214" i="10"/>
  <c r="AI2213" i="10"/>
  <c r="AI2212" i="10"/>
  <c r="AI2211" i="10"/>
  <c r="AI2210" i="10"/>
  <c r="AI2209" i="10"/>
  <c r="AI2208" i="10"/>
  <c r="AI2207" i="10"/>
  <c r="AI2206" i="10"/>
  <c r="AI2205" i="10"/>
  <c r="AI2204" i="10"/>
  <c r="AI2203" i="10"/>
  <c r="AI2202" i="10"/>
  <c r="AI2201" i="10"/>
  <c r="AI2200" i="10"/>
  <c r="AI2199" i="10"/>
  <c r="AI2198" i="10"/>
  <c r="AI2197" i="10"/>
  <c r="AI2196" i="10"/>
  <c r="AI2195" i="10"/>
  <c r="AI2194" i="10"/>
  <c r="AI2193" i="10"/>
  <c r="AI2192" i="10"/>
  <c r="AI2191" i="10"/>
  <c r="AI2190" i="10"/>
  <c r="AI2189" i="10"/>
  <c r="AI2188" i="10"/>
  <c r="AI2187" i="10"/>
  <c r="AI2186" i="10"/>
  <c r="AI2185" i="10"/>
  <c r="AI2184" i="10"/>
  <c r="AI2183" i="10"/>
  <c r="AI2182" i="10"/>
  <c r="AI2181" i="10"/>
  <c r="AI2180" i="10"/>
  <c r="AI2179" i="10"/>
  <c r="AI2178" i="10"/>
  <c r="AI2177" i="10"/>
  <c r="AI2176" i="10"/>
  <c r="AI2175" i="10"/>
  <c r="AI2174" i="10"/>
  <c r="AI2173" i="10"/>
  <c r="AI2172" i="10"/>
  <c r="AI2171" i="10"/>
  <c r="AI2170" i="10"/>
  <c r="AI2169" i="10"/>
  <c r="AI2168" i="10"/>
  <c r="AI2167" i="10"/>
  <c r="AI2166" i="10"/>
  <c r="AI2165" i="10"/>
  <c r="AI2164" i="10"/>
  <c r="AI2163" i="10"/>
  <c r="AI2162" i="10"/>
  <c r="AI2161" i="10"/>
  <c r="AI2160" i="10"/>
  <c r="AI2159" i="10"/>
  <c r="AI2158" i="10"/>
  <c r="AI2157" i="10"/>
  <c r="AI2156" i="10"/>
  <c r="AI2155" i="10"/>
  <c r="AI2154" i="10"/>
  <c r="AI2153" i="10"/>
  <c r="AI2152" i="10"/>
  <c r="AI2151" i="10"/>
  <c r="AI2150" i="10"/>
  <c r="AI2149" i="10"/>
  <c r="AI2148" i="10"/>
  <c r="AI2147" i="10"/>
  <c r="AI2146" i="10"/>
  <c r="AI2145" i="10"/>
  <c r="AI2144" i="10"/>
  <c r="AI2143" i="10"/>
  <c r="AI2142" i="10"/>
  <c r="AI2141" i="10"/>
  <c r="AI2140" i="10"/>
  <c r="AI2139" i="10"/>
  <c r="AI2138" i="10"/>
  <c r="AI2137" i="10"/>
  <c r="AI2136" i="10"/>
  <c r="AI2135" i="10"/>
  <c r="AI2134" i="10"/>
  <c r="AI2133" i="10"/>
  <c r="AI2132" i="10"/>
  <c r="AI2131" i="10"/>
  <c r="AI2130" i="10"/>
  <c r="AI2129" i="10"/>
  <c r="AI2128" i="10"/>
  <c r="AI2127" i="10"/>
  <c r="AI2126" i="10"/>
  <c r="AI2125" i="10"/>
  <c r="AI2124" i="10"/>
  <c r="AI2123" i="10"/>
  <c r="AI2122" i="10"/>
  <c r="AI2121" i="10"/>
  <c r="AI2120" i="10"/>
  <c r="AI2119" i="10"/>
  <c r="AI2118" i="10"/>
  <c r="AI2117" i="10"/>
  <c r="AI2116" i="10"/>
  <c r="AI2115" i="10"/>
  <c r="AI2114" i="10"/>
  <c r="AI2113" i="10"/>
  <c r="AI2112" i="10"/>
  <c r="AI2111" i="10"/>
  <c r="AI2110" i="10"/>
  <c r="AI2109" i="10"/>
  <c r="AI2108" i="10"/>
  <c r="AI2107" i="10"/>
  <c r="AI2106" i="10"/>
  <c r="AI2105" i="10"/>
  <c r="AI2104" i="10"/>
  <c r="AI2103" i="10"/>
  <c r="AI2102" i="10"/>
  <c r="AI2101" i="10"/>
  <c r="AI2100" i="10"/>
  <c r="AI2099" i="10"/>
  <c r="AI2098" i="10"/>
  <c r="AI2097" i="10"/>
  <c r="AI2096" i="10"/>
  <c r="AI2095" i="10"/>
  <c r="AI2094" i="10"/>
  <c r="AI2093" i="10"/>
  <c r="AI2092" i="10"/>
  <c r="AI2091" i="10"/>
  <c r="AI2090" i="10"/>
  <c r="AI2089" i="10"/>
  <c r="AI2088" i="10"/>
  <c r="AI2087" i="10"/>
  <c r="AI2086" i="10"/>
  <c r="AI2085" i="10"/>
  <c r="AI2084" i="10"/>
  <c r="AI2083" i="10"/>
  <c r="AI2082" i="10"/>
  <c r="AI2081" i="10"/>
  <c r="AI2080" i="10"/>
  <c r="AI2079" i="10"/>
  <c r="AI2078" i="10"/>
  <c r="AI2077" i="10"/>
  <c r="AI2076" i="10"/>
  <c r="AI2075" i="10"/>
  <c r="AI2074" i="10"/>
  <c r="AI2073" i="10"/>
  <c r="AI2072" i="10"/>
  <c r="AI2071" i="10"/>
  <c r="AI2070" i="10"/>
  <c r="AI2069" i="10"/>
  <c r="AI2068" i="10"/>
  <c r="AI2067" i="10"/>
  <c r="AI2066" i="10"/>
  <c r="AI2065" i="10"/>
  <c r="AI2064" i="10"/>
  <c r="AI2063" i="10"/>
  <c r="AI2062" i="10"/>
  <c r="AI2061" i="10"/>
  <c r="AI2060" i="10"/>
  <c r="AI2059" i="10"/>
  <c r="AI2058" i="10"/>
  <c r="AI2057" i="10"/>
  <c r="AI2056" i="10"/>
  <c r="AI2055" i="10"/>
  <c r="AI2054" i="10"/>
  <c r="AI2053" i="10"/>
  <c r="AI2052" i="10"/>
  <c r="AI2051" i="10"/>
  <c r="AI2050" i="10"/>
  <c r="AI2049" i="10"/>
  <c r="AI2048" i="10"/>
  <c r="AI2047" i="10"/>
  <c r="AI2046" i="10"/>
  <c r="AI2045" i="10"/>
  <c r="AI2044" i="10"/>
  <c r="AI2043" i="10"/>
  <c r="AI2042" i="10"/>
  <c r="AI2041" i="10"/>
  <c r="AI2040" i="10"/>
  <c r="AI2039" i="10"/>
  <c r="AI2038" i="10"/>
  <c r="AI2037" i="10"/>
  <c r="AI2036" i="10"/>
  <c r="AI2035" i="10"/>
  <c r="AI2034" i="10"/>
  <c r="AI2033" i="10"/>
  <c r="AI2032" i="10"/>
  <c r="AI2031" i="10"/>
  <c r="AI2030" i="10"/>
  <c r="AI2029" i="10"/>
  <c r="AI2028" i="10"/>
  <c r="AI2027" i="10"/>
  <c r="AI2026" i="10"/>
  <c r="AI2025" i="10"/>
  <c r="AI2024" i="10"/>
  <c r="AI2023" i="10"/>
  <c r="AI2022" i="10"/>
  <c r="AI2021" i="10"/>
  <c r="AI2020" i="10"/>
  <c r="AI2019" i="10"/>
  <c r="AI2018" i="10"/>
  <c r="AI2017" i="10"/>
  <c r="AI2016" i="10"/>
  <c r="AI2015" i="10"/>
  <c r="AI2014" i="10"/>
  <c r="AI2013" i="10"/>
  <c r="AI2012" i="10"/>
  <c r="AI2011" i="10"/>
  <c r="AI2010" i="10"/>
  <c r="AI2009" i="10"/>
  <c r="AI2008" i="10"/>
  <c r="AI2007" i="10"/>
  <c r="AI2006" i="10"/>
  <c r="AI2005" i="10"/>
  <c r="AI2004" i="10"/>
  <c r="AI2003" i="10"/>
  <c r="AI2002" i="10"/>
  <c r="AI2001" i="10"/>
  <c r="AI2000" i="10"/>
  <c r="AI1999" i="10"/>
  <c r="AI1998" i="10"/>
  <c r="AI1997" i="10"/>
  <c r="AI1996" i="10"/>
  <c r="AI1995" i="10"/>
  <c r="AI1994" i="10"/>
  <c r="AI1993" i="10"/>
  <c r="AI1992" i="10"/>
  <c r="AI1991" i="10"/>
  <c r="AI1990" i="10"/>
  <c r="AI1989" i="10"/>
  <c r="AI1988" i="10"/>
  <c r="AI1987" i="10"/>
  <c r="AI1986" i="10"/>
  <c r="AI1985" i="10"/>
  <c r="AI1984" i="10"/>
  <c r="AI1983" i="10"/>
  <c r="AI1982" i="10"/>
  <c r="AI1981" i="10"/>
  <c r="AI1980" i="10"/>
  <c r="AI1979" i="10"/>
  <c r="AI1978" i="10"/>
  <c r="AI1977" i="10"/>
  <c r="AI1976" i="10"/>
  <c r="AI1975" i="10"/>
  <c r="AI1974" i="10"/>
  <c r="AI1973" i="10"/>
  <c r="AI1972" i="10"/>
  <c r="AI1971" i="10"/>
  <c r="AI1970" i="10"/>
  <c r="AI1969" i="10"/>
  <c r="AI1968" i="10"/>
  <c r="AI1967" i="10"/>
  <c r="AI1966" i="10"/>
  <c r="AI1965" i="10"/>
  <c r="AI1964" i="10"/>
  <c r="AI1963" i="10"/>
  <c r="AI1962" i="10"/>
  <c r="AI1961" i="10"/>
  <c r="AI1960" i="10"/>
  <c r="AI1959" i="10"/>
  <c r="AI1958" i="10"/>
  <c r="AI1957" i="10"/>
  <c r="AI1956" i="10"/>
  <c r="AI1955" i="10"/>
  <c r="AI1954" i="10"/>
  <c r="AI1953" i="10"/>
  <c r="AI1952" i="10"/>
  <c r="AI1951" i="10"/>
  <c r="AI1950" i="10"/>
  <c r="AI1949" i="10"/>
  <c r="AI1948" i="10"/>
  <c r="AI1947" i="10"/>
  <c r="AI1946" i="10"/>
  <c r="AI1945" i="10"/>
  <c r="AI1944" i="10"/>
  <c r="AI1943" i="10"/>
  <c r="AI1942" i="10"/>
  <c r="AI1941" i="10"/>
  <c r="AI1940" i="10"/>
  <c r="AI1939" i="10"/>
  <c r="AI1938" i="10"/>
  <c r="AI1937" i="10"/>
  <c r="AI1936" i="10"/>
  <c r="AI1935" i="10"/>
  <c r="AI1934" i="10"/>
  <c r="AI1933" i="10"/>
  <c r="AI1932" i="10"/>
  <c r="AI1931" i="10"/>
  <c r="AI1930" i="10"/>
  <c r="AI1929" i="10"/>
  <c r="AI1928" i="10"/>
  <c r="AI1927" i="10"/>
  <c r="AI1926" i="10"/>
  <c r="AI1925" i="10"/>
  <c r="AI1924" i="10"/>
  <c r="AI1923" i="10"/>
  <c r="AI1922" i="10"/>
  <c r="AI1921" i="10"/>
  <c r="AI1920" i="10"/>
  <c r="AI1919" i="10"/>
  <c r="AI1918" i="10"/>
  <c r="AI1917" i="10"/>
  <c r="AI1916" i="10"/>
  <c r="AI1915" i="10"/>
  <c r="AI1914" i="10"/>
  <c r="AI1913" i="10"/>
  <c r="AI1912" i="10"/>
  <c r="AI1911" i="10"/>
  <c r="AI1910" i="10"/>
  <c r="AI1909" i="10"/>
  <c r="AI1908" i="10"/>
  <c r="AI1907" i="10"/>
  <c r="AI1906" i="10"/>
  <c r="AI1905" i="10"/>
  <c r="AI1904" i="10"/>
  <c r="AI1903" i="10"/>
  <c r="AI1902" i="10"/>
  <c r="AI1901" i="10"/>
  <c r="AI1900" i="10"/>
  <c r="AI1899" i="10"/>
  <c r="AI1898" i="10"/>
  <c r="AI1897" i="10"/>
  <c r="AI1896" i="10"/>
  <c r="AI1895" i="10"/>
  <c r="AI1894" i="10"/>
  <c r="AI1893" i="10"/>
  <c r="AI1892" i="10"/>
  <c r="AI1891" i="10"/>
  <c r="AI1890" i="10"/>
  <c r="AI1889" i="10"/>
  <c r="AI1888" i="10"/>
  <c r="AI1887" i="10"/>
  <c r="AI1886" i="10"/>
  <c r="AI1885" i="10"/>
  <c r="AI1884" i="10"/>
  <c r="AI1883" i="10"/>
  <c r="AI1882" i="10"/>
  <c r="AI1881" i="10"/>
  <c r="AI1880" i="10"/>
  <c r="AI1879" i="10"/>
  <c r="AI1877" i="10"/>
  <c r="AI1878" i="10"/>
  <c r="AI1876" i="10"/>
  <c r="AI1875" i="10"/>
  <c r="AI1874" i="10"/>
  <c r="AI1873" i="10"/>
  <c r="AI1872" i="10"/>
  <c r="AI1871" i="10"/>
  <c r="AI1870" i="10"/>
  <c r="AI1869" i="10"/>
  <c r="AI1868" i="10"/>
  <c r="AI1867" i="10"/>
  <c r="AI1866" i="10"/>
  <c r="AI1865" i="10"/>
  <c r="AI1864" i="10"/>
  <c r="AI1863" i="10"/>
  <c r="AI1862" i="10"/>
  <c r="AI1861" i="10"/>
  <c r="AI1860" i="10"/>
  <c r="AI1859" i="10"/>
  <c r="AI1858" i="10"/>
  <c r="AI1857" i="10"/>
  <c r="AI1856" i="10"/>
  <c r="AI1855" i="10"/>
  <c r="AI1854" i="10"/>
  <c r="AI1853" i="10"/>
  <c r="AI1852" i="10"/>
  <c r="AI1851" i="10"/>
  <c r="AI1850" i="10"/>
  <c r="AI1849" i="10"/>
  <c r="AI1848" i="10"/>
  <c r="AI1847" i="10"/>
  <c r="AI1846" i="10"/>
  <c r="AI1845" i="10"/>
  <c r="AI1844" i="10"/>
  <c r="AI1843" i="10"/>
  <c r="AI1842" i="10"/>
  <c r="AI1841" i="10"/>
  <c r="AI1840" i="10"/>
  <c r="AI1839" i="10"/>
  <c r="AI1838" i="10"/>
  <c r="AI1837" i="10"/>
  <c r="AI1836" i="10"/>
  <c r="AI1835" i="10"/>
  <c r="AI1834" i="10"/>
  <c r="AI1833" i="10"/>
  <c r="AI1832" i="10"/>
  <c r="AI1831" i="10"/>
  <c r="AI1830" i="10"/>
  <c r="AI1829" i="10"/>
  <c r="AI1828" i="10"/>
  <c r="AI1827" i="10"/>
  <c r="AI1826" i="10"/>
  <c r="AI1825" i="10"/>
  <c r="AI1824" i="10"/>
  <c r="AI1823" i="10"/>
  <c r="AI1821" i="10"/>
  <c r="AI1820" i="10"/>
  <c r="AI1819" i="10"/>
  <c r="AI1818" i="10"/>
  <c r="AI1817" i="10"/>
  <c r="AI1816" i="10"/>
  <c r="AI1815" i="10"/>
  <c r="AI1814" i="10"/>
  <c r="AI1813" i="10"/>
  <c r="AI1812" i="10"/>
  <c r="AI1811" i="10"/>
  <c r="AI1810" i="10"/>
  <c r="AI1809" i="10"/>
  <c r="AI1808" i="10"/>
  <c r="AI1807" i="10"/>
  <c r="AI1806" i="10"/>
  <c r="AI1805" i="10"/>
  <c r="AI1804" i="10"/>
  <c r="AI1803" i="10"/>
  <c r="AI1802" i="10"/>
  <c r="AI1801" i="10"/>
  <c r="AI1800" i="10"/>
  <c r="AI1799" i="10"/>
  <c r="AI1798" i="10"/>
  <c r="AI1797" i="10"/>
  <c r="AI1796" i="10"/>
  <c r="AI1795" i="10"/>
  <c r="AI1794" i="10"/>
  <c r="AI1793" i="10"/>
  <c r="AI1792" i="10"/>
  <c r="AI1791" i="10"/>
  <c r="AI1790" i="10"/>
  <c r="AI1789" i="10"/>
  <c r="AI1788" i="10"/>
  <c r="AI1787" i="10"/>
  <c r="AI1786" i="10"/>
  <c r="AI1785" i="10"/>
  <c r="AI1784" i="10"/>
  <c r="AI1783" i="10"/>
  <c r="AI1782" i="10"/>
  <c r="AI1781" i="10"/>
  <c r="AI1780" i="10"/>
  <c r="AI1779" i="10"/>
  <c r="AI1778" i="10"/>
  <c r="AI1777" i="10"/>
  <c r="AI1776" i="10"/>
  <c r="AI1775" i="10"/>
  <c r="AI1774" i="10"/>
  <c r="AI1773" i="10"/>
  <c r="AI1772" i="10"/>
  <c r="AI1771" i="10"/>
  <c r="AI1770" i="10"/>
  <c r="AI1769" i="10"/>
  <c r="AI1768" i="10"/>
  <c r="AI1767" i="10"/>
  <c r="AI1766" i="10"/>
  <c r="AI1765" i="10"/>
  <c r="AI1764" i="10"/>
  <c r="AI1763" i="10"/>
  <c r="AI1762" i="10"/>
  <c r="AI1761" i="10"/>
  <c r="AI1760" i="10"/>
  <c r="AI1759" i="10"/>
  <c r="AI1758" i="10"/>
  <c r="AI1757" i="10"/>
  <c r="AI1756" i="10"/>
  <c r="AI1755" i="10"/>
  <c r="AI1754" i="10"/>
  <c r="AI1753" i="10"/>
  <c r="AI1752" i="10"/>
  <c r="AI1751" i="10"/>
  <c r="AI1750" i="10"/>
  <c r="AI1749" i="10"/>
  <c r="AI1748" i="10"/>
  <c r="AI1747" i="10"/>
  <c r="AI1746" i="10"/>
  <c r="AI1745" i="10"/>
  <c r="AI1744" i="10"/>
  <c r="AI1743" i="10"/>
  <c r="AI1742" i="10"/>
  <c r="AI1741" i="10"/>
  <c r="AI1740" i="10"/>
  <c r="AI1739" i="10"/>
  <c r="AI1738" i="10"/>
  <c r="AI1737" i="10"/>
  <c r="AI1736" i="10"/>
  <c r="AI1735" i="10"/>
  <c r="AI1734" i="10"/>
  <c r="AI1733" i="10"/>
  <c r="AI1732" i="10"/>
  <c r="AI1731" i="10"/>
  <c r="AI1730" i="10"/>
  <c r="AI1729" i="10"/>
  <c r="AI1728" i="10"/>
  <c r="AI1727" i="10"/>
  <c r="AI1726" i="10"/>
  <c r="AI1725" i="10"/>
  <c r="AI1724" i="10"/>
  <c r="AI1723" i="10"/>
  <c r="AI1722" i="10"/>
  <c r="AI1721" i="10"/>
  <c r="AI1720" i="10"/>
  <c r="AI1719" i="10"/>
  <c r="AI1718" i="10"/>
  <c r="AI1717" i="10"/>
  <c r="AI1716" i="10"/>
  <c r="AI1715" i="10"/>
  <c r="AI1714" i="10"/>
  <c r="AI1713" i="10"/>
  <c r="AI1712" i="10"/>
  <c r="AI1711" i="10"/>
  <c r="AI1710" i="10"/>
  <c r="AI1709" i="10"/>
  <c r="AI1708" i="10"/>
  <c r="AI1707" i="10"/>
  <c r="AI1706" i="10"/>
  <c r="AI1705" i="10"/>
  <c r="AI1704" i="10"/>
  <c r="AI1703" i="10"/>
  <c r="AI1702" i="10"/>
  <c r="AI1701" i="10"/>
  <c r="AI1700" i="10"/>
  <c r="AI1699" i="10"/>
  <c r="AI1698" i="10"/>
  <c r="AI1697" i="10"/>
  <c r="AI1696" i="10"/>
  <c r="AI1695" i="10"/>
  <c r="AI1694" i="10"/>
  <c r="AI1693" i="10"/>
  <c r="AI1692" i="10"/>
  <c r="AI1691" i="10"/>
  <c r="AI1690" i="10"/>
  <c r="AI1689" i="10"/>
  <c r="AI1688" i="10"/>
  <c r="AI1687" i="10"/>
  <c r="AI1686" i="10"/>
  <c r="AI1685" i="10"/>
  <c r="AI1684" i="10"/>
  <c r="AI1683" i="10"/>
  <c r="AI1682" i="10"/>
  <c r="AI1681" i="10"/>
  <c r="AI1680" i="10"/>
  <c r="AI1679" i="10"/>
  <c r="AI1678" i="10"/>
  <c r="AI1677" i="10"/>
  <c r="AI1676" i="10"/>
  <c r="AI1675" i="10"/>
  <c r="AI1674" i="10"/>
  <c r="AI1673" i="10"/>
  <c r="AI1672" i="10"/>
  <c r="AI1671" i="10"/>
  <c r="AI1670" i="10"/>
  <c r="AI1669" i="10"/>
  <c r="AI1668" i="10"/>
  <c r="AI1667" i="10"/>
  <c r="AI1666" i="10"/>
  <c r="AI1665" i="10"/>
  <c r="AI1664" i="10"/>
  <c r="AI1663" i="10"/>
  <c r="AI1662" i="10"/>
  <c r="AI1661" i="10"/>
  <c r="AI1660" i="10"/>
  <c r="AI1659" i="10"/>
  <c r="AI1658" i="10"/>
  <c r="AI1657" i="10"/>
  <c r="AI1656" i="10"/>
  <c r="AI1655" i="10"/>
  <c r="AI1654" i="10"/>
  <c r="AI1653" i="10"/>
  <c r="AI1652" i="10"/>
  <c r="AI1651" i="10"/>
  <c r="AI1650" i="10"/>
  <c r="AI1649" i="10"/>
  <c r="AI1648" i="10"/>
  <c r="AI1647" i="10"/>
  <c r="AI1646" i="10"/>
  <c r="AI1645" i="10"/>
  <c r="AI1644" i="10"/>
  <c r="AI1643" i="10"/>
  <c r="AI1642" i="10"/>
  <c r="AI1641" i="10"/>
  <c r="AI1640" i="10"/>
  <c r="AI1639" i="10"/>
  <c r="AI1638" i="10"/>
  <c r="AI1637" i="10"/>
  <c r="AI1636" i="10"/>
  <c r="AI1635" i="10"/>
  <c r="AI1634" i="10"/>
  <c r="AI1633" i="10"/>
  <c r="AI1632" i="10"/>
  <c r="AI1631" i="10"/>
  <c r="AI1630" i="10"/>
  <c r="AI1629" i="10"/>
  <c r="AI1628" i="10"/>
  <c r="AI1627" i="10"/>
  <c r="AI1626" i="10"/>
  <c r="AI1625" i="10"/>
  <c r="AI1624" i="10"/>
  <c r="AI1623" i="10"/>
  <c r="AI1622" i="10"/>
  <c r="AI1621" i="10"/>
  <c r="AI1620" i="10"/>
  <c r="AI1619" i="10"/>
  <c r="AI1618" i="10"/>
  <c r="AI1617" i="10"/>
  <c r="AI1616" i="10"/>
  <c r="AI1615" i="10"/>
  <c r="AI1614" i="10"/>
  <c r="AI1613" i="10"/>
  <c r="AI1612" i="10"/>
  <c r="AI1611" i="10"/>
  <c r="AI1610" i="10"/>
  <c r="AI1609" i="10"/>
  <c r="AI1608" i="10"/>
  <c r="AI1607" i="10"/>
  <c r="AI1606" i="10"/>
  <c r="AI1605" i="10"/>
  <c r="AI1604" i="10"/>
  <c r="AI1603" i="10"/>
  <c r="AI1602" i="10"/>
  <c r="AI1601" i="10"/>
  <c r="AI1600" i="10"/>
  <c r="AI1599" i="10"/>
  <c r="AI1598" i="10"/>
  <c r="AI1597" i="10"/>
  <c r="AI1596" i="10"/>
  <c r="AI1595" i="10"/>
  <c r="AI1594" i="10"/>
  <c r="AI1593" i="10"/>
  <c r="AI1592" i="10"/>
  <c r="AI1591" i="10"/>
  <c r="AI1590" i="10"/>
  <c r="AI1589" i="10"/>
  <c r="AI1588" i="10"/>
  <c r="AI1587" i="10"/>
  <c r="AI1586" i="10"/>
  <c r="AI1585" i="10"/>
  <c r="AI1584" i="10"/>
  <c r="AI1583" i="10"/>
  <c r="AI1582" i="10"/>
  <c r="AI1581" i="10"/>
  <c r="AI1580" i="10"/>
  <c r="AI1579" i="10"/>
  <c r="AI1578" i="10"/>
  <c r="AI1577" i="10"/>
  <c r="AI1576" i="10"/>
  <c r="AI1575" i="10"/>
  <c r="AI1574" i="10"/>
  <c r="AI1573" i="10"/>
  <c r="AI1572" i="10"/>
  <c r="AI1571" i="10"/>
  <c r="AI1570" i="10"/>
  <c r="AI1569" i="10"/>
  <c r="AI1568" i="10"/>
  <c r="AI1567" i="10"/>
  <c r="AI1566" i="10"/>
  <c r="AI1565" i="10"/>
  <c r="AI1564" i="10"/>
  <c r="AI1563" i="10"/>
  <c r="AI1562" i="10"/>
  <c r="AI1561" i="10"/>
  <c r="AI1560" i="10"/>
  <c r="AI1559" i="10"/>
  <c r="AI1558" i="10"/>
  <c r="AI1557" i="10"/>
  <c r="AI1556" i="10"/>
  <c r="AI1555" i="10"/>
  <c r="AI1554" i="10"/>
  <c r="AI1553" i="10"/>
  <c r="AI1552" i="10"/>
  <c r="AI1550" i="10"/>
  <c r="AI1551" i="10"/>
  <c r="AI1549" i="10"/>
  <c r="AI1548" i="10"/>
  <c r="AI1547" i="10"/>
  <c r="AI1546" i="10"/>
  <c r="AI1545" i="10"/>
  <c r="AI1544" i="10"/>
  <c r="AI1543" i="10"/>
  <c r="AI1542" i="10"/>
  <c r="AI1541" i="10"/>
  <c r="AI1540" i="10"/>
  <c r="AI1539" i="10"/>
  <c r="AI1538" i="10"/>
  <c r="AI1537" i="10"/>
  <c r="AI1536" i="10"/>
  <c r="AI1535" i="10"/>
  <c r="AI1534" i="10"/>
  <c r="AI1533" i="10"/>
  <c r="AI1532" i="10"/>
  <c r="AI1531" i="10"/>
  <c r="AI1530" i="10"/>
  <c r="AI1529" i="10"/>
  <c r="AI1528" i="10"/>
  <c r="AI1527" i="10"/>
  <c r="AI1526" i="10"/>
  <c r="AI1525" i="10"/>
  <c r="AI1524" i="10"/>
  <c r="AI1523" i="10"/>
  <c r="AI1522" i="10"/>
  <c r="AI1521" i="10"/>
  <c r="AI1520" i="10"/>
  <c r="AI1519" i="10"/>
  <c r="AI1518" i="10"/>
  <c r="AI1517" i="10"/>
  <c r="AI1516" i="10"/>
  <c r="AI1515" i="10"/>
  <c r="AI1514" i="10"/>
  <c r="AI1513" i="10"/>
  <c r="AI1512" i="10"/>
  <c r="AI1511" i="10"/>
  <c r="AI1510" i="10"/>
  <c r="AI1509" i="10"/>
  <c r="AI1508" i="10"/>
  <c r="AI1507" i="10"/>
  <c r="AI1506" i="10"/>
  <c r="AI1505" i="10"/>
  <c r="AI1504" i="10"/>
  <c r="AI1503" i="10"/>
  <c r="AI1502" i="10"/>
  <c r="AI1500" i="10"/>
  <c r="AI1501" i="10"/>
  <c r="AI1499" i="10"/>
  <c r="AI1498" i="10"/>
  <c r="AI1497" i="10"/>
  <c r="AI1496" i="10"/>
  <c r="AI1495" i="10"/>
  <c r="AI1494" i="10"/>
  <c r="AI1493" i="10"/>
  <c r="AI1492" i="10"/>
  <c r="AI1491" i="10"/>
  <c r="AI1490" i="10"/>
  <c r="AI1489" i="10"/>
  <c r="AI1488" i="10"/>
  <c r="AI1487" i="10"/>
  <c r="AI1486" i="10"/>
  <c r="AI1485" i="10"/>
  <c r="AI1484" i="10"/>
  <c r="AI1483" i="10"/>
  <c r="AI1482" i="10"/>
  <c r="AI1481" i="10"/>
  <c r="AI1480" i="10"/>
  <c r="AI1479" i="10"/>
  <c r="AI1478" i="10"/>
  <c r="AI1477" i="10"/>
  <c r="AI1476" i="10"/>
  <c r="AI1475" i="10"/>
  <c r="AI1474" i="10"/>
  <c r="AI1473" i="10"/>
  <c r="AI1472" i="10"/>
  <c r="AI1471" i="10"/>
  <c r="AI1470" i="10"/>
  <c r="AI1469" i="10"/>
  <c r="AI1468" i="10"/>
  <c r="AI1467" i="10"/>
  <c r="AI1466" i="10"/>
  <c r="AI1465" i="10"/>
  <c r="AI1464" i="10"/>
  <c r="AI1463" i="10"/>
  <c r="AI1462" i="10"/>
  <c r="AI1461" i="10"/>
  <c r="AI1460" i="10"/>
  <c r="AI1459" i="10"/>
  <c r="AI1458" i="10"/>
  <c r="AI1457" i="10"/>
  <c r="AI1456" i="10"/>
  <c r="AI1455" i="10"/>
  <c r="AI1454" i="10"/>
  <c r="AI1453" i="10"/>
  <c r="AI1452" i="10"/>
  <c r="AI1451" i="10"/>
  <c r="AI1450" i="10"/>
  <c r="AI1449" i="10"/>
  <c r="AI1448" i="10"/>
  <c r="AI1447" i="10"/>
  <c r="AI1446" i="10"/>
  <c r="AI1445" i="10"/>
  <c r="AI1444" i="10"/>
  <c r="AI1443" i="10"/>
  <c r="AI1442" i="10"/>
  <c r="AI1441" i="10"/>
  <c r="AI1440" i="10"/>
  <c r="AI1439" i="10"/>
  <c r="AI1438" i="10"/>
  <c r="AI1437" i="10"/>
  <c r="AI1436" i="10"/>
  <c r="AI1435" i="10"/>
  <c r="AI1434" i="10"/>
  <c r="AI1433" i="10"/>
  <c r="AI1432" i="10"/>
  <c r="AI1431" i="10"/>
  <c r="AI1430" i="10"/>
  <c r="AI1429" i="10"/>
  <c r="AI1428" i="10"/>
  <c r="AI1427" i="10"/>
  <c r="AI1426" i="10"/>
  <c r="AI1425" i="10"/>
  <c r="AI1424" i="10"/>
  <c r="AI1423" i="10"/>
  <c r="AI1422" i="10"/>
  <c r="AI1421" i="10"/>
  <c r="AI1420" i="10"/>
  <c r="AI1419" i="10"/>
  <c r="AI1418" i="10"/>
  <c r="AI1417" i="10"/>
  <c r="AI1416" i="10"/>
  <c r="AI1415" i="10"/>
  <c r="AI1414" i="10"/>
  <c r="AI1413" i="10"/>
  <c r="AI1412" i="10"/>
  <c r="AI1411" i="10"/>
  <c r="AI1410" i="10"/>
  <c r="AI1409" i="10"/>
  <c r="AI1408" i="10"/>
  <c r="AI1407" i="10"/>
  <c r="AI1406" i="10"/>
  <c r="AI1405" i="10"/>
  <c r="AI1404" i="10"/>
  <c r="AI1403" i="10"/>
  <c r="AI1402" i="10"/>
  <c r="AI1401" i="10"/>
  <c r="AI1400" i="10"/>
  <c r="AI1399" i="10"/>
  <c r="AI1398" i="10"/>
  <c r="AI1397" i="10"/>
  <c r="AI1396" i="10"/>
  <c r="AI1395" i="10"/>
  <c r="AI1394" i="10"/>
  <c r="AI1393" i="10"/>
  <c r="AI1392" i="10"/>
  <c r="AI1391" i="10"/>
  <c r="AI1390" i="10"/>
  <c r="AI1389" i="10"/>
  <c r="AI1388" i="10"/>
  <c r="AI1387" i="10"/>
  <c r="AI1386" i="10"/>
  <c r="AI1385" i="10"/>
  <c r="AI1384" i="10"/>
  <c r="AI1383" i="10"/>
  <c r="AI1382" i="10"/>
  <c r="AI1381" i="10"/>
  <c r="AI1380" i="10"/>
  <c r="AI1379" i="10"/>
  <c r="AI1378" i="10"/>
  <c r="AI1377" i="10"/>
  <c r="AI1376" i="10"/>
  <c r="AI1375" i="10"/>
  <c r="AI1374" i="10"/>
  <c r="AI1373" i="10"/>
  <c r="AI1372" i="10"/>
  <c r="AI1371" i="10"/>
  <c r="AI1370" i="10"/>
  <c r="AI1369" i="10"/>
  <c r="AI1368" i="10"/>
  <c r="AI1367" i="10"/>
  <c r="AI1366" i="10"/>
  <c r="AI1365" i="10"/>
  <c r="AI1364" i="10"/>
  <c r="AI1363" i="10"/>
  <c r="AI1362" i="10"/>
  <c r="AI1361" i="10"/>
  <c r="AI1360" i="10"/>
  <c r="AI1359" i="10"/>
  <c r="AI1358" i="10"/>
  <c r="AI1357" i="10"/>
  <c r="AI1356" i="10"/>
  <c r="AI1355" i="10"/>
  <c r="AI1354" i="10"/>
  <c r="AI1353" i="10"/>
  <c r="AI1352" i="10"/>
  <c r="AI1351" i="10"/>
  <c r="AI1350" i="10"/>
  <c r="AI1349" i="10"/>
  <c r="AI1348" i="10"/>
  <c r="AI1347" i="10"/>
  <c r="AI1346" i="10"/>
  <c r="AI1345" i="10"/>
  <c r="AI1344" i="10"/>
  <c r="AI1343" i="10"/>
  <c r="AI1342" i="10"/>
  <c r="AI1341" i="10"/>
  <c r="AI1340" i="10"/>
  <c r="AI1339" i="10"/>
  <c r="AI1338" i="10"/>
  <c r="AI1337" i="10"/>
  <c r="AI1336" i="10"/>
  <c r="AI1335" i="10"/>
  <c r="AI1334" i="10"/>
  <c r="AI1333" i="10"/>
  <c r="AI1332" i="10"/>
  <c r="AI1331" i="10"/>
  <c r="AI1330" i="10"/>
  <c r="AI1329" i="10"/>
  <c r="AI1328" i="10"/>
  <c r="AI1327" i="10"/>
  <c r="AI1326" i="10"/>
  <c r="AI1325" i="10"/>
  <c r="AI1324" i="10"/>
  <c r="AI1323" i="10"/>
  <c r="AI1322" i="10"/>
  <c r="AI1321" i="10"/>
  <c r="AI1320" i="10"/>
  <c r="AI1319" i="10"/>
  <c r="AI1318" i="10"/>
  <c r="AI1317" i="10"/>
  <c r="AI1316" i="10"/>
  <c r="AI1315" i="10"/>
  <c r="AI1314" i="10"/>
  <c r="AI1313" i="10"/>
  <c r="AI1312" i="10"/>
  <c r="AI1311" i="10"/>
  <c r="AI1310" i="10"/>
  <c r="AI1309" i="10"/>
  <c r="AI1308" i="10"/>
  <c r="AI1307" i="10"/>
  <c r="AI1306" i="10"/>
  <c r="AI1305" i="10"/>
  <c r="AI1304" i="10"/>
  <c r="AI1303" i="10"/>
  <c r="AI1302" i="10"/>
  <c r="AI1301" i="10"/>
  <c r="AI1300" i="10"/>
  <c r="AI1299" i="10"/>
  <c r="AI1298" i="10"/>
  <c r="AI1297" i="10"/>
  <c r="AI1296" i="10"/>
  <c r="AI1295" i="10"/>
  <c r="AI1294" i="10"/>
  <c r="AI1293" i="10"/>
  <c r="AI1292" i="10"/>
  <c r="AI1291" i="10"/>
  <c r="AI1290" i="10"/>
  <c r="AI1289" i="10"/>
  <c r="AI1288" i="10"/>
  <c r="AI1287" i="10"/>
  <c r="AI1286" i="10"/>
  <c r="AI1285" i="10"/>
  <c r="AI1284" i="10"/>
  <c r="AI1283" i="10"/>
  <c r="AI1282" i="10"/>
  <c r="AI1281" i="10"/>
  <c r="AI1280" i="10"/>
  <c r="AI1279" i="10"/>
  <c r="AI1278" i="10"/>
  <c r="AI1277" i="10"/>
  <c r="AI1276" i="10"/>
  <c r="AI1275" i="10"/>
  <c r="AI1274" i="10"/>
  <c r="AI1273" i="10"/>
  <c r="AI1272" i="10"/>
  <c r="AI1271" i="10"/>
  <c r="AI1270" i="10"/>
  <c r="AI1269" i="10"/>
  <c r="AI1268" i="10"/>
  <c r="AI1267" i="10"/>
  <c r="AI1266" i="10"/>
  <c r="AI1265" i="10"/>
  <c r="AI1264" i="10"/>
  <c r="AI1263" i="10"/>
  <c r="AI1262" i="10"/>
  <c r="AI1261" i="10"/>
  <c r="AI1260" i="10"/>
  <c r="AI1259" i="10"/>
  <c r="AI1258" i="10"/>
  <c r="AI1257" i="10"/>
  <c r="AI1256" i="10"/>
  <c r="AI1255" i="10"/>
  <c r="AI1254" i="10"/>
  <c r="AI1253" i="10"/>
  <c r="AI1252" i="10"/>
  <c r="AI1251" i="10"/>
  <c r="AI1250" i="10"/>
  <c r="AI1249" i="10"/>
  <c r="AI1248" i="10"/>
  <c r="AI1247" i="10"/>
  <c r="AI1246" i="10"/>
  <c r="AI1245" i="10"/>
  <c r="AI1244" i="10"/>
  <c r="AI1243" i="10"/>
  <c r="AI1242" i="10"/>
  <c r="AI1241" i="10"/>
  <c r="AI1240" i="10"/>
  <c r="AI1239" i="10"/>
  <c r="AI1238" i="10"/>
  <c r="AI1237" i="10"/>
  <c r="AI1236" i="10"/>
  <c r="AI1235" i="10"/>
  <c r="AI1234" i="10"/>
  <c r="AI1233" i="10"/>
  <c r="AI1232" i="10"/>
  <c r="AI1231" i="10"/>
  <c r="AI1230" i="10"/>
  <c r="AI1229" i="10"/>
  <c r="AI1228" i="10"/>
  <c r="AI1227" i="10"/>
  <c r="AI1226" i="10"/>
  <c r="AI1225" i="10"/>
  <c r="AI1224" i="10"/>
  <c r="AI1223" i="10"/>
  <c r="AI1222" i="10"/>
  <c r="AI1221" i="10"/>
  <c r="AI1220" i="10"/>
  <c r="AI1219" i="10"/>
  <c r="AI1218" i="10"/>
  <c r="AI1217" i="10"/>
  <c r="AI1216" i="10"/>
  <c r="AI1215" i="10"/>
  <c r="AI1214" i="10"/>
  <c r="AI1213" i="10"/>
  <c r="AI1212" i="10"/>
  <c r="AI1211" i="10"/>
  <c r="AI1210" i="10"/>
  <c r="AI1209" i="10"/>
  <c r="AI1208" i="10"/>
  <c r="AI1207" i="10"/>
  <c r="AI1206" i="10"/>
  <c r="AI1205" i="10"/>
  <c r="AI1204" i="10"/>
  <c r="AI1203" i="10"/>
  <c r="AI1202" i="10"/>
  <c r="AI1201" i="10"/>
  <c r="AI1200" i="10"/>
  <c r="AI1199" i="10"/>
  <c r="AI1198" i="10"/>
  <c r="AI1197" i="10"/>
  <c r="AI1196" i="10"/>
  <c r="AI1195" i="10"/>
  <c r="AI1194" i="10"/>
  <c r="AI1193" i="10"/>
  <c r="AI1192" i="10"/>
  <c r="AI1191" i="10"/>
  <c r="AI1190" i="10"/>
  <c r="AI1189" i="10"/>
  <c r="AI1188" i="10"/>
  <c r="AI1187" i="10"/>
  <c r="AI1186" i="10"/>
  <c r="AI1185" i="10"/>
  <c r="AI1184" i="10"/>
  <c r="AI1183" i="10"/>
  <c r="AI1182" i="10"/>
  <c r="AI1181" i="10"/>
  <c r="AI1180" i="10"/>
  <c r="AI1179" i="10"/>
  <c r="AI1178" i="10"/>
  <c r="AI1177" i="10"/>
  <c r="AI1176" i="10"/>
  <c r="AI1175" i="10"/>
  <c r="AI1174" i="10"/>
  <c r="AI1173" i="10"/>
  <c r="AI1172" i="10"/>
  <c r="AI1171" i="10"/>
  <c r="AI1170" i="10"/>
  <c r="AI1169" i="10"/>
  <c r="AI1168" i="10"/>
  <c r="AI1167" i="10"/>
  <c r="AI1166" i="10"/>
  <c r="AI1165" i="10"/>
  <c r="AI1164" i="10"/>
  <c r="AI1163" i="10"/>
  <c r="AI1162" i="10"/>
  <c r="AI1161" i="10"/>
  <c r="AI1160" i="10"/>
  <c r="AI1159" i="10"/>
  <c r="AI1158" i="10"/>
  <c r="AI1157" i="10"/>
  <c r="AI1156" i="10"/>
  <c r="AI1155" i="10"/>
  <c r="AI1154" i="10"/>
  <c r="AI1153" i="10"/>
  <c r="AI1152" i="10"/>
  <c r="AI1151" i="10"/>
  <c r="AI1150" i="10"/>
  <c r="AI1149" i="10"/>
  <c r="AI1148" i="10"/>
  <c r="AI1147" i="10"/>
  <c r="AI1146" i="10"/>
  <c r="AI1145" i="10"/>
  <c r="AI1144" i="10"/>
  <c r="AI1143" i="10"/>
  <c r="AI1142" i="10"/>
  <c r="AI1141" i="10"/>
  <c r="AI1140" i="10"/>
  <c r="AI1139" i="10"/>
  <c r="AI1138" i="10"/>
  <c r="AI1137" i="10"/>
  <c r="AI1136" i="10"/>
  <c r="AI1135" i="10"/>
  <c r="AI1134" i="10"/>
  <c r="AI1133" i="10"/>
  <c r="AI1132" i="10"/>
  <c r="AI1131" i="10"/>
  <c r="AI1130" i="10"/>
  <c r="AI1129" i="10"/>
  <c r="AI1128" i="10"/>
  <c r="AI1127" i="10"/>
  <c r="AI1126" i="10"/>
  <c r="AI1125" i="10"/>
  <c r="AI1124" i="10"/>
  <c r="AI1123" i="10"/>
  <c r="AI1122" i="10"/>
  <c r="AI1121" i="10"/>
  <c r="AI1120" i="10"/>
  <c r="AI1119" i="10"/>
  <c r="AI1118" i="10"/>
  <c r="AI1117" i="10"/>
  <c r="AI1116" i="10"/>
  <c r="AI1115" i="10"/>
  <c r="AI1114" i="10"/>
  <c r="AI1113" i="10"/>
  <c r="AI1112" i="10"/>
  <c r="AI1111" i="10"/>
  <c r="AI1110" i="10"/>
  <c r="AI1109" i="10"/>
  <c r="AI1108" i="10"/>
  <c r="AI1107" i="10"/>
  <c r="AI1106" i="10"/>
  <c r="AI1105" i="10"/>
  <c r="AI1104" i="10"/>
  <c r="AI1103" i="10"/>
  <c r="AI1102" i="10"/>
  <c r="AI1101" i="10"/>
  <c r="AI1100" i="10"/>
  <c r="AI1099" i="10"/>
  <c r="AI1098" i="10"/>
  <c r="AI1097" i="10"/>
  <c r="AI1096" i="10"/>
  <c r="AI1095" i="10"/>
  <c r="AI1094" i="10"/>
  <c r="AI1093" i="10"/>
  <c r="AG461" i="10"/>
  <c r="Y461" i="10"/>
  <c r="B461" i="10"/>
  <c r="A461" i="10"/>
  <c r="Y462" i="10"/>
  <c r="B462" i="10"/>
  <c r="A462" i="10"/>
  <c r="AG463" i="10"/>
  <c r="Y463" i="10"/>
  <c r="B463" i="10"/>
  <c r="A463" i="10"/>
  <c r="AG464" i="10"/>
  <c r="Y464" i="10"/>
  <c r="B464" i="10"/>
  <c r="A464" i="10"/>
  <c r="AG465" i="10"/>
  <c r="Y465" i="10"/>
  <c r="B465" i="10"/>
  <c r="A465" i="10"/>
  <c r="AG466" i="10"/>
  <c r="Y466" i="10"/>
  <c r="A466" i="10"/>
  <c r="B466" i="10"/>
  <c r="AG467" i="10"/>
  <c r="AH467" i="10" s="1"/>
  <c r="Y467" i="10"/>
  <c r="B467" i="10"/>
  <c r="A467" i="10"/>
  <c r="Y468" i="10"/>
  <c r="B468" i="10"/>
  <c r="A468" i="10"/>
  <c r="AG469" i="10"/>
  <c r="Y469" i="10"/>
  <c r="B469" i="10"/>
  <c r="A469" i="10"/>
  <c r="AG470" i="10"/>
  <c r="Y470" i="10"/>
  <c r="B470" i="10"/>
  <c r="A470" i="10"/>
  <c r="AG471" i="10"/>
  <c r="Y471" i="10"/>
  <c r="B471" i="10"/>
  <c r="A471" i="10"/>
  <c r="X472" i="10"/>
  <c r="AG472" i="10"/>
  <c r="Y472" i="10"/>
  <c r="B472" i="10"/>
  <c r="A472" i="10"/>
  <c r="AG473" i="10"/>
  <c r="AH473" i="10" s="1"/>
  <c r="Y473" i="10"/>
  <c r="B473" i="10"/>
  <c r="A473" i="10"/>
  <c r="AG474" i="10"/>
  <c r="Y474" i="10"/>
  <c r="B474" i="10"/>
  <c r="A474" i="10"/>
  <c r="AG475" i="10"/>
  <c r="Y475" i="10"/>
  <c r="B475" i="10"/>
  <c r="A475" i="10"/>
  <c r="AG476" i="10"/>
  <c r="Y476" i="10"/>
  <c r="B476" i="10"/>
  <c r="A476" i="10"/>
  <c r="AG478" i="10"/>
  <c r="Y478" i="10"/>
  <c r="B478" i="10"/>
  <c r="A478" i="10"/>
  <c r="AG477" i="10"/>
  <c r="Y477" i="10"/>
  <c r="B477" i="10"/>
  <c r="A477" i="10"/>
  <c r="AG479" i="10"/>
  <c r="Y479" i="10"/>
  <c r="B479" i="10"/>
  <c r="A479" i="10"/>
  <c r="AG480" i="10"/>
  <c r="Y480" i="10"/>
  <c r="B480" i="10"/>
  <c r="A480" i="10"/>
  <c r="AG481" i="10"/>
  <c r="Y481" i="10"/>
  <c r="B481" i="10"/>
  <c r="A481" i="10"/>
  <c r="AG482" i="10"/>
  <c r="Y482" i="10"/>
  <c r="B482" i="10"/>
  <c r="A482"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6" i="10"/>
  <c r="A597" i="10"/>
  <c r="A598" i="10"/>
  <c r="A599" i="10"/>
  <c r="A600" i="10"/>
  <c r="A601" i="10"/>
  <c r="A602" i="10"/>
  <c r="A603" i="10"/>
  <c r="A604" i="10"/>
  <c r="A605" i="10"/>
  <c r="A606" i="10"/>
  <c r="A607" i="10"/>
  <c r="A608" i="10"/>
  <c r="A609" i="10"/>
  <c r="A610" i="10"/>
  <c r="A611" i="10"/>
  <c r="A483" i="10"/>
  <c r="A613" i="10"/>
  <c r="A617" i="10"/>
  <c r="A619" i="10"/>
  <c r="A620" i="10"/>
  <c r="A626" i="10"/>
  <c r="A629" i="10"/>
  <c r="A628" i="10"/>
  <c r="A638" i="10"/>
  <c r="A644" i="10"/>
  <c r="A643" i="10"/>
  <c r="A647" i="10"/>
  <c r="A652" i="10"/>
  <c r="A651" i="10"/>
  <c r="A650" i="10"/>
  <c r="A660" i="10"/>
  <c r="A659" i="10"/>
  <c r="A663" i="10"/>
  <c r="A673" i="10"/>
  <c r="A683" i="10"/>
  <c r="AG483" i="10"/>
  <c r="AH483" i="10" s="1"/>
  <c r="Y483" i="10"/>
  <c r="B483" i="10"/>
  <c r="AG484" i="10"/>
  <c r="AH484" i="10" s="1"/>
  <c r="Y484" i="10"/>
  <c r="B484" i="10"/>
  <c r="AG485" i="10"/>
  <c r="Y485" i="10"/>
  <c r="B485" i="10"/>
  <c r="AG486" i="10"/>
  <c r="Y486" i="10"/>
  <c r="B486" i="10"/>
  <c r="AG487" i="10"/>
  <c r="AH487" i="10" s="1"/>
  <c r="Y487" i="10"/>
  <c r="B487" i="10"/>
  <c r="AG488" i="10"/>
  <c r="Y488" i="10"/>
  <c r="B488" i="10"/>
  <c r="AG493" i="10"/>
  <c r="Y493" i="10"/>
  <c r="B493" i="10"/>
  <c r="AG492" i="10"/>
  <c r="Y492" i="10"/>
  <c r="B492" i="10"/>
  <c r="AG491" i="10"/>
  <c r="Y491" i="10"/>
  <c r="B491" i="10"/>
  <c r="AG490" i="10"/>
  <c r="Y490" i="10"/>
  <c r="B490" i="10"/>
  <c r="AG489" i="10"/>
  <c r="Y489" i="10"/>
  <c r="B489" i="10"/>
  <c r="AG497" i="10"/>
  <c r="Y497" i="10"/>
  <c r="B497" i="10"/>
  <c r="AG496" i="10"/>
  <c r="Y496" i="10"/>
  <c r="B496" i="10"/>
  <c r="AG495" i="10"/>
  <c r="Y495" i="10"/>
  <c r="B495" i="10"/>
  <c r="AG494" i="10"/>
  <c r="Y494" i="10"/>
  <c r="B494" i="10"/>
  <c r="AG499" i="10"/>
  <c r="Y499" i="10"/>
  <c r="B499" i="10"/>
  <c r="AG498" i="10"/>
  <c r="Y498" i="10"/>
  <c r="B498" i="10"/>
  <c r="AG500" i="10"/>
  <c r="Y500" i="10"/>
  <c r="B500" i="10"/>
  <c r="AG501" i="10"/>
  <c r="Y501" i="10"/>
  <c r="B501" i="10"/>
  <c r="AG503" i="10"/>
  <c r="Y503" i="10"/>
  <c r="B503" i="10"/>
  <c r="AG502" i="10"/>
  <c r="Y502" i="10"/>
  <c r="B502" i="10"/>
  <c r="AG504" i="10"/>
  <c r="Y504" i="10"/>
  <c r="B504" i="10"/>
  <c r="AG505" i="10"/>
  <c r="AI505" i="10" s="1"/>
  <c r="Y505" i="10"/>
  <c r="B505" i="10"/>
  <c r="AG506" i="10"/>
  <c r="AI506" i="10" s="1"/>
  <c r="Y506" i="10"/>
  <c r="B506" i="10"/>
  <c r="AG507" i="10"/>
  <c r="AI507" i="10" s="1"/>
  <c r="Y507" i="10"/>
  <c r="B507" i="10"/>
  <c r="AG508" i="10"/>
  <c r="AI508" i="10" s="1"/>
  <c r="Y508" i="10"/>
  <c r="B508" i="10"/>
  <c r="Y509" i="10"/>
  <c r="B509" i="10"/>
  <c r="W510" i="10"/>
  <c r="AG511" i="10"/>
  <c r="AI511" i="10" s="1"/>
  <c r="Y511" i="10"/>
  <c r="B511" i="10"/>
  <c r="AG510" i="10"/>
  <c r="AI510" i="10" s="1"/>
  <c r="Y510" i="10"/>
  <c r="B510" i="10"/>
  <c r="AG512" i="10"/>
  <c r="AI512" i="10" s="1"/>
  <c r="Y512" i="10"/>
  <c r="B512" i="10"/>
  <c r="AG513" i="10"/>
  <c r="AI513" i="10" s="1"/>
  <c r="Y513" i="10"/>
  <c r="B513" i="10"/>
  <c r="AG514" i="10"/>
  <c r="AI514" i="10" s="1"/>
  <c r="Y514" i="10"/>
  <c r="B514" i="10"/>
  <c r="AG515" i="10"/>
  <c r="AI515" i="10" s="1"/>
  <c r="Y515" i="10"/>
  <c r="B515" i="10"/>
  <c r="AG516" i="10"/>
  <c r="Y516" i="10"/>
  <c r="B516" i="10"/>
  <c r="AG517" i="10"/>
  <c r="AI517" i="10" s="1"/>
  <c r="Y517" i="10"/>
  <c r="B517" i="10"/>
  <c r="X523" i="10"/>
  <c r="AG518" i="10"/>
  <c r="AI518" i="10" s="1"/>
  <c r="Y518" i="10"/>
  <c r="B518" i="10"/>
  <c r="AG519" i="10"/>
  <c r="AI519" i="10" s="1"/>
  <c r="Y519" i="10"/>
  <c r="B519" i="10"/>
  <c r="AG520" i="10"/>
  <c r="AI520" i="10" s="1"/>
  <c r="Y520" i="10"/>
  <c r="B520" i="10"/>
  <c r="AG521" i="10"/>
  <c r="AI521" i="10" s="1"/>
  <c r="Y521" i="10"/>
  <c r="B521" i="10"/>
  <c r="AG522" i="10"/>
  <c r="AI522" i="10" s="1"/>
  <c r="Y522" i="10"/>
  <c r="B522" i="10"/>
  <c r="AG523" i="10"/>
  <c r="AI523" i="10" s="1"/>
  <c r="Y523" i="10"/>
  <c r="B523" i="10"/>
  <c r="AG524" i="10"/>
  <c r="AI524" i="10" s="1"/>
  <c r="Y524" i="10"/>
  <c r="B524" i="10"/>
  <c r="AG526" i="10"/>
  <c r="AI526" i="10" s="1"/>
  <c r="Y526" i="10"/>
  <c r="B526" i="10"/>
  <c r="AG525" i="10"/>
  <c r="AI525" i="10" s="1"/>
  <c r="Y525" i="10"/>
  <c r="B525" i="10"/>
  <c r="AG527" i="10"/>
  <c r="AI527" i="10" s="1"/>
  <c r="Y527" i="10"/>
  <c r="B527" i="10"/>
  <c r="AG528" i="10"/>
  <c r="AI528" i="10" s="1"/>
  <c r="Y528" i="10"/>
  <c r="B528" i="10"/>
  <c r="X530" i="10"/>
  <c r="X734" i="10"/>
  <c r="AG530" i="10"/>
  <c r="AI530" i="10" s="1"/>
  <c r="Y530" i="10"/>
  <c r="B530" i="10"/>
  <c r="AG531" i="10"/>
  <c r="AI531" i="10" s="1"/>
  <c r="Y531" i="10"/>
  <c r="B531" i="10"/>
  <c r="AG532" i="10"/>
  <c r="AI532" i="10" s="1"/>
  <c r="Y532" i="10"/>
  <c r="B532" i="10"/>
  <c r="AG533" i="10"/>
  <c r="AI533" i="10" s="1"/>
  <c r="Y533" i="10"/>
  <c r="B533" i="10"/>
  <c r="AG534" i="10"/>
  <c r="AI534" i="10" s="1"/>
  <c r="Y534" i="10"/>
  <c r="B534" i="10"/>
  <c r="AG535" i="10"/>
  <c r="AI535" i="10" s="1"/>
  <c r="Y535" i="10"/>
  <c r="B535" i="10"/>
  <c r="AG536" i="10"/>
  <c r="AI536" i="10" s="1"/>
  <c r="Y536" i="10"/>
  <c r="B536" i="10"/>
  <c r="AG537" i="10"/>
  <c r="AI537" i="10" s="1"/>
  <c r="Y537" i="10"/>
  <c r="B537" i="10"/>
  <c r="AG538" i="10"/>
  <c r="Y538" i="10"/>
  <c r="B538" i="10"/>
  <c r="AG539" i="10"/>
  <c r="Y539" i="10"/>
  <c r="B539" i="10"/>
  <c r="AG540" i="10"/>
  <c r="AI540" i="10" s="1"/>
  <c r="Y540" i="10"/>
  <c r="B540" i="10"/>
  <c r="AG541" i="10"/>
  <c r="AI541" i="10" s="1"/>
  <c r="Y541" i="10"/>
  <c r="B541" i="10"/>
  <c r="X557" i="10"/>
  <c r="AG542" i="10"/>
  <c r="AI542" i="10" s="1"/>
  <c r="Y542" i="10"/>
  <c r="B542" i="10"/>
  <c r="AG543" i="10"/>
  <c r="AI543" i="10" s="1"/>
  <c r="Y543" i="10"/>
  <c r="B543" i="10"/>
  <c r="Y544" i="10"/>
  <c r="B544" i="10"/>
  <c r="Y545" i="10"/>
  <c r="B545" i="10"/>
  <c r="AG546" i="10"/>
  <c r="AI546" i="10" s="1"/>
  <c r="Y546" i="10"/>
  <c r="B546" i="10"/>
  <c r="AG548" i="10"/>
  <c r="AI548" i="10" s="1"/>
  <c r="Y548" i="10"/>
  <c r="B548" i="10"/>
  <c r="AG547" i="10"/>
  <c r="AI547" i="10" s="1"/>
  <c r="Y547" i="10"/>
  <c r="B547" i="10"/>
  <c r="AG549" i="10"/>
  <c r="AI549" i="10" s="1"/>
  <c r="Y549" i="10"/>
  <c r="B549" i="10"/>
  <c r="AG550" i="10"/>
  <c r="AI550" i="10" s="1"/>
  <c r="Y550" i="10"/>
  <c r="B550" i="10"/>
  <c r="B551" i="10"/>
  <c r="AG551" i="10"/>
  <c r="AI551" i="10" s="1"/>
  <c r="Y551" i="10"/>
  <c r="AG552" i="10"/>
  <c r="AI552" i="10" s="1"/>
  <c r="Y552" i="10"/>
  <c r="B552" i="10"/>
  <c r="AG553" i="10"/>
  <c r="AI553" i="10" s="1"/>
  <c r="Y553" i="10"/>
  <c r="B553" i="10"/>
  <c r="AG554" i="10"/>
  <c r="AI554" i="10" s="1"/>
  <c r="Y554" i="10"/>
  <c r="B554" i="10"/>
  <c r="AG555" i="10"/>
  <c r="AI555" i="10" s="1"/>
  <c r="Y555" i="10"/>
  <c r="B555" i="10"/>
  <c r="AG558" i="10"/>
  <c r="AI558" i="10" s="1"/>
  <c r="Y558" i="10"/>
  <c r="B558" i="10"/>
  <c r="AG557" i="10"/>
  <c r="AI557" i="10" s="1"/>
  <c r="Y557" i="10"/>
  <c r="B557" i="10"/>
  <c r="AG556" i="10"/>
  <c r="AI556" i="10" s="1"/>
  <c r="Y556" i="10"/>
  <c r="B556" i="10"/>
  <c r="X563" i="10"/>
  <c r="Y563" i="10" s="1"/>
  <c r="Y559" i="10"/>
  <c r="B559" i="10"/>
  <c r="B560" i="10"/>
  <c r="Y560" i="10"/>
  <c r="AG560" i="10"/>
  <c r="AG561" i="10"/>
  <c r="Y561" i="10"/>
  <c r="B561" i="10"/>
  <c r="AG562" i="10"/>
  <c r="Y562" i="10"/>
  <c r="B562" i="10"/>
  <c r="AG563" i="10"/>
  <c r="B563" i="10"/>
  <c r="AG564" i="10"/>
  <c r="AI564" i="10" s="1"/>
  <c r="Y564" i="10"/>
  <c r="B564" i="10"/>
  <c r="AG565" i="10"/>
  <c r="AI565" i="10" s="1"/>
  <c r="Y565" i="10"/>
  <c r="B565" i="10"/>
  <c r="AG566" i="10"/>
  <c r="AI566" i="10" s="1"/>
  <c r="Y566" i="10"/>
  <c r="B566" i="10"/>
  <c r="AG567" i="10"/>
  <c r="AI567" i="10" s="1"/>
  <c r="Y567" i="10"/>
  <c r="B567" i="10"/>
  <c r="AG568" i="10"/>
  <c r="AI568" i="10" s="1"/>
  <c r="Y568" i="10"/>
  <c r="B568" i="10"/>
  <c r="AG569" i="10"/>
  <c r="AI569" i="10" s="1"/>
  <c r="Y569" i="10"/>
  <c r="B569" i="10"/>
  <c r="AG570" i="10"/>
  <c r="AI570" i="10" s="1"/>
  <c r="Y570" i="10"/>
  <c r="B570" i="10"/>
  <c r="AG571" i="10"/>
  <c r="AI571" i="10" s="1"/>
  <c r="Y571" i="10"/>
  <c r="B571" i="10"/>
  <c r="AG572" i="10"/>
  <c r="AI572" i="10" s="1"/>
  <c r="Y572" i="10"/>
  <c r="B572" i="10"/>
  <c r="Y577" i="10"/>
  <c r="Y576" i="10"/>
  <c r="Y575" i="10"/>
  <c r="Y574" i="10"/>
  <c r="Y573" i="10"/>
  <c r="AG573" i="10"/>
  <c r="AI573" i="10" s="1"/>
  <c r="B573" i="10"/>
  <c r="AG574" i="10"/>
  <c r="AI574" i="10" s="1"/>
  <c r="B574" i="10"/>
  <c r="AG575" i="10"/>
  <c r="AI575" i="10" s="1"/>
  <c r="B575" i="10"/>
  <c r="AG576" i="10"/>
  <c r="AI576" i="10" s="1"/>
  <c r="B576" i="10"/>
  <c r="AG577" i="10"/>
  <c r="AI577" i="10" s="1"/>
  <c r="B577" i="10"/>
  <c r="AG578" i="10"/>
  <c r="AI578" i="10" s="1"/>
  <c r="Y578" i="10"/>
  <c r="B578" i="10"/>
  <c r="AG579" i="10"/>
  <c r="AI579" i="10" s="1"/>
  <c r="Y579" i="10"/>
  <c r="B579" i="10"/>
  <c r="X639" i="10"/>
  <c r="X582" i="10"/>
  <c r="AG580" i="10"/>
  <c r="AI580" i="10" s="1"/>
  <c r="Y580" i="10"/>
  <c r="B580" i="10"/>
  <c r="AG581" i="10"/>
  <c r="Y581" i="10"/>
  <c r="B581" i="10"/>
  <c r="AG582" i="10"/>
  <c r="AI582" i="10" s="1"/>
  <c r="Y582" i="10"/>
  <c r="B582" i="10"/>
  <c r="AG583" i="10"/>
  <c r="AI583" i="10" s="1"/>
  <c r="Y583" i="10"/>
  <c r="B583" i="10"/>
  <c r="AG585" i="10"/>
  <c r="Y585" i="10"/>
  <c r="B585" i="10"/>
  <c r="Y584" i="10"/>
  <c r="B584" i="10"/>
  <c r="AG586" i="10"/>
  <c r="AI586" i="10" s="1"/>
  <c r="Y586" i="10"/>
  <c r="B586" i="10"/>
  <c r="AG588" i="10"/>
  <c r="AI588" i="10" s="1"/>
  <c r="Y588" i="10"/>
  <c r="B588" i="10"/>
  <c r="AG587" i="10"/>
  <c r="Y587" i="10"/>
  <c r="B587" i="10"/>
  <c r="AG589" i="10"/>
  <c r="AI589" i="10" s="1"/>
  <c r="Y589" i="10"/>
  <c r="B589" i="10"/>
  <c r="AG594" i="10"/>
  <c r="AI594" i="10" s="1"/>
  <c r="Y594" i="10"/>
  <c r="B594" i="10"/>
  <c r="AG593" i="10"/>
  <c r="AI593" i="10" s="1"/>
  <c r="Y593" i="10"/>
  <c r="B593" i="10"/>
  <c r="A614" i="10"/>
  <c r="AG592" i="10"/>
  <c r="AI592" i="10" s="1"/>
  <c r="Y592" i="10"/>
  <c r="B592" i="10"/>
  <c r="AG591" i="10"/>
  <c r="AI591" i="10" s="1"/>
  <c r="Y591" i="10"/>
  <c r="B591" i="10"/>
  <c r="AG590" i="10"/>
  <c r="AI590" i="10" s="1"/>
  <c r="Y590" i="10"/>
  <c r="B590" i="10"/>
  <c r="AG600" i="10"/>
  <c r="AI600" i="10" s="1"/>
  <c r="Y600" i="10"/>
  <c r="B600" i="10"/>
  <c r="AG599" i="10"/>
  <c r="AI599" i="10" s="1"/>
  <c r="Y599" i="10"/>
  <c r="B599" i="10"/>
  <c r="AG598" i="10"/>
  <c r="AI598" i="10" s="1"/>
  <c r="Y598" i="10"/>
  <c r="B598" i="10"/>
  <c r="Y597" i="10"/>
  <c r="B597" i="10"/>
  <c r="AG596" i="10"/>
  <c r="AI596" i="10" s="1"/>
  <c r="Y596" i="10"/>
  <c r="B596" i="10"/>
  <c r="X602" i="10"/>
  <c r="Y602" i="10" s="1"/>
  <c r="X622" i="10"/>
  <c r="A621" i="10"/>
  <c r="A622" i="10"/>
  <c r="A623" i="10"/>
  <c r="A624" i="10"/>
  <c r="AG601" i="10"/>
  <c r="AI601" i="10" s="1"/>
  <c r="Y601" i="10"/>
  <c r="B601" i="10"/>
  <c r="AG602" i="10"/>
  <c r="AI602" i="10" s="1"/>
  <c r="B602" i="10"/>
  <c r="A627" i="10"/>
  <c r="A625" i="10"/>
  <c r="AG603" i="10"/>
  <c r="AI603" i="10" s="1"/>
  <c r="Y603" i="10"/>
  <c r="B603" i="10"/>
  <c r="AG604" i="10"/>
  <c r="Y604" i="10"/>
  <c r="B604" i="10"/>
  <c r="AG605" i="10"/>
  <c r="AI605" i="10" s="1"/>
  <c r="Y605" i="10"/>
  <c r="B605" i="10"/>
  <c r="A630" i="10"/>
  <c r="AG606" i="10"/>
  <c r="AI606" i="10" s="1"/>
  <c r="Y606" i="10"/>
  <c r="B606" i="10"/>
  <c r="A631" i="10"/>
  <c r="AG607" i="10"/>
  <c r="Y607" i="10"/>
  <c r="A632" i="10"/>
  <c r="B607" i="10"/>
  <c r="X611" i="10"/>
  <c r="Y608" i="10"/>
  <c r="B608" i="10"/>
  <c r="Y609" i="10"/>
  <c r="B609" i="10"/>
  <c r="Y610" i="10"/>
  <c r="B610" i="10"/>
  <c r="Y611" i="10"/>
  <c r="B611" i="10"/>
  <c r="Y612" i="10"/>
  <c r="B612" i="10"/>
  <c r="Y613" i="10"/>
  <c r="B613" i="10"/>
  <c r="Y614" i="10"/>
  <c r="A640" i="10"/>
  <c r="B614" i="10"/>
  <c r="Y615" i="10"/>
  <c r="A641" i="10"/>
  <c r="B615" i="10"/>
  <c r="Y616" i="10"/>
  <c r="A642" i="10"/>
  <c r="B616" i="10"/>
  <c r="Y617" i="10"/>
  <c r="B617" i="10"/>
  <c r="Y618" i="10"/>
  <c r="B618" i="10"/>
  <c r="Y619" i="10"/>
  <c r="B619" i="10"/>
  <c r="A645" i="10"/>
  <c r="Y620" i="10"/>
  <c r="B620" i="10"/>
  <c r="A646" i="10"/>
  <c r="Y621" i="10"/>
  <c r="B621" i="10"/>
  <c r="Y622" i="10"/>
  <c r="B622" i="10"/>
  <c r="A648" i="10"/>
  <c r="Y623" i="10"/>
  <c r="B623" i="10"/>
  <c r="A649" i="10"/>
  <c r="Y625" i="10"/>
  <c r="B625" i="10"/>
  <c r="Y624" i="10"/>
  <c r="B624" i="10"/>
  <c r="Y626" i="10"/>
  <c r="B626" i="10"/>
  <c r="Y627" i="10"/>
  <c r="B627" i="10"/>
  <c r="A653" i="10"/>
  <c r="Y628" i="10"/>
  <c r="A654" i="10"/>
  <c r="B628" i="10"/>
  <c r="Y629" i="10"/>
  <c r="B629" i="10"/>
  <c r="A655" i="10"/>
  <c r="Y631" i="10"/>
  <c r="B631" i="10"/>
  <c r="Y630" i="10"/>
  <c r="B630" i="10"/>
  <c r="A657" i="10"/>
  <c r="Y632" i="10"/>
  <c r="B632" i="10"/>
  <c r="A658" i="10"/>
  <c r="Y634" i="10"/>
  <c r="B634" i="10"/>
  <c r="Y635" i="10"/>
  <c r="B635" i="10"/>
  <c r="Y636" i="10"/>
  <c r="B636" i="10"/>
  <c r="Y637" i="10"/>
  <c r="B637" i="10"/>
  <c r="W889" i="10"/>
  <c r="Y638" i="10"/>
  <c r="B638" i="10"/>
  <c r="X685" i="10"/>
  <c r="Y639" i="10"/>
  <c r="B639" i="10"/>
  <c r="A664" i="10"/>
  <c r="X664" i="10"/>
  <c r="Y640" i="10"/>
  <c r="B640" i="10"/>
  <c r="A665" i="10"/>
  <c r="Y641" i="10"/>
  <c r="B641" i="10"/>
  <c r="Y642" i="10"/>
  <c r="B642" i="10"/>
  <c r="A667" i="10"/>
  <c r="Y643" i="10"/>
  <c r="B643" i="10"/>
  <c r="A668" i="10"/>
  <c r="Y644" i="10"/>
  <c r="B644" i="10"/>
  <c r="A669" i="10"/>
  <c r="Y645" i="10"/>
  <c r="B645" i="10"/>
  <c r="A670" i="10"/>
  <c r="Y646" i="10"/>
  <c r="B646" i="10"/>
  <c r="A671" i="10"/>
  <c r="Y647" i="10"/>
  <c r="B647" i="10"/>
  <c r="A672" i="10"/>
  <c r="Y648" i="10"/>
  <c r="B648" i="10"/>
  <c r="Y649" i="10"/>
  <c r="B649" i="10"/>
  <c r="A674" i="10"/>
  <c r="Y650" i="10"/>
  <c r="B650" i="10"/>
  <c r="A675" i="10"/>
  <c r="Y651" i="10"/>
  <c r="B651" i="10"/>
  <c r="A676" i="10"/>
  <c r="Y652" i="10"/>
  <c r="A677" i="10"/>
  <c r="B652" i="10"/>
  <c r="Y653" i="10"/>
  <c r="B653" i="10"/>
  <c r="A678" i="10"/>
  <c r="Y654" i="10"/>
  <c r="B654" i="10"/>
  <c r="A679" i="10"/>
  <c r="Y655" i="10"/>
  <c r="B655" i="10"/>
  <c r="A680" i="10"/>
  <c r="Y656" i="10"/>
  <c r="B656" i="10"/>
  <c r="A681" i="10"/>
  <c r="Y657" i="10"/>
  <c r="B657" i="10"/>
  <c r="A684" i="10"/>
  <c r="Y658" i="10"/>
  <c r="B658" i="10"/>
  <c r="A685" i="10"/>
  <c r="Y659" i="10"/>
  <c r="B659" i="10"/>
  <c r="A686"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A836" i="10"/>
  <c r="A837" i="10"/>
  <c r="A838" i="10"/>
  <c r="A839" i="10"/>
  <c r="A840" i="10"/>
  <c r="A841" i="10"/>
  <c r="A842" i="10"/>
  <c r="A843" i="10"/>
  <c r="A844" i="10"/>
  <c r="A845" i="10"/>
  <c r="A846" i="10"/>
  <c r="A847" i="10"/>
  <c r="A848" i="10"/>
  <c r="A849" i="10"/>
  <c r="A850" i="10"/>
  <c r="A851" i="10"/>
  <c r="A852" i="10"/>
  <c r="A853" i="10"/>
  <c r="A854" i="10"/>
  <c r="A855" i="10"/>
  <c r="A856" i="10"/>
  <c r="A857" i="10"/>
  <c r="A858" i="10"/>
  <c r="A859" i="10"/>
  <c r="A860" i="10"/>
  <c r="A861" i="10"/>
  <c r="A862" i="10"/>
  <c r="A863" i="10"/>
  <c r="A864" i="10"/>
  <c r="A865" i="10"/>
  <c r="A866" i="10"/>
  <c r="A867" i="10"/>
  <c r="A868" i="10"/>
  <c r="A869" i="10"/>
  <c r="A870" i="10"/>
  <c r="A871" i="10"/>
  <c r="A872" i="10"/>
  <c r="A873" i="10"/>
  <c r="A874" i="10"/>
  <c r="A875" i="10"/>
  <c r="A876" i="10"/>
  <c r="A877" i="10"/>
  <c r="A878" i="10"/>
  <c r="A879" i="10"/>
  <c r="A880" i="10"/>
  <c r="A881" i="10"/>
  <c r="A882" i="10"/>
  <c r="A883" i="10"/>
  <c r="A884" i="10"/>
  <c r="A885" i="10"/>
  <c r="A886" i="10"/>
  <c r="A887" i="10"/>
  <c r="A888" i="10"/>
  <c r="A889" i="10"/>
  <c r="A890" i="10"/>
  <c r="A891" i="10"/>
  <c r="A892" i="10"/>
  <c r="A893" i="10"/>
  <c r="A894" i="10"/>
  <c r="A895" i="10"/>
  <c r="A896" i="10"/>
  <c r="A897" i="10"/>
  <c r="A898" i="10"/>
  <c r="A899" i="10"/>
  <c r="A900" i="10"/>
  <c r="A901" i="10"/>
  <c r="A902" i="10"/>
  <c r="A903" i="10"/>
  <c r="A904" i="10"/>
  <c r="A905" i="10"/>
  <c r="A906" i="10"/>
  <c r="A907" i="10"/>
  <c r="A908" i="10"/>
  <c r="A909" i="10"/>
  <c r="A910" i="10"/>
  <c r="A911" i="10"/>
  <c r="A912" i="10"/>
  <c r="A913" i="10"/>
  <c r="A914" i="10"/>
  <c r="A915" i="10"/>
  <c r="A916" i="10"/>
  <c r="A917" i="10"/>
  <c r="A918" i="10"/>
  <c r="A919" i="10"/>
  <c r="A920" i="10"/>
  <c r="A921" i="10"/>
  <c r="A922" i="10"/>
  <c r="A923" i="10"/>
  <c r="A924" i="10"/>
  <c r="A925" i="10"/>
  <c r="A926" i="10"/>
  <c r="A927" i="10"/>
  <c r="A928" i="10"/>
  <c r="A929" i="10"/>
  <c r="A930" i="10"/>
  <c r="A931" i="10"/>
  <c r="A932" i="10"/>
  <c r="A933" i="10"/>
  <c r="A934" i="10"/>
  <c r="A935" i="10"/>
  <c r="A936" i="10"/>
  <c r="A937" i="10"/>
  <c r="A938" i="10"/>
  <c r="A939" i="10"/>
  <c r="A940" i="10"/>
  <c r="A941" i="10"/>
  <c r="A942" i="10"/>
  <c r="A943" i="10"/>
  <c r="A944" i="10"/>
  <c r="A945" i="10"/>
  <c r="A946" i="10"/>
  <c r="A947" i="10"/>
  <c r="A948" i="10"/>
  <c r="A949" i="10"/>
  <c r="A950" i="10"/>
  <c r="A951" i="10"/>
  <c r="A952" i="10"/>
  <c r="A953" i="10"/>
  <c r="A954" i="10"/>
  <c r="A955" i="10"/>
  <c r="A956" i="10"/>
  <c r="A957" i="10"/>
  <c r="A958" i="10"/>
  <c r="A959" i="10"/>
  <c r="A960" i="10"/>
  <c r="A961" i="10"/>
  <c r="A962" i="10"/>
  <c r="A963" i="10"/>
  <c r="A964" i="10"/>
  <c r="A965" i="10"/>
  <c r="A966" i="10"/>
  <c r="A967" i="10"/>
  <c r="A968" i="10"/>
  <c r="A969" i="10"/>
  <c r="A970" i="10"/>
  <c r="A971" i="10"/>
  <c r="A972" i="10"/>
  <c r="A973" i="10"/>
  <c r="A974" i="10"/>
  <c r="A975" i="10"/>
  <c r="A976" i="10"/>
  <c r="A977" i="10"/>
  <c r="A978" i="10"/>
  <c r="A979" i="10"/>
  <c r="A980" i="10"/>
  <c r="A981" i="10"/>
  <c r="A982" i="10"/>
  <c r="A983" i="10"/>
  <c r="A984" i="10"/>
  <c r="A985" i="10"/>
  <c r="A986" i="10"/>
  <c r="A987" i="10"/>
  <c r="A988" i="10"/>
  <c r="A989" i="10"/>
  <c r="A990" i="10"/>
  <c r="A991" i="10"/>
  <c r="A992" i="10"/>
  <c r="A993" i="10"/>
  <c r="A994" i="10"/>
  <c r="A995" i="10"/>
  <c r="A996" i="10"/>
  <c r="A997" i="10"/>
  <c r="A998" i="10"/>
  <c r="A999" i="10"/>
  <c r="A1000" i="10"/>
  <c r="A1001" i="10"/>
  <c r="A1002" i="10"/>
  <c r="A1003" i="10"/>
  <c r="A1004" i="10"/>
  <c r="A1005" i="10"/>
  <c r="A1006" i="10"/>
  <c r="A1007" i="10"/>
  <c r="A1008" i="10"/>
  <c r="A1009" i="10"/>
  <c r="A1010" i="10"/>
  <c r="A1011" i="10"/>
  <c r="A1012" i="10"/>
  <c r="A1013" i="10"/>
  <c r="A1014" i="10"/>
  <c r="A1015" i="10"/>
  <c r="A1016" i="10"/>
  <c r="A1017" i="10"/>
  <c r="A1018" i="10"/>
  <c r="A1019" i="10"/>
  <c r="A1020" i="10"/>
  <c r="A1021" i="10"/>
  <c r="A1022" i="10"/>
  <c r="A1023" i="10"/>
  <c r="A1024" i="10"/>
  <c r="A1025" i="10"/>
  <c r="A1026" i="10"/>
  <c r="A1027" i="10"/>
  <c r="A1028" i="10"/>
  <c r="A1029" i="10"/>
  <c r="A1030" i="10"/>
  <c r="A1031" i="10"/>
  <c r="A1032" i="10"/>
  <c r="A1033" i="10"/>
  <c r="A1034" i="10"/>
  <c r="A1035" i="10"/>
  <c r="A1036" i="10"/>
  <c r="A1037" i="10"/>
  <c r="A1038" i="10"/>
  <c r="A1039" i="10"/>
  <c r="A1040" i="10"/>
  <c r="A1041" i="10"/>
  <c r="A1042" i="10"/>
  <c r="A1043" i="10"/>
  <c r="A1044" i="10"/>
  <c r="A1045" i="10"/>
  <c r="A1046" i="10"/>
  <c r="A1047" i="10"/>
  <c r="A1048" i="10"/>
  <c r="A1049" i="10"/>
  <c r="A1050" i="10"/>
  <c r="A1051" i="10"/>
  <c r="A1052" i="10"/>
  <c r="A1053" i="10"/>
  <c r="A1054" i="10"/>
  <c r="A1055" i="10"/>
  <c r="A1056" i="10"/>
  <c r="A1057" i="10"/>
  <c r="A1058" i="10"/>
  <c r="A1059" i="10"/>
  <c r="A1060" i="10"/>
  <c r="A1061" i="10"/>
  <c r="A1062" i="10"/>
  <c r="A1063" i="10"/>
  <c r="A1064" i="10"/>
  <c r="A1065" i="10"/>
  <c r="A1066" i="10"/>
  <c r="A1067" i="10"/>
  <c r="A1068" i="10"/>
  <c r="A1069" i="10"/>
  <c r="A1070" i="10"/>
  <c r="A1071" i="10"/>
  <c r="A1072" i="10"/>
  <c r="A1073" i="10"/>
  <c r="A1074" i="10"/>
  <c r="A1075" i="10"/>
  <c r="A1076" i="10"/>
  <c r="A1077" i="10"/>
  <c r="A1078" i="10"/>
  <c r="A1079" i="10"/>
  <c r="A1080" i="10"/>
  <c r="A1081" i="10"/>
  <c r="A1082" i="10"/>
  <c r="A1083" i="10"/>
  <c r="A1084" i="10"/>
  <c r="A1085" i="10"/>
  <c r="A1086" i="10"/>
  <c r="A1087" i="10"/>
  <c r="A1088" i="10"/>
  <c r="A1089" i="10"/>
  <c r="A1090" i="10"/>
  <c r="A1091" i="10"/>
  <c r="A1092" i="10"/>
  <c r="A1093" i="10"/>
  <c r="A1094" i="10"/>
  <c r="A1095" i="10"/>
  <c r="A1096" i="10"/>
  <c r="A1097" i="10"/>
  <c r="A1098" i="10"/>
  <c r="A1099" i="10"/>
  <c r="A1100" i="10"/>
  <c r="A1101" i="10"/>
  <c r="A1102" i="10"/>
  <c r="A1103" i="10"/>
  <c r="A1104" i="10"/>
  <c r="A1105" i="10"/>
  <c r="A1106" i="10"/>
  <c r="A1107" i="10"/>
  <c r="A1108" i="10"/>
  <c r="A1109" i="10"/>
  <c r="A1110" i="10"/>
  <c r="A1111" i="10"/>
  <c r="A1112" i="10"/>
  <c r="A1113" i="10"/>
  <c r="A1114" i="10"/>
  <c r="A1115" i="10"/>
  <c r="A1116" i="10"/>
  <c r="A1117" i="10"/>
  <c r="A1118" i="10"/>
  <c r="A1119" i="10"/>
  <c r="A1120" i="10"/>
  <c r="A1121" i="10"/>
  <c r="A1122" i="10"/>
  <c r="A1123" i="10"/>
  <c r="A1124" i="10"/>
  <c r="A1125" i="10"/>
  <c r="A1126" i="10"/>
  <c r="A1127" i="10"/>
  <c r="A1128" i="10"/>
  <c r="A1129" i="10"/>
  <c r="A1130" i="10"/>
  <c r="A1131" i="10"/>
  <c r="A1132" i="10"/>
  <c r="A1133" i="10"/>
  <c r="A1134" i="10"/>
  <c r="A1135" i="10"/>
  <c r="A1136" i="10"/>
  <c r="A1137" i="10"/>
  <c r="A1138" i="10"/>
  <c r="A1139" i="10"/>
  <c r="A1140" i="10"/>
  <c r="A1141" i="10"/>
  <c r="A1142" i="10"/>
  <c r="A1143" i="10"/>
  <c r="A1144" i="10"/>
  <c r="A1145" i="10"/>
  <c r="A1146" i="10"/>
  <c r="A1147" i="10"/>
  <c r="A1148" i="10"/>
  <c r="A1149" i="10"/>
  <c r="A1150" i="10"/>
  <c r="A1151" i="10"/>
  <c r="A1152" i="10"/>
  <c r="A1153" i="10"/>
  <c r="A1154" i="10"/>
  <c r="A1155" i="10"/>
  <c r="A1156" i="10"/>
  <c r="A1157" i="10"/>
  <c r="A1158" i="10"/>
  <c r="A1159" i="10"/>
  <c r="A1160" i="10"/>
  <c r="A1161" i="10"/>
  <c r="A1162" i="10"/>
  <c r="A1163" i="10"/>
  <c r="A1164" i="10"/>
  <c r="A1165" i="10"/>
  <c r="A1166" i="10"/>
  <c r="A1167" i="10"/>
  <c r="A1168" i="10"/>
  <c r="A1169" i="10"/>
  <c r="A1170" i="10"/>
  <c r="A1171" i="10"/>
  <c r="A1172" i="10"/>
  <c r="A1173" i="10"/>
  <c r="A1174" i="10"/>
  <c r="A1175" i="10"/>
  <c r="A1176" i="10"/>
  <c r="A1177" i="10"/>
  <c r="A1178" i="10"/>
  <c r="A1179" i="10"/>
  <c r="A1180" i="10"/>
  <c r="A1181" i="10"/>
  <c r="A1182" i="10"/>
  <c r="A1183" i="10"/>
  <c r="A1184" i="10"/>
  <c r="A1185" i="10"/>
  <c r="A1186" i="10"/>
  <c r="A1187" i="10"/>
  <c r="A1188" i="10"/>
  <c r="A1189" i="10"/>
  <c r="A1190" i="10"/>
  <c r="A1191" i="10"/>
  <c r="A1192" i="10"/>
  <c r="A1193" i="10"/>
  <c r="A1194" i="10"/>
  <c r="A1195" i="10"/>
  <c r="A1196" i="10"/>
  <c r="A1197" i="10"/>
  <c r="A1198" i="10"/>
  <c r="A1199" i="10"/>
  <c r="A1200" i="10"/>
  <c r="A1201" i="10"/>
  <c r="A1202" i="10"/>
  <c r="A1203" i="10"/>
  <c r="A1204" i="10"/>
  <c r="A1205" i="10"/>
  <c r="A1206" i="10"/>
  <c r="A1207" i="10"/>
  <c r="A1208" i="10"/>
  <c r="A1209" i="10"/>
  <c r="A1210" i="10"/>
  <c r="A1211" i="10"/>
  <c r="A1212" i="10"/>
  <c r="A1213" i="10"/>
  <c r="A1214" i="10"/>
  <c r="A1215" i="10"/>
  <c r="A1216" i="10"/>
  <c r="A1217" i="10"/>
  <c r="A1218" i="10"/>
  <c r="A1219" i="10"/>
  <c r="A1220" i="10"/>
  <c r="A1221" i="10"/>
  <c r="A1222" i="10"/>
  <c r="A1223" i="10"/>
  <c r="A1224" i="10"/>
  <c r="A1225" i="10"/>
  <c r="A1226" i="10"/>
  <c r="A1227" i="10"/>
  <c r="A1228" i="10"/>
  <c r="A1229" i="10"/>
  <c r="A1230" i="10"/>
  <c r="A1231" i="10"/>
  <c r="A1232" i="10"/>
  <c r="A1233" i="10"/>
  <c r="A1234" i="10"/>
  <c r="A1235" i="10"/>
  <c r="A1236" i="10"/>
  <c r="A1237" i="10"/>
  <c r="A1238" i="10"/>
  <c r="A1239" i="10"/>
  <c r="A1240" i="10"/>
  <c r="A1241" i="10"/>
  <c r="A1242" i="10"/>
  <c r="A1243" i="10"/>
  <c r="A1244" i="10"/>
  <c r="A1245" i="10"/>
  <c r="A1246" i="10"/>
  <c r="A1247" i="10"/>
  <c r="A1248" i="10"/>
  <c r="A1249" i="10"/>
  <c r="A1250" i="10"/>
  <c r="A1251" i="10"/>
  <c r="A1252" i="10"/>
  <c r="A1253" i="10"/>
  <c r="A1254" i="10"/>
  <c r="A1255" i="10"/>
  <c r="A1256" i="10"/>
  <c r="A1257" i="10"/>
  <c r="A1258" i="10"/>
  <c r="A1259" i="10"/>
  <c r="A1260" i="10"/>
  <c r="A1261" i="10"/>
  <c r="A1262" i="10"/>
  <c r="A1263" i="10"/>
  <c r="A1264" i="10"/>
  <c r="A1265" i="10"/>
  <c r="A1266" i="10"/>
  <c r="A1267" i="10"/>
  <c r="A1268" i="10"/>
  <c r="A1269" i="10"/>
  <c r="A1270" i="10"/>
  <c r="A1271" i="10"/>
  <c r="A1272" i="10"/>
  <c r="A1273" i="10"/>
  <c r="A1274" i="10"/>
  <c r="A1275" i="10"/>
  <c r="A1276" i="10"/>
  <c r="A1277" i="10"/>
  <c r="A1278" i="10"/>
  <c r="A1279" i="10"/>
  <c r="A1280" i="10"/>
  <c r="A1281" i="10"/>
  <c r="A1282" i="10"/>
  <c r="A1283" i="10"/>
  <c r="A1284" i="10"/>
  <c r="A1285" i="10"/>
  <c r="A1286" i="10"/>
  <c r="A1287" i="10"/>
  <c r="A1288" i="10"/>
  <c r="A1289" i="10"/>
  <c r="A1290" i="10"/>
  <c r="A1291" i="10"/>
  <c r="A1292" i="10"/>
  <c r="A1293" i="10"/>
  <c r="A1294" i="10"/>
  <c r="A1295" i="10"/>
  <c r="A1296" i="10"/>
  <c r="A1297" i="10"/>
  <c r="A1298" i="10"/>
  <c r="A1299" i="10"/>
  <c r="A1300" i="10"/>
  <c r="A1301" i="10"/>
  <c r="A1302" i="10"/>
  <c r="A1303" i="10"/>
  <c r="A1304" i="10"/>
  <c r="A1305" i="10"/>
  <c r="A1306" i="10"/>
  <c r="A1307" i="10"/>
  <c r="A1308" i="10"/>
  <c r="A1309" i="10"/>
  <c r="A1310" i="10"/>
  <c r="A1311" i="10"/>
  <c r="A1312" i="10"/>
  <c r="A1313" i="10"/>
  <c r="A1314" i="10"/>
  <c r="A1315" i="10"/>
  <c r="A1316" i="10"/>
  <c r="A1317" i="10"/>
  <c r="A1318" i="10"/>
  <c r="A1319" i="10"/>
  <c r="A1320" i="10"/>
  <c r="A1321" i="10"/>
  <c r="A1322" i="10"/>
  <c r="A1323" i="10"/>
  <c r="A1324" i="10"/>
  <c r="A1325" i="10"/>
  <c r="A1326" i="10"/>
  <c r="A1327" i="10"/>
  <c r="A1328" i="10"/>
  <c r="A1329" i="10"/>
  <c r="A1330" i="10"/>
  <c r="A1331" i="10"/>
  <c r="A1332" i="10"/>
  <c r="A1333" i="10"/>
  <c r="A1334" i="10"/>
  <c r="A1335" i="10"/>
  <c r="A1336" i="10"/>
  <c r="A1337" i="10"/>
  <c r="A1338" i="10"/>
  <c r="A1339" i="10"/>
  <c r="A1340" i="10"/>
  <c r="A1341" i="10"/>
  <c r="A1342" i="10"/>
  <c r="A1343" i="10"/>
  <c r="A1344" i="10"/>
  <c r="A1345" i="10"/>
  <c r="A1346" i="10"/>
  <c r="A1347" i="10"/>
  <c r="A1348" i="10"/>
  <c r="A1349" i="10"/>
  <c r="A1350" i="10"/>
  <c r="A1351" i="10"/>
  <c r="A1352" i="10"/>
  <c r="A1353" i="10"/>
  <c r="A1354" i="10"/>
  <c r="A1355" i="10"/>
  <c r="A1356" i="10"/>
  <c r="A1357" i="10"/>
  <c r="A1358" i="10"/>
  <c r="A1359" i="10"/>
  <c r="A1360" i="10"/>
  <c r="A1361" i="10"/>
  <c r="A1362" i="10"/>
  <c r="A1363" i="10"/>
  <c r="A1364" i="10"/>
  <c r="A1365" i="10"/>
  <c r="A1366" i="10"/>
  <c r="A1367" i="10"/>
  <c r="A1368" i="10"/>
  <c r="A1369" i="10"/>
  <c r="A1370" i="10"/>
  <c r="A1371" i="10"/>
  <c r="A1372" i="10"/>
  <c r="A1373" i="10"/>
  <c r="A1374" i="10"/>
  <c r="A1375" i="10"/>
  <c r="A1376" i="10"/>
  <c r="A1377" i="10"/>
  <c r="A1378" i="10"/>
  <c r="A1379" i="10"/>
  <c r="A1380" i="10"/>
  <c r="A1381" i="10"/>
  <c r="A1382" i="10"/>
  <c r="A1383" i="10"/>
  <c r="A1384" i="10"/>
  <c r="A1385" i="10"/>
  <c r="A1386" i="10"/>
  <c r="A1387" i="10"/>
  <c r="A1388" i="10"/>
  <c r="A1389" i="10"/>
  <c r="A1390" i="10"/>
  <c r="A1391" i="10"/>
  <c r="A1392" i="10"/>
  <c r="A1393" i="10"/>
  <c r="A1394" i="10"/>
  <c r="A1395" i="10"/>
  <c r="A1396" i="10"/>
  <c r="A1397" i="10"/>
  <c r="A1398" i="10"/>
  <c r="A1399" i="10"/>
  <c r="A1400" i="10"/>
  <c r="A1401" i="10"/>
  <c r="A1402" i="10"/>
  <c r="A1403" i="10"/>
  <c r="A1404" i="10"/>
  <c r="A1405" i="10"/>
  <c r="A1406" i="10"/>
  <c r="A1407" i="10"/>
  <c r="A1408" i="10"/>
  <c r="A1409" i="10"/>
  <c r="A1410" i="10"/>
  <c r="A1411" i="10"/>
  <c r="A1412" i="10"/>
  <c r="A1413" i="10"/>
  <c r="A1414" i="10"/>
  <c r="A1415" i="10"/>
  <c r="A1416" i="10"/>
  <c r="A1417" i="10"/>
  <c r="A1418" i="10"/>
  <c r="A1419" i="10"/>
  <c r="A1420" i="10"/>
  <c r="A1421" i="10"/>
  <c r="A1422" i="10"/>
  <c r="A1423" i="10"/>
  <c r="A1424" i="10"/>
  <c r="A1425" i="10"/>
  <c r="A1426" i="10"/>
  <c r="A1427" i="10"/>
  <c r="A1428" i="10"/>
  <c r="A1429" i="10"/>
  <c r="A1430" i="10"/>
  <c r="A1431" i="10"/>
  <c r="A1432" i="10"/>
  <c r="A1433" i="10"/>
  <c r="A1434" i="10"/>
  <c r="A1435" i="10"/>
  <c r="A1436" i="10"/>
  <c r="A1437" i="10"/>
  <c r="A1438" i="10"/>
  <c r="A1439" i="10"/>
  <c r="A1440" i="10"/>
  <c r="A1441" i="10"/>
  <c r="A1442" i="10"/>
  <c r="A1443" i="10"/>
  <c r="A1444" i="10"/>
  <c r="A1445" i="10"/>
  <c r="A1446" i="10"/>
  <c r="A1447" i="10"/>
  <c r="A1448" i="10"/>
  <c r="A1449" i="10"/>
  <c r="A1450" i="10"/>
  <c r="A1451" i="10"/>
  <c r="A1452" i="10"/>
  <c r="A1453" i="10"/>
  <c r="A1454" i="10"/>
  <c r="A1455" i="10"/>
  <c r="A1456" i="10"/>
  <c r="A1457" i="10"/>
  <c r="A1458" i="10"/>
  <c r="A1459" i="10"/>
  <c r="A1460" i="10"/>
  <c r="A1461" i="10"/>
  <c r="A1462" i="10"/>
  <c r="A1463" i="10"/>
  <c r="A1464" i="10"/>
  <c r="A1465" i="10"/>
  <c r="A1466" i="10"/>
  <c r="A1467" i="10"/>
  <c r="A1468" i="10"/>
  <c r="A1469" i="10"/>
  <c r="A1470" i="10"/>
  <c r="A1471" i="10"/>
  <c r="A1472" i="10"/>
  <c r="A1473" i="10"/>
  <c r="A1474" i="10"/>
  <c r="A1475" i="10"/>
  <c r="A1476" i="10"/>
  <c r="A1477" i="10"/>
  <c r="A1478" i="10"/>
  <c r="A1479" i="10"/>
  <c r="A1480" i="10"/>
  <c r="A1481" i="10"/>
  <c r="A1482" i="10"/>
  <c r="A1483" i="10"/>
  <c r="A1484" i="10"/>
  <c r="A1485" i="10"/>
  <c r="A1486" i="10"/>
  <c r="A1487" i="10"/>
  <c r="A1488" i="10"/>
  <c r="A1489" i="10"/>
  <c r="A1490" i="10"/>
  <c r="A1491" i="10"/>
  <c r="A1492" i="10"/>
  <c r="A1493" i="10"/>
  <c r="A1494" i="10"/>
  <c r="A1495" i="10"/>
  <c r="A1496" i="10"/>
  <c r="A1497" i="10"/>
  <c r="A1498" i="10"/>
  <c r="A1499" i="10"/>
  <c r="A1501" i="10"/>
  <c r="A1500" i="10"/>
  <c r="A1502" i="10"/>
  <c r="A1503" i="10"/>
  <c r="A1504" i="10"/>
  <c r="A1505" i="10"/>
  <c r="A1506" i="10"/>
  <c r="A1507" i="10"/>
  <c r="A1508" i="10"/>
  <c r="A1509" i="10"/>
  <c r="A1510" i="10"/>
  <c r="A1511" i="10"/>
  <c r="A1512" i="10"/>
  <c r="A1513" i="10"/>
  <c r="A1514" i="10"/>
  <c r="A1515" i="10"/>
  <c r="A1516" i="10"/>
  <c r="A1517" i="10"/>
  <c r="A1518" i="10"/>
  <c r="A1519" i="10"/>
  <c r="A1520" i="10"/>
  <c r="A1521" i="10"/>
  <c r="A1522" i="10"/>
  <c r="A1523" i="10"/>
  <c r="A1524" i="10"/>
  <c r="A1525" i="10"/>
  <c r="A1526" i="10"/>
  <c r="A1527" i="10"/>
  <c r="A1528" i="10"/>
  <c r="A1529" i="10"/>
  <c r="A1530" i="10"/>
  <c r="A1531" i="10"/>
  <c r="A1532" i="10"/>
  <c r="A1533" i="10"/>
  <c r="A1534" i="10"/>
  <c r="A1535" i="10"/>
  <c r="A1536" i="10"/>
  <c r="A1537" i="10"/>
  <c r="A1538" i="10"/>
  <c r="A1539" i="10"/>
  <c r="A1540" i="10"/>
  <c r="A1541" i="10"/>
  <c r="A1542" i="10"/>
  <c r="A1543" i="10"/>
  <c r="A1544" i="10"/>
  <c r="A1545" i="10"/>
  <c r="A1546" i="10"/>
  <c r="A1547" i="10"/>
  <c r="A1548" i="10"/>
  <c r="A1549" i="10"/>
  <c r="A1551" i="10"/>
  <c r="A1550" i="10"/>
  <c r="A1552" i="10"/>
  <c r="A1553" i="10"/>
  <c r="A1554" i="10"/>
  <c r="A1555" i="10"/>
  <c r="A1556" i="10"/>
  <c r="A1557" i="10"/>
  <c r="A1558" i="10"/>
  <c r="A1559" i="10"/>
  <c r="A1560" i="10"/>
  <c r="A1561" i="10"/>
  <c r="A1562" i="10"/>
  <c r="A1563" i="10"/>
  <c r="A1564" i="10"/>
  <c r="A1565" i="10"/>
  <c r="A1566" i="10"/>
  <c r="A1567" i="10"/>
  <c r="A1568" i="10"/>
  <c r="A1569" i="10"/>
  <c r="A1570" i="10"/>
  <c r="A1571" i="10"/>
  <c r="A1572" i="10"/>
  <c r="A1573" i="10"/>
  <c r="A1574" i="10"/>
  <c r="A1575" i="10"/>
  <c r="A1576" i="10"/>
  <c r="A1577" i="10"/>
  <c r="A1578" i="10"/>
  <c r="A1579" i="10"/>
  <c r="A1580" i="10"/>
  <c r="A1581" i="10"/>
  <c r="A1582" i="10"/>
  <c r="A1583" i="10"/>
  <c r="A1584" i="10"/>
  <c r="A1585" i="10"/>
  <c r="A1586" i="10"/>
  <c r="A1587" i="10"/>
  <c r="A1588" i="10"/>
  <c r="A1589" i="10"/>
  <c r="A1590" i="10"/>
  <c r="A1591" i="10"/>
  <c r="A1592" i="10"/>
  <c r="A1593" i="10"/>
  <c r="A1594" i="10"/>
  <c r="A1595" i="10"/>
  <c r="A1596" i="10"/>
  <c r="A1597" i="10"/>
  <c r="A1598" i="10"/>
  <c r="A1599" i="10"/>
  <c r="A1600" i="10"/>
  <c r="A1601" i="10"/>
  <c r="A1602" i="10"/>
  <c r="A1603" i="10"/>
  <c r="A1604" i="10"/>
  <c r="A1605" i="10"/>
  <c r="A1606" i="10"/>
  <c r="A1607" i="10"/>
  <c r="A1608" i="10"/>
  <c r="A1609" i="10"/>
  <c r="A1610" i="10"/>
  <c r="A1611" i="10"/>
  <c r="A1612" i="10"/>
  <c r="A1613" i="10"/>
  <c r="A1614" i="10"/>
  <c r="A1615" i="10"/>
  <c r="A1616" i="10"/>
  <c r="A1617" i="10"/>
  <c r="A1618" i="10"/>
  <c r="A1619" i="10"/>
  <c r="A1620" i="10"/>
  <c r="A1621" i="10"/>
  <c r="A1622" i="10"/>
  <c r="A1623" i="10"/>
  <c r="A1624" i="10"/>
  <c r="A1625" i="10"/>
  <c r="A1626" i="10"/>
  <c r="A1627" i="10"/>
  <c r="A1628" i="10"/>
  <c r="A1629" i="10"/>
  <c r="A1630" i="10"/>
  <c r="A1631" i="10"/>
  <c r="A1632" i="10"/>
  <c r="A1633" i="10"/>
  <c r="A1634" i="10"/>
  <c r="A1635" i="10"/>
  <c r="A1636" i="10"/>
  <c r="A1637" i="10"/>
  <c r="A1638" i="10"/>
  <c r="A1639" i="10"/>
  <c r="A1640" i="10"/>
  <c r="A1641" i="10"/>
  <c r="A1642" i="10"/>
  <c r="A1643" i="10"/>
  <c r="A1644" i="10"/>
  <c r="A1645" i="10"/>
  <c r="A1646" i="10"/>
  <c r="A1647" i="10"/>
  <c r="A1648" i="10"/>
  <c r="A1649" i="10"/>
  <c r="A1650" i="10"/>
  <c r="A1651" i="10"/>
  <c r="A1652" i="10"/>
  <c r="A1653" i="10"/>
  <c r="A1654" i="10"/>
  <c r="A1655" i="10"/>
  <c r="A1656" i="10"/>
  <c r="A1657" i="10"/>
  <c r="A1658" i="10"/>
  <c r="A1659" i="10"/>
  <c r="A1660" i="10"/>
  <c r="A1661" i="10"/>
  <c r="A1662" i="10"/>
  <c r="A1663" i="10"/>
  <c r="A1664" i="10"/>
  <c r="A1665" i="10"/>
  <c r="A1666" i="10"/>
  <c r="A1667" i="10"/>
  <c r="A1668" i="10"/>
  <c r="A1669" i="10"/>
  <c r="A1670" i="10"/>
  <c r="A1671" i="10"/>
  <c r="A1672" i="10"/>
  <c r="A1673" i="10"/>
  <c r="A1674" i="10"/>
  <c r="A1675" i="10"/>
  <c r="A1676" i="10"/>
  <c r="A1677" i="10"/>
  <c r="A1678" i="10"/>
  <c r="A1679" i="10"/>
  <c r="A1680" i="10"/>
  <c r="A1681" i="10"/>
  <c r="A1682" i="10"/>
  <c r="A1683" i="10"/>
  <c r="A1684" i="10"/>
  <c r="A1685" i="10"/>
  <c r="A1686" i="10"/>
  <c r="A1687" i="10"/>
  <c r="A1688" i="10"/>
  <c r="A1689" i="10"/>
  <c r="A1690" i="10"/>
  <c r="A1691" i="10"/>
  <c r="A1692" i="10"/>
  <c r="A1693" i="10"/>
  <c r="A1694" i="10"/>
  <c r="A1695" i="10"/>
  <c r="A1696" i="10"/>
  <c r="A1697" i="10"/>
  <c r="A1698" i="10"/>
  <c r="A1699" i="10"/>
  <c r="A1700" i="10"/>
  <c r="A1701" i="10"/>
  <c r="A1702" i="10"/>
  <c r="A1703" i="10"/>
  <c r="A1704" i="10"/>
  <c r="A1705" i="10"/>
  <c r="A1706" i="10"/>
  <c r="A1707" i="10"/>
  <c r="A1708" i="10"/>
  <c r="A1709" i="10"/>
  <c r="A1710" i="10"/>
  <c r="A1711" i="10"/>
  <c r="A1712" i="10"/>
  <c r="A1713" i="10"/>
  <c r="A1714" i="10"/>
  <c r="A1715" i="10"/>
  <c r="A1716" i="10"/>
  <c r="A1717" i="10"/>
  <c r="A1718" i="10"/>
  <c r="A1719" i="10"/>
  <c r="A1720" i="10"/>
  <c r="A1721" i="10"/>
  <c r="A1722" i="10"/>
  <c r="A1723" i="10"/>
  <c r="A1724" i="10"/>
  <c r="A1725" i="10"/>
  <c r="A1726" i="10"/>
  <c r="A1727" i="10"/>
  <c r="A1728" i="10"/>
  <c r="A1729" i="10"/>
  <c r="A1730" i="10"/>
  <c r="A1731" i="10"/>
  <c r="A1732" i="10"/>
  <c r="A1733" i="10"/>
  <c r="A1734" i="10"/>
  <c r="A1735" i="10"/>
  <c r="A1736" i="10"/>
  <c r="A1737" i="10"/>
  <c r="A1738" i="10"/>
  <c r="A1739" i="10"/>
  <c r="A1740" i="10"/>
  <c r="A1741" i="10"/>
  <c r="A1742" i="10"/>
  <c r="A1743" i="10"/>
  <c r="A1744" i="10"/>
  <c r="A1745" i="10"/>
  <c r="A1746" i="10"/>
  <c r="A1747" i="10"/>
  <c r="A1748" i="10"/>
  <c r="A1749" i="10"/>
  <c r="A1750" i="10"/>
  <c r="A1751" i="10"/>
  <c r="A1752" i="10"/>
  <c r="A1753" i="10"/>
  <c r="A1754" i="10"/>
  <c r="A1755" i="10"/>
  <c r="A1756" i="10"/>
  <c r="A1757" i="10"/>
  <c r="A1758" i="10"/>
  <c r="A1759" i="10"/>
  <c r="A1760" i="10"/>
  <c r="A1761" i="10"/>
  <c r="A1762" i="10"/>
  <c r="A1763" i="10"/>
  <c r="A1764" i="10"/>
  <c r="A1765" i="10"/>
  <c r="A1766" i="10"/>
  <c r="A1767" i="10"/>
  <c r="A1768" i="10"/>
  <c r="A1769" i="10"/>
  <c r="A1770" i="10"/>
  <c r="A1771" i="10"/>
  <c r="A1772" i="10"/>
  <c r="A1773" i="10"/>
  <c r="A1774" i="10"/>
  <c r="A1775" i="10"/>
  <c r="A1776" i="10"/>
  <c r="A1777" i="10"/>
  <c r="A1778" i="10"/>
  <c r="A1779" i="10"/>
  <c r="A1780" i="10"/>
  <c r="A1781" i="10"/>
  <c r="A1782" i="10"/>
  <c r="A1783" i="10"/>
  <c r="A1784" i="10"/>
  <c r="A1785" i="10"/>
  <c r="A1786" i="10"/>
  <c r="A1787" i="10"/>
  <c r="A1788" i="10"/>
  <c r="A1789" i="10"/>
  <c r="A1790" i="10"/>
  <c r="A1791" i="10"/>
  <c r="A1792" i="10"/>
  <c r="A1793" i="10"/>
  <c r="A1794" i="10"/>
  <c r="A1795" i="10"/>
  <c r="A1796" i="10"/>
  <c r="A1797" i="10"/>
  <c r="A1798" i="10"/>
  <c r="A1799" i="10"/>
  <c r="A1800" i="10"/>
  <c r="A1801" i="10"/>
  <c r="A1802" i="10"/>
  <c r="A1803" i="10"/>
  <c r="A1804" i="10"/>
  <c r="A1805" i="10"/>
  <c r="A1806" i="10"/>
  <c r="A1807" i="10"/>
  <c r="A1808" i="10"/>
  <c r="A1809" i="10"/>
  <c r="A1810" i="10"/>
  <c r="A1811" i="10"/>
  <c r="A1812" i="10"/>
  <c r="A1813" i="10"/>
  <c r="A1814" i="10"/>
  <c r="A1815" i="10"/>
  <c r="A1816" i="10"/>
  <c r="A1817" i="10"/>
  <c r="A1818" i="10"/>
  <c r="A1819" i="10"/>
  <c r="A1820" i="10"/>
  <c r="A1821" i="10"/>
  <c r="A1823" i="10"/>
  <c r="A1824" i="10"/>
  <c r="A1825" i="10"/>
  <c r="A1826" i="10"/>
  <c r="A1827" i="10"/>
  <c r="A1828" i="10"/>
  <c r="A1829" i="10"/>
  <c r="A1830" i="10"/>
  <c r="A1831" i="10"/>
  <c r="A1832" i="10"/>
  <c r="A1833" i="10"/>
  <c r="A1834" i="10"/>
  <c r="A1835" i="10"/>
  <c r="A1836" i="10"/>
  <c r="A1837" i="10"/>
  <c r="A1838" i="10"/>
  <c r="A1839" i="10"/>
  <c r="A1840" i="10"/>
  <c r="A1841" i="10"/>
  <c r="A1842" i="10"/>
  <c r="A1843" i="10"/>
  <c r="A1844" i="10"/>
  <c r="A1845" i="10"/>
  <c r="A1846" i="10"/>
  <c r="A1847" i="10"/>
  <c r="A1848" i="10"/>
  <c r="A1849" i="10"/>
  <c r="A1850" i="10"/>
  <c r="A1851" i="10"/>
  <c r="A1852" i="10"/>
  <c r="A1853" i="10"/>
  <c r="A1854" i="10"/>
  <c r="A1855" i="10"/>
  <c r="A1856" i="10"/>
  <c r="A1857" i="10"/>
  <c r="A1858" i="10"/>
  <c r="A1859" i="10"/>
  <c r="A1860" i="10"/>
  <c r="A1861" i="10"/>
  <c r="A1862" i="10"/>
  <c r="A1863" i="10"/>
  <c r="A1864" i="10"/>
  <c r="A1865" i="10"/>
  <c r="A1866" i="10"/>
  <c r="A1867" i="10"/>
  <c r="A1868" i="10"/>
  <c r="A1869" i="10"/>
  <c r="A1870" i="10"/>
  <c r="A1871" i="10"/>
  <c r="A1872" i="10"/>
  <c r="A1873" i="10"/>
  <c r="A1874" i="10"/>
  <c r="A1875" i="10"/>
  <c r="A1876" i="10"/>
  <c r="A1878" i="10"/>
  <c r="A1877" i="10"/>
  <c r="A1879" i="10"/>
  <c r="A1880" i="10"/>
  <c r="A1881" i="10"/>
  <c r="A1882" i="10"/>
  <c r="A1883" i="10"/>
  <c r="A1884" i="10"/>
  <c r="A1885" i="10"/>
  <c r="A1886" i="10"/>
  <c r="A1887" i="10"/>
  <c r="A1888" i="10"/>
  <c r="A1889" i="10"/>
  <c r="A1890" i="10"/>
  <c r="A1891" i="10"/>
  <c r="A1892" i="10"/>
  <c r="A1893" i="10"/>
  <c r="A1894" i="10"/>
  <c r="A1895" i="10"/>
  <c r="A1896" i="10"/>
  <c r="A1897" i="10"/>
  <c r="A1898" i="10"/>
  <c r="A1899" i="10"/>
  <c r="A1900" i="10"/>
  <c r="A1901" i="10"/>
  <c r="A1902" i="10"/>
  <c r="A1903" i="10"/>
  <c r="A1904" i="10"/>
  <c r="A1905" i="10"/>
  <c r="A1906" i="10"/>
  <c r="A1907" i="10"/>
  <c r="A1908" i="10"/>
  <c r="A1909" i="10"/>
  <c r="A1910" i="10"/>
  <c r="A1911" i="10"/>
  <c r="A1912" i="10"/>
  <c r="A1913" i="10"/>
  <c r="A1914" i="10"/>
  <c r="A1915" i="10"/>
  <c r="A1916" i="10"/>
  <c r="A1917" i="10"/>
  <c r="A1918" i="10"/>
  <c r="A1919" i="10"/>
  <c r="A1920" i="10"/>
  <c r="A1921" i="10"/>
  <c r="A1922" i="10"/>
  <c r="A1923" i="10"/>
  <c r="A1924" i="10"/>
  <c r="A1925" i="10"/>
  <c r="A1926" i="10"/>
  <c r="A1927" i="10"/>
  <c r="A1928" i="10"/>
  <c r="A1929" i="10"/>
  <c r="A1930" i="10"/>
  <c r="A1931" i="10"/>
  <c r="A1932" i="10"/>
  <c r="A1933" i="10"/>
  <c r="A1934" i="10"/>
  <c r="A1935" i="10"/>
  <c r="A1936" i="10"/>
  <c r="A1937" i="10"/>
  <c r="A1938" i="10"/>
  <c r="A1939" i="10"/>
  <c r="A1940" i="10"/>
  <c r="A1941" i="10"/>
  <c r="A1942" i="10"/>
  <c r="A1943" i="10"/>
  <c r="A1944" i="10"/>
  <c r="A1945" i="10"/>
  <c r="A1946" i="10"/>
  <c r="A1947" i="10"/>
  <c r="A1948" i="10"/>
  <c r="A1949" i="10"/>
  <c r="A1950" i="10"/>
  <c r="A1951" i="10"/>
  <c r="A1952" i="10"/>
  <c r="A1953" i="10"/>
  <c r="A1954" i="10"/>
  <c r="A1955" i="10"/>
  <c r="A1956" i="10"/>
  <c r="A1957" i="10"/>
  <c r="A1958" i="10"/>
  <c r="A1959" i="10"/>
  <c r="A1960" i="10"/>
  <c r="A1961" i="10"/>
  <c r="A1962" i="10"/>
  <c r="A1963" i="10"/>
  <c r="A1964" i="10"/>
  <c r="A1965" i="10"/>
  <c r="A1966" i="10"/>
  <c r="A1967" i="10"/>
  <c r="A1968" i="10"/>
  <c r="A1969" i="10"/>
  <c r="A1970" i="10"/>
  <c r="A1971" i="10"/>
  <c r="A1972" i="10"/>
  <c r="A1973" i="10"/>
  <c r="A1974" i="10"/>
  <c r="A1975" i="10"/>
  <c r="A1976" i="10"/>
  <c r="A1977" i="10"/>
  <c r="A1978" i="10"/>
  <c r="A1979" i="10"/>
  <c r="A1980" i="10"/>
  <c r="A1981" i="10"/>
  <c r="A1982" i="10"/>
  <c r="A1983" i="10"/>
  <c r="A1984" i="10"/>
  <c r="A1985" i="10"/>
  <c r="A1986" i="10"/>
  <c r="A1987" i="10"/>
  <c r="A1988" i="10"/>
  <c r="A1989" i="10"/>
  <c r="A1990" i="10"/>
  <c r="A1991" i="10"/>
  <c r="A1992" i="10"/>
  <c r="A1993" i="10"/>
  <c r="A1994" i="10"/>
  <c r="A1995" i="10"/>
  <c r="A1996" i="10"/>
  <c r="A1997" i="10"/>
  <c r="A1998" i="10"/>
  <c r="A1999" i="10"/>
  <c r="A2000" i="10"/>
  <c r="A2001" i="10"/>
  <c r="A2002" i="10"/>
  <c r="A2003" i="10"/>
  <c r="A2004" i="10"/>
  <c r="A2005" i="10"/>
  <c r="A2006" i="10"/>
  <c r="A2007" i="10"/>
  <c r="A2008" i="10"/>
  <c r="A2009" i="10"/>
  <c r="A2010" i="10"/>
  <c r="A2011" i="10"/>
  <c r="A2012" i="10"/>
  <c r="A2013" i="10"/>
  <c r="A2014" i="10"/>
  <c r="A2015" i="10"/>
  <c r="A2016" i="10"/>
  <c r="A2017" i="10"/>
  <c r="A2018" i="10"/>
  <c r="A2019" i="10"/>
  <c r="A2020" i="10"/>
  <c r="A2021" i="10"/>
  <c r="A2022" i="10"/>
  <c r="A2023" i="10"/>
  <c r="A2024" i="10"/>
  <c r="A2025" i="10"/>
  <c r="A2026" i="10"/>
  <c r="A2027" i="10"/>
  <c r="A2028" i="10"/>
  <c r="A2029" i="10"/>
  <c r="A2030" i="10"/>
  <c r="A2031" i="10"/>
  <c r="A2032" i="10"/>
  <c r="A2033" i="10"/>
  <c r="A2034" i="10"/>
  <c r="A2035" i="10"/>
  <c r="A2036" i="10"/>
  <c r="A2037" i="10"/>
  <c r="A2038" i="10"/>
  <c r="A2039" i="10"/>
  <c r="A2040" i="10"/>
  <c r="A2041" i="10"/>
  <c r="A2042" i="10"/>
  <c r="A2043" i="10"/>
  <c r="A2044" i="10"/>
  <c r="A2045" i="10"/>
  <c r="A2046" i="10"/>
  <c r="A2047" i="10"/>
  <c r="A2048" i="10"/>
  <c r="A2049" i="10"/>
  <c r="A2050" i="10"/>
  <c r="A2051" i="10"/>
  <c r="A2052" i="10"/>
  <c r="A2053" i="10"/>
  <c r="A2054" i="10"/>
  <c r="A2055" i="10"/>
  <c r="A2056" i="10"/>
  <c r="A2057" i="10"/>
  <c r="A2058" i="10"/>
  <c r="A2059" i="10"/>
  <c r="A2060" i="10"/>
  <c r="A2061" i="10"/>
  <c r="A2062" i="10"/>
  <c r="A2063" i="10"/>
  <c r="A2064" i="10"/>
  <c r="A2065" i="10"/>
  <c r="A2066" i="10"/>
  <c r="A2067" i="10"/>
  <c r="A2068" i="10"/>
  <c r="A2069" i="10"/>
  <c r="A2070" i="10"/>
  <c r="A2071" i="10"/>
  <c r="A2072" i="10"/>
  <c r="A2073" i="10"/>
  <c r="A2074" i="10"/>
  <c r="A2075" i="10"/>
  <c r="A2076" i="10"/>
  <c r="A2077" i="10"/>
  <c r="A2078" i="10"/>
  <c r="A2079" i="10"/>
  <c r="A2080" i="10"/>
  <c r="A2081" i="10"/>
  <c r="A2082" i="10"/>
  <c r="A2083" i="10"/>
  <c r="A2084" i="10"/>
  <c r="A2085" i="10"/>
  <c r="A2086" i="10"/>
  <c r="A2087" i="10"/>
  <c r="A2088" i="10"/>
  <c r="A2089" i="10"/>
  <c r="A2090" i="10"/>
  <c r="A2091" i="10"/>
  <c r="A2092" i="10"/>
  <c r="A2093" i="10"/>
  <c r="A2094" i="10"/>
  <c r="A2095" i="10"/>
  <c r="A2096" i="10"/>
  <c r="A2097" i="10"/>
  <c r="A2098" i="10"/>
  <c r="A2099" i="10"/>
  <c r="A2100" i="10"/>
  <c r="A2101" i="10"/>
  <c r="A2102" i="10"/>
  <c r="A2103" i="10"/>
  <c r="A2104" i="10"/>
  <c r="A2105" i="10"/>
  <c r="A2106" i="10"/>
  <c r="A2107" i="10"/>
  <c r="A2108" i="10"/>
  <c r="A2109" i="10"/>
  <c r="A2110" i="10"/>
  <c r="A2111" i="10"/>
  <c r="A2112" i="10"/>
  <c r="A2113" i="10"/>
  <c r="A2114" i="10"/>
  <c r="A2115" i="10"/>
  <c r="A2116" i="10"/>
  <c r="A2117" i="10"/>
  <c r="A2118" i="10"/>
  <c r="A2119" i="10"/>
  <c r="A2120" i="10"/>
  <c r="A2121" i="10"/>
  <c r="A2122" i="10"/>
  <c r="A2123" i="10"/>
  <c r="A2124" i="10"/>
  <c r="A2125" i="10"/>
  <c r="A2126" i="10"/>
  <c r="A2127" i="10"/>
  <c r="A2128" i="10"/>
  <c r="A2129" i="10"/>
  <c r="A2130" i="10"/>
  <c r="A2131" i="10"/>
  <c r="A2132" i="10"/>
  <c r="A2133" i="10"/>
  <c r="A2134" i="10"/>
  <c r="A2135" i="10"/>
  <c r="A2136" i="10"/>
  <c r="A2137" i="10"/>
  <c r="A2138" i="10"/>
  <c r="A2139" i="10"/>
  <c r="A2140" i="10"/>
  <c r="A2141" i="10"/>
  <c r="A2142" i="10"/>
  <c r="A2143" i="10"/>
  <c r="A2144" i="10"/>
  <c r="A2145" i="10"/>
  <c r="A2146" i="10"/>
  <c r="A2147" i="10"/>
  <c r="A2148" i="10"/>
  <c r="A2149" i="10"/>
  <c r="A2150" i="10"/>
  <c r="A2151" i="10"/>
  <c r="A2152" i="10"/>
  <c r="A2153" i="10"/>
  <c r="A2154" i="10"/>
  <c r="A2155" i="10"/>
  <c r="A2156" i="10"/>
  <c r="A2157" i="10"/>
  <c r="A2158" i="10"/>
  <c r="A2159" i="10"/>
  <c r="A2160" i="10"/>
  <c r="A2161" i="10"/>
  <c r="A2162" i="10"/>
  <c r="A2163" i="10"/>
  <c r="A2164" i="10"/>
  <c r="A2165" i="10"/>
  <c r="A2166" i="10"/>
  <c r="A2167" i="10"/>
  <c r="A2168" i="10"/>
  <c r="A2169" i="10"/>
  <c r="A2170" i="10"/>
  <c r="A2171" i="10"/>
  <c r="A2172" i="10"/>
  <c r="A2173" i="10"/>
  <c r="A2174" i="10"/>
  <c r="A2175" i="10"/>
  <c r="A2176" i="10"/>
  <c r="A2177" i="10"/>
  <c r="A2178" i="10"/>
  <c r="A2179" i="10"/>
  <c r="A2180" i="10"/>
  <c r="A2181" i="10"/>
  <c r="A2182" i="10"/>
  <c r="A2183" i="10"/>
  <c r="A2184" i="10"/>
  <c r="A2185" i="10"/>
  <c r="A2186" i="10"/>
  <c r="A2187" i="10"/>
  <c r="A2188" i="10"/>
  <c r="A2189" i="10"/>
  <c r="A2190" i="10"/>
  <c r="A2191" i="10"/>
  <c r="A2192" i="10"/>
  <c r="A2193" i="10"/>
  <c r="A2194" i="10"/>
  <c r="A2195" i="10"/>
  <c r="A2196" i="10"/>
  <c r="A2197" i="10"/>
  <c r="A2198" i="10"/>
  <c r="A2199" i="10"/>
  <c r="A2200" i="10"/>
  <c r="A2201" i="10"/>
  <c r="A2202" i="10"/>
  <c r="A2203" i="10"/>
  <c r="A2204" i="10"/>
  <c r="A2205" i="10"/>
  <c r="A2206" i="10"/>
  <c r="A2207" i="10"/>
  <c r="A2208" i="10"/>
  <c r="A2209" i="10"/>
  <c r="A2210" i="10"/>
  <c r="A2211" i="10"/>
  <c r="A2212" i="10"/>
  <c r="A2213" i="10"/>
  <c r="A2214" i="10"/>
  <c r="A2215" i="10"/>
  <c r="A2216" i="10"/>
  <c r="A2217" i="10"/>
  <c r="A2218" i="10"/>
  <c r="A2219" i="10"/>
  <c r="A2220" i="10"/>
  <c r="A2221" i="10"/>
  <c r="A2222" i="10"/>
  <c r="A2223" i="10"/>
  <c r="A2224" i="10"/>
  <c r="A2225" i="10"/>
  <c r="A2226" i="10"/>
  <c r="A2227" i="10"/>
  <c r="A2228" i="10"/>
  <c r="A2229" i="10"/>
  <c r="A2230" i="10"/>
  <c r="A2231" i="10"/>
  <c r="A2232" i="10"/>
  <c r="A2233" i="10"/>
  <c r="A2234" i="10"/>
  <c r="A2235" i="10"/>
  <c r="A2236" i="10"/>
  <c r="A2237" i="10"/>
  <c r="A2238" i="10"/>
  <c r="A2239" i="10"/>
  <c r="A2240" i="10"/>
  <c r="A2241" i="10"/>
  <c r="A2242" i="10"/>
  <c r="A2243" i="10"/>
  <c r="A2244" i="10"/>
  <c r="A2245" i="10"/>
  <c r="A2246" i="10"/>
  <c r="A2247" i="10"/>
  <c r="A2248" i="10"/>
  <c r="A2249" i="10"/>
  <c r="A2250" i="10"/>
  <c r="A2251" i="10"/>
  <c r="A2252" i="10"/>
  <c r="A2253" i="10"/>
  <c r="A2254" i="10"/>
  <c r="A2255" i="10"/>
  <c r="A2256" i="10"/>
  <c r="A2257" i="10"/>
  <c r="A2258" i="10"/>
  <c r="A2259" i="10"/>
  <c r="A2260" i="10"/>
  <c r="A2261" i="10"/>
  <c r="A2262" i="10"/>
  <c r="A2263" i="10"/>
  <c r="A2264" i="10"/>
  <c r="A2265" i="10"/>
  <c r="A2266" i="10"/>
  <c r="A2267" i="10"/>
  <c r="A2268" i="10"/>
  <c r="A2269" i="10"/>
  <c r="A2270" i="10"/>
  <c r="A2271" i="10"/>
  <c r="A2272" i="10"/>
  <c r="A2273" i="10"/>
  <c r="A2274" i="10"/>
  <c r="A2275" i="10"/>
  <c r="A2276" i="10"/>
  <c r="A2277" i="10"/>
  <c r="A2278" i="10"/>
  <c r="A2279" i="10"/>
  <c r="A2280" i="10"/>
  <c r="A2281" i="10"/>
  <c r="A2282" i="10"/>
  <c r="A2283" i="10"/>
  <c r="A2284" i="10"/>
  <c r="A2285" i="10"/>
  <c r="A2286" i="10"/>
  <c r="A2287" i="10"/>
  <c r="A2288" i="10"/>
  <c r="A2289" i="10"/>
  <c r="A2290" i="10"/>
  <c r="A2291" i="10"/>
  <c r="A2292" i="10"/>
  <c r="A2293" i="10"/>
  <c r="A2294" i="10"/>
  <c r="A2295" i="10"/>
  <c r="A2296" i="10"/>
  <c r="A2297" i="10"/>
  <c r="A2298" i="10"/>
  <c r="A2299" i="10"/>
  <c r="A2300" i="10"/>
  <c r="A2301" i="10"/>
  <c r="A2302" i="10"/>
  <c r="A2303" i="10"/>
  <c r="A2304" i="10"/>
  <c r="A2305" i="10"/>
  <c r="A2306" i="10"/>
  <c r="A2307" i="10"/>
  <c r="A2308" i="10"/>
  <c r="A2309" i="10"/>
  <c r="A2310" i="10"/>
  <c r="A2311" i="10"/>
  <c r="A2312" i="10"/>
  <c r="A2313" i="10"/>
  <c r="A2314" i="10"/>
  <c r="A2315" i="10"/>
  <c r="A2316" i="10"/>
  <c r="A2317" i="10"/>
  <c r="A2318" i="10"/>
  <c r="A2319" i="10"/>
  <c r="A2320" i="10"/>
  <c r="A2321" i="10"/>
  <c r="A2322" i="10"/>
  <c r="A2323" i="10"/>
  <c r="A2324" i="10"/>
  <c r="A2325" i="10"/>
  <c r="A2326" i="10"/>
  <c r="A2327" i="10"/>
  <c r="A2328" i="10"/>
  <c r="A2329" i="10"/>
  <c r="A2330" i="10"/>
  <c r="A2331" i="10"/>
  <c r="A2332" i="10"/>
  <c r="A2333" i="10"/>
  <c r="A2334" i="10"/>
  <c r="A2335" i="10"/>
  <c r="A2336" i="10"/>
  <c r="A2337" i="10"/>
  <c r="A2338" i="10"/>
  <c r="A2339" i="10"/>
  <c r="A2340" i="10"/>
  <c r="A2341" i="10"/>
  <c r="A2342" i="10"/>
  <c r="A2343" i="10"/>
  <c r="A2344" i="10"/>
  <c r="A2345" i="10"/>
  <c r="A2346" i="10"/>
  <c r="A2347" i="10"/>
  <c r="A2348" i="10"/>
  <c r="A2349" i="10"/>
  <c r="A2350" i="10"/>
  <c r="A2351" i="10"/>
  <c r="A2352" i="10"/>
  <c r="A2353" i="10"/>
  <c r="A2354" i="10"/>
  <c r="A2355" i="10"/>
  <c r="A2356" i="10"/>
  <c r="A2357" i="10"/>
  <c r="A2358" i="10"/>
  <c r="A2359" i="10"/>
  <c r="A2360" i="10"/>
  <c r="A2361" i="10"/>
  <c r="A2362" i="10"/>
  <c r="A2363" i="10"/>
  <c r="A2364" i="10"/>
  <c r="A2365" i="10"/>
  <c r="A2366" i="10"/>
  <c r="A2367" i="10"/>
  <c r="A2368" i="10"/>
  <c r="A2369" i="10"/>
  <c r="A2370" i="10"/>
  <c r="A2371" i="10"/>
  <c r="A2372" i="10"/>
  <c r="A2373" i="10"/>
  <c r="A2374" i="10"/>
  <c r="A2375" i="10"/>
  <c r="A2376" i="10"/>
  <c r="A2377" i="10"/>
  <c r="A2378" i="10"/>
  <c r="A2379" i="10"/>
  <c r="A2380" i="10"/>
  <c r="A2381" i="10"/>
  <c r="A2382" i="10"/>
  <c r="A2383" i="10"/>
  <c r="A2384" i="10"/>
  <c r="A2385" i="10"/>
  <c r="A2386" i="10"/>
  <c r="A2387" i="10"/>
  <c r="A2388" i="10"/>
  <c r="A2389" i="10"/>
  <c r="A2390" i="10"/>
  <c r="A2391" i="10"/>
  <c r="A2392" i="10"/>
  <c r="A2393" i="10"/>
  <c r="A2394" i="10"/>
  <c r="A2395" i="10"/>
  <c r="A2396" i="10"/>
  <c r="A2397" i="10"/>
  <c r="A2398" i="10"/>
  <c r="A2399" i="10"/>
  <c r="A2400" i="10"/>
  <c r="A2401" i="10"/>
  <c r="A2402" i="10"/>
  <c r="A2403" i="10"/>
  <c r="A2404" i="10"/>
  <c r="A2405" i="10"/>
  <c r="A2406" i="10"/>
  <c r="A2407" i="10"/>
  <c r="A2408" i="10"/>
  <c r="A2409" i="10"/>
  <c r="A2410" i="10"/>
  <c r="A2411" i="10"/>
  <c r="A2412" i="10"/>
  <c r="A2413" i="10"/>
  <c r="A2414" i="10"/>
  <c r="A2415" i="10"/>
  <c r="A2416" i="10"/>
  <c r="A2417" i="10"/>
  <c r="A2418" i="10"/>
  <c r="A2419" i="10"/>
  <c r="A2420" i="10"/>
  <c r="A2421" i="10"/>
  <c r="A2422" i="10"/>
  <c r="A2423" i="10"/>
  <c r="A2424" i="10"/>
  <c r="A2425" i="10"/>
  <c r="A2426" i="10"/>
  <c r="A2427" i="10"/>
  <c r="A2428" i="10"/>
  <c r="A2429" i="10"/>
  <c r="A2430" i="10"/>
  <c r="A2431" i="10"/>
  <c r="A2432" i="10"/>
  <c r="A2433" i="10"/>
  <c r="A2434" i="10"/>
  <c r="A2435" i="10"/>
  <c r="A2436" i="10"/>
  <c r="A2437" i="10"/>
  <c r="A2438" i="10"/>
  <c r="A2439" i="10"/>
  <c r="A2440" i="10"/>
  <c r="A2441" i="10"/>
  <c r="A2442" i="10"/>
  <c r="A2443" i="10"/>
  <c r="A2444" i="10"/>
  <c r="A2445" i="10"/>
  <c r="A2446" i="10"/>
  <c r="A2447" i="10"/>
  <c r="A2448" i="10"/>
  <c r="A2449" i="10"/>
  <c r="A2450" i="10"/>
  <c r="A2451" i="10"/>
  <c r="A2452" i="10"/>
  <c r="A2453" i="10"/>
  <c r="A2454" i="10"/>
  <c r="A2455" i="10"/>
  <c r="A2456" i="10"/>
  <c r="A2457" i="10"/>
  <c r="A2458" i="10"/>
  <c r="A2459" i="10"/>
  <c r="A2460" i="10"/>
  <c r="A2461" i="10"/>
  <c r="A2462" i="10"/>
  <c r="A2463" i="10"/>
  <c r="A2464" i="10"/>
  <c r="A2465" i="10"/>
  <c r="A2466" i="10"/>
  <c r="A2467" i="10"/>
  <c r="A2468" i="10"/>
  <c r="A2469" i="10"/>
  <c r="A2470" i="10"/>
  <c r="A2471" i="10"/>
  <c r="A2472" i="10"/>
  <c r="A2473" i="10"/>
  <c r="A2474" i="10"/>
  <c r="A2475" i="10"/>
  <c r="A2476" i="10"/>
  <c r="A2477" i="10"/>
  <c r="A2478" i="10"/>
  <c r="A2479" i="10"/>
  <c r="A2480" i="10"/>
  <c r="A2481" i="10"/>
  <c r="A2482" i="10"/>
  <c r="A2483" i="10"/>
  <c r="A2484" i="10"/>
  <c r="A2485" i="10"/>
  <c r="A2486" i="10"/>
  <c r="A2487" i="10"/>
  <c r="A2488" i="10"/>
  <c r="A2489" i="10"/>
  <c r="A2490" i="10"/>
  <c r="A2491" i="10"/>
  <c r="A2492" i="10"/>
  <c r="A2493" i="10"/>
  <c r="A2494" i="10"/>
  <c r="A2495" i="10"/>
  <c r="A2496" i="10"/>
  <c r="A2497" i="10"/>
  <c r="A2498" i="10"/>
  <c r="A2499" i="10"/>
  <c r="A2500" i="10"/>
  <c r="A2501" i="10"/>
  <c r="A2502" i="10"/>
  <c r="A2503" i="10"/>
  <c r="A2504" i="10"/>
  <c r="A2505" i="10"/>
  <c r="A2506" i="10"/>
  <c r="A2507" i="10"/>
  <c r="A2508" i="10"/>
  <c r="A2509" i="10"/>
  <c r="A2510" i="10"/>
  <c r="A2511" i="10"/>
  <c r="A2512" i="10"/>
  <c r="A2513" i="10"/>
  <c r="A2514" i="10"/>
  <c r="A2515" i="10"/>
  <c r="A2516" i="10"/>
  <c r="A2517" i="10"/>
  <c r="A2518" i="10"/>
  <c r="A2519" i="10"/>
  <c r="A2520" i="10"/>
  <c r="A2521" i="10"/>
  <c r="A2522" i="10"/>
  <c r="A2523" i="10"/>
  <c r="A2524" i="10"/>
  <c r="A2525" i="10"/>
  <c r="A2526" i="10"/>
  <c r="A2527" i="10"/>
  <c r="A2528" i="10"/>
  <c r="A2529" i="10"/>
  <c r="A2530" i="10"/>
  <c r="A2531" i="10"/>
  <c r="A2532" i="10"/>
  <c r="A2533" i="10"/>
  <c r="A2534" i="10"/>
  <c r="A2535" i="10"/>
  <c r="A2536" i="10"/>
  <c r="A2537" i="10"/>
  <c r="A2538" i="10"/>
  <c r="A2539" i="10"/>
  <c r="A2540" i="10"/>
  <c r="A2541" i="10"/>
  <c r="A2542" i="10"/>
  <c r="A2543" i="10"/>
  <c r="A2544" i="10"/>
  <c r="A2545" i="10"/>
  <c r="A2546" i="10"/>
  <c r="A2547" i="10"/>
  <c r="A2548" i="10"/>
  <c r="A2549" i="10"/>
  <c r="A2550" i="10"/>
  <c r="A2551" i="10"/>
  <c r="A2552" i="10"/>
  <c r="A2553" i="10"/>
  <c r="A2554" i="10"/>
  <c r="A2555" i="10"/>
  <c r="A2556" i="10"/>
  <c r="A2557" i="10"/>
  <c r="A2558" i="10"/>
  <c r="A2559" i="10"/>
  <c r="A2560" i="10"/>
  <c r="A2561" i="10"/>
  <c r="A2562" i="10"/>
  <c r="A2563" i="10"/>
  <c r="A2564" i="10"/>
  <c r="A2565" i="10"/>
  <c r="A2566" i="10"/>
  <c r="A2567" i="10"/>
  <c r="A2568" i="10"/>
  <c r="A2569" i="10"/>
  <c r="A2570" i="10"/>
  <c r="A2571" i="10"/>
  <c r="A2572" i="10"/>
  <c r="A2573" i="10"/>
  <c r="A2574" i="10"/>
  <c r="A2575" i="10"/>
  <c r="A2576" i="10"/>
  <c r="A2577" i="10"/>
  <c r="A2578" i="10"/>
  <c r="A2579" i="10"/>
  <c r="A2580" i="10"/>
  <c r="A2581" i="10"/>
  <c r="A2582" i="10"/>
  <c r="A2583" i="10"/>
  <c r="A2584" i="10"/>
  <c r="A2585" i="10"/>
  <c r="A2586" i="10"/>
  <c r="A2587" i="10"/>
  <c r="A2588" i="10"/>
  <c r="A2589" i="10"/>
  <c r="A2590" i="10"/>
  <c r="A2591" i="10"/>
  <c r="A2592" i="10"/>
  <c r="A2593" i="10"/>
  <c r="A2594" i="10"/>
  <c r="A2595" i="10"/>
  <c r="A2596" i="10"/>
  <c r="A2597" i="10"/>
  <c r="A2598" i="10"/>
  <c r="A2599" i="10"/>
  <c r="A2600" i="10"/>
  <c r="A2601" i="10"/>
  <c r="A2767" i="10"/>
  <c r="A2602" i="10"/>
  <c r="A2603" i="10"/>
  <c r="A2604" i="10"/>
  <c r="A2605" i="10"/>
  <c r="A2606" i="10"/>
  <c r="A2607" i="10"/>
  <c r="A2608" i="10"/>
  <c r="A2609" i="10"/>
  <c r="A2610" i="10"/>
  <c r="A2611" i="10"/>
  <c r="A2612" i="10"/>
  <c r="A2613" i="10"/>
  <c r="A2614" i="10"/>
  <c r="A2615" i="10"/>
  <c r="A2616" i="10"/>
  <c r="A2617" i="10"/>
  <c r="A2618" i="10"/>
  <c r="A2619" i="10"/>
  <c r="A2620" i="10"/>
  <c r="A2621" i="10"/>
  <c r="A2622" i="10"/>
  <c r="A2623" i="10"/>
  <c r="A2624" i="10"/>
  <c r="A2625" i="10"/>
  <c r="A2626" i="10"/>
  <c r="A2627" i="10"/>
  <c r="A2628" i="10"/>
  <c r="A2629" i="10"/>
  <c r="A2630" i="10"/>
  <c r="A2631" i="10"/>
  <c r="A2632" i="10"/>
  <c r="A2633" i="10"/>
  <c r="A2634" i="10"/>
  <c r="A2635" i="10"/>
  <c r="A2636" i="10"/>
  <c r="A2637" i="10"/>
  <c r="A2638" i="10"/>
  <c r="A1822" i="10"/>
  <c r="A2639" i="10"/>
  <c r="A2640" i="10"/>
  <c r="A2641" i="10"/>
  <c r="A2642" i="10"/>
  <c r="A2643" i="10"/>
  <c r="A2644" i="10"/>
  <c r="A2645" i="10"/>
  <c r="A2646" i="10"/>
  <c r="A2647" i="10"/>
  <c r="A2648" i="10"/>
  <c r="A2649" i="10"/>
  <c r="A2650" i="10"/>
  <c r="A2651" i="10"/>
  <c r="A2652" i="10"/>
  <c r="A2653" i="10"/>
  <c r="A2654" i="10"/>
  <c r="A2655" i="10"/>
  <c r="A2656" i="10"/>
  <c r="A2657" i="10"/>
  <c r="A2658" i="10"/>
  <c r="A2659" i="10"/>
  <c r="A2660" i="10"/>
  <c r="A2661" i="10"/>
  <c r="A2662" i="10"/>
  <c r="A2663" i="10"/>
  <c r="A2664" i="10"/>
  <c r="A2665" i="10"/>
  <c r="A2666" i="10"/>
  <c r="A2667" i="10"/>
  <c r="A2668" i="10"/>
  <c r="A2669" i="10"/>
  <c r="A2670" i="10"/>
  <c r="A2671" i="10"/>
  <c r="A2672" i="10"/>
  <c r="A2673" i="10"/>
  <c r="A2674" i="10"/>
  <c r="A2675" i="10"/>
  <c r="A2676" i="10"/>
  <c r="A2677" i="10"/>
  <c r="A2678" i="10"/>
  <c r="A2679" i="10"/>
  <c r="A2680" i="10"/>
  <c r="A2681" i="10"/>
  <c r="A2682" i="10"/>
  <c r="A2683" i="10"/>
  <c r="A2684" i="10"/>
  <c r="A2685" i="10"/>
  <c r="A2686" i="10"/>
  <c r="A2687" i="10"/>
  <c r="A2688" i="10"/>
  <c r="A2689" i="10"/>
  <c r="A2690" i="10"/>
  <c r="A2691" i="10"/>
  <c r="A2692" i="10"/>
  <c r="A2693" i="10"/>
  <c r="A2694" i="10"/>
  <c r="A2695" i="10"/>
  <c r="A2696" i="10"/>
  <c r="A2697" i="10"/>
  <c r="A2698" i="10"/>
  <c r="A2699" i="10"/>
  <c r="A2700" i="10"/>
  <c r="A2701" i="10"/>
  <c r="A2702" i="10"/>
  <c r="A2703" i="10"/>
  <c r="A2704" i="10"/>
  <c r="A2705" i="10"/>
  <c r="A2706" i="10"/>
  <c r="A2707" i="10"/>
  <c r="A2708" i="10"/>
  <c r="A2709" i="10"/>
  <c r="A2710" i="10"/>
  <c r="A2711" i="10"/>
  <c r="A2712" i="10"/>
  <c r="A2713" i="10"/>
  <c r="A2714" i="10"/>
  <c r="A2715" i="10"/>
  <c r="A2716" i="10"/>
  <c r="A2717" i="10"/>
  <c r="A2718" i="10"/>
  <c r="A2719" i="10"/>
  <c r="A2720" i="10"/>
  <c r="A2721" i="10"/>
  <c r="A2722" i="10"/>
  <c r="A2723" i="10"/>
  <c r="A2724" i="10"/>
  <c r="A2725" i="10"/>
  <c r="A2726" i="10"/>
  <c r="A2727" i="10"/>
  <c r="A2728" i="10"/>
  <c r="A2729" i="10"/>
  <c r="A2730" i="10"/>
  <c r="A2732" i="10"/>
  <c r="A2733" i="10"/>
  <c r="A2734" i="10"/>
  <c r="A2735" i="10"/>
  <c r="A2736" i="10"/>
  <c r="A2737" i="10"/>
  <c r="A2738" i="10"/>
  <c r="A2739" i="10"/>
  <c r="A2740" i="10"/>
  <c r="A2741" i="10"/>
  <c r="A2742" i="10"/>
  <c r="A2743" i="10"/>
  <c r="A2744" i="10"/>
  <c r="A2745" i="10"/>
  <c r="A2746" i="10"/>
  <c r="A2747" i="10"/>
  <c r="A2748" i="10"/>
  <c r="A2749" i="10"/>
  <c r="A2750" i="10"/>
  <c r="A2751" i="10"/>
  <c r="A2752" i="10"/>
  <c r="A2753" i="10"/>
  <c r="A2754" i="10"/>
  <c r="A2755" i="10"/>
  <c r="A2756" i="10"/>
  <c r="A2757" i="10"/>
  <c r="A687" i="10"/>
  <c r="Y660" i="10"/>
  <c r="B660" i="10"/>
  <c r="Y661" i="10"/>
  <c r="B661" i="10"/>
  <c r="Y662" i="10"/>
  <c r="B662" i="10"/>
  <c r="Y663" i="10"/>
  <c r="B663" i="10"/>
  <c r="Y664" i="10"/>
  <c r="B664" i="10"/>
  <c r="Y665" i="10"/>
  <c r="B665" i="10"/>
  <c r="Y666" i="10"/>
  <c r="B666" i="10"/>
  <c r="X709" i="10"/>
  <c r="Y667" i="10"/>
  <c r="B667" i="10"/>
  <c r="Y668" i="10"/>
  <c r="B668" i="10"/>
  <c r="Y669" i="10"/>
  <c r="B669" i="10"/>
  <c r="Y670" i="10"/>
  <c r="B670" i="10"/>
  <c r="Y671" i="10"/>
  <c r="B671" i="10"/>
  <c r="Y672" i="10"/>
  <c r="B672" i="10"/>
  <c r="Y673" i="10"/>
  <c r="B673" i="10"/>
  <c r="Y674" i="10"/>
  <c r="B674" i="10"/>
  <c r="Y675" i="10"/>
  <c r="B675" i="10"/>
  <c r="Y676" i="10"/>
  <c r="B676" i="10"/>
  <c r="Y677" i="10"/>
  <c r="B677" i="10"/>
  <c r="Y678" i="10"/>
  <c r="B678" i="10"/>
  <c r="Y685" i="10"/>
  <c r="Y679" i="10"/>
  <c r="B679" i="10"/>
  <c r="Y680" i="10"/>
  <c r="B680" i="10"/>
  <c r="Y681" i="10"/>
  <c r="B681" i="10"/>
  <c r="Y682" i="10"/>
  <c r="B682" i="10"/>
  <c r="X708" i="10"/>
  <c r="X684" i="10"/>
  <c r="Y684" i="10" s="1"/>
  <c r="Y683" i="10"/>
  <c r="B683" i="10"/>
  <c r="B684" i="10"/>
  <c r="B685" i="10"/>
  <c r="Y686" i="10"/>
  <c r="B686" i="10"/>
  <c r="Y687" i="10"/>
  <c r="B687" i="10"/>
  <c r="Y690" i="10"/>
  <c r="B690" i="10"/>
  <c r="Y688" i="10"/>
  <c r="B688" i="10"/>
  <c r="Y689" i="10"/>
  <c r="B689" i="10"/>
  <c r="Y691" i="10"/>
  <c r="B691" i="10"/>
  <c r="Y692" i="10"/>
  <c r="B692" i="10"/>
  <c r="Y693" i="10"/>
  <c r="B693" i="10"/>
  <c r="O694" i="10"/>
  <c r="Y694" i="10"/>
  <c r="B694" i="10"/>
  <c r="Y695" i="10"/>
  <c r="B695" i="10"/>
  <c r="Y696" i="10"/>
  <c r="B696" i="10"/>
  <c r="Y697" i="10"/>
  <c r="B697" i="10"/>
  <c r="Y698" i="10"/>
  <c r="B698" i="10"/>
  <c r="Y699" i="10"/>
  <c r="B699" i="10"/>
  <c r="Y700" i="10"/>
  <c r="B700" i="10"/>
  <c r="Y701" i="10"/>
  <c r="B701" i="10"/>
  <c r="X711" i="10"/>
  <c r="Y711" i="10" s="1"/>
  <c r="Y702" i="10"/>
  <c r="B702" i="10"/>
  <c r="Y703" i="10"/>
  <c r="B703" i="10"/>
  <c r="Y705" i="10"/>
  <c r="B705" i="10"/>
  <c r="Y704" i="10"/>
  <c r="B704" i="10"/>
  <c r="Y706" i="10"/>
  <c r="B706" i="10"/>
  <c r="Y707" i="10"/>
  <c r="B707" i="10"/>
  <c r="Y708" i="10"/>
  <c r="B708" i="10"/>
  <c r="Y709" i="10"/>
  <c r="B709" i="10"/>
  <c r="Y710" i="10"/>
  <c r="B710" i="10"/>
  <c r="B711" i="10"/>
  <c r="Y712" i="10"/>
  <c r="B712" i="10"/>
  <c r="Y713" i="10"/>
  <c r="B713" i="10"/>
  <c r="B715" i="10"/>
  <c r="B714" i="10"/>
  <c r="Y714" i="10"/>
  <c r="Y715" i="10"/>
  <c r="X725" i="10"/>
  <c r="Y725" i="10" s="1"/>
  <c r="Y716" i="10"/>
  <c r="B716" i="10"/>
  <c r="Y717" i="10"/>
  <c r="B717" i="10"/>
  <c r="Y718" i="10"/>
  <c r="B718" i="10"/>
  <c r="Y719" i="10"/>
  <c r="B719" i="10"/>
  <c r="Y720" i="10"/>
  <c r="B720" i="10"/>
  <c r="Y722" i="10"/>
  <c r="B722" i="10"/>
  <c r="Y723" i="10"/>
  <c r="B723" i="10"/>
  <c r="Y721" i="10"/>
  <c r="B721" i="10"/>
  <c r="Y724" i="10"/>
  <c r="B724" i="10"/>
  <c r="B725" i="10"/>
  <c r="Y726" i="10"/>
  <c r="B726" i="10"/>
  <c r="B2009" i="10"/>
  <c r="B2010" i="10"/>
  <c r="B2011" i="10"/>
  <c r="B2012" i="10"/>
  <c r="B2013" i="10"/>
  <c r="B2014" i="10"/>
  <c r="B2015" i="10"/>
  <c r="B2660" i="10"/>
  <c r="B2016" i="10"/>
  <c r="B2017" i="10"/>
  <c r="B2018" i="10"/>
  <c r="B2019" i="10"/>
  <c r="B2020" i="10"/>
  <c r="B2021" i="10"/>
  <c r="B2022" i="10"/>
  <c r="B2023" i="10"/>
  <c r="B2024" i="10"/>
  <c r="B2025" i="10"/>
  <c r="B2661" i="10"/>
  <c r="B2684" i="10"/>
  <c r="B2724" i="10"/>
  <c r="B2026" i="10"/>
  <c r="B2027" i="10"/>
  <c r="B2028" i="10"/>
  <c r="B2029" i="10"/>
  <c r="B2030" i="10"/>
  <c r="B2031" i="10"/>
  <c r="B2032" i="10"/>
  <c r="B2033" i="10"/>
  <c r="B2034" i="10"/>
  <c r="B2035" i="10"/>
  <c r="B2662" i="10"/>
  <c r="B2036" i="10"/>
  <c r="B2037" i="10"/>
  <c r="B2038" i="10"/>
  <c r="B2039" i="10"/>
  <c r="B2040" i="10"/>
  <c r="B2041" i="10"/>
  <c r="B2042" i="10"/>
  <c r="B2043" i="10"/>
  <c r="B2044" i="10"/>
  <c r="B2045" i="10"/>
  <c r="B2663" i="10"/>
  <c r="B2046" i="10"/>
  <c r="B2047" i="10"/>
  <c r="B2048" i="10"/>
  <c r="B2049" i="10"/>
  <c r="B2050" i="10"/>
  <c r="B2051" i="10"/>
  <c r="B2052" i="10"/>
  <c r="B2053" i="10"/>
  <c r="B2054" i="10"/>
  <c r="B2055" i="10"/>
  <c r="B2664" i="10"/>
  <c r="B2056" i="10"/>
  <c r="B2057" i="10"/>
  <c r="B2058" i="10"/>
  <c r="B2059" i="10"/>
  <c r="B2060" i="10"/>
  <c r="B2061" i="10"/>
  <c r="B2062" i="10"/>
  <c r="B2063" i="10"/>
  <c r="B2064" i="10"/>
  <c r="B2065" i="10"/>
  <c r="B2665" i="10"/>
  <c r="B2066" i="10"/>
  <c r="B2067" i="10"/>
  <c r="B2068" i="10"/>
  <c r="B2069" i="10"/>
  <c r="B2070" i="10"/>
  <c r="B2071" i="10"/>
  <c r="B2072" i="10"/>
  <c r="B2073" i="10"/>
  <c r="B2074" i="10"/>
  <c r="B2075" i="10"/>
  <c r="B2666" i="10"/>
  <c r="B2076" i="10"/>
  <c r="B2077" i="10"/>
  <c r="B2078" i="10"/>
  <c r="B2079" i="10"/>
  <c r="B2080" i="10"/>
  <c r="B2081" i="10"/>
  <c r="B2082" i="10"/>
  <c r="B2083" i="10"/>
  <c r="B2084" i="10"/>
  <c r="B2085" i="10"/>
  <c r="B2667" i="10"/>
  <c r="B2086" i="10"/>
  <c r="B2087" i="10"/>
  <c r="B2088" i="10"/>
  <c r="B2089" i="10"/>
  <c r="B2090" i="10"/>
  <c r="B2091" i="10"/>
  <c r="B2092" i="10"/>
  <c r="B2093" i="10"/>
  <c r="B2094" i="10"/>
  <c r="B2095" i="10"/>
  <c r="B2668" i="10"/>
  <c r="B2096" i="10"/>
  <c r="B2097" i="10"/>
  <c r="B2098" i="10"/>
  <c r="B2099" i="10"/>
  <c r="B2100" i="10"/>
  <c r="B2101" i="10"/>
  <c r="B2102" i="10"/>
  <c r="B2103" i="10"/>
  <c r="B2104" i="10"/>
  <c r="B2105" i="10"/>
  <c r="B2669" i="10"/>
  <c r="B2106" i="10"/>
  <c r="B2107" i="10"/>
  <c r="B2108" i="10"/>
  <c r="B2109" i="10"/>
  <c r="B2110" i="10"/>
  <c r="B2111" i="10"/>
  <c r="B2112" i="10"/>
  <c r="B2113" i="10"/>
  <c r="B2114" i="10"/>
  <c r="B2115" i="10"/>
  <c r="B2670" i="10"/>
  <c r="B2116" i="10"/>
  <c r="B2117" i="10"/>
  <c r="B2118" i="10"/>
  <c r="B2119" i="10"/>
  <c r="B2120" i="10"/>
  <c r="B2121" i="10"/>
  <c r="B2122" i="10"/>
  <c r="B2123" i="10"/>
  <c r="B2124" i="10"/>
  <c r="B2125" i="10"/>
  <c r="B2671" i="10"/>
  <c r="B2725" i="10"/>
  <c r="B2126" i="10"/>
  <c r="B2127" i="10"/>
  <c r="B2128" i="10"/>
  <c r="B2129" i="10"/>
  <c r="B2130" i="10"/>
  <c r="B2131" i="10"/>
  <c r="B2132" i="10"/>
  <c r="B2133" i="10"/>
  <c r="B2134" i="10"/>
  <c r="B2135" i="10"/>
  <c r="B2672" i="10"/>
  <c r="B2136" i="10"/>
  <c r="B2137" i="10"/>
  <c r="B2138" i="10"/>
  <c r="B2139" i="10"/>
  <c r="B2140" i="10"/>
  <c r="B2141" i="10"/>
  <c r="B2142" i="10"/>
  <c r="B2143" i="10"/>
  <c r="B2144" i="10"/>
  <c r="B2145" i="10"/>
  <c r="B2673" i="10"/>
  <c r="B2146" i="10"/>
  <c r="B2147" i="10"/>
  <c r="B2148" i="10"/>
  <c r="B2149" i="10"/>
  <c r="B2150" i="10"/>
  <c r="B2151" i="10"/>
  <c r="B2152" i="10"/>
  <c r="B2153" i="10"/>
  <c r="B2154" i="10"/>
  <c r="B2155" i="10"/>
  <c r="B2674" i="10"/>
  <c r="B2156" i="10"/>
  <c r="B2157" i="10"/>
  <c r="B2158" i="10"/>
  <c r="B2159" i="10"/>
  <c r="B2160" i="10"/>
  <c r="B2161" i="10"/>
  <c r="B2162" i="10"/>
  <c r="B2163" i="10"/>
  <c r="B2164" i="10"/>
  <c r="B2165" i="10"/>
  <c r="B2675" i="10"/>
  <c r="B2166" i="10"/>
  <c r="B2167" i="10"/>
  <c r="B2168" i="10"/>
  <c r="B2169" i="10"/>
  <c r="B2170" i="10"/>
  <c r="B2171" i="10"/>
  <c r="B2172" i="10"/>
  <c r="B2173" i="10"/>
  <c r="B2174" i="10"/>
  <c r="B2175" i="10"/>
  <c r="B2676" i="10"/>
  <c r="B2176" i="10"/>
  <c r="B2177" i="10"/>
  <c r="B2178" i="10"/>
  <c r="B2179" i="10"/>
  <c r="B2180" i="10"/>
  <c r="B2181" i="10"/>
  <c r="B2182" i="10"/>
  <c r="B2183" i="10"/>
  <c r="B2184" i="10"/>
  <c r="B2185" i="10"/>
  <c r="B2677" i="10"/>
  <c r="B2186" i="10"/>
  <c r="B2187" i="10"/>
  <c r="B2188" i="10"/>
  <c r="B2189" i="10"/>
  <c r="B2190" i="10"/>
  <c r="B2191" i="10"/>
  <c r="B2192" i="10"/>
  <c r="B2193" i="10"/>
  <c r="B2194" i="10"/>
  <c r="B2195" i="10"/>
  <c r="B2678" i="10"/>
  <c r="B2196" i="10"/>
  <c r="B2197" i="10"/>
  <c r="B2198" i="10"/>
  <c r="B2199" i="10"/>
  <c r="B2200" i="10"/>
  <c r="B2201" i="10"/>
  <c r="B2202" i="10"/>
  <c r="B2203" i="10"/>
  <c r="B2204" i="10"/>
  <c r="B2205" i="10"/>
  <c r="B2679" i="10"/>
  <c r="B2206" i="10"/>
  <c r="B2207" i="10"/>
  <c r="B2208" i="10"/>
  <c r="B2209" i="10"/>
  <c r="B2210" i="10"/>
  <c r="B2211" i="10"/>
  <c r="B2212" i="10"/>
  <c r="B2213" i="10"/>
  <c r="B2214" i="10"/>
  <c r="B2215" i="10"/>
  <c r="B2680" i="10"/>
  <c r="B2216" i="10"/>
  <c r="B2217" i="10"/>
  <c r="B2218" i="10"/>
  <c r="B2219" i="10"/>
  <c r="B2220" i="10"/>
  <c r="B2221" i="10"/>
  <c r="B2222" i="10"/>
  <c r="B2223" i="10"/>
  <c r="B2224" i="10"/>
  <c r="B2225" i="10"/>
  <c r="B2681" i="10"/>
  <c r="B2726" i="10"/>
  <c r="B2226" i="10"/>
  <c r="B2227" i="10"/>
  <c r="B2228" i="10"/>
  <c r="B2229" i="10"/>
  <c r="B2230" i="10"/>
  <c r="B2231" i="10"/>
  <c r="B2232" i="10"/>
  <c r="B2233" i="10"/>
  <c r="B2234" i="10"/>
  <c r="B2235" i="10"/>
  <c r="B2682" i="10"/>
  <c r="B2236" i="10"/>
  <c r="B2237" i="10"/>
  <c r="B2238" i="10"/>
  <c r="B2239" i="10"/>
  <c r="B2240" i="10"/>
  <c r="B2241" i="10"/>
  <c r="B2242" i="10"/>
  <c r="B2243" i="10"/>
  <c r="B2244" i="10"/>
  <c r="B2245" i="10"/>
  <c r="B2683" i="10"/>
  <c r="B2246" i="10"/>
  <c r="B2247" i="10"/>
  <c r="B2248" i="10"/>
  <c r="B2249" i="10"/>
  <c r="B2250" i="10"/>
  <c r="B2251" i="10"/>
  <c r="B2252" i="10"/>
  <c r="B2253" i="10"/>
  <c r="B2254" i="10"/>
  <c r="B2255" i="10"/>
  <c r="B2256" i="10"/>
  <c r="B2257" i="10"/>
  <c r="B2258" i="10"/>
  <c r="B2259" i="10"/>
  <c r="B2260" i="10"/>
  <c r="B2261" i="10"/>
  <c r="B2262" i="10"/>
  <c r="B2263" i="10"/>
  <c r="B2264" i="10"/>
  <c r="B2265" i="10"/>
  <c r="B2685" i="10"/>
  <c r="B2266" i="10"/>
  <c r="B2267" i="10"/>
  <c r="B2268" i="10"/>
  <c r="B2269" i="10"/>
  <c r="B2270" i="10"/>
  <c r="B2271" i="10"/>
  <c r="B2272" i="10"/>
  <c r="B2273" i="10"/>
  <c r="B2274" i="10"/>
  <c r="B2275" i="10"/>
  <c r="B2686" i="10"/>
  <c r="B2276" i="10"/>
  <c r="B2277" i="10"/>
  <c r="B2278" i="10"/>
  <c r="B2279" i="10"/>
  <c r="B2280" i="10"/>
  <c r="B2281" i="10"/>
  <c r="B2282" i="10"/>
  <c r="B2283" i="10"/>
  <c r="B2284" i="10"/>
  <c r="B2285" i="10"/>
  <c r="B2687" i="10"/>
  <c r="B2286" i="10"/>
  <c r="B2287" i="10"/>
  <c r="B2288" i="10"/>
  <c r="B2289" i="10"/>
  <c r="B2290" i="10"/>
  <c r="B2291" i="10"/>
  <c r="B2292" i="10"/>
  <c r="B2293" i="10"/>
  <c r="B2294" i="10"/>
  <c r="B2295" i="10"/>
  <c r="B2688" i="10"/>
  <c r="B2296" i="10"/>
  <c r="B2297" i="10"/>
  <c r="B2298" i="10"/>
  <c r="B2299" i="10"/>
  <c r="B2300" i="10"/>
  <c r="B2301" i="10"/>
  <c r="B2302" i="10"/>
  <c r="B2303" i="10"/>
  <c r="B2304" i="10"/>
  <c r="B2305" i="10"/>
  <c r="B2689" i="10"/>
  <c r="B2306" i="10"/>
  <c r="B2307" i="10"/>
  <c r="B2308" i="10"/>
  <c r="B2309" i="10"/>
  <c r="B2310" i="10"/>
  <c r="B2311" i="10"/>
  <c r="B2312" i="10"/>
  <c r="B2313" i="10"/>
  <c r="B2314" i="10"/>
  <c r="B2315" i="10"/>
  <c r="B2690" i="10"/>
  <c r="B2316" i="10"/>
  <c r="B2317" i="10"/>
  <c r="B2318" i="10"/>
  <c r="B2319" i="10"/>
  <c r="B2320" i="10"/>
  <c r="B2321" i="10"/>
  <c r="B2322" i="10"/>
  <c r="B2323" i="10"/>
  <c r="B2324" i="10"/>
  <c r="B2325" i="10"/>
  <c r="B2691" i="10"/>
  <c r="B2727" i="10"/>
  <c r="B2326" i="10"/>
  <c r="B2327" i="10"/>
  <c r="B2328" i="10"/>
  <c r="B2329" i="10"/>
  <c r="B2330" i="10"/>
  <c r="B2331" i="10"/>
  <c r="B2332" i="10"/>
  <c r="B2333" i="10"/>
  <c r="B2334" i="10"/>
  <c r="B2335" i="10"/>
  <c r="B2692" i="10"/>
  <c r="B2336" i="10"/>
  <c r="B2337" i="10"/>
  <c r="B2338" i="10"/>
  <c r="B2339" i="10"/>
  <c r="B2340" i="10"/>
  <c r="B2341" i="10"/>
  <c r="B2342" i="10"/>
  <c r="B2343" i="10"/>
  <c r="B2344" i="10"/>
  <c r="B2345" i="10"/>
  <c r="B2693" i="10"/>
  <c r="B2346" i="10"/>
  <c r="B2347" i="10"/>
  <c r="B2348" i="10"/>
  <c r="B2349" i="10"/>
  <c r="B2350" i="10"/>
  <c r="B2351" i="10"/>
  <c r="B2352" i="10"/>
  <c r="B2353" i="10"/>
  <c r="B2354" i="10"/>
  <c r="B2355" i="10"/>
  <c r="B2694" i="10"/>
  <c r="B2356" i="10"/>
  <c r="B2357" i="10"/>
  <c r="B2358" i="10"/>
  <c r="B2359" i="10"/>
  <c r="B2360" i="10"/>
  <c r="B2361" i="10"/>
  <c r="B2362" i="10"/>
  <c r="B2363" i="10"/>
  <c r="B2364" i="10"/>
  <c r="B2365" i="10"/>
  <c r="B2695" i="10"/>
  <c r="B2366" i="10"/>
  <c r="B2367" i="10"/>
  <c r="B2368" i="10"/>
  <c r="B2369" i="10"/>
  <c r="B2370" i="10"/>
  <c r="B2371" i="10"/>
  <c r="B2372" i="10"/>
  <c r="B2373" i="10"/>
  <c r="B2374" i="10"/>
  <c r="B2375" i="10"/>
  <c r="B2696" i="10"/>
  <c r="B2376" i="10"/>
  <c r="B2377" i="10"/>
  <c r="B2378" i="10"/>
  <c r="B2379" i="10"/>
  <c r="B2380" i="10"/>
  <c r="B2381" i="10"/>
  <c r="B2382" i="10"/>
  <c r="B2383" i="10"/>
  <c r="B2384" i="10"/>
  <c r="B2385" i="10"/>
  <c r="B2697" i="10"/>
  <c r="B2386" i="10"/>
  <c r="B2387" i="10"/>
  <c r="B2388" i="10"/>
  <c r="B2389" i="10"/>
  <c r="B2390" i="10"/>
  <c r="B2391" i="10"/>
  <c r="B2392" i="10"/>
  <c r="B2393" i="10"/>
  <c r="B2394" i="10"/>
  <c r="B2395" i="10"/>
  <c r="B2698" i="10"/>
  <c r="B2396" i="10"/>
  <c r="B2397" i="10"/>
  <c r="B2398" i="10"/>
  <c r="B2399" i="10"/>
  <c r="B2400" i="10"/>
  <c r="B2401" i="10"/>
  <c r="B2402" i="10"/>
  <c r="B2403" i="10"/>
  <c r="B2404" i="10"/>
  <c r="B2405" i="10"/>
  <c r="B2699" i="10"/>
  <c r="B2406" i="10"/>
  <c r="B2407" i="10"/>
  <c r="B2408" i="10"/>
  <c r="B2409" i="10"/>
  <c r="B2410" i="10"/>
  <c r="B2411" i="10"/>
  <c r="B2412" i="10"/>
  <c r="B2413" i="10"/>
  <c r="B2414" i="10"/>
  <c r="B2415" i="10"/>
  <c r="B2700" i="10"/>
  <c r="B2416" i="10"/>
  <c r="B2417" i="10"/>
  <c r="B2418" i="10"/>
  <c r="B2419" i="10"/>
  <c r="B2420" i="10"/>
  <c r="B2421" i="10"/>
  <c r="B2422" i="10"/>
  <c r="B2423" i="10"/>
  <c r="B2424" i="10"/>
  <c r="B2425" i="10"/>
  <c r="B2701" i="10"/>
  <c r="B2728" i="10"/>
  <c r="B2426" i="10"/>
  <c r="B2427" i="10"/>
  <c r="B2428" i="10"/>
  <c r="B2429" i="10"/>
  <c r="B2430" i="10"/>
  <c r="B2431" i="10"/>
  <c r="B2432" i="10"/>
  <c r="B2433" i="10"/>
  <c r="B2434" i="10"/>
  <c r="B2435" i="10"/>
  <c r="B2702" i="10"/>
  <c r="B2436" i="10"/>
  <c r="B2437" i="10"/>
  <c r="B2438" i="10"/>
  <c r="B2439" i="10"/>
  <c r="B2440" i="10"/>
  <c r="B2441" i="10"/>
  <c r="B2442" i="10"/>
  <c r="B2443" i="10"/>
  <c r="B2444" i="10"/>
  <c r="B2445" i="10"/>
  <c r="B2703" i="10"/>
  <c r="B2446" i="10"/>
  <c r="B2447" i="10"/>
  <c r="B2448" i="10"/>
  <c r="B2449" i="10"/>
  <c r="B2450" i="10"/>
  <c r="B2451" i="10"/>
  <c r="B2452" i="10"/>
  <c r="B2453" i="10"/>
  <c r="B2454" i="10"/>
  <c r="B2455" i="10"/>
  <c r="B2456" i="10"/>
  <c r="B2457" i="10"/>
  <c r="B2458" i="10"/>
  <c r="B2459" i="10"/>
  <c r="B2460" i="10"/>
  <c r="B2704" i="10"/>
  <c r="B2461" i="10"/>
  <c r="B2462" i="10"/>
  <c r="B2463" i="10"/>
  <c r="B2464" i="10"/>
  <c r="B2467" i="10"/>
  <c r="B728" i="10"/>
  <c r="B729" i="10"/>
  <c r="B730" i="10"/>
  <c r="B731" i="10"/>
  <c r="B732" i="10"/>
  <c r="B733" i="10"/>
  <c r="B2532" i="10"/>
  <c r="B734" i="10"/>
  <c r="B735" i="10"/>
  <c r="B736" i="10"/>
  <c r="B737" i="10"/>
  <c r="B738" i="10"/>
  <c r="B739" i="10"/>
  <c r="B740" i="10"/>
  <c r="B741" i="10"/>
  <c r="B742" i="10"/>
  <c r="B743" i="10"/>
  <c r="B2533" i="10"/>
  <c r="B744" i="10"/>
  <c r="B745" i="10"/>
  <c r="B746" i="10"/>
  <c r="B747" i="10"/>
  <c r="B748" i="10"/>
  <c r="B749" i="10"/>
  <c r="B750" i="10"/>
  <c r="B751" i="10"/>
  <c r="B752" i="10"/>
  <c r="B753" i="10"/>
  <c r="B2534" i="10"/>
  <c r="B754" i="10"/>
  <c r="B755" i="10"/>
  <c r="B756" i="10"/>
  <c r="B757" i="10"/>
  <c r="B758" i="10"/>
  <c r="B759" i="10"/>
  <c r="B760" i="10"/>
  <c r="B761" i="10"/>
  <c r="B762" i="10"/>
  <c r="B763" i="10"/>
  <c r="B2535" i="10"/>
  <c r="B764" i="10"/>
  <c r="B765" i="10"/>
  <c r="B766" i="10"/>
  <c r="B767" i="10"/>
  <c r="B768" i="10"/>
  <c r="B769" i="10"/>
  <c r="B770" i="10"/>
  <c r="B771" i="10"/>
  <c r="B772" i="10"/>
  <c r="B773" i="10"/>
  <c r="B2536" i="10"/>
  <c r="B774" i="10"/>
  <c r="B775" i="10"/>
  <c r="B776" i="10"/>
  <c r="B777" i="10"/>
  <c r="B778" i="10"/>
  <c r="B779" i="10"/>
  <c r="B780" i="10"/>
  <c r="B781" i="10"/>
  <c r="B782" i="10"/>
  <c r="B783" i="10"/>
  <c r="B2537" i="10"/>
  <c r="B784" i="10"/>
  <c r="B785" i="10"/>
  <c r="B786" i="10"/>
  <c r="B787" i="10"/>
  <c r="B788" i="10"/>
  <c r="B789" i="10"/>
  <c r="B790" i="10"/>
  <c r="B791" i="10"/>
  <c r="B792" i="10"/>
  <c r="B793" i="10"/>
  <c r="B2538" i="10"/>
  <c r="B794" i="10"/>
  <c r="B795" i="10"/>
  <c r="B796" i="10"/>
  <c r="B797" i="10"/>
  <c r="B798" i="10"/>
  <c r="B799" i="10"/>
  <c r="B800" i="10"/>
  <c r="B801" i="10"/>
  <c r="B802" i="10"/>
  <c r="B803" i="10"/>
  <c r="B2539" i="10"/>
  <c r="B804" i="10"/>
  <c r="B805" i="10"/>
  <c r="B806" i="10"/>
  <c r="B807" i="10"/>
  <c r="B808" i="10"/>
  <c r="B809" i="10"/>
  <c r="B810" i="10"/>
  <c r="B811" i="10"/>
  <c r="B812" i="10"/>
  <c r="B813" i="10"/>
  <c r="B2540" i="10"/>
  <c r="B814" i="10"/>
  <c r="B815" i="10"/>
  <c r="B816" i="10"/>
  <c r="B817" i="10"/>
  <c r="B818" i="10"/>
  <c r="B819" i="10"/>
  <c r="B820" i="10"/>
  <c r="B821" i="10"/>
  <c r="B822" i="10"/>
  <c r="B823" i="10"/>
  <c r="B2541" i="10"/>
  <c r="B2712" i="10"/>
  <c r="B824" i="10"/>
  <c r="B825" i="10"/>
  <c r="B826" i="10"/>
  <c r="B827" i="10"/>
  <c r="B828" i="10"/>
  <c r="B829" i="10"/>
  <c r="B830" i="10"/>
  <c r="B831" i="10"/>
  <c r="B832" i="10"/>
  <c r="B833" i="10"/>
  <c r="B2542" i="10"/>
  <c r="B834" i="10"/>
  <c r="B835" i="10"/>
  <c r="B836" i="10"/>
  <c r="B837" i="10"/>
  <c r="B838" i="10"/>
  <c r="B839" i="10"/>
  <c r="B840" i="10"/>
  <c r="B841" i="10"/>
  <c r="B842" i="10"/>
  <c r="B843" i="10"/>
  <c r="B2543" i="10"/>
  <c r="B844" i="10"/>
  <c r="B845" i="10"/>
  <c r="B846" i="10"/>
  <c r="B847" i="10"/>
  <c r="B848" i="10"/>
  <c r="B849" i="10"/>
  <c r="B850" i="10"/>
  <c r="B851" i="10"/>
  <c r="B852" i="10"/>
  <c r="B853" i="10"/>
  <c r="B2544" i="10"/>
  <c r="B854" i="10"/>
  <c r="B855" i="10"/>
  <c r="B856" i="10"/>
  <c r="B857" i="10"/>
  <c r="B858" i="10"/>
  <c r="B859" i="10"/>
  <c r="B860" i="10"/>
  <c r="B861" i="10"/>
  <c r="B862" i="10"/>
  <c r="B863" i="10"/>
  <c r="B2545" i="10"/>
  <c r="B864" i="10"/>
  <c r="B865" i="10"/>
  <c r="B866" i="10"/>
  <c r="B867" i="10"/>
  <c r="B868" i="10"/>
  <c r="B869" i="10"/>
  <c r="B870" i="10"/>
  <c r="B871" i="10"/>
  <c r="B872" i="10"/>
  <c r="B873" i="10"/>
  <c r="B2546" i="10"/>
  <c r="B874" i="10"/>
  <c r="B875" i="10"/>
  <c r="B876" i="10"/>
  <c r="B877" i="10"/>
  <c r="B878" i="10"/>
  <c r="B879" i="10"/>
  <c r="B880" i="10"/>
  <c r="B881" i="10"/>
  <c r="B882" i="10"/>
  <c r="B883" i="10"/>
  <c r="B2547" i="10"/>
  <c r="B884" i="10"/>
  <c r="B885" i="10"/>
  <c r="B886" i="10"/>
  <c r="B887" i="10"/>
  <c r="B888" i="10"/>
  <c r="B889" i="10"/>
  <c r="B890" i="10"/>
  <c r="B891" i="10"/>
  <c r="B892" i="10"/>
  <c r="B893" i="10"/>
  <c r="B2548" i="10"/>
  <c r="B894" i="10"/>
  <c r="B895" i="10"/>
  <c r="B896" i="10"/>
  <c r="B897" i="10"/>
  <c r="B898" i="10"/>
  <c r="B899" i="10"/>
  <c r="B900" i="10"/>
  <c r="B901" i="10"/>
  <c r="B902" i="10"/>
  <c r="B903" i="10"/>
  <c r="B2549" i="10"/>
  <c r="B904" i="10"/>
  <c r="B905" i="10"/>
  <c r="B906" i="10"/>
  <c r="B907" i="10"/>
  <c r="B908" i="10"/>
  <c r="B909" i="10"/>
  <c r="B910" i="10"/>
  <c r="B911" i="10"/>
  <c r="B912" i="10"/>
  <c r="B913" i="10"/>
  <c r="B2550" i="10"/>
  <c r="B914" i="10"/>
  <c r="B915" i="10"/>
  <c r="B916" i="10"/>
  <c r="B917" i="10"/>
  <c r="B918" i="10"/>
  <c r="B919" i="10"/>
  <c r="B920" i="10"/>
  <c r="B921" i="10"/>
  <c r="B922" i="10"/>
  <c r="B923" i="10"/>
  <c r="B2551" i="10"/>
  <c r="B2713" i="10"/>
  <c r="B924" i="10"/>
  <c r="B925" i="10"/>
  <c r="B926" i="10"/>
  <c r="B927" i="10"/>
  <c r="B928" i="10"/>
  <c r="B929" i="10"/>
  <c r="B930" i="10"/>
  <c r="B931" i="10"/>
  <c r="B932" i="10"/>
  <c r="B933" i="10"/>
  <c r="B2552" i="10"/>
  <c r="B934" i="10"/>
  <c r="B935" i="10"/>
  <c r="B936" i="10"/>
  <c r="B937" i="10"/>
  <c r="B938" i="10"/>
  <c r="B939" i="10"/>
  <c r="B940" i="10"/>
  <c r="B941" i="10"/>
  <c r="B942" i="10"/>
  <c r="B943" i="10"/>
  <c r="B2553" i="10"/>
  <c r="B944" i="10"/>
  <c r="B945" i="10"/>
  <c r="B946" i="10"/>
  <c r="B947" i="10"/>
  <c r="B948" i="10"/>
  <c r="B949" i="10"/>
  <c r="B950" i="10"/>
  <c r="B951" i="10"/>
  <c r="B952" i="10"/>
  <c r="B953" i="10"/>
  <c r="B2554" i="10"/>
  <c r="B954" i="10"/>
  <c r="B955" i="10"/>
  <c r="B956" i="10"/>
  <c r="B957" i="10"/>
  <c r="B958" i="10"/>
  <c r="B959" i="10"/>
  <c r="B960" i="10"/>
  <c r="B961" i="10"/>
  <c r="B962" i="10"/>
  <c r="B963" i="10"/>
  <c r="B2555" i="10"/>
  <c r="B964" i="10"/>
  <c r="B965" i="10"/>
  <c r="B966" i="10"/>
  <c r="B967" i="10"/>
  <c r="B968" i="10"/>
  <c r="B969" i="10"/>
  <c r="B970" i="10"/>
  <c r="B971" i="10"/>
  <c r="B972" i="10"/>
  <c r="B973" i="10"/>
  <c r="B2556" i="10"/>
  <c r="B974" i="10"/>
  <c r="B975" i="10"/>
  <c r="B976" i="10"/>
  <c r="B977" i="10"/>
  <c r="B978" i="10"/>
  <c r="B979" i="10"/>
  <c r="B980" i="10"/>
  <c r="B981" i="10"/>
  <c r="B982" i="10"/>
  <c r="B983" i="10"/>
  <c r="B2557" i="10"/>
  <c r="B984" i="10"/>
  <c r="B985" i="10"/>
  <c r="B986" i="10"/>
  <c r="B987" i="10"/>
  <c r="B988" i="10"/>
  <c r="B989" i="10"/>
  <c r="B990" i="10"/>
  <c r="B991" i="10"/>
  <c r="B992" i="10"/>
  <c r="B993" i="10"/>
  <c r="B2558" i="10"/>
  <c r="B994" i="10"/>
  <c r="B995" i="10"/>
  <c r="B996" i="10"/>
  <c r="B997" i="10"/>
  <c r="B998" i="10"/>
  <c r="B999" i="10"/>
  <c r="B1000" i="10"/>
  <c r="B1001" i="10"/>
  <c r="B1002" i="10"/>
  <c r="B1003" i="10"/>
  <c r="B2559" i="10"/>
  <c r="B1004" i="10"/>
  <c r="B1005" i="10"/>
  <c r="B1006" i="10"/>
  <c r="B1007" i="10"/>
  <c r="B1008" i="10"/>
  <c r="B1009" i="10"/>
  <c r="B1010" i="10"/>
  <c r="B1011" i="10"/>
  <c r="B1012" i="10"/>
  <c r="B1013" i="10"/>
  <c r="B2560" i="10"/>
  <c r="B1014" i="10"/>
  <c r="B1015" i="10"/>
  <c r="B1016" i="10"/>
  <c r="B1017" i="10"/>
  <c r="B1018" i="10"/>
  <c r="B1019" i="10"/>
  <c r="B1020" i="10"/>
  <c r="B1021" i="10"/>
  <c r="B1022" i="10"/>
  <c r="B1023" i="10"/>
  <c r="B2561" i="10"/>
  <c r="B2714" i="10"/>
  <c r="B1024" i="10"/>
  <c r="B1025" i="10"/>
  <c r="B1026" i="10"/>
  <c r="B1027" i="10"/>
  <c r="B1028" i="10"/>
  <c r="B1029" i="10"/>
  <c r="B1030" i="10"/>
  <c r="B1031" i="10"/>
  <c r="B1032" i="10"/>
  <c r="B1033" i="10"/>
  <c r="B2562" i="10"/>
  <c r="B1034" i="10"/>
  <c r="B1035" i="10"/>
  <c r="B1036" i="10"/>
  <c r="B1037" i="10"/>
  <c r="B1038" i="10"/>
  <c r="B1039" i="10"/>
  <c r="B1040" i="10"/>
  <c r="B1041" i="10"/>
  <c r="B1042" i="10"/>
  <c r="B1043" i="10"/>
  <c r="B2563" i="10"/>
  <c r="B1044" i="10"/>
  <c r="B1045" i="10"/>
  <c r="B1046" i="10"/>
  <c r="B1047" i="10"/>
  <c r="B1048" i="10"/>
  <c r="B1049" i="10"/>
  <c r="B1050" i="10"/>
  <c r="B1051" i="10"/>
  <c r="B1052" i="10"/>
  <c r="B1053" i="10"/>
  <c r="B2564" i="10"/>
  <c r="B1054" i="10"/>
  <c r="B1055" i="10"/>
  <c r="B1056" i="10"/>
  <c r="B1057" i="10"/>
  <c r="B1058" i="10"/>
  <c r="B1059" i="10"/>
  <c r="B1060" i="10"/>
  <c r="B1061" i="10"/>
  <c r="B1062" i="10"/>
  <c r="B1063" i="10"/>
  <c r="B2565" i="10"/>
  <c r="B1064" i="10"/>
  <c r="B1065" i="10"/>
  <c r="B1066" i="10"/>
  <c r="B1067" i="10"/>
  <c r="B1068" i="10"/>
  <c r="B1069" i="10"/>
  <c r="B1070" i="10"/>
  <c r="B1071" i="10"/>
  <c r="B1072" i="10"/>
  <c r="B1073" i="10"/>
  <c r="B2566" i="10"/>
  <c r="B1074" i="10"/>
  <c r="B1075" i="10"/>
  <c r="B1076" i="10"/>
  <c r="B1077" i="10"/>
  <c r="B1078" i="10"/>
  <c r="B1079" i="10"/>
  <c r="B1080" i="10"/>
  <c r="B1081" i="10"/>
  <c r="B1082" i="10"/>
  <c r="B1083" i="10"/>
  <c r="B2567" i="10"/>
  <c r="B1084" i="10"/>
  <c r="B1085" i="10"/>
  <c r="B1086" i="10"/>
  <c r="B1087" i="10"/>
  <c r="B1088" i="10"/>
  <c r="B1089" i="10"/>
  <c r="B1090" i="10"/>
  <c r="B1091" i="10"/>
  <c r="B1092" i="10"/>
  <c r="B1093" i="10"/>
  <c r="B2568" i="10"/>
  <c r="B1094" i="10"/>
  <c r="B1095" i="10"/>
  <c r="B1096" i="10"/>
  <c r="B1097" i="10"/>
  <c r="B1098" i="10"/>
  <c r="B1099" i="10"/>
  <c r="B1100" i="10"/>
  <c r="B1101" i="10"/>
  <c r="B1102" i="10"/>
  <c r="B1103" i="10"/>
  <c r="B2569" i="10"/>
  <c r="B1104" i="10"/>
  <c r="B1105" i="10"/>
  <c r="B1106" i="10"/>
  <c r="B1107" i="10"/>
  <c r="B1108" i="10"/>
  <c r="B1109" i="10"/>
  <c r="B1110" i="10"/>
  <c r="B1111" i="10"/>
  <c r="B1112" i="10"/>
  <c r="B1113" i="10"/>
  <c r="B2570" i="10"/>
  <c r="B1114" i="10"/>
  <c r="B1115" i="10"/>
  <c r="B1116" i="10"/>
  <c r="B1117" i="10"/>
  <c r="B1118" i="10"/>
  <c r="B1119" i="10"/>
  <c r="B1120" i="10"/>
  <c r="B1121" i="10"/>
  <c r="B1122" i="10"/>
  <c r="B1123" i="10"/>
  <c r="B2571" i="10"/>
  <c r="B2715" i="10"/>
  <c r="B1124" i="10"/>
  <c r="B1125" i="10"/>
  <c r="B1126" i="10"/>
  <c r="B1127" i="10"/>
  <c r="B1128" i="10"/>
  <c r="B1129" i="10"/>
  <c r="B1130" i="10"/>
  <c r="B1131" i="10"/>
  <c r="B1132" i="10"/>
  <c r="B1133" i="10"/>
  <c r="B2572" i="10"/>
  <c r="B1134" i="10"/>
  <c r="B1135" i="10"/>
  <c r="B1136" i="10"/>
  <c r="B1137" i="10"/>
  <c r="B1138" i="10"/>
  <c r="B1139" i="10"/>
  <c r="B1140" i="10"/>
  <c r="B1141" i="10"/>
  <c r="B1142" i="10"/>
  <c r="B1143" i="10"/>
  <c r="B2573" i="10"/>
  <c r="B1144" i="10"/>
  <c r="B1145" i="10"/>
  <c r="B1146" i="10"/>
  <c r="B1147" i="10"/>
  <c r="B1148" i="10"/>
  <c r="B1149" i="10"/>
  <c r="B1150" i="10"/>
  <c r="B1151" i="10"/>
  <c r="B1152" i="10"/>
  <c r="B1153" i="10"/>
  <c r="B2574" i="10"/>
  <c r="B1154" i="10"/>
  <c r="B1155" i="10"/>
  <c r="B1156" i="10"/>
  <c r="B1157" i="10"/>
  <c r="B1158" i="10"/>
  <c r="B1159" i="10"/>
  <c r="B1160" i="10"/>
  <c r="B1161" i="10"/>
  <c r="B1162" i="10"/>
  <c r="B1163" i="10"/>
  <c r="B2575" i="10"/>
  <c r="B1164" i="10"/>
  <c r="B1165" i="10"/>
  <c r="B1166" i="10"/>
  <c r="B1167" i="10"/>
  <c r="B1168" i="10"/>
  <c r="B1169" i="10"/>
  <c r="B1170" i="10"/>
  <c r="B1171" i="10"/>
  <c r="B1172" i="10"/>
  <c r="B1173" i="10"/>
  <c r="B2576" i="10"/>
  <c r="B1174" i="10"/>
  <c r="B1175" i="10"/>
  <c r="B1176" i="10"/>
  <c r="B1177" i="10"/>
  <c r="B1178" i="10"/>
  <c r="B1179" i="10"/>
  <c r="B1180" i="10"/>
  <c r="B1181" i="10"/>
  <c r="B1182" i="10"/>
  <c r="B1183" i="10"/>
  <c r="B2577" i="10"/>
  <c r="B1184" i="10"/>
  <c r="B1185" i="10"/>
  <c r="B1186" i="10"/>
  <c r="B1187" i="10"/>
  <c r="B1188" i="10"/>
  <c r="B1189" i="10"/>
  <c r="B1190" i="10"/>
  <c r="B1191" i="10"/>
  <c r="B1192" i="10"/>
  <c r="B1193" i="10"/>
  <c r="B2578" i="10"/>
  <c r="B1194" i="10"/>
  <c r="B1195" i="10"/>
  <c r="B1196" i="10"/>
  <c r="B1197" i="10"/>
  <c r="B1198" i="10"/>
  <c r="B1199" i="10"/>
  <c r="B1200" i="10"/>
  <c r="B1201" i="10"/>
  <c r="B1202" i="10"/>
  <c r="B1203" i="10"/>
  <c r="B2579" i="10"/>
  <c r="B1204" i="10"/>
  <c r="B1205" i="10"/>
  <c r="B1206" i="10"/>
  <c r="B1207" i="10"/>
  <c r="B1208" i="10"/>
  <c r="B1209" i="10"/>
  <c r="B1210" i="10"/>
  <c r="B1211" i="10"/>
  <c r="B1212" i="10"/>
  <c r="B1213" i="10"/>
  <c r="B2580" i="10"/>
  <c r="B1214" i="10"/>
  <c r="B1215" i="10"/>
  <c r="B1216" i="10"/>
  <c r="B1217" i="10"/>
  <c r="B1218" i="10"/>
  <c r="B1219" i="10"/>
  <c r="B1220" i="10"/>
  <c r="B1221" i="10"/>
  <c r="B1222" i="10"/>
  <c r="B1223" i="10"/>
  <c r="B2581" i="10"/>
  <c r="B2716" i="10"/>
  <c r="B1224" i="10"/>
  <c r="B1225" i="10"/>
  <c r="B1226" i="10"/>
  <c r="B1227" i="10"/>
  <c r="B1228" i="10"/>
  <c r="B1229" i="10"/>
  <c r="B1230" i="10"/>
  <c r="B1231" i="10"/>
  <c r="B1232" i="10"/>
  <c r="B1233" i="10"/>
  <c r="B2582" i="10"/>
  <c r="B1234" i="10"/>
  <c r="B1235" i="10"/>
  <c r="B1236" i="10"/>
  <c r="B1237" i="10"/>
  <c r="B1238" i="10"/>
  <c r="B1239" i="10"/>
  <c r="B1240" i="10"/>
  <c r="B1241" i="10"/>
  <c r="B1242" i="10"/>
  <c r="B1243" i="10"/>
  <c r="B2583" i="10"/>
  <c r="B1244" i="10"/>
  <c r="B1245" i="10"/>
  <c r="B1246" i="10"/>
  <c r="B1247" i="10"/>
  <c r="B1248" i="10"/>
  <c r="B1249" i="10"/>
  <c r="B1250" i="10"/>
  <c r="B1251" i="10"/>
  <c r="B1252" i="10"/>
  <c r="B1253" i="10"/>
  <c r="B1254" i="10"/>
  <c r="B2584" i="10"/>
  <c r="B1255" i="10"/>
  <c r="B1256" i="10"/>
  <c r="B1257" i="10"/>
  <c r="B1258" i="10"/>
  <c r="B1259" i="10"/>
  <c r="B1260" i="10"/>
  <c r="B1261" i="10"/>
  <c r="B1262" i="10"/>
  <c r="B1263" i="10"/>
  <c r="B1264" i="10"/>
  <c r="B2585" i="10"/>
  <c r="B1265" i="10"/>
  <c r="B1266" i="10"/>
  <c r="B1267" i="10"/>
  <c r="B1268" i="10"/>
  <c r="B1269" i="10"/>
  <c r="B1270" i="10"/>
  <c r="B1271" i="10"/>
  <c r="B1272" i="10"/>
  <c r="B1273" i="10"/>
  <c r="B1274" i="10"/>
  <c r="B2586" i="10"/>
  <c r="B1275" i="10"/>
  <c r="B1276" i="10"/>
  <c r="B1277" i="10"/>
  <c r="B1278" i="10"/>
  <c r="B1279" i="10"/>
  <c r="B1280" i="10"/>
  <c r="B1281" i="10"/>
  <c r="B1282" i="10"/>
  <c r="B1283" i="10"/>
  <c r="B1284" i="10"/>
  <c r="B2587" i="10"/>
  <c r="B1285" i="10"/>
  <c r="B1286" i="10"/>
  <c r="B1287" i="10"/>
  <c r="B1288" i="10"/>
  <c r="B1289" i="10"/>
  <c r="B1290" i="10"/>
  <c r="B1291" i="10"/>
  <c r="B1292" i="10"/>
  <c r="B1293" i="10"/>
  <c r="B1294" i="10"/>
  <c r="B2588" i="10"/>
  <c r="B1295" i="10"/>
  <c r="B1296" i="10"/>
  <c r="B1297" i="10"/>
  <c r="B1298" i="10"/>
  <c r="B1299" i="10"/>
  <c r="B1300" i="10"/>
  <c r="B1301" i="10"/>
  <c r="B1302" i="10"/>
  <c r="B1303" i="10"/>
  <c r="B1304" i="10"/>
  <c r="B2589" i="10"/>
  <c r="B1305" i="10"/>
  <c r="B1306" i="10"/>
  <c r="B1307" i="10"/>
  <c r="B1308" i="10"/>
  <c r="B1309" i="10"/>
  <c r="B1310" i="10"/>
  <c r="B1311" i="10"/>
  <c r="B1312" i="10"/>
  <c r="B1313" i="10"/>
  <c r="B1314" i="10"/>
  <c r="B2590" i="10"/>
  <c r="B1315" i="10"/>
  <c r="B1316" i="10"/>
  <c r="B1317" i="10"/>
  <c r="B1318" i="10"/>
  <c r="B1319" i="10"/>
  <c r="B1320" i="10"/>
  <c r="B1321" i="10"/>
  <c r="B1322" i="10"/>
  <c r="B1323" i="10"/>
  <c r="B1324" i="10"/>
  <c r="B2591" i="10"/>
  <c r="B2717" i="10"/>
  <c r="B1325" i="10"/>
  <c r="B1326" i="10"/>
  <c r="B1327" i="10"/>
  <c r="B1328" i="10"/>
  <c r="B1329" i="10"/>
  <c r="B1330" i="10"/>
  <c r="B1331" i="10"/>
  <c r="B1332" i="10"/>
  <c r="B1333" i="10"/>
  <c r="B1334" i="10"/>
  <c r="B2592" i="10"/>
  <c r="B1335" i="10"/>
  <c r="B1336" i="10"/>
  <c r="B1337" i="10"/>
  <c r="B1338" i="10"/>
  <c r="B1339" i="10"/>
  <c r="B1340" i="10"/>
  <c r="B1341" i="10"/>
  <c r="B1342" i="10"/>
  <c r="B1343" i="10"/>
  <c r="B1344" i="10"/>
  <c r="B2593" i="10"/>
  <c r="B1345" i="10"/>
  <c r="B1346" i="10"/>
  <c r="B1347" i="10"/>
  <c r="B1348" i="10"/>
  <c r="B1349" i="10"/>
  <c r="B1350" i="10"/>
  <c r="B1351" i="10"/>
  <c r="B1352" i="10"/>
  <c r="B1353" i="10"/>
  <c r="B1354" i="10"/>
  <c r="B2594" i="10"/>
  <c r="B1355" i="10"/>
  <c r="B1356" i="10"/>
  <c r="B1357" i="10"/>
  <c r="B1358" i="10"/>
  <c r="B1359" i="10"/>
  <c r="B1360" i="10"/>
  <c r="B1361" i="10"/>
  <c r="B1362" i="10"/>
  <c r="B1363" i="10"/>
  <c r="B1364" i="10"/>
  <c r="B2595" i="10"/>
  <c r="B1365" i="10"/>
  <c r="B1366" i="10"/>
  <c r="B1367" i="10"/>
  <c r="B1368" i="10"/>
  <c r="B1369" i="10"/>
  <c r="B1370" i="10"/>
  <c r="B1371" i="10"/>
  <c r="B1372" i="10"/>
  <c r="B1373" i="10"/>
  <c r="B1374" i="10"/>
  <c r="B2596" i="10"/>
  <c r="B1375" i="10"/>
  <c r="B1376" i="10"/>
  <c r="B1377" i="10"/>
  <c r="B1378" i="10"/>
  <c r="B1379" i="10"/>
  <c r="B1380" i="10"/>
  <c r="B1381" i="10"/>
  <c r="B1382" i="10"/>
  <c r="B1383" i="10"/>
  <c r="B1384" i="10"/>
  <c r="B2597" i="10"/>
  <c r="B1385" i="10"/>
  <c r="B1386" i="10"/>
  <c r="B1387" i="10"/>
  <c r="B1388" i="10"/>
  <c r="B1389" i="10"/>
  <c r="B1390" i="10"/>
  <c r="B1391" i="10"/>
  <c r="B1392" i="10"/>
  <c r="B1393" i="10"/>
  <c r="B1394" i="10"/>
  <c r="B2598" i="10"/>
  <c r="B1395" i="10"/>
  <c r="B1396" i="10"/>
  <c r="B1397" i="10"/>
  <c r="B1398" i="10"/>
  <c r="B1399" i="10"/>
  <c r="B1400" i="10"/>
  <c r="B1401" i="10"/>
  <c r="B1402" i="10"/>
  <c r="B1403" i="10"/>
  <c r="B1404" i="10"/>
  <c r="B2599" i="10"/>
  <c r="B1405" i="10"/>
  <c r="B1406" i="10"/>
  <c r="B1407" i="10"/>
  <c r="B1408" i="10"/>
  <c r="B1409" i="10"/>
  <c r="B1410" i="10"/>
  <c r="B1411" i="10"/>
  <c r="B1412" i="10"/>
  <c r="B1413" i="10"/>
  <c r="B1414" i="10"/>
  <c r="B2600" i="10"/>
  <c r="B1415" i="10"/>
  <c r="B1416" i="10"/>
  <c r="B1417" i="10"/>
  <c r="B1418" i="10"/>
  <c r="B1419" i="10"/>
  <c r="B1420" i="10"/>
  <c r="B1421" i="10"/>
  <c r="B1422" i="10"/>
  <c r="B1423" i="10"/>
  <c r="B1424" i="10"/>
  <c r="B2601" i="10"/>
  <c r="B2718" i="10"/>
  <c r="B1425" i="10"/>
  <c r="B1426" i="10"/>
  <c r="B1427" i="10"/>
  <c r="B1428" i="10"/>
  <c r="B1429" i="10"/>
  <c r="B1430" i="10"/>
  <c r="B1431" i="10"/>
  <c r="B1432" i="10"/>
  <c r="B1433" i="10"/>
  <c r="B1434" i="10"/>
  <c r="B2602" i="10"/>
  <c r="B1435" i="10"/>
  <c r="B1436" i="10"/>
  <c r="B1437" i="10"/>
  <c r="B1438" i="10"/>
  <c r="B1439" i="10"/>
  <c r="B1440" i="10"/>
  <c r="B1441" i="10"/>
  <c r="B1442" i="10"/>
  <c r="B1443" i="10"/>
  <c r="B1444" i="10"/>
  <c r="B2603" i="10"/>
  <c r="B1445" i="10"/>
  <c r="B1446" i="10"/>
  <c r="B1447" i="10"/>
  <c r="B1448" i="10"/>
  <c r="B1449" i="10"/>
  <c r="B1450" i="10"/>
  <c r="B1451" i="10"/>
  <c r="B1452" i="10"/>
  <c r="B1453" i="10"/>
  <c r="B1454" i="10"/>
  <c r="B2604" i="10"/>
  <c r="B1455" i="10"/>
  <c r="B1456" i="10"/>
  <c r="B1457" i="10"/>
  <c r="B1458" i="10"/>
  <c r="B1459" i="10"/>
  <c r="B1460" i="10"/>
  <c r="B1461" i="10"/>
  <c r="B1462" i="10"/>
  <c r="B1463" i="10"/>
  <c r="B2605" i="10"/>
  <c r="B1464" i="10"/>
  <c r="B1465" i="10"/>
  <c r="B1466" i="10"/>
  <c r="B1467" i="10"/>
  <c r="B1468" i="10"/>
  <c r="B1469" i="10"/>
  <c r="B1470" i="10"/>
  <c r="B1471" i="10"/>
  <c r="B1472" i="10"/>
  <c r="B1473" i="10"/>
  <c r="B2606" i="10"/>
  <c r="B1474" i="10"/>
  <c r="B1475" i="10"/>
  <c r="B1476" i="10"/>
  <c r="B1477" i="10"/>
  <c r="B1478" i="10"/>
  <c r="B1479" i="10"/>
  <c r="B1480" i="10"/>
  <c r="B1481" i="10"/>
  <c r="B1482" i="10"/>
  <c r="B1483" i="10"/>
  <c r="B2607" i="10"/>
  <c r="B1484" i="10"/>
  <c r="B1485" i="10"/>
  <c r="B1486" i="10"/>
  <c r="B1487" i="10"/>
  <c r="B1488" i="10"/>
  <c r="B1489" i="10"/>
  <c r="B1490" i="10"/>
  <c r="B1491" i="10"/>
  <c r="B1492" i="10"/>
  <c r="B1493" i="10"/>
  <c r="B2608" i="10"/>
  <c r="B1494" i="10"/>
  <c r="B1495" i="10"/>
  <c r="B1496" i="10"/>
  <c r="B1497" i="10"/>
  <c r="B1498" i="10"/>
  <c r="B1499" i="10"/>
  <c r="B1501" i="10"/>
  <c r="B1500" i="10"/>
  <c r="B1502" i="10"/>
  <c r="B1503" i="10"/>
  <c r="B1504" i="10"/>
  <c r="B2609" i="10"/>
  <c r="B1505" i="10"/>
  <c r="B1506" i="10"/>
  <c r="B1507" i="10"/>
  <c r="B1508" i="10"/>
  <c r="B1509" i="10"/>
  <c r="B1510" i="10"/>
  <c r="B1511" i="10"/>
  <c r="B1512" i="10"/>
  <c r="B1513" i="10"/>
  <c r="B1514" i="10"/>
  <c r="B2610" i="10"/>
  <c r="B1515" i="10"/>
  <c r="B1516" i="10"/>
  <c r="B1517" i="10"/>
  <c r="B1518" i="10"/>
  <c r="B1519" i="10"/>
  <c r="B1520" i="10"/>
  <c r="B1521" i="10"/>
  <c r="B1522" i="10"/>
  <c r="B1523" i="10"/>
  <c r="B1524" i="10"/>
  <c r="B2611" i="10"/>
  <c r="B2719" i="10"/>
  <c r="B1525" i="10"/>
  <c r="B1526" i="10"/>
  <c r="B1527" i="10"/>
  <c r="B1528" i="10"/>
  <c r="B1529" i="10"/>
  <c r="B1530" i="10"/>
  <c r="B1531" i="10"/>
  <c r="B1532" i="10"/>
  <c r="B1533" i="10"/>
  <c r="B1534" i="10"/>
  <c r="B2612" i="10"/>
  <c r="B1535" i="10"/>
  <c r="B1536" i="10"/>
  <c r="B1537" i="10"/>
  <c r="B1538" i="10"/>
  <c r="B1539" i="10"/>
  <c r="B1540" i="10"/>
  <c r="B1541" i="10"/>
  <c r="B1542" i="10"/>
  <c r="B1543" i="10"/>
  <c r="B1544" i="10"/>
  <c r="B2613" i="10"/>
  <c r="B1545" i="10"/>
  <c r="B1546" i="10"/>
  <c r="B1547" i="10"/>
  <c r="B1548" i="10"/>
  <c r="B1549" i="10"/>
  <c r="B1551" i="10"/>
  <c r="B1550" i="10"/>
  <c r="B1552" i="10"/>
  <c r="B1553" i="10"/>
  <c r="B1554" i="10"/>
  <c r="B1555" i="10"/>
  <c r="B2614" i="10"/>
  <c r="B1556" i="10"/>
  <c r="B1557" i="10"/>
  <c r="B1558" i="10"/>
  <c r="B1559" i="10"/>
  <c r="B1560" i="10"/>
  <c r="B1561" i="10"/>
  <c r="B1562" i="10"/>
  <c r="B1563" i="10"/>
  <c r="B1564" i="10"/>
  <c r="B1565" i="10"/>
  <c r="B2615" i="10"/>
  <c r="B1566" i="10"/>
  <c r="B1567" i="10"/>
  <c r="B1568" i="10"/>
  <c r="B1569" i="10"/>
  <c r="B1570" i="10"/>
  <c r="B1571" i="10"/>
  <c r="B1572" i="10"/>
  <c r="B1573" i="10"/>
  <c r="B1574" i="10"/>
  <c r="B1575" i="10"/>
  <c r="B2616" i="10"/>
  <c r="B1576" i="10"/>
  <c r="B1577" i="10"/>
  <c r="B1578" i="10"/>
  <c r="B1579" i="10"/>
  <c r="B1580" i="10"/>
  <c r="B1581" i="10"/>
  <c r="B1582" i="10"/>
  <c r="B1583" i="10"/>
  <c r="B1584" i="10"/>
  <c r="B1585" i="10"/>
  <c r="B2617" i="10"/>
  <c r="B1586" i="10"/>
  <c r="B1587" i="10"/>
  <c r="B1588" i="10"/>
  <c r="B1589" i="10"/>
  <c r="B1590" i="10"/>
  <c r="B1591" i="10"/>
  <c r="B1592" i="10"/>
  <c r="B1593" i="10"/>
  <c r="B1594" i="10"/>
  <c r="B1595" i="10"/>
  <c r="B2618" i="10"/>
  <c r="B1596" i="10"/>
  <c r="B1597" i="10"/>
  <c r="B1598" i="10"/>
  <c r="B1599" i="10"/>
  <c r="B1600" i="10"/>
  <c r="B1601" i="10"/>
  <c r="B1602" i="10"/>
  <c r="B1603" i="10"/>
  <c r="B1604" i="10"/>
  <c r="B1605" i="10"/>
  <c r="B2619" i="10"/>
  <c r="B1606" i="10"/>
  <c r="B1607" i="10"/>
  <c r="B1608" i="10"/>
  <c r="B1609" i="10"/>
  <c r="B1610" i="10"/>
  <c r="B1611" i="10"/>
  <c r="B1612" i="10"/>
  <c r="B1613" i="10"/>
  <c r="B1614" i="10"/>
  <c r="B1615" i="10"/>
  <c r="B2620" i="10"/>
  <c r="B1616" i="10"/>
  <c r="B1617" i="10"/>
  <c r="B1618" i="10"/>
  <c r="B1619" i="10"/>
  <c r="B1620" i="10"/>
  <c r="B1621" i="10"/>
  <c r="B1622" i="10"/>
  <c r="B1623" i="10"/>
  <c r="B1624" i="10"/>
  <c r="B1625" i="10"/>
  <c r="B2621" i="10"/>
  <c r="B2720" i="10"/>
  <c r="B1626" i="10"/>
  <c r="B1627" i="10"/>
  <c r="B1628" i="10"/>
  <c r="B1629" i="10"/>
  <c r="B1630" i="10"/>
  <c r="B1631" i="10"/>
  <c r="B1632" i="10"/>
  <c r="B1633" i="10"/>
  <c r="B1634" i="10"/>
  <c r="B1635" i="10"/>
  <c r="B2622" i="10"/>
  <c r="B1636" i="10"/>
  <c r="B1637" i="10"/>
  <c r="B1638" i="10"/>
  <c r="B1639" i="10"/>
  <c r="B1640" i="10"/>
  <c r="B1641" i="10"/>
  <c r="B1642" i="10"/>
  <c r="B1643" i="10"/>
  <c r="B1644" i="10"/>
  <c r="B1645" i="10"/>
  <c r="B2623" i="10"/>
  <c r="B1646" i="10"/>
  <c r="B1647" i="10"/>
  <c r="B1648" i="10"/>
  <c r="B1649" i="10"/>
  <c r="B1650" i="10"/>
  <c r="B1651" i="10"/>
  <c r="B1652" i="10"/>
  <c r="B1653" i="10"/>
  <c r="B1654" i="10"/>
  <c r="B1655" i="10"/>
  <c r="B2624" i="10"/>
  <c r="B1656" i="10"/>
  <c r="B1657" i="10"/>
  <c r="B1658" i="10"/>
  <c r="B1659" i="10"/>
  <c r="B1660" i="10"/>
  <c r="B1661" i="10"/>
  <c r="B1662" i="10"/>
  <c r="B1663" i="10"/>
  <c r="B1664" i="10"/>
  <c r="B1665" i="10"/>
  <c r="B2625" i="10"/>
  <c r="B1666" i="10"/>
  <c r="B1667" i="10"/>
  <c r="B1668" i="10"/>
  <c r="B1669" i="10"/>
  <c r="B1670" i="10"/>
  <c r="B1671" i="10"/>
  <c r="B1672" i="10"/>
  <c r="B1673" i="10"/>
  <c r="B1674" i="10"/>
  <c r="B1675" i="10"/>
  <c r="B2626" i="10"/>
  <c r="B1676" i="10"/>
  <c r="B1677" i="10"/>
  <c r="B1678" i="10"/>
  <c r="B1679" i="10"/>
  <c r="B1680" i="10"/>
  <c r="B1681" i="10"/>
  <c r="B1682" i="10"/>
  <c r="B1683" i="10"/>
  <c r="B1684" i="10"/>
  <c r="B1685" i="10"/>
  <c r="B2627" i="10"/>
  <c r="B1686" i="10"/>
  <c r="B1687" i="10"/>
  <c r="B1688" i="10"/>
  <c r="B1689" i="10"/>
  <c r="B1690" i="10"/>
  <c r="B1691" i="10"/>
  <c r="B1692" i="10"/>
  <c r="B1693" i="10"/>
  <c r="B1694" i="10"/>
  <c r="B1695" i="10"/>
  <c r="B1696" i="10"/>
  <c r="B1697" i="10"/>
  <c r="B1698" i="10"/>
  <c r="B1699" i="10"/>
  <c r="B1700" i="10"/>
  <c r="B1701" i="10"/>
  <c r="B1702" i="10"/>
  <c r="B1703" i="10"/>
  <c r="B1704" i="10"/>
  <c r="B1705" i="10"/>
  <c r="B2629"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8" i="10"/>
  <c r="B1877"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6" i="10"/>
  <c r="B1935"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465" i="10"/>
  <c r="B2466" i="10"/>
  <c r="B2468" i="10"/>
  <c r="B2469" i="10"/>
  <c r="B2470" i="10"/>
  <c r="B2471" i="10"/>
  <c r="B2472" i="10"/>
  <c r="B2473" i="10"/>
  <c r="B2474" i="10"/>
  <c r="B2475" i="10"/>
  <c r="B2476" i="10"/>
  <c r="B2477" i="10"/>
  <c r="B2478" i="10"/>
  <c r="B2479" i="10"/>
  <c r="B2480" i="10"/>
  <c r="B2481" i="10"/>
  <c r="B2482" i="10"/>
  <c r="B2483" i="10"/>
  <c r="B2484" i="10"/>
  <c r="B2485" i="10"/>
  <c r="B2486" i="10"/>
  <c r="B2487" i="10"/>
  <c r="B2488" i="10"/>
  <c r="B2489" i="10"/>
  <c r="B2490" i="10"/>
  <c r="B2491" i="10"/>
  <c r="B2492" i="10"/>
  <c r="B2493" i="10"/>
  <c r="B2494" i="10"/>
  <c r="B2495" i="10"/>
  <c r="B2496" i="10"/>
  <c r="B2497" i="10"/>
  <c r="B2498" i="10"/>
  <c r="B2499" i="10"/>
  <c r="B2500" i="10"/>
  <c r="B2501" i="10"/>
  <c r="B2502" i="10"/>
  <c r="B2503" i="10"/>
  <c r="B2504" i="10"/>
  <c r="B2505" i="10"/>
  <c r="B2506" i="10"/>
  <c r="B2507" i="10"/>
  <c r="B2508" i="10"/>
  <c r="B2509" i="10"/>
  <c r="B2510" i="10"/>
  <c r="B2511" i="10"/>
  <c r="B2512" i="10"/>
  <c r="B2513" i="10"/>
  <c r="B2514" i="10"/>
  <c r="B2515" i="10"/>
  <c r="B2516" i="10"/>
  <c r="B2517" i="10"/>
  <c r="B2518" i="10"/>
  <c r="B2519" i="10"/>
  <c r="B2520" i="10"/>
  <c r="B2521" i="10"/>
  <c r="B2522" i="10"/>
  <c r="B2523" i="10"/>
  <c r="B2524" i="10"/>
  <c r="B2525" i="10"/>
  <c r="B2526" i="10"/>
  <c r="B2527" i="10"/>
  <c r="B2528" i="10"/>
  <c r="B2529" i="10"/>
  <c r="B2530" i="10"/>
  <c r="B2531" i="10"/>
  <c r="B2628" i="10"/>
  <c r="B2630" i="10"/>
  <c r="B2631" i="10"/>
  <c r="B2632" i="10"/>
  <c r="B2633" i="10"/>
  <c r="B1748" i="10"/>
  <c r="B2634" i="10"/>
  <c r="B2635" i="10"/>
  <c r="B2636" i="10"/>
  <c r="B2637" i="10"/>
  <c r="B1822" i="10"/>
  <c r="B2639" i="10"/>
  <c r="B2640" i="10"/>
  <c r="B2641" i="10"/>
  <c r="B2642" i="10"/>
  <c r="B2643" i="10"/>
  <c r="B2644" i="10"/>
  <c r="B2645" i="10"/>
  <c r="B2646" i="10"/>
  <c r="B2647" i="10"/>
  <c r="B2648" i="10"/>
  <c r="B2649" i="10"/>
  <c r="B2650" i="10"/>
  <c r="B2651" i="10"/>
  <c r="B2652" i="10"/>
  <c r="B2653" i="10"/>
  <c r="B2654" i="10"/>
  <c r="B2655" i="10"/>
  <c r="B2656" i="10"/>
  <c r="B2657" i="10"/>
  <c r="B2658" i="10"/>
  <c r="B2659" i="10"/>
  <c r="B2705" i="10"/>
  <c r="B2706" i="10"/>
  <c r="B2707" i="10"/>
  <c r="B2708" i="10"/>
  <c r="B2709" i="10"/>
  <c r="B2710" i="10"/>
  <c r="B2711" i="10"/>
  <c r="B2721" i="10"/>
  <c r="B2638" i="10"/>
  <c r="B2722" i="10"/>
  <c r="B2723" i="10"/>
  <c r="B2729" i="10"/>
  <c r="B2730" i="10"/>
  <c r="B727" i="10"/>
  <c r="B2008" i="10"/>
  <c r="BB2767" i="10"/>
  <c r="Y727" i="10"/>
  <c r="Y728" i="10"/>
  <c r="AM2766" i="10"/>
  <c r="AO2766" i="10" s="1"/>
  <c r="AQ2766" i="10" s="1"/>
  <c r="AS2766" i="10" s="1"/>
  <c r="AU2766" i="10" s="1"/>
  <c r="AW2766" i="10" s="1"/>
  <c r="AN2766" i="10"/>
  <c r="AP2766" i="10" s="1"/>
  <c r="AR2766" i="10" s="1"/>
  <c r="AT2766" i="10" s="1"/>
  <c r="AV2766" i="10" s="1"/>
  <c r="AX2766" i="10" s="1"/>
  <c r="Y731" i="10"/>
  <c r="Y729" i="10"/>
  <c r="Y730" i="10"/>
  <c r="Y732" i="10"/>
  <c r="Y733" i="10"/>
  <c r="Y734" i="10"/>
  <c r="Y735" i="10"/>
  <c r="Y736" i="10"/>
  <c r="Y737" i="10"/>
  <c r="Y738" i="10"/>
  <c r="Y739" i="10"/>
  <c r="Y740" i="10"/>
  <c r="Y741" i="10"/>
  <c r="Y742" i="10"/>
  <c r="Y743" i="10"/>
  <c r="Y744" i="10"/>
  <c r="Y745" i="10"/>
  <c r="Y746" i="10"/>
  <c r="Y747" i="10"/>
  <c r="Y748" i="10"/>
  <c r="Y749" i="10"/>
  <c r="Y750" i="10"/>
  <c r="Y751" i="10"/>
  <c r="Y752" i="10"/>
  <c r="Y753" i="10"/>
  <c r="Y754" i="10"/>
  <c r="X763" i="10"/>
  <c r="Y763" i="10" s="1"/>
  <c r="Y756" i="10"/>
  <c r="X909" i="10"/>
  <c r="Y755" i="10"/>
  <c r="Y757" i="10"/>
  <c r="X764" i="10"/>
  <c r="Y764" i="10" s="1"/>
  <c r="X855" i="10"/>
  <c r="Y855" i="10" s="1"/>
  <c r="Y758" i="10"/>
  <c r="X766" i="10"/>
  <c r="Y766" i="10" s="1"/>
  <c r="Y759" i="10"/>
  <c r="Y760" i="10"/>
  <c r="Y761" i="10"/>
  <c r="Y762" i="10"/>
  <c r="X784" i="10"/>
  <c r="Y765" i="10"/>
  <c r="Y767" i="10"/>
  <c r="X771" i="10"/>
  <c r="Y771" i="10" s="1"/>
  <c r="Y768" i="10"/>
  <c r="Y769" i="10"/>
  <c r="Y770" i="10"/>
  <c r="Y772" i="10"/>
  <c r="Y773" i="10"/>
  <c r="Y774" i="10"/>
  <c r="Y775" i="10"/>
  <c r="Y776" i="10"/>
  <c r="Y777" i="10"/>
  <c r="Y778" i="10"/>
  <c r="AJ1700" i="10"/>
  <c r="AJ1758" i="10"/>
  <c r="AJ1861" i="10"/>
  <c r="AJ2035" i="10"/>
  <c r="AJ2036" i="10"/>
  <c r="AJ2038" i="10"/>
  <c r="AJ2044" i="10"/>
  <c r="AJ2157" i="10"/>
  <c r="AJ2162" i="10"/>
  <c r="AJ2164" i="10"/>
  <c r="AJ2166" i="10"/>
  <c r="AJ2167" i="10"/>
  <c r="Y779" i="10"/>
  <c r="Y780" i="10"/>
  <c r="Y781" i="10"/>
  <c r="Y782" i="10"/>
  <c r="Y783" i="10"/>
  <c r="Y784" i="10"/>
  <c r="Y786" i="10"/>
  <c r="Y785" i="10"/>
  <c r="Y787" i="10"/>
  <c r="Y788" i="10"/>
  <c r="Y789" i="10"/>
  <c r="Y790" i="10"/>
  <c r="Y791" i="10"/>
  <c r="Y792" i="10"/>
  <c r="Y793" i="10"/>
  <c r="Y794" i="10"/>
  <c r="X796" i="10"/>
  <c r="Y796" i="10" s="1"/>
  <c r="Y795" i="10"/>
  <c r="X818" i="10"/>
  <c r="Y818" i="10" s="1"/>
  <c r="X803" i="10"/>
  <c r="Y803" i="10" s="1"/>
  <c r="X824" i="10"/>
  <c r="Y824" i="10" s="1"/>
  <c r="X826" i="10"/>
  <c r="Y826" i="10" s="1"/>
  <c r="Y797" i="10"/>
  <c r="X825" i="10"/>
  <c r="Y825" i="10" s="1"/>
  <c r="X813" i="10"/>
  <c r="Y813" i="10" s="1"/>
  <c r="X814" i="10"/>
  <c r="X807" i="10"/>
  <c r="X798" i="10"/>
  <c r="Y798" i="10" s="1"/>
  <c r="X799" i="10"/>
  <c r="Y799" i="10" s="1"/>
  <c r="X800" i="10"/>
  <c r="Y800" i="10"/>
  <c r="Y801" i="10"/>
  <c r="Y802" i="10"/>
  <c r="Y804" i="10"/>
  <c r="Y805" i="10"/>
  <c r="Y806" i="10"/>
  <c r="Y807" i="10"/>
  <c r="Y808" i="10"/>
  <c r="Y809" i="10"/>
  <c r="Y812" i="10"/>
  <c r="Y810" i="10"/>
  <c r="Y811" i="10"/>
  <c r="X840" i="10"/>
  <c r="Y840" i="10" s="1"/>
  <c r="Y814" i="10"/>
  <c r="Y815" i="10"/>
  <c r="X979" i="10"/>
  <c r="X835" i="10"/>
  <c r="Y835" i="10" s="1"/>
  <c r="Y816" i="10"/>
  <c r="X857" i="10"/>
  <c r="Y817" i="10"/>
  <c r="Y819" i="10"/>
  <c r="Y820" i="10"/>
  <c r="Y821" i="10"/>
  <c r="Y822" i="10"/>
  <c r="Y1093" i="10"/>
  <c r="Y823" i="10"/>
  <c r="Y827" i="10"/>
  <c r="Y828" i="10"/>
  <c r="Y829" i="10"/>
  <c r="Y830" i="10"/>
  <c r="Y832" i="10"/>
  <c r="X877" i="10"/>
  <c r="Y877" i="10" s="1"/>
  <c r="Y831" i="10"/>
  <c r="Y833" i="10"/>
  <c r="Y834" i="10"/>
  <c r="Y836" i="10"/>
  <c r="X852" i="10"/>
  <c r="Y852" i="10" s="1"/>
  <c r="Y837" i="10"/>
  <c r="Y838" i="10"/>
  <c r="Y839" i="10"/>
  <c r="Y841" i="10"/>
  <c r="Y842" i="10"/>
  <c r="Y843" i="10"/>
  <c r="Y844" i="10"/>
  <c r="X845" i="10"/>
  <c r="Y845" i="10" s="1"/>
  <c r="X873" i="10"/>
  <c r="Y873" i="10" s="1"/>
  <c r="X895" i="10"/>
  <c r="Y895" i="10" s="1"/>
  <c r="Y846" i="10"/>
  <c r="Y847" i="10"/>
  <c r="X885" i="10"/>
  <c r="Y848" i="10"/>
  <c r="Y849" i="10"/>
  <c r="Y850" i="10"/>
  <c r="Y851" i="10"/>
  <c r="X868" i="10"/>
  <c r="Y868" i="10" s="1"/>
  <c r="X881" i="10"/>
  <c r="Y881" i="10" s="1"/>
  <c r="Y853" i="10"/>
  <c r="Y854" i="10"/>
  <c r="Y856" i="10"/>
  <c r="Y857" i="10"/>
  <c r="Y858" i="10"/>
  <c r="X867" i="10"/>
  <c r="Y867" i="10" s="1"/>
  <c r="X862" i="10"/>
  <c r="Y862" i="10" s="1"/>
  <c r="Y859" i="10"/>
  <c r="Y860" i="10"/>
  <c r="Y861" i="10"/>
  <c r="X864" i="10"/>
  <c r="Y864" i="10"/>
  <c r="O880" i="10"/>
  <c r="O865" i="10"/>
  <c r="O863" i="10"/>
  <c r="Y863" i="10"/>
  <c r="Y865" i="10"/>
  <c r="Y866" i="10"/>
  <c r="Y869" i="10"/>
  <c r="Y870" i="10"/>
  <c r="Y871" i="10"/>
  <c r="X903" i="10"/>
  <c r="Y903" i="10" s="1"/>
  <c r="X906" i="10"/>
  <c r="X888" i="10"/>
  <c r="Y888" i="10" s="1"/>
  <c r="X928" i="10"/>
  <c r="Y928" i="10" s="1"/>
  <c r="X910" i="10"/>
  <c r="Y910" i="10" s="1"/>
  <c r="X907" i="10"/>
  <c r="Y907" i="10" s="1"/>
  <c r="X1029" i="10"/>
  <c r="Y1029" i="10" s="1"/>
  <c r="X878" i="10"/>
  <c r="Y878" i="10" s="1"/>
  <c r="X914" i="10"/>
  <c r="Y914" i="10" s="1"/>
  <c r="Y872" i="10"/>
  <c r="Y874" i="10"/>
  <c r="Y875" i="10"/>
  <c r="Y876" i="10"/>
  <c r="Y879" i="10"/>
  <c r="Y880" i="10"/>
  <c r="Y882" i="10"/>
  <c r="X946" i="10"/>
  <c r="Y946" i="10" s="1"/>
  <c r="Y883" i="10"/>
  <c r="X890" i="10"/>
  <c r="Y884" i="10"/>
  <c r="Y885" i="10"/>
  <c r="Y886" i="10"/>
  <c r="X932" i="10"/>
  <c r="X892" i="10"/>
  <c r="Y892" i="10" s="1"/>
  <c r="X893" i="10"/>
  <c r="Y893" i="10" s="1"/>
  <c r="Y887" i="10"/>
  <c r="Y889" i="10"/>
  <c r="X926" i="10"/>
  <c r="Y926" i="10" s="1"/>
  <c r="Y890" i="10"/>
  <c r="Y891" i="10"/>
  <c r="X916" i="10"/>
  <c r="Y894" i="10"/>
  <c r="Y896" i="10"/>
  <c r="Y897" i="10"/>
  <c r="Y899" i="10"/>
  <c r="X898" i="10"/>
  <c r="Y898" i="10" s="1"/>
  <c r="X939" i="10"/>
  <c r="Y939" i="10" s="1"/>
  <c r="X936" i="10"/>
  <c r="Y936" i="10" s="1"/>
  <c r="X912" i="10"/>
  <c r="Y912" i="10" s="1"/>
  <c r="Y900" i="10"/>
  <c r="Y901" i="10"/>
  <c r="Y902" i="10"/>
  <c r="X1016" i="10"/>
  <c r="Y1016" i="10" s="1"/>
  <c r="X935" i="10"/>
  <c r="Y935" i="10" s="1"/>
  <c r="Y904" i="10"/>
  <c r="X911" i="10"/>
  <c r="Y911" i="10" s="1"/>
  <c r="Y905" i="10"/>
  <c r="Y906" i="10"/>
  <c r="Y908" i="10"/>
  <c r="Y909" i="10"/>
  <c r="X915" i="10"/>
  <c r="Y915" i="10" s="1"/>
  <c r="AG1091" i="10"/>
  <c r="AI1091" i="10" s="1"/>
  <c r="X934" i="10"/>
  <c r="Y913" i="10"/>
  <c r="Y916" i="10"/>
  <c r="X1069" i="10"/>
  <c r="Y1069" i="10" s="1"/>
  <c r="X1074" i="10"/>
  <c r="Y1074" i="10" s="1"/>
  <c r="Y917" i="10"/>
  <c r="Y918" i="10"/>
  <c r="Y919" i="10"/>
  <c r="Y920" i="10"/>
  <c r="Y921" i="10"/>
  <c r="Y922" i="10"/>
  <c r="Y923" i="10"/>
  <c r="Y924" i="10"/>
  <c r="Y925" i="10"/>
  <c r="Y927" i="10"/>
  <c r="Y929" i="10"/>
  <c r="Y930" i="10"/>
  <c r="X931" i="10"/>
  <c r="Y931" i="10" s="1"/>
  <c r="Y932" i="10"/>
  <c r="X933" i="10"/>
  <c r="Y933" i="10" s="1"/>
  <c r="Y934" i="10"/>
  <c r="X937" i="10"/>
  <c r="Y937" i="10" s="1"/>
  <c r="Y938" i="10"/>
  <c r="Y940" i="10"/>
  <c r="X941" i="10"/>
  <c r="Y941" i="10"/>
  <c r="Y942" i="10"/>
  <c r="Y943" i="10"/>
  <c r="Y944" i="10"/>
  <c r="Y945" i="10"/>
  <c r="Y947" i="10"/>
  <c r="Y948" i="10"/>
  <c r="Y949" i="10"/>
  <c r="X950" i="10"/>
  <c r="Y950" i="10"/>
  <c r="Y951" i="10"/>
  <c r="Y952" i="10"/>
  <c r="Y953" i="10"/>
  <c r="X954" i="10"/>
  <c r="Y954" i="10" s="1"/>
  <c r="X955" i="10"/>
  <c r="Y955" i="10"/>
  <c r="Y956" i="10"/>
  <c r="Y957" i="10"/>
  <c r="Y958" i="10"/>
  <c r="Y959" i="10"/>
  <c r="Y960" i="10"/>
  <c r="Y961" i="10"/>
  <c r="Y962" i="10"/>
  <c r="Y963" i="10"/>
  <c r="Y964" i="10"/>
  <c r="Y965" i="10"/>
  <c r="Y966" i="10"/>
  <c r="X967" i="10"/>
  <c r="Y967" i="10" s="1"/>
  <c r="Y968" i="10"/>
  <c r="X969" i="10"/>
  <c r="Y969" i="10" s="1"/>
  <c r="X970" i="10"/>
  <c r="Y970" i="10"/>
  <c r="Y971" i="10"/>
  <c r="Y972" i="10"/>
  <c r="Y973" i="10"/>
  <c r="Y974" i="10"/>
  <c r="Y975" i="10"/>
  <c r="X976" i="10"/>
  <c r="Y976" i="10" s="1"/>
  <c r="Y977" i="10"/>
  <c r="X978" i="10"/>
  <c r="Y978" i="10" s="1"/>
  <c r="Y979" i="10"/>
  <c r="Y980" i="10"/>
  <c r="X981" i="10"/>
  <c r="Y981" i="10" s="1"/>
  <c r="Y982" i="10"/>
  <c r="X983" i="10"/>
  <c r="Y983" i="10" s="1"/>
  <c r="Y984" i="10"/>
  <c r="Y985" i="10"/>
  <c r="Y986" i="10"/>
  <c r="X987" i="10"/>
  <c r="Y987" i="10"/>
  <c r="Y988" i="10"/>
  <c r="Y989" i="10"/>
  <c r="Y990" i="10"/>
  <c r="Y991" i="10"/>
  <c r="Y992" i="10"/>
  <c r="Y993" i="10"/>
  <c r="Y994" i="10"/>
  <c r="Y995" i="10"/>
  <c r="Y996" i="10"/>
  <c r="Y997" i="10"/>
  <c r="Y998" i="10"/>
  <c r="Y999" i="10"/>
  <c r="X1000" i="10"/>
  <c r="Y1000" i="10" s="1"/>
  <c r="Y1001" i="10"/>
  <c r="Y1002" i="10"/>
  <c r="Y1003" i="10"/>
  <c r="Y1004" i="10"/>
  <c r="X1005" i="10"/>
  <c r="Y1005" i="10" s="1"/>
  <c r="X1006" i="10"/>
  <c r="Y1006" i="10" s="1"/>
  <c r="X1007" i="10"/>
  <c r="Y1007" i="10"/>
  <c r="Y1008" i="10"/>
  <c r="Y1009" i="10"/>
  <c r="X1010" i="10"/>
  <c r="Y1010" i="10" s="1"/>
  <c r="X1011" i="10"/>
  <c r="Y1011" i="10" s="1"/>
  <c r="Y1012" i="10"/>
  <c r="Y1013" i="10"/>
  <c r="Y1014" i="10"/>
  <c r="Y1015" i="10"/>
  <c r="Y1017" i="10"/>
  <c r="X1018" i="10"/>
  <c r="Y1018" i="10" s="1"/>
  <c r="Y1019" i="10"/>
  <c r="X1020" i="10"/>
  <c r="Y1020" i="10" s="1"/>
  <c r="X1021" i="10"/>
  <c r="Y1021" i="10"/>
  <c r="Y1022" i="10"/>
  <c r="X1023" i="10"/>
  <c r="Y1023" i="10" s="1"/>
  <c r="Y1024" i="10"/>
  <c r="Y1025" i="10"/>
  <c r="Y1026" i="10"/>
  <c r="X1027" i="10"/>
  <c r="Y1027" i="10" s="1"/>
  <c r="W1028" i="10"/>
  <c r="X1028" i="10"/>
  <c r="Y1030" i="10"/>
  <c r="Y1031" i="10"/>
  <c r="Y1032" i="10"/>
  <c r="X1033" i="10"/>
  <c r="Y1033" i="10" s="1"/>
  <c r="Y1034" i="10"/>
  <c r="Y1035" i="10"/>
  <c r="Y1036" i="10"/>
  <c r="Y1037" i="10"/>
  <c r="X1038" i="10"/>
  <c r="Y1038" i="10"/>
  <c r="Y1039" i="10"/>
  <c r="AG1039" i="10"/>
  <c r="Y1040" i="10"/>
  <c r="AG1040" i="10"/>
  <c r="AI1040" i="10" s="1"/>
  <c r="X1041" i="10"/>
  <c r="Y1041" i="10" s="1"/>
  <c r="AG1041" i="10"/>
  <c r="X1042" i="10"/>
  <c r="Y1042" i="10"/>
  <c r="AG1042" i="10"/>
  <c r="AI1042" i="10" s="1"/>
  <c r="Y1043" i="10"/>
  <c r="AG1043" i="10"/>
  <c r="AI1043" i="10" s="1"/>
  <c r="Y1044" i="10"/>
  <c r="AG1044" i="10"/>
  <c r="AI1044" i="10" s="1"/>
  <c r="Y1045" i="10"/>
  <c r="AG1045" i="10"/>
  <c r="Y1046" i="10"/>
  <c r="AG1046" i="10"/>
  <c r="X1047" i="10"/>
  <c r="Y1047" i="10"/>
  <c r="AG1047" i="10"/>
  <c r="AI1047" i="10" s="1"/>
  <c r="Y1048" i="10"/>
  <c r="AG1048" i="10"/>
  <c r="AI1048" i="10" s="1"/>
  <c r="Y1049" i="10"/>
  <c r="AG1049" i="10"/>
  <c r="AI1049" i="10" s="1"/>
  <c r="X1050" i="10"/>
  <c r="Y1050" i="10" s="1"/>
  <c r="AG1050" i="10"/>
  <c r="AT1050" i="10" s="1"/>
  <c r="X1051" i="10"/>
  <c r="Y1051" i="10"/>
  <c r="AG1051" i="10"/>
  <c r="AI1051" i="10" s="1"/>
  <c r="X1052" i="10"/>
  <c r="Y1052" i="10" s="1"/>
  <c r="AG1052" i="10"/>
  <c r="AI1052" i="10" s="1"/>
  <c r="Y1053" i="10"/>
  <c r="AG1053" i="10"/>
  <c r="AI1053" i="10" s="1"/>
  <c r="X1054" i="10"/>
  <c r="Y1054" i="10" s="1"/>
  <c r="AG1054" i="10"/>
  <c r="AI1054" i="10" s="1"/>
  <c r="Y1055" i="10"/>
  <c r="AG1055" i="10"/>
  <c r="AI1055" i="10" s="1"/>
  <c r="Y1056" i="10"/>
  <c r="AG1056" i="10"/>
  <c r="AI1056" i="10" s="1"/>
  <c r="Y1057" i="10"/>
  <c r="AG1057" i="10"/>
  <c r="AI1057" i="10" s="1"/>
  <c r="Y1058" i="10"/>
  <c r="AG1058" i="10"/>
  <c r="AI1058" i="10" s="1"/>
  <c r="Y1059" i="10"/>
  <c r="AG1059" i="10"/>
  <c r="AI1059" i="10" s="1"/>
  <c r="Y1060" i="10"/>
  <c r="AG1060" i="10"/>
  <c r="Y1061" i="10"/>
  <c r="AG1061" i="10"/>
  <c r="AI1061" i="10" s="1"/>
  <c r="X1062" i="10"/>
  <c r="Y1062" i="10" s="1"/>
  <c r="AG1062" i="10"/>
  <c r="AI1062" i="10" s="1"/>
  <c r="X1063" i="10"/>
  <c r="Y1063" i="10"/>
  <c r="AG1063" i="10"/>
  <c r="AI1063" i="10" s="1"/>
  <c r="Y1064" i="10"/>
  <c r="AG1064" i="10"/>
  <c r="AI1064" i="10" s="1"/>
  <c r="Y1065" i="10"/>
  <c r="AG1065" i="10"/>
  <c r="AI1065" i="10" s="1"/>
  <c r="Y1066" i="10"/>
  <c r="AG1066" i="10"/>
  <c r="X1067" i="10"/>
  <c r="Y1067" i="10" s="1"/>
  <c r="AG1067" i="10"/>
  <c r="AT1067" i="10" s="1"/>
  <c r="Y1068" i="10"/>
  <c r="AG1068" i="10"/>
  <c r="AI1068" i="10" s="1"/>
  <c r="AG1069" i="10"/>
  <c r="Y1070" i="10"/>
  <c r="AG1070" i="10"/>
  <c r="AI1070" i="10" s="1"/>
  <c r="Y1071" i="10"/>
  <c r="AG1071" i="10"/>
  <c r="AI1071" i="10" s="1"/>
  <c r="Y1072" i="10"/>
  <c r="AG1072" i="10"/>
  <c r="X1073" i="10"/>
  <c r="Y1073" i="10" s="1"/>
  <c r="AG1073" i="10"/>
  <c r="AI1073" i="10" s="1"/>
  <c r="AG1074" i="10"/>
  <c r="AI1074" i="10" s="1"/>
  <c r="X1075" i="10"/>
  <c r="Y1075" i="10"/>
  <c r="AG1075" i="10"/>
  <c r="AI1075" i="10" s="1"/>
  <c r="X1076" i="10"/>
  <c r="Y1076" i="10" s="1"/>
  <c r="AG1076" i="10"/>
  <c r="AI1076" i="10" s="1"/>
  <c r="X1077" i="10"/>
  <c r="Y1077" i="10"/>
  <c r="AG1077" i="10"/>
  <c r="AI1077" i="10" s="1"/>
  <c r="X1078" i="10"/>
  <c r="Y1078" i="10"/>
  <c r="AG1078" i="10"/>
  <c r="AI1078" i="10" s="1"/>
  <c r="X1079" i="10"/>
  <c r="Y1079" i="10"/>
  <c r="AG1079" i="10"/>
  <c r="AI1079" i="10" s="1"/>
  <c r="Y1080" i="10"/>
  <c r="AG1080" i="10"/>
  <c r="AI1080" i="10" s="1"/>
  <c r="Y1081" i="10"/>
  <c r="AG1081" i="10"/>
  <c r="AI1081" i="10" s="1"/>
  <c r="X1082" i="10"/>
  <c r="Y1082" i="10" s="1"/>
  <c r="AG1082" i="10"/>
  <c r="Y1083" i="10"/>
  <c r="AG1083" i="10"/>
  <c r="AI1083" i="10" s="1"/>
  <c r="Y1084" i="10"/>
  <c r="AG1084" i="10"/>
  <c r="AI1084" i="10" s="1"/>
  <c r="X1085" i="10"/>
  <c r="Y1085" i="10"/>
  <c r="AG1085" i="10"/>
  <c r="AI1085" i="10" s="1"/>
  <c r="Y1086" i="10"/>
  <c r="AG1086" i="10"/>
  <c r="Y1087" i="10"/>
  <c r="AG1087" i="10"/>
  <c r="AI1087" i="10" s="1"/>
  <c r="Y1088" i="10"/>
  <c r="AG1088" i="10"/>
  <c r="AI1088" i="10" s="1"/>
  <c r="Y1089" i="10"/>
  <c r="AG1089" i="10"/>
  <c r="Y1090" i="10"/>
  <c r="AG1090" i="10"/>
  <c r="AI1090" i="10" s="1"/>
  <c r="Y1091" i="10"/>
  <c r="X1092" i="10"/>
  <c r="Y1092" i="10"/>
  <c r="AG1092" i="10"/>
  <c r="AI1092" i="10" s="1"/>
  <c r="AG1093" i="10"/>
  <c r="AJ1093" i="10" s="1"/>
  <c r="X1094" i="10"/>
  <c r="Y1094" i="10" s="1"/>
  <c r="AG1094" i="10"/>
  <c r="AS1094" i="10" s="1"/>
  <c r="X1095" i="10"/>
  <c r="Y1095" i="10" s="1"/>
  <c r="AG1095" i="10"/>
  <c r="AU1095" i="10" s="1"/>
  <c r="Y1096" i="10"/>
  <c r="AG1096" i="10"/>
  <c r="Y1097" i="10"/>
  <c r="AG1097" i="10"/>
  <c r="X1098" i="10"/>
  <c r="Y1098" i="10" s="1"/>
  <c r="AG1098" i="10"/>
  <c r="AT1098" i="10" s="1"/>
  <c r="X1099" i="10"/>
  <c r="Y1099" i="10" s="1"/>
  <c r="AG1099" i="10"/>
  <c r="Y1100" i="10"/>
  <c r="AG1100" i="10"/>
  <c r="X1101" i="10"/>
  <c r="Y1101" i="10" s="1"/>
  <c r="AG1101" i="10"/>
  <c r="AV1101" i="10" s="1"/>
  <c r="X1102" i="10"/>
  <c r="Y1102" i="10" s="1"/>
  <c r="AG1102" i="10"/>
  <c r="X1103" i="10"/>
  <c r="Y1103" i="10" s="1"/>
  <c r="AG1103" i="10"/>
  <c r="Y1104" i="10"/>
  <c r="AG1104" i="10"/>
  <c r="Y1105" i="10"/>
  <c r="AG1105" i="10"/>
  <c r="W1106" i="10"/>
  <c r="Y1106" i="10" s="1"/>
  <c r="AG1106" i="10"/>
  <c r="Y1107" i="10"/>
  <c r="AG1107" i="10"/>
  <c r="Y1108" i="10"/>
  <c r="AG1108" i="10"/>
  <c r="AV1108" i="10" s="1"/>
  <c r="X1109" i="10"/>
  <c r="Y1109" i="10" s="1"/>
  <c r="AG1109" i="10"/>
  <c r="X1110" i="10"/>
  <c r="Y1110" i="10" s="1"/>
  <c r="AG1110" i="10"/>
  <c r="Y1111" i="10"/>
  <c r="AG1111" i="10"/>
  <c r="AO1111" i="10" s="1"/>
  <c r="X1112" i="10"/>
  <c r="Y1112" i="10"/>
  <c r="AG1112" i="10"/>
  <c r="AO1112" i="10" s="1"/>
  <c r="Y1113" i="10"/>
  <c r="AG1113" i="10"/>
  <c r="Y1114" i="10"/>
  <c r="AG1114" i="10"/>
  <c r="AU1114" i="10" s="1"/>
  <c r="Y1115" i="10"/>
  <c r="AG1115" i="10"/>
  <c r="X1116" i="10"/>
  <c r="Y1116" i="10"/>
  <c r="AG1116" i="10"/>
  <c r="Y1117" i="10"/>
  <c r="AG1117" i="10"/>
  <c r="X1118" i="10"/>
  <c r="Y1118" i="10"/>
  <c r="AG1118" i="10"/>
  <c r="AL1118" i="10" s="1"/>
  <c r="Y1119" i="10"/>
  <c r="AG1119" i="10"/>
  <c r="Y1120" i="10"/>
  <c r="AG1120" i="10"/>
  <c r="Y1121" i="10"/>
  <c r="AG1121" i="10"/>
  <c r="Y1122" i="10"/>
  <c r="AG1122" i="10"/>
  <c r="AP1122" i="10" s="1"/>
  <c r="X1123" i="10"/>
  <c r="Y1123" i="10" s="1"/>
  <c r="AG1123" i="10"/>
  <c r="AS1123" i="10" s="1"/>
  <c r="Y1124" i="10"/>
  <c r="AG1124" i="10"/>
  <c r="Y1125" i="10"/>
  <c r="AG1125" i="10"/>
  <c r="X1126" i="10"/>
  <c r="AG1126" i="10"/>
  <c r="AR1126" i="10" s="1"/>
  <c r="Y1127" i="10"/>
  <c r="AG1127" i="10"/>
  <c r="AO1127" i="10" s="1"/>
  <c r="X1128" i="10"/>
  <c r="Y1128" i="10" s="1"/>
  <c r="AG1128" i="10"/>
  <c r="X1129" i="10"/>
  <c r="Y1129" i="10"/>
  <c r="AG1129" i="10"/>
  <c r="AW1129" i="10" s="1"/>
  <c r="Y1130" i="10"/>
  <c r="AG1130" i="10"/>
  <c r="AG1131" i="10"/>
  <c r="Y1132" i="10"/>
  <c r="AG1132" i="10"/>
  <c r="AL1132" i="10" s="1"/>
  <c r="X1133" i="10"/>
  <c r="Y1133" i="10" s="1"/>
  <c r="AG1133" i="10"/>
  <c r="AX1133" i="10" s="1"/>
  <c r="Y1134" i="10"/>
  <c r="AG1134" i="10"/>
  <c r="X1135" i="10"/>
  <c r="Y1135" i="10" s="1"/>
  <c r="AG1135" i="10"/>
  <c r="Y1136" i="10"/>
  <c r="AG1136" i="10"/>
  <c r="Y1137" i="10"/>
  <c r="AG1137" i="10"/>
  <c r="AJ1137" i="10" s="1"/>
  <c r="Y1138" i="10"/>
  <c r="AG1138" i="10"/>
  <c r="AN1138" i="10" s="1"/>
  <c r="X1139" i="10"/>
  <c r="Y1139" i="10" s="1"/>
  <c r="AG1139" i="10"/>
  <c r="AM1139" i="10" s="1"/>
  <c r="X1140" i="10"/>
  <c r="Y1140" i="10" s="1"/>
  <c r="AG1140" i="10"/>
  <c r="Y1141" i="10"/>
  <c r="AG1141" i="10"/>
  <c r="Y1142" i="10"/>
  <c r="AG1142" i="10"/>
  <c r="X1143" i="10"/>
  <c r="Y1143" i="10" s="1"/>
  <c r="AG1143" i="10"/>
  <c r="Y1144" i="10"/>
  <c r="AG1144" i="10"/>
  <c r="AN1144" i="10" s="1"/>
  <c r="X1145" i="10"/>
  <c r="Y1145" i="10"/>
  <c r="AG1145" i="10"/>
  <c r="AJ1145" i="10" s="1"/>
  <c r="X1146" i="10"/>
  <c r="Y1146" i="10" s="1"/>
  <c r="AG1146" i="10"/>
  <c r="X1147" i="10"/>
  <c r="Y1147" i="10" s="1"/>
  <c r="AG1147" i="10"/>
  <c r="AR1147" i="10" s="1"/>
  <c r="Y1148" i="10"/>
  <c r="AG1148" i="10"/>
  <c r="X1149" i="10"/>
  <c r="Y1149" i="10"/>
  <c r="AG1149" i="10"/>
  <c r="AV1149" i="10" s="1"/>
  <c r="Y1150" i="10"/>
  <c r="AG1150" i="10"/>
  <c r="AS1150" i="10" s="1"/>
  <c r="Y1151" i="10"/>
  <c r="AG1151" i="10"/>
  <c r="X1152" i="10"/>
  <c r="Y1152" i="10" s="1"/>
  <c r="AG1152" i="10"/>
  <c r="Y1153" i="10"/>
  <c r="AG1153" i="10"/>
  <c r="X1154" i="10"/>
  <c r="Y1154" i="10" s="1"/>
  <c r="AG1154" i="10"/>
  <c r="AV1154" i="10" s="1"/>
  <c r="Y1155" i="10"/>
  <c r="AG1155" i="10"/>
  <c r="AL1155" i="10" s="1"/>
  <c r="Y1156" i="10"/>
  <c r="AG1156" i="10"/>
  <c r="AQ1156" i="10" s="1"/>
  <c r="Y1157" i="10"/>
  <c r="AG1157" i="10"/>
  <c r="AP1157" i="10" s="1"/>
  <c r="Y1158" i="10"/>
  <c r="AG1158" i="10"/>
  <c r="AS1158" i="10" s="1"/>
  <c r="Y1159" i="10"/>
  <c r="AG1159" i="10"/>
  <c r="Y1160" i="10"/>
  <c r="AG1160" i="10"/>
  <c r="AR1160" i="10" s="1"/>
  <c r="Y1161" i="10"/>
  <c r="AG1161" i="10"/>
  <c r="X1162" i="10"/>
  <c r="Y1162" i="10" s="1"/>
  <c r="AG1162" i="10"/>
  <c r="AX1162" i="10" s="1"/>
  <c r="Y1163" i="10"/>
  <c r="AG1163" i="10"/>
  <c r="Y1164" i="10"/>
  <c r="AG1164" i="10"/>
  <c r="Y1165" i="10"/>
  <c r="AG1165" i="10"/>
  <c r="Y1166" i="10"/>
  <c r="AG1166" i="10"/>
  <c r="AJ1166" i="10" s="1"/>
  <c r="X1167" i="10"/>
  <c r="Y1167" i="10" s="1"/>
  <c r="AG1167" i="10"/>
  <c r="AP1167" i="10" s="1"/>
  <c r="Y1168" i="10"/>
  <c r="AG1168" i="10"/>
  <c r="Y1169" i="10"/>
  <c r="AG1169" i="10"/>
  <c r="X1170" i="10"/>
  <c r="Y1170" i="10" s="1"/>
  <c r="AG1170" i="10"/>
  <c r="AW1170" i="10" s="1"/>
  <c r="X1171" i="10"/>
  <c r="Y1171" i="10"/>
  <c r="AG1171" i="10"/>
  <c r="Y1172" i="10"/>
  <c r="AG1172" i="10"/>
  <c r="AQ1172" i="10" s="1"/>
  <c r="X1173" i="10"/>
  <c r="Y1173" i="10"/>
  <c r="AG1173" i="10"/>
  <c r="Y1174" i="10"/>
  <c r="AG1174" i="10"/>
  <c r="X1175" i="10"/>
  <c r="Y1175" i="10" s="1"/>
  <c r="AG1175" i="10"/>
  <c r="Y1176" i="10"/>
  <c r="AG1176" i="10"/>
  <c r="Y1177" i="10"/>
  <c r="AG1177" i="10"/>
  <c r="AW1177" i="10" s="1"/>
  <c r="X1178" i="10"/>
  <c r="Y1178" i="10"/>
  <c r="AG1178" i="10"/>
  <c r="X1179" i="10"/>
  <c r="Y1179" i="10" s="1"/>
  <c r="AG1179" i="10"/>
  <c r="AN1179" i="10" s="1"/>
  <c r="Y1180" i="10"/>
  <c r="AG1180" i="10"/>
  <c r="X1181" i="10"/>
  <c r="Y1181" i="10"/>
  <c r="AG1181" i="10"/>
  <c r="Y1182" i="10"/>
  <c r="AG1182" i="10"/>
  <c r="Y1183" i="10"/>
  <c r="AG1183" i="10"/>
  <c r="AX1183" i="10" s="1"/>
  <c r="Y1184" i="10"/>
  <c r="AG1184" i="10"/>
  <c r="Y1185" i="10"/>
  <c r="AG1185" i="10"/>
  <c r="X1186" i="10"/>
  <c r="Y1186" i="10"/>
  <c r="AG1186" i="10"/>
  <c r="X1187" i="10"/>
  <c r="Y1187" i="10"/>
  <c r="AG1187" i="10"/>
  <c r="AX1187" i="10" s="1"/>
  <c r="Y1188" i="10"/>
  <c r="AG1188" i="10"/>
  <c r="Y1189" i="10"/>
  <c r="AG1189" i="10"/>
  <c r="X1190" i="10"/>
  <c r="Y1190" i="10" s="1"/>
  <c r="AG1190" i="10"/>
  <c r="AK1190" i="10" s="1"/>
  <c r="X1191" i="10"/>
  <c r="Y1191" i="10"/>
  <c r="AG1191" i="10"/>
  <c r="X1192" i="10"/>
  <c r="Y1192" i="10" s="1"/>
  <c r="AG1192" i="10"/>
  <c r="AQ1192" i="10" s="1"/>
  <c r="Y1193" i="10"/>
  <c r="AG1193" i="10"/>
  <c r="AN1193" i="10" s="1"/>
  <c r="X1194" i="10"/>
  <c r="Y1194" i="10"/>
  <c r="AG1194" i="10"/>
  <c r="X1195" i="10"/>
  <c r="Y1195" i="10" s="1"/>
  <c r="AG1195" i="10"/>
  <c r="Y1196" i="10"/>
  <c r="AG1196" i="10"/>
  <c r="Y1197" i="10"/>
  <c r="AG1197" i="10"/>
  <c r="Y1198" i="10"/>
  <c r="AG1198" i="10"/>
  <c r="AR1198" i="10" s="1"/>
  <c r="Y1199" i="10"/>
  <c r="AG1199" i="10"/>
  <c r="AJ1199" i="10" s="1"/>
  <c r="Y1200" i="10"/>
  <c r="AG1200" i="10"/>
  <c r="X1201" i="10"/>
  <c r="Y1201" i="10" s="1"/>
  <c r="AG1201" i="10"/>
  <c r="AV1201" i="10" s="1"/>
  <c r="Y1202" i="10"/>
  <c r="AG1202" i="10"/>
  <c r="X1203" i="10"/>
  <c r="Y1203" i="10" s="1"/>
  <c r="AG1203" i="10"/>
  <c r="Y1204" i="10"/>
  <c r="AG1204" i="10"/>
  <c r="X1205" i="10"/>
  <c r="Y1205" i="10" s="1"/>
  <c r="AG1205" i="10"/>
  <c r="AV1205" i="10" s="1"/>
  <c r="Y1206" i="10"/>
  <c r="AG1206" i="10"/>
  <c r="Y1207" i="10"/>
  <c r="AG1207" i="10"/>
  <c r="Y1208" i="10"/>
  <c r="AG1208" i="10"/>
  <c r="Y1209" i="10"/>
  <c r="AG1209" i="10"/>
  <c r="X1210" i="10"/>
  <c r="Y1210" i="10"/>
  <c r="AG1210" i="10"/>
  <c r="X1211" i="10"/>
  <c r="Y1211" i="10" s="1"/>
  <c r="AG1211" i="10"/>
  <c r="Y1212" i="10"/>
  <c r="AG1212" i="10"/>
  <c r="AV1212" i="10" s="1"/>
  <c r="Y1213" i="10"/>
  <c r="AG1213" i="10"/>
  <c r="X1214" i="10"/>
  <c r="Y1214" i="10"/>
  <c r="AG1214" i="10"/>
  <c r="Y1215" i="10"/>
  <c r="AG1215" i="10"/>
  <c r="AM1215" i="10" s="1"/>
  <c r="Y1216" i="10"/>
  <c r="AG1216" i="10"/>
  <c r="X1217" i="10"/>
  <c r="Y1217" i="10" s="1"/>
  <c r="AG1217" i="10"/>
  <c r="AN1217" i="10" s="1"/>
  <c r="Y1218" i="10"/>
  <c r="AG1218" i="10"/>
  <c r="X1219" i="10"/>
  <c r="Y1219" i="10"/>
  <c r="AG1219" i="10"/>
  <c r="Y1220" i="10"/>
  <c r="AG1220" i="10"/>
  <c r="AJ1220" i="10" s="1"/>
  <c r="W1221" i="10"/>
  <c r="Y1221" i="10" s="1"/>
  <c r="AG1221" i="10"/>
  <c r="X1222" i="10"/>
  <c r="Y1222" i="10"/>
  <c r="AG1222" i="10"/>
  <c r="Y1223" i="10"/>
  <c r="AG1223" i="10"/>
  <c r="AJ1223" i="10" s="1"/>
  <c r="W1224" i="10"/>
  <c r="Y1224" i="10" s="1"/>
  <c r="AG1224" i="10"/>
  <c r="Y1225" i="10"/>
  <c r="AG1225" i="10"/>
  <c r="Y1226" i="10"/>
  <c r="AG1226" i="10"/>
  <c r="Y1227" i="10"/>
  <c r="AG1227" i="10"/>
  <c r="AK1227" i="10" s="1"/>
  <c r="Y1228" i="10"/>
  <c r="AG1228" i="10"/>
  <c r="Y1229" i="10"/>
  <c r="AG1229" i="10"/>
  <c r="AW1229" i="10" s="1"/>
  <c r="X1230" i="10"/>
  <c r="Y1230" i="10" s="1"/>
  <c r="AG1230" i="10"/>
  <c r="AK1230" i="10" s="1"/>
  <c r="Y1231" i="10"/>
  <c r="AG1231" i="10"/>
  <c r="Y1232" i="10"/>
  <c r="AG1232" i="10"/>
  <c r="Y1233" i="10"/>
  <c r="AG1233" i="10"/>
  <c r="AU1233" i="10" s="1"/>
  <c r="W1234" i="10"/>
  <c r="Y1234" i="10" s="1"/>
  <c r="AG1234" i="10"/>
  <c r="X1235" i="10"/>
  <c r="Y1235" i="10" s="1"/>
  <c r="AG1235" i="10"/>
  <c r="Y1236" i="10"/>
  <c r="AG1236" i="10"/>
  <c r="X1237" i="10"/>
  <c r="Y1237" i="10" s="1"/>
  <c r="AG1237" i="10"/>
  <c r="AW1237" i="10" s="1"/>
  <c r="Y1238" i="10"/>
  <c r="AG1238" i="10"/>
  <c r="AQ1238" i="10" s="1"/>
  <c r="Y1239" i="10"/>
  <c r="AG1239" i="10"/>
  <c r="X1240" i="10"/>
  <c r="Y1240" i="10" s="1"/>
  <c r="AG1240" i="10"/>
  <c r="AX1240" i="10" s="1"/>
  <c r="X1241" i="10"/>
  <c r="Y1241" i="10"/>
  <c r="AG1241" i="10"/>
  <c r="Y1242" i="10"/>
  <c r="AG1242" i="10"/>
  <c r="Y1243" i="10"/>
  <c r="AG1243" i="10"/>
  <c r="AR1243" i="10" s="1"/>
  <c r="Y1244" i="10"/>
  <c r="AG1244" i="10"/>
  <c r="AQ1244" i="10" s="1"/>
  <c r="X1245" i="10"/>
  <c r="Y1245" i="10"/>
  <c r="AG1245" i="10"/>
  <c r="Y1246" i="10"/>
  <c r="AG1246" i="10"/>
  <c r="AJ1246" i="10" s="1"/>
  <c r="X1247" i="10"/>
  <c r="Y1247" i="10"/>
  <c r="AG1247" i="10"/>
  <c r="Y1248" i="10"/>
  <c r="AG1248" i="10"/>
  <c r="AQ1248" i="10" s="1"/>
  <c r="W1249" i="10"/>
  <c r="X1249" i="10"/>
  <c r="AG1249" i="10"/>
  <c r="X1250" i="10"/>
  <c r="Y1250" i="10" s="1"/>
  <c r="AG1250" i="10"/>
  <c r="AW1250" i="10" s="1"/>
  <c r="Y1251" i="10"/>
  <c r="AG1251" i="10"/>
  <c r="Y1252" i="10"/>
  <c r="AG1252" i="10"/>
  <c r="Y1253" i="10"/>
  <c r="AG1253" i="10"/>
  <c r="AN1253" i="10" s="1"/>
  <c r="X1254" i="10"/>
  <c r="Y1254" i="10"/>
  <c r="AG1254" i="10"/>
  <c r="X1255" i="10"/>
  <c r="Y1255" i="10" s="1"/>
  <c r="AG1255" i="10"/>
  <c r="AP1255" i="10" s="1"/>
  <c r="X1256" i="10"/>
  <c r="Y1256" i="10" s="1"/>
  <c r="AG1256" i="10"/>
  <c r="AL1256" i="10" s="1"/>
  <c r="Y1257" i="10"/>
  <c r="AG1257" i="10"/>
  <c r="Y1258" i="10"/>
  <c r="AG1258" i="10"/>
  <c r="Y1259" i="10"/>
  <c r="AG1259" i="10"/>
  <c r="AK1259" i="10" s="1"/>
  <c r="Y1260" i="10"/>
  <c r="AG1260" i="10"/>
  <c r="AX1260" i="10" s="1"/>
  <c r="X1261" i="10"/>
  <c r="Y1261" i="10" s="1"/>
  <c r="AG1261" i="10"/>
  <c r="AQ1261" i="10" s="1"/>
  <c r="Y1262" i="10"/>
  <c r="AG1262" i="10"/>
  <c r="X1263" i="10"/>
  <c r="Y1263" i="10" s="1"/>
  <c r="AG1263" i="10"/>
  <c r="Y1264" i="10"/>
  <c r="AG1264" i="10"/>
  <c r="AU1264" i="10" s="1"/>
  <c r="Y1265" i="10"/>
  <c r="AG1265" i="10"/>
  <c r="AN1265" i="10" s="1"/>
  <c r="X1266" i="10"/>
  <c r="Y1266" i="10" s="1"/>
  <c r="AG1266" i="10"/>
  <c r="AJ1266" i="10" s="1"/>
  <c r="Y1267" i="10"/>
  <c r="AG1267" i="10"/>
  <c r="Y1268" i="10"/>
  <c r="AG1268" i="10"/>
  <c r="Y1269" i="10"/>
  <c r="AG1269" i="10"/>
  <c r="Y1270" i="10"/>
  <c r="AG1270" i="10"/>
  <c r="AK1270" i="10" s="1"/>
  <c r="Y1271" i="10"/>
  <c r="AG1271" i="10"/>
  <c r="AJ1271" i="10" s="1"/>
  <c r="X1272" i="10"/>
  <c r="Y1272" i="10" s="1"/>
  <c r="AG1272" i="10"/>
  <c r="Y1273" i="10"/>
  <c r="AG1273" i="10"/>
  <c r="X1274" i="10"/>
  <c r="Y1274" i="10" s="1"/>
  <c r="AG1274" i="10"/>
  <c r="X1275" i="10"/>
  <c r="Y1275" i="10"/>
  <c r="AG1275" i="10"/>
  <c r="AM1275" i="10" s="1"/>
  <c r="X1276" i="10"/>
  <c r="Y1276" i="10"/>
  <c r="AG1276" i="10"/>
  <c r="Y1277" i="10"/>
  <c r="AG1277" i="10"/>
  <c r="AP1277" i="10" s="1"/>
  <c r="Y1278" i="10"/>
  <c r="AG1278" i="10"/>
  <c r="AJ1278" i="10" s="1"/>
  <c r="Y1279" i="10"/>
  <c r="AG1279" i="10"/>
  <c r="Y1280" i="10"/>
  <c r="AG1280" i="10"/>
  <c r="AQ1280" i="10" s="1"/>
  <c r="Y1281" i="10"/>
  <c r="AG1281" i="10"/>
  <c r="Y1282" i="10"/>
  <c r="AG1282" i="10"/>
  <c r="X1283" i="10"/>
  <c r="Y1283" i="10" s="1"/>
  <c r="AG1283" i="10"/>
  <c r="AU1283" i="10" s="1"/>
  <c r="X1284" i="10"/>
  <c r="Y1284" i="10"/>
  <c r="AG1284" i="10"/>
  <c r="Y1285" i="10"/>
  <c r="AG1285" i="10"/>
  <c r="Y1286" i="10"/>
  <c r="AG1286" i="10"/>
  <c r="AX1286" i="10" s="1"/>
  <c r="Y1287" i="10"/>
  <c r="AG1287" i="10"/>
  <c r="AT1287" i="10" s="1"/>
  <c r="Y1288" i="10"/>
  <c r="AG1288" i="10"/>
  <c r="AK1288" i="10" s="1"/>
  <c r="X1289" i="10"/>
  <c r="Y1289" i="10" s="1"/>
  <c r="AG1289" i="10"/>
  <c r="Y1290" i="10"/>
  <c r="AG1290" i="10"/>
  <c r="AQ1290" i="10" s="1"/>
  <c r="Y1291" i="10"/>
  <c r="AG1291" i="10"/>
  <c r="AT1291" i="10" s="1"/>
  <c r="Y1292" i="10"/>
  <c r="AG1292" i="10"/>
  <c r="Y1293" i="10"/>
  <c r="AG1293" i="10"/>
  <c r="X1294" i="10"/>
  <c r="Y1294" i="10" s="1"/>
  <c r="AG1294" i="10"/>
  <c r="AL1294" i="10" s="1"/>
  <c r="Y1295" i="10"/>
  <c r="AG1295" i="10"/>
  <c r="AL1295" i="10" s="1"/>
  <c r="Y1296" i="10"/>
  <c r="AG1296" i="10"/>
  <c r="X1297" i="10"/>
  <c r="Y1297" i="10" s="1"/>
  <c r="AG1297" i="10"/>
  <c r="AP1297" i="10" s="1"/>
  <c r="Y1298" i="10"/>
  <c r="AG1298" i="10"/>
  <c r="Y1299" i="10"/>
  <c r="AG1299" i="10"/>
  <c r="Y1300" i="10"/>
  <c r="AG1300" i="10"/>
  <c r="AV1300" i="10" s="1"/>
  <c r="Y1301" i="10"/>
  <c r="AG1301" i="10"/>
  <c r="AP1301" i="10" s="1"/>
  <c r="Y1302" i="10"/>
  <c r="AG1302" i="10"/>
  <c r="X1303" i="10"/>
  <c r="Y1303" i="10" s="1"/>
  <c r="AG1303" i="10"/>
  <c r="AL1303" i="10" s="1"/>
  <c r="Y1304" i="10"/>
  <c r="AG1304" i="10"/>
  <c r="Y1305" i="10"/>
  <c r="AG1305" i="10"/>
  <c r="AS1305" i="10" s="1"/>
  <c r="X1306" i="10"/>
  <c r="Y1306" i="10"/>
  <c r="AG1306" i="10"/>
  <c r="AR1306" i="10" s="1"/>
  <c r="X1307" i="10"/>
  <c r="Y1307" i="10"/>
  <c r="AG1307" i="10"/>
  <c r="X1308" i="10"/>
  <c r="Y1308" i="10"/>
  <c r="AG1308" i="10"/>
  <c r="AP1308" i="10" s="1"/>
  <c r="X1309" i="10"/>
  <c r="Y1309" i="10" s="1"/>
  <c r="AG1309" i="10"/>
  <c r="AP1309" i="10" s="1"/>
  <c r="X1310" i="10"/>
  <c r="Y1310" i="10"/>
  <c r="AG1310" i="10"/>
  <c r="AO1310" i="10" s="1"/>
  <c r="X1311" i="10"/>
  <c r="Y1311" i="10"/>
  <c r="AG1311" i="10"/>
  <c r="Y1312" i="10"/>
  <c r="AG1312" i="10"/>
  <c r="Y1313" i="10"/>
  <c r="AG1313" i="10"/>
  <c r="X1314" i="10"/>
  <c r="Y1314" i="10" s="1"/>
  <c r="AG1314" i="10"/>
  <c r="Y1315" i="10"/>
  <c r="AG1315" i="10"/>
  <c r="AP1315" i="10" s="1"/>
  <c r="X1316" i="10"/>
  <c r="Y1316" i="10" s="1"/>
  <c r="AG1316" i="10"/>
  <c r="Y1317" i="10"/>
  <c r="AG1317" i="10"/>
  <c r="X1318" i="10"/>
  <c r="Y1318" i="10"/>
  <c r="AG1318" i="10"/>
  <c r="AJ1318" i="10" s="1"/>
  <c r="Y1319" i="10"/>
  <c r="AG1319" i="10"/>
  <c r="X1320" i="10"/>
  <c r="Y1320" i="10" s="1"/>
  <c r="AG1320" i="10"/>
  <c r="AJ1320" i="10" s="1"/>
  <c r="X1321" i="10"/>
  <c r="Y1321" i="10" s="1"/>
  <c r="AG1321" i="10"/>
  <c r="Y1322" i="10"/>
  <c r="AG1322" i="10"/>
  <c r="X1323" i="10"/>
  <c r="Y1323" i="10" s="1"/>
  <c r="AG1323" i="10"/>
  <c r="AV1323" i="10" s="1"/>
  <c r="Y1324" i="10"/>
  <c r="AG1324" i="10"/>
  <c r="AR1324" i="10" s="1"/>
  <c r="Y1325" i="10"/>
  <c r="AG1325" i="10"/>
  <c r="X1326" i="10"/>
  <c r="Y1326" i="10" s="1"/>
  <c r="AG1326" i="10"/>
  <c r="X1327" i="10"/>
  <c r="Y1327" i="10" s="1"/>
  <c r="AG1327" i="10"/>
  <c r="Y1328" i="10"/>
  <c r="AG1328" i="10"/>
  <c r="AN1328" i="10" s="1"/>
  <c r="X1329" i="10"/>
  <c r="Y1329" i="10" s="1"/>
  <c r="AG1329" i="10"/>
  <c r="AW1329" i="10" s="1"/>
  <c r="X1330" i="10"/>
  <c r="Y1330" i="10"/>
  <c r="AG1330" i="10"/>
  <c r="AM1330" i="10" s="1"/>
  <c r="Y1331" i="10"/>
  <c r="AG1331" i="10"/>
  <c r="AQ1331" i="10" s="1"/>
  <c r="Y1332" i="10"/>
  <c r="AG1332" i="10"/>
  <c r="X1333" i="10"/>
  <c r="Y1333" i="10" s="1"/>
  <c r="AG1333" i="10"/>
  <c r="X1334" i="10"/>
  <c r="Y1334" i="10" s="1"/>
  <c r="AG1334" i="10"/>
  <c r="Y1335" i="10"/>
  <c r="AG1335" i="10"/>
  <c r="AJ1335" i="10" s="1"/>
  <c r="Y1336" i="10"/>
  <c r="AG1336" i="10"/>
  <c r="Y1337" i="10"/>
  <c r="AG1337" i="10"/>
  <c r="AN1337" i="10" s="1"/>
  <c r="Y1338" i="10"/>
  <c r="AG1338" i="10"/>
  <c r="Y1339" i="10"/>
  <c r="AG1339" i="10"/>
  <c r="AP1339" i="10" s="1"/>
  <c r="Y1340" i="10"/>
  <c r="AG1340" i="10"/>
  <c r="Y1341" i="10"/>
  <c r="AG1341" i="10"/>
  <c r="Y1342" i="10"/>
  <c r="AG1342" i="10"/>
  <c r="X1343" i="10"/>
  <c r="Y1343" i="10" s="1"/>
  <c r="AG1343" i="10"/>
  <c r="X1344" i="10"/>
  <c r="Y1344" i="10"/>
  <c r="AG1344" i="10"/>
  <c r="Y1345" i="10"/>
  <c r="AG1345" i="10"/>
  <c r="AO1345" i="10" s="1"/>
  <c r="Y1346" i="10"/>
  <c r="AG1346" i="10"/>
  <c r="AT1346" i="10" s="1"/>
  <c r="Y1347" i="10"/>
  <c r="AG1347" i="10"/>
  <c r="Y1348" i="10"/>
  <c r="AG1348" i="10"/>
  <c r="Y1349" i="10"/>
  <c r="AG1349" i="10"/>
  <c r="Y1350" i="10"/>
  <c r="AG1350" i="10"/>
  <c r="Y1351" i="10"/>
  <c r="AG1351" i="10"/>
  <c r="AM1351" i="10" s="1"/>
  <c r="W1352" i="10"/>
  <c r="Y1352" i="10" s="1"/>
  <c r="AG1352" i="10"/>
  <c r="AR1352" i="10" s="1"/>
  <c r="X1353" i="10"/>
  <c r="Y1353" i="10"/>
  <c r="AG1353" i="10"/>
  <c r="Y1354" i="10"/>
  <c r="AG1354" i="10"/>
  <c r="AJ1354" i="10" s="1"/>
  <c r="Y1355" i="10"/>
  <c r="AG1355" i="10"/>
  <c r="Y1356" i="10"/>
  <c r="AG1356" i="10"/>
  <c r="Y1357" i="10"/>
  <c r="AG1357" i="10"/>
  <c r="AS1357" i="10" s="1"/>
  <c r="Y1358" i="10"/>
  <c r="AG1358" i="10"/>
  <c r="AK1358" i="10" s="1"/>
  <c r="Y1359" i="10"/>
  <c r="AG1359" i="10"/>
  <c r="Y1360" i="10"/>
  <c r="AG1360" i="10"/>
  <c r="Y1361" i="10"/>
  <c r="AG1361" i="10"/>
  <c r="Y1362" i="10"/>
  <c r="AG1362" i="10"/>
  <c r="Y1363" i="10"/>
  <c r="AG1363" i="10"/>
  <c r="AR1363" i="10" s="1"/>
  <c r="Y1364" i="10"/>
  <c r="AG1364" i="10"/>
  <c r="AW1364" i="10" s="1"/>
  <c r="Y1365" i="10"/>
  <c r="AG1365" i="10"/>
  <c r="Y1366" i="10"/>
  <c r="AG1366" i="10"/>
  <c r="Y1367" i="10"/>
  <c r="AG1367" i="10"/>
  <c r="Y1368" i="10"/>
  <c r="AG1368" i="10"/>
  <c r="AP1368" i="10" s="1"/>
  <c r="Y1369" i="10"/>
  <c r="AG1369" i="10"/>
  <c r="AN1369" i="10" s="1"/>
  <c r="Y1370" i="10"/>
  <c r="AG1370" i="10"/>
  <c r="AJ1370" i="10" s="1"/>
  <c r="Y1371" i="10"/>
  <c r="AG1371" i="10"/>
  <c r="AM1371" i="10" s="1"/>
  <c r="Y1372" i="10"/>
  <c r="AG1372" i="10"/>
  <c r="AV1372" i="10" s="1"/>
  <c r="Y1373" i="10"/>
  <c r="AG1373" i="10"/>
  <c r="Y1374" i="10"/>
  <c r="AG1374" i="10"/>
  <c r="Y1375" i="10"/>
  <c r="AG1375" i="10"/>
  <c r="AX1375" i="10" s="1"/>
  <c r="Y1376" i="10"/>
  <c r="AG1376" i="10"/>
  <c r="AT1376" i="10" s="1"/>
  <c r="Y1377" i="10"/>
  <c r="AG1377" i="10"/>
  <c r="AJ1377" i="10" s="1"/>
  <c r="Y1378" i="10"/>
  <c r="AG1378" i="10"/>
  <c r="Y1379" i="10"/>
  <c r="AG1379" i="10"/>
  <c r="AG1380" i="10"/>
  <c r="Y1381" i="10"/>
  <c r="AG1381" i="10"/>
  <c r="AS1381" i="10" s="1"/>
  <c r="Y1382" i="10"/>
  <c r="AG1382" i="10"/>
  <c r="Y1383" i="10"/>
  <c r="AG1383" i="10"/>
  <c r="X1384" i="10"/>
  <c r="Y1384" i="10"/>
  <c r="AG1384" i="10"/>
  <c r="AT1384" i="10" s="1"/>
  <c r="X1385" i="10"/>
  <c r="Y1385" i="10" s="1"/>
  <c r="AG1385" i="10"/>
  <c r="Y1386" i="10"/>
  <c r="AG1386" i="10"/>
  <c r="X1387" i="10"/>
  <c r="Y1387" i="10"/>
  <c r="AG1387" i="10"/>
  <c r="Y1388" i="10"/>
  <c r="AG1388" i="10"/>
  <c r="AR1388" i="10" s="1"/>
  <c r="Y1389" i="10"/>
  <c r="AG1389" i="10"/>
  <c r="AQ1389" i="10" s="1"/>
  <c r="X1390" i="10"/>
  <c r="Y1390" i="10" s="1"/>
  <c r="AG1390" i="10"/>
  <c r="AV1390" i="10" s="1"/>
  <c r="AG1391" i="10"/>
  <c r="X1392" i="10"/>
  <c r="Y1392" i="10"/>
  <c r="AG1392" i="10"/>
  <c r="X1393" i="10"/>
  <c r="Y1393" i="10" s="1"/>
  <c r="AG1393" i="10"/>
  <c r="Y1394" i="10"/>
  <c r="AG1394" i="10"/>
  <c r="X1395" i="10"/>
  <c r="Y1395" i="10"/>
  <c r="AG1395" i="10"/>
  <c r="Y1396" i="10"/>
  <c r="AG1396" i="10"/>
  <c r="Y1397" i="10"/>
  <c r="AG1397" i="10"/>
  <c r="AO1397" i="10" s="1"/>
  <c r="Y1398" i="10"/>
  <c r="AG1398" i="10"/>
  <c r="Y1399" i="10"/>
  <c r="AG1399" i="10"/>
  <c r="AJ1399" i="10" s="1"/>
  <c r="Y1400" i="10"/>
  <c r="AG1400" i="10"/>
  <c r="X1401" i="10"/>
  <c r="Y1401" i="10" s="1"/>
  <c r="AG1401" i="10"/>
  <c r="Y1402" i="10"/>
  <c r="AG1402" i="10"/>
  <c r="X1403" i="10"/>
  <c r="Y1403" i="10"/>
  <c r="AG1403" i="10"/>
  <c r="AJ1403" i="10" s="1"/>
  <c r="X1404" i="10"/>
  <c r="Y1404" i="10" s="1"/>
  <c r="AG1404" i="10"/>
  <c r="X1405" i="10"/>
  <c r="Y1405" i="10" s="1"/>
  <c r="AG1405" i="10"/>
  <c r="AN1405" i="10" s="1"/>
  <c r="Y1406" i="10"/>
  <c r="AG1406" i="10"/>
  <c r="X1407" i="10"/>
  <c r="Y1407" i="10" s="1"/>
  <c r="AG1407" i="10"/>
  <c r="AK1407" i="10" s="1"/>
  <c r="W1408" i="10"/>
  <c r="X1408" i="10"/>
  <c r="AG1408" i="10"/>
  <c r="AO1408" i="10" s="1"/>
  <c r="X1409" i="10"/>
  <c r="Y1409" i="10"/>
  <c r="AG1409" i="10"/>
  <c r="Y1410" i="10"/>
  <c r="AG1410" i="10"/>
  <c r="AO1410" i="10" s="1"/>
  <c r="Y1411" i="10"/>
  <c r="AG1411" i="10"/>
  <c r="AN1411" i="10" s="1"/>
  <c r="X1412" i="10"/>
  <c r="Y1412" i="10" s="1"/>
  <c r="AG1412" i="10"/>
  <c r="X1413" i="10"/>
  <c r="Y1413" i="10"/>
  <c r="AG1413" i="10"/>
  <c r="W1414" i="10"/>
  <c r="X1414" i="10"/>
  <c r="AG1414" i="10"/>
  <c r="AM1414" i="10" s="1"/>
  <c r="X1415" i="10"/>
  <c r="Y1415" i="10"/>
  <c r="AG1415" i="10"/>
  <c r="AL1415" i="10" s="1"/>
  <c r="X1416" i="10"/>
  <c r="Y1416" i="10" s="1"/>
  <c r="AG1416" i="10"/>
  <c r="AG1417" i="10"/>
  <c r="AG1418" i="10"/>
  <c r="Y1419" i="10"/>
  <c r="AG1419" i="10"/>
  <c r="AX1419" i="10" s="1"/>
  <c r="X1420" i="10"/>
  <c r="Y1420" i="10" s="1"/>
  <c r="AG1420" i="10"/>
  <c r="X1421" i="10"/>
  <c r="Y1421" i="10" s="1"/>
  <c r="AG1421" i="10"/>
  <c r="AO1421" i="10" s="1"/>
  <c r="X1422" i="10"/>
  <c r="Y1422" i="10" s="1"/>
  <c r="AG1422" i="10"/>
  <c r="Y1423" i="10"/>
  <c r="AG1423" i="10"/>
  <c r="Y1424" i="10"/>
  <c r="AG1424" i="10"/>
  <c r="AU1424" i="10" s="1"/>
  <c r="X1425" i="10"/>
  <c r="Y1425" i="10" s="1"/>
  <c r="AG1425" i="10"/>
  <c r="Y1426" i="10"/>
  <c r="AG1426" i="10"/>
  <c r="X1427" i="10"/>
  <c r="Y1427" i="10"/>
  <c r="AG1427" i="10"/>
  <c r="AO1427" i="10" s="1"/>
  <c r="X1428" i="10"/>
  <c r="Y1428" i="10" s="1"/>
  <c r="AG1428" i="10"/>
  <c r="W1429" i="10"/>
  <c r="X1429" i="10"/>
  <c r="AG1429" i="10"/>
  <c r="AU1429" i="10" s="1"/>
  <c r="AG1430" i="10"/>
  <c r="AW1430" i="10" s="1"/>
  <c r="Y1431" i="10"/>
  <c r="AG1431" i="10"/>
  <c r="AJ1431" i="10" s="1"/>
  <c r="Y1432" i="10"/>
  <c r="AG1432" i="10"/>
  <c r="X1433" i="10"/>
  <c r="Y1433" i="10" s="1"/>
  <c r="AG1433" i="10"/>
  <c r="X1434" i="10"/>
  <c r="Y1434" i="10" s="1"/>
  <c r="AG1434" i="10"/>
  <c r="AQ1434" i="10" s="1"/>
  <c r="X1435" i="10"/>
  <c r="Y1435" i="10"/>
  <c r="AG1435" i="10"/>
  <c r="AR1435" i="10" s="1"/>
  <c r="X1436" i="10"/>
  <c r="Y1436" i="10" s="1"/>
  <c r="AG1436" i="10"/>
  <c r="W1437" i="10"/>
  <c r="X1437" i="10"/>
  <c r="AG1437" i="10"/>
  <c r="AV1437" i="10" s="1"/>
  <c r="AG1438" i="10"/>
  <c r="AG1439" i="10"/>
  <c r="Y1440" i="10"/>
  <c r="AG1440" i="10"/>
  <c r="X1441" i="10"/>
  <c r="Y1441" i="10" s="1"/>
  <c r="AG1441" i="10"/>
  <c r="AK1441" i="10" s="1"/>
  <c r="AG1442" i="10"/>
  <c r="AJ1442" i="10" s="1"/>
  <c r="Y1443" i="10"/>
  <c r="AG1443" i="10"/>
  <c r="AJ1443" i="10" s="1"/>
  <c r="AG1444" i="10"/>
  <c r="AL1444" i="10" s="1"/>
  <c r="X1445" i="10"/>
  <c r="Y1445" i="10" s="1"/>
  <c r="AG1445" i="10"/>
  <c r="Y1446" i="10"/>
  <c r="AG1446" i="10"/>
  <c r="AW1446" i="10" s="1"/>
  <c r="W1447" i="10"/>
  <c r="X1447" i="10"/>
  <c r="AG1447" i="10"/>
  <c r="AG1448" i="10"/>
  <c r="AT1448" i="10" s="1"/>
  <c r="X1449" i="10"/>
  <c r="Y1449" i="10" s="1"/>
  <c r="AG1449" i="10"/>
  <c r="AR1449" i="10" s="1"/>
  <c r="X1450" i="10"/>
  <c r="Y1450" i="10"/>
  <c r="AG1450" i="10"/>
  <c r="Y1451" i="10"/>
  <c r="AG1451" i="10"/>
  <c r="X1452" i="10"/>
  <c r="Y1452" i="10" s="1"/>
  <c r="AG1452" i="10"/>
  <c r="X1453" i="10"/>
  <c r="Y1453" i="10"/>
  <c r="AG1453" i="10"/>
  <c r="AJ1453" i="10" s="1"/>
  <c r="Y1454" i="10"/>
  <c r="AG1454" i="10"/>
  <c r="AT1454" i="10" s="1"/>
  <c r="W1455" i="10"/>
  <c r="X1455" i="10"/>
  <c r="AG1455" i="10"/>
  <c r="AR1455" i="10" s="1"/>
  <c r="X1456" i="10"/>
  <c r="Y1456" i="10"/>
  <c r="AG1456" i="10"/>
  <c r="X1457" i="10"/>
  <c r="Y1457" i="10"/>
  <c r="AG1457" i="10"/>
  <c r="AN1457" i="10" s="1"/>
  <c r="Y1458" i="10"/>
  <c r="AG1458" i="10"/>
  <c r="W1459" i="10"/>
  <c r="X1459" i="10"/>
  <c r="AG1459" i="10"/>
  <c r="AQ1459" i="10" s="1"/>
  <c r="Y1460" i="10"/>
  <c r="AG1460" i="10"/>
  <c r="AM1460" i="10" s="1"/>
  <c r="Y2467" i="10"/>
  <c r="AG2467" i="10"/>
  <c r="Y1461" i="10"/>
  <c r="AG1461" i="10"/>
  <c r="Y1462" i="10"/>
  <c r="AG1462" i="10"/>
  <c r="AM1462" i="10" s="1"/>
  <c r="Y1463" i="10"/>
  <c r="AG1463" i="10"/>
  <c r="AW1463" i="10" s="1"/>
  <c r="W1464" i="10"/>
  <c r="X1464" i="10"/>
  <c r="AG1464" i="10"/>
  <c r="AM1464" i="10" s="1"/>
  <c r="W1465" i="10"/>
  <c r="X1465" i="10"/>
  <c r="AG1465" i="10"/>
  <c r="X1466" i="10"/>
  <c r="Y1466" i="10" s="1"/>
  <c r="AG1466" i="10"/>
  <c r="Y1467" i="10"/>
  <c r="AG1467" i="10"/>
  <c r="X1468" i="10"/>
  <c r="Y1468" i="10" s="1"/>
  <c r="AG1468" i="10"/>
  <c r="Y1469" i="10"/>
  <c r="AG1469" i="10"/>
  <c r="AW1469" i="10" s="1"/>
  <c r="Y1470" i="10"/>
  <c r="AG1470" i="10"/>
  <c r="Y1471" i="10"/>
  <c r="AG1471" i="10"/>
  <c r="X1472" i="10"/>
  <c r="Y1472" i="10"/>
  <c r="AG1472" i="10"/>
  <c r="AX1472" i="10" s="1"/>
  <c r="X1473" i="10"/>
  <c r="Y1473" i="10" s="1"/>
  <c r="AG1473" i="10"/>
  <c r="AO1473" i="10" s="1"/>
  <c r="X1474" i="10"/>
  <c r="Y1474" i="10" s="1"/>
  <c r="AG1474" i="10"/>
  <c r="X1475" i="10"/>
  <c r="Y1475" i="10" s="1"/>
  <c r="AG1475" i="10"/>
  <c r="X1476" i="10"/>
  <c r="Y1476" i="10"/>
  <c r="AG1476" i="10"/>
  <c r="Y1477" i="10"/>
  <c r="AG1477" i="10"/>
  <c r="AU1477" i="10" s="1"/>
  <c r="Y1478" i="10"/>
  <c r="AG1478" i="10"/>
  <c r="AT1478" i="10" s="1"/>
  <c r="W1479" i="10"/>
  <c r="X1479" i="10"/>
  <c r="Y1479" i="10" s="1"/>
  <c r="AG1479" i="10"/>
  <c r="X1480" i="10"/>
  <c r="Y1480" i="10" s="1"/>
  <c r="AG1480" i="10"/>
  <c r="AW1480" i="10" s="1"/>
  <c r="X1481" i="10"/>
  <c r="Y1481" i="10" s="1"/>
  <c r="AG1481" i="10"/>
  <c r="Y1482" i="10"/>
  <c r="AG1482" i="10"/>
  <c r="AQ1482" i="10" s="1"/>
  <c r="W1483" i="10"/>
  <c r="X1483" i="10"/>
  <c r="AG1483" i="10"/>
  <c r="AQ1483" i="10" s="1"/>
  <c r="Y1484" i="10"/>
  <c r="AG1484" i="10"/>
  <c r="Y1485" i="10"/>
  <c r="AG1485" i="10"/>
  <c r="Y1486" i="10"/>
  <c r="AG1486" i="10"/>
  <c r="X1487" i="10"/>
  <c r="Y1487" i="10" s="1"/>
  <c r="AG1487" i="10"/>
  <c r="X1488" i="10"/>
  <c r="Y1488" i="10" s="1"/>
  <c r="AG1488" i="10"/>
  <c r="X1489" i="10"/>
  <c r="Y1489" i="10"/>
  <c r="AG1489" i="10"/>
  <c r="X1490" i="10"/>
  <c r="Y1490" i="10" s="1"/>
  <c r="AG1490" i="10"/>
  <c r="AO1490" i="10" s="1"/>
  <c r="W1491" i="10"/>
  <c r="X1491" i="10"/>
  <c r="AG1491" i="10"/>
  <c r="Y1492" i="10"/>
  <c r="AG1492" i="10"/>
  <c r="X1493" i="10"/>
  <c r="Y1493" i="10" s="1"/>
  <c r="AG1493" i="10"/>
  <c r="X1494" i="10"/>
  <c r="Y1494" i="10" s="1"/>
  <c r="AG1494" i="10"/>
  <c r="Y1495" i="10"/>
  <c r="AG1495" i="10"/>
  <c r="AJ1495" i="10" s="1"/>
  <c r="Y1496" i="10"/>
  <c r="AG1496" i="10"/>
  <c r="Y1497" i="10"/>
  <c r="AG1497" i="10"/>
  <c r="AL1497" i="10" s="1"/>
  <c r="X1498" i="10"/>
  <c r="Y1498" i="10"/>
  <c r="AG1498" i="10"/>
  <c r="AW1498" i="10" s="1"/>
  <c r="X1499" i="10"/>
  <c r="Y1499" i="10" s="1"/>
  <c r="AG1499" i="10"/>
  <c r="Y1501" i="10"/>
  <c r="AG1501" i="10"/>
  <c r="AN1501" i="10" s="1"/>
  <c r="Y1500" i="10"/>
  <c r="AG1500" i="10"/>
  <c r="X1502" i="10"/>
  <c r="Y1502" i="10" s="1"/>
  <c r="AG1502" i="10"/>
  <c r="X1503" i="10"/>
  <c r="Y1503" i="10" s="1"/>
  <c r="AG1503" i="10"/>
  <c r="Y1504" i="10"/>
  <c r="AG1504" i="10"/>
  <c r="AP1504" i="10" s="1"/>
  <c r="X1505" i="10"/>
  <c r="Y1505" i="10"/>
  <c r="AG1505" i="10"/>
  <c r="X1506" i="10"/>
  <c r="Y1506" i="10" s="1"/>
  <c r="AG1506" i="10"/>
  <c r="AT1506" i="10" s="1"/>
  <c r="X1507" i="10"/>
  <c r="Y1507" i="10"/>
  <c r="AG1507" i="10"/>
  <c r="Y1508" i="10"/>
  <c r="AG1508" i="10"/>
  <c r="AJ1508" i="10" s="1"/>
  <c r="Y1509" i="10"/>
  <c r="AG1509" i="10"/>
  <c r="AT1509" i="10" s="1"/>
  <c r="X1510" i="10"/>
  <c r="Y1510" i="10" s="1"/>
  <c r="AG1510" i="10"/>
  <c r="AS1510" i="10" s="1"/>
  <c r="Y1511" i="10"/>
  <c r="AG1511" i="10"/>
  <c r="AX1511" i="10" s="1"/>
  <c r="X1512" i="10"/>
  <c r="Y1512" i="10" s="1"/>
  <c r="AG1512" i="10"/>
  <c r="X1513" i="10"/>
  <c r="Y1513" i="10" s="1"/>
  <c r="AG1513" i="10"/>
  <c r="X1514" i="10"/>
  <c r="Y1514" i="10" s="1"/>
  <c r="AG1514" i="10"/>
  <c r="X1515" i="10"/>
  <c r="Y1515" i="10" s="1"/>
  <c r="AG1515" i="10"/>
  <c r="AN1515" i="10" s="1"/>
  <c r="X1516" i="10"/>
  <c r="Y1516" i="10"/>
  <c r="AG1516" i="10"/>
  <c r="AJ1516" i="10" s="1"/>
  <c r="X1517" i="10"/>
  <c r="Y1517" i="10"/>
  <c r="AG1517" i="10"/>
  <c r="X1518" i="10"/>
  <c r="Y1518" i="10" s="1"/>
  <c r="AG1518" i="10"/>
  <c r="X1519" i="10"/>
  <c r="Y1519" i="10"/>
  <c r="AG1519" i="10"/>
  <c r="X1520" i="10"/>
  <c r="Y1520" i="10" s="1"/>
  <c r="AG1520" i="10"/>
  <c r="Y1521" i="10"/>
  <c r="AG1521" i="10"/>
  <c r="AR1521" i="10" s="1"/>
  <c r="X1522" i="10"/>
  <c r="Y1522" i="10"/>
  <c r="AG1522" i="10"/>
  <c r="X1523" i="10"/>
  <c r="Y1523" i="10" s="1"/>
  <c r="AG1523" i="10"/>
  <c r="X1524" i="10"/>
  <c r="Y1524" i="10"/>
  <c r="AG1524" i="10"/>
  <c r="AG1525" i="10"/>
  <c r="AJ1525" i="10" s="1"/>
  <c r="X1526" i="10"/>
  <c r="Y1526" i="10"/>
  <c r="AG1526" i="10"/>
  <c r="AK1526" i="10" s="1"/>
  <c r="X1527" i="10"/>
  <c r="Y1527" i="10" s="1"/>
  <c r="AG1527" i="10"/>
  <c r="Y1528" i="10"/>
  <c r="AG1528" i="10"/>
  <c r="X1529" i="10"/>
  <c r="AG1529" i="10"/>
  <c r="AQ1529" i="10" s="1"/>
  <c r="Y1530" i="10"/>
  <c r="AG1530" i="10"/>
  <c r="X1531" i="10"/>
  <c r="Y1531" i="10" s="1"/>
  <c r="AG1531" i="10"/>
  <c r="W1532" i="10"/>
  <c r="Y1532" i="10"/>
  <c r="AG1532" i="10"/>
  <c r="X1533" i="10"/>
  <c r="Y1533" i="10"/>
  <c r="AG1533" i="10"/>
  <c r="AO1533" i="10" s="1"/>
  <c r="Y1534" i="10"/>
  <c r="AG1534" i="10"/>
  <c r="AV1534" i="10" s="1"/>
  <c r="Y1535" i="10"/>
  <c r="AG1535" i="10"/>
  <c r="X1536" i="10"/>
  <c r="Y1536" i="10"/>
  <c r="AG1536" i="10"/>
  <c r="AK1536" i="10" s="1"/>
  <c r="X1537" i="10"/>
  <c r="Y1537" i="10" s="1"/>
  <c r="AG1537" i="10"/>
  <c r="Y1538" i="10"/>
  <c r="AG1538" i="10"/>
  <c r="Y1539" i="10"/>
  <c r="AG1539" i="10"/>
  <c r="AM1539" i="10" s="1"/>
  <c r="X1540" i="10"/>
  <c r="Y1540" i="10" s="1"/>
  <c r="AG1540" i="10"/>
  <c r="AU1540" i="10" s="1"/>
  <c r="Y1541" i="10"/>
  <c r="AG1541" i="10"/>
  <c r="X1542" i="10"/>
  <c r="Y1542" i="10" s="1"/>
  <c r="AG1542" i="10"/>
  <c r="AQ1542" i="10" s="1"/>
  <c r="X1543" i="10"/>
  <c r="Y1543" i="10"/>
  <c r="AG1543" i="10"/>
  <c r="X1544" i="10"/>
  <c r="Y1544" i="10" s="1"/>
  <c r="AG1544" i="10"/>
  <c r="X1545" i="10"/>
  <c r="Y1545" i="10" s="1"/>
  <c r="AG1545" i="10"/>
  <c r="AU1545" i="10" s="1"/>
  <c r="X1546" i="10"/>
  <c r="Y1546" i="10" s="1"/>
  <c r="AG1546" i="10"/>
  <c r="AT1546" i="10" s="1"/>
  <c r="X1547" i="10"/>
  <c r="Y1547" i="10" s="1"/>
  <c r="AG1547" i="10"/>
  <c r="X1548" i="10"/>
  <c r="Y1548" i="10" s="1"/>
  <c r="AG1548" i="10"/>
  <c r="Y1549" i="10"/>
  <c r="AG1549" i="10"/>
  <c r="AR1549" i="10" s="1"/>
  <c r="X1551" i="10"/>
  <c r="Y1551" i="10"/>
  <c r="AG1551" i="10"/>
  <c r="X1550" i="10"/>
  <c r="Y1550" i="10" s="1"/>
  <c r="AG1550" i="10"/>
  <c r="AJ1550" i="10" s="1"/>
  <c r="X1552" i="10"/>
  <c r="Y1552" i="10" s="1"/>
  <c r="AG1552" i="10"/>
  <c r="AL1552" i="10" s="1"/>
  <c r="X1553" i="10"/>
  <c r="Y1553" i="10" s="1"/>
  <c r="AG1553" i="10"/>
  <c r="X1554" i="10"/>
  <c r="Y1554" i="10"/>
  <c r="AG1554" i="10"/>
  <c r="AJ1554" i="10" s="1"/>
  <c r="X1555" i="10"/>
  <c r="Y1555" i="10" s="1"/>
  <c r="AG1555" i="10"/>
  <c r="AX1555" i="10" s="1"/>
  <c r="Y1556" i="10"/>
  <c r="AG1556" i="10"/>
  <c r="W1557" i="10"/>
  <c r="Y1557" i="10"/>
  <c r="AG1557" i="10"/>
  <c r="X1558" i="10"/>
  <c r="Y1558" i="10" s="1"/>
  <c r="AG1558" i="10"/>
  <c r="X1559" i="10"/>
  <c r="Y1559" i="10" s="1"/>
  <c r="AG1559" i="10"/>
  <c r="Y1560" i="10"/>
  <c r="AG1560" i="10"/>
  <c r="AJ1560" i="10" s="1"/>
  <c r="X1561" i="10"/>
  <c r="Y1561" i="10" s="1"/>
  <c r="AG1561" i="10"/>
  <c r="AQ1561" i="10" s="1"/>
  <c r="Y1562" i="10"/>
  <c r="AG1562" i="10"/>
  <c r="AK1562" i="10" s="1"/>
  <c r="X1563" i="10"/>
  <c r="Y1563" i="10" s="1"/>
  <c r="AG1563" i="10"/>
  <c r="Y1564" i="10"/>
  <c r="AG1564" i="10"/>
  <c r="AO1564" i="10" s="1"/>
  <c r="Y1565" i="10"/>
  <c r="AG1565" i="10"/>
  <c r="Y1566" i="10"/>
  <c r="AG1566" i="10"/>
  <c r="AW1566" i="10" s="1"/>
  <c r="X1567" i="10"/>
  <c r="Y1567" i="10"/>
  <c r="AG1567" i="10"/>
  <c r="Y1568" i="10"/>
  <c r="AG1568" i="10"/>
  <c r="X1569" i="10"/>
  <c r="Y1569" i="10" s="1"/>
  <c r="AG1569" i="10"/>
  <c r="AJ1569" i="10" s="1"/>
  <c r="Y1570" i="10"/>
  <c r="AG1570" i="10"/>
  <c r="Y1571" i="10"/>
  <c r="AG1571" i="10"/>
  <c r="AR1571" i="10" s="1"/>
  <c r="Y1572" i="10"/>
  <c r="AG1572" i="10"/>
  <c r="AO1572" i="10" s="1"/>
  <c r="Y1573" i="10"/>
  <c r="AG1573" i="10"/>
  <c r="X1574" i="10"/>
  <c r="Y1574" i="10"/>
  <c r="AG1574" i="10"/>
  <c r="Y1575" i="10"/>
  <c r="AG1575" i="10"/>
  <c r="Y1576" i="10"/>
  <c r="AG1576" i="10"/>
  <c r="X1577" i="10"/>
  <c r="Y1577" i="10"/>
  <c r="AG1577" i="10"/>
  <c r="X1578" i="10"/>
  <c r="Y1578" i="10" s="1"/>
  <c r="AG1578" i="10"/>
  <c r="X1579" i="10"/>
  <c r="Y1579" i="10" s="1"/>
  <c r="AG1579" i="10"/>
  <c r="AP1579" i="10" s="1"/>
  <c r="X1580" i="10"/>
  <c r="Y1580" i="10"/>
  <c r="AG1580" i="10"/>
  <c r="Y1581" i="10"/>
  <c r="AG1581" i="10"/>
  <c r="X1582" i="10"/>
  <c r="Y1582" i="10" s="1"/>
  <c r="AG1582" i="10"/>
  <c r="X1583" i="10"/>
  <c r="Y1583" i="10" s="1"/>
  <c r="AG1583" i="10"/>
  <c r="X1584" i="10"/>
  <c r="Y1584" i="10"/>
  <c r="AG1584" i="10"/>
  <c r="X1585" i="10"/>
  <c r="Y1585" i="10"/>
  <c r="AG1585" i="10"/>
  <c r="AN1585" i="10" s="1"/>
  <c r="X1586" i="10"/>
  <c r="Y1586" i="10"/>
  <c r="AG1586" i="10"/>
  <c r="AT1586" i="10" s="1"/>
  <c r="X1587" i="10"/>
  <c r="Y1587" i="10" s="1"/>
  <c r="AG1587" i="10"/>
  <c r="AO1587" i="10" s="1"/>
  <c r="X1588" i="10"/>
  <c r="Y1588" i="10" s="1"/>
  <c r="AG1588" i="10"/>
  <c r="X1589" i="10"/>
  <c r="Y1589" i="10" s="1"/>
  <c r="AG1589" i="10"/>
  <c r="X1590" i="10"/>
  <c r="Y1590" i="10" s="1"/>
  <c r="AG1590" i="10"/>
  <c r="AU1590" i="10" s="1"/>
  <c r="X1591" i="10"/>
  <c r="Y1591" i="10"/>
  <c r="AG1591" i="10"/>
  <c r="AS1591" i="10" s="1"/>
  <c r="Y1592" i="10"/>
  <c r="AG1592" i="10"/>
  <c r="AU1592" i="10" s="1"/>
  <c r="W1593" i="10"/>
  <c r="Y1593" i="10"/>
  <c r="AG1593" i="10"/>
  <c r="X1594" i="10"/>
  <c r="Y1594" i="10"/>
  <c r="AG1594" i="10"/>
  <c r="X1595" i="10"/>
  <c r="Y1595" i="10" s="1"/>
  <c r="AG1595" i="10"/>
  <c r="X1596" i="10"/>
  <c r="Y1596" i="10" s="1"/>
  <c r="AG1596" i="10"/>
  <c r="X1597" i="10"/>
  <c r="Y1597" i="10"/>
  <c r="AG1597" i="10"/>
  <c r="X1598" i="10"/>
  <c r="Y1598" i="10" s="1"/>
  <c r="AG1598" i="10"/>
  <c r="Y1599" i="10"/>
  <c r="AG1599" i="10"/>
  <c r="Y1600" i="10"/>
  <c r="AG1600" i="10"/>
  <c r="AO1600" i="10" s="1"/>
  <c r="X1601" i="10"/>
  <c r="Y1601" i="10"/>
  <c r="AG1601" i="10"/>
  <c r="Y1602" i="10"/>
  <c r="AG1602" i="10"/>
  <c r="X1603" i="10"/>
  <c r="Y1603" i="10"/>
  <c r="AG1603" i="10"/>
  <c r="AW1603" i="10" s="1"/>
  <c r="X1604" i="10"/>
  <c r="Y1604" i="10"/>
  <c r="AG1604" i="10"/>
  <c r="Y1605" i="10"/>
  <c r="AG1605" i="10"/>
  <c r="AM1605" i="10" s="1"/>
  <c r="X1606" i="10"/>
  <c r="Y1606" i="10"/>
  <c r="AG1606" i="10"/>
  <c r="AW1606" i="10" s="1"/>
  <c r="Y1607" i="10"/>
  <c r="AG1607" i="10"/>
  <c r="AV1607" i="10" s="1"/>
  <c r="X1608" i="10"/>
  <c r="Y1608" i="10" s="1"/>
  <c r="AG1608" i="10"/>
  <c r="AN1608" i="10" s="1"/>
  <c r="X1609" i="10"/>
  <c r="Y1609" i="10" s="1"/>
  <c r="AG1609" i="10"/>
  <c r="AJ1609" i="10" s="1"/>
  <c r="X1610" i="10"/>
  <c r="Y1610" i="10"/>
  <c r="AG1610" i="10"/>
  <c r="Y1611" i="10"/>
  <c r="AG1611" i="10"/>
  <c r="AJ1611" i="10" s="1"/>
  <c r="X1612" i="10"/>
  <c r="Y1612" i="10" s="1"/>
  <c r="AG1612" i="10"/>
  <c r="AX1612" i="10" s="1"/>
  <c r="Y1613" i="10"/>
  <c r="AG1613" i="10"/>
  <c r="AS1613" i="10" s="1"/>
  <c r="X1614" i="10"/>
  <c r="Y1614" i="10"/>
  <c r="AG1614" i="10"/>
  <c r="X1615" i="10"/>
  <c r="Y1615" i="10"/>
  <c r="AG1615" i="10"/>
  <c r="AM1615" i="10" s="1"/>
  <c r="X1616" i="10"/>
  <c r="Y1616" i="10" s="1"/>
  <c r="AG1616" i="10"/>
  <c r="X1617" i="10"/>
  <c r="Y1617" i="10" s="1"/>
  <c r="AG1617" i="10"/>
  <c r="AX1617" i="10" s="1"/>
  <c r="X1618" i="10"/>
  <c r="Y1618" i="10" s="1"/>
  <c r="AG1618" i="10"/>
  <c r="AJ1618" i="10" s="1"/>
  <c r="X1619" i="10"/>
  <c r="Y1619" i="10"/>
  <c r="AG1619" i="10"/>
  <c r="X1620" i="10"/>
  <c r="Y1620" i="10" s="1"/>
  <c r="AG1620" i="10"/>
  <c r="AX1620" i="10" s="1"/>
  <c r="Y1621" i="10"/>
  <c r="AX1621" i="10"/>
  <c r="X1622" i="10"/>
  <c r="Y1622" i="10"/>
  <c r="AG1622" i="10"/>
  <c r="AW1622" i="10" s="1"/>
  <c r="X1623" i="10"/>
  <c r="Y1623" i="10" s="1"/>
  <c r="AG1623" i="10"/>
  <c r="X1624" i="10"/>
  <c r="Y1624" i="10"/>
  <c r="AG1624" i="10"/>
  <c r="X1625" i="10"/>
  <c r="Y1625" i="10" s="1"/>
  <c r="AG1625" i="10"/>
  <c r="AK1625" i="10" s="1"/>
  <c r="X1626" i="10"/>
  <c r="Y1626" i="10" s="1"/>
  <c r="AG1626" i="10"/>
  <c r="AK1626" i="10" s="1"/>
  <c r="X1627" i="10"/>
  <c r="Y1627" i="10" s="1"/>
  <c r="AG1627" i="10"/>
  <c r="X1628" i="10"/>
  <c r="Y1628" i="10" s="1"/>
  <c r="AG1628" i="10"/>
  <c r="X1629" i="10"/>
  <c r="Y1629" i="10"/>
  <c r="AG1629" i="10"/>
  <c r="X1630" i="10"/>
  <c r="Y1630" i="10" s="1"/>
  <c r="AG1630" i="10"/>
  <c r="X1631" i="10"/>
  <c r="Y1631" i="10" s="1"/>
  <c r="AG1631" i="10"/>
  <c r="AM1631" i="10" s="1"/>
  <c r="X1632" i="10"/>
  <c r="Y1632" i="10"/>
  <c r="AG1632" i="10"/>
  <c r="AT1632" i="10" s="1"/>
  <c r="X1633" i="10"/>
  <c r="Y1633" i="10" s="1"/>
  <c r="AG1633" i="10"/>
  <c r="AU1633" i="10" s="1"/>
  <c r="X1634" i="10"/>
  <c r="Y1634" i="10" s="1"/>
  <c r="AG1634" i="10"/>
  <c r="X1635" i="10"/>
  <c r="Y1635" i="10"/>
  <c r="AG1635" i="10"/>
  <c r="X1636" i="10"/>
  <c r="Y1636" i="10"/>
  <c r="AG1636" i="10"/>
  <c r="AS1636" i="10" s="1"/>
  <c r="Y1637" i="10"/>
  <c r="AG1637" i="10"/>
  <c r="X1638" i="10"/>
  <c r="Y1638" i="10"/>
  <c r="AG1638" i="10"/>
  <c r="X1639" i="10"/>
  <c r="Y1639" i="10"/>
  <c r="AG1639" i="10"/>
  <c r="AJ1639" i="10" s="1"/>
  <c r="Y1640" i="10"/>
  <c r="AG1640" i="10"/>
  <c r="X1641" i="10"/>
  <c r="Y1641" i="10"/>
  <c r="AG1641" i="10"/>
  <c r="X1642" i="10"/>
  <c r="Y1642" i="10"/>
  <c r="AG1642" i="10"/>
  <c r="X1643" i="10"/>
  <c r="Y1643" i="10" s="1"/>
  <c r="AG1643" i="10"/>
  <c r="X1644" i="10"/>
  <c r="Y1644" i="10" s="1"/>
  <c r="AG1644" i="10"/>
  <c r="Y1645" i="10"/>
  <c r="AG1645" i="10"/>
  <c r="X1646" i="10"/>
  <c r="Y1646" i="10" s="1"/>
  <c r="AG1646" i="10"/>
  <c r="AV1646" i="10" s="1"/>
  <c r="X1647" i="10"/>
  <c r="Y1647" i="10" s="1"/>
  <c r="AG1647" i="10"/>
  <c r="Y1648" i="10"/>
  <c r="AG1648" i="10"/>
  <c r="X1649" i="10"/>
  <c r="Y1649" i="10" s="1"/>
  <c r="AG1649" i="10"/>
  <c r="AL1649" i="10" s="1"/>
  <c r="X1650" i="10"/>
  <c r="Y1650" i="10" s="1"/>
  <c r="AG1650" i="10"/>
  <c r="AJ1650" i="10" s="1"/>
  <c r="X1651" i="10"/>
  <c r="Y1651" i="10" s="1"/>
  <c r="AG1651" i="10"/>
  <c r="X1652" i="10"/>
  <c r="Y1652" i="10" s="1"/>
  <c r="AG1652" i="10"/>
  <c r="X1653" i="10"/>
  <c r="Y1653" i="10"/>
  <c r="AG1653" i="10"/>
  <c r="AP1653" i="10" s="1"/>
  <c r="Y1654" i="10"/>
  <c r="AG1654" i="10"/>
  <c r="Y1655" i="10"/>
  <c r="AG1655" i="10"/>
  <c r="Y1656" i="10"/>
  <c r="AG1656" i="10"/>
  <c r="W1657" i="10"/>
  <c r="X1657" i="10"/>
  <c r="AG1657" i="10"/>
  <c r="AN1657" i="10" s="1"/>
  <c r="X1658" i="10"/>
  <c r="Y1658" i="10"/>
  <c r="AG1658" i="10"/>
  <c r="X1659" i="10"/>
  <c r="Y1659" i="10" s="1"/>
  <c r="AG1659" i="10"/>
  <c r="Y1660" i="10"/>
  <c r="AG1660" i="10"/>
  <c r="AM1660" i="10" s="1"/>
  <c r="X1661" i="10"/>
  <c r="Y1661" i="10" s="1"/>
  <c r="AG1661" i="10"/>
  <c r="X1662" i="10"/>
  <c r="Y1662" i="10" s="1"/>
  <c r="AG1662" i="10"/>
  <c r="X1663" i="10"/>
  <c r="Y1663" i="10" s="1"/>
  <c r="AG1663" i="10"/>
  <c r="AJ1663" i="10" s="1"/>
  <c r="Y1664" i="10"/>
  <c r="AG1664" i="10"/>
  <c r="X1665" i="10"/>
  <c r="Y1665" i="10"/>
  <c r="AG1665" i="10"/>
  <c r="X1666" i="10"/>
  <c r="Y1666" i="10"/>
  <c r="AG1666" i="10"/>
  <c r="Y1667" i="10"/>
  <c r="AG1667" i="10"/>
  <c r="Y1668" i="10"/>
  <c r="AG1668" i="10"/>
  <c r="X1669" i="10"/>
  <c r="Y1669" i="10"/>
  <c r="AG1669" i="10"/>
  <c r="W1670" i="10"/>
  <c r="X1670" i="10"/>
  <c r="AG1670" i="10"/>
  <c r="X1671" i="10"/>
  <c r="Y1671" i="10" s="1"/>
  <c r="AG1671" i="10"/>
  <c r="X1672" i="10"/>
  <c r="Y1672" i="10" s="1"/>
  <c r="AG1672" i="10"/>
  <c r="X1673" i="10"/>
  <c r="Y1673" i="10" s="1"/>
  <c r="AG1673" i="10"/>
  <c r="AW1673" i="10" s="1"/>
  <c r="X1674" i="10"/>
  <c r="Y1674" i="10" s="1"/>
  <c r="AG1674" i="10"/>
  <c r="X1675" i="10"/>
  <c r="Y1675" i="10" s="1"/>
  <c r="AG1675" i="10"/>
  <c r="Y1676" i="10"/>
  <c r="AG1676" i="10"/>
  <c r="AK1676" i="10" s="1"/>
  <c r="X1677" i="10"/>
  <c r="Y1677" i="10"/>
  <c r="AG1677" i="10"/>
  <c r="X1678" i="10"/>
  <c r="Y1678" i="10"/>
  <c r="AG1678" i="10"/>
  <c r="X1679" i="10"/>
  <c r="Y1679" i="10" s="1"/>
  <c r="AG1679" i="10"/>
  <c r="X1680" i="10"/>
  <c r="Y1680" i="10"/>
  <c r="AG1680" i="10"/>
  <c r="AV1680" i="10" s="1"/>
  <c r="X1681" i="10"/>
  <c r="Y1681" i="10" s="1"/>
  <c r="AG1681" i="10"/>
  <c r="AJ1681" i="10" s="1"/>
  <c r="Y1682" i="10"/>
  <c r="AG1682" i="10"/>
  <c r="X1683" i="10"/>
  <c r="Y1683" i="10" s="1"/>
  <c r="AG1683" i="10"/>
  <c r="Y1684" i="10"/>
  <c r="AG1684" i="10"/>
  <c r="W1685" i="10"/>
  <c r="X1685" i="10"/>
  <c r="AG1685" i="10"/>
  <c r="AJ1685" i="10" s="1"/>
  <c r="W1686" i="10"/>
  <c r="X1686" i="10"/>
  <c r="AG1686" i="10"/>
  <c r="AR1686" i="10" s="1"/>
  <c r="X1687" i="10"/>
  <c r="Y1687" i="10" s="1"/>
  <c r="AG1687" i="10"/>
  <c r="AS1687" i="10" s="1"/>
  <c r="X1688" i="10"/>
  <c r="Y1688" i="10"/>
  <c r="AG1688" i="10"/>
  <c r="AG1689" i="10"/>
  <c r="Y1690" i="10"/>
  <c r="AG1690" i="10"/>
  <c r="AJ1690" i="10" s="1"/>
  <c r="X1691" i="10"/>
  <c r="Y1691" i="10" s="1"/>
  <c r="AG1691" i="10"/>
  <c r="AR1691" i="10" s="1"/>
  <c r="Y1692" i="10"/>
  <c r="AG1692" i="10"/>
  <c r="X1693" i="10"/>
  <c r="AG1693" i="10"/>
  <c r="X1694" i="10"/>
  <c r="Y1694" i="10"/>
  <c r="AG1694" i="10"/>
  <c r="AJ1694" i="10" s="1"/>
  <c r="X1695" i="10"/>
  <c r="Y1695" i="10" s="1"/>
  <c r="AG1695" i="10"/>
  <c r="AM1695" i="10" s="1"/>
  <c r="X1696" i="10"/>
  <c r="Y1696" i="10"/>
  <c r="AG1696" i="10"/>
  <c r="X1697" i="10"/>
  <c r="Y1697" i="10" s="1"/>
  <c r="AG1697" i="10"/>
  <c r="X1698" i="10"/>
  <c r="Y1698" i="10" s="1"/>
  <c r="AG1698" i="10"/>
  <c r="AO1698" i="10" s="1"/>
  <c r="Y1699" i="10"/>
  <c r="AG1699" i="10"/>
  <c r="X1700" i="10"/>
  <c r="Y1700" i="10"/>
  <c r="AK1700" i="10"/>
  <c r="AL1700" i="10"/>
  <c r="AM1700" i="10"/>
  <c r="AN1700" i="10"/>
  <c r="AO1700" i="10"/>
  <c r="AP1700" i="10"/>
  <c r="AQ1700" i="10"/>
  <c r="AR1700" i="10"/>
  <c r="AS1700" i="10"/>
  <c r="AT1700" i="10"/>
  <c r="AU1700" i="10"/>
  <c r="AV1700" i="10"/>
  <c r="Y1701" i="10"/>
  <c r="AG1701" i="10"/>
  <c r="X1702" i="10"/>
  <c r="Y1702" i="10" s="1"/>
  <c r="AG1702" i="10"/>
  <c r="AM1702" i="10" s="1"/>
  <c r="X1703" i="10"/>
  <c r="Y1703" i="10" s="1"/>
  <c r="AG1703" i="10"/>
  <c r="AM1703" i="10" s="1"/>
  <c r="W1704" i="10"/>
  <c r="X1704" i="10"/>
  <c r="AG1704" i="10"/>
  <c r="Y1705" i="10"/>
  <c r="AG1705" i="10"/>
  <c r="Y1706" i="10"/>
  <c r="AG1706" i="10"/>
  <c r="Y1707" i="10"/>
  <c r="AG1707" i="10"/>
  <c r="AN1707" i="10" s="1"/>
  <c r="Y1708" i="10"/>
  <c r="AG1708" i="10"/>
  <c r="X1709" i="10"/>
  <c r="Y1709" i="10"/>
  <c r="AG1709" i="10"/>
  <c r="X1710" i="10"/>
  <c r="Y1710" i="10" s="1"/>
  <c r="AG1710" i="10"/>
  <c r="X1711" i="10"/>
  <c r="Y1711" i="10" s="1"/>
  <c r="AG1711" i="10"/>
  <c r="AJ1711" i="10" s="1"/>
  <c r="X1712" i="10"/>
  <c r="Y1712" i="10"/>
  <c r="AG1712" i="10"/>
  <c r="AN1712" i="10" s="1"/>
  <c r="Y1713" i="10"/>
  <c r="AG1713" i="10"/>
  <c r="AJ1713" i="10" s="1"/>
  <c r="W1714" i="10"/>
  <c r="Y1714" i="10" s="1"/>
  <c r="AG1714" i="10"/>
  <c r="AR1714" i="10" s="1"/>
  <c r="Y1715" i="10"/>
  <c r="AG1715" i="10"/>
  <c r="X1716" i="10"/>
  <c r="Y1716" i="10"/>
  <c r="AG1716" i="10"/>
  <c r="X1717" i="10"/>
  <c r="Y1717" i="10" s="1"/>
  <c r="AG1717" i="10"/>
  <c r="Y1718" i="10"/>
  <c r="AG1718" i="10"/>
  <c r="X1719" i="10"/>
  <c r="Y1719" i="10"/>
  <c r="AG1719" i="10"/>
  <c r="X1720" i="10"/>
  <c r="Y1720" i="10" s="1"/>
  <c r="AG1720" i="10"/>
  <c r="X1721" i="10"/>
  <c r="Y1721" i="10" s="1"/>
  <c r="AG1721" i="10"/>
  <c r="AP1721" i="10" s="1"/>
  <c r="Y1722" i="10"/>
  <c r="AG1722" i="10"/>
  <c r="X1723" i="10"/>
  <c r="Y1723" i="10" s="1"/>
  <c r="AG1723" i="10"/>
  <c r="X1724" i="10"/>
  <c r="Y1724" i="10" s="1"/>
  <c r="AG1724" i="10"/>
  <c r="W1725" i="10"/>
  <c r="W1689" i="10"/>
  <c r="X1725" i="10"/>
  <c r="Y1725" i="10" s="1"/>
  <c r="AG1725" i="10"/>
  <c r="Y1726" i="10"/>
  <c r="AG1726" i="10"/>
  <c r="Y1727" i="10"/>
  <c r="AG1727" i="10"/>
  <c r="X1728" i="10"/>
  <c r="Y1728" i="10"/>
  <c r="AG1728" i="10"/>
  <c r="X1729" i="10"/>
  <c r="Y1729" i="10" s="1"/>
  <c r="AG1729" i="10"/>
  <c r="W1730" i="10"/>
  <c r="X1730" i="10"/>
  <c r="AG1730" i="10"/>
  <c r="X1731" i="10"/>
  <c r="Y1731" i="10"/>
  <c r="AG1731" i="10"/>
  <c r="Y1732" i="10"/>
  <c r="AG1732" i="10"/>
  <c r="X1733" i="10"/>
  <c r="Y1733" i="10" s="1"/>
  <c r="AG1733" i="10"/>
  <c r="X1734" i="10"/>
  <c r="Y1734" i="10"/>
  <c r="AG1734" i="10"/>
  <c r="X1735" i="10"/>
  <c r="Y1735" i="10"/>
  <c r="AG1735" i="10"/>
  <c r="X1736" i="10"/>
  <c r="Y1736" i="10" s="1"/>
  <c r="AG1736" i="10"/>
  <c r="X1737" i="10"/>
  <c r="Y1737" i="10"/>
  <c r="AG1737" i="10"/>
  <c r="X1738" i="10"/>
  <c r="Y1738" i="10"/>
  <c r="AG1738" i="10"/>
  <c r="X1739" i="10"/>
  <c r="Y1739" i="10" s="1"/>
  <c r="AG1739" i="10"/>
  <c r="X1740" i="10"/>
  <c r="Y1740" i="10"/>
  <c r="AG1740" i="10"/>
  <c r="AU1740" i="10" s="1"/>
  <c r="X1741" i="10"/>
  <c r="Y1741" i="10" s="1"/>
  <c r="AG1741" i="10"/>
  <c r="Y1742" i="10"/>
  <c r="AG1742" i="10"/>
  <c r="AJ1742" i="10" s="1"/>
  <c r="Y1743" i="10"/>
  <c r="AG1743" i="10"/>
  <c r="AO1743" i="10" s="1"/>
  <c r="Y1744" i="10"/>
  <c r="AG1744" i="10"/>
  <c r="Y1745" i="10"/>
  <c r="AG1745" i="10"/>
  <c r="AR1745" i="10" s="1"/>
  <c r="Y1746" i="10"/>
  <c r="AG1746" i="10"/>
  <c r="AW1746" i="10" s="1"/>
  <c r="X1747" i="10"/>
  <c r="Y1747" i="10"/>
  <c r="AG1747" i="10"/>
  <c r="AX1747" i="10" s="1"/>
  <c r="X1748" i="10"/>
  <c r="Y1748" i="10"/>
  <c r="AG1748" i="10"/>
  <c r="X1749" i="10"/>
  <c r="Y1749" i="10" s="1"/>
  <c r="AG1749" i="10"/>
  <c r="Y1750" i="10"/>
  <c r="AG1750" i="10"/>
  <c r="AJ1750" i="10" s="1"/>
  <c r="X1751" i="10"/>
  <c r="Y1751" i="10" s="1"/>
  <c r="AG1751" i="10"/>
  <c r="AP1751" i="10" s="1"/>
  <c r="X1752" i="10"/>
  <c r="Y1752" i="10"/>
  <c r="AG1752" i="10"/>
  <c r="AJ1752" i="10" s="1"/>
  <c r="X1753" i="10"/>
  <c r="Y1753" i="10"/>
  <c r="AG1753" i="10"/>
  <c r="X1754" i="10"/>
  <c r="Y1754" i="10" s="1"/>
  <c r="AG1754" i="10"/>
  <c r="X1755" i="10"/>
  <c r="Y1755" i="10"/>
  <c r="AG1755" i="10"/>
  <c r="X1756" i="10"/>
  <c r="Y1756" i="10"/>
  <c r="AG1756" i="10"/>
  <c r="AJ1756" i="10" s="1"/>
  <c r="X1757" i="10"/>
  <c r="Y1757" i="10" s="1"/>
  <c r="AG1757" i="10"/>
  <c r="X1758" i="10"/>
  <c r="Y1758" i="10"/>
  <c r="AK1758" i="10"/>
  <c r="AL1758" i="10"/>
  <c r="AM1758" i="10"/>
  <c r="AN1758" i="10"/>
  <c r="AO1758" i="10"/>
  <c r="AP1758" i="10"/>
  <c r="AQ1758" i="10"/>
  <c r="AR1758" i="10"/>
  <c r="AS1758" i="10"/>
  <c r="AT1758" i="10"/>
  <c r="AU1758" i="10"/>
  <c r="AV1758" i="10"/>
  <c r="X1759" i="10"/>
  <c r="Y1759" i="10"/>
  <c r="AG1759" i="10"/>
  <c r="AX1759" i="10" s="1"/>
  <c r="X1760" i="10"/>
  <c r="Y1760" i="10" s="1"/>
  <c r="AG1760" i="10"/>
  <c r="AN1760" i="10" s="1"/>
  <c r="X1761" i="10"/>
  <c r="Y1761" i="10" s="1"/>
  <c r="AG1761" i="10"/>
  <c r="AS1761" i="10" s="1"/>
  <c r="X1762" i="10"/>
  <c r="Y1762" i="10" s="1"/>
  <c r="AG1762" i="10"/>
  <c r="X1763" i="10"/>
  <c r="Y1763" i="10"/>
  <c r="AG1763" i="10"/>
  <c r="X1764" i="10"/>
  <c r="Y1764" i="10"/>
  <c r="AG1764" i="10"/>
  <c r="AX1764" i="10" s="1"/>
  <c r="X1765" i="10"/>
  <c r="Y1765" i="10"/>
  <c r="AG1765" i="10"/>
  <c r="X1766" i="10"/>
  <c r="Y1766" i="10" s="1"/>
  <c r="AG1766" i="10"/>
  <c r="X1767" i="10"/>
  <c r="Y1767" i="10"/>
  <c r="AG1767" i="10"/>
  <c r="X1768" i="10"/>
  <c r="Y1768" i="10" s="1"/>
  <c r="AG1768" i="10"/>
  <c r="AM1768" i="10" s="1"/>
  <c r="Y1769" i="10"/>
  <c r="AG1769" i="10"/>
  <c r="AR1769" i="10" s="1"/>
  <c r="X1770" i="10"/>
  <c r="Y1770" i="10"/>
  <c r="AG1770" i="10"/>
  <c r="X1771" i="10"/>
  <c r="Y1771" i="10"/>
  <c r="AG1771" i="10"/>
  <c r="X1772" i="10"/>
  <c r="Y1772" i="10" s="1"/>
  <c r="AG1772" i="10"/>
  <c r="X1773" i="10"/>
  <c r="Y1773" i="10" s="1"/>
  <c r="AG1773" i="10"/>
  <c r="AT1773" i="10" s="1"/>
  <c r="X1774" i="10"/>
  <c r="Y1774" i="10"/>
  <c r="AG1774" i="10"/>
  <c r="AX1774" i="10" s="1"/>
  <c r="Y1775" i="10"/>
  <c r="AG1775" i="10"/>
  <c r="X1776" i="10"/>
  <c r="Y1776" i="10" s="1"/>
  <c r="AG1776" i="10"/>
  <c r="X1777" i="10"/>
  <c r="Y1777" i="10"/>
  <c r="AG1777" i="10"/>
  <c r="X1778" i="10"/>
  <c r="Y1778" i="10" s="1"/>
  <c r="AG1778" i="10"/>
  <c r="X1779" i="10"/>
  <c r="Y1779" i="10" s="1"/>
  <c r="AG1779" i="10"/>
  <c r="AJ1779" i="10" s="1"/>
  <c r="X1780" i="10"/>
  <c r="Y1780" i="10" s="1"/>
  <c r="AG1780" i="10"/>
  <c r="X1781" i="10"/>
  <c r="Y1781" i="10" s="1"/>
  <c r="AG1781" i="10"/>
  <c r="P80" i="45" s="1"/>
  <c r="X1782" i="10"/>
  <c r="Y1782" i="10"/>
  <c r="AG1782" i="10"/>
  <c r="X1783" i="10"/>
  <c r="Y1783" i="10" s="1"/>
  <c r="AG1783" i="10"/>
  <c r="X1784" i="10"/>
  <c r="Y1784" i="10"/>
  <c r="AG1784" i="10"/>
  <c r="X1785" i="10"/>
  <c r="Y1785" i="10" s="1"/>
  <c r="AG1785" i="10"/>
  <c r="AJ1785" i="10" s="1"/>
  <c r="X1786" i="10"/>
  <c r="Y1786" i="10" s="1"/>
  <c r="AG1786" i="10"/>
  <c r="X1787" i="10"/>
  <c r="Y1787" i="10" s="1"/>
  <c r="AG1787" i="10"/>
  <c r="Y1788" i="10"/>
  <c r="AG1788" i="10"/>
  <c r="X1789" i="10"/>
  <c r="Y1789" i="10" s="1"/>
  <c r="AG1789" i="10"/>
  <c r="AW1789" i="10" s="1"/>
  <c r="X1790" i="10"/>
  <c r="Y1790" i="10" s="1"/>
  <c r="AG1790" i="10"/>
  <c r="X1791" i="10"/>
  <c r="Y1791" i="10"/>
  <c r="AG1791" i="10"/>
  <c r="X1792" i="10"/>
  <c r="Y1792" i="10" s="1"/>
  <c r="AG1792" i="10"/>
  <c r="X1793" i="10"/>
  <c r="Y1793" i="10" s="1"/>
  <c r="AG1793" i="10"/>
  <c r="X1794" i="10"/>
  <c r="Y1794" i="10"/>
  <c r="AG1794" i="10"/>
  <c r="AT1794" i="10" s="1"/>
  <c r="X1795" i="10"/>
  <c r="Y1795" i="10"/>
  <c r="AG1795" i="10"/>
  <c r="AQ1795" i="10" s="1"/>
  <c r="Y1796" i="10"/>
  <c r="AG1796" i="10"/>
  <c r="AO1796" i="10" s="1"/>
  <c r="Y1797" i="10"/>
  <c r="AG1797" i="10"/>
  <c r="X1798" i="10"/>
  <c r="Y1798" i="10" s="1"/>
  <c r="AG1798" i="10"/>
  <c r="X1799" i="10"/>
  <c r="Y1799" i="10" s="1"/>
  <c r="AG1799" i="10"/>
  <c r="X1800" i="10"/>
  <c r="Y1800" i="10"/>
  <c r="AG1800" i="10"/>
  <c r="Y1801" i="10"/>
  <c r="AG1801" i="10"/>
  <c r="Y1802" i="10"/>
  <c r="AG1802" i="10"/>
  <c r="AN1802" i="10" s="1"/>
  <c r="Y1803" i="10"/>
  <c r="AG1803" i="10"/>
  <c r="AJ1803" i="10" s="1"/>
  <c r="Y1804" i="10"/>
  <c r="AG1804" i="10"/>
  <c r="AK1804" i="10" s="1"/>
  <c r="X1805" i="10"/>
  <c r="Y1805" i="10" s="1"/>
  <c r="AG1805" i="10"/>
  <c r="AJ1805" i="10" s="1"/>
  <c r="X1806" i="10"/>
  <c r="Y1806" i="10" s="1"/>
  <c r="AG1806" i="10"/>
  <c r="Y1807" i="10"/>
  <c r="AG1807" i="10"/>
  <c r="X1808" i="10"/>
  <c r="Y1808" i="10"/>
  <c r="AG1808" i="10"/>
  <c r="Y1809" i="10"/>
  <c r="AG1809" i="10"/>
  <c r="X1810" i="10"/>
  <c r="Y1810" i="10"/>
  <c r="AG1810" i="10"/>
  <c r="Y1811" i="10"/>
  <c r="AG1811" i="10"/>
  <c r="X1812" i="10"/>
  <c r="Y1812" i="10"/>
  <c r="AG1812" i="10"/>
  <c r="X1813" i="10"/>
  <c r="Y1813" i="10"/>
  <c r="AG1813" i="10"/>
  <c r="AR1813" i="10" s="1"/>
  <c r="X1814" i="10"/>
  <c r="Y1814" i="10" s="1"/>
  <c r="AG1814" i="10"/>
  <c r="AT1814" i="10" s="1"/>
  <c r="X1815" i="10"/>
  <c r="Y1815" i="10" s="1"/>
  <c r="AG1815" i="10"/>
  <c r="AJ1815" i="10" s="1"/>
  <c r="X1816" i="10"/>
  <c r="Y1816" i="10" s="1"/>
  <c r="AG1816" i="10"/>
  <c r="X1817" i="10"/>
  <c r="Y1817" i="10"/>
  <c r="AG1817" i="10"/>
  <c r="X1818" i="10"/>
  <c r="Y1818" i="10" s="1"/>
  <c r="AG1818" i="10"/>
  <c r="X1819" i="10"/>
  <c r="Y1819" i="10" s="1"/>
  <c r="AG1819" i="10"/>
  <c r="AL1819" i="10" s="1"/>
  <c r="X1820" i="10"/>
  <c r="Y1820" i="10" s="1"/>
  <c r="AG1820" i="10"/>
  <c r="AK1820" i="10" s="1"/>
  <c r="X1821" i="10"/>
  <c r="Y1821" i="10" s="1"/>
  <c r="AG1821" i="10"/>
  <c r="AP1821" i="10" s="1"/>
  <c r="X1822" i="10"/>
  <c r="Y1822" i="10" s="1"/>
  <c r="AG1822" i="10"/>
  <c r="AR1822" i="10" s="1"/>
  <c r="X1823" i="10"/>
  <c r="Y1823" i="10"/>
  <c r="AG1823" i="10"/>
  <c r="AJ1823" i="10" s="1"/>
  <c r="X1824" i="10"/>
  <c r="Y1824" i="10"/>
  <c r="AG1824" i="10"/>
  <c r="AO1824" i="10" s="1"/>
  <c r="X1825" i="10"/>
  <c r="Y1825" i="10" s="1"/>
  <c r="AG1825" i="10"/>
  <c r="AN1825" i="10" s="1"/>
  <c r="X1826" i="10"/>
  <c r="Y1826" i="10"/>
  <c r="AG1826" i="10"/>
  <c r="X1827" i="10"/>
  <c r="Y1827" i="10" s="1"/>
  <c r="AG1827" i="10"/>
  <c r="X1828" i="10"/>
  <c r="Y1828" i="10" s="1"/>
  <c r="AG1828" i="10"/>
  <c r="X1829" i="10"/>
  <c r="Y1829" i="10"/>
  <c r="AG1829" i="10"/>
  <c r="Y1830" i="10"/>
  <c r="AG1830" i="10"/>
  <c r="Y1831" i="10"/>
  <c r="AG1831" i="10"/>
  <c r="X1832" i="10"/>
  <c r="Y1832" i="10" s="1"/>
  <c r="AG1832" i="10"/>
  <c r="Y1833" i="10"/>
  <c r="AG1833" i="10"/>
  <c r="X1834" i="10"/>
  <c r="Y1834" i="10"/>
  <c r="AG1834" i="10"/>
  <c r="X1835" i="10"/>
  <c r="Y1835" i="10" s="1"/>
  <c r="AG1835" i="10"/>
  <c r="AU1835" i="10" s="1"/>
  <c r="X1836" i="10"/>
  <c r="Y1836" i="10" s="1"/>
  <c r="AG1836" i="10"/>
  <c r="AN1836" i="10" s="1"/>
  <c r="X1837" i="10"/>
  <c r="Y1837" i="10" s="1"/>
  <c r="AG1837" i="10"/>
  <c r="Y1838" i="10"/>
  <c r="AG1838" i="10"/>
  <c r="X1839" i="10"/>
  <c r="Y1839" i="10"/>
  <c r="AG1839" i="10"/>
  <c r="AS1839" i="10" s="1"/>
  <c r="X1840" i="10"/>
  <c r="Y1840" i="10"/>
  <c r="AG1840" i="10"/>
  <c r="X1841" i="10"/>
  <c r="Y1841" i="10" s="1"/>
  <c r="AG1841" i="10"/>
  <c r="Y1842" i="10"/>
  <c r="AG1842" i="10"/>
  <c r="X1843" i="10"/>
  <c r="Y1843" i="10" s="1"/>
  <c r="AG1843" i="10"/>
  <c r="Y1844" i="10"/>
  <c r="AG1844" i="10"/>
  <c r="X1845" i="10"/>
  <c r="Y1845" i="10" s="1"/>
  <c r="AG1845" i="10"/>
  <c r="X1846" i="10"/>
  <c r="Y1846" i="10" s="1"/>
  <c r="AG1846" i="10"/>
  <c r="AQ1846" i="10" s="1"/>
  <c r="W1847" i="10"/>
  <c r="X1847" i="10"/>
  <c r="AG1847" i="10"/>
  <c r="AM1847" i="10" s="1"/>
  <c r="X1848" i="10"/>
  <c r="Y1848" i="10" s="1"/>
  <c r="AG1848" i="10"/>
  <c r="AP1848" i="10" s="1"/>
  <c r="Y1849" i="10"/>
  <c r="AG1849" i="10"/>
  <c r="X1850" i="10"/>
  <c r="Y1850" i="10"/>
  <c r="AG1850" i="10"/>
  <c r="X1851" i="10"/>
  <c r="Y1851" i="10" s="1"/>
  <c r="AG1851" i="10"/>
  <c r="X1852" i="10"/>
  <c r="Y1852" i="10" s="1"/>
  <c r="AG1852" i="10"/>
  <c r="AR1852" i="10" s="1"/>
  <c r="X1853" i="10"/>
  <c r="Y1853" i="10"/>
  <c r="AG1853" i="10"/>
  <c r="AO1853" i="10" s="1"/>
  <c r="Y1854" i="10"/>
  <c r="AG1854" i="10"/>
  <c r="AU1854" i="10" s="1"/>
  <c r="Y1855" i="10"/>
  <c r="AG1855" i="10"/>
  <c r="AX1855" i="10" s="1"/>
  <c r="X1856" i="10"/>
  <c r="Y1856" i="10"/>
  <c r="AG1856" i="10"/>
  <c r="X1857" i="10"/>
  <c r="Y1857" i="10" s="1"/>
  <c r="AG1857" i="10"/>
  <c r="AP1857" i="10" s="1"/>
  <c r="X1858" i="10"/>
  <c r="Y1858" i="10" s="1"/>
  <c r="AG1858" i="10"/>
  <c r="AO1858" i="10" s="1"/>
  <c r="Y1859" i="10"/>
  <c r="AG1859" i="10"/>
  <c r="AW1859" i="10" s="1"/>
  <c r="X1860" i="10"/>
  <c r="Y1860" i="10"/>
  <c r="AG1860" i="10"/>
  <c r="AK1861" i="10"/>
  <c r="AL1861" i="10"/>
  <c r="AM1861" i="10"/>
  <c r="AN1861" i="10"/>
  <c r="AO1861" i="10"/>
  <c r="AP1861" i="10"/>
  <c r="AQ1861" i="10"/>
  <c r="AR1861" i="10"/>
  <c r="AS1861" i="10"/>
  <c r="AT1861" i="10"/>
  <c r="AU1861" i="10"/>
  <c r="AV1861" i="10"/>
  <c r="X1862" i="10"/>
  <c r="Y1862" i="10" s="1"/>
  <c r="AG1862" i="10"/>
  <c r="X1863" i="10"/>
  <c r="Y1863" i="10" s="1"/>
  <c r="AG1863" i="10"/>
  <c r="AR1863" i="10" s="1"/>
  <c r="Y1864" i="10"/>
  <c r="AG1864" i="10"/>
  <c r="AV1864" i="10" s="1"/>
  <c r="X1865" i="10"/>
  <c r="Y1865" i="10" s="1"/>
  <c r="AG1865" i="10"/>
  <c r="AJ1865" i="10" s="1"/>
  <c r="Y1866" i="10"/>
  <c r="AG1866" i="10"/>
  <c r="AR1866" i="10" s="1"/>
  <c r="X1867" i="10"/>
  <c r="Y1867" i="10" s="1"/>
  <c r="AG1867" i="10"/>
  <c r="X1868" i="10"/>
  <c r="Y1868" i="10" s="1"/>
  <c r="AG1868" i="10"/>
  <c r="X1869" i="10"/>
  <c r="Y1869" i="10" s="1"/>
  <c r="AG1869" i="10"/>
  <c r="X1870" i="10"/>
  <c r="Y1870" i="10" s="1"/>
  <c r="AG1870" i="10"/>
  <c r="AJ1870" i="10" s="1"/>
  <c r="X1871" i="10"/>
  <c r="Y1871" i="10" s="1"/>
  <c r="AG1871" i="10"/>
  <c r="AR1871" i="10" s="1"/>
  <c r="X1872" i="10"/>
  <c r="Y1872" i="10" s="1"/>
  <c r="AG1872" i="10"/>
  <c r="X1873" i="10"/>
  <c r="Y1873" i="10" s="1"/>
  <c r="AG1873" i="10"/>
  <c r="X1874" i="10"/>
  <c r="Y1874" i="10" s="1"/>
  <c r="AG1874" i="10"/>
  <c r="AK1874" i="10" s="1"/>
  <c r="X1875" i="10"/>
  <c r="Y1875" i="10" s="1"/>
  <c r="AG1875" i="10"/>
  <c r="AQ1875" i="10" s="1"/>
  <c r="X1876" i="10"/>
  <c r="Y1876" i="10"/>
  <c r="AG1876" i="10"/>
  <c r="Y1878" i="10"/>
  <c r="AG1878" i="10"/>
  <c r="AU1878" i="10" s="1"/>
  <c r="X1877" i="10"/>
  <c r="Y1877" i="10" s="1"/>
  <c r="AG1877" i="10"/>
  <c r="X1879" i="10"/>
  <c r="Y1879" i="10" s="1"/>
  <c r="AG1879" i="10"/>
  <c r="AQ1879" i="10" s="1"/>
  <c r="X1880" i="10"/>
  <c r="Y1880" i="10"/>
  <c r="AG1880" i="10"/>
  <c r="X1881" i="10"/>
  <c r="Y1881" i="10"/>
  <c r="AG1881" i="10"/>
  <c r="AV1881" i="10" s="1"/>
  <c r="Y1882" i="10"/>
  <c r="AG1882" i="10"/>
  <c r="Y1883" i="10"/>
  <c r="AG1883" i="10"/>
  <c r="Y1884" i="10"/>
  <c r="AG1884" i="10"/>
  <c r="Y1885" i="10"/>
  <c r="AG1885" i="10"/>
  <c r="AP1885" i="10" s="1"/>
  <c r="X1886" i="10"/>
  <c r="Y1886" i="10" s="1"/>
  <c r="AG1886" i="10"/>
  <c r="X1887" i="10"/>
  <c r="Y1887" i="10" s="1"/>
  <c r="AG1887" i="10"/>
  <c r="AW1887" i="10" s="1"/>
  <c r="Y1888" i="10"/>
  <c r="AG1888" i="10"/>
  <c r="X1889" i="10"/>
  <c r="Y1889" i="10" s="1"/>
  <c r="AG1889" i="10"/>
  <c r="X1890" i="10"/>
  <c r="Y1890" i="10" s="1"/>
  <c r="AG1890" i="10"/>
  <c r="X1891" i="10"/>
  <c r="Y1891" i="10"/>
  <c r="AG1891" i="10"/>
  <c r="AQ1891" i="10" s="1"/>
  <c r="X1892" i="10"/>
  <c r="Y1892" i="10" s="1"/>
  <c r="AG1892" i="10"/>
  <c r="X1893" i="10"/>
  <c r="Y1893" i="10" s="1"/>
  <c r="AG1893" i="10"/>
  <c r="AW1893" i="10" s="1"/>
  <c r="X1894" i="10"/>
  <c r="Y1894" i="10"/>
  <c r="AG1894" i="10"/>
  <c r="X1895" i="10"/>
  <c r="Y1895" i="10" s="1"/>
  <c r="AG1895" i="10"/>
  <c r="AJ1895" i="10" s="1"/>
  <c r="Y1896" i="10"/>
  <c r="AG1896" i="10"/>
  <c r="AO1896" i="10" s="1"/>
  <c r="Y1897" i="10"/>
  <c r="AG1897" i="10"/>
  <c r="Y1898" i="10"/>
  <c r="AG1898" i="10"/>
  <c r="AK1898" i="10" s="1"/>
  <c r="Y1899" i="10"/>
  <c r="AG1899" i="10"/>
  <c r="X1900" i="10"/>
  <c r="Y1900" i="10" s="1"/>
  <c r="AG1900" i="10"/>
  <c r="AK1900" i="10" s="1"/>
  <c r="X1901" i="10"/>
  <c r="Y1901" i="10" s="1"/>
  <c r="AG1901" i="10"/>
  <c r="AX1901" i="10" s="1"/>
  <c r="X1902" i="10"/>
  <c r="Y1902" i="10" s="1"/>
  <c r="AG1902" i="10"/>
  <c r="AT1902" i="10" s="1"/>
  <c r="X1903" i="10"/>
  <c r="Y1903" i="10" s="1"/>
  <c r="AG1903" i="10"/>
  <c r="Y1904" i="10"/>
  <c r="AG1904" i="10"/>
  <c r="X1905" i="10"/>
  <c r="Y1905" i="10" s="1"/>
  <c r="AG1905" i="10"/>
  <c r="X1906" i="10"/>
  <c r="Y1906" i="10"/>
  <c r="AG1906" i="10"/>
  <c r="X1907" i="10"/>
  <c r="Y1907" i="10"/>
  <c r="AG1907" i="10"/>
  <c r="X1908" i="10"/>
  <c r="Y1908" i="10"/>
  <c r="AG1908" i="10"/>
  <c r="AN1908" i="10" s="1"/>
  <c r="X1909" i="10"/>
  <c r="Y1909" i="10" s="1"/>
  <c r="AG1909" i="10"/>
  <c r="X1910" i="10"/>
  <c r="Y1910" i="10"/>
  <c r="AG1910" i="10"/>
  <c r="Y1911" i="10"/>
  <c r="AG1911" i="10"/>
  <c r="AJ1911" i="10" s="1"/>
  <c r="Y1912" i="10"/>
  <c r="AG1912" i="10"/>
  <c r="AR1912" i="10" s="1"/>
  <c r="Y1913" i="10"/>
  <c r="AG1913" i="10"/>
  <c r="AW1913" i="10" s="1"/>
  <c r="Y1914" i="10"/>
  <c r="AG1914" i="10"/>
  <c r="Y1915" i="10"/>
  <c r="AG1915" i="10"/>
  <c r="Y1916" i="10"/>
  <c r="AG1916" i="10"/>
  <c r="AL1916" i="10" s="1"/>
  <c r="Y1917" i="10"/>
  <c r="AG1917" i="10"/>
  <c r="AW1917" i="10" s="1"/>
  <c r="X1918" i="10"/>
  <c r="Y1918" i="10"/>
  <c r="AG1918" i="10"/>
  <c r="AL1918" i="10" s="1"/>
  <c r="Y1919" i="10"/>
  <c r="AG1919" i="10"/>
  <c r="X1920" i="10"/>
  <c r="Y1920" i="10" s="1"/>
  <c r="AG1920" i="10"/>
  <c r="X1921" i="10"/>
  <c r="Y1921" i="10" s="1"/>
  <c r="AG1921" i="10"/>
  <c r="Y1922" i="10"/>
  <c r="AG1922" i="10"/>
  <c r="AJ1922" i="10" s="1"/>
  <c r="Y1923" i="10"/>
  <c r="AG1923" i="10"/>
  <c r="X1924" i="10"/>
  <c r="AG1924" i="10"/>
  <c r="AS1924" i="10" s="1"/>
  <c r="X1925" i="10"/>
  <c r="Y1925" i="10" s="1"/>
  <c r="AG1925" i="10"/>
  <c r="X1926" i="10"/>
  <c r="Y1926" i="10"/>
  <c r="AG1926" i="10"/>
  <c r="AX1926" i="10" s="1"/>
  <c r="Y1927" i="10"/>
  <c r="AG1927" i="10"/>
  <c r="AO1927" i="10" s="1"/>
  <c r="X1928" i="10"/>
  <c r="Y1928" i="10"/>
  <c r="AG1928" i="10"/>
  <c r="AL1928" i="10" s="1"/>
  <c r="X1929" i="10"/>
  <c r="Y1929" i="10"/>
  <c r="AG1929" i="10"/>
  <c r="Y1930" i="10"/>
  <c r="AG1930" i="10"/>
  <c r="Y1931" i="10"/>
  <c r="AG1931" i="10"/>
  <c r="X1932" i="10"/>
  <c r="Y1932" i="10" s="1"/>
  <c r="AG1932" i="10"/>
  <c r="X1933" i="10"/>
  <c r="Y1933" i="10" s="1"/>
  <c r="AG1933" i="10"/>
  <c r="Y1934" i="10"/>
  <c r="AG1934" i="10"/>
  <c r="AT1934" i="10" s="1"/>
  <c r="X1935" i="10"/>
  <c r="Y1935" i="10"/>
  <c r="AG1935" i="10"/>
  <c r="AU1935" i="10" s="1"/>
  <c r="X1936" i="10"/>
  <c r="Y1936" i="10"/>
  <c r="AG1936" i="10"/>
  <c r="AJ1936" i="10" s="1"/>
  <c r="X1937" i="10"/>
  <c r="Y1937" i="10"/>
  <c r="AG1937" i="10"/>
  <c r="X1938" i="10"/>
  <c r="Y1938" i="10"/>
  <c r="AG1938" i="10"/>
  <c r="AT1938" i="10" s="1"/>
  <c r="X1939" i="10"/>
  <c r="Y1939" i="10" s="1"/>
  <c r="AG1939" i="10"/>
  <c r="AG1940" i="10"/>
  <c r="Y1941" i="10"/>
  <c r="AG1941" i="10"/>
  <c r="X1942" i="10"/>
  <c r="Y1942" i="10"/>
  <c r="AG1942" i="10"/>
  <c r="X1943" i="10"/>
  <c r="Y1943" i="10" s="1"/>
  <c r="AG1943" i="10"/>
  <c r="AK1943" i="10" s="1"/>
  <c r="AG1944" i="10"/>
  <c r="AJ1944" i="10" s="1"/>
  <c r="X1945" i="10"/>
  <c r="Y1945" i="10"/>
  <c r="AG1945" i="10"/>
  <c r="AN1945" i="10" s="1"/>
  <c r="Y1946" i="10"/>
  <c r="AG1946" i="10"/>
  <c r="AL1946" i="10" s="1"/>
  <c r="Y1947" i="10"/>
  <c r="AG1947" i="10"/>
  <c r="X1948" i="10"/>
  <c r="Y1948" i="10"/>
  <c r="AG1948" i="10"/>
  <c r="Y1949" i="10"/>
  <c r="AG1949" i="10"/>
  <c r="X1950" i="10"/>
  <c r="Y1950" i="10" s="1"/>
  <c r="AG1950" i="10"/>
  <c r="X1951" i="10"/>
  <c r="Y1951" i="10" s="1"/>
  <c r="AG1951" i="10"/>
  <c r="X1952" i="10"/>
  <c r="Y1952" i="10" s="1"/>
  <c r="AG1952" i="10"/>
  <c r="X1953" i="10"/>
  <c r="Y1953" i="10"/>
  <c r="AG1953" i="10"/>
  <c r="AU1953" i="10" s="1"/>
  <c r="X1954" i="10"/>
  <c r="Y1954" i="10" s="1"/>
  <c r="AG1954" i="10"/>
  <c r="X1955" i="10"/>
  <c r="Y1955" i="10" s="1"/>
  <c r="AG1955" i="10"/>
  <c r="X1956" i="10"/>
  <c r="Y1956" i="10"/>
  <c r="AG1956" i="10"/>
  <c r="X1957" i="10"/>
  <c r="Y1957" i="10" s="1"/>
  <c r="AG1957" i="10"/>
  <c r="AJ1957" i="10" s="1"/>
  <c r="AG1958" i="10"/>
  <c r="AX1958" i="10" s="1"/>
  <c r="Y1959" i="10"/>
  <c r="AG1959" i="10"/>
  <c r="AG1960" i="10"/>
  <c r="AG1961" i="10"/>
  <c r="AQ1961" i="10" s="1"/>
  <c r="Y1962" i="10"/>
  <c r="AG1962" i="10"/>
  <c r="AT1962" i="10" s="1"/>
  <c r="AG1963" i="10"/>
  <c r="Y1964" i="10"/>
  <c r="AG1964" i="10"/>
  <c r="AL1964" i="10" s="1"/>
  <c r="X1965" i="10"/>
  <c r="Y1965" i="10"/>
  <c r="AG1965" i="10"/>
  <c r="AM1965" i="10" s="1"/>
  <c r="X1966" i="10"/>
  <c r="Y1966" i="10"/>
  <c r="AG1966" i="10"/>
  <c r="X1967" i="10"/>
  <c r="Y1967" i="10" s="1"/>
  <c r="AG1967" i="10"/>
  <c r="X1968" i="10"/>
  <c r="Y1968" i="10" s="1"/>
  <c r="AG1968" i="10"/>
  <c r="X1969" i="10"/>
  <c r="Y1969" i="10" s="1"/>
  <c r="AG1969" i="10"/>
  <c r="AP1969" i="10" s="1"/>
  <c r="X1970" i="10"/>
  <c r="Y1970" i="10" s="1"/>
  <c r="AG1970" i="10"/>
  <c r="AN1970" i="10" s="1"/>
  <c r="X1971" i="10"/>
  <c r="Y1971" i="10" s="1"/>
  <c r="AG1971" i="10"/>
  <c r="AK1971" i="10" s="1"/>
  <c r="Y1972" i="10"/>
  <c r="AG1972" i="10"/>
  <c r="X1973" i="10"/>
  <c r="Y1973" i="10" s="1"/>
  <c r="AG1973" i="10"/>
  <c r="X1974" i="10"/>
  <c r="Y1974" i="10" s="1"/>
  <c r="AG1974" i="10"/>
  <c r="X1975" i="10"/>
  <c r="Y1975" i="10" s="1"/>
  <c r="AG1975" i="10"/>
  <c r="X1976" i="10"/>
  <c r="Y1976" i="10" s="1"/>
  <c r="AG1976" i="10"/>
  <c r="AG1977" i="10"/>
  <c r="Y1978" i="10"/>
  <c r="AG1978" i="10"/>
  <c r="AG1979" i="10"/>
  <c r="X1980" i="10"/>
  <c r="Y1980" i="10" s="1"/>
  <c r="AG1980" i="10"/>
  <c r="AP1980" i="10" s="1"/>
  <c r="X1981" i="10"/>
  <c r="Y1981" i="10" s="1"/>
  <c r="AG1981" i="10"/>
  <c r="X1982" i="10"/>
  <c r="Y1982" i="10" s="1"/>
  <c r="AG1982" i="10"/>
  <c r="Y1983" i="10"/>
  <c r="AG1983" i="10"/>
  <c r="AG1984" i="10"/>
  <c r="AP1984" i="10" s="1"/>
  <c r="X1985" i="10"/>
  <c r="Y1985" i="10" s="1"/>
  <c r="AG1985" i="10"/>
  <c r="Y1986" i="10"/>
  <c r="AG1986" i="10"/>
  <c r="Y1987" i="10"/>
  <c r="AG1987" i="10"/>
  <c r="X1988" i="10"/>
  <c r="Y1988" i="10" s="1"/>
  <c r="AG1988" i="10"/>
  <c r="X1989" i="10"/>
  <c r="Y1989" i="10" s="1"/>
  <c r="AG1989" i="10"/>
  <c r="AS1989" i="10" s="1"/>
  <c r="X1990" i="10"/>
  <c r="Y1990" i="10" s="1"/>
  <c r="AG1990" i="10"/>
  <c r="X1991" i="10"/>
  <c r="Y1991" i="10" s="1"/>
  <c r="AG1991" i="10"/>
  <c r="AP1991" i="10" s="1"/>
  <c r="X1992" i="10"/>
  <c r="Y1992" i="10" s="1"/>
  <c r="AG1992" i="10"/>
  <c r="AN1992" i="10" s="1"/>
  <c r="Y1993" i="10"/>
  <c r="AG1993" i="10"/>
  <c r="AJ1993" i="10" s="1"/>
  <c r="Y1994" i="10"/>
  <c r="AG1994" i="10"/>
  <c r="X1995" i="10"/>
  <c r="Y1995" i="10" s="1"/>
  <c r="AG1995" i="10"/>
  <c r="W1996" i="10"/>
  <c r="X1996" i="10"/>
  <c r="AG1996" i="10"/>
  <c r="X1997" i="10"/>
  <c r="Y1997" i="10"/>
  <c r="AG1997" i="10"/>
  <c r="AM1997" i="10" s="1"/>
  <c r="X1998" i="10"/>
  <c r="Y1998" i="10"/>
  <c r="AG1998" i="10"/>
  <c r="Y1999" i="10"/>
  <c r="AG1999" i="10"/>
  <c r="X2000" i="10"/>
  <c r="Y2000" i="10" s="1"/>
  <c r="AG2000" i="10"/>
  <c r="AM2000" i="10" s="1"/>
  <c r="AG2001" i="10"/>
  <c r="W2002" i="10"/>
  <c r="X2002" i="10"/>
  <c r="AG2002" i="10"/>
  <c r="X2003" i="10"/>
  <c r="Y2003" i="10" s="1"/>
  <c r="AG2003" i="10"/>
  <c r="AN2003" i="10" s="1"/>
  <c r="X2004" i="10"/>
  <c r="Y2004" i="10"/>
  <c r="AG2004" i="10"/>
  <c r="AN2004" i="10" s="1"/>
  <c r="AG2005" i="10"/>
  <c r="X2006" i="10"/>
  <c r="Y2006" i="10" s="1"/>
  <c r="AG2006" i="10"/>
  <c r="AG2007" i="10"/>
  <c r="AG2008" i="10"/>
  <c r="AO2008" i="10" s="1"/>
  <c r="X2009" i="10"/>
  <c r="Y2009" i="10" s="1"/>
  <c r="AG2009" i="10"/>
  <c r="AR2009" i="10" s="1"/>
  <c r="X2010" i="10"/>
  <c r="Y2010" i="10" s="1"/>
  <c r="AG2010" i="10"/>
  <c r="X2011" i="10"/>
  <c r="Y2011" i="10" s="1"/>
  <c r="AG2011" i="10"/>
  <c r="AV2011" i="10" s="1"/>
  <c r="AG2012" i="10"/>
  <c r="AG2013" i="10"/>
  <c r="X2014" i="10"/>
  <c r="Y2014" i="10" s="1"/>
  <c r="AG2014" i="10"/>
  <c r="Y2015" i="10"/>
  <c r="AG2015" i="10"/>
  <c r="AO2015" i="10" s="1"/>
  <c r="W2016" i="10"/>
  <c r="X2016" i="10"/>
  <c r="AG2016" i="10"/>
  <c r="AW2016" i="10" s="1"/>
  <c r="X2017" i="10"/>
  <c r="Y2017" i="10" s="1"/>
  <c r="AG2017" i="10"/>
  <c r="AS2017" i="10" s="1"/>
  <c r="X2018" i="10"/>
  <c r="Y2018" i="10" s="1"/>
  <c r="AG2018" i="10"/>
  <c r="AL2018" i="10" s="1"/>
  <c r="AG2019" i="10"/>
  <c r="X2020" i="10"/>
  <c r="Y2020" i="10" s="1"/>
  <c r="AG2020" i="10"/>
  <c r="X2021" i="10"/>
  <c r="Y2021" i="10"/>
  <c r="AG2021" i="10"/>
  <c r="AS2021" i="10" s="1"/>
  <c r="X2022" i="10"/>
  <c r="Y2022" i="10"/>
  <c r="AG2022" i="10"/>
  <c r="AK2022" i="10" s="1"/>
  <c r="X2023" i="10"/>
  <c r="Y2023" i="10" s="1"/>
  <c r="AG2023" i="10"/>
  <c r="Y2024" i="10"/>
  <c r="AG2024" i="10"/>
  <c r="X2025" i="10"/>
  <c r="Y2025" i="10" s="1"/>
  <c r="AG2025" i="10"/>
  <c r="AW2025" i="10" s="1"/>
  <c r="X2026" i="10"/>
  <c r="Y2026" i="10" s="1"/>
  <c r="AG2026" i="10"/>
  <c r="AJ2026" i="10" s="1"/>
  <c r="X2027" i="10"/>
  <c r="Y2027" i="10" s="1"/>
  <c r="AG2027" i="10"/>
  <c r="AU2027" i="10" s="1"/>
  <c r="X2028" i="10"/>
  <c r="Y2028" i="10"/>
  <c r="AG2028" i="10"/>
  <c r="X2029" i="10"/>
  <c r="Y2029" i="10" s="1"/>
  <c r="AG2029" i="10"/>
  <c r="X2030" i="10"/>
  <c r="Y2030" i="10" s="1"/>
  <c r="AG2030" i="10"/>
  <c r="AL2030" i="10" s="1"/>
  <c r="X2031" i="10"/>
  <c r="Y2031" i="10" s="1"/>
  <c r="AG2031" i="10"/>
  <c r="X2032" i="10"/>
  <c r="Y2032" i="10" s="1"/>
  <c r="AG2032" i="10"/>
  <c r="X2033" i="10"/>
  <c r="Y2033" i="10" s="1"/>
  <c r="AG2033" i="10"/>
  <c r="AR2033" i="10" s="1"/>
  <c r="X2034" i="10"/>
  <c r="Y2034" i="10" s="1"/>
  <c r="AG2034" i="10"/>
  <c r="Y2035" i="10"/>
  <c r="AK2035" i="10"/>
  <c r="AL2035" i="10"/>
  <c r="AM2035" i="10"/>
  <c r="AN2035" i="10"/>
  <c r="AO2035" i="10"/>
  <c r="AP2035" i="10"/>
  <c r="AQ2035" i="10"/>
  <c r="AR2035" i="10"/>
  <c r="AS2035" i="10"/>
  <c r="AT2035" i="10"/>
  <c r="AU2035" i="10"/>
  <c r="AV2035" i="10"/>
  <c r="X2036" i="10"/>
  <c r="Y2036" i="10" s="1"/>
  <c r="AK2036" i="10"/>
  <c r="AL2036" i="10"/>
  <c r="AM2036" i="10"/>
  <c r="AN2036" i="10"/>
  <c r="AO2036" i="10"/>
  <c r="AP2036" i="10"/>
  <c r="AQ2036" i="10"/>
  <c r="AR2036" i="10"/>
  <c r="AS2036" i="10"/>
  <c r="AT2036" i="10"/>
  <c r="AU2036" i="10"/>
  <c r="AV2036" i="10"/>
  <c r="X2037" i="10"/>
  <c r="Y2037" i="10" s="1"/>
  <c r="AG2037" i="10"/>
  <c r="AX2037" i="10" s="1"/>
  <c r="AK2038" i="10"/>
  <c r="AL2038" i="10"/>
  <c r="AM2038" i="10"/>
  <c r="AN2038" i="10"/>
  <c r="AO2038" i="10"/>
  <c r="AP2038" i="10"/>
  <c r="AQ2038" i="10"/>
  <c r="AR2038" i="10"/>
  <c r="AS2038" i="10"/>
  <c r="AT2038" i="10"/>
  <c r="AU2038" i="10"/>
  <c r="AV2038" i="10"/>
  <c r="X2039" i="10"/>
  <c r="Y2039" i="10"/>
  <c r="AG2039" i="10"/>
  <c r="X2040" i="10"/>
  <c r="Y2040" i="10" s="1"/>
  <c r="AG2040" i="10"/>
  <c r="X2041" i="10"/>
  <c r="Y2041" i="10" s="1"/>
  <c r="AG2041" i="10"/>
  <c r="X2042" i="10"/>
  <c r="Y2042" i="10"/>
  <c r="AG2042" i="10"/>
  <c r="X2043" i="10"/>
  <c r="Y2043" i="10" s="1"/>
  <c r="AG2043" i="10"/>
  <c r="AK2044" i="10"/>
  <c r="AL2044" i="10"/>
  <c r="AM2044" i="10"/>
  <c r="AN2044" i="10"/>
  <c r="AO2044" i="10"/>
  <c r="AP2044" i="10"/>
  <c r="AQ2044" i="10"/>
  <c r="AR2044" i="10"/>
  <c r="AS2044" i="10"/>
  <c r="AT2044" i="10"/>
  <c r="AU2044" i="10"/>
  <c r="AV2044" i="10"/>
  <c r="X2045" i="10"/>
  <c r="Y2045" i="10"/>
  <c r="AG2045" i="10"/>
  <c r="X2046" i="10"/>
  <c r="Y2046" i="10" s="1"/>
  <c r="AG2046" i="10"/>
  <c r="X2047" i="10"/>
  <c r="Y2047" i="10" s="1"/>
  <c r="AG2047" i="10"/>
  <c r="X2048" i="10"/>
  <c r="Y2048" i="10" s="1"/>
  <c r="AG2048" i="10"/>
  <c r="AP2048" i="10" s="1"/>
  <c r="X2049" i="10"/>
  <c r="Y2049" i="10" s="1"/>
  <c r="AG2049" i="10"/>
  <c r="X2050" i="10"/>
  <c r="Y2050" i="10" s="1"/>
  <c r="AG2050" i="10"/>
  <c r="AJ2050" i="10" s="1"/>
  <c r="X2051" i="10"/>
  <c r="Y2051" i="10" s="1"/>
  <c r="AG2051" i="10"/>
  <c r="AR2051" i="10" s="1"/>
  <c r="AG2052" i="10"/>
  <c r="AG2053" i="10"/>
  <c r="AK2053" i="10" s="1"/>
  <c r="AG2054" i="10"/>
  <c r="AG2055" i="10"/>
  <c r="Y2056" i="10"/>
  <c r="AG2056" i="10"/>
  <c r="AQ2056" i="10" s="1"/>
  <c r="AG2057" i="10"/>
  <c r="X2058" i="10"/>
  <c r="Y2058" i="10" s="1"/>
  <c r="AG2058" i="10"/>
  <c r="AV2058" i="10" s="1"/>
  <c r="X2059" i="10"/>
  <c r="Y2059" i="10" s="1"/>
  <c r="AG2059" i="10"/>
  <c r="X2060" i="10"/>
  <c r="Y2060" i="10" s="1"/>
  <c r="AG2060" i="10"/>
  <c r="X2062" i="10"/>
  <c r="Y2062" i="10" s="1"/>
  <c r="AG2062" i="10"/>
  <c r="AN2062" i="10" s="1"/>
  <c r="Y2061" i="10"/>
  <c r="AG2061" i="10"/>
  <c r="AR2061" i="10" s="1"/>
  <c r="Y2063" i="10"/>
  <c r="AG2063" i="10"/>
  <c r="AR2063" i="10" s="1"/>
  <c r="X2064" i="10"/>
  <c r="Y2064" i="10" s="1"/>
  <c r="AG2064" i="10"/>
  <c r="Y2065" i="10"/>
  <c r="AG2065" i="10"/>
  <c r="X2066" i="10"/>
  <c r="Y2066" i="10" s="1"/>
  <c r="AG2066" i="10"/>
  <c r="AR2066" i="10" s="1"/>
  <c r="X2067" i="10"/>
  <c r="Y2067" i="10" s="1"/>
  <c r="AG2067" i="10"/>
  <c r="AT2067" i="10" s="1"/>
  <c r="X2068" i="10"/>
  <c r="Y2068" i="10" s="1"/>
  <c r="AG2068" i="10"/>
  <c r="X2069" i="10"/>
  <c r="Y2069" i="10" s="1"/>
  <c r="AG2069" i="10"/>
  <c r="X2070" i="10"/>
  <c r="Y2070" i="10" s="1"/>
  <c r="AG2070" i="10"/>
  <c r="AX2070" i="10" s="1"/>
  <c r="X2071" i="10"/>
  <c r="Y2071" i="10" s="1"/>
  <c r="AG2071" i="10"/>
  <c r="AW2071" i="10" s="1"/>
  <c r="Y2072" i="10"/>
  <c r="AG2072" i="10"/>
  <c r="X2073" i="10"/>
  <c r="Y2073" i="10"/>
  <c r="AG2073" i="10"/>
  <c r="X2074" i="10"/>
  <c r="Y2074" i="10"/>
  <c r="AG2074" i="10"/>
  <c r="X2075" i="10"/>
  <c r="Y2075" i="10" s="1"/>
  <c r="AG2075" i="10"/>
  <c r="X2076" i="10"/>
  <c r="Y2076" i="10" s="1"/>
  <c r="AG2076" i="10"/>
  <c r="AG2077" i="10"/>
  <c r="AJ2077" i="10" s="1"/>
  <c r="Y2078" i="10"/>
  <c r="AG2078" i="10"/>
  <c r="Y2079" i="10"/>
  <c r="AG2079" i="10"/>
  <c r="X2080" i="10"/>
  <c r="Y2080" i="10" s="1"/>
  <c r="AG2080" i="10"/>
  <c r="AS2080" i="10" s="1"/>
  <c r="AG2081" i="10"/>
  <c r="X2082" i="10"/>
  <c r="Y2082" i="10" s="1"/>
  <c r="AG2082" i="10"/>
  <c r="X2083" i="10"/>
  <c r="Y2083" i="10" s="1"/>
  <c r="AG2083" i="10"/>
  <c r="Y2084" i="10"/>
  <c r="AG2084" i="10"/>
  <c r="X2085" i="10"/>
  <c r="Y2085" i="10" s="1"/>
  <c r="AG2085" i="10"/>
  <c r="AQ2085" i="10" s="1"/>
  <c r="Y2086" i="10"/>
  <c r="AG2086" i="10"/>
  <c r="AR2086" i="10" s="1"/>
  <c r="X2087" i="10"/>
  <c r="Y2087" i="10"/>
  <c r="AG2087" i="10"/>
  <c r="X2088" i="10"/>
  <c r="Y2088" i="10"/>
  <c r="AG2088" i="10"/>
  <c r="X2089" i="10"/>
  <c r="Y2089" i="10" s="1"/>
  <c r="AG2089" i="10"/>
  <c r="AW2089" i="10" s="1"/>
  <c r="X2090" i="10"/>
  <c r="Y2090" i="10"/>
  <c r="AG2090" i="10"/>
  <c r="X2091" i="10"/>
  <c r="Y2091" i="10" s="1"/>
  <c r="AG2091" i="10"/>
  <c r="X2092" i="10"/>
  <c r="Y2092" i="10" s="1"/>
  <c r="AG2092" i="10"/>
  <c r="X2093" i="10"/>
  <c r="Y2093" i="10" s="1"/>
  <c r="AG2093" i="10"/>
  <c r="AJ2093" i="10" s="1"/>
  <c r="X2094" i="10"/>
  <c r="Y2094" i="10" s="1"/>
  <c r="AG2094" i="10"/>
  <c r="AR2094" i="10" s="1"/>
  <c r="X2095" i="10"/>
  <c r="Y2095" i="10" s="1"/>
  <c r="AG2095" i="10"/>
  <c r="X2096" i="10"/>
  <c r="Y2096" i="10" s="1"/>
  <c r="AG2096" i="10"/>
  <c r="AQ2096" i="10" s="1"/>
  <c r="X2097" i="10"/>
  <c r="Y2097" i="10" s="1"/>
  <c r="AG2097" i="10"/>
  <c r="X2098" i="10"/>
  <c r="Y2098" i="10" s="1"/>
  <c r="AG2098" i="10"/>
  <c r="AO2098" i="10" s="1"/>
  <c r="X2099" i="10"/>
  <c r="Y2099" i="10"/>
  <c r="AG2099" i="10"/>
  <c r="X2100" i="10"/>
  <c r="Y2100" i="10" s="1"/>
  <c r="AG2100" i="10"/>
  <c r="AG2101" i="10"/>
  <c r="AX2101" i="10" s="1"/>
  <c r="X2102" i="10"/>
  <c r="Y2102" i="10"/>
  <c r="AG2102" i="10"/>
  <c r="AG2103" i="10"/>
  <c r="X2104" i="10"/>
  <c r="Y2104" i="10" s="1"/>
  <c r="AG2104" i="10"/>
  <c r="AG2105" i="10"/>
  <c r="X2106" i="10"/>
  <c r="Y2106" i="10" s="1"/>
  <c r="AG2106" i="10"/>
  <c r="X2107" i="10"/>
  <c r="Y2107" i="10"/>
  <c r="AG2107" i="10"/>
  <c r="AL2107" i="10" s="1"/>
  <c r="AG2108" i="10"/>
  <c r="AX2108" i="10" s="1"/>
  <c r="X2109" i="10"/>
  <c r="Y2109" i="10" s="1"/>
  <c r="AG2109" i="10"/>
  <c r="X2110" i="10"/>
  <c r="Y2110" i="10"/>
  <c r="AG2110" i="10"/>
  <c r="AK2110" i="10" s="1"/>
  <c r="X2111" i="10"/>
  <c r="Y2111" i="10"/>
  <c r="AG2111" i="10"/>
  <c r="X2112" i="10"/>
  <c r="Y2112" i="10" s="1"/>
  <c r="AG2112" i="10"/>
  <c r="AX2112" i="10" s="1"/>
  <c r="Y2113" i="10"/>
  <c r="AG2113" i="10"/>
  <c r="X2114" i="10"/>
  <c r="Y2114" i="10" s="1"/>
  <c r="AG2114" i="10"/>
  <c r="X2115" i="10"/>
  <c r="Y2115" i="10" s="1"/>
  <c r="AG2115" i="10"/>
  <c r="AJ2115" i="10" s="1"/>
  <c r="X2116" i="10"/>
  <c r="Y2116" i="10" s="1"/>
  <c r="AG2116" i="10"/>
  <c r="X2117" i="10"/>
  <c r="Y2117" i="10" s="1"/>
  <c r="AG2117" i="10"/>
  <c r="AQ2117" i="10" s="1"/>
  <c r="X2118" i="10"/>
  <c r="Y2118" i="10" s="1"/>
  <c r="AG2118" i="10"/>
  <c r="AX2118" i="10" s="1"/>
  <c r="Y2119" i="10"/>
  <c r="AG2119" i="10"/>
  <c r="X2120" i="10"/>
  <c r="Y2120" i="10"/>
  <c r="AG2120" i="10"/>
  <c r="AX2120" i="10" s="1"/>
  <c r="AG2121" i="10"/>
  <c r="AG2122" i="10"/>
  <c r="AS2122" i="10" s="1"/>
  <c r="AG2123" i="10"/>
  <c r="X2124" i="10"/>
  <c r="Y2124" i="10" s="1"/>
  <c r="AG2124" i="10"/>
  <c r="AQ2124" i="10" s="1"/>
  <c r="X2125" i="10"/>
  <c r="Y2125" i="10" s="1"/>
  <c r="AG2125" i="10"/>
  <c r="AL2125" i="10" s="1"/>
  <c r="X2126" i="10"/>
  <c r="Y2126" i="10" s="1"/>
  <c r="AG2126" i="10"/>
  <c r="AG2127" i="10"/>
  <c r="AW2127" i="10" s="1"/>
  <c r="X2128" i="10"/>
  <c r="Y2128" i="10" s="1"/>
  <c r="AG2128" i="10"/>
  <c r="AR2128" i="10" s="1"/>
  <c r="AG2129" i="10"/>
  <c r="X2130" i="10"/>
  <c r="Y2130" i="10" s="1"/>
  <c r="AG2130" i="10"/>
  <c r="AS2130" i="10" s="1"/>
  <c r="X2131" i="10"/>
  <c r="Y2131" i="10" s="1"/>
  <c r="AG2131" i="10"/>
  <c r="X2132" i="10"/>
  <c r="Y2132" i="10" s="1"/>
  <c r="AG2132" i="10"/>
  <c r="X2133" i="10"/>
  <c r="Y2133" i="10" s="1"/>
  <c r="AG2133" i="10"/>
  <c r="AS2133" i="10" s="1"/>
  <c r="X2134" i="10"/>
  <c r="Y2134" i="10"/>
  <c r="AG2134" i="10"/>
  <c r="X2135" i="10"/>
  <c r="Y2135" i="10" s="1"/>
  <c r="AG2135" i="10"/>
  <c r="X2136" i="10"/>
  <c r="Y2136" i="10"/>
  <c r="AG2136" i="10"/>
  <c r="X2137" i="10"/>
  <c r="Y2137" i="10" s="1"/>
  <c r="AG2137" i="10"/>
  <c r="AL2137" i="10" s="1"/>
  <c r="X2138" i="10"/>
  <c r="Y2138" i="10" s="1"/>
  <c r="AG2138" i="10"/>
  <c r="AT2138" i="10" s="1"/>
  <c r="X2139" i="10"/>
  <c r="Y2139" i="10" s="1"/>
  <c r="AG2139" i="10"/>
  <c r="X2140" i="10"/>
  <c r="Y2140" i="10" s="1"/>
  <c r="AG2140" i="10"/>
  <c r="X2141" i="10"/>
  <c r="Y2141" i="10" s="1"/>
  <c r="AG2141" i="10"/>
  <c r="X2142" i="10"/>
  <c r="Y2142" i="10" s="1"/>
  <c r="AG2142" i="10"/>
  <c r="X2143" i="10"/>
  <c r="Y2143" i="10"/>
  <c r="AG2143" i="10"/>
  <c r="X2144" i="10"/>
  <c r="Y2144" i="10" s="1"/>
  <c r="AG2144" i="10"/>
  <c r="AV2144" i="10" s="1"/>
  <c r="AG2145" i="10"/>
  <c r="AT2145" i="10" s="1"/>
  <c r="X2146" i="10"/>
  <c r="Y2146" i="10"/>
  <c r="AG2146" i="10"/>
  <c r="AJ2146" i="10" s="1"/>
  <c r="X2147" i="10"/>
  <c r="Y2147" i="10" s="1"/>
  <c r="AG2147" i="10"/>
  <c r="AG2148" i="10"/>
  <c r="AG2149" i="10"/>
  <c r="X2150" i="10"/>
  <c r="Y2150" i="10" s="1"/>
  <c r="AG2150" i="10"/>
  <c r="X2151" i="10"/>
  <c r="Y2151" i="10" s="1"/>
  <c r="AG2151" i="10"/>
  <c r="AL2151" i="10" s="1"/>
  <c r="X2152" i="10"/>
  <c r="AG2152" i="10"/>
  <c r="X2153" i="10"/>
  <c r="Y2153" i="10" s="1"/>
  <c r="AG2153" i="10"/>
  <c r="X2154" i="10"/>
  <c r="Y2154" i="10" s="1"/>
  <c r="AG2154" i="10"/>
  <c r="AL2154" i="10" s="1"/>
  <c r="X2155" i="10"/>
  <c r="Y2155" i="10" s="1"/>
  <c r="AG2155" i="10"/>
  <c r="X2156" i="10"/>
  <c r="Y2156" i="10" s="1"/>
  <c r="AG2156" i="10"/>
  <c r="AJ2156" i="10" s="1"/>
  <c r="X2157" i="10"/>
  <c r="Y2157" i="10" s="1"/>
  <c r="AK2157" i="10"/>
  <c r="AL2157" i="10"/>
  <c r="AM2157" i="10"/>
  <c r="AN2157" i="10"/>
  <c r="AO2157" i="10"/>
  <c r="AP2157" i="10"/>
  <c r="AQ2157" i="10"/>
  <c r="AR2157" i="10"/>
  <c r="AS2157" i="10"/>
  <c r="AT2157" i="10"/>
  <c r="AU2157" i="10"/>
  <c r="AV2157" i="10"/>
  <c r="X2158" i="10"/>
  <c r="Y2158" i="10" s="1"/>
  <c r="AG2158" i="10"/>
  <c r="AR2158" i="10" s="1"/>
  <c r="X2159" i="10"/>
  <c r="Y2159" i="10"/>
  <c r="AG2159" i="10"/>
  <c r="X2160" i="10"/>
  <c r="Y2160" i="10"/>
  <c r="AG2160" i="10"/>
  <c r="AN2160" i="10" s="1"/>
  <c r="X2161" i="10"/>
  <c r="Y2161" i="10"/>
  <c r="AG2161" i="10"/>
  <c r="AK2162" i="10"/>
  <c r="AL2162" i="10"/>
  <c r="AM2162" i="10"/>
  <c r="AN2162" i="10"/>
  <c r="AO2162" i="10"/>
  <c r="AP2162" i="10"/>
  <c r="AQ2162" i="10"/>
  <c r="AR2162" i="10"/>
  <c r="AS2162" i="10"/>
  <c r="AT2162" i="10"/>
  <c r="AU2162" i="10"/>
  <c r="AV2162" i="10"/>
  <c r="X2163" i="10"/>
  <c r="Y2163" i="10"/>
  <c r="AG2163" i="10"/>
  <c r="AK2164" i="10"/>
  <c r="AL2164" i="10"/>
  <c r="AM2164" i="10"/>
  <c r="AN2164" i="10"/>
  <c r="AO2164" i="10"/>
  <c r="AP2164" i="10"/>
  <c r="AQ2164" i="10"/>
  <c r="AR2164" i="10"/>
  <c r="AS2164" i="10"/>
  <c r="AT2164" i="10"/>
  <c r="AU2164" i="10"/>
  <c r="AV2164" i="10"/>
  <c r="X2165" i="10"/>
  <c r="Y2165" i="10"/>
  <c r="AG2165" i="10"/>
  <c r="AK2166" i="10"/>
  <c r="AL2166" i="10"/>
  <c r="AM2166" i="10"/>
  <c r="AN2166" i="10"/>
  <c r="AO2166" i="10"/>
  <c r="AP2166" i="10"/>
  <c r="AQ2166" i="10"/>
  <c r="AR2166" i="10"/>
  <c r="AS2166" i="10"/>
  <c r="AT2166" i="10"/>
  <c r="AU2166" i="10"/>
  <c r="AV2166" i="10"/>
  <c r="AK2167" i="10"/>
  <c r="AL2167" i="10"/>
  <c r="AM2167" i="10"/>
  <c r="AN2167" i="10"/>
  <c r="AO2167" i="10"/>
  <c r="AP2167" i="10"/>
  <c r="AQ2167" i="10"/>
  <c r="AR2167" i="10"/>
  <c r="AS2167" i="10"/>
  <c r="AT2167" i="10"/>
  <c r="AU2167" i="10"/>
  <c r="AV2167" i="10"/>
  <c r="X2168" i="10"/>
  <c r="Y2168" i="10" s="1"/>
  <c r="AG2168" i="10"/>
  <c r="AW2168" i="10" s="1"/>
  <c r="X2169" i="10"/>
  <c r="Y2169" i="10" s="1"/>
  <c r="AG2169" i="10"/>
  <c r="W2170" i="10"/>
  <c r="X2170" i="10"/>
  <c r="AG2170" i="10"/>
  <c r="X2171" i="10"/>
  <c r="Y2171" i="10" s="1"/>
  <c r="AG2171" i="10"/>
  <c r="AO2171" i="10" s="1"/>
  <c r="X2172" i="10"/>
  <c r="Y2172" i="10" s="1"/>
  <c r="AG2172" i="10"/>
  <c r="X2173" i="10"/>
  <c r="Y2173" i="10" s="1"/>
  <c r="AG2173" i="10"/>
  <c r="X2174" i="10"/>
  <c r="Y2174" i="10" s="1"/>
  <c r="AG2174" i="10"/>
  <c r="AN2174" i="10" s="1"/>
  <c r="Y2175" i="10"/>
  <c r="AG2175" i="10"/>
  <c r="X2176" i="10"/>
  <c r="Y2176" i="10" s="1"/>
  <c r="AG2176" i="10"/>
  <c r="X2177" i="10"/>
  <c r="Y2177" i="10" s="1"/>
  <c r="AG2177" i="10"/>
  <c r="AM2177" i="10" s="1"/>
  <c r="X2178" i="10"/>
  <c r="Y2178" i="10" s="1"/>
  <c r="AG2178" i="10"/>
  <c r="AJ2178" i="10" s="1"/>
  <c r="X2179" i="10"/>
  <c r="Y2179" i="10" s="1"/>
  <c r="AG2179" i="10"/>
  <c r="AO2179" i="10" s="1"/>
  <c r="X2180" i="10"/>
  <c r="Y2180" i="10" s="1"/>
  <c r="AG2180" i="10"/>
  <c r="AJ2180" i="10" s="1"/>
  <c r="X2181" i="10"/>
  <c r="Y2181" i="10" s="1"/>
  <c r="AG2181" i="10"/>
  <c r="AR2181" i="10" s="1"/>
  <c r="X2182" i="10"/>
  <c r="Y2182" i="10" s="1"/>
  <c r="AG2182" i="10"/>
  <c r="X2183" i="10"/>
  <c r="Y2183" i="10" s="1"/>
  <c r="AG2183" i="10"/>
  <c r="X2184" i="10"/>
  <c r="Y2184" i="10"/>
  <c r="AG2184" i="10"/>
  <c r="X2185" i="10"/>
  <c r="Y2185" i="10" s="1"/>
  <c r="AG2185" i="10"/>
  <c r="X2186" i="10"/>
  <c r="Y2186" i="10" s="1"/>
  <c r="AG2186" i="10"/>
  <c r="W2187" i="10"/>
  <c r="X2187" i="10"/>
  <c r="Y2187" i="10" s="1"/>
  <c r="AG2187" i="10"/>
  <c r="X2188" i="10"/>
  <c r="Y2188" i="10" s="1"/>
  <c r="AG2188" i="10"/>
  <c r="X2189" i="10"/>
  <c r="Y2189" i="10"/>
  <c r="AG2189" i="10"/>
  <c r="AQ2189" i="10" s="1"/>
  <c r="X2190" i="10"/>
  <c r="Y2190" i="10"/>
  <c r="AG2190" i="10"/>
  <c r="X2191" i="10"/>
  <c r="Y2191" i="10" s="1"/>
  <c r="AG2191" i="10"/>
  <c r="AG2192" i="10"/>
  <c r="X2193" i="10"/>
  <c r="Y2193" i="10" s="1"/>
  <c r="AG2193" i="10"/>
  <c r="X2194" i="10"/>
  <c r="Y2194" i="10"/>
  <c r="AG2194" i="10"/>
  <c r="AQ2194" i="10" s="1"/>
  <c r="X2195" i="10"/>
  <c r="Y2195" i="10" s="1"/>
  <c r="AG2195" i="10"/>
  <c r="AV2195" i="10" s="1"/>
  <c r="X2196" i="10"/>
  <c r="Y2196" i="10" s="1"/>
  <c r="AG2196" i="10"/>
  <c r="X2197" i="10"/>
  <c r="Y2197" i="10" s="1"/>
  <c r="AG2197" i="10"/>
  <c r="AX2197" i="10" s="1"/>
  <c r="Y2198" i="10"/>
  <c r="AG2198" i="10"/>
  <c r="X2199" i="10"/>
  <c r="Y2199" i="10" s="1"/>
  <c r="AG2199" i="10"/>
  <c r="Y2200" i="10"/>
  <c r="AG2200" i="10"/>
  <c r="AM2200" i="10" s="1"/>
  <c r="X2201" i="10"/>
  <c r="Y2201" i="10"/>
  <c r="AG2201" i="10"/>
  <c r="X2202" i="10"/>
  <c r="Y2202" i="10"/>
  <c r="AG2202" i="10"/>
  <c r="X2203" i="10"/>
  <c r="Y2203" i="10" s="1"/>
  <c r="AG2203" i="10"/>
  <c r="X2204" i="10"/>
  <c r="Y2204" i="10"/>
  <c r="AG2204" i="10"/>
  <c r="AO2204" i="10" s="1"/>
  <c r="X2205" i="10"/>
  <c r="Y2205" i="10"/>
  <c r="AG2205" i="10"/>
  <c r="X2206" i="10"/>
  <c r="Y2206" i="10" s="1"/>
  <c r="AG2206" i="10"/>
  <c r="AJ2206" i="10" s="1"/>
  <c r="X2207" i="10"/>
  <c r="Y2207" i="10" s="1"/>
  <c r="AG2207" i="10"/>
  <c r="AR2207" i="10" s="1"/>
  <c r="X2208" i="10"/>
  <c r="Y2208" i="10" s="1"/>
  <c r="AG2208" i="10"/>
  <c r="X2209" i="10"/>
  <c r="Y2209" i="10" s="1"/>
  <c r="AG2209" i="10"/>
  <c r="AP2209" i="10" s="1"/>
  <c r="X2210" i="10"/>
  <c r="Y2210" i="10" s="1"/>
  <c r="AG2210" i="10"/>
  <c r="AJ2210" i="10" s="1"/>
  <c r="X2211" i="10"/>
  <c r="Y2211" i="10" s="1"/>
  <c r="AG2211" i="10"/>
  <c r="AQ2211" i="10" s="1"/>
  <c r="AG2212" i="10"/>
  <c r="AP2212" i="10" s="1"/>
  <c r="X2213" i="10"/>
  <c r="Y2213" i="10"/>
  <c r="AG2213" i="10"/>
  <c r="X2214" i="10"/>
  <c r="Y2214" i="10"/>
  <c r="AG2214" i="10"/>
  <c r="X2215" i="10"/>
  <c r="Y2215" i="10"/>
  <c r="AG2215" i="10"/>
  <c r="X2216" i="10"/>
  <c r="Y2216" i="10" s="1"/>
  <c r="AG2216" i="10"/>
  <c r="AT2216" i="10" s="1"/>
  <c r="AG2217" i="10"/>
  <c r="AM2217" i="10" s="1"/>
  <c r="AG2218" i="10"/>
  <c r="AJ2218" i="10" s="1"/>
  <c r="AG2219" i="10"/>
  <c r="W2220" i="10"/>
  <c r="X2220" i="10"/>
  <c r="Y2220" i="10" s="1"/>
  <c r="AG2220" i="10"/>
  <c r="Y2221" i="10"/>
  <c r="AG2221" i="10"/>
  <c r="X2222" i="10"/>
  <c r="Y2222" i="10" s="1"/>
  <c r="AG2222" i="10"/>
  <c r="X2223" i="10"/>
  <c r="Y2223" i="10" s="1"/>
  <c r="AG2223" i="10"/>
  <c r="AW2223" i="10" s="1"/>
  <c r="X2224" i="10"/>
  <c r="Y2224" i="10" s="1"/>
  <c r="AG2224" i="10"/>
  <c r="X2225" i="10"/>
  <c r="Y2225" i="10" s="1"/>
  <c r="AG2225" i="10"/>
  <c r="X2226" i="10"/>
  <c r="Y2226" i="10" s="1"/>
  <c r="AG2226" i="10"/>
  <c r="X2227" i="10"/>
  <c r="Y2227" i="10"/>
  <c r="AG2227" i="10"/>
  <c r="AM2227" i="10" s="1"/>
  <c r="W2228" i="10"/>
  <c r="X2228" i="10"/>
  <c r="AG2228" i="10"/>
  <c r="AP2228" i="10" s="1"/>
  <c r="X2229" i="10"/>
  <c r="Y2229" i="10"/>
  <c r="AG2229" i="10"/>
  <c r="AO2229" i="10" s="1"/>
  <c r="X2230" i="10"/>
  <c r="Y2230" i="10"/>
  <c r="AG2230" i="10"/>
  <c r="AG2231" i="10"/>
  <c r="AX2231" i="10" s="1"/>
  <c r="X2232" i="10"/>
  <c r="Y2232" i="10" s="1"/>
  <c r="AG2232" i="10"/>
  <c r="AN2232" i="10" s="1"/>
  <c r="X2233" i="10"/>
  <c r="Y2233" i="10"/>
  <c r="AG2233" i="10"/>
  <c r="AJ2233" i="10" s="1"/>
  <c r="X2234" i="10"/>
  <c r="Y2234" i="10" s="1"/>
  <c r="AG2234" i="10"/>
  <c r="X2235" i="10"/>
  <c r="Y2235" i="10" s="1"/>
  <c r="AG2235" i="10"/>
  <c r="AG2236" i="10"/>
  <c r="AW2236" i="10" s="1"/>
  <c r="X2237" i="10"/>
  <c r="Y2237" i="10" s="1"/>
  <c r="AG2237" i="10"/>
  <c r="AR2237" i="10" s="1"/>
  <c r="X2238" i="10"/>
  <c r="Y2238" i="10" s="1"/>
  <c r="AG2238" i="10"/>
  <c r="X2239" i="10"/>
  <c r="Y2239" i="10" s="1"/>
  <c r="AG2239" i="10"/>
  <c r="X2240" i="10"/>
  <c r="Y2240" i="10"/>
  <c r="AG2240" i="10"/>
  <c r="X2241" i="10"/>
  <c r="Y2241" i="10" s="1"/>
  <c r="AG2241" i="10"/>
  <c r="AW2241" i="10" s="1"/>
  <c r="X2242" i="10"/>
  <c r="Y2242" i="10" s="1"/>
  <c r="AG2242" i="10"/>
  <c r="AL2242" i="10" s="1"/>
  <c r="X2243" i="10"/>
  <c r="Y2243" i="10" s="1"/>
  <c r="AG2243" i="10"/>
  <c r="AG2244" i="10"/>
  <c r="AJ2244" i="10" s="1"/>
  <c r="X2245" i="10"/>
  <c r="Y2245" i="10" s="1"/>
  <c r="AG2245" i="10"/>
  <c r="X2246" i="10"/>
  <c r="Y2246" i="10" s="1"/>
  <c r="AG2246" i="10"/>
  <c r="X2247" i="10"/>
  <c r="Y2247" i="10"/>
  <c r="AG2247" i="10"/>
  <c r="AP2247" i="10" s="1"/>
  <c r="AG2248" i="10"/>
  <c r="X2249" i="10"/>
  <c r="Y2249" i="10" s="1"/>
  <c r="AG2249" i="10"/>
  <c r="X2250" i="10"/>
  <c r="Y2250" i="10" s="1"/>
  <c r="AG2250" i="10"/>
  <c r="X2251" i="10"/>
  <c r="Y2251" i="10"/>
  <c r="AG2251" i="10"/>
  <c r="X2252" i="10"/>
  <c r="Y2252" i="10" s="1"/>
  <c r="AG2252" i="10"/>
  <c r="X2253" i="10"/>
  <c r="Y2253" i="10" s="1"/>
  <c r="AG2253" i="10"/>
  <c r="AT2253" i="10" s="1"/>
  <c r="X2254" i="10"/>
  <c r="Y2254" i="10" s="1"/>
  <c r="AG2254" i="10"/>
  <c r="AK2254" i="10" s="1"/>
  <c r="X2255" i="10"/>
  <c r="Y2255" i="10"/>
  <c r="AG2255" i="10"/>
  <c r="X2256" i="10"/>
  <c r="Y2256" i="10" s="1"/>
  <c r="AG2256" i="10"/>
  <c r="X2257" i="10"/>
  <c r="Y2257" i="10"/>
  <c r="AG2257" i="10"/>
  <c r="AU2257" i="10" s="1"/>
  <c r="X2258" i="10"/>
  <c r="Y2258" i="10"/>
  <c r="AG2258" i="10"/>
  <c r="X2259" i="10"/>
  <c r="Y2259" i="10" s="1"/>
  <c r="AG2259" i="10"/>
  <c r="X2260" i="10"/>
  <c r="Y2260" i="10" s="1"/>
  <c r="AG2260" i="10"/>
  <c r="AM2260" i="10" s="1"/>
  <c r="X2261" i="10"/>
  <c r="Y2261" i="10"/>
  <c r="AG2261" i="10"/>
  <c r="X2262" i="10"/>
  <c r="Y2262" i="10"/>
  <c r="AG2262" i="10"/>
  <c r="AS2262" i="10" s="1"/>
  <c r="X2263" i="10"/>
  <c r="Y2263" i="10" s="1"/>
  <c r="AG2263" i="10"/>
  <c r="X2264" i="10"/>
  <c r="Y2264" i="10"/>
  <c r="AG2264" i="10"/>
  <c r="X2265" i="10"/>
  <c r="Y2265" i="10" s="1"/>
  <c r="AG2265" i="10"/>
  <c r="AK2265" i="10" s="1"/>
  <c r="X2266" i="10"/>
  <c r="Y2266" i="10" s="1"/>
  <c r="AG2266" i="10"/>
  <c r="X2267" i="10"/>
  <c r="Y2267" i="10" s="1"/>
  <c r="AG2267" i="10"/>
  <c r="X2268" i="10"/>
  <c r="Y2268" i="10" s="1"/>
  <c r="AG2268" i="10"/>
  <c r="X2269" i="10"/>
  <c r="Y2269" i="10" s="1"/>
  <c r="AG2269" i="10"/>
  <c r="X2270" i="10"/>
  <c r="Y2270" i="10" s="1"/>
  <c r="AG2270" i="10"/>
  <c r="X2271" i="10"/>
  <c r="Y2271" i="10"/>
  <c r="AG2271" i="10"/>
  <c r="X2272" i="10"/>
  <c r="Y2272" i="10" s="1"/>
  <c r="AG2272" i="10"/>
  <c r="X2273" i="10"/>
  <c r="Y2273" i="10"/>
  <c r="AG2273" i="10"/>
  <c r="X2274" i="10"/>
  <c r="Y2274" i="10" s="1"/>
  <c r="AG2274" i="10"/>
  <c r="X2275" i="10"/>
  <c r="Y2275" i="10" s="1"/>
  <c r="AG2275" i="10"/>
  <c r="Y2276" i="10"/>
  <c r="AG2276" i="10"/>
  <c r="AG2277" i="10"/>
  <c r="AU2277" i="10" s="1"/>
  <c r="X2278" i="10"/>
  <c r="Y2278" i="10" s="1"/>
  <c r="AG2278" i="10"/>
  <c r="X2279" i="10"/>
  <c r="Y2279" i="10" s="1"/>
  <c r="AG2279" i="10"/>
  <c r="X2280" i="10"/>
  <c r="Y2280" i="10" s="1"/>
  <c r="AG2280" i="10"/>
  <c r="AJ2280" i="10" s="1"/>
  <c r="X2281" i="10"/>
  <c r="Y2281" i="10" s="1"/>
  <c r="AG2281" i="10"/>
  <c r="AQ2281" i="10" s="1"/>
  <c r="X2282" i="10"/>
  <c r="Y2282" i="10" s="1"/>
  <c r="AG2282" i="10"/>
  <c r="AO2282" i="10" s="1"/>
  <c r="X2283" i="10"/>
  <c r="Y2283" i="10" s="1"/>
  <c r="AG2283" i="10"/>
  <c r="AG2284" i="10"/>
  <c r="AO2284" i="10" s="1"/>
  <c r="X2285" i="10"/>
  <c r="Y2285" i="10"/>
  <c r="AG2285" i="10"/>
  <c r="X2286" i="10"/>
  <c r="Y2286" i="10" s="1"/>
  <c r="AG2286" i="10"/>
  <c r="AM2286" i="10" s="1"/>
  <c r="X2287" i="10"/>
  <c r="Y2287" i="10"/>
  <c r="AG2287" i="10"/>
  <c r="AR2287" i="10" s="1"/>
  <c r="AG2288" i="10"/>
  <c r="X2289" i="10"/>
  <c r="Y2289" i="10" s="1"/>
  <c r="AG2289" i="10"/>
  <c r="AM2289" i="10" s="1"/>
  <c r="X2290" i="10"/>
  <c r="Y2290" i="10" s="1"/>
  <c r="AG2290" i="10"/>
  <c r="AN2290" i="10" s="1"/>
  <c r="X2291" i="10"/>
  <c r="Y2291" i="10" s="1"/>
  <c r="AG2291" i="10"/>
  <c r="AM2291" i="10" s="1"/>
  <c r="X2292" i="10"/>
  <c r="Y2292" i="10"/>
  <c r="AG2292" i="10"/>
  <c r="X2293" i="10"/>
  <c r="Y2293" i="10" s="1"/>
  <c r="AG2293" i="10"/>
  <c r="AP2293" i="10" s="1"/>
  <c r="X2294" i="10"/>
  <c r="Y2294" i="10" s="1"/>
  <c r="AG2294" i="10"/>
  <c r="X2295" i="10"/>
  <c r="Y2295" i="10" s="1"/>
  <c r="AG2295" i="10"/>
  <c r="X2296" i="10"/>
  <c r="Y2296" i="10" s="1"/>
  <c r="AG2296" i="10"/>
  <c r="X2297" i="10"/>
  <c r="Y2297" i="10" s="1"/>
  <c r="AG2297" i="10"/>
  <c r="X2298" i="10"/>
  <c r="Y2298" i="10" s="1"/>
  <c r="AG2298" i="10"/>
  <c r="AT2298" i="10" s="1"/>
  <c r="X2299" i="10"/>
  <c r="Y2299" i="10" s="1"/>
  <c r="AG2299" i="10"/>
  <c r="AO2299" i="10" s="1"/>
  <c r="X2300" i="10"/>
  <c r="Y2300" i="10" s="1"/>
  <c r="AG2300" i="10"/>
  <c r="AK2300" i="10" s="1"/>
  <c r="X2301" i="10"/>
  <c r="Y2301" i="10" s="1"/>
  <c r="AG2301" i="10"/>
  <c r="AV2301" i="10" s="1"/>
  <c r="X2302" i="10"/>
  <c r="Y2302" i="10" s="1"/>
  <c r="AG2302" i="10"/>
  <c r="X2303" i="10"/>
  <c r="Y2303" i="10"/>
  <c r="AG2303" i="10"/>
  <c r="X2304" i="10"/>
  <c r="Y2304" i="10"/>
  <c r="AG2304" i="10"/>
  <c r="X2305" i="10"/>
  <c r="Y2305" i="10" s="1"/>
  <c r="AG2305" i="10"/>
  <c r="X2306" i="10"/>
  <c r="Y2306" i="10"/>
  <c r="AG2306" i="10"/>
  <c r="AJ2306" i="10" s="1"/>
  <c r="X2307" i="10"/>
  <c r="Y2307" i="10"/>
  <c r="AG2307" i="10"/>
  <c r="X2308" i="10"/>
  <c r="Y2308" i="10" s="1"/>
  <c r="AG2308" i="10"/>
  <c r="AU2308" i="10" s="1"/>
  <c r="X2309" i="10"/>
  <c r="Y2309" i="10" s="1"/>
  <c r="AG2309" i="10"/>
  <c r="X2310" i="10"/>
  <c r="Y2310" i="10" s="1"/>
  <c r="AG2310" i="10"/>
  <c r="X2311" i="10"/>
  <c r="Y2311" i="10" s="1"/>
  <c r="AG2311" i="10"/>
  <c r="AJ2311" i="10" s="1"/>
  <c r="X2312" i="10"/>
  <c r="Y2312" i="10" s="1"/>
  <c r="AG2312" i="10"/>
  <c r="X2313" i="10"/>
  <c r="Y2313" i="10"/>
  <c r="AG2313" i="10"/>
  <c r="X2314" i="10"/>
  <c r="Y2314" i="10" s="1"/>
  <c r="AG2314" i="10"/>
  <c r="X2315" i="10"/>
  <c r="Y2315" i="10" s="1"/>
  <c r="AG2315" i="10"/>
  <c r="AG2316" i="10"/>
  <c r="X2317" i="10"/>
  <c r="Y2317" i="10" s="1"/>
  <c r="AG2317" i="10"/>
  <c r="X2318" i="10"/>
  <c r="Y2318" i="10" s="1"/>
  <c r="AG2318" i="10"/>
  <c r="X2319" i="10"/>
  <c r="Y2319" i="10" s="1"/>
  <c r="AG2319" i="10"/>
  <c r="AS2319" i="10" s="1"/>
  <c r="X2320" i="10"/>
  <c r="Y2320" i="10" s="1"/>
  <c r="AG2320" i="10"/>
  <c r="X2321" i="10"/>
  <c r="Y2321" i="10" s="1"/>
  <c r="AG2321" i="10"/>
  <c r="AJ2321" i="10" s="1"/>
  <c r="X2322" i="10"/>
  <c r="Y2322" i="10" s="1"/>
  <c r="AG2322" i="10"/>
  <c r="X2323" i="10"/>
  <c r="Y2323" i="10" s="1"/>
  <c r="AG2323" i="10"/>
  <c r="Y2324" i="10"/>
  <c r="AG2324" i="10"/>
  <c r="AG2325" i="10"/>
  <c r="AS2325" i="10" s="1"/>
  <c r="X2326" i="10"/>
  <c r="Y2326" i="10" s="1"/>
  <c r="AG2326" i="10"/>
  <c r="X2327" i="10"/>
  <c r="Y2327" i="10" s="1"/>
  <c r="AG2327" i="10"/>
  <c r="X2328" i="10"/>
  <c r="Y2328" i="10" s="1"/>
  <c r="AG2328" i="10"/>
  <c r="X2329" i="10"/>
  <c r="Y2329" i="10" s="1"/>
  <c r="AG2329" i="10"/>
  <c r="X2330" i="10"/>
  <c r="Y2330" i="10"/>
  <c r="AG2330" i="10"/>
  <c r="AX2330" i="10" s="1"/>
  <c r="W2331" i="10"/>
  <c r="X2331" i="10"/>
  <c r="Y2331" i="10" s="1"/>
  <c r="AG2331" i="10"/>
  <c r="AT2331" i="10" s="1"/>
  <c r="X2332" i="10"/>
  <c r="Y2332" i="10" s="1"/>
  <c r="AG2332" i="10"/>
  <c r="X2333" i="10"/>
  <c r="Y2333" i="10" s="1"/>
  <c r="AG2333" i="10"/>
  <c r="X2334" i="10"/>
  <c r="Y2334" i="10" s="1"/>
  <c r="AG2334" i="10"/>
  <c r="X2335" i="10"/>
  <c r="Y2335" i="10" s="1"/>
  <c r="AG2335" i="10"/>
  <c r="X2336" i="10"/>
  <c r="Y2336" i="10" s="1"/>
  <c r="AG2336" i="10"/>
  <c r="AS2336" i="10" s="1"/>
  <c r="X2337" i="10"/>
  <c r="Y2337" i="10" s="1"/>
  <c r="AG2337" i="10"/>
  <c r="X2338" i="10"/>
  <c r="Y2338" i="10"/>
  <c r="AG2338" i="10"/>
  <c r="AJ2338" i="10" s="1"/>
  <c r="X2339" i="10"/>
  <c r="Y2339" i="10" s="1"/>
  <c r="AG2339" i="10"/>
  <c r="X2340" i="10"/>
  <c r="Y2340" i="10" s="1"/>
  <c r="AG2340" i="10"/>
  <c r="AP2340" i="10" s="1"/>
  <c r="X2341" i="10"/>
  <c r="Y2341" i="10" s="1"/>
  <c r="AG2341" i="10"/>
  <c r="X2342" i="10"/>
  <c r="Y2342" i="10"/>
  <c r="AG2342" i="10"/>
  <c r="X2343" i="10"/>
  <c r="Y2343" i="10" s="1"/>
  <c r="AG2343" i="10"/>
  <c r="X2344" i="10"/>
  <c r="Y2344" i="10"/>
  <c r="AG2344" i="10"/>
  <c r="X2345" i="10"/>
  <c r="Y2345" i="10" s="1"/>
  <c r="AG2345" i="10"/>
  <c r="AK2345" i="10" s="1"/>
  <c r="X2346" i="10"/>
  <c r="Y2346" i="10" s="1"/>
  <c r="AG2346" i="10"/>
  <c r="AW2346" i="10" s="1"/>
  <c r="AG2347" i="10"/>
  <c r="X2348" i="10"/>
  <c r="Y2348" i="10"/>
  <c r="AG2348" i="10"/>
  <c r="X2349" i="10"/>
  <c r="Y2349" i="10" s="1"/>
  <c r="AG2349" i="10"/>
  <c r="AT2349" i="10" s="1"/>
  <c r="X2350" i="10"/>
  <c r="Y2350" i="10"/>
  <c r="AG2350" i="10"/>
  <c r="AK2350" i="10" s="1"/>
  <c r="X2351" i="10"/>
  <c r="Y2351" i="10" s="1"/>
  <c r="AG2351" i="10"/>
  <c r="AP2351" i="10" s="1"/>
  <c r="X2352" i="10"/>
  <c r="Y2352" i="10" s="1"/>
  <c r="AG2352" i="10"/>
  <c r="AG2353" i="10"/>
  <c r="X2354" i="10"/>
  <c r="Y2354" i="10" s="1"/>
  <c r="AG2354" i="10"/>
  <c r="X2355" i="10"/>
  <c r="Y2355" i="10"/>
  <c r="AG2355" i="10"/>
  <c r="AM2355" i="10" s="1"/>
  <c r="X2356" i="10"/>
  <c r="Y2356" i="10" s="1"/>
  <c r="AG2356" i="10"/>
  <c r="AG2357" i="10"/>
  <c r="X2358" i="10"/>
  <c r="Y2358" i="10"/>
  <c r="AG2358" i="10"/>
  <c r="X2359" i="10"/>
  <c r="Y2359" i="10" s="1"/>
  <c r="AG2359" i="10"/>
  <c r="Y2360" i="10"/>
  <c r="AG2360" i="10"/>
  <c r="X2361" i="10"/>
  <c r="Y2361" i="10"/>
  <c r="AG2361" i="10"/>
  <c r="AK2361" i="10" s="1"/>
  <c r="X2362" i="10"/>
  <c r="Y2362" i="10" s="1"/>
  <c r="AG2362" i="10"/>
  <c r="Y2363" i="10"/>
  <c r="AG2363" i="10"/>
  <c r="AL2363" i="10" s="1"/>
  <c r="Y2364" i="10"/>
  <c r="AG2364" i="10"/>
  <c r="Y2365" i="10"/>
  <c r="AG2365" i="10"/>
  <c r="Y2366" i="10"/>
  <c r="AG2366" i="10"/>
  <c r="AQ2366" i="10" s="1"/>
  <c r="X2367" i="10"/>
  <c r="Y2367" i="10" s="1"/>
  <c r="AG2367" i="10"/>
  <c r="X2368" i="10"/>
  <c r="Y2368" i="10" s="1"/>
  <c r="AG2368" i="10"/>
  <c r="X2369" i="10"/>
  <c r="Y2369" i="10" s="1"/>
  <c r="AG2369" i="10"/>
  <c r="AP2369" i="10" s="1"/>
  <c r="X2370" i="10"/>
  <c r="Y2370" i="10" s="1"/>
  <c r="AG2370" i="10"/>
  <c r="AK2370" i="10" s="1"/>
  <c r="X2371" i="10"/>
  <c r="Y2371" i="10"/>
  <c r="AG2371" i="10"/>
  <c r="AG2372" i="10"/>
  <c r="AM2372" i="10" s="1"/>
  <c r="X2373" i="10"/>
  <c r="Y2373" i="10" s="1"/>
  <c r="AG2373" i="10"/>
  <c r="AT2373" i="10" s="1"/>
  <c r="X2374" i="10"/>
  <c r="Y2374" i="10" s="1"/>
  <c r="AG2374" i="10"/>
  <c r="AJ2374" i="10" s="1"/>
  <c r="AG2375" i="10"/>
  <c r="X2376" i="10"/>
  <c r="Y2376" i="10" s="1"/>
  <c r="AG2376" i="10"/>
  <c r="X2377" i="10"/>
  <c r="Y2377" i="10" s="1"/>
  <c r="AG2377" i="10"/>
  <c r="AU2377" i="10" s="1"/>
  <c r="X2378" i="10"/>
  <c r="Y2378" i="10" s="1"/>
  <c r="AG2378" i="10"/>
  <c r="X2379" i="10"/>
  <c r="Y2379" i="10" s="1"/>
  <c r="AG2379" i="10"/>
  <c r="AO2379" i="10" s="1"/>
  <c r="X2380" i="10"/>
  <c r="Y2380" i="10" s="1"/>
  <c r="AG2380" i="10"/>
  <c r="AO2380" i="10" s="1"/>
  <c r="X2381" i="10"/>
  <c r="Y2381" i="10" s="1"/>
  <c r="AG2381" i="10"/>
  <c r="X2382" i="10"/>
  <c r="Y2382" i="10" s="1"/>
  <c r="AG2382" i="10"/>
  <c r="X2383" i="10"/>
  <c r="Y2383" i="10" s="1"/>
  <c r="AG2383" i="10"/>
  <c r="AP2383" i="10" s="1"/>
  <c r="X2384" i="10"/>
  <c r="Y2384" i="10" s="1"/>
  <c r="AG2384" i="10"/>
  <c r="Y2385" i="10"/>
  <c r="AG2385" i="10"/>
  <c r="AR2385" i="10" s="1"/>
  <c r="X2386" i="10"/>
  <c r="Y2386" i="10" s="1"/>
  <c r="AG2386" i="10"/>
  <c r="AJ2386" i="10" s="1"/>
  <c r="X2387" i="10"/>
  <c r="Y2387" i="10" s="1"/>
  <c r="AG2387" i="10"/>
  <c r="X2388" i="10"/>
  <c r="Y2388" i="10" s="1"/>
  <c r="AG2388" i="10"/>
  <c r="AG2389" i="10"/>
  <c r="X2390" i="10"/>
  <c r="Y2390" i="10" s="1"/>
  <c r="AG2390" i="10"/>
  <c r="X2391" i="10"/>
  <c r="Y2391" i="10" s="1"/>
  <c r="AG2391" i="10"/>
  <c r="AO2391" i="10" s="1"/>
  <c r="X2392" i="10"/>
  <c r="Y2392" i="10" s="1"/>
  <c r="AG2392" i="10"/>
  <c r="AU2392" i="10" s="1"/>
  <c r="X2393" i="10"/>
  <c r="Y2393" i="10"/>
  <c r="AG2393" i="10"/>
  <c r="AJ2393" i="10" s="1"/>
  <c r="X2394" i="10"/>
  <c r="Y2394" i="10" s="1"/>
  <c r="AG2394" i="10"/>
  <c r="AQ2394" i="10" s="1"/>
  <c r="AG2395" i="10"/>
  <c r="X2396" i="10"/>
  <c r="Y2396" i="10" s="1"/>
  <c r="AG2396" i="10"/>
  <c r="X2397" i="10"/>
  <c r="Y2397" i="10"/>
  <c r="AG2397" i="10"/>
  <c r="AW2397" i="10" s="1"/>
  <c r="X2398" i="10"/>
  <c r="Y2398" i="10" s="1"/>
  <c r="AG2398" i="10"/>
  <c r="AQ2398" i="10" s="1"/>
  <c r="X2399" i="10"/>
  <c r="Y2399" i="10" s="1"/>
  <c r="AG2399" i="10"/>
  <c r="AL2399" i="10" s="1"/>
  <c r="X2400" i="10"/>
  <c r="Y2400" i="10"/>
  <c r="AG2400" i="10"/>
  <c r="X2401" i="10"/>
  <c r="Y2401" i="10" s="1"/>
  <c r="AG2401" i="10"/>
  <c r="X2402" i="10"/>
  <c r="Y2402" i="10" s="1"/>
  <c r="AG2402" i="10"/>
  <c r="X2403" i="10"/>
  <c r="Y2403" i="10" s="1"/>
  <c r="AG2403" i="10"/>
  <c r="AM2403" i="10" s="1"/>
  <c r="X2404" i="10"/>
  <c r="Y2404" i="10"/>
  <c r="AG2404" i="10"/>
  <c r="X2405" i="10"/>
  <c r="Y2405" i="10" s="1"/>
  <c r="AG2405" i="10"/>
  <c r="X2406" i="10"/>
  <c r="Y2406" i="10" s="1"/>
  <c r="AG2406" i="10"/>
  <c r="X2407" i="10"/>
  <c r="Y2407" i="10" s="1"/>
  <c r="AG2407" i="10"/>
  <c r="AJ2407" i="10" s="1"/>
  <c r="X2408" i="10"/>
  <c r="Y2408" i="10" s="1"/>
  <c r="AG2408" i="10"/>
  <c r="AP2408" i="10" s="1"/>
  <c r="X2409" i="10"/>
  <c r="Y2409" i="10" s="1"/>
  <c r="AG2409" i="10"/>
  <c r="AJ2409" i="10" s="1"/>
  <c r="X2410" i="10"/>
  <c r="Y2410" i="10" s="1"/>
  <c r="AG2410" i="10"/>
  <c r="AG2411" i="10"/>
  <c r="X2412" i="10"/>
  <c r="Y2412" i="10" s="1"/>
  <c r="AG2412" i="10"/>
  <c r="X2413" i="10"/>
  <c r="Y2413" i="10" s="1"/>
  <c r="AG2413" i="10"/>
  <c r="AG2414" i="10"/>
  <c r="AN2414" i="10" s="1"/>
  <c r="X2415" i="10"/>
  <c r="Y2415" i="10" s="1"/>
  <c r="AG2415" i="10"/>
  <c r="X2416" i="10"/>
  <c r="Y2416" i="10" s="1"/>
  <c r="AG2416" i="10"/>
  <c r="X2417" i="10"/>
  <c r="Y2417" i="10" s="1"/>
  <c r="AG2417" i="10"/>
  <c r="X2418" i="10"/>
  <c r="Y2418" i="10" s="1"/>
  <c r="AG2418" i="10"/>
  <c r="X2419" i="10"/>
  <c r="Y2419" i="10" s="1"/>
  <c r="AG2419" i="10"/>
  <c r="X2420" i="10"/>
  <c r="Y2420" i="10" s="1"/>
  <c r="AG2420" i="10"/>
  <c r="AW2420" i="10" s="1"/>
  <c r="X2421" i="10"/>
  <c r="Y2421" i="10" s="1"/>
  <c r="AG2421" i="10"/>
  <c r="AW2421" i="10" s="1"/>
  <c r="X2422" i="10"/>
  <c r="Y2422" i="10" s="1"/>
  <c r="AG2422" i="10"/>
  <c r="AR2422" i="10" s="1"/>
  <c r="X2423" i="10"/>
  <c r="Y2423" i="10" s="1"/>
  <c r="AG2423" i="10"/>
  <c r="Y2424" i="10"/>
  <c r="AG2424" i="10"/>
  <c r="X2425" i="10"/>
  <c r="Y2425" i="10" s="1"/>
  <c r="AG2425" i="10"/>
  <c r="AS2425" i="10" s="1"/>
  <c r="X2426" i="10"/>
  <c r="Y2426" i="10" s="1"/>
  <c r="AG2426" i="10"/>
  <c r="X2427" i="10"/>
  <c r="Y2427" i="10" s="1"/>
  <c r="AG2427" i="10"/>
  <c r="AN2427" i="10" s="1"/>
  <c r="AG2428" i="10"/>
  <c r="Y2429" i="10"/>
  <c r="AG2429" i="10"/>
  <c r="X2430" i="10"/>
  <c r="Y2430" i="10" s="1"/>
  <c r="AG2430" i="10"/>
  <c r="X2431" i="10"/>
  <c r="Y2431" i="10" s="1"/>
  <c r="AG2431" i="10"/>
  <c r="AK2431" i="10" s="1"/>
  <c r="X2432" i="10"/>
  <c r="Y2432" i="10" s="1"/>
  <c r="AG2432" i="10"/>
  <c r="AG2433" i="10"/>
  <c r="AG2434" i="10"/>
  <c r="AG2435" i="10"/>
  <c r="AN2435" i="10" s="1"/>
  <c r="X2436" i="10"/>
  <c r="Y2436" i="10" s="1"/>
  <c r="AG2436" i="10"/>
  <c r="X2437" i="10"/>
  <c r="Y2437" i="10" s="1"/>
  <c r="AG2437" i="10"/>
  <c r="AG2438" i="10"/>
  <c r="AU2438" i="10" s="1"/>
  <c r="X2439" i="10"/>
  <c r="Y2439" i="10"/>
  <c r="AG2439" i="10"/>
  <c r="X2440" i="10"/>
  <c r="Y2440" i="10"/>
  <c r="AG2440" i="10"/>
  <c r="X2441" i="10"/>
  <c r="Y2441" i="10"/>
  <c r="AG2441" i="10"/>
  <c r="X2442" i="10"/>
  <c r="Y2442" i="10"/>
  <c r="AG2442" i="10"/>
  <c r="AS2442" i="10" s="1"/>
  <c r="X2443" i="10"/>
  <c r="Y2443" i="10" s="1"/>
  <c r="AG2443" i="10"/>
  <c r="AX2443" i="10" s="1"/>
  <c r="AG2444" i="10"/>
  <c r="AS2444" i="10" s="1"/>
  <c r="X2445" i="10"/>
  <c r="Y2445" i="10" s="1"/>
  <c r="AG2445" i="10"/>
  <c r="X2446" i="10"/>
  <c r="Y2446" i="10"/>
  <c r="AG2446" i="10"/>
  <c r="AO2446" i="10" s="1"/>
  <c r="Y2447" i="10"/>
  <c r="X2447" i="10" s="1"/>
  <c r="AG2447" i="10"/>
  <c r="X2448" i="10"/>
  <c r="Y2448" i="10"/>
  <c r="AG2448" i="10"/>
  <c r="AV2448" i="10" s="1"/>
  <c r="X2449" i="10"/>
  <c r="Y2449" i="10" s="1"/>
  <c r="AG2449" i="10"/>
  <c r="X2451" i="10"/>
  <c r="Y2451" i="10" s="1"/>
  <c r="AG2451" i="10"/>
  <c r="X2453" i="10"/>
  <c r="Y2453" i="10" s="1"/>
  <c r="AG2453" i="10"/>
  <c r="X2455" i="10"/>
  <c r="Y2455" i="10" s="1"/>
  <c r="AG2455" i="10"/>
  <c r="X2457" i="10"/>
  <c r="Y2457" i="10" s="1"/>
  <c r="AG2457" i="10"/>
  <c r="X2459" i="10"/>
  <c r="Y2459" i="10" s="1"/>
  <c r="AG2459" i="10"/>
  <c r="Y2460" i="10"/>
  <c r="AG2460" i="10"/>
  <c r="AR2460" i="10" s="1"/>
  <c r="X2461" i="10"/>
  <c r="Y2461" i="10" s="1"/>
  <c r="AG2461" i="10"/>
  <c r="X2462" i="10"/>
  <c r="Y2462" i="10" s="1"/>
  <c r="AG2462" i="10"/>
  <c r="X2463" i="10"/>
  <c r="Y2463" i="10" s="1"/>
  <c r="AG2463" i="10"/>
  <c r="X2464" i="10"/>
  <c r="Y2464" i="10" s="1"/>
  <c r="AG2464" i="10"/>
  <c r="X2465" i="10"/>
  <c r="Y2465" i="10" s="1"/>
  <c r="AG2465" i="10"/>
  <c r="X2466" i="10"/>
  <c r="Y2466" i="10" s="1"/>
  <c r="AG2466" i="10"/>
  <c r="W2468" i="10"/>
  <c r="X2468" i="10"/>
  <c r="Y2468" i="10" s="1"/>
  <c r="AG2468" i="10"/>
  <c r="Y2469" i="10"/>
  <c r="AG2469" i="10"/>
  <c r="X2470" i="10"/>
  <c r="Y2470" i="10" s="1"/>
  <c r="AG2470" i="10"/>
  <c r="X2471" i="10"/>
  <c r="Y2471" i="10"/>
  <c r="AG2471" i="10"/>
  <c r="Y2472" i="10"/>
  <c r="AG2472" i="10"/>
  <c r="Y2473" i="10"/>
  <c r="AG2473" i="10"/>
  <c r="AX2473" i="10" s="1"/>
  <c r="Y2474" i="10"/>
  <c r="AG2474" i="10"/>
  <c r="X2475" i="10"/>
  <c r="Y2475" i="10"/>
  <c r="AG2475" i="10"/>
  <c r="Y2476" i="10"/>
  <c r="AG2476" i="10"/>
  <c r="X2477" i="10"/>
  <c r="Y2477" i="10" s="1"/>
  <c r="AG2477" i="10"/>
  <c r="AG2478" i="10"/>
  <c r="X2479" i="10"/>
  <c r="Y2479" i="10"/>
  <c r="AG2479" i="10"/>
  <c r="X2480" i="10"/>
  <c r="Y2480" i="10" s="1"/>
  <c r="AG2480" i="10"/>
  <c r="AT2480" i="10" s="1"/>
  <c r="X2481" i="10"/>
  <c r="Y2481" i="10" s="1"/>
  <c r="AG2481" i="10"/>
  <c r="X2482" i="10"/>
  <c r="Y2482" i="10" s="1"/>
  <c r="AG2482" i="10"/>
  <c r="X2483" i="10"/>
  <c r="Y2483" i="10" s="1"/>
  <c r="AG2483" i="10"/>
  <c r="X2484" i="10"/>
  <c r="Y2484" i="10" s="1"/>
  <c r="AG2484" i="10"/>
  <c r="X2485" i="10"/>
  <c r="Y2485" i="10" s="1"/>
  <c r="AG2485" i="10"/>
  <c r="X2486" i="10"/>
  <c r="Y2486" i="10"/>
  <c r="AG2486" i="10"/>
  <c r="X2487" i="10"/>
  <c r="Y2487" i="10" s="1"/>
  <c r="AG2487" i="10"/>
  <c r="X2488" i="10"/>
  <c r="Y2488" i="10" s="1"/>
  <c r="AG2488" i="10"/>
  <c r="Y2489" i="10"/>
  <c r="AG2489" i="10"/>
  <c r="X2490" i="10"/>
  <c r="Y2490" i="10"/>
  <c r="AG2490" i="10"/>
  <c r="X2491" i="10"/>
  <c r="Y2491" i="10" s="1"/>
  <c r="AG2491" i="10"/>
  <c r="Y2492" i="10"/>
  <c r="AG2492" i="10"/>
  <c r="AR2492" i="10" s="1"/>
  <c r="X2493" i="10"/>
  <c r="Y2493" i="10"/>
  <c r="AG2493" i="10"/>
  <c r="AO2493" i="10" s="1"/>
  <c r="X2494" i="10"/>
  <c r="Y2494" i="10" s="1"/>
  <c r="AG2494" i="10"/>
  <c r="Y2495" i="10"/>
  <c r="AG2495" i="10"/>
  <c r="AR2495" i="10" s="1"/>
  <c r="X2496" i="10"/>
  <c r="Y2496" i="10"/>
  <c r="AG2496" i="10"/>
  <c r="AM2496" i="10" s="1"/>
  <c r="X2497" i="10"/>
  <c r="Y2497" i="10"/>
  <c r="AG2497" i="10"/>
  <c r="Y2498" i="10"/>
  <c r="AG2498" i="10"/>
  <c r="AU2498" i="10" s="1"/>
  <c r="Y2499" i="10"/>
  <c r="AG2499" i="10"/>
  <c r="X2500" i="10"/>
  <c r="Y2500" i="10" s="1"/>
  <c r="AG2500" i="10"/>
  <c r="AL2500" i="10" s="1"/>
  <c r="Y2501" i="10"/>
  <c r="AG2501" i="10"/>
  <c r="AU2501" i="10" s="1"/>
  <c r="X2502" i="10"/>
  <c r="Y2502" i="10" s="1"/>
  <c r="AG2502" i="10"/>
  <c r="Y2503" i="10"/>
  <c r="AG2503" i="10"/>
  <c r="X2504" i="10"/>
  <c r="Y2504" i="10" s="1"/>
  <c r="AG2504" i="10"/>
  <c r="Y2505" i="10"/>
  <c r="AG2505" i="10"/>
  <c r="AP2505" i="10" s="1"/>
  <c r="Y2506" i="10"/>
  <c r="AG2506" i="10"/>
  <c r="AK2506" i="10" s="1"/>
  <c r="Y2507" i="10"/>
  <c r="AG2507" i="10"/>
  <c r="AU2507" i="10" s="1"/>
  <c r="Y2508" i="10"/>
  <c r="AG2508" i="10"/>
  <c r="Y2509" i="10"/>
  <c r="AG2509" i="10"/>
  <c r="AJ2509" i="10" s="1"/>
  <c r="X2510" i="10"/>
  <c r="Y2510" i="10" s="1"/>
  <c r="AG2510" i="10"/>
  <c r="X2511" i="10"/>
  <c r="Y2511" i="10"/>
  <c r="AG2511" i="10"/>
  <c r="X2512" i="10"/>
  <c r="Y2512" i="10" s="1"/>
  <c r="AG2512" i="10"/>
  <c r="X2513" i="10"/>
  <c r="Y2513" i="10" s="1"/>
  <c r="AG2513" i="10"/>
  <c r="Y2514" i="10"/>
  <c r="AG2514" i="10"/>
  <c r="X2515" i="10"/>
  <c r="Y2515" i="10" s="1"/>
  <c r="AG2515" i="10"/>
  <c r="Y2516" i="10"/>
  <c r="AG2516" i="10"/>
  <c r="AK2516" i="10" s="1"/>
  <c r="Y2517" i="10"/>
  <c r="AG2517" i="10"/>
  <c r="X2518" i="10"/>
  <c r="Y2518" i="10" s="1"/>
  <c r="AG2518" i="10"/>
  <c r="Y2519" i="10"/>
  <c r="AG2519" i="10"/>
  <c r="Y2520" i="10"/>
  <c r="AG2520" i="10"/>
  <c r="X2521" i="10"/>
  <c r="Y2521" i="10"/>
  <c r="AG2521" i="10"/>
  <c r="AJ2521" i="10" s="1"/>
  <c r="X2522" i="10"/>
  <c r="Y2522" i="10" s="1"/>
  <c r="AG2522" i="10"/>
  <c r="AJ2522" i="10" s="1"/>
  <c r="X2523" i="10"/>
  <c r="Y2523" i="10" s="1"/>
  <c r="AG2523" i="10"/>
  <c r="X2524" i="10"/>
  <c r="Y2524" i="10"/>
  <c r="AG2524" i="10"/>
  <c r="AL2524" i="10" s="1"/>
  <c r="Y2525" i="10"/>
  <c r="AG2525" i="10"/>
  <c r="Y2526" i="10"/>
  <c r="AG2526" i="10"/>
  <c r="AK2526" i="10" s="1"/>
  <c r="Y2527" i="10"/>
  <c r="AG2527" i="10"/>
  <c r="Y2528" i="10"/>
  <c r="AG2528" i="10"/>
  <c r="X2529" i="10"/>
  <c r="Y2529" i="10" s="1"/>
  <c r="AG2529" i="10"/>
  <c r="AJ2529" i="10" s="1"/>
  <c r="X2530" i="10"/>
  <c r="Y2530" i="10" s="1"/>
  <c r="AG2530" i="10"/>
  <c r="X2531" i="10"/>
  <c r="Y2531" i="10" s="1"/>
  <c r="AG2531" i="10"/>
  <c r="X2532" i="10"/>
  <c r="Y2532" i="10"/>
  <c r="AG2532" i="10"/>
  <c r="X2533" i="10"/>
  <c r="Y2533" i="10" s="1"/>
  <c r="AG2533" i="10"/>
  <c r="X2534" i="10"/>
  <c r="Y2534" i="10"/>
  <c r="AG2534" i="10"/>
  <c r="Y2535" i="10"/>
  <c r="AG2535" i="10"/>
  <c r="X2536" i="10"/>
  <c r="Y2536" i="10" s="1"/>
  <c r="AG2536" i="10"/>
  <c r="X2537" i="10"/>
  <c r="Y2537" i="10" s="1"/>
  <c r="AG2537" i="10"/>
  <c r="X2538" i="10"/>
  <c r="Y2538" i="10" s="1"/>
  <c r="AG2538" i="10"/>
  <c r="AJ2538" i="10" s="1"/>
  <c r="X2539" i="10"/>
  <c r="Y2539" i="10" s="1"/>
  <c r="AG2539" i="10"/>
  <c r="AR2539" i="10" s="1"/>
  <c r="X2540" i="10"/>
  <c r="Y2540" i="10" s="1"/>
  <c r="AG2540" i="10"/>
  <c r="X2541" i="10"/>
  <c r="Y2541" i="10" s="1"/>
  <c r="AG2541" i="10"/>
  <c r="X2542" i="10"/>
  <c r="Y2542" i="10" s="1"/>
  <c r="AG2542" i="10"/>
  <c r="AL2542" i="10" s="1"/>
  <c r="X2543" i="10"/>
  <c r="Y2543" i="10" s="1"/>
  <c r="AG2543" i="10"/>
  <c r="AK2543" i="10" s="1"/>
  <c r="X2544" i="10"/>
  <c r="Y2544" i="10" s="1"/>
  <c r="AG2544" i="10"/>
  <c r="AJ2544" i="10" s="1"/>
  <c r="Y2545" i="10"/>
  <c r="AG2545" i="10"/>
  <c r="AK2545" i="10" s="1"/>
  <c r="Y2546" i="10"/>
  <c r="AG2546" i="10"/>
  <c r="X2547" i="10"/>
  <c r="Y2547" i="10"/>
  <c r="AG2547" i="10"/>
  <c r="AN2547" i="10" s="1"/>
  <c r="X2548" i="10"/>
  <c r="Y2548" i="10" s="1"/>
  <c r="AG2548" i="10"/>
  <c r="X2549" i="10"/>
  <c r="Y2549" i="10" s="1"/>
  <c r="AG2549" i="10"/>
  <c r="X2550" i="10"/>
  <c r="Y2550" i="10"/>
  <c r="AG2550" i="10"/>
  <c r="W2551" i="10"/>
  <c r="X2551" i="10"/>
  <c r="AG2551" i="10"/>
  <c r="AP2551" i="10" s="1"/>
  <c r="Y2552" i="10"/>
  <c r="AG2552" i="10"/>
  <c r="AP2552" i="10" s="1"/>
  <c r="X2553" i="10"/>
  <c r="Y2553" i="10" s="1"/>
  <c r="AG2553" i="10"/>
  <c r="W2554" i="10"/>
  <c r="X2554" i="10"/>
  <c r="Y2554" i="10" s="1"/>
  <c r="AG2554" i="10"/>
  <c r="AP2554" i="10" s="1"/>
  <c r="X2555" i="10"/>
  <c r="Y2555" i="10"/>
  <c r="AG2555" i="10"/>
  <c r="X2556" i="10"/>
  <c r="Y2556" i="10" s="1"/>
  <c r="AG2556" i="10"/>
  <c r="AR2556" i="10" s="1"/>
  <c r="Y2557" i="10"/>
  <c r="AG2557" i="10"/>
  <c r="X2558" i="10"/>
  <c r="Y2558" i="10" s="1"/>
  <c r="AG2558" i="10"/>
  <c r="X2559" i="10"/>
  <c r="Y2559" i="10" s="1"/>
  <c r="AG2559" i="10"/>
  <c r="AJ2559" i="10" s="1"/>
  <c r="X2560" i="10"/>
  <c r="Y2560" i="10" s="1"/>
  <c r="AG2560" i="10"/>
  <c r="W2561" i="10"/>
  <c r="X2561" i="10"/>
  <c r="AG2561" i="10"/>
  <c r="AU2561" i="10" s="1"/>
  <c r="X2562" i="10"/>
  <c r="Y2562" i="10" s="1"/>
  <c r="AG2562" i="10"/>
  <c r="Y2563" i="10"/>
  <c r="AG2563" i="10"/>
  <c r="Y2564" i="10"/>
  <c r="AG2564" i="10"/>
  <c r="W2565" i="10"/>
  <c r="X2565" i="10"/>
  <c r="AG2565" i="10"/>
  <c r="X2566" i="10"/>
  <c r="Y2566" i="10" s="1"/>
  <c r="AG2566" i="10"/>
  <c r="Y2567" i="10"/>
  <c r="AG2567" i="10"/>
  <c r="X2568" i="10"/>
  <c r="Y2568" i="10" s="1"/>
  <c r="AG2568" i="10"/>
  <c r="AJ2568" i="10" s="1"/>
  <c r="X2569" i="10"/>
  <c r="Y2569" i="10" s="1"/>
  <c r="AG2569" i="10"/>
  <c r="AO2569" i="10" s="1"/>
  <c r="Y2570" i="10"/>
  <c r="AG2570" i="10"/>
  <c r="X2571" i="10"/>
  <c r="Y2571" i="10" s="1"/>
  <c r="AG2571" i="10"/>
  <c r="AQ2571" i="10" s="1"/>
  <c r="X2572" i="10"/>
  <c r="Y2572" i="10" s="1"/>
  <c r="AG2572" i="10"/>
  <c r="X2573" i="10"/>
  <c r="Y2573" i="10" s="1"/>
  <c r="AG2573" i="10"/>
  <c r="AW2573" i="10" s="1"/>
  <c r="W2574" i="10"/>
  <c r="X2574" i="10"/>
  <c r="AG2574" i="10"/>
  <c r="X2575" i="10"/>
  <c r="Y2575" i="10" s="1"/>
  <c r="AG2575" i="10"/>
  <c r="X2576" i="10"/>
  <c r="Y2576" i="10" s="1"/>
  <c r="AG2576" i="10"/>
  <c r="AQ2576" i="10" s="1"/>
  <c r="Y2577" i="10"/>
  <c r="AG2577" i="10"/>
  <c r="AP2577" i="10" s="1"/>
  <c r="X2578" i="10"/>
  <c r="Y2578" i="10" s="1"/>
  <c r="AG2578" i="10"/>
  <c r="X2579" i="10"/>
  <c r="Y2579" i="10" s="1"/>
  <c r="AG2579" i="10"/>
  <c r="X2580" i="10"/>
  <c r="Y2580" i="10" s="1"/>
  <c r="AG2580" i="10"/>
  <c r="AJ2580" i="10" s="1"/>
  <c r="X2581" i="10"/>
  <c r="Y2581" i="10" s="1"/>
  <c r="AG2581" i="10"/>
  <c r="X2582" i="10"/>
  <c r="Y2582" i="10" s="1"/>
  <c r="AG2582" i="10"/>
  <c r="AJ2582" i="10" s="1"/>
  <c r="X2583" i="10"/>
  <c r="Y2583" i="10" s="1"/>
  <c r="AG2583" i="10"/>
  <c r="X2584" i="10"/>
  <c r="Y2584" i="10" s="1"/>
  <c r="AG2584" i="10"/>
  <c r="AT2584" i="10" s="1"/>
  <c r="X2585" i="10"/>
  <c r="Y2585" i="10" s="1"/>
  <c r="AG2585" i="10"/>
  <c r="AQ2585" i="10" s="1"/>
  <c r="W2586" i="10"/>
  <c r="X2586" i="10"/>
  <c r="AG2586" i="10"/>
  <c r="X2587" i="10"/>
  <c r="Y2587" i="10" s="1"/>
  <c r="AG2587" i="10"/>
  <c r="AX2587" i="10" s="1"/>
  <c r="X2588" i="10"/>
  <c r="Y2588" i="10" s="1"/>
  <c r="AG2588" i="10"/>
  <c r="Y2589" i="10"/>
  <c r="AG2589" i="10"/>
  <c r="AP2589" i="10" s="1"/>
  <c r="X2590" i="10"/>
  <c r="Y2590" i="10" s="1"/>
  <c r="AG2590" i="10"/>
  <c r="X2591" i="10"/>
  <c r="Y2591" i="10" s="1"/>
  <c r="AG2591" i="10"/>
  <c r="X2592" i="10"/>
  <c r="Y2592" i="10"/>
  <c r="AG2592" i="10"/>
  <c r="X2593" i="10"/>
  <c r="Y2593" i="10" s="1"/>
  <c r="AG2593" i="10"/>
  <c r="X2594" i="10"/>
  <c r="Y2594" i="10" s="1"/>
  <c r="AG2594" i="10"/>
  <c r="AS2594" i="10" s="1"/>
  <c r="X2595" i="10"/>
  <c r="Y2595" i="10" s="1"/>
  <c r="AG2595" i="10"/>
  <c r="AT2595" i="10" s="1"/>
  <c r="X2596" i="10"/>
  <c r="Y2596" i="10"/>
  <c r="AG2596" i="10"/>
  <c r="AJ2596" i="10" s="1"/>
  <c r="X2597" i="10"/>
  <c r="Y2597" i="10" s="1"/>
  <c r="AG2597" i="10"/>
  <c r="AM2597" i="10" s="1"/>
  <c r="X2598" i="10"/>
  <c r="Y2598" i="10" s="1"/>
  <c r="AG2598" i="10"/>
  <c r="X2599" i="10"/>
  <c r="Y2599" i="10" s="1"/>
  <c r="AG2599" i="10"/>
  <c r="X2600" i="10"/>
  <c r="Y2600" i="10" s="1"/>
  <c r="AG2600" i="10"/>
  <c r="AT2600" i="10" s="1"/>
  <c r="Y2601" i="10"/>
  <c r="AG2601" i="10"/>
  <c r="AX2601" i="10" s="1"/>
  <c r="X2602" i="10"/>
  <c r="Y2602" i="10"/>
  <c r="AG2602" i="10"/>
  <c r="X2603" i="10"/>
  <c r="Y2603" i="10" s="1"/>
  <c r="AG2603" i="10"/>
  <c r="AQ2603" i="10" s="1"/>
  <c r="X2604" i="10"/>
  <c r="Y2604" i="10" s="1"/>
  <c r="AG2604" i="10"/>
  <c r="X2605" i="10"/>
  <c r="Y2605" i="10" s="1"/>
  <c r="AG2605" i="10"/>
  <c r="X2606" i="10"/>
  <c r="Y2606" i="10" s="1"/>
  <c r="AG2606" i="10"/>
  <c r="AT2606" i="10" s="1"/>
  <c r="X2607" i="10"/>
  <c r="Y2607" i="10" s="1"/>
  <c r="AG2607" i="10"/>
  <c r="X2608" i="10"/>
  <c r="Y2608" i="10" s="1"/>
  <c r="AG2608" i="10"/>
  <c r="X2609" i="10"/>
  <c r="Y2609" i="10" s="1"/>
  <c r="AG2609" i="10"/>
  <c r="X2610" i="10"/>
  <c r="Y2610" i="10" s="1"/>
  <c r="AG2610" i="10"/>
  <c r="AJ2610" i="10" s="1"/>
  <c r="X2611" i="10"/>
  <c r="Y2611" i="10" s="1"/>
  <c r="AG2611" i="10"/>
  <c r="X2612" i="10"/>
  <c r="Y2612" i="10" s="1"/>
  <c r="AG2612" i="10"/>
  <c r="X2613" i="10"/>
  <c r="Y2613" i="10"/>
  <c r="AG2613" i="10"/>
  <c r="X2614" i="10"/>
  <c r="Y2614" i="10" s="1"/>
  <c r="AG2614" i="10"/>
  <c r="AJ2614" i="10" s="1"/>
  <c r="X2615" i="10"/>
  <c r="Y2615" i="10" s="1"/>
  <c r="AG2615" i="10"/>
  <c r="AN2615" i="10" s="1"/>
  <c r="X2616" i="10"/>
  <c r="Y2616" i="10" s="1"/>
  <c r="AG2616" i="10"/>
  <c r="X2617" i="10"/>
  <c r="Y2617" i="10" s="1"/>
  <c r="AG2617" i="10"/>
  <c r="AS2617" i="10" s="1"/>
  <c r="X2618" i="10"/>
  <c r="Y2618" i="10"/>
  <c r="AG2618" i="10"/>
  <c r="AR2618" i="10" s="1"/>
  <c r="X2619" i="10"/>
  <c r="Y2619" i="10" s="1"/>
  <c r="AG2619" i="10"/>
  <c r="AU2619" i="10" s="1"/>
  <c r="X2620" i="10"/>
  <c r="Y2620" i="10" s="1"/>
  <c r="AG2620" i="10"/>
  <c r="W2621" i="10"/>
  <c r="X2621" i="10"/>
  <c r="Y2621" i="10" s="1"/>
  <c r="AG2621" i="10"/>
  <c r="W2622" i="10"/>
  <c r="X2622" i="10"/>
  <c r="Y2622" i="10" s="1"/>
  <c r="AG2622" i="10"/>
  <c r="W2623" i="10"/>
  <c r="X2623" i="10"/>
  <c r="Y2623" i="10" s="1"/>
  <c r="AG2623" i="10"/>
  <c r="AJ2623" i="10" s="1"/>
  <c r="X2624" i="10"/>
  <c r="Y2624" i="10" s="1"/>
  <c r="AG2624" i="10"/>
  <c r="AV2624" i="10" s="1"/>
  <c r="X2625" i="10"/>
  <c r="Y2625" i="10" s="1"/>
  <c r="AG2625" i="10"/>
  <c r="AV2625" i="10" s="1"/>
  <c r="X2626" i="10"/>
  <c r="Y2626" i="10" s="1"/>
  <c r="AG2626" i="10"/>
  <c r="AK2626" i="10" s="1"/>
  <c r="X2627" i="10"/>
  <c r="Y2627" i="10"/>
  <c r="AG2627" i="10"/>
  <c r="AL2627" i="10" s="1"/>
  <c r="X2628" i="10"/>
  <c r="Y2628" i="10" s="1"/>
  <c r="AG2628" i="10"/>
  <c r="X2629" i="10"/>
  <c r="Y2629" i="10" s="1"/>
  <c r="AG2629" i="10"/>
  <c r="AT2629" i="10" s="1"/>
  <c r="W2630" i="10"/>
  <c r="X2630" i="10"/>
  <c r="AG2630" i="10"/>
  <c r="X2631" i="10"/>
  <c r="Y2631" i="10" s="1"/>
  <c r="AG2631" i="10"/>
  <c r="AW2631" i="10" s="1"/>
  <c r="X2632" i="10"/>
  <c r="Y2632" i="10" s="1"/>
  <c r="AG2632" i="10"/>
  <c r="X2633" i="10"/>
  <c r="Y2633" i="10" s="1"/>
  <c r="AG2633" i="10"/>
  <c r="AT2633" i="10" s="1"/>
  <c r="X2634" i="10"/>
  <c r="Y2634" i="10" s="1"/>
  <c r="AG2634" i="10"/>
  <c r="X2635" i="10"/>
  <c r="Y2635" i="10" s="1"/>
  <c r="AG2635" i="10"/>
  <c r="X2636" i="10"/>
  <c r="Y2636" i="10" s="1"/>
  <c r="AG2636" i="10"/>
  <c r="AJ2636" i="10" s="1"/>
  <c r="X2637" i="10"/>
  <c r="Y2637" i="10" s="1"/>
  <c r="AG2637" i="10"/>
  <c r="AV2637" i="10" s="1"/>
  <c r="X2638" i="10"/>
  <c r="Y2638" i="10" s="1"/>
  <c r="AG2638" i="10"/>
  <c r="AM2638" i="10" s="1"/>
  <c r="X2639" i="10"/>
  <c r="Y2639" i="10" s="1"/>
  <c r="AG2639" i="10"/>
  <c r="X2640" i="10"/>
  <c r="Y2640" i="10" s="1"/>
  <c r="AG2640" i="10"/>
  <c r="X2641" i="10"/>
  <c r="Y2641" i="10" s="1"/>
  <c r="AG2641" i="10"/>
  <c r="AX2641" i="10" s="1"/>
  <c r="X2642" i="10"/>
  <c r="Y2642" i="10" s="1"/>
  <c r="AG2642" i="10"/>
  <c r="X2643" i="10"/>
  <c r="Y2643" i="10"/>
  <c r="AG2643" i="10"/>
  <c r="AJ2643" i="10" s="1"/>
  <c r="X2644" i="10"/>
  <c r="Y2644" i="10" s="1"/>
  <c r="AG2644" i="10"/>
  <c r="X2645" i="10"/>
  <c r="Y2645" i="10" s="1"/>
  <c r="AG2645" i="10"/>
  <c r="Y2646" i="10"/>
  <c r="AG2646" i="10"/>
  <c r="AT2646" i="10" s="1"/>
  <c r="X2647" i="10"/>
  <c r="Y2647" i="10" s="1"/>
  <c r="AG2647" i="10"/>
  <c r="AU2647" i="10" s="1"/>
  <c r="Y2648" i="10"/>
  <c r="AG2648" i="10"/>
  <c r="AL2648" i="10" s="1"/>
  <c r="Y2649" i="10"/>
  <c r="AG2649" i="10"/>
  <c r="AM2649" i="10" s="1"/>
  <c r="X2650" i="10"/>
  <c r="Y2650" i="10"/>
  <c r="AG2650" i="10"/>
  <c r="AM2650" i="10" s="1"/>
  <c r="Y2651" i="10"/>
  <c r="AG2651" i="10"/>
  <c r="AW2651" i="10" s="1"/>
  <c r="X2652" i="10"/>
  <c r="Y2652" i="10" s="1"/>
  <c r="AG2652" i="10"/>
  <c r="X2653" i="10"/>
  <c r="Y2653" i="10" s="1"/>
  <c r="AG2653" i="10"/>
  <c r="X2654" i="10"/>
  <c r="Y2654" i="10" s="1"/>
  <c r="AG2654" i="10"/>
  <c r="AJ2654" i="10" s="1"/>
  <c r="Y2655" i="10"/>
  <c r="AG2655" i="10"/>
  <c r="Y2450" i="10"/>
  <c r="AG2450" i="10"/>
  <c r="Y2452" i="10"/>
  <c r="AG2452" i="10"/>
  <c r="AJ2452" i="10" s="1"/>
  <c r="X2656" i="10"/>
  <c r="Y2656" i="10"/>
  <c r="AG2656" i="10"/>
  <c r="AX2656" i="10" s="1"/>
  <c r="Y2657" i="10"/>
  <c r="AG2657" i="10"/>
  <c r="X2658" i="10"/>
  <c r="Y2658" i="10"/>
  <c r="AG2658" i="10"/>
  <c r="AJ2658" i="10" s="1"/>
  <c r="X2659" i="10"/>
  <c r="Y2659" i="10"/>
  <c r="AG2659" i="10"/>
  <c r="AJ2659" i="10" s="1"/>
  <c r="Y2660" i="10"/>
  <c r="AG2660" i="10"/>
  <c r="Y2454" i="10"/>
  <c r="AG2454" i="10"/>
  <c r="W2661" i="10"/>
  <c r="Y2661" i="10" s="1"/>
  <c r="AG2661" i="10"/>
  <c r="AR2661" i="10" s="1"/>
  <c r="W2662" i="10"/>
  <c r="Y2662" i="10" s="1"/>
  <c r="AG2662" i="10"/>
  <c r="X2663" i="10"/>
  <c r="Y2663" i="10" s="1"/>
  <c r="AG2663" i="10"/>
  <c r="X2664" i="10"/>
  <c r="Y2664" i="10" s="1"/>
  <c r="AG2664" i="10"/>
  <c r="AK2664" i="10" s="1"/>
  <c r="X2665" i="10"/>
  <c r="Y2665" i="10" s="1"/>
  <c r="AG2665" i="10"/>
  <c r="X2456" i="10"/>
  <c r="Y2456" i="10"/>
  <c r="AG2456" i="10"/>
  <c r="W2666" i="10"/>
  <c r="Y2666" i="10" s="1"/>
  <c r="AG2666" i="10"/>
  <c r="W2667" i="10"/>
  <c r="Y2667" i="10" s="1"/>
  <c r="AG2667" i="10"/>
  <c r="Y2668" i="10"/>
  <c r="AG2668" i="10"/>
  <c r="X2458" i="10"/>
  <c r="Y2458" i="10" s="1"/>
  <c r="AG2458" i="10"/>
  <c r="Y2669" i="10"/>
  <c r="AG2669" i="10"/>
  <c r="X2670" i="10"/>
  <c r="Y2670" i="10" s="1"/>
  <c r="AG2670" i="10"/>
  <c r="Y2671" i="10"/>
  <c r="AG2671" i="10"/>
  <c r="X2672" i="10"/>
  <c r="Y2672" i="10" s="1"/>
  <c r="AG2672" i="10"/>
  <c r="AL2672" i="10" s="1"/>
  <c r="X2673" i="10"/>
  <c r="Y2673" i="10" s="1"/>
  <c r="AG2673" i="10"/>
  <c r="AW2673" i="10" s="1"/>
  <c r="W2674" i="10"/>
  <c r="AG2674" i="10"/>
  <c r="AO2674" i="10" s="1"/>
  <c r="Y2675" i="10"/>
  <c r="AG2675" i="10"/>
  <c r="Y2676" i="10"/>
  <c r="AG2676" i="10"/>
  <c r="AX2676" i="10" s="1"/>
  <c r="X2677" i="10"/>
  <c r="Y2677" i="10"/>
  <c r="AG2677" i="10"/>
  <c r="AN2677" i="10" s="1"/>
  <c r="X2678" i="10"/>
  <c r="Y2678" i="10" s="1"/>
  <c r="AG2678" i="10"/>
  <c r="AP2678" i="10" s="1"/>
  <c r="W2679" i="10"/>
  <c r="Y2679" i="10" s="1"/>
  <c r="AG2679" i="10"/>
  <c r="AU2679" i="10" s="1"/>
  <c r="X2680" i="10"/>
  <c r="Y2680" i="10"/>
  <c r="AG2680" i="10"/>
  <c r="AJ2680" i="10" s="1"/>
  <c r="Y2681" i="10"/>
  <c r="AG2681" i="10"/>
  <c r="Y2682" i="10"/>
  <c r="AG2682" i="10"/>
  <c r="Y2683" i="10"/>
  <c r="AG2683" i="10"/>
  <c r="AQ2683" i="10" s="1"/>
  <c r="X2684" i="10"/>
  <c r="Y2684" i="10" s="1"/>
  <c r="AG2684" i="10"/>
  <c r="X2685" i="10"/>
  <c r="Y2685" i="10"/>
  <c r="AG2685" i="10"/>
  <c r="X2686" i="10"/>
  <c r="Y2686" i="10" s="1"/>
  <c r="AG2686" i="10"/>
  <c r="AP2686" i="10" s="1"/>
  <c r="X2687" i="10"/>
  <c r="Y2687" i="10" s="1"/>
  <c r="AG2687" i="10"/>
  <c r="AR2687" i="10" s="1"/>
  <c r="X2688" i="10"/>
  <c r="Y2688" i="10"/>
  <c r="AG2688" i="10"/>
  <c r="Y2689" i="10"/>
  <c r="AG2689" i="10"/>
  <c r="AO2689" i="10" s="1"/>
  <c r="Y2690" i="10"/>
  <c r="AG2690" i="10"/>
  <c r="Y2691" i="10"/>
  <c r="AG2691" i="10"/>
  <c r="AW2691" i="10" s="1"/>
  <c r="X2692" i="10"/>
  <c r="Y2692" i="10" s="1"/>
  <c r="AG2692" i="10"/>
  <c r="W2693" i="10"/>
  <c r="X2693" i="10"/>
  <c r="AG2693" i="10"/>
  <c r="X2694" i="10"/>
  <c r="Y2694" i="10" s="1"/>
  <c r="AG2694" i="10"/>
  <c r="AT2694" i="10" s="1"/>
  <c r="X2695" i="10"/>
  <c r="Y2695" i="10" s="1"/>
  <c r="AG2695" i="10"/>
  <c r="X2696" i="10"/>
  <c r="Y2696" i="10" s="1"/>
  <c r="AG2696" i="10"/>
  <c r="AJ2696" i="10" s="1"/>
  <c r="X2697" i="10"/>
  <c r="Y2697" i="10" s="1"/>
  <c r="AG2697" i="10"/>
  <c r="X2698" i="10"/>
  <c r="Y2698" i="10" s="1"/>
  <c r="AG2698" i="10"/>
  <c r="X2699" i="10"/>
  <c r="Y2699" i="10"/>
  <c r="AG2699" i="10"/>
  <c r="AO2699" i="10" s="1"/>
  <c r="X2700" i="10"/>
  <c r="Y2700" i="10" s="1"/>
  <c r="AG2700" i="10"/>
  <c r="AW2700" i="10" s="1"/>
  <c r="X2701" i="10"/>
  <c r="Y2701" i="10"/>
  <c r="AG2701" i="10"/>
  <c r="AJ2701" i="10" s="1"/>
  <c r="X2702" i="10"/>
  <c r="Y2702" i="10" s="1"/>
  <c r="AG2702" i="10"/>
  <c r="X2703" i="10"/>
  <c r="Y2703" i="10" s="1"/>
  <c r="AG2703" i="10"/>
  <c r="W2704" i="10"/>
  <c r="Y2704" i="10" s="1"/>
  <c r="AG2704" i="10"/>
  <c r="X2705" i="10"/>
  <c r="Y2705" i="10" s="1"/>
  <c r="AG2705" i="10"/>
  <c r="AW2705" i="10" s="1"/>
  <c r="X2706" i="10"/>
  <c r="Y2706" i="10" s="1"/>
  <c r="AG2706" i="10"/>
  <c r="X2707" i="10"/>
  <c r="Y2707" i="10" s="1"/>
  <c r="AG2707" i="10"/>
  <c r="Y2708" i="10"/>
  <c r="AG2708" i="10"/>
  <c r="AV2708" i="10" s="1"/>
  <c r="Y2709" i="10"/>
  <c r="AG2709" i="10"/>
  <c r="X2710" i="10"/>
  <c r="Y2710" i="10" s="1"/>
  <c r="AG2710" i="10"/>
  <c r="X2711" i="10"/>
  <c r="Y2711" i="10" s="1"/>
  <c r="AG2711" i="10"/>
  <c r="AP2711" i="10" s="1"/>
  <c r="X2712" i="10"/>
  <c r="Y2712" i="10" s="1"/>
  <c r="AG2712" i="10"/>
  <c r="Y2713" i="10"/>
  <c r="AG2713" i="10"/>
  <c r="Y2714" i="10"/>
  <c r="AG2714" i="10"/>
  <c r="AX2714" i="10" s="1"/>
  <c r="X2715" i="10"/>
  <c r="Y2715" i="10" s="1"/>
  <c r="AG2715" i="10"/>
  <c r="X2716" i="10"/>
  <c r="Y2716" i="10" s="1"/>
  <c r="AG2716" i="10"/>
  <c r="AJ2716" i="10" s="1"/>
  <c r="Y2717" i="10"/>
  <c r="AG2717" i="10"/>
  <c r="X2718" i="10"/>
  <c r="Y2718" i="10" s="1"/>
  <c r="AG2718" i="10"/>
  <c r="AQ2718" i="10" s="1"/>
  <c r="X2719" i="10"/>
  <c r="Y2719" i="10" s="1"/>
  <c r="AG2719" i="10"/>
  <c r="AU2719" i="10" s="1"/>
  <c r="X2720" i="10"/>
  <c r="Y2720" i="10" s="1"/>
  <c r="AG2720" i="10"/>
  <c r="AS2720" i="10" s="1"/>
  <c r="X2721" i="10"/>
  <c r="Y2721" i="10" s="1"/>
  <c r="AG2721" i="10"/>
  <c r="X2722" i="10"/>
  <c r="Y2722" i="10" s="1"/>
  <c r="AG2722" i="10"/>
  <c r="X2723" i="10"/>
  <c r="Y2723" i="10" s="1"/>
  <c r="AG2723" i="10"/>
  <c r="X2724" i="10"/>
  <c r="Y2724" i="10" s="1"/>
  <c r="AG2724" i="10"/>
  <c r="X2725" i="10"/>
  <c r="Y2725" i="10" s="1"/>
  <c r="AG2725" i="10"/>
  <c r="X2726" i="10"/>
  <c r="Y2726" i="10" s="1"/>
  <c r="AG2726" i="10"/>
  <c r="AJ2726" i="10" s="1"/>
  <c r="X2727" i="10"/>
  <c r="Y2727" i="10" s="1"/>
  <c r="AG2727" i="10"/>
  <c r="X2728" i="10"/>
  <c r="Y2728" i="10" s="1"/>
  <c r="AG2728" i="10"/>
  <c r="AT2728" i="10" s="1"/>
  <c r="X2729" i="10"/>
  <c r="Y2729" i="10"/>
  <c r="AG2729" i="10"/>
  <c r="Y2730" i="10"/>
  <c r="AG2730" i="10"/>
  <c r="Y1704" i="10"/>
  <c r="Y2574" i="10"/>
  <c r="Y1465" i="10"/>
  <c r="Y1459" i="10"/>
  <c r="Y1657" i="10"/>
  <c r="Y1685" i="10"/>
  <c r="Y1847" i="10"/>
  <c r="AW2035" i="10"/>
  <c r="AX2763" i="10"/>
  <c r="AW2765" i="10"/>
  <c r="AW2038" i="10"/>
  <c r="AW1758" i="10"/>
  <c r="AW2166" i="10"/>
  <c r="Y2170" i="10"/>
  <c r="Y2016" i="10"/>
  <c r="Y1670" i="10"/>
  <c r="Y1437" i="10"/>
  <c r="Y1028" i="10"/>
  <c r="Y1131" i="10"/>
  <c r="AX2764" i="10"/>
  <c r="AW2764" i="10"/>
  <c r="AX1758" i="10"/>
  <c r="AX2765" i="10"/>
  <c r="AX2164" i="10"/>
  <c r="AW2164" i="10"/>
  <c r="AX2035" i="10"/>
  <c r="AW1861" i="10"/>
  <c r="AX1861" i="10"/>
  <c r="AX2038" i="10"/>
  <c r="AX2157" i="10"/>
  <c r="AW2157" i="10"/>
  <c r="AX2044" i="10"/>
  <c r="AX2167" i="10"/>
  <c r="AW2044" i="10"/>
  <c r="AW2036" i="10"/>
  <c r="AX2162" i="10"/>
  <c r="AW2162" i="10"/>
  <c r="AW2763" i="10"/>
  <c r="AW2167" i="10"/>
  <c r="AX2036" i="10"/>
  <c r="AX2166" i="10"/>
  <c r="BQ6" i="53"/>
  <c r="BP6" i="53"/>
  <c r="BO6" i="53"/>
  <c r="BN6" i="53"/>
  <c r="BM6" i="53"/>
  <c r="BL6" i="53"/>
  <c r="BK6" i="53"/>
  <c r="BJ6" i="53"/>
  <c r="BI6" i="53"/>
  <c r="BH6" i="53"/>
  <c r="BG6" i="53"/>
  <c r="BF6" i="53"/>
  <c r="BE6" i="53"/>
  <c r="BD6" i="53"/>
  <c r="BC6" i="53"/>
  <c r="BB6" i="53"/>
  <c r="BA6" i="53"/>
  <c r="AZ6" i="53"/>
  <c r="AY6" i="53"/>
  <c r="AX6" i="53"/>
  <c r="AW6" i="53"/>
  <c r="AV6" i="53"/>
  <c r="AU6" i="53"/>
  <c r="AT6" i="53"/>
  <c r="AS6" i="53"/>
  <c r="AR6" i="53"/>
  <c r="AQ6" i="53"/>
  <c r="AP6" i="53"/>
  <c r="AO6" i="53"/>
  <c r="AN6" i="53"/>
  <c r="AM6" i="53"/>
  <c r="AL6" i="53"/>
  <c r="AK6" i="53"/>
  <c r="AJ6" i="53"/>
  <c r="AI6" i="53"/>
  <c r="AH6" i="53"/>
  <c r="AG5" i="53"/>
  <c r="AG6" i="53"/>
  <c r="U5" i="53"/>
  <c r="U6" i="53"/>
  <c r="AF6" i="53"/>
  <c r="AE6" i="53"/>
  <c r="AD6" i="53"/>
  <c r="T6" i="53"/>
  <c r="R6" i="53"/>
  <c r="S6" i="53"/>
  <c r="BI1741" i="10"/>
  <c r="BH1741" i="10"/>
  <c r="BG1741" i="10"/>
  <c r="BF1741" i="10"/>
  <c r="BE1741" i="10"/>
  <c r="BD1741" i="10"/>
  <c r="BI1740" i="10"/>
  <c r="BH1740" i="10"/>
  <c r="BG1740" i="10"/>
  <c r="BF1740" i="10"/>
  <c r="BE1740" i="10"/>
  <c r="BD1740" i="10"/>
  <c r="BI1738" i="10"/>
  <c r="BH1738" i="10"/>
  <c r="BG1738" i="10"/>
  <c r="BF1738" i="10"/>
  <c r="BE1738" i="10"/>
  <c r="BD1738" i="10"/>
  <c r="BI1739" i="10"/>
  <c r="BH1739" i="10"/>
  <c r="BG1739" i="10"/>
  <c r="BF1739" i="10"/>
  <c r="BE1739" i="10"/>
  <c r="BD1739" i="10"/>
  <c r="BI1735" i="10"/>
  <c r="BH1735" i="10"/>
  <c r="BG1735" i="10"/>
  <c r="BF1735" i="10"/>
  <c r="BE1735" i="10"/>
  <c r="BD1735" i="10"/>
  <c r="BI1731" i="10"/>
  <c r="BH1731" i="10"/>
  <c r="BG1731" i="10"/>
  <c r="BF1731" i="10"/>
  <c r="BE1731" i="10"/>
  <c r="BD1731" i="10"/>
  <c r="BI1728" i="10"/>
  <c r="BH1728" i="10"/>
  <c r="BG1728" i="10"/>
  <c r="BF1728" i="10"/>
  <c r="BE1728" i="10"/>
  <c r="BD1728" i="10"/>
  <c r="BI1729" i="10"/>
  <c r="BH1729" i="10"/>
  <c r="BG1729" i="10"/>
  <c r="BF1729" i="10"/>
  <c r="BE1729" i="10"/>
  <c r="BD1729" i="10"/>
  <c r="BI1726" i="10"/>
  <c r="BH1726" i="10"/>
  <c r="BG1726" i="10"/>
  <c r="BF1726" i="10"/>
  <c r="BE1726" i="10"/>
  <c r="BD1726" i="10"/>
  <c r="C247" i="45"/>
  <c r="G246" i="45"/>
  <c r="E246" i="45"/>
  <c r="C246" i="45"/>
  <c r="C6" i="52"/>
  <c r="C7" i="52"/>
  <c r="C8" i="52"/>
  <c r="C5" i="52"/>
  <c r="D10" i="52"/>
  <c r="AI12" i="43"/>
  <c r="AI11" i="43"/>
  <c r="AI10" i="43"/>
  <c r="AI9" i="43"/>
  <c r="AI8" i="43"/>
  <c r="AI7" i="43"/>
  <c r="AH12" i="43"/>
  <c r="AH11" i="43"/>
  <c r="AH10" i="43"/>
  <c r="AH9" i="43"/>
  <c r="AH8" i="43"/>
  <c r="AH7" i="43"/>
  <c r="AG12" i="43"/>
  <c r="AG11" i="43"/>
  <c r="AG10" i="43"/>
  <c r="AG9" i="43"/>
  <c r="AG8" i="43"/>
  <c r="AG7" i="43"/>
  <c r="AF12" i="43"/>
  <c r="AF11" i="43"/>
  <c r="AF10" i="43"/>
  <c r="AF9" i="43"/>
  <c r="AF8" i="43"/>
  <c r="AF7" i="43"/>
  <c r="AE12" i="43"/>
  <c r="AE11" i="43"/>
  <c r="AE10" i="43"/>
  <c r="AE9" i="43"/>
  <c r="AE8" i="43"/>
  <c r="AE7" i="43"/>
  <c r="AI14" i="43"/>
  <c r="AH14" i="43"/>
  <c r="AG14" i="43"/>
  <c r="AF14" i="43"/>
  <c r="AE14" i="43"/>
  <c r="AI13" i="43"/>
  <c r="AH13" i="43"/>
  <c r="AG13" i="43"/>
  <c r="AF13" i="43"/>
  <c r="AE13" i="43"/>
  <c r="AD12" i="43"/>
  <c r="AD11" i="43"/>
  <c r="AD10" i="43"/>
  <c r="AD9" i="43"/>
  <c r="AD8" i="43"/>
  <c r="AD7" i="43"/>
  <c r="AH82" i="45"/>
  <c r="AF82" i="45"/>
  <c r="AD82" i="45"/>
  <c r="AI15" i="43" s="1"/>
  <c r="N82" i="45"/>
  <c r="L82" i="45"/>
  <c r="Q15" i="43" s="1"/>
  <c r="W82" i="45"/>
  <c r="U82" i="45"/>
  <c r="Z15" i="43" s="1"/>
  <c r="P82" i="45"/>
  <c r="C82" i="45"/>
  <c r="G15" i="43" s="1"/>
  <c r="E82" i="45"/>
  <c r="G82" i="45"/>
  <c r="AH81" i="45"/>
  <c r="AF81" i="45"/>
  <c r="AD81" i="45"/>
  <c r="AH15" i="43" s="1"/>
  <c r="W81" i="45"/>
  <c r="U81" i="45"/>
  <c r="Y15" i="43" s="1"/>
  <c r="G81" i="45"/>
  <c r="L81" i="45"/>
  <c r="P15" i="43" s="1"/>
  <c r="P81" i="45"/>
  <c r="N81" i="45"/>
  <c r="C81" i="45"/>
  <c r="F15" i="43" s="1"/>
  <c r="E81" i="45"/>
  <c r="Y82" i="45"/>
  <c r="I3" i="49"/>
  <c r="I4" i="49"/>
  <c r="I5" i="49"/>
  <c r="I6" i="49"/>
  <c r="I7" i="49"/>
  <c r="I8" i="49"/>
  <c r="I9" i="49"/>
  <c r="I10" i="49"/>
  <c r="I11" i="49"/>
  <c r="I12" i="49"/>
  <c r="I13" i="49"/>
  <c r="I14" i="49"/>
  <c r="I15" i="49"/>
  <c r="I16" i="49"/>
  <c r="I17" i="49"/>
  <c r="I18" i="49"/>
  <c r="I19" i="49"/>
  <c r="I20" i="49"/>
  <c r="I21" i="49"/>
  <c r="I22" i="49"/>
  <c r="I23" i="49"/>
  <c r="I24" i="49"/>
  <c r="I25" i="49"/>
  <c r="I26" i="49"/>
  <c r="I27" i="49"/>
  <c r="I28" i="49"/>
  <c r="I29" i="49"/>
  <c r="I30" i="49"/>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I57" i="49"/>
  <c r="I58" i="49"/>
  <c r="I59" i="49"/>
  <c r="I60" i="49"/>
  <c r="I61" i="49"/>
  <c r="I62" i="49"/>
  <c r="I63" i="49"/>
  <c r="I64" i="49"/>
  <c r="I65" i="49"/>
  <c r="I66"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I93" i="49"/>
  <c r="I94" i="49"/>
  <c r="I95" i="49"/>
  <c r="I96" i="49"/>
  <c r="I97" i="49"/>
  <c r="I98" i="49"/>
  <c r="I99" i="49"/>
  <c r="I100" i="49"/>
  <c r="I101" i="49"/>
  <c r="I102" i="49"/>
  <c r="I103" i="49"/>
  <c r="I104" i="49"/>
  <c r="I105" i="49"/>
  <c r="I106" i="49"/>
  <c r="I107" i="49"/>
  <c r="I108" i="49"/>
  <c r="I109" i="49"/>
  <c r="I110" i="49"/>
  <c r="I111" i="49"/>
  <c r="I112" i="49"/>
  <c r="I113" i="49"/>
  <c r="I114" i="49"/>
  <c r="I115" i="49"/>
  <c r="I116" i="49"/>
  <c r="I117" i="49"/>
  <c r="I118" i="49"/>
  <c r="I119" i="49"/>
  <c r="I120" i="49"/>
  <c r="I121" i="49"/>
  <c r="I122" i="49"/>
  <c r="I123" i="49"/>
  <c r="I124" i="49"/>
  <c r="I125" i="49"/>
  <c r="I126" i="49"/>
  <c r="I127" i="49"/>
  <c r="I128" i="49"/>
  <c r="I129" i="49"/>
  <c r="I130" i="49"/>
  <c r="I131" i="49"/>
  <c r="I132" i="49"/>
  <c r="I133" i="49"/>
  <c r="I134" i="49"/>
  <c r="I135" i="49"/>
  <c r="I136" i="49"/>
  <c r="I137" i="49"/>
  <c r="I138" i="49"/>
  <c r="I139" i="49"/>
  <c r="I140" i="49"/>
  <c r="I141" i="49"/>
  <c r="I142" i="49"/>
  <c r="I143" i="49"/>
  <c r="I144" i="49"/>
  <c r="I145" i="49"/>
  <c r="I146" i="49"/>
  <c r="I147" i="49"/>
  <c r="I148" i="49"/>
  <c r="I149" i="49"/>
  <c r="I150" i="49"/>
  <c r="I151" i="49"/>
  <c r="I152" i="49"/>
  <c r="I153" i="49"/>
  <c r="I154" i="49"/>
  <c r="I155" i="49"/>
  <c r="I156" i="49"/>
  <c r="I157" i="49"/>
  <c r="I158" i="49"/>
  <c r="I159" i="49"/>
  <c r="I160" i="49"/>
  <c r="I161" i="49"/>
  <c r="I162" i="49"/>
  <c r="I163" i="49"/>
  <c r="I164" i="49"/>
  <c r="I165" i="49"/>
  <c r="I166" i="49"/>
  <c r="I167" i="49"/>
  <c r="I168" i="49"/>
  <c r="I169" i="49"/>
  <c r="I170" i="49"/>
  <c r="I171" i="49"/>
  <c r="I172" i="49"/>
  <c r="I173" i="49"/>
  <c r="I174" i="49"/>
  <c r="I175" i="49"/>
  <c r="I176" i="49"/>
  <c r="I177" i="49"/>
  <c r="I178" i="49"/>
  <c r="I179" i="49"/>
  <c r="I180" i="49"/>
  <c r="I181" i="49"/>
  <c r="I182" i="49"/>
  <c r="I183" i="49"/>
  <c r="I184" i="49"/>
  <c r="I185" i="49"/>
  <c r="I186" i="49"/>
  <c r="I187" i="49"/>
  <c r="I188" i="49"/>
  <c r="I189" i="49"/>
  <c r="I190" i="49"/>
  <c r="I191" i="49"/>
  <c r="I192" i="49"/>
  <c r="I193" i="49"/>
  <c r="I194" i="49"/>
  <c r="I195" i="49"/>
  <c r="I196" i="49"/>
  <c r="I197" i="49"/>
  <c r="I198" i="49"/>
  <c r="I199" i="49"/>
  <c r="I200" i="49"/>
  <c r="I201" i="49"/>
  <c r="I202" i="49"/>
  <c r="I203" i="49"/>
  <c r="I204" i="49"/>
  <c r="I205" i="49"/>
  <c r="I206" i="49"/>
  <c r="I207" i="49"/>
  <c r="I208" i="49"/>
  <c r="I209" i="49"/>
  <c r="I210" i="49"/>
  <c r="I211" i="49"/>
  <c r="I212" i="49"/>
  <c r="I213" i="49"/>
  <c r="I214" i="49"/>
  <c r="I215" i="49"/>
  <c r="I216" i="49"/>
  <c r="I217" i="49"/>
  <c r="I218" i="49"/>
  <c r="I219" i="49"/>
  <c r="I220" i="49"/>
  <c r="I221" i="49"/>
  <c r="I222" i="49"/>
  <c r="I223" i="49"/>
  <c r="I224" i="49"/>
  <c r="I225" i="49"/>
  <c r="I226" i="49"/>
  <c r="I227" i="49"/>
  <c r="I228" i="49"/>
  <c r="I229" i="49"/>
  <c r="I230" i="49"/>
  <c r="I231" i="49"/>
  <c r="I232" i="49"/>
  <c r="I233" i="49"/>
  <c r="I234" i="49"/>
  <c r="I235" i="49"/>
  <c r="I236" i="49"/>
  <c r="I237" i="49"/>
  <c r="I238" i="49"/>
  <c r="I239" i="49"/>
  <c r="I240" i="49"/>
  <c r="I241" i="49"/>
  <c r="I242" i="49"/>
  <c r="I243" i="49"/>
  <c r="I244" i="49"/>
  <c r="I245" i="49"/>
  <c r="I246" i="49"/>
  <c r="I247" i="49"/>
  <c r="I248" i="49"/>
  <c r="I249" i="49"/>
  <c r="I250" i="49"/>
  <c r="I251" i="49"/>
  <c r="I252" i="49"/>
  <c r="I253" i="49"/>
  <c r="I254" i="49"/>
  <c r="I255" i="49"/>
  <c r="I256" i="49"/>
  <c r="I257" i="49"/>
  <c r="I258" i="49"/>
  <c r="I259" i="49"/>
  <c r="I260" i="49"/>
  <c r="I261" i="49"/>
  <c r="I262" i="49"/>
  <c r="I263" i="49"/>
  <c r="I264" i="49"/>
  <c r="I265" i="49"/>
  <c r="I266" i="49"/>
  <c r="I267" i="49"/>
  <c r="I268" i="49"/>
  <c r="I269" i="49"/>
  <c r="I270" i="49"/>
  <c r="I271" i="49"/>
  <c r="I272" i="49"/>
  <c r="I273" i="49"/>
  <c r="I274" i="49"/>
  <c r="I275" i="49"/>
  <c r="I276" i="49"/>
  <c r="I277" i="49"/>
  <c r="I278" i="49"/>
  <c r="I279" i="49"/>
  <c r="I280" i="49"/>
  <c r="I281" i="49"/>
  <c r="I282" i="49"/>
  <c r="I283" i="49"/>
  <c r="I284" i="49"/>
  <c r="I285" i="49"/>
  <c r="I286" i="49"/>
  <c r="I287" i="49"/>
  <c r="I288" i="49"/>
  <c r="I289" i="49"/>
  <c r="I2" i="49"/>
  <c r="L10" i="49"/>
  <c r="L8" i="49"/>
  <c r="L5" i="49"/>
  <c r="L9" i="49"/>
  <c r="L2" i="49"/>
  <c r="L3" i="49"/>
  <c r="L4" i="49"/>
  <c r="L6" i="49"/>
  <c r="L7" i="49"/>
  <c r="M8" i="49"/>
  <c r="M6" i="49"/>
  <c r="M3" i="49"/>
  <c r="M4" i="49"/>
  <c r="N9" i="49"/>
  <c r="M9" i="49"/>
  <c r="M5" i="49"/>
  <c r="M7" i="49"/>
  <c r="M10" i="49"/>
  <c r="BI2408" i="10"/>
  <c r="W73" i="45"/>
  <c r="L73" i="45"/>
  <c r="Q14" i="43" s="1"/>
  <c r="G73" i="45"/>
  <c r="U73" i="45"/>
  <c r="Z14" i="43" s="1"/>
  <c r="P73" i="45"/>
  <c r="E73" i="45"/>
  <c r="N73" i="45"/>
  <c r="C73" i="45"/>
  <c r="G14" i="43" s="1"/>
  <c r="Y73" i="45"/>
  <c r="Y53" i="45"/>
  <c r="W53" i="45"/>
  <c r="U53" i="45"/>
  <c r="X12" i="43" s="1"/>
  <c r="P53" i="45"/>
  <c r="N53" i="45"/>
  <c r="L53" i="45"/>
  <c r="O12" i="43" s="1"/>
  <c r="Y44" i="45"/>
  <c r="W44" i="45"/>
  <c r="U44" i="45"/>
  <c r="X11" i="43" s="1"/>
  <c r="P44" i="45"/>
  <c r="N44" i="45"/>
  <c r="L44" i="45"/>
  <c r="O11" i="43" s="1"/>
  <c r="Y35" i="45"/>
  <c r="W35" i="45"/>
  <c r="U35" i="45"/>
  <c r="X10" i="43" s="1"/>
  <c r="P35" i="45"/>
  <c r="N35" i="45"/>
  <c r="L35" i="45"/>
  <c r="O10" i="43" s="1"/>
  <c r="Y26" i="45"/>
  <c r="W26" i="45"/>
  <c r="U26" i="45"/>
  <c r="X9" i="43" s="1"/>
  <c r="P26" i="45"/>
  <c r="N26" i="45"/>
  <c r="L26" i="45"/>
  <c r="O9" i="43" s="1"/>
  <c r="Y17" i="45"/>
  <c r="W17" i="45"/>
  <c r="U17" i="45"/>
  <c r="X8" i="43" s="1"/>
  <c r="P17" i="45"/>
  <c r="N17" i="45"/>
  <c r="L17" i="45"/>
  <c r="O8" i="43" s="1"/>
  <c r="Y8" i="45"/>
  <c r="W8" i="45"/>
  <c r="U8" i="45"/>
  <c r="X7" i="43" s="1"/>
  <c r="P8" i="45"/>
  <c r="N8" i="45"/>
  <c r="L8" i="45"/>
  <c r="O7" i="43" s="1"/>
  <c r="G53" i="45"/>
  <c r="E53" i="45"/>
  <c r="C53" i="45"/>
  <c r="E12" i="43" s="1"/>
  <c r="G44" i="45"/>
  <c r="E44" i="45"/>
  <c r="C44" i="45"/>
  <c r="E11" i="43" s="1"/>
  <c r="G35" i="45"/>
  <c r="E35" i="45"/>
  <c r="C35" i="45"/>
  <c r="E10" i="43" s="1"/>
  <c r="G26" i="45"/>
  <c r="E26" i="45"/>
  <c r="C26" i="45"/>
  <c r="E9" i="43" s="1"/>
  <c r="G17" i="45"/>
  <c r="E17" i="45"/>
  <c r="C17" i="45"/>
  <c r="E8" i="43" s="1"/>
  <c r="G8" i="45"/>
  <c r="E8" i="45"/>
  <c r="C8" i="45"/>
  <c r="E7" i="43" s="1"/>
  <c r="P64" i="45"/>
  <c r="U64" i="45"/>
  <c r="Z13" i="43" s="1"/>
  <c r="Y64" i="45"/>
  <c r="W64" i="45"/>
  <c r="L64" i="45"/>
  <c r="Q13" i="43" s="1"/>
  <c r="C64" i="45"/>
  <c r="G13" i="43" s="1"/>
  <c r="G64" i="45"/>
  <c r="E64" i="45"/>
  <c r="N64" i="45"/>
  <c r="U55" i="45"/>
  <c r="Z12" i="43" s="1"/>
  <c r="Y55" i="45"/>
  <c r="N55" i="45"/>
  <c r="W55" i="45"/>
  <c r="L55" i="45"/>
  <c r="Q12" i="43" s="1"/>
  <c r="W46" i="45"/>
  <c r="L46" i="45"/>
  <c r="Q11" i="43" s="1"/>
  <c r="P46" i="45"/>
  <c r="N46" i="45"/>
  <c r="U46" i="45"/>
  <c r="Z11" i="43" s="1"/>
  <c r="Y46" i="45"/>
  <c r="Y37" i="45"/>
  <c r="N37" i="45"/>
  <c r="U28" i="45"/>
  <c r="Z9" i="43" s="1"/>
  <c r="Y19" i="45"/>
  <c r="N19" i="45"/>
  <c r="U10" i="45"/>
  <c r="Z7" i="43" s="1"/>
  <c r="Y28" i="45"/>
  <c r="U19" i="45"/>
  <c r="Z8" i="43" s="1"/>
  <c r="N10" i="45"/>
  <c r="W28" i="45"/>
  <c r="P19" i="45"/>
  <c r="L10" i="45"/>
  <c r="Q7" i="43" s="1"/>
  <c r="W37" i="45"/>
  <c r="L37" i="45"/>
  <c r="Q10" i="43" s="1"/>
  <c r="P28" i="45"/>
  <c r="W19" i="45"/>
  <c r="L19" i="45"/>
  <c r="Q8" i="43" s="1"/>
  <c r="P10" i="45"/>
  <c r="U37" i="45"/>
  <c r="Z10" i="43" s="1"/>
  <c r="N28" i="45"/>
  <c r="Y10" i="45"/>
  <c r="P37" i="45"/>
  <c r="L28" i="45"/>
  <c r="Q9" i="43" s="1"/>
  <c r="W10" i="45"/>
  <c r="C55" i="45"/>
  <c r="G12" i="43" s="1"/>
  <c r="G37" i="45"/>
  <c r="E28" i="45"/>
  <c r="C19" i="45"/>
  <c r="G8" i="43" s="1"/>
  <c r="G46" i="45"/>
  <c r="E37" i="45"/>
  <c r="C28" i="45"/>
  <c r="G9" i="43" s="1"/>
  <c r="G10" i="45"/>
  <c r="E46" i="45"/>
  <c r="E55" i="45"/>
  <c r="C46" i="45"/>
  <c r="G11" i="43" s="1"/>
  <c r="G28" i="45"/>
  <c r="E19" i="45"/>
  <c r="C10" i="45"/>
  <c r="G7" i="43" s="1"/>
  <c r="C37" i="45"/>
  <c r="G10" i="43" s="1"/>
  <c r="G19" i="45"/>
  <c r="E10" i="45"/>
  <c r="G55" i="45"/>
  <c r="P55" i="45"/>
  <c r="C2" i="10"/>
  <c r="V4" i="10"/>
  <c r="V6" i="10" s="1"/>
  <c r="U12" i="43"/>
  <c r="U11" i="43"/>
  <c r="U10" i="43"/>
  <c r="U9" i="43"/>
  <c r="U8" i="43"/>
  <c r="U7" i="43"/>
  <c r="L12" i="43"/>
  <c r="L11" i="43"/>
  <c r="L10" i="43"/>
  <c r="L9" i="43"/>
  <c r="L8" i="43"/>
  <c r="L7" i="43"/>
  <c r="B12" i="43"/>
  <c r="B11" i="43"/>
  <c r="B10" i="43"/>
  <c r="B9" i="43"/>
  <c r="B8" i="43"/>
  <c r="B7" i="43"/>
  <c r="Y81" i="45"/>
  <c r="U72" i="45"/>
  <c r="Y14" i="43" s="1"/>
  <c r="E72" i="45"/>
  <c r="P72" i="45"/>
  <c r="G72" i="45"/>
  <c r="W72" i="45"/>
  <c r="Y72" i="45"/>
  <c r="N72" i="45"/>
  <c r="C72" i="45"/>
  <c r="F14" i="43" s="1"/>
  <c r="L72" i="45"/>
  <c r="P14" i="43" s="1"/>
  <c r="Y63" i="45"/>
  <c r="P63" i="45"/>
  <c r="W63" i="45"/>
  <c r="U63" i="45"/>
  <c r="Y13" i="43" s="1"/>
  <c r="C63" i="45"/>
  <c r="F13" i="43" s="1"/>
  <c r="G63" i="45"/>
  <c r="E63" i="45"/>
  <c r="L63" i="45"/>
  <c r="P13" i="43" s="1"/>
  <c r="N63" i="45"/>
  <c r="L54" i="45"/>
  <c r="P12" i="43" s="1"/>
  <c r="N54" i="45"/>
  <c r="U54" i="45"/>
  <c r="Y12" i="43" s="1"/>
  <c r="P54" i="45"/>
  <c r="Y54" i="45"/>
  <c r="W54" i="45"/>
  <c r="U45" i="45"/>
  <c r="Y11" i="43" s="1"/>
  <c r="Y9" i="45"/>
  <c r="N18" i="45"/>
  <c r="U36" i="45"/>
  <c r="Y10" i="43" s="1"/>
  <c r="U18" i="45"/>
  <c r="Y8" i="43" s="1"/>
  <c r="L45" i="45"/>
  <c r="P11" i="43" s="1"/>
  <c r="W45" i="45"/>
  <c r="U27" i="45"/>
  <c r="Y9" i="43" s="1"/>
  <c r="Y36" i="45"/>
  <c r="N45" i="45"/>
  <c r="W18" i="45"/>
  <c r="W9" i="45"/>
  <c r="P45" i="45"/>
  <c r="L27" i="45"/>
  <c r="P9" i="43" s="1"/>
  <c r="L36" i="45"/>
  <c r="P10" i="43" s="1"/>
  <c r="Y27" i="45"/>
  <c r="P36" i="45"/>
  <c r="P9" i="45"/>
  <c r="L18" i="45"/>
  <c r="P8" i="43" s="1"/>
  <c r="P18" i="45"/>
  <c r="P27" i="45"/>
  <c r="W27" i="45"/>
  <c r="Y45" i="45"/>
  <c r="U9" i="45"/>
  <c r="Y7" i="43" s="1"/>
  <c r="N36" i="45"/>
  <c r="Y18" i="45"/>
  <c r="L9" i="45"/>
  <c r="P7" i="43" s="1"/>
  <c r="N27" i="45"/>
  <c r="N9" i="45"/>
  <c r="W36" i="45"/>
  <c r="C54" i="45"/>
  <c r="F12" i="43" s="1"/>
  <c r="C45" i="45"/>
  <c r="F11" i="43" s="1"/>
  <c r="E45" i="45"/>
  <c r="G9" i="45"/>
  <c r="G27" i="45"/>
  <c r="C36" i="45"/>
  <c r="F10" i="43" s="1"/>
  <c r="E54" i="45"/>
  <c r="G54" i="45"/>
  <c r="C9" i="45"/>
  <c r="F7" i="43" s="1"/>
  <c r="E27" i="45"/>
  <c r="E9" i="45"/>
  <c r="G36" i="45"/>
  <c r="G45" i="45"/>
  <c r="C27" i="45"/>
  <c r="F9" i="43" s="1"/>
  <c r="C18" i="45"/>
  <c r="F8" i="43" s="1"/>
  <c r="E18" i="45"/>
  <c r="G18" i="45"/>
  <c r="E36" i="45"/>
  <c r="BI2633" i="10"/>
  <c r="BH2633" i="10"/>
  <c r="BG2633" i="10"/>
  <c r="BF2633" i="10"/>
  <c r="BE2633" i="10"/>
  <c r="BD2633" i="10"/>
  <c r="BI1745" i="10"/>
  <c r="BH1745" i="10"/>
  <c r="BG1745" i="10"/>
  <c r="BF1745" i="10"/>
  <c r="BE1745" i="10"/>
  <c r="BD1745" i="10"/>
  <c r="BI1744" i="10"/>
  <c r="BH1744" i="10"/>
  <c r="BG1744" i="10"/>
  <c r="BF1744" i="10"/>
  <c r="BE1744" i="10"/>
  <c r="BD1744" i="10"/>
  <c r="BI1743" i="10"/>
  <c r="BH1743" i="10"/>
  <c r="BG1743" i="10"/>
  <c r="BF1743" i="10"/>
  <c r="BE1743" i="10"/>
  <c r="BD1743" i="10"/>
  <c r="BI1742" i="10"/>
  <c r="BH1742" i="10"/>
  <c r="BG1742" i="10"/>
  <c r="BF1742" i="10"/>
  <c r="BE1742" i="10"/>
  <c r="BD1742" i="10"/>
  <c r="BI1737" i="10"/>
  <c r="BH1737" i="10"/>
  <c r="BG1737" i="10"/>
  <c r="BF1737" i="10"/>
  <c r="BE1737" i="10"/>
  <c r="BD1737" i="10"/>
  <c r="BI1736" i="10"/>
  <c r="BH1736" i="10"/>
  <c r="BG1736" i="10"/>
  <c r="BF1736" i="10"/>
  <c r="BE1736" i="10"/>
  <c r="BD1736" i="10"/>
  <c r="BI2632" i="10"/>
  <c r="BH2632" i="10"/>
  <c r="BG2632" i="10"/>
  <c r="BF2632" i="10"/>
  <c r="BE2632" i="10"/>
  <c r="BD2632" i="10"/>
  <c r="BI1734" i="10"/>
  <c r="BH1734" i="10"/>
  <c r="BG1734" i="10"/>
  <c r="BF1734" i="10"/>
  <c r="BE1734" i="10"/>
  <c r="BD1734" i="10"/>
  <c r="BI1727" i="10"/>
  <c r="BH1727" i="10"/>
  <c r="BG1727" i="10"/>
  <c r="BF1727" i="10"/>
  <c r="BE1727" i="10"/>
  <c r="BD1727" i="10"/>
  <c r="BI1730" i="10"/>
  <c r="BH1730" i="10"/>
  <c r="BG1730" i="10"/>
  <c r="BF1730" i="10"/>
  <c r="BE1730" i="10"/>
  <c r="BD1730" i="10"/>
  <c r="BI1732" i="10"/>
  <c r="BH1732" i="10"/>
  <c r="BG1732" i="10"/>
  <c r="BF1732" i="10"/>
  <c r="BE1732" i="10"/>
  <c r="BD1732" i="10"/>
  <c r="BI1733" i="10"/>
  <c r="BH1733" i="10"/>
  <c r="BG1733" i="10"/>
  <c r="BF1733" i="10"/>
  <c r="BE1733" i="10"/>
  <c r="BD1733" i="10"/>
  <c r="Y71" i="45"/>
  <c r="E71" i="45"/>
  <c r="Y62" i="45"/>
  <c r="E62" i="45"/>
  <c r="C62" i="45"/>
  <c r="E13" i="43" s="1"/>
  <c r="U62" i="45"/>
  <c r="X13" i="43" s="1"/>
  <c r="G71" i="45"/>
  <c r="W62" i="45"/>
  <c r="L71" i="45"/>
  <c r="O14" i="43" s="1"/>
  <c r="W71" i="45"/>
  <c r="Y80" i="45"/>
  <c r="AH80" i="45"/>
  <c r="N62" i="45"/>
  <c r="P62" i="45"/>
  <c r="N71" i="45"/>
  <c r="C71" i="45"/>
  <c r="E14" i="43" s="1"/>
  <c r="P71" i="45"/>
  <c r="U71" i="45"/>
  <c r="X14" i="43" s="1"/>
  <c r="G62" i="45"/>
  <c r="L62" i="45"/>
  <c r="O13" i="43" s="1"/>
  <c r="Z6" i="53"/>
  <c r="V6" i="53"/>
  <c r="X6" i="53"/>
  <c r="AB6" i="53"/>
  <c r="AA6" i="53"/>
  <c r="W6" i="53"/>
  <c r="Y6" i="53"/>
  <c r="AC6" i="53"/>
  <c r="AE685" i="10"/>
  <c r="N118" i="45"/>
  <c r="N109" i="45"/>
  <c r="G118" i="45"/>
  <c r="AF91" i="45"/>
  <c r="AD100" i="45"/>
  <c r="AI17" i="43" s="1"/>
  <c r="L109" i="45"/>
  <c r="Q18" i="43" s="1"/>
  <c r="G91" i="45"/>
  <c r="Y118" i="45"/>
  <c r="N100" i="45"/>
  <c r="W100" i="45"/>
  <c r="W91" i="45"/>
  <c r="AH109" i="45"/>
  <c r="E100" i="45"/>
  <c r="L118" i="45"/>
  <c r="Q19" i="43" s="1"/>
  <c r="AF118" i="45"/>
  <c r="AM109" i="45"/>
  <c r="Y109" i="45"/>
  <c r="U100" i="45"/>
  <c r="Z17" i="43" s="1"/>
  <c r="U118" i="45"/>
  <c r="Z18" i="43" s="1"/>
  <c r="AD118" i="45"/>
  <c r="AI18" i="43" s="1"/>
  <c r="P91" i="45"/>
  <c r="E109" i="45"/>
  <c r="P109" i="45"/>
  <c r="W118" i="45"/>
  <c r="E91" i="45"/>
  <c r="L100" i="45"/>
  <c r="Q17" i="43" s="1"/>
  <c r="AH100" i="45"/>
  <c r="W109" i="45"/>
  <c r="E118" i="45"/>
  <c r="N91" i="45"/>
  <c r="P118" i="45"/>
  <c r="AQ118" i="45"/>
  <c r="P100" i="45"/>
  <c r="AQ109" i="45"/>
  <c r="AH118" i="45"/>
  <c r="AO118" i="45"/>
  <c r="AO109" i="45"/>
  <c r="G100" i="45"/>
  <c r="AH91" i="45"/>
  <c r="U91" i="45"/>
  <c r="Z16" i="43" s="1"/>
  <c r="U109" i="45"/>
  <c r="G109" i="45"/>
  <c r="AF100" i="45"/>
  <c r="Y100" i="45"/>
  <c r="AD91" i="45"/>
  <c r="AI16" i="43" s="1"/>
  <c r="Y91" i="45"/>
  <c r="AF109" i="45"/>
  <c r="AD109" i="45"/>
  <c r="L91" i="45"/>
  <c r="Q16" i="43" s="1"/>
  <c r="AH130" i="45"/>
  <c r="P130" i="45"/>
  <c r="AD130" i="45"/>
  <c r="AF130" i="45"/>
  <c r="W130" i="45"/>
  <c r="L130" i="45"/>
  <c r="N130" i="45"/>
  <c r="U130" i="45"/>
  <c r="AO130" i="45"/>
  <c r="Y130" i="45"/>
  <c r="AQ130" i="45"/>
  <c r="E130" i="45"/>
  <c r="G130" i="45"/>
  <c r="AX23" i="10" l="1"/>
  <c r="AW23" i="10"/>
  <c r="AV23" i="10"/>
  <c r="AU23" i="10"/>
  <c r="AT23" i="10"/>
  <c r="AS23" i="10"/>
  <c r="AR23" i="10"/>
  <c r="AQ23" i="10"/>
  <c r="AP23" i="10"/>
  <c r="AO23" i="10"/>
  <c r="AN23" i="10"/>
  <c r="AM23" i="10"/>
  <c r="AL23" i="10"/>
  <c r="AK23" i="10"/>
  <c r="AJ23" i="10"/>
  <c r="AI23" i="10"/>
  <c r="AH23" i="10"/>
  <c r="AX24" i="10"/>
  <c r="AW24" i="10"/>
  <c r="AV24" i="10"/>
  <c r="AU24" i="10"/>
  <c r="AT24" i="10"/>
  <c r="AS24" i="10"/>
  <c r="AR24" i="10"/>
  <c r="AQ24" i="10"/>
  <c r="AP24" i="10"/>
  <c r="AO24" i="10"/>
  <c r="AN24" i="10"/>
  <c r="AM24" i="10"/>
  <c r="AL24" i="10"/>
  <c r="AK24" i="10"/>
  <c r="AJ24" i="10"/>
  <c r="AI24" i="10"/>
  <c r="AH24" i="10"/>
  <c r="AX25" i="10"/>
  <c r="AW25" i="10"/>
  <c r="AV25" i="10"/>
  <c r="AU25" i="10"/>
  <c r="AT25" i="10"/>
  <c r="AS25" i="10"/>
  <c r="AR25" i="10"/>
  <c r="AQ25" i="10"/>
  <c r="AP25" i="10"/>
  <c r="AO25" i="10"/>
  <c r="AN25" i="10"/>
  <c r="AM25" i="10"/>
  <c r="AL25" i="10"/>
  <c r="AK25" i="10"/>
  <c r="AJ25" i="10"/>
  <c r="AI25" i="10"/>
  <c r="AH25" i="10"/>
  <c r="AX26" i="10"/>
  <c r="AW26" i="10"/>
  <c r="AV26" i="10"/>
  <c r="AU26" i="10"/>
  <c r="AT26" i="10"/>
  <c r="AS26" i="10"/>
  <c r="AR26" i="10"/>
  <c r="AQ26" i="10"/>
  <c r="AP26" i="10"/>
  <c r="AO26" i="10"/>
  <c r="AN26" i="10"/>
  <c r="AM26" i="10"/>
  <c r="AL26" i="10"/>
  <c r="AK26" i="10"/>
  <c r="AJ26" i="10"/>
  <c r="AI26" i="10"/>
  <c r="AH26" i="10"/>
  <c r="AX27" i="10"/>
  <c r="AW27" i="10"/>
  <c r="AV27" i="10"/>
  <c r="AU27" i="10"/>
  <c r="AT27" i="10"/>
  <c r="AS27" i="10"/>
  <c r="AR27" i="10"/>
  <c r="AQ27" i="10"/>
  <c r="AP27" i="10"/>
  <c r="AO27" i="10"/>
  <c r="AN27" i="10"/>
  <c r="AM27" i="10"/>
  <c r="AL27" i="10"/>
  <c r="AK27" i="10"/>
  <c r="AJ27" i="10"/>
  <c r="AI27" i="10"/>
  <c r="AH27" i="10"/>
  <c r="AX28" i="10"/>
  <c r="AW28" i="10"/>
  <c r="AV28" i="10"/>
  <c r="AU28" i="10"/>
  <c r="AT28" i="10"/>
  <c r="AS28" i="10"/>
  <c r="AR28" i="10"/>
  <c r="AQ28" i="10"/>
  <c r="AP28" i="10"/>
  <c r="AO28" i="10"/>
  <c r="AN28" i="10"/>
  <c r="AM28" i="10"/>
  <c r="AL28" i="10"/>
  <c r="AK28" i="10"/>
  <c r="AJ28" i="10"/>
  <c r="AI28" i="10"/>
  <c r="AH28" i="10"/>
  <c r="AX29" i="10"/>
  <c r="AW29" i="10"/>
  <c r="AV29" i="10"/>
  <c r="AU29" i="10"/>
  <c r="AT29" i="10"/>
  <c r="AS29" i="10"/>
  <c r="AR29" i="10"/>
  <c r="AQ29" i="10"/>
  <c r="AP29" i="10"/>
  <c r="AO29" i="10"/>
  <c r="AN29" i="10"/>
  <c r="AM29" i="10"/>
  <c r="AL29" i="10"/>
  <c r="AK29" i="10"/>
  <c r="AJ29" i="10"/>
  <c r="AI29" i="10"/>
  <c r="AH29" i="10"/>
  <c r="AX30" i="10"/>
  <c r="AW30" i="10"/>
  <c r="AV30" i="10"/>
  <c r="AU30" i="10"/>
  <c r="AT30" i="10"/>
  <c r="AS30" i="10"/>
  <c r="AR30" i="10"/>
  <c r="AQ30" i="10"/>
  <c r="AP30" i="10"/>
  <c r="AO30" i="10"/>
  <c r="AN30" i="10"/>
  <c r="AM30" i="10"/>
  <c r="AL30" i="10"/>
  <c r="AK30" i="10"/>
  <c r="AJ30" i="10"/>
  <c r="AI30" i="10"/>
  <c r="AH30" i="10"/>
  <c r="AX31" i="10"/>
  <c r="AW31" i="10"/>
  <c r="AV31" i="10"/>
  <c r="AU31" i="10"/>
  <c r="AT31" i="10"/>
  <c r="AS31" i="10"/>
  <c r="AR31" i="10"/>
  <c r="AQ31" i="10"/>
  <c r="AP31" i="10"/>
  <c r="AO31" i="10"/>
  <c r="AN31" i="10"/>
  <c r="AM31" i="10"/>
  <c r="AL31" i="10"/>
  <c r="AK31" i="10"/>
  <c r="AJ31" i="10"/>
  <c r="AI31" i="10"/>
  <c r="AH31" i="10"/>
  <c r="AX33" i="10"/>
  <c r="AW33" i="10"/>
  <c r="AV33" i="10"/>
  <c r="AU33" i="10"/>
  <c r="AT33" i="10"/>
  <c r="AS33" i="10"/>
  <c r="AR33" i="10"/>
  <c r="AQ33" i="10"/>
  <c r="AP33" i="10"/>
  <c r="AO33" i="10"/>
  <c r="AN33" i="10"/>
  <c r="AM33" i="10"/>
  <c r="AL33" i="10"/>
  <c r="AK33" i="10"/>
  <c r="AJ33" i="10"/>
  <c r="AI33" i="10"/>
  <c r="AH33" i="10"/>
  <c r="AX34" i="10"/>
  <c r="AW34" i="10"/>
  <c r="AV34" i="10"/>
  <c r="AU34" i="10"/>
  <c r="AT34" i="10"/>
  <c r="AS34" i="10"/>
  <c r="AR34" i="10"/>
  <c r="AQ34" i="10"/>
  <c r="AP34" i="10"/>
  <c r="AO34" i="10"/>
  <c r="AN34" i="10"/>
  <c r="AM34" i="10"/>
  <c r="AL34" i="10"/>
  <c r="AK34" i="10"/>
  <c r="AJ34" i="10"/>
  <c r="AI34" i="10"/>
  <c r="AH34" i="10"/>
  <c r="AX35" i="10"/>
  <c r="AW35" i="10"/>
  <c r="AV35" i="10"/>
  <c r="AU35" i="10"/>
  <c r="AT35" i="10"/>
  <c r="AS35" i="10"/>
  <c r="AR35" i="10"/>
  <c r="AQ35" i="10"/>
  <c r="AP35" i="10"/>
  <c r="AO35" i="10"/>
  <c r="AN35" i="10"/>
  <c r="AM35" i="10"/>
  <c r="AL35" i="10"/>
  <c r="AK35" i="10"/>
  <c r="AJ35" i="10"/>
  <c r="AI35" i="10"/>
  <c r="AH35" i="10"/>
  <c r="AX36" i="10"/>
  <c r="AW36" i="10"/>
  <c r="AV36" i="10"/>
  <c r="AU36" i="10"/>
  <c r="AT36" i="10"/>
  <c r="AS36" i="10"/>
  <c r="AR36" i="10"/>
  <c r="AQ36" i="10"/>
  <c r="AP36" i="10"/>
  <c r="AO36" i="10"/>
  <c r="AN36" i="10"/>
  <c r="AM36" i="10"/>
  <c r="AL36" i="10"/>
  <c r="AK36" i="10"/>
  <c r="AJ36" i="10"/>
  <c r="AI36" i="10"/>
  <c r="AH36" i="10"/>
  <c r="AX37" i="10"/>
  <c r="AW37" i="10"/>
  <c r="AV37" i="10"/>
  <c r="AU37" i="10"/>
  <c r="AT37" i="10"/>
  <c r="AS37" i="10"/>
  <c r="AR37" i="10"/>
  <c r="AQ37" i="10"/>
  <c r="AP37" i="10"/>
  <c r="AO37" i="10"/>
  <c r="AN37" i="10"/>
  <c r="AM37" i="10"/>
  <c r="AL37" i="10"/>
  <c r="AK37" i="10"/>
  <c r="AJ37" i="10"/>
  <c r="AI37" i="10"/>
  <c r="AH37" i="10"/>
  <c r="AX38" i="10"/>
  <c r="AW38" i="10"/>
  <c r="AV38" i="10"/>
  <c r="AU38" i="10"/>
  <c r="AT38" i="10"/>
  <c r="AS38" i="10"/>
  <c r="AR38" i="10"/>
  <c r="AQ38" i="10"/>
  <c r="AP38" i="10"/>
  <c r="AO38" i="10"/>
  <c r="AN38" i="10"/>
  <c r="AM38" i="10"/>
  <c r="AL38" i="10"/>
  <c r="AK38" i="10"/>
  <c r="AJ38" i="10"/>
  <c r="AI38" i="10"/>
  <c r="AH38" i="10"/>
  <c r="AX39" i="10"/>
  <c r="AW39" i="10"/>
  <c r="AV39" i="10"/>
  <c r="AU39" i="10"/>
  <c r="AT39" i="10"/>
  <c r="AS39" i="10"/>
  <c r="AR39" i="10"/>
  <c r="AQ39" i="10"/>
  <c r="AP39" i="10"/>
  <c r="AO39" i="10"/>
  <c r="AN39" i="10"/>
  <c r="AM39" i="10"/>
  <c r="AL39" i="10"/>
  <c r="AK39" i="10"/>
  <c r="AJ39" i="10"/>
  <c r="AI39" i="10"/>
  <c r="AH39" i="10"/>
  <c r="AX40" i="10"/>
  <c r="AW40" i="10"/>
  <c r="AV40" i="10"/>
  <c r="AU40" i="10"/>
  <c r="AT40" i="10"/>
  <c r="AS40" i="10"/>
  <c r="AR40" i="10"/>
  <c r="AQ40" i="10"/>
  <c r="AP40" i="10"/>
  <c r="AO40" i="10"/>
  <c r="AN40" i="10"/>
  <c r="AM40" i="10"/>
  <c r="AL40" i="10"/>
  <c r="AK40" i="10"/>
  <c r="AJ40" i="10"/>
  <c r="AI40" i="10"/>
  <c r="AH40" i="10"/>
  <c r="AX41" i="10"/>
  <c r="AW41" i="10"/>
  <c r="AV41" i="10"/>
  <c r="AU41" i="10"/>
  <c r="AT41" i="10"/>
  <c r="AS41" i="10"/>
  <c r="AR41" i="10"/>
  <c r="AQ41" i="10"/>
  <c r="AP41" i="10"/>
  <c r="AO41" i="10"/>
  <c r="AN41" i="10"/>
  <c r="AM41" i="10"/>
  <c r="AL41" i="10"/>
  <c r="AK41" i="10"/>
  <c r="AJ41" i="10"/>
  <c r="AI41" i="10"/>
  <c r="AH41" i="10"/>
  <c r="AX42" i="10"/>
  <c r="AW42" i="10"/>
  <c r="AV42" i="10"/>
  <c r="AU42" i="10"/>
  <c r="AT42" i="10"/>
  <c r="AS42" i="10"/>
  <c r="AR42" i="10"/>
  <c r="AQ42" i="10"/>
  <c r="AP42" i="10"/>
  <c r="AO42" i="10"/>
  <c r="AN42" i="10"/>
  <c r="AM42" i="10"/>
  <c r="AL42" i="10"/>
  <c r="AK42" i="10"/>
  <c r="AJ42" i="10"/>
  <c r="AI42" i="10"/>
  <c r="AH42" i="10"/>
  <c r="AX43" i="10"/>
  <c r="AW43" i="10"/>
  <c r="AV43" i="10"/>
  <c r="AU43" i="10"/>
  <c r="AT43" i="10"/>
  <c r="AS43" i="10"/>
  <c r="AR43" i="10"/>
  <c r="AQ43" i="10"/>
  <c r="AP43" i="10"/>
  <c r="AO43" i="10"/>
  <c r="AN43" i="10"/>
  <c r="AM43" i="10"/>
  <c r="AL43" i="10"/>
  <c r="AK43" i="10"/>
  <c r="AJ43" i="10"/>
  <c r="AI43" i="10"/>
  <c r="AH43" i="10"/>
  <c r="AX44" i="10"/>
  <c r="AW44" i="10"/>
  <c r="AV44" i="10"/>
  <c r="AU44" i="10"/>
  <c r="AT44" i="10"/>
  <c r="AS44" i="10"/>
  <c r="AR44" i="10"/>
  <c r="AQ44" i="10"/>
  <c r="AP44" i="10"/>
  <c r="AO44" i="10"/>
  <c r="AN44" i="10"/>
  <c r="AM44" i="10"/>
  <c r="AL44" i="10"/>
  <c r="AK44" i="10"/>
  <c r="AJ44" i="10"/>
  <c r="AI44" i="10"/>
  <c r="AH44" i="10"/>
  <c r="AX45" i="10"/>
  <c r="AW45" i="10"/>
  <c r="AV45" i="10"/>
  <c r="AU45" i="10"/>
  <c r="AT45" i="10"/>
  <c r="AS45" i="10"/>
  <c r="AR45" i="10"/>
  <c r="AQ45" i="10"/>
  <c r="AP45" i="10"/>
  <c r="AO45" i="10"/>
  <c r="AN45" i="10"/>
  <c r="AM45" i="10"/>
  <c r="AL45" i="10"/>
  <c r="AK45" i="10"/>
  <c r="AJ45" i="10"/>
  <c r="AI45" i="10"/>
  <c r="AH45" i="10"/>
  <c r="AX46" i="10"/>
  <c r="AW46" i="10"/>
  <c r="AV46" i="10"/>
  <c r="AU46" i="10"/>
  <c r="AT46" i="10"/>
  <c r="AS46" i="10"/>
  <c r="AR46" i="10"/>
  <c r="AQ46" i="10"/>
  <c r="AP46" i="10"/>
  <c r="AO46" i="10"/>
  <c r="AN46" i="10"/>
  <c r="AM46" i="10"/>
  <c r="AL46" i="10"/>
  <c r="AK46" i="10"/>
  <c r="AJ46" i="10"/>
  <c r="AI46" i="10"/>
  <c r="AH46" i="10"/>
  <c r="AX47" i="10"/>
  <c r="AW47" i="10"/>
  <c r="AV47" i="10"/>
  <c r="AU47" i="10"/>
  <c r="AT47" i="10"/>
  <c r="AS47" i="10"/>
  <c r="AR47" i="10"/>
  <c r="AQ47" i="10"/>
  <c r="AP47" i="10"/>
  <c r="AO47" i="10"/>
  <c r="AN47" i="10"/>
  <c r="AM47" i="10"/>
  <c r="AL47" i="10"/>
  <c r="AK47" i="10"/>
  <c r="AJ47" i="10"/>
  <c r="AI47" i="10"/>
  <c r="AH47" i="10"/>
  <c r="AX48" i="10"/>
  <c r="AW48" i="10"/>
  <c r="AV48" i="10"/>
  <c r="AU48" i="10"/>
  <c r="AT48" i="10"/>
  <c r="AS48" i="10"/>
  <c r="AR48" i="10"/>
  <c r="AQ48" i="10"/>
  <c r="AP48" i="10"/>
  <c r="AO48" i="10"/>
  <c r="AN48" i="10"/>
  <c r="AM48" i="10"/>
  <c r="AL48" i="10"/>
  <c r="AK48" i="10"/>
  <c r="AJ48" i="10"/>
  <c r="AI48" i="10"/>
  <c r="AH48" i="10"/>
  <c r="AX49" i="10"/>
  <c r="AW49" i="10"/>
  <c r="AV49" i="10"/>
  <c r="AU49" i="10"/>
  <c r="AT49" i="10"/>
  <c r="AS49" i="10"/>
  <c r="AR49" i="10"/>
  <c r="AQ49" i="10"/>
  <c r="AP49" i="10"/>
  <c r="AO49" i="10"/>
  <c r="AN49" i="10"/>
  <c r="AM49" i="10"/>
  <c r="AL49" i="10"/>
  <c r="AK49" i="10"/>
  <c r="AJ49" i="10"/>
  <c r="AI49" i="10"/>
  <c r="AH49" i="10"/>
  <c r="AX50" i="10"/>
  <c r="AW50" i="10"/>
  <c r="AV50" i="10"/>
  <c r="AU50" i="10"/>
  <c r="AT50" i="10"/>
  <c r="AS50" i="10"/>
  <c r="AR50" i="10"/>
  <c r="AQ50" i="10"/>
  <c r="AP50" i="10"/>
  <c r="AO50" i="10"/>
  <c r="AN50" i="10"/>
  <c r="AM50" i="10"/>
  <c r="AL50" i="10"/>
  <c r="AK50" i="10"/>
  <c r="AJ50" i="10"/>
  <c r="AI50" i="10"/>
  <c r="AH50" i="10"/>
  <c r="AX51" i="10"/>
  <c r="AW51" i="10"/>
  <c r="AV51" i="10"/>
  <c r="AU51" i="10"/>
  <c r="AT51" i="10"/>
  <c r="AS51" i="10"/>
  <c r="AR51" i="10"/>
  <c r="AQ51" i="10"/>
  <c r="AP51" i="10"/>
  <c r="AO51" i="10"/>
  <c r="AN51" i="10"/>
  <c r="AM51" i="10"/>
  <c r="AL51" i="10"/>
  <c r="AK51" i="10"/>
  <c r="AJ51" i="10"/>
  <c r="AI51" i="10"/>
  <c r="AH51" i="10"/>
  <c r="AX52" i="10"/>
  <c r="AW52" i="10"/>
  <c r="AV52" i="10"/>
  <c r="AU52" i="10"/>
  <c r="AT52" i="10"/>
  <c r="AS52" i="10"/>
  <c r="AR52" i="10"/>
  <c r="AQ52" i="10"/>
  <c r="AP52" i="10"/>
  <c r="AO52" i="10"/>
  <c r="AN52" i="10"/>
  <c r="AM52" i="10"/>
  <c r="AL52" i="10"/>
  <c r="AK52" i="10"/>
  <c r="AJ52" i="10"/>
  <c r="AI52" i="10"/>
  <c r="AH52" i="10"/>
  <c r="AX53" i="10"/>
  <c r="AW53" i="10"/>
  <c r="AV53" i="10"/>
  <c r="AU53" i="10"/>
  <c r="AT53" i="10"/>
  <c r="AS53" i="10"/>
  <c r="AR53" i="10"/>
  <c r="AQ53" i="10"/>
  <c r="AP53" i="10"/>
  <c r="AO53" i="10"/>
  <c r="AN53" i="10"/>
  <c r="AM53" i="10"/>
  <c r="AL53" i="10"/>
  <c r="AK53" i="10"/>
  <c r="AJ53" i="10"/>
  <c r="AI53" i="10"/>
  <c r="AH53" i="10"/>
  <c r="AX54" i="10"/>
  <c r="AW54" i="10"/>
  <c r="AV54" i="10"/>
  <c r="AU54" i="10"/>
  <c r="AT54" i="10"/>
  <c r="AS54" i="10"/>
  <c r="AR54" i="10"/>
  <c r="AQ54" i="10"/>
  <c r="AP54" i="10"/>
  <c r="AO54" i="10"/>
  <c r="AN54" i="10"/>
  <c r="AM54" i="10"/>
  <c r="AL54" i="10"/>
  <c r="AK54" i="10"/>
  <c r="AJ54" i="10"/>
  <c r="AI54" i="10"/>
  <c r="AH54" i="10"/>
  <c r="AX55" i="10"/>
  <c r="AW55" i="10"/>
  <c r="AV55" i="10"/>
  <c r="AU55" i="10"/>
  <c r="AT55" i="10"/>
  <c r="AS55" i="10"/>
  <c r="AR55" i="10"/>
  <c r="AQ55" i="10"/>
  <c r="AP55" i="10"/>
  <c r="AO55" i="10"/>
  <c r="AN55" i="10"/>
  <c r="AM55" i="10"/>
  <c r="AL55" i="10"/>
  <c r="AK55" i="10"/>
  <c r="AJ55" i="10"/>
  <c r="AI55" i="10"/>
  <c r="AH55" i="10"/>
  <c r="AX57" i="10"/>
  <c r="AW57" i="10"/>
  <c r="AV57" i="10"/>
  <c r="AU57" i="10"/>
  <c r="AT57" i="10"/>
  <c r="AS57" i="10"/>
  <c r="AR57" i="10"/>
  <c r="AQ57" i="10"/>
  <c r="AP57" i="10"/>
  <c r="AO57" i="10"/>
  <c r="AN57" i="10"/>
  <c r="AM57" i="10"/>
  <c r="AL57" i="10"/>
  <c r="AK57" i="10"/>
  <c r="AJ57" i="10"/>
  <c r="AI57" i="10"/>
  <c r="AH57" i="10"/>
  <c r="AX58" i="10"/>
  <c r="AW58" i="10"/>
  <c r="AV58" i="10"/>
  <c r="AU58" i="10"/>
  <c r="AT58" i="10"/>
  <c r="AS58" i="10"/>
  <c r="AR58" i="10"/>
  <c r="AQ58" i="10"/>
  <c r="AP58" i="10"/>
  <c r="AO58" i="10"/>
  <c r="AN58" i="10"/>
  <c r="AM58" i="10"/>
  <c r="AL58" i="10"/>
  <c r="AK58" i="10"/>
  <c r="AJ58" i="10"/>
  <c r="AI58" i="10"/>
  <c r="AH58" i="10"/>
  <c r="AX59" i="10"/>
  <c r="AW59" i="10"/>
  <c r="AV59" i="10"/>
  <c r="AU59" i="10"/>
  <c r="AT59" i="10"/>
  <c r="AS59" i="10"/>
  <c r="AR59" i="10"/>
  <c r="AQ59" i="10"/>
  <c r="AP59" i="10"/>
  <c r="AO59" i="10"/>
  <c r="AN59" i="10"/>
  <c r="AM59" i="10"/>
  <c r="AL59" i="10"/>
  <c r="AK59" i="10"/>
  <c r="AJ59" i="10"/>
  <c r="AI59" i="10"/>
  <c r="AH59" i="10"/>
  <c r="AX60" i="10"/>
  <c r="AW60" i="10"/>
  <c r="AV60" i="10"/>
  <c r="AU60" i="10"/>
  <c r="AT60" i="10"/>
  <c r="AS60" i="10"/>
  <c r="AR60" i="10"/>
  <c r="AQ60" i="10"/>
  <c r="AP60" i="10"/>
  <c r="AO60" i="10"/>
  <c r="AN60" i="10"/>
  <c r="AM60" i="10"/>
  <c r="AL60" i="10"/>
  <c r="AK60" i="10"/>
  <c r="AJ60" i="10"/>
  <c r="AI60" i="10"/>
  <c r="AH60" i="10"/>
  <c r="AX61" i="10"/>
  <c r="AW61" i="10"/>
  <c r="AV61" i="10"/>
  <c r="AU61" i="10"/>
  <c r="AT61" i="10"/>
  <c r="AS61" i="10"/>
  <c r="AR61" i="10"/>
  <c r="AQ61" i="10"/>
  <c r="AP61" i="10"/>
  <c r="AO61" i="10"/>
  <c r="AN61" i="10"/>
  <c r="AM61" i="10"/>
  <c r="AL61" i="10"/>
  <c r="AK61" i="10"/>
  <c r="AJ61" i="10"/>
  <c r="AI61" i="10"/>
  <c r="AH61" i="10"/>
  <c r="AV677" i="10"/>
  <c r="AX62" i="10"/>
  <c r="AW62" i="10"/>
  <c r="AV62" i="10"/>
  <c r="AU62" i="10"/>
  <c r="AT62" i="10"/>
  <c r="AS62" i="10"/>
  <c r="AR62" i="10"/>
  <c r="AQ62" i="10"/>
  <c r="AP62" i="10"/>
  <c r="AO62" i="10"/>
  <c r="AN62" i="10"/>
  <c r="AM62" i="10"/>
  <c r="AL62" i="10"/>
  <c r="AK62" i="10"/>
  <c r="AJ62" i="10"/>
  <c r="AI62" i="10"/>
  <c r="AH62" i="10"/>
  <c r="AX63" i="10"/>
  <c r="AW63" i="10"/>
  <c r="AV63" i="10"/>
  <c r="AU63" i="10"/>
  <c r="AT63" i="10"/>
  <c r="AS63" i="10"/>
  <c r="AR63" i="10"/>
  <c r="AQ63" i="10"/>
  <c r="AP63" i="10"/>
  <c r="AO63" i="10"/>
  <c r="AN63" i="10"/>
  <c r="AM63" i="10"/>
  <c r="AL63" i="10"/>
  <c r="AK63" i="10"/>
  <c r="AJ63" i="10"/>
  <c r="AI63" i="10"/>
  <c r="AH63" i="10"/>
  <c r="AX64" i="10"/>
  <c r="AW64" i="10"/>
  <c r="AV64" i="10"/>
  <c r="AU64" i="10"/>
  <c r="AT64" i="10"/>
  <c r="AS64" i="10"/>
  <c r="AR64" i="10"/>
  <c r="AQ64" i="10"/>
  <c r="AP64" i="10"/>
  <c r="AO64" i="10"/>
  <c r="AN64" i="10"/>
  <c r="AM64" i="10"/>
  <c r="AL64" i="10"/>
  <c r="AK64" i="10"/>
  <c r="AJ64" i="10"/>
  <c r="AI64" i="10"/>
  <c r="AH64" i="10"/>
  <c r="AX65" i="10"/>
  <c r="AW65" i="10"/>
  <c r="AV65" i="10"/>
  <c r="AU65" i="10"/>
  <c r="AT65" i="10"/>
  <c r="AS65" i="10"/>
  <c r="AR65" i="10"/>
  <c r="AQ65" i="10"/>
  <c r="AP65" i="10"/>
  <c r="AO65" i="10"/>
  <c r="AN65" i="10"/>
  <c r="AM65" i="10"/>
  <c r="AL65" i="10"/>
  <c r="AK65" i="10"/>
  <c r="AJ65" i="10"/>
  <c r="AI65" i="10"/>
  <c r="AH65" i="10"/>
  <c r="AX66" i="10"/>
  <c r="AW66" i="10"/>
  <c r="AV66" i="10"/>
  <c r="AU66" i="10"/>
  <c r="AT66" i="10"/>
  <c r="AS66" i="10"/>
  <c r="AR66" i="10"/>
  <c r="AQ66" i="10"/>
  <c r="AP66" i="10"/>
  <c r="AO66" i="10"/>
  <c r="AN66" i="10"/>
  <c r="AM66" i="10"/>
  <c r="AL66" i="10"/>
  <c r="AK66" i="10"/>
  <c r="AJ66" i="10"/>
  <c r="AI66" i="10"/>
  <c r="AH66" i="10"/>
  <c r="AX67" i="10"/>
  <c r="AW67" i="10"/>
  <c r="AV67" i="10"/>
  <c r="AU67" i="10"/>
  <c r="AT67" i="10"/>
  <c r="AS67" i="10"/>
  <c r="AR67" i="10"/>
  <c r="AQ67" i="10"/>
  <c r="AP67" i="10"/>
  <c r="AO67" i="10"/>
  <c r="AN67" i="10"/>
  <c r="AM67" i="10"/>
  <c r="AL67" i="10"/>
  <c r="AK67" i="10"/>
  <c r="AJ67" i="10"/>
  <c r="AI67" i="10"/>
  <c r="AH67" i="10"/>
  <c r="AX68" i="10"/>
  <c r="AW68" i="10"/>
  <c r="AV68" i="10"/>
  <c r="AU68" i="10"/>
  <c r="AT68" i="10"/>
  <c r="AS68" i="10"/>
  <c r="AR68" i="10"/>
  <c r="AQ68" i="10"/>
  <c r="AP68" i="10"/>
  <c r="AO68" i="10"/>
  <c r="AN68" i="10"/>
  <c r="AM68" i="10"/>
  <c r="AL68" i="10"/>
  <c r="AK68" i="10"/>
  <c r="AJ68" i="10"/>
  <c r="AI68" i="10"/>
  <c r="AH68" i="10"/>
  <c r="AX69" i="10"/>
  <c r="AW69" i="10"/>
  <c r="AV69" i="10"/>
  <c r="AU69" i="10"/>
  <c r="AT69" i="10"/>
  <c r="AS69" i="10"/>
  <c r="AR69" i="10"/>
  <c r="AQ69" i="10"/>
  <c r="AP69" i="10"/>
  <c r="AO69" i="10"/>
  <c r="AN69" i="10"/>
  <c r="AM69" i="10"/>
  <c r="AL69" i="10"/>
  <c r="AK69" i="10"/>
  <c r="AJ69" i="10"/>
  <c r="AI69" i="10"/>
  <c r="AH69" i="10"/>
  <c r="AX70" i="10"/>
  <c r="AW70" i="10"/>
  <c r="AK70" i="10"/>
  <c r="AJ70" i="10"/>
  <c r="AI70" i="10"/>
  <c r="AH70" i="10"/>
  <c r="AX71" i="10"/>
  <c r="AW71" i="10"/>
  <c r="AK71" i="10"/>
  <c r="AJ71" i="10"/>
  <c r="AI71" i="10"/>
  <c r="AH71" i="10"/>
  <c r="AX72" i="10"/>
  <c r="AW72" i="10"/>
  <c r="AK72" i="10"/>
  <c r="AJ72" i="10"/>
  <c r="AI72" i="10"/>
  <c r="AH72" i="10"/>
  <c r="AX73" i="10"/>
  <c r="AW73" i="10"/>
  <c r="AK73" i="10"/>
  <c r="AJ73" i="10"/>
  <c r="AI73" i="10"/>
  <c r="AH73" i="10"/>
  <c r="AX74" i="10"/>
  <c r="AW74" i="10"/>
  <c r="AK74" i="10"/>
  <c r="AJ74" i="10"/>
  <c r="AI74" i="10"/>
  <c r="AH74" i="10"/>
  <c r="AX75" i="10"/>
  <c r="AW75" i="10"/>
  <c r="AK75" i="10"/>
  <c r="AJ75" i="10"/>
  <c r="AI75" i="10"/>
  <c r="AH75" i="10"/>
  <c r="AX76" i="10"/>
  <c r="AW76" i="10"/>
  <c r="AK76" i="10"/>
  <c r="AJ76" i="10"/>
  <c r="AI76" i="10"/>
  <c r="AH76" i="10"/>
  <c r="AX77" i="10"/>
  <c r="AW77" i="10"/>
  <c r="AV77" i="10"/>
  <c r="AU77" i="10"/>
  <c r="AT77" i="10"/>
  <c r="AS77" i="10"/>
  <c r="AR77" i="10"/>
  <c r="AQ77" i="10"/>
  <c r="AP77" i="10"/>
  <c r="AO77" i="10"/>
  <c r="AN77" i="10"/>
  <c r="AM77" i="10"/>
  <c r="AL77" i="10"/>
  <c r="AK77" i="10"/>
  <c r="AJ77" i="10"/>
  <c r="AI77" i="10"/>
  <c r="AH77" i="10"/>
  <c r="AX78" i="10"/>
  <c r="AW78" i="10"/>
  <c r="AK78" i="10"/>
  <c r="AJ78" i="10"/>
  <c r="AI78" i="10"/>
  <c r="AH78" i="10"/>
  <c r="AX79" i="10"/>
  <c r="AW79" i="10"/>
  <c r="AK79" i="10"/>
  <c r="AJ79" i="10"/>
  <c r="AI79" i="10"/>
  <c r="AH79" i="10"/>
  <c r="AW128" i="10"/>
  <c r="AU128" i="10"/>
  <c r="AT128" i="10"/>
  <c r="AS128" i="10"/>
  <c r="AK176" i="10"/>
  <c r="AQ128" i="10"/>
  <c r="AT141" i="10"/>
  <c r="AR128" i="10"/>
  <c r="AP128" i="10"/>
  <c r="AO128" i="10"/>
  <c r="AI151" i="10"/>
  <c r="AN128" i="10"/>
  <c r="AK128" i="10"/>
  <c r="AS141" i="10"/>
  <c r="AR141" i="10"/>
  <c r="AQ141" i="10"/>
  <c r="AP141" i="10"/>
  <c r="AO141" i="10"/>
  <c r="AN141" i="10"/>
  <c r="AM128" i="10"/>
  <c r="AM141" i="10"/>
  <c r="AX128" i="10"/>
  <c r="AL128" i="10"/>
  <c r="AX151" i="10"/>
  <c r="AX141" i="10"/>
  <c r="AL141" i="10"/>
  <c r="AW151" i="10"/>
  <c r="AW141" i="10"/>
  <c r="AK141" i="10"/>
  <c r="AV128" i="10"/>
  <c r="AJ128" i="10"/>
  <c r="AK151" i="10"/>
  <c r="AV141" i="10"/>
  <c r="AJ141" i="10"/>
  <c r="AI128" i="10"/>
  <c r="AJ151" i="10"/>
  <c r="AU141" i="10"/>
  <c r="AI141" i="10"/>
  <c r="AX80" i="10"/>
  <c r="AW80" i="10"/>
  <c r="AK80" i="10"/>
  <c r="AJ80" i="10"/>
  <c r="AI80" i="10"/>
  <c r="Y161" i="45"/>
  <c r="W161" i="45"/>
  <c r="U161" i="45"/>
  <c r="AH213" i="10"/>
  <c r="Y160" i="45"/>
  <c r="W160" i="45"/>
  <c r="U160" i="45"/>
  <c r="AF161" i="45"/>
  <c r="AD161" i="45"/>
  <c r="AH168" i="10"/>
  <c r="AF160" i="45"/>
  <c r="AD160" i="45"/>
  <c r="AH167" i="10"/>
  <c r="Y159" i="45"/>
  <c r="W159" i="45"/>
  <c r="U159" i="45"/>
  <c r="AH163" i="10"/>
  <c r="AH159" i="45"/>
  <c r="AF159" i="45"/>
  <c r="AD159" i="45"/>
  <c r="AH143" i="10"/>
  <c r="AQ160" i="45"/>
  <c r="AO160" i="45"/>
  <c r="AM160" i="45"/>
  <c r="AH160" i="45"/>
  <c r="P160" i="45"/>
  <c r="N160" i="45"/>
  <c r="L160" i="45"/>
  <c r="G160" i="45"/>
  <c r="E160" i="45"/>
  <c r="C160" i="45"/>
  <c r="AH137" i="10"/>
  <c r="AH162" i="45"/>
  <c r="AF162" i="45"/>
  <c r="AD162" i="45"/>
  <c r="AH131" i="10"/>
  <c r="AQ161" i="45"/>
  <c r="AO161" i="45"/>
  <c r="AM161" i="45"/>
  <c r="AH161" i="45"/>
  <c r="P161" i="45"/>
  <c r="N161" i="45"/>
  <c r="L161" i="45"/>
  <c r="G161" i="45"/>
  <c r="E161" i="45"/>
  <c r="C161" i="45"/>
  <c r="AH127" i="10"/>
  <c r="P162" i="45"/>
  <c r="N162" i="45"/>
  <c r="L162" i="45"/>
  <c r="AH116" i="10"/>
  <c r="P163" i="45"/>
  <c r="N163" i="45"/>
  <c r="L163" i="45"/>
  <c r="AH113" i="10"/>
  <c r="AQ162" i="45"/>
  <c r="AO162" i="45"/>
  <c r="AM162" i="45"/>
  <c r="Y162" i="45"/>
  <c r="W162" i="45"/>
  <c r="U162" i="45"/>
  <c r="G162" i="45"/>
  <c r="E162" i="45"/>
  <c r="C162" i="45"/>
  <c r="AH112" i="10"/>
  <c r="Y163" i="45"/>
  <c r="W163" i="45"/>
  <c r="U163" i="45"/>
  <c r="AH82" i="10"/>
  <c r="AQ159" i="45"/>
  <c r="AO159" i="45"/>
  <c r="AM159" i="45"/>
  <c r="P159" i="45"/>
  <c r="N159" i="45"/>
  <c r="L159" i="45"/>
  <c r="G159" i="45"/>
  <c r="E159" i="45"/>
  <c r="C159" i="45"/>
  <c r="AH81" i="10"/>
  <c r="AQ163" i="45"/>
  <c r="AO163" i="45"/>
  <c r="AM163" i="45"/>
  <c r="AH163" i="45"/>
  <c r="AF163" i="45"/>
  <c r="AD163" i="45"/>
  <c r="G163" i="45"/>
  <c r="E163" i="45"/>
  <c r="C163" i="45"/>
  <c r="AI504" i="10"/>
  <c r="AH504" i="10"/>
  <c r="AI502" i="10"/>
  <c r="AH502" i="10"/>
  <c r="AI503" i="10"/>
  <c r="AH503" i="10"/>
  <c r="AI501" i="10"/>
  <c r="AH501" i="10"/>
  <c r="AI500" i="10"/>
  <c r="AH500" i="10"/>
  <c r="AI498" i="10"/>
  <c r="AH498" i="10"/>
  <c r="AI499" i="10"/>
  <c r="AH499" i="10"/>
  <c r="AI494" i="10"/>
  <c r="AH494" i="10"/>
  <c r="AI495" i="10"/>
  <c r="AH495" i="10"/>
  <c r="AI496" i="10"/>
  <c r="AH496" i="10"/>
  <c r="AI497" i="10"/>
  <c r="AH497" i="10"/>
  <c r="AI489" i="10"/>
  <c r="AH489" i="10"/>
  <c r="AI490" i="10"/>
  <c r="AH490" i="10"/>
  <c r="AI491" i="10"/>
  <c r="AH491" i="10"/>
  <c r="AI492" i="10"/>
  <c r="AH492" i="10"/>
  <c r="AI493" i="10"/>
  <c r="AH493" i="10"/>
  <c r="AI488" i="10"/>
  <c r="AH488" i="10"/>
  <c r="AI486" i="10"/>
  <c r="AH486" i="10"/>
  <c r="AI485" i="10"/>
  <c r="AH485" i="10"/>
  <c r="AI482" i="10"/>
  <c r="AH482" i="10"/>
  <c r="AI481" i="10"/>
  <c r="AH481" i="10"/>
  <c r="AI480" i="10"/>
  <c r="AH480" i="10"/>
  <c r="AI479" i="10"/>
  <c r="AH479" i="10"/>
  <c r="AI477" i="10"/>
  <c r="AH477" i="10"/>
  <c r="AI478" i="10"/>
  <c r="AH478" i="10"/>
  <c r="AI476" i="10"/>
  <c r="AH476" i="10"/>
  <c r="AI475" i="10"/>
  <c r="AH475" i="10"/>
  <c r="AI474" i="10"/>
  <c r="AH474" i="10"/>
  <c r="AI472" i="10"/>
  <c r="AH472" i="10"/>
  <c r="AI471" i="10"/>
  <c r="AH471" i="10"/>
  <c r="AI470" i="10"/>
  <c r="AH470" i="10"/>
  <c r="AI469" i="10"/>
  <c r="AH469" i="10"/>
  <c r="AI466" i="10"/>
  <c r="AH466" i="10"/>
  <c r="AI465" i="10"/>
  <c r="AH465" i="10"/>
  <c r="AI464" i="10"/>
  <c r="AH464" i="10"/>
  <c r="AI463" i="10"/>
  <c r="AH463" i="10"/>
  <c r="AI461" i="10"/>
  <c r="AH461" i="10"/>
  <c r="AI462" i="10"/>
  <c r="AH462" i="10"/>
  <c r="AI427" i="10"/>
  <c r="AH427" i="10"/>
  <c r="AI421" i="10"/>
  <c r="AH421" i="10"/>
  <c r="AI417" i="10"/>
  <c r="AH417" i="10"/>
  <c r="AM406" i="10"/>
  <c r="AH406" i="10"/>
  <c r="AO405" i="10"/>
  <c r="AH405" i="10"/>
  <c r="AR404" i="10"/>
  <c r="AH404" i="10"/>
  <c r="AI403" i="10"/>
  <c r="AH403" i="10"/>
  <c r="AO402" i="10"/>
  <c r="AH402" i="10"/>
  <c r="AI388" i="10"/>
  <c r="AH388" i="10"/>
  <c r="AL369" i="10"/>
  <c r="AH369" i="10"/>
  <c r="AI368" i="10"/>
  <c r="AH368" i="10"/>
  <c r="AQ367" i="10"/>
  <c r="AH367" i="10"/>
  <c r="AI351" i="10"/>
  <c r="AH351" i="10"/>
  <c r="AI338" i="10"/>
  <c r="AH338" i="10"/>
  <c r="AI337" i="10"/>
  <c r="AH337" i="10"/>
  <c r="AJ336" i="10"/>
  <c r="AH336" i="10"/>
  <c r="AI335" i="10"/>
  <c r="AH335" i="10"/>
  <c r="AK327" i="10"/>
  <c r="AH327" i="10"/>
  <c r="AJ325" i="10"/>
  <c r="AH325" i="10"/>
  <c r="AK326" i="10"/>
  <c r="AH326" i="10"/>
  <c r="AI320" i="10"/>
  <c r="AH320" i="10"/>
  <c r="AI298" i="10"/>
  <c r="AH298" i="10"/>
  <c r="AI256" i="10"/>
  <c r="AH256" i="10"/>
  <c r="AJ232" i="10"/>
  <c r="AH232" i="10"/>
  <c r="AI230" i="10"/>
  <c r="AH230" i="10"/>
  <c r="AL229" i="10"/>
  <c r="AH229" i="10"/>
  <c r="AQ224" i="10"/>
  <c r="AH224" i="10"/>
  <c r="AJ223" i="10"/>
  <c r="AH223" i="10"/>
  <c r="AO222" i="10"/>
  <c r="AH222" i="10"/>
  <c r="AK218" i="10"/>
  <c r="AH218" i="10"/>
  <c r="AI203" i="10"/>
  <c r="AH203" i="10"/>
  <c r="AJ202" i="10"/>
  <c r="AH202" i="10"/>
  <c r="AI183" i="10"/>
  <c r="AH183" i="10"/>
  <c r="AI182" i="10"/>
  <c r="AH182" i="10"/>
  <c r="AO181" i="10"/>
  <c r="AH181" i="10"/>
  <c r="AJ180" i="10"/>
  <c r="AH180" i="10"/>
  <c r="AK179" i="10"/>
  <c r="AH179" i="10"/>
  <c r="AN178" i="10"/>
  <c r="AH178" i="10"/>
  <c r="AI176" i="10"/>
  <c r="AH176" i="10"/>
  <c r="AI150" i="10"/>
  <c r="AH150" i="10"/>
  <c r="AX81" i="10"/>
  <c r="AW81" i="10"/>
  <c r="AV81" i="10"/>
  <c r="AU81" i="10"/>
  <c r="AT81" i="10"/>
  <c r="AS81" i="10"/>
  <c r="AR81" i="10"/>
  <c r="AQ81" i="10"/>
  <c r="AP81" i="10"/>
  <c r="AO81" i="10"/>
  <c r="AN81" i="10"/>
  <c r="AM81" i="10"/>
  <c r="AL81" i="10"/>
  <c r="AK81" i="10"/>
  <c r="AJ81" i="10"/>
  <c r="AI81" i="10"/>
  <c r="AX82" i="10"/>
  <c r="AW82" i="10"/>
  <c r="AV82" i="10"/>
  <c r="AU82" i="10"/>
  <c r="AT82" i="10"/>
  <c r="AS82" i="10"/>
  <c r="AR82" i="10"/>
  <c r="AQ82" i="10"/>
  <c r="AP82" i="10"/>
  <c r="AO82" i="10"/>
  <c r="AN82" i="10"/>
  <c r="AM82" i="10"/>
  <c r="AL82" i="10"/>
  <c r="AK82" i="10"/>
  <c r="AJ82" i="10"/>
  <c r="AI82" i="10"/>
  <c r="AX83" i="10"/>
  <c r="AW83" i="10"/>
  <c r="AV83" i="10"/>
  <c r="AU83" i="10"/>
  <c r="AT83" i="10"/>
  <c r="AS83" i="10"/>
  <c r="AR83" i="10"/>
  <c r="AQ83" i="10"/>
  <c r="AP83" i="10"/>
  <c r="AO83" i="10"/>
  <c r="AN83" i="10"/>
  <c r="AM83" i="10"/>
  <c r="AL83" i="10"/>
  <c r="AK83" i="10"/>
  <c r="AJ83" i="10"/>
  <c r="AI83" i="10"/>
  <c r="AX84" i="10"/>
  <c r="AW84" i="10"/>
  <c r="AV84" i="10"/>
  <c r="AU84" i="10"/>
  <c r="AT84" i="10"/>
  <c r="AS84" i="10"/>
  <c r="AR84" i="10"/>
  <c r="AQ84" i="10"/>
  <c r="AP84" i="10"/>
  <c r="AO84" i="10"/>
  <c r="AN84" i="10"/>
  <c r="AM84" i="10"/>
  <c r="AL84" i="10"/>
  <c r="AK84" i="10"/>
  <c r="AJ84" i="10"/>
  <c r="AI84" i="10"/>
  <c r="AX85" i="10"/>
  <c r="AW85" i="10"/>
  <c r="AV85" i="10"/>
  <c r="AU85" i="10"/>
  <c r="AT85" i="10"/>
  <c r="AS85" i="10"/>
  <c r="AR85" i="10"/>
  <c r="AQ85" i="10"/>
  <c r="AP85" i="10"/>
  <c r="AO85" i="10"/>
  <c r="AN85" i="10"/>
  <c r="AM85" i="10"/>
  <c r="AL85" i="10"/>
  <c r="AK85" i="10"/>
  <c r="AJ85" i="10"/>
  <c r="AI85" i="10"/>
  <c r="AX86" i="10"/>
  <c r="AW86" i="10"/>
  <c r="AV86" i="10"/>
  <c r="AU86" i="10"/>
  <c r="AT86" i="10"/>
  <c r="AS86" i="10"/>
  <c r="AR86" i="10"/>
  <c r="AQ86" i="10"/>
  <c r="AP86" i="10"/>
  <c r="AO86" i="10"/>
  <c r="AN86" i="10"/>
  <c r="AM86" i="10"/>
  <c r="AL86" i="10"/>
  <c r="AK86" i="10"/>
  <c r="AJ86" i="10"/>
  <c r="AI86" i="10"/>
  <c r="AX87" i="10"/>
  <c r="AW87" i="10"/>
  <c r="AV87" i="10"/>
  <c r="AU87" i="10"/>
  <c r="AT87" i="10"/>
  <c r="AS87" i="10"/>
  <c r="AR87" i="10"/>
  <c r="AQ87" i="10"/>
  <c r="AP87" i="10"/>
  <c r="AO87" i="10"/>
  <c r="AN87" i="10"/>
  <c r="AM87" i="10"/>
  <c r="AL87" i="10"/>
  <c r="AK87" i="10"/>
  <c r="AJ87" i="10"/>
  <c r="AI87" i="10"/>
  <c r="AX88" i="10"/>
  <c r="AW88" i="10"/>
  <c r="AV88" i="10"/>
  <c r="AU88" i="10"/>
  <c r="AT88" i="10"/>
  <c r="AS88" i="10"/>
  <c r="AR88" i="10"/>
  <c r="AQ88" i="10"/>
  <c r="AP88" i="10"/>
  <c r="AO88" i="10"/>
  <c r="AN88" i="10"/>
  <c r="AM88" i="10"/>
  <c r="AL88" i="10"/>
  <c r="AK88" i="10"/>
  <c r="AJ88" i="10"/>
  <c r="AI88" i="10"/>
  <c r="AX89" i="10"/>
  <c r="AW89" i="10"/>
  <c r="AV89" i="10"/>
  <c r="AU89" i="10"/>
  <c r="AT89" i="10"/>
  <c r="AS89" i="10"/>
  <c r="AR89" i="10"/>
  <c r="AQ89" i="10"/>
  <c r="AP89" i="10"/>
  <c r="AO89" i="10"/>
  <c r="AN89" i="10"/>
  <c r="AM89" i="10"/>
  <c r="AL89" i="10"/>
  <c r="AK89" i="10"/>
  <c r="AJ89" i="10"/>
  <c r="AI89" i="10"/>
  <c r="AX90" i="10"/>
  <c r="AW90" i="10"/>
  <c r="AV90" i="10"/>
  <c r="AU90" i="10"/>
  <c r="AT90" i="10"/>
  <c r="AS90" i="10"/>
  <c r="AR90" i="10"/>
  <c r="AQ90" i="10"/>
  <c r="AP90" i="10"/>
  <c r="AO90" i="10"/>
  <c r="AN90" i="10"/>
  <c r="AM90" i="10"/>
  <c r="AL90" i="10"/>
  <c r="AK90" i="10"/>
  <c r="AJ90" i="10"/>
  <c r="AI90" i="10"/>
  <c r="AX91" i="10"/>
  <c r="AW91" i="10"/>
  <c r="AV91" i="10"/>
  <c r="AU91" i="10"/>
  <c r="AT91" i="10"/>
  <c r="AS91" i="10"/>
  <c r="AR91" i="10"/>
  <c r="AQ91" i="10"/>
  <c r="AP91" i="10"/>
  <c r="AO91" i="10"/>
  <c r="AN91" i="10"/>
  <c r="AM91" i="10"/>
  <c r="AL91" i="10"/>
  <c r="AK91" i="10"/>
  <c r="AJ91" i="10"/>
  <c r="AI91" i="10"/>
  <c r="AX92" i="10"/>
  <c r="AW92" i="10"/>
  <c r="AV92" i="10"/>
  <c r="AU92" i="10"/>
  <c r="AT92" i="10"/>
  <c r="AS92" i="10"/>
  <c r="AR92" i="10"/>
  <c r="AQ92" i="10"/>
  <c r="AP92" i="10"/>
  <c r="AO92" i="10"/>
  <c r="AN92" i="10"/>
  <c r="AM92" i="10"/>
  <c r="AL92" i="10"/>
  <c r="AK92" i="10"/>
  <c r="AJ92" i="10"/>
  <c r="AI92" i="10"/>
  <c r="AX93" i="10"/>
  <c r="AW93" i="10"/>
  <c r="AV93" i="10"/>
  <c r="AU93" i="10"/>
  <c r="AT93" i="10"/>
  <c r="AS93" i="10"/>
  <c r="AR93" i="10"/>
  <c r="AQ93" i="10"/>
  <c r="AP93" i="10"/>
  <c r="AO93" i="10"/>
  <c r="AN93" i="10"/>
  <c r="AM93" i="10"/>
  <c r="AL93" i="10"/>
  <c r="AK93" i="10"/>
  <c r="AJ93" i="10"/>
  <c r="AI93" i="10"/>
  <c r="AX94" i="10"/>
  <c r="AW94" i="10"/>
  <c r="AV94" i="10"/>
  <c r="AU94" i="10"/>
  <c r="AT94" i="10"/>
  <c r="AS94" i="10"/>
  <c r="AR94" i="10"/>
  <c r="AQ94" i="10"/>
  <c r="AP94" i="10"/>
  <c r="AO94" i="10"/>
  <c r="AN94" i="10"/>
  <c r="AM94" i="10"/>
  <c r="AL94" i="10"/>
  <c r="AK94" i="10"/>
  <c r="AJ94" i="10"/>
  <c r="AI94" i="10"/>
  <c r="AX95" i="10"/>
  <c r="AW95" i="10"/>
  <c r="AV95" i="10"/>
  <c r="AU95" i="10"/>
  <c r="AT95" i="10"/>
  <c r="AS95" i="10"/>
  <c r="AR95" i="10"/>
  <c r="AQ95" i="10"/>
  <c r="AP95" i="10"/>
  <c r="AO95" i="10"/>
  <c r="AN95" i="10"/>
  <c r="AM95" i="10"/>
  <c r="AL95" i="10"/>
  <c r="AK95" i="10"/>
  <c r="AJ95" i="10"/>
  <c r="AI95" i="10"/>
  <c r="AX96" i="10"/>
  <c r="AW96" i="10"/>
  <c r="AV96" i="10"/>
  <c r="AU96" i="10"/>
  <c r="AT96" i="10"/>
  <c r="AS96" i="10"/>
  <c r="AR96" i="10"/>
  <c r="AQ96" i="10"/>
  <c r="AP96" i="10"/>
  <c r="AO96" i="10"/>
  <c r="AN96" i="10"/>
  <c r="AM96" i="10"/>
  <c r="AL96" i="10"/>
  <c r="AK96" i="10"/>
  <c r="AJ96" i="10"/>
  <c r="AI96" i="10"/>
  <c r="AX97" i="10"/>
  <c r="AW97" i="10"/>
  <c r="AV97" i="10"/>
  <c r="AU97" i="10"/>
  <c r="AT97" i="10"/>
  <c r="AS97" i="10"/>
  <c r="AR97" i="10"/>
  <c r="AQ97" i="10"/>
  <c r="AP97" i="10"/>
  <c r="AO97" i="10"/>
  <c r="AN97" i="10"/>
  <c r="AM97" i="10"/>
  <c r="AL97" i="10"/>
  <c r="AK97" i="10"/>
  <c r="AJ97" i="10"/>
  <c r="AI97" i="10"/>
  <c r="AX98" i="10"/>
  <c r="AW98" i="10"/>
  <c r="AV98" i="10"/>
  <c r="AU98" i="10"/>
  <c r="AT98" i="10"/>
  <c r="AS98" i="10"/>
  <c r="AR98" i="10"/>
  <c r="AQ98" i="10"/>
  <c r="AP98" i="10"/>
  <c r="AO98" i="10"/>
  <c r="AN98" i="10"/>
  <c r="AM98" i="10"/>
  <c r="AL98" i="10"/>
  <c r="AK98" i="10"/>
  <c r="AJ98" i="10"/>
  <c r="AI98" i="10"/>
  <c r="AX99" i="10"/>
  <c r="AW99" i="10"/>
  <c r="AV99" i="10"/>
  <c r="AU99" i="10"/>
  <c r="AT99" i="10"/>
  <c r="AS99" i="10"/>
  <c r="AR99" i="10"/>
  <c r="AQ99" i="10"/>
  <c r="AP99" i="10"/>
  <c r="AO99" i="10"/>
  <c r="AN99" i="10"/>
  <c r="AM99" i="10"/>
  <c r="AL99" i="10"/>
  <c r="AK99" i="10"/>
  <c r="AJ99" i="10"/>
  <c r="AI99" i="10"/>
  <c r="AX100" i="10"/>
  <c r="AW100" i="10"/>
  <c r="AV100" i="10"/>
  <c r="AU100" i="10"/>
  <c r="AT100" i="10"/>
  <c r="AS100" i="10"/>
  <c r="AR100" i="10"/>
  <c r="AQ100" i="10"/>
  <c r="AP100" i="10"/>
  <c r="AO100" i="10"/>
  <c r="AN100" i="10"/>
  <c r="AM100" i="10"/>
  <c r="AL100" i="10"/>
  <c r="AK100" i="10"/>
  <c r="AJ100" i="10"/>
  <c r="AI100" i="10"/>
  <c r="AX101" i="10"/>
  <c r="AW101" i="10"/>
  <c r="AV101" i="10"/>
  <c r="AU101" i="10"/>
  <c r="AT101" i="10"/>
  <c r="AS101" i="10"/>
  <c r="AR101" i="10"/>
  <c r="AQ101" i="10"/>
  <c r="AP101" i="10"/>
  <c r="AO101" i="10"/>
  <c r="AN101" i="10"/>
  <c r="AM101" i="10"/>
  <c r="AL101" i="10"/>
  <c r="AK101" i="10"/>
  <c r="AJ101" i="10"/>
  <c r="AI101" i="10"/>
  <c r="AX102" i="10"/>
  <c r="AW102" i="10"/>
  <c r="AV102" i="10"/>
  <c r="AU102" i="10"/>
  <c r="AT102" i="10"/>
  <c r="AS102" i="10"/>
  <c r="AR102" i="10"/>
  <c r="AQ102" i="10"/>
  <c r="AP102" i="10"/>
  <c r="AO102" i="10"/>
  <c r="AN102" i="10"/>
  <c r="AM102" i="10"/>
  <c r="AL102" i="10"/>
  <c r="AK102" i="10"/>
  <c r="AJ102" i="10"/>
  <c r="AI102" i="10"/>
  <c r="AX103" i="10"/>
  <c r="AW103" i="10"/>
  <c r="AV103" i="10"/>
  <c r="AU103" i="10"/>
  <c r="AT103" i="10"/>
  <c r="AS103" i="10"/>
  <c r="AR103" i="10"/>
  <c r="AQ103" i="10"/>
  <c r="AP103" i="10"/>
  <c r="AO103" i="10"/>
  <c r="AN103" i="10"/>
  <c r="AM103" i="10"/>
  <c r="AL103" i="10"/>
  <c r="AK103" i="10"/>
  <c r="AJ103" i="10"/>
  <c r="AI103" i="10"/>
  <c r="AX104" i="10"/>
  <c r="AW104" i="10"/>
  <c r="AV104" i="10"/>
  <c r="AU104" i="10"/>
  <c r="AT104" i="10"/>
  <c r="AS104" i="10"/>
  <c r="AR104" i="10"/>
  <c r="AQ104" i="10"/>
  <c r="AP104" i="10"/>
  <c r="AO104" i="10"/>
  <c r="AN104" i="10"/>
  <c r="AM104" i="10"/>
  <c r="AL104" i="10"/>
  <c r="AK104" i="10"/>
  <c r="AJ104" i="10"/>
  <c r="AI104" i="10"/>
  <c r="AX105" i="10"/>
  <c r="AW105" i="10"/>
  <c r="AV105" i="10"/>
  <c r="AU105" i="10"/>
  <c r="AT105" i="10"/>
  <c r="AS105" i="10"/>
  <c r="AR105" i="10"/>
  <c r="AQ105" i="10"/>
  <c r="AP105" i="10"/>
  <c r="AO105" i="10"/>
  <c r="AN105" i="10"/>
  <c r="AM105" i="10"/>
  <c r="AL105" i="10"/>
  <c r="AK105" i="10"/>
  <c r="AJ105" i="10"/>
  <c r="AI105" i="10"/>
  <c r="AX106" i="10"/>
  <c r="AW106" i="10"/>
  <c r="AV106" i="10"/>
  <c r="AU106" i="10"/>
  <c r="AT106" i="10"/>
  <c r="AS106" i="10"/>
  <c r="AR106" i="10"/>
  <c r="AQ106" i="10"/>
  <c r="AP106" i="10"/>
  <c r="AO106" i="10"/>
  <c r="AN106" i="10"/>
  <c r="AM106" i="10"/>
  <c r="AL106" i="10"/>
  <c r="AK106" i="10"/>
  <c r="AJ106" i="10"/>
  <c r="AI106" i="10"/>
  <c r="AX107" i="10"/>
  <c r="AW107" i="10"/>
  <c r="AV107" i="10"/>
  <c r="AU107" i="10"/>
  <c r="AT107" i="10"/>
  <c r="AS107" i="10"/>
  <c r="AR107" i="10"/>
  <c r="AQ107" i="10"/>
  <c r="AP107" i="10"/>
  <c r="AO107" i="10"/>
  <c r="AN107" i="10"/>
  <c r="AM107" i="10"/>
  <c r="AL107" i="10"/>
  <c r="AK107" i="10"/>
  <c r="AJ107" i="10"/>
  <c r="AI107" i="10"/>
  <c r="AX108" i="10"/>
  <c r="AW108" i="10"/>
  <c r="AV108" i="10"/>
  <c r="AU108" i="10"/>
  <c r="AT108" i="10"/>
  <c r="AS108" i="10"/>
  <c r="AR108" i="10"/>
  <c r="AQ108" i="10"/>
  <c r="AP108" i="10"/>
  <c r="AO108" i="10"/>
  <c r="AN108" i="10"/>
  <c r="AM108" i="10"/>
  <c r="AL108" i="10"/>
  <c r="AK108" i="10"/>
  <c r="AJ108" i="10"/>
  <c r="AI108" i="10"/>
  <c r="AX109" i="10"/>
  <c r="AW109" i="10"/>
  <c r="AV109" i="10"/>
  <c r="AU109" i="10"/>
  <c r="AT109" i="10"/>
  <c r="AS109" i="10"/>
  <c r="AR109" i="10"/>
  <c r="AQ109" i="10"/>
  <c r="AP109" i="10"/>
  <c r="AO109" i="10"/>
  <c r="AN109" i="10"/>
  <c r="AM109" i="10"/>
  <c r="AL109" i="10"/>
  <c r="AK109" i="10"/>
  <c r="AJ109" i="10"/>
  <c r="AI109" i="10"/>
  <c r="AX110" i="10"/>
  <c r="AW110" i="10"/>
  <c r="AV110" i="10"/>
  <c r="AU110" i="10"/>
  <c r="AT110" i="10"/>
  <c r="AS110" i="10"/>
  <c r="AR110" i="10"/>
  <c r="AQ110" i="10"/>
  <c r="AP110" i="10"/>
  <c r="AO110" i="10"/>
  <c r="AN110" i="10"/>
  <c r="AM110" i="10"/>
  <c r="AL110" i="10"/>
  <c r="AK110" i="10"/>
  <c r="AJ110" i="10"/>
  <c r="AI110" i="10"/>
  <c r="AX112" i="10"/>
  <c r="AW112" i="10"/>
  <c r="AV112" i="10"/>
  <c r="AU112" i="10"/>
  <c r="AT112" i="10"/>
  <c r="AS112" i="10"/>
  <c r="AR112" i="10"/>
  <c r="AQ112" i="10"/>
  <c r="AP112" i="10"/>
  <c r="AO112" i="10"/>
  <c r="AN112" i="10"/>
  <c r="AM112" i="10"/>
  <c r="AL112" i="10"/>
  <c r="AK112" i="10"/>
  <c r="AJ112" i="10"/>
  <c r="AI112" i="10"/>
  <c r="AX111" i="10"/>
  <c r="AW111" i="10"/>
  <c r="AV111" i="10"/>
  <c r="AU111" i="10"/>
  <c r="AT111" i="10"/>
  <c r="AS111" i="10"/>
  <c r="AR111" i="10"/>
  <c r="AQ111" i="10"/>
  <c r="AP111" i="10"/>
  <c r="AO111" i="10"/>
  <c r="AN111" i="10"/>
  <c r="AM111" i="10"/>
  <c r="AL111" i="10"/>
  <c r="AK111" i="10"/>
  <c r="AJ111" i="10"/>
  <c r="AI111" i="10"/>
  <c r="AX114" i="10"/>
  <c r="AW114" i="10"/>
  <c r="AV114" i="10"/>
  <c r="AU114" i="10"/>
  <c r="AT114" i="10"/>
  <c r="AS114" i="10"/>
  <c r="AR114" i="10"/>
  <c r="AQ114" i="10"/>
  <c r="AP114" i="10"/>
  <c r="AO114" i="10"/>
  <c r="AN114" i="10"/>
  <c r="AM114" i="10"/>
  <c r="AL114" i="10"/>
  <c r="AK114" i="10"/>
  <c r="AJ114" i="10"/>
  <c r="AI114" i="10"/>
  <c r="AX115" i="10"/>
  <c r="AW115" i="10"/>
  <c r="AV115" i="10"/>
  <c r="AU115" i="10"/>
  <c r="AT115" i="10"/>
  <c r="AS115" i="10"/>
  <c r="AR115" i="10"/>
  <c r="AQ115" i="10"/>
  <c r="AP115" i="10"/>
  <c r="AO115" i="10"/>
  <c r="AN115" i="10"/>
  <c r="AM115" i="10"/>
  <c r="AL115" i="10"/>
  <c r="AK115" i="10"/>
  <c r="AJ115" i="10"/>
  <c r="AI115" i="10"/>
  <c r="AX113" i="10"/>
  <c r="AW113" i="10"/>
  <c r="AV113" i="10"/>
  <c r="AU113" i="10"/>
  <c r="AT113" i="10"/>
  <c r="AS113" i="10"/>
  <c r="AR113" i="10"/>
  <c r="AQ113" i="10"/>
  <c r="AP113" i="10"/>
  <c r="AO113" i="10"/>
  <c r="AN113" i="10"/>
  <c r="AM113" i="10"/>
  <c r="AL113" i="10"/>
  <c r="AK113" i="10"/>
  <c r="AJ113" i="10"/>
  <c r="AI113" i="10"/>
  <c r="AX116" i="10"/>
  <c r="AW116" i="10"/>
  <c r="AV116" i="10"/>
  <c r="AU116" i="10"/>
  <c r="AT116" i="10"/>
  <c r="AS116" i="10"/>
  <c r="AR116" i="10"/>
  <c r="AQ116" i="10"/>
  <c r="AP116" i="10"/>
  <c r="AO116" i="10"/>
  <c r="AN116" i="10"/>
  <c r="AM116" i="10"/>
  <c r="AL116" i="10"/>
  <c r="AK116" i="10"/>
  <c r="AJ116" i="10"/>
  <c r="AI116" i="10"/>
  <c r="AX117" i="10"/>
  <c r="AW117" i="10"/>
  <c r="AK117" i="10"/>
  <c r="AJ117" i="10"/>
  <c r="AI117" i="10"/>
  <c r="AX118" i="10"/>
  <c r="AW118" i="10"/>
  <c r="AK118" i="10"/>
  <c r="AJ118" i="10"/>
  <c r="AI118" i="10"/>
  <c r="AX119" i="10"/>
  <c r="AW119" i="10"/>
  <c r="AV119" i="10"/>
  <c r="AU119" i="10"/>
  <c r="AT119" i="10"/>
  <c r="AS119" i="10"/>
  <c r="AR119" i="10"/>
  <c r="AQ119" i="10"/>
  <c r="AP119" i="10"/>
  <c r="AO119" i="10"/>
  <c r="AN119" i="10"/>
  <c r="AM119" i="10"/>
  <c r="AL119" i="10"/>
  <c r="AK119" i="10"/>
  <c r="AJ119" i="10"/>
  <c r="AI119" i="10"/>
  <c r="AX120" i="10"/>
  <c r="AW120" i="10"/>
  <c r="AK120" i="10"/>
  <c r="AJ120" i="10"/>
  <c r="AI120" i="10"/>
  <c r="AX121" i="10"/>
  <c r="AW121" i="10"/>
  <c r="AV121" i="10"/>
  <c r="AU121" i="10"/>
  <c r="AT121" i="10"/>
  <c r="AS121" i="10"/>
  <c r="AR121" i="10"/>
  <c r="AQ121" i="10"/>
  <c r="AP121" i="10"/>
  <c r="AO121" i="10"/>
  <c r="AN121" i="10"/>
  <c r="AM121" i="10"/>
  <c r="AL121" i="10"/>
  <c r="AK121" i="10"/>
  <c r="AJ121" i="10"/>
  <c r="AI121" i="10"/>
  <c r="AX122" i="10"/>
  <c r="AW122" i="10"/>
  <c r="AK122" i="10"/>
  <c r="AJ122" i="10"/>
  <c r="AI122" i="10"/>
  <c r="AX123" i="10"/>
  <c r="AW123" i="10"/>
  <c r="AV123" i="10"/>
  <c r="AU123" i="10"/>
  <c r="AT123" i="10"/>
  <c r="AS123" i="10"/>
  <c r="AR123" i="10"/>
  <c r="AQ123" i="10"/>
  <c r="AP123" i="10"/>
  <c r="AO123" i="10"/>
  <c r="AN123" i="10"/>
  <c r="AM123" i="10"/>
  <c r="AL123" i="10"/>
  <c r="AK123" i="10"/>
  <c r="AJ123" i="10"/>
  <c r="AI123" i="10"/>
  <c r="AX124" i="10"/>
  <c r="AW124" i="10"/>
  <c r="AK124" i="10"/>
  <c r="AJ124" i="10"/>
  <c r="AI124" i="10"/>
  <c r="AX125" i="10"/>
  <c r="AW125" i="10"/>
  <c r="AK125" i="10"/>
  <c r="AJ125" i="10"/>
  <c r="AI125" i="10"/>
  <c r="AX126" i="10"/>
  <c r="AW126" i="10"/>
  <c r="AV126" i="10"/>
  <c r="AU126" i="10"/>
  <c r="AT126" i="10"/>
  <c r="AS126" i="10"/>
  <c r="AR126" i="10"/>
  <c r="AQ126" i="10"/>
  <c r="AP126" i="10"/>
  <c r="AO126" i="10"/>
  <c r="AN126" i="10"/>
  <c r="AM126" i="10"/>
  <c r="AL126" i="10"/>
  <c r="AK126" i="10"/>
  <c r="AJ126" i="10"/>
  <c r="AI126" i="10"/>
  <c r="AX127" i="10"/>
  <c r="AW127" i="10"/>
  <c r="AV127" i="10"/>
  <c r="AU127" i="10"/>
  <c r="AT127" i="10"/>
  <c r="AS127" i="10"/>
  <c r="AR127" i="10"/>
  <c r="AQ127" i="10"/>
  <c r="AP127" i="10"/>
  <c r="AO127" i="10"/>
  <c r="AN127" i="10"/>
  <c r="AM127" i="10"/>
  <c r="AL127" i="10"/>
  <c r="AK127" i="10"/>
  <c r="AJ127" i="10"/>
  <c r="AI127" i="10"/>
  <c r="AX129" i="10"/>
  <c r="AW129" i="10"/>
  <c r="AV129" i="10"/>
  <c r="AU129" i="10"/>
  <c r="AT129" i="10"/>
  <c r="AS129" i="10"/>
  <c r="AR129" i="10"/>
  <c r="AQ129" i="10"/>
  <c r="AP129" i="10"/>
  <c r="AO129" i="10"/>
  <c r="AN129" i="10"/>
  <c r="AM129" i="10"/>
  <c r="AL129" i="10"/>
  <c r="AK129" i="10"/>
  <c r="AJ129" i="10"/>
  <c r="AI129" i="10"/>
  <c r="AX130" i="10"/>
  <c r="AW130" i="10"/>
  <c r="AK130" i="10"/>
  <c r="AJ130" i="10"/>
  <c r="AI130" i="10"/>
  <c r="AX131" i="10"/>
  <c r="AW131" i="10"/>
  <c r="AV131" i="10"/>
  <c r="AU131" i="10"/>
  <c r="AT131" i="10"/>
  <c r="AS131" i="10"/>
  <c r="AR131" i="10"/>
  <c r="AQ131" i="10"/>
  <c r="AP131" i="10"/>
  <c r="AO131" i="10"/>
  <c r="AN131" i="10"/>
  <c r="AM131" i="10"/>
  <c r="AL131" i="10"/>
  <c r="AK131" i="10"/>
  <c r="AJ131" i="10"/>
  <c r="AI131" i="10"/>
  <c r="AX132" i="10"/>
  <c r="AW132" i="10"/>
  <c r="AV132" i="10"/>
  <c r="AU132" i="10"/>
  <c r="AT132" i="10"/>
  <c r="AS132" i="10"/>
  <c r="AR132" i="10"/>
  <c r="AQ132" i="10"/>
  <c r="AP132" i="10"/>
  <c r="AO132" i="10"/>
  <c r="AN132" i="10"/>
  <c r="AM132" i="10"/>
  <c r="AL132" i="10"/>
  <c r="AK132" i="10"/>
  <c r="AJ132" i="10"/>
  <c r="AI132" i="10"/>
  <c r="AX133" i="10"/>
  <c r="AW133" i="10"/>
  <c r="AV133" i="10"/>
  <c r="AU133" i="10"/>
  <c r="AT133" i="10"/>
  <c r="AS133" i="10"/>
  <c r="AR133" i="10"/>
  <c r="AQ133" i="10"/>
  <c r="AP133" i="10"/>
  <c r="AO133" i="10"/>
  <c r="AN133" i="10"/>
  <c r="AM133" i="10"/>
  <c r="AL133" i="10"/>
  <c r="AK133" i="10"/>
  <c r="AJ133" i="10"/>
  <c r="AI133" i="10"/>
  <c r="AX134" i="10"/>
  <c r="AW134" i="10"/>
  <c r="AV134" i="10"/>
  <c r="AU134" i="10"/>
  <c r="AT134" i="10"/>
  <c r="AS134" i="10"/>
  <c r="AR134" i="10"/>
  <c r="AQ134" i="10"/>
  <c r="AP134" i="10"/>
  <c r="AO134" i="10"/>
  <c r="AN134" i="10"/>
  <c r="AM134" i="10"/>
  <c r="AL134" i="10"/>
  <c r="AK134" i="10"/>
  <c r="AJ134" i="10"/>
  <c r="AI134" i="10"/>
  <c r="AX135" i="10"/>
  <c r="AW135" i="10"/>
  <c r="AV135" i="10"/>
  <c r="AU135" i="10"/>
  <c r="AT135" i="10"/>
  <c r="AS135" i="10"/>
  <c r="AR135" i="10"/>
  <c r="AQ135" i="10"/>
  <c r="AP135" i="10"/>
  <c r="AO135" i="10"/>
  <c r="AN135" i="10"/>
  <c r="AM135" i="10"/>
  <c r="AL135" i="10"/>
  <c r="AK135" i="10"/>
  <c r="AJ135" i="10"/>
  <c r="AI135" i="10"/>
  <c r="AX136" i="10"/>
  <c r="AW136" i="10"/>
  <c r="AV136" i="10"/>
  <c r="AU136" i="10"/>
  <c r="AT136" i="10"/>
  <c r="AS136" i="10"/>
  <c r="AR136" i="10"/>
  <c r="AQ136" i="10"/>
  <c r="AP136" i="10"/>
  <c r="AO136" i="10"/>
  <c r="AN136" i="10"/>
  <c r="AM136" i="10"/>
  <c r="AL136" i="10"/>
  <c r="AK136" i="10"/>
  <c r="AJ136" i="10"/>
  <c r="AI136" i="10"/>
  <c r="AX137" i="10"/>
  <c r="AW137" i="10"/>
  <c r="AK137" i="10"/>
  <c r="AJ137" i="10"/>
  <c r="AI137" i="10"/>
  <c r="AX139" i="10"/>
  <c r="AW139" i="10"/>
  <c r="AV139" i="10"/>
  <c r="AU139" i="10"/>
  <c r="AT139" i="10"/>
  <c r="AS139" i="10"/>
  <c r="AR139" i="10"/>
  <c r="AQ139" i="10"/>
  <c r="AP139" i="10"/>
  <c r="AO139" i="10"/>
  <c r="AN139" i="10"/>
  <c r="AM139" i="10"/>
  <c r="AL139" i="10"/>
  <c r="AK139" i="10"/>
  <c r="AJ139" i="10"/>
  <c r="AI139" i="10"/>
  <c r="AX138" i="10"/>
  <c r="AW138" i="10"/>
  <c r="AK138" i="10"/>
  <c r="AJ138" i="10"/>
  <c r="AI138" i="10"/>
  <c r="AX140" i="10"/>
  <c r="AW140" i="10"/>
  <c r="AK140" i="10"/>
  <c r="AJ140" i="10"/>
  <c r="AI140" i="10"/>
  <c r="AX142" i="10"/>
  <c r="AW142" i="10"/>
  <c r="AV142" i="10"/>
  <c r="AU142" i="10"/>
  <c r="AT142" i="10"/>
  <c r="AS142" i="10"/>
  <c r="AR142" i="10"/>
  <c r="AQ142" i="10"/>
  <c r="AP142" i="10"/>
  <c r="AO142" i="10"/>
  <c r="AN142" i="10"/>
  <c r="AM142" i="10"/>
  <c r="AL142" i="10"/>
  <c r="AK142" i="10"/>
  <c r="AJ142" i="10"/>
  <c r="AI142" i="10"/>
  <c r="AX143" i="10"/>
  <c r="AW143" i="10"/>
  <c r="AV143" i="10"/>
  <c r="AU143" i="10"/>
  <c r="AT143" i="10"/>
  <c r="AS143" i="10"/>
  <c r="AR143" i="10"/>
  <c r="AQ143" i="10"/>
  <c r="AP143" i="10"/>
  <c r="AO143" i="10"/>
  <c r="AN143" i="10"/>
  <c r="AM143" i="10"/>
  <c r="AL143" i="10"/>
  <c r="AK143" i="10"/>
  <c r="AJ143" i="10"/>
  <c r="AI143" i="10"/>
  <c r="AX144" i="10"/>
  <c r="AW144" i="10"/>
  <c r="AV144" i="10"/>
  <c r="AU144" i="10"/>
  <c r="AT144" i="10"/>
  <c r="AS144" i="10"/>
  <c r="AR144" i="10"/>
  <c r="AQ144" i="10"/>
  <c r="AP144" i="10"/>
  <c r="AO144" i="10"/>
  <c r="AN144" i="10"/>
  <c r="AM144" i="10"/>
  <c r="AL144" i="10"/>
  <c r="AK144" i="10"/>
  <c r="AJ144" i="10"/>
  <c r="AI144" i="10"/>
  <c r="AX147" i="10"/>
  <c r="AW147" i="10"/>
  <c r="AK147" i="10"/>
  <c r="AJ147" i="10"/>
  <c r="AI147" i="10"/>
  <c r="AX145" i="10"/>
  <c r="AW145" i="10"/>
  <c r="AV145" i="10"/>
  <c r="AU145" i="10"/>
  <c r="AT145" i="10"/>
  <c r="AS145" i="10"/>
  <c r="AR145" i="10"/>
  <c r="AQ145" i="10"/>
  <c r="AP145" i="10"/>
  <c r="AO145" i="10"/>
  <c r="AN145" i="10"/>
  <c r="AM145" i="10"/>
  <c r="AL145" i="10"/>
  <c r="AK145" i="10"/>
  <c r="AJ145" i="10"/>
  <c r="AI145" i="10"/>
  <c r="AX146" i="10"/>
  <c r="AW146" i="10"/>
  <c r="AV146" i="10"/>
  <c r="AU146" i="10"/>
  <c r="AT146" i="10"/>
  <c r="AS146" i="10"/>
  <c r="AR146" i="10"/>
  <c r="AQ146" i="10"/>
  <c r="AP146" i="10"/>
  <c r="AO146" i="10"/>
  <c r="AN146" i="10"/>
  <c r="AM146" i="10"/>
  <c r="AL146" i="10"/>
  <c r="AK146" i="10"/>
  <c r="AJ146" i="10"/>
  <c r="AI146" i="10"/>
  <c r="AX148" i="10"/>
  <c r="AW148" i="10"/>
  <c r="AV148" i="10"/>
  <c r="AU148" i="10"/>
  <c r="AT148" i="10"/>
  <c r="AS148" i="10"/>
  <c r="AR148" i="10"/>
  <c r="AQ148" i="10"/>
  <c r="AP148" i="10"/>
  <c r="AO148" i="10"/>
  <c r="AN148" i="10"/>
  <c r="AM148" i="10"/>
  <c r="AL148" i="10"/>
  <c r="AK148" i="10"/>
  <c r="AJ148" i="10"/>
  <c r="AI148" i="10"/>
  <c r="AX149" i="10"/>
  <c r="AW149" i="10"/>
  <c r="AV149" i="10"/>
  <c r="AU149" i="10"/>
  <c r="AT149" i="10"/>
  <c r="AS149" i="10"/>
  <c r="AR149" i="10"/>
  <c r="AQ149" i="10"/>
  <c r="AP149" i="10"/>
  <c r="AO149" i="10"/>
  <c r="AN149" i="10"/>
  <c r="AM149" i="10"/>
  <c r="AL149" i="10"/>
  <c r="AK149" i="10"/>
  <c r="AJ149" i="10"/>
  <c r="AI149" i="10"/>
  <c r="AX150" i="10"/>
  <c r="AW150" i="10"/>
  <c r="AV150" i="10"/>
  <c r="AU150" i="10"/>
  <c r="AT150" i="10"/>
  <c r="AS150" i="10"/>
  <c r="AR150" i="10"/>
  <c r="AQ150" i="10"/>
  <c r="AP150" i="10"/>
  <c r="AO150" i="10"/>
  <c r="AN150" i="10"/>
  <c r="AM150" i="10"/>
  <c r="AL150" i="10"/>
  <c r="AK150" i="10"/>
  <c r="AJ150" i="10"/>
  <c r="AX152" i="10"/>
  <c r="AW152" i="10"/>
  <c r="AV152" i="10"/>
  <c r="AU152" i="10"/>
  <c r="AT152" i="10"/>
  <c r="AS152" i="10"/>
  <c r="AR152" i="10"/>
  <c r="AQ152" i="10"/>
  <c r="AP152" i="10"/>
  <c r="AO152" i="10"/>
  <c r="AN152" i="10"/>
  <c r="AM152" i="10"/>
  <c r="AL152" i="10"/>
  <c r="AK152" i="10"/>
  <c r="AJ152" i="10"/>
  <c r="AI152" i="10"/>
  <c r="AX154" i="10"/>
  <c r="AW154" i="10"/>
  <c r="AK154" i="10"/>
  <c r="AJ154" i="10"/>
  <c r="AI154" i="10"/>
  <c r="AX153" i="10"/>
  <c r="AW153" i="10"/>
  <c r="AV153" i="10"/>
  <c r="AU153" i="10"/>
  <c r="AT153" i="10"/>
  <c r="AS153" i="10"/>
  <c r="AR153" i="10"/>
  <c r="AQ153" i="10"/>
  <c r="AP153" i="10"/>
  <c r="AO153" i="10"/>
  <c r="AN153" i="10"/>
  <c r="AM153" i="10"/>
  <c r="AL153" i="10"/>
  <c r="AK153" i="10"/>
  <c r="AJ153" i="10"/>
  <c r="AI153" i="10"/>
  <c r="AX155" i="10"/>
  <c r="AW155" i="10"/>
  <c r="AV155" i="10"/>
  <c r="AU155" i="10"/>
  <c r="AT155" i="10"/>
  <c r="AS155" i="10"/>
  <c r="AR155" i="10"/>
  <c r="AQ155" i="10"/>
  <c r="AP155" i="10"/>
  <c r="AO155" i="10"/>
  <c r="AN155" i="10"/>
  <c r="AM155" i="10"/>
  <c r="AL155" i="10"/>
  <c r="AK155" i="10"/>
  <c r="AJ155" i="10"/>
  <c r="AI155" i="10"/>
  <c r="AX157" i="10"/>
  <c r="AW157" i="10"/>
  <c r="AV157" i="10"/>
  <c r="AU157" i="10"/>
  <c r="AT157" i="10"/>
  <c r="AS157" i="10"/>
  <c r="AR157" i="10"/>
  <c r="AQ157" i="10"/>
  <c r="AP157" i="10"/>
  <c r="AO157" i="10"/>
  <c r="AN157" i="10"/>
  <c r="AM157" i="10"/>
  <c r="AL157" i="10"/>
  <c r="AK157" i="10"/>
  <c r="AJ157" i="10"/>
  <c r="AI157" i="10"/>
  <c r="AX158" i="10"/>
  <c r="AW158" i="10"/>
  <c r="AV158" i="10"/>
  <c r="AU158" i="10"/>
  <c r="AT158" i="10"/>
  <c r="AS158" i="10"/>
  <c r="AR158" i="10"/>
  <c r="AQ158" i="10"/>
  <c r="AP158" i="10"/>
  <c r="AO158" i="10"/>
  <c r="AN158" i="10"/>
  <c r="AM158" i="10"/>
  <c r="AL158" i="10"/>
  <c r="AK158" i="10"/>
  <c r="AJ158" i="10"/>
  <c r="AI158" i="10"/>
  <c r="AX156" i="10"/>
  <c r="AW156" i="10"/>
  <c r="AV156" i="10"/>
  <c r="AU156" i="10"/>
  <c r="AT156" i="10"/>
  <c r="AS156" i="10"/>
  <c r="AR156" i="10"/>
  <c r="AQ156" i="10"/>
  <c r="AP156" i="10"/>
  <c r="AO156" i="10"/>
  <c r="AN156" i="10"/>
  <c r="AM156" i="10"/>
  <c r="AL156" i="10"/>
  <c r="AK156" i="10"/>
  <c r="AJ156" i="10"/>
  <c r="AI156" i="10"/>
  <c r="AX159" i="10"/>
  <c r="AW159" i="10"/>
  <c r="AK159" i="10"/>
  <c r="AJ159" i="10"/>
  <c r="AI159" i="10"/>
  <c r="AX160" i="10"/>
  <c r="AW160" i="10"/>
  <c r="AK160" i="10"/>
  <c r="AJ160" i="10"/>
  <c r="AI160" i="10"/>
  <c r="AM222" i="10"/>
  <c r="AQ181" i="10"/>
  <c r="AI181" i="10"/>
  <c r="AW178" i="10"/>
  <c r="AN181" i="10"/>
  <c r="AM181" i="10"/>
  <c r="AJ182" i="10"/>
  <c r="AL181" i="10"/>
  <c r="AJ181" i="10"/>
  <c r="AX181" i="10"/>
  <c r="AV178" i="10"/>
  <c r="AJ218" i="10"/>
  <c r="AW181" i="10"/>
  <c r="AL178" i="10"/>
  <c r="AU181" i="10"/>
  <c r="AV180" i="10"/>
  <c r="AK178" i="10"/>
  <c r="AR181" i="10"/>
  <c r="AJ178" i="10"/>
  <c r="AT677" i="10"/>
  <c r="AX161" i="10"/>
  <c r="AW161" i="10"/>
  <c r="AV161" i="10"/>
  <c r="AU161" i="10"/>
  <c r="AT161" i="10"/>
  <c r="AS161" i="10"/>
  <c r="AR161" i="10"/>
  <c r="AQ161" i="10"/>
  <c r="AP161" i="10"/>
  <c r="AO161" i="10"/>
  <c r="AN161" i="10"/>
  <c r="AM161" i="10"/>
  <c r="AL161" i="10"/>
  <c r="AK161" i="10"/>
  <c r="AJ161" i="10"/>
  <c r="AI161" i="10"/>
  <c r="AX162" i="10"/>
  <c r="AW162" i="10"/>
  <c r="AV162" i="10"/>
  <c r="AU162" i="10"/>
  <c r="AT162" i="10"/>
  <c r="AS162" i="10"/>
  <c r="AR162" i="10"/>
  <c r="AQ162" i="10"/>
  <c r="AP162" i="10"/>
  <c r="AO162" i="10"/>
  <c r="AN162" i="10"/>
  <c r="AM162" i="10"/>
  <c r="AL162" i="10"/>
  <c r="AK162" i="10"/>
  <c r="AJ162" i="10"/>
  <c r="AI162" i="10"/>
  <c r="AX163" i="10"/>
  <c r="AW163" i="10"/>
  <c r="AV163" i="10"/>
  <c r="AU163" i="10"/>
  <c r="AT163" i="10"/>
  <c r="AS163" i="10"/>
  <c r="AR163" i="10"/>
  <c r="AQ163" i="10"/>
  <c r="AP163" i="10"/>
  <c r="AO163" i="10"/>
  <c r="AN163" i="10"/>
  <c r="AM163" i="10"/>
  <c r="AL163" i="10"/>
  <c r="AK163" i="10"/>
  <c r="AJ163" i="10"/>
  <c r="AI163" i="10"/>
  <c r="AX164" i="10"/>
  <c r="AW164" i="10"/>
  <c r="AV164" i="10"/>
  <c r="AU164" i="10"/>
  <c r="AT164" i="10"/>
  <c r="AS164" i="10"/>
  <c r="AR164" i="10"/>
  <c r="AQ164" i="10"/>
  <c r="AP164" i="10"/>
  <c r="AO164" i="10"/>
  <c r="AN164" i="10"/>
  <c r="AM164" i="10"/>
  <c r="AL164" i="10"/>
  <c r="AK164" i="10"/>
  <c r="AJ164" i="10"/>
  <c r="AI164" i="10"/>
  <c r="AX165" i="10"/>
  <c r="AW165" i="10"/>
  <c r="AV165" i="10"/>
  <c r="AU165" i="10"/>
  <c r="AT165" i="10"/>
  <c r="AS165" i="10"/>
  <c r="AR165" i="10"/>
  <c r="AQ165" i="10"/>
  <c r="AP165" i="10"/>
  <c r="AO165" i="10"/>
  <c r="AN165" i="10"/>
  <c r="AM165" i="10"/>
  <c r="AL165" i="10"/>
  <c r="AK165" i="10"/>
  <c r="AJ165" i="10"/>
  <c r="AI165" i="10"/>
  <c r="AX166" i="10"/>
  <c r="AW166" i="10"/>
  <c r="AV166" i="10"/>
  <c r="AU166" i="10"/>
  <c r="AT166" i="10"/>
  <c r="AS166" i="10"/>
  <c r="AR166" i="10"/>
  <c r="AQ166" i="10"/>
  <c r="AP166" i="10"/>
  <c r="AO166" i="10"/>
  <c r="AN166" i="10"/>
  <c r="AM166" i="10"/>
  <c r="AL166" i="10"/>
  <c r="AK166" i="10"/>
  <c r="AJ166" i="10"/>
  <c r="AI166" i="10"/>
  <c r="AX167" i="10"/>
  <c r="AW167" i="10"/>
  <c r="AV167" i="10"/>
  <c r="AU167" i="10"/>
  <c r="AT167" i="10"/>
  <c r="AS167" i="10"/>
  <c r="AR167" i="10"/>
  <c r="AQ167" i="10"/>
  <c r="AP167" i="10"/>
  <c r="AO167" i="10"/>
  <c r="AN167" i="10"/>
  <c r="AM167" i="10"/>
  <c r="AL167" i="10"/>
  <c r="AK167" i="10"/>
  <c r="AJ167" i="10"/>
  <c r="AI167" i="10"/>
  <c r="AU180" i="10"/>
  <c r="AT180" i="10"/>
  <c r="AX178" i="10"/>
  <c r="AI178" i="10"/>
  <c r="AI180" i="10"/>
  <c r="AK181" i="10"/>
  <c r="AU178" i="10"/>
  <c r="AW222" i="10"/>
  <c r="AT178" i="10"/>
  <c r="AK230" i="10"/>
  <c r="AV222" i="10"/>
  <c r="AI218" i="10"/>
  <c r="AS178" i="10"/>
  <c r="AU224" i="10"/>
  <c r="AT222" i="10"/>
  <c r="AJ179" i="10"/>
  <c r="AR178" i="10"/>
  <c r="AI724" i="10"/>
  <c r="AO224" i="10"/>
  <c r="AS222" i="10"/>
  <c r="AV181" i="10"/>
  <c r="AI179" i="10"/>
  <c r="AP178" i="10"/>
  <c r="AP222" i="10"/>
  <c r="AM178" i="10"/>
  <c r="AS180" i="10"/>
  <c r="AR180" i="10"/>
  <c r="AQ180" i="10"/>
  <c r="AV223" i="10"/>
  <c r="AP180" i="10"/>
  <c r="AI223" i="10"/>
  <c r="AS181" i="10"/>
  <c r="AO180" i="10"/>
  <c r="AK202" i="10"/>
  <c r="AN180" i="10"/>
  <c r="AQ178" i="10"/>
  <c r="AM180" i="10"/>
  <c r="AP181" i="10"/>
  <c r="AX180" i="10"/>
  <c r="AL180" i="10"/>
  <c r="AO178" i="10"/>
  <c r="AV224" i="10"/>
  <c r="AW180" i="10"/>
  <c r="AK180" i="10"/>
  <c r="AX168" i="10"/>
  <c r="AW168" i="10"/>
  <c r="AV168" i="10"/>
  <c r="AU168" i="10"/>
  <c r="AT168" i="10"/>
  <c r="AS168" i="10"/>
  <c r="AR168" i="10"/>
  <c r="AQ168" i="10"/>
  <c r="AP168" i="10"/>
  <c r="AO168" i="10"/>
  <c r="AN168" i="10"/>
  <c r="AM168" i="10"/>
  <c r="AL168" i="10"/>
  <c r="AK168" i="10"/>
  <c r="AJ168" i="10"/>
  <c r="AI168" i="10"/>
  <c r="AX170" i="10"/>
  <c r="AW170" i="10"/>
  <c r="AK170" i="10"/>
  <c r="AJ170" i="10"/>
  <c r="AI170" i="10"/>
  <c r="AX171" i="10"/>
  <c r="AW171" i="10"/>
  <c r="AK171" i="10"/>
  <c r="AJ171" i="10"/>
  <c r="AI171" i="10"/>
  <c r="AX169" i="10"/>
  <c r="AW169" i="10"/>
  <c r="AK169" i="10"/>
  <c r="AJ169" i="10"/>
  <c r="AI169" i="10"/>
  <c r="AX174" i="10"/>
  <c r="AW174" i="10"/>
  <c r="AV174" i="10"/>
  <c r="AU174" i="10"/>
  <c r="AT174" i="10"/>
  <c r="AS174" i="10"/>
  <c r="AR174" i="10"/>
  <c r="AQ174" i="10"/>
  <c r="AP174" i="10"/>
  <c r="AO174" i="10"/>
  <c r="AN174" i="10"/>
  <c r="AM174" i="10"/>
  <c r="AL174" i="10"/>
  <c r="AK174" i="10"/>
  <c r="AJ174" i="10"/>
  <c r="AI174" i="10"/>
  <c r="AX172" i="10"/>
  <c r="AW172" i="10"/>
  <c r="AV172" i="10"/>
  <c r="AU172" i="10"/>
  <c r="AT172" i="10"/>
  <c r="AS172" i="10"/>
  <c r="AR172" i="10"/>
  <c r="AQ172" i="10"/>
  <c r="AP172" i="10"/>
  <c r="AO172" i="10"/>
  <c r="AN172" i="10"/>
  <c r="AM172" i="10"/>
  <c r="AL172" i="10"/>
  <c r="AK172" i="10"/>
  <c r="AJ172" i="10"/>
  <c r="AI172" i="10"/>
  <c r="AX173" i="10"/>
  <c r="AW173" i="10"/>
  <c r="AK173" i="10"/>
  <c r="AJ173" i="10"/>
  <c r="AI173" i="10"/>
  <c r="AX175" i="10"/>
  <c r="AW175" i="10"/>
  <c r="AV175" i="10"/>
  <c r="AU175" i="10"/>
  <c r="AT175" i="10"/>
  <c r="AS175" i="10"/>
  <c r="AR175" i="10"/>
  <c r="AQ175" i="10"/>
  <c r="AP175" i="10"/>
  <c r="AO175" i="10"/>
  <c r="AN175" i="10"/>
  <c r="AM175" i="10"/>
  <c r="AL175" i="10"/>
  <c r="AK175" i="10"/>
  <c r="AJ175" i="10"/>
  <c r="AI175" i="10"/>
  <c r="AW176" i="10"/>
  <c r="AX176" i="10"/>
  <c r="AX177" i="10"/>
  <c r="AW177" i="10"/>
  <c r="AV177" i="10"/>
  <c r="AU177" i="10"/>
  <c r="AT177" i="10"/>
  <c r="AS177" i="10"/>
  <c r="AR177" i="10"/>
  <c r="AQ177" i="10"/>
  <c r="AP177" i="10"/>
  <c r="AO177" i="10"/>
  <c r="AN177" i="10"/>
  <c r="AM177" i="10"/>
  <c r="AL177" i="10"/>
  <c r="AK177" i="10"/>
  <c r="AJ177" i="10"/>
  <c r="AI177" i="10"/>
  <c r="AW179" i="10"/>
  <c r="AX179" i="10"/>
  <c r="AW182" i="10"/>
  <c r="AX182" i="10"/>
  <c r="AI202" i="10"/>
  <c r="AM673" i="10"/>
  <c r="AO673" i="10"/>
  <c r="AW229" i="10"/>
  <c r="AV229" i="10"/>
  <c r="AS229" i="10"/>
  <c r="AX229" i="10"/>
  <c r="AU229" i="10"/>
  <c r="AT229" i="10"/>
  <c r="AW673" i="10"/>
  <c r="AX673" i="10"/>
  <c r="AN229" i="10"/>
  <c r="AJ673" i="10"/>
  <c r="AM229" i="10"/>
  <c r="AQ229" i="10"/>
  <c r="AP229" i="10"/>
  <c r="AO229" i="10"/>
  <c r="AK673" i="10"/>
  <c r="AK229" i="10"/>
  <c r="AK183" i="10"/>
  <c r="AP673" i="10"/>
  <c r="AQ673" i="10"/>
  <c r="AR673" i="10"/>
  <c r="AS673" i="10"/>
  <c r="AV673" i="10"/>
  <c r="AR229" i="10"/>
  <c r="AL673" i="10"/>
  <c r="AI229" i="10"/>
  <c r="AW223" i="10"/>
  <c r="AT223" i="10"/>
  <c r="AS223" i="10"/>
  <c r="AR223" i="10"/>
  <c r="AK224" i="10"/>
  <c r="AO223" i="10"/>
  <c r="AP223" i="10"/>
  <c r="AM223" i="10"/>
  <c r="AJ229" i="10"/>
  <c r="AL223" i="10"/>
  <c r="AI222" i="10"/>
  <c r="AJ724" i="10"/>
  <c r="AQ223" i="10"/>
  <c r="AK223" i="10"/>
  <c r="AU223" i="10"/>
  <c r="AN223" i="10"/>
  <c r="AK934" i="10"/>
  <c r="AX223" i="10"/>
  <c r="AI232" i="10"/>
  <c r="AP224" i="10"/>
  <c r="AN222" i="10"/>
  <c r="AN224" i="10"/>
  <c r="AL222" i="10"/>
  <c r="AM224" i="10"/>
  <c r="AK222" i="10"/>
  <c r="AL224" i="10"/>
  <c r="AX222" i="10"/>
  <c r="AJ222" i="10"/>
  <c r="AJ230" i="10"/>
  <c r="AX224" i="10"/>
  <c r="AJ224" i="10"/>
  <c r="AK203" i="10"/>
  <c r="AW224" i="10"/>
  <c r="AI224" i="10"/>
  <c r="AU222" i="10"/>
  <c r="AJ203" i="10"/>
  <c r="AT224" i="10"/>
  <c r="AR222" i="10"/>
  <c r="AS224" i="10"/>
  <c r="AQ222" i="10"/>
  <c r="AJ183" i="10"/>
  <c r="AK232" i="10"/>
  <c r="AR224" i="10"/>
  <c r="AW183" i="10"/>
  <c r="AX183" i="10"/>
  <c r="AX184" i="10"/>
  <c r="AW184" i="10"/>
  <c r="AV184" i="10"/>
  <c r="AU184" i="10"/>
  <c r="AT184" i="10"/>
  <c r="AS184" i="10"/>
  <c r="AR184" i="10"/>
  <c r="AQ184" i="10"/>
  <c r="AP184" i="10"/>
  <c r="AO184" i="10"/>
  <c r="AN184" i="10"/>
  <c r="AM184" i="10"/>
  <c r="AL184" i="10"/>
  <c r="AK184" i="10"/>
  <c r="AJ184" i="10"/>
  <c r="AI184" i="10"/>
  <c r="AX185" i="10"/>
  <c r="AW185" i="10"/>
  <c r="AK185" i="10"/>
  <c r="AJ185" i="10"/>
  <c r="AI185" i="10"/>
  <c r="AX186" i="10"/>
  <c r="AW186" i="10"/>
  <c r="AV186" i="10"/>
  <c r="AU186" i="10"/>
  <c r="AT186" i="10"/>
  <c r="AS186" i="10"/>
  <c r="AR186" i="10"/>
  <c r="AQ186" i="10"/>
  <c r="AP186" i="10"/>
  <c r="AO186" i="10"/>
  <c r="AN186" i="10"/>
  <c r="AM186" i="10"/>
  <c r="AL186" i="10"/>
  <c r="AK186" i="10"/>
  <c r="AJ186" i="10"/>
  <c r="AI186" i="10"/>
  <c r="AX187" i="10"/>
  <c r="AW187" i="10"/>
  <c r="AV187" i="10"/>
  <c r="AU187" i="10"/>
  <c r="AT187" i="10"/>
  <c r="AS187" i="10"/>
  <c r="AR187" i="10"/>
  <c r="AQ187" i="10"/>
  <c r="AP187" i="10"/>
  <c r="AO187" i="10"/>
  <c r="AN187" i="10"/>
  <c r="AM187" i="10"/>
  <c r="AL187" i="10"/>
  <c r="AK187" i="10"/>
  <c r="AJ187" i="10"/>
  <c r="AI187" i="10"/>
  <c r="AX188" i="10"/>
  <c r="AW188" i="10"/>
  <c r="AV188" i="10"/>
  <c r="AU188" i="10"/>
  <c r="AT188" i="10"/>
  <c r="AS188" i="10"/>
  <c r="AR188" i="10"/>
  <c r="AQ188" i="10"/>
  <c r="AP188" i="10"/>
  <c r="AO188" i="10"/>
  <c r="AN188" i="10"/>
  <c r="AM188" i="10"/>
  <c r="AL188" i="10"/>
  <c r="AK188" i="10"/>
  <c r="AJ188" i="10"/>
  <c r="AI188" i="10"/>
  <c r="AX190" i="10"/>
  <c r="AW190" i="10"/>
  <c r="AV190" i="10"/>
  <c r="AU190" i="10"/>
  <c r="AT190" i="10"/>
  <c r="AS190" i="10"/>
  <c r="AR190" i="10"/>
  <c r="AQ190" i="10"/>
  <c r="AP190" i="10"/>
  <c r="AO190" i="10"/>
  <c r="AN190" i="10"/>
  <c r="AM190" i="10"/>
  <c r="AL190" i="10"/>
  <c r="AK190" i="10"/>
  <c r="AJ190" i="10"/>
  <c r="AI190" i="10"/>
  <c r="AX189" i="10"/>
  <c r="AW189" i="10"/>
  <c r="AV189" i="10"/>
  <c r="AU189" i="10"/>
  <c r="AT189" i="10"/>
  <c r="AS189" i="10"/>
  <c r="AR189" i="10"/>
  <c r="AQ189" i="10"/>
  <c r="AP189" i="10"/>
  <c r="AO189" i="10"/>
  <c r="AN189" i="10"/>
  <c r="AM189" i="10"/>
  <c r="AL189" i="10"/>
  <c r="AK189" i="10"/>
  <c r="AJ189" i="10"/>
  <c r="AI189" i="10"/>
  <c r="AX191" i="10"/>
  <c r="AW191" i="10"/>
  <c r="AV191" i="10"/>
  <c r="AU191" i="10"/>
  <c r="AT191" i="10"/>
  <c r="AS191" i="10"/>
  <c r="AR191" i="10"/>
  <c r="AQ191" i="10"/>
  <c r="AP191" i="10"/>
  <c r="AO191" i="10"/>
  <c r="AN191" i="10"/>
  <c r="AM191" i="10"/>
  <c r="AL191" i="10"/>
  <c r="AK191" i="10"/>
  <c r="AJ191" i="10"/>
  <c r="AI191" i="10"/>
  <c r="AX192" i="10"/>
  <c r="AW192" i="10"/>
  <c r="AV192" i="10"/>
  <c r="AU192" i="10"/>
  <c r="AT192" i="10"/>
  <c r="AS192" i="10"/>
  <c r="AR192" i="10"/>
  <c r="AQ192" i="10"/>
  <c r="AP192" i="10"/>
  <c r="AO192" i="10"/>
  <c r="AN192" i="10"/>
  <c r="AM192" i="10"/>
  <c r="AL192" i="10"/>
  <c r="AK192" i="10"/>
  <c r="AJ192" i="10"/>
  <c r="AI192" i="10"/>
  <c r="AX193" i="10"/>
  <c r="AW193" i="10"/>
  <c r="AV193" i="10"/>
  <c r="AU193" i="10"/>
  <c r="AT193" i="10"/>
  <c r="AS193" i="10"/>
  <c r="AR193" i="10"/>
  <c r="AQ193" i="10"/>
  <c r="AP193" i="10"/>
  <c r="AO193" i="10"/>
  <c r="AN193" i="10"/>
  <c r="AM193" i="10"/>
  <c r="AL193" i="10"/>
  <c r="AK193" i="10"/>
  <c r="AJ193" i="10"/>
  <c r="AI193" i="10"/>
  <c r="AX194" i="10"/>
  <c r="AW194" i="10"/>
  <c r="AK194" i="10"/>
  <c r="AJ194" i="10"/>
  <c r="AI194" i="10"/>
  <c r="AX195" i="10"/>
  <c r="AW195" i="10"/>
  <c r="AV195" i="10"/>
  <c r="AU195" i="10"/>
  <c r="AT195" i="10"/>
  <c r="AS195" i="10"/>
  <c r="AR195" i="10"/>
  <c r="AQ195" i="10"/>
  <c r="AP195" i="10"/>
  <c r="AO195" i="10"/>
  <c r="AN195" i="10"/>
  <c r="AM195" i="10"/>
  <c r="AL195" i="10"/>
  <c r="AK195" i="10"/>
  <c r="AJ195" i="10"/>
  <c r="AI195" i="10"/>
  <c r="AX196" i="10"/>
  <c r="AW196" i="10"/>
  <c r="AK196" i="10"/>
  <c r="AJ196" i="10"/>
  <c r="AI196" i="10"/>
  <c r="AX197" i="10"/>
  <c r="AW197" i="10"/>
  <c r="AV197" i="10"/>
  <c r="AU197" i="10"/>
  <c r="AT197" i="10"/>
  <c r="AS197" i="10"/>
  <c r="AR197" i="10"/>
  <c r="AQ197" i="10"/>
  <c r="AP197" i="10"/>
  <c r="AO197" i="10"/>
  <c r="AN197" i="10"/>
  <c r="AM197" i="10"/>
  <c r="AL197" i="10"/>
  <c r="AK197" i="10"/>
  <c r="AJ197" i="10"/>
  <c r="AI197" i="10"/>
  <c r="AX198" i="10"/>
  <c r="AW198" i="10"/>
  <c r="AV198" i="10"/>
  <c r="AU198" i="10"/>
  <c r="AT198" i="10"/>
  <c r="AS198" i="10"/>
  <c r="AR198" i="10"/>
  <c r="AQ198" i="10"/>
  <c r="AP198" i="10"/>
  <c r="AO198" i="10"/>
  <c r="AN198" i="10"/>
  <c r="AM198" i="10"/>
  <c r="AL198" i="10"/>
  <c r="AK198" i="10"/>
  <c r="AJ198" i="10"/>
  <c r="AI198" i="10"/>
  <c r="AX199" i="10"/>
  <c r="AW199" i="10"/>
  <c r="AV199" i="10"/>
  <c r="AU199" i="10"/>
  <c r="AT199" i="10"/>
  <c r="AS199" i="10"/>
  <c r="AR199" i="10"/>
  <c r="AQ199" i="10"/>
  <c r="AP199" i="10"/>
  <c r="AO199" i="10"/>
  <c r="AN199" i="10"/>
  <c r="AM199" i="10"/>
  <c r="AL199" i="10"/>
  <c r="AK199" i="10"/>
  <c r="AJ199" i="10"/>
  <c r="AI199" i="10"/>
  <c r="AX200" i="10"/>
  <c r="AW200" i="10"/>
  <c r="AV200" i="10"/>
  <c r="AU200" i="10"/>
  <c r="AT200" i="10"/>
  <c r="AS200" i="10"/>
  <c r="AR200" i="10"/>
  <c r="AQ200" i="10"/>
  <c r="AP200" i="10"/>
  <c r="AO200" i="10"/>
  <c r="AN200" i="10"/>
  <c r="AM200" i="10"/>
  <c r="AL200" i="10"/>
  <c r="AK200" i="10"/>
  <c r="AJ200" i="10"/>
  <c r="AI200" i="10"/>
  <c r="AX201" i="10"/>
  <c r="AW201" i="10"/>
  <c r="AK201" i="10"/>
  <c r="AJ201" i="10"/>
  <c r="AI201" i="10"/>
  <c r="AW202" i="10"/>
  <c r="AX202" i="10"/>
  <c r="AW203" i="10"/>
  <c r="AX203" i="10"/>
  <c r="AX204" i="10"/>
  <c r="AW204" i="10"/>
  <c r="AK204" i="10"/>
  <c r="AJ204" i="10"/>
  <c r="AI204" i="10"/>
  <c r="AX205" i="10"/>
  <c r="AW205" i="10"/>
  <c r="AK205" i="10"/>
  <c r="AJ205" i="10"/>
  <c r="AI205" i="10"/>
  <c r="AX206" i="10"/>
  <c r="AW206" i="10"/>
  <c r="AV206" i="10"/>
  <c r="AU206" i="10"/>
  <c r="AT206" i="10"/>
  <c r="AS206" i="10"/>
  <c r="AR206" i="10"/>
  <c r="AQ206" i="10"/>
  <c r="AP206" i="10"/>
  <c r="AO206" i="10"/>
  <c r="AN206" i="10"/>
  <c r="AM206" i="10"/>
  <c r="AL206" i="10"/>
  <c r="AK206" i="10"/>
  <c r="AJ206" i="10"/>
  <c r="AI206" i="10"/>
  <c r="AX207" i="10"/>
  <c r="AW207" i="10"/>
  <c r="AV207" i="10"/>
  <c r="AU207" i="10"/>
  <c r="AT207" i="10"/>
  <c r="AS207" i="10"/>
  <c r="AR207" i="10"/>
  <c r="AQ207" i="10"/>
  <c r="AP207" i="10"/>
  <c r="AO207" i="10"/>
  <c r="AN207" i="10"/>
  <c r="AM207" i="10"/>
  <c r="AL207" i="10"/>
  <c r="AK207" i="10"/>
  <c r="AJ207" i="10"/>
  <c r="AI207" i="10"/>
  <c r="AX208" i="10"/>
  <c r="AW208" i="10"/>
  <c r="AK208" i="10"/>
  <c r="AJ208" i="10"/>
  <c r="AI208" i="10"/>
  <c r="AX211" i="10"/>
  <c r="AW211" i="10"/>
  <c r="AV211" i="10"/>
  <c r="AU211" i="10"/>
  <c r="AT211" i="10"/>
  <c r="AS211" i="10"/>
  <c r="AR211" i="10"/>
  <c r="AQ211" i="10"/>
  <c r="AP211" i="10"/>
  <c r="AO211" i="10"/>
  <c r="AN211" i="10"/>
  <c r="AM211" i="10"/>
  <c r="AL211" i="10"/>
  <c r="AK211" i="10"/>
  <c r="AJ211" i="10"/>
  <c r="AI211" i="10"/>
  <c r="AX209" i="10"/>
  <c r="AW209" i="10"/>
  <c r="AV209" i="10"/>
  <c r="AU209" i="10"/>
  <c r="AT209" i="10"/>
  <c r="AS209" i="10"/>
  <c r="AR209" i="10"/>
  <c r="AQ209" i="10"/>
  <c r="AP209" i="10"/>
  <c r="AO209" i="10"/>
  <c r="AN209" i="10"/>
  <c r="AM209" i="10"/>
  <c r="AL209" i="10"/>
  <c r="AK209" i="10"/>
  <c r="AJ209" i="10"/>
  <c r="AI209" i="10"/>
  <c r="AX210" i="10"/>
  <c r="AW210" i="10"/>
  <c r="AV210" i="10"/>
  <c r="AU210" i="10"/>
  <c r="AT210" i="10"/>
  <c r="AS210" i="10"/>
  <c r="AR210" i="10"/>
  <c r="AQ210" i="10"/>
  <c r="AP210" i="10"/>
  <c r="AO210" i="10"/>
  <c r="AN210" i="10"/>
  <c r="AM210" i="10"/>
  <c r="AL210" i="10"/>
  <c r="AK210" i="10"/>
  <c r="AJ210" i="10"/>
  <c r="AI210" i="10"/>
  <c r="AX212" i="10"/>
  <c r="AW212" i="10"/>
  <c r="AK212" i="10"/>
  <c r="AJ212" i="10"/>
  <c r="AI212" i="10"/>
  <c r="AX213" i="10"/>
  <c r="AW213" i="10"/>
  <c r="AK213" i="10"/>
  <c r="AJ213" i="10"/>
  <c r="AI213" i="10"/>
  <c r="AX214" i="10"/>
  <c r="AW214" i="10"/>
  <c r="AK214" i="10"/>
  <c r="AJ214" i="10"/>
  <c r="AI214" i="10"/>
  <c r="AX215" i="10"/>
  <c r="AW215" i="10"/>
  <c r="AV215" i="10"/>
  <c r="AU215" i="10"/>
  <c r="AT215" i="10"/>
  <c r="AS215" i="10"/>
  <c r="AR215" i="10"/>
  <c r="AQ215" i="10"/>
  <c r="AP215" i="10"/>
  <c r="AO215" i="10"/>
  <c r="AN215" i="10"/>
  <c r="AM215" i="10"/>
  <c r="AL215" i="10"/>
  <c r="AK215" i="10"/>
  <c r="AJ215" i="10"/>
  <c r="AI215" i="10"/>
  <c r="AX216" i="10"/>
  <c r="AW216" i="10"/>
  <c r="AV216" i="10"/>
  <c r="AU216" i="10"/>
  <c r="AT216" i="10"/>
  <c r="AS216" i="10"/>
  <c r="AR216" i="10"/>
  <c r="AQ216" i="10"/>
  <c r="AP216" i="10"/>
  <c r="AO216" i="10"/>
  <c r="AN216" i="10"/>
  <c r="AM216" i="10"/>
  <c r="AL216" i="10"/>
  <c r="AK216" i="10"/>
  <c r="AJ216" i="10"/>
  <c r="AI216" i="10"/>
  <c r="AX217" i="10"/>
  <c r="AW217" i="10"/>
  <c r="AK217" i="10"/>
  <c r="AJ217" i="10"/>
  <c r="AI217" i="10"/>
  <c r="AW218" i="10"/>
  <c r="AX218" i="10"/>
  <c r="AX219" i="10"/>
  <c r="AW219" i="10"/>
  <c r="AK219" i="10"/>
  <c r="AJ219" i="10"/>
  <c r="AI219" i="10"/>
  <c r="AX220" i="10"/>
  <c r="AW220" i="10"/>
  <c r="AV220" i="10"/>
  <c r="AU220" i="10"/>
  <c r="AT220" i="10"/>
  <c r="AS220" i="10"/>
  <c r="AR220" i="10"/>
  <c r="AQ220" i="10"/>
  <c r="AP220" i="10"/>
  <c r="AO220" i="10"/>
  <c r="AN220" i="10"/>
  <c r="AM220" i="10"/>
  <c r="AL220" i="10"/>
  <c r="AK220" i="10"/>
  <c r="AJ220" i="10"/>
  <c r="AI220" i="10"/>
  <c r="AX221" i="10"/>
  <c r="AW221" i="10"/>
  <c r="AV221" i="10"/>
  <c r="AU221" i="10"/>
  <c r="AT221" i="10"/>
  <c r="AS221" i="10"/>
  <c r="AR221" i="10"/>
  <c r="AQ221" i="10"/>
  <c r="AP221" i="10"/>
  <c r="AO221" i="10"/>
  <c r="AN221" i="10"/>
  <c r="AM221" i="10"/>
  <c r="AL221" i="10"/>
  <c r="AK221" i="10"/>
  <c r="AJ221" i="10"/>
  <c r="AI221" i="10"/>
  <c r="AL366" i="10"/>
  <c r="AK366" i="10"/>
  <c r="AX225" i="10"/>
  <c r="AW225" i="10"/>
  <c r="AV225" i="10"/>
  <c r="AU225" i="10"/>
  <c r="AT225" i="10"/>
  <c r="AS225" i="10"/>
  <c r="AR225" i="10"/>
  <c r="AQ225" i="10"/>
  <c r="AP225" i="10"/>
  <c r="AO225" i="10"/>
  <c r="AN225" i="10"/>
  <c r="AM225" i="10"/>
  <c r="AL225" i="10"/>
  <c r="AK225" i="10"/>
  <c r="AJ225" i="10"/>
  <c r="AI225" i="10"/>
  <c r="AX226" i="10"/>
  <c r="AW226" i="10"/>
  <c r="AV226" i="10"/>
  <c r="AU226" i="10"/>
  <c r="AT226" i="10"/>
  <c r="AS226" i="10"/>
  <c r="AR226" i="10"/>
  <c r="AQ226" i="10"/>
  <c r="AP226" i="10"/>
  <c r="AO226" i="10"/>
  <c r="AN226" i="10"/>
  <c r="AM226" i="10"/>
  <c r="AL226" i="10"/>
  <c r="AK226" i="10"/>
  <c r="AJ226" i="10"/>
  <c r="AI226" i="10"/>
  <c r="AX227" i="10"/>
  <c r="AW227" i="10"/>
  <c r="AK227" i="10"/>
  <c r="AJ227" i="10"/>
  <c r="AI227" i="10"/>
  <c r="AX228" i="10"/>
  <c r="AW228" i="10"/>
  <c r="AV228" i="10"/>
  <c r="AU228" i="10"/>
  <c r="AT228" i="10"/>
  <c r="AS228" i="10"/>
  <c r="AR228" i="10"/>
  <c r="AQ228" i="10"/>
  <c r="AP228" i="10"/>
  <c r="AO228" i="10"/>
  <c r="AN228" i="10"/>
  <c r="AM228" i="10"/>
  <c r="AL228" i="10"/>
  <c r="AK228" i="10"/>
  <c r="AJ228" i="10"/>
  <c r="AI228" i="10"/>
  <c r="AW230" i="10"/>
  <c r="AX230" i="10"/>
  <c r="AW232" i="10"/>
  <c r="AX232" i="10"/>
  <c r="AX231" i="10"/>
  <c r="AW231" i="10"/>
  <c r="AV231" i="10"/>
  <c r="AU231" i="10"/>
  <c r="AT231" i="10"/>
  <c r="AS231" i="10"/>
  <c r="AR231" i="10"/>
  <c r="AQ231" i="10"/>
  <c r="AP231" i="10"/>
  <c r="AO231" i="10"/>
  <c r="AN231" i="10"/>
  <c r="AM231" i="10"/>
  <c r="AL231" i="10"/>
  <c r="AK231" i="10"/>
  <c r="AJ231" i="10"/>
  <c r="AI231" i="10"/>
  <c r="AX233" i="10"/>
  <c r="AW233" i="10"/>
  <c r="AV233" i="10"/>
  <c r="AU233" i="10"/>
  <c r="AT233" i="10"/>
  <c r="AS233" i="10"/>
  <c r="AR233" i="10"/>
  <c r="AQ233" i="10"/>
  <c r="AP233" i="10"/>
  <c r="AO233" i="10"/>
  <c r="AN233" i="10"/>
  <c r="AM233" i="10"/>
  <c r="AL233" i="10"/>
  <c r="AK233" i="10"/>
  <c r="AJ233" i="10"/>
  <c r="AI233" i="10"/>
  <c r="AX234" i="10"/>
  <c r="AW234" i="10"/>
  <c r="AV234" i="10"/>
  <c r="AU234" i="10"/>
  <c r="AT234" i="10"/>
  <c r="AS234" i="10"/>
  <c r="AR234" i="10"/>
  <c r="AQ234" i="10"/>
  <c r="AP234" i="10"/>
  <c r="AO234" i="10"/>
  <c r="AN234" i="10"/>
  <c r="AM234" i="10"/>
  <c r="AL234" i="10"/>
  <c r="AK234" i="10"/>
  <c r="AJ234" i="10"/>
  <c r="AI234" i="10"/>
  <c r="AX235" i="10"/>
  <c r="AW235" i="10"/>
  <c r="AK235" i="10"/>
  <c r="AJ235" i="10"/>
  <c r="AI235" i="10"/>
  <c r="AX236" i="10"/>
  <c r="AW236" i="10"/>
  <c r="AV236" i="10"/>
  <c r="AU236" i="10"/>
  <c r="AT236" i="10"/>
  <c r="AS236" i="10"/>
  <c r="AR236" i="10"/>
  <c r="AQ236" i="10"/>
  <c r="AP236" i="10"/>
  <c r="AO236" i="10"/>
  <c r="AN236" i="10"/>
  <c r="AM236" i="10"/>
  <c r="AL236" i="10"/>
  <c r="AK236" i="10"/>
  <c r="AJ236" i="10"/>
  <c r="AI236" i="10"/>
  <c r="AX237" i="10"/>
  <c r="AW237" i="10"/>
  <c r="AK237" i="10"/>
  <c r="AJ237" i="10"/>
  <c r="AI237" i="10"/>
  <c r="AX238" i="10"/>
  <c r="AW238" i="10"/>
  <c r="AV238" i="10"/>
  <c r="AU238" i="10"/>
  <c r="AT238" i="10"/>
  <c r="AS238" i="10"/>
  <c r="AR238" i="10"/>
  <c r="AQ238" i="10"/>
  <c r="AP238" i="10"/>
  <c r="AO238" i="10"/>
  <c r="AN238" i="10"/>
  <c r="AM238" i="10"/>
  <c r="AL238" i="10"/>
  <c r="AK238" i="10"/>
  <c r="AJ238" i="10"/>
  <c r="AI238" i="10"/>
  <c r="AX239" i="10"/>
  <c r="AW239" i="10"/>
  <c r="AV239" i="10"/>
  <c r="AU239" i="10"/>
  <c r="AT239" i="10"/>
  <c r="AS239" i="10"/>
  <c r="AR239" i="10"/>
  <c r="AQ239" i="10"/>
  <c r="AP239" i="10"/>
  <c r="AO239" i="10"/>
  <c r="AN239" i="10"/>
  <c r="AM239" i="10"/>
  <c r="AL239" i="10"/>
  <c r="AK239" i="10"/>
  <c r="AJ239" i="10"/>
  <c r="AI239" i="10"/>
  <c r="AX240" i="10"/>
  <c r="AW240" i="10"/>
  <c r="AV240" i="10"/>
  <c r="AU240" i="10"/>
  <c r="AT240" i="10"/>
  <c r="AS240" i="10"/>
  <c r="AR240" i="10"/>
  <c r="AQ240" i="10"/>
  <c r="AP240" i="10"/>
  <c r="AO240" i="10"/>
  <c r="AN240" i="10"/>
  <c r="AM240" i="10"/>
  <c r="AL240" i="10"/>
  <c r="AK240" i="10"/>
  <c r="AJ240" i="10"/>
  <c r="AI240" i="10"/>
  <c r="AX243" i="10"/>
  <c r="AW243" i="10"/>
  <c r="AV243" i="10"/>
  <c r="AU243" i="10"/>
  <c r="AT243" i="10"/>
  <c r="AS243" i="10"/>
  <c r="AR243" i="10"/>
  <c r="AQ243" i="10"/>
  <c r="AP243" i="10"/>
  <c r="AO243" i="10"/>
  <c r="AN243" i="10"/>
  <c r="AM243" i="10"/>
  <c r="AL243" i="10"/>
  <c r="AK243" i="10"/>
  <c r="AJ243" i="10"/>
  <c r="AI243" i="10"/>
  <c r="AX242" i="10"/>
  <c r="AW242" i="10"/>
  <c r="AK242" i="10"/>
  <c r="AJ242" i="10"/>
  <c r="AI242" i="10"/>
  <c r="AX241" i="10"/>
  <c r="AW241" i="10"/>
  <c r="AK241" i="10"/>
  <c r="AJ241" i="10"/>
  <c r="AI241" i="10"/>
  <c r="AX244" i="10"/>
  <c r="AW244" i="10"/>
  <c r="AK244" i="10"/>
  <c r="AJ244" i="10"/>
  <c r="AI244" i="10"/>
  <c r="AX245" i="10"/>
  <c r="AW245" i="10"/>
  <c r="AK245" i="10"/>
  <c r="AJ245" i="10"/>
  <c r="AI245" i="10"/>
  <c r="AX246" i="10"/>
  <c r="AW246" i="10"/>
  <c r="AK246" i="10"/>
  <c r="AJ246" i="10"/>
  <c r="AI246" i="10"/>
  <c r="AX247" i="10"/>
  <c r="AW247" i="10"/>
  <c r="AK247" i="10"/>
  <c r="AJ247" i="10"/>
  <c r="AI247" i="10"/>
  <c r="AX248" i="10"/>
  <c r="AW248" i="10"/>
  <c r="AV248" i="10"/>
  <c r="AU248" i="10"/>
  <c r="AT248" i="10"/>
  <c r="AS248" i="10"/>
  <c r="AR248" i="10"/>
  <c r="AQ248" i="10"/>
  <c r="AP248" i="10"/>
  <c r="AO248" i="10"/>
  <c r="AN248" i="10"/>
  <c r="AM248" i="10"/>
  <c r="AL248" i="10"/>
  <c r="AK248" i="10"/>
  <c r="AJ248" i="10"/>
  <c r="AI248" i="10"/>
  <c r="AX249" i="10"/>
  <c r="AW249" i="10"/>
  <c r="AV249" i="10"/>
  <c r="AU249" i="10"/>
  <c r="AT249" i="10"/>
  <c r="AS249" i="10"/>
  <c r="AR249" i="10"/>
  <c r="AQ249" i="10"/>
  <c r="AP249" i="10"/>
  <c r="AO249" i="10"/>
  <c r="AN249" i="10"/>
  <c r="AM249" i="10"/>
  <c r="AL249" i="10"/>
  <c r="AK249" i="10"/>
  <c r="AJ249" i="10"/>
  <c r="AI249" i="10"/>
  <c r="AX250" i="10"/>
  <c r="AW250" i="10"/>
  <c r="AK250" i="10"/>
  <c r="AJ250" i="10"/>
  <c r="AI250" i="10"/>
  <c r="AX251" i="10"/>
  <c r="AW251" i="10"/>
  <c r="AK251" i="10"/>
  <c r="AJ251" i="10"/>
  <c r="AI251" i="10"/>
  <c r="AX252" i="10"/>
  <c r="AW252" i="10"/>
  <c r="AK252" i="10"/>
  <c r="AJ252" i="10"/>
  <c r="AI252" i="10"/>
  <c r="AX253" i="10"/>
  <c r="AW253" i="10"/>
  <c r="AV253" i="10"/>
  <c r="AU253" i="10"/>
  <c r="AT253" i="10"/>
  <c r="AS253" i="10"/>
  <c r="AR253" i="10"/>
  <c r="AQ253" i="10"/>
  <c r="AP253" i="10"/>
  <c r="AO253" i="10"/>
  <c r="AN253" i="10"/>
  <c r="AM253" i="10"/>
  <c r="AL253" i="10"/>
  <c r="AK253" i="10"/>
  <c r="AJ253" i="10"/>
  <c r="AI253" i="10"/>
  <c r="AX254" i="10"/>
  <c r="AW254" i="10"/>
  <c r="AV254" i="10"/>
  <c r="AU254" i="10"/>
  <c r="AT254" i="10"/>
  <c r="AS254" i="10"/>
  <c r="AR254" i="10"/>
  <c r="AQ254" i="10"/>
  <c r="AP254" i="10"/>
  <c r="AO254" i="10"/>
  <c r="AN254" i="10"/>
  <c r="AM254" i="10"/>
  <c r="AL254" i="10"/>
  <c r="AK254" i="10"/>
  <c r="AJ254" i="10"/>
  <c r="AI254" i="10"/>
  <c r="AX255" i="10"/>
  <c r="AW255" i="10"/>
  <c r="AV255" i="10"/>
  <c r="AU255" i="10"/>
  <c r="AT255" i="10"/>
  <c r="AS255" i="10"/>
  <c r="AR255" i="10"/>
  <c r="AQ255" i="10"/>
  <c r="AP255" i="10"/>
  <c r="AO255" i="10"/>
  <c r="AN255" i="10"/>
  <c r="AM255" i="10"/>
  <c r="AL255" i="10"/>
  <c r="AK255" i="10"/>
  <c r="AJ255" i="10"/>
  <c r="AI255" i="10"/>
  <c r="AW1093" i="10"/>
  <c r="AS934" i="10"/>
  <c r="Y1996" i="10"/>
  <c r="Y1491" i="10"/>
  <c r="Y1483" i="10"/>
  <c r="Y1464" i="10"/>
  <c r="Y1455" i="10"/>
  <c r="Y1447" i="10"/>
  <c r="Y1429" i="10"/>
  <c r="Y1414" i="10"/>
  <c r="Y1249" i="10"/>
  <c r="AX256" i="10"/>
  <c r="AW256" i="10"/>
  <c r="AT256" i="10"/>
  <c r="AP256" i="10"/>
  <c r="AO256" i="10"/>
  <c r="AV256" i="10"/>
  <c r="AN256" i="10"/>
  <c r="AU256" i="10"/>
  <c r="AM256" i="10"/>
  <c r="AL256" i="10"/>
  <c r="Y2630" i="10"/>
  <c r="AS256" i="10"/>
  <c r="AK256" i="10"/>
  <c r="X1689" i="10"/>
  <c r="G87" i="45" s="1"/>
  <c r="AR256" i="10"/>
  <c r="AJ256" i="10"/>
  <c r="AQ256" i="10"/>
  <c r="AX257" i="10"/>
  <c r="AW257" i="10"/>
  <c r="AK257" i="10"/>
  <c r="AJ257" i="10"/>
  <c r="AI257" i="10"/>
  <c r="AX258" i="10"/>
  <c r="AW258" i="10"/>
  <c r="AK258" i="10"/>
  <c r="AJ258" i="10"/>
  <c r="AI258" i="10"/>
  <c r="AX259" i="10"/>
  <c r="AW259" i="10"/>
  <c r="AV259" i="10"/>
  <c r="AU259" i="10"/>
  <c r="AT259" i="10"/>
  <c r="AS259" i="10"/>
  <c r="AR259" i="10"/>
  <c r="AQ259" i="10"/>
  <c r="AP259" i="10"/>
  <c r="AO259" i="10"/>
  <c r="AN259" i="10"/>
  <c r="AM259" i="10"/>
  <c r="AL259" i="10"/>
  <c r="AK259" i="10"/>
  <c r="AJ259" i="10"/>
  <c r="AI259" i="10"/>
  <c r="AX260" i="10"/>
  <c r="AW260" i="10"/>
  <c r="AV260" i="10"/>
  <c r="AU260" i="10"/>
  <c r="AT260" i="10"/>
  <c r="AS260" i="10"/>
  <c r="AR260" i="10"/>
  <c r="AQ260" i="10"/>
  <c r="AP260" i="10"/>
  <c r="AO260" i="10"/>
  <c r="AN260" i="10"/>
  <c r="AM260" i="10"/>
  <c r="AL260" i="10"/>
  <c r="AK260" i="10"/>
  <c r="AJ260" i="10"/>
  <c r="AI260" i="10"/>
  <c r="AX261" i="10"/>
  <c r="AW261" i="10"/>
  <c r="AV261" i="10"/>
  <c r="AU261" i="10"/>
  <c r="AT261" i="10"/>
  <c r="AS261" i="10"/>
  <c r="AR261" i="10"/>
  <c r="AQ261" i="10"/>
  <c r="AP261" i="10"/>
  <c r="AO261" i="10"/>
  <c r="AN261" i="10"/>
  <c r="AM261" i="10"/>
  <c r="AL261" i="10"/>
  <c r="AK261" i="10"/>
  <c r="AJ261" i="10"/>
  <c r="AI261" i="10"/>
  <c r="AX262" i="10"/>
  <c r="AW262" i="10"/>
  <c r="AK262" i="10"/>
  <c r="AJ262" i="10"/>
  <c r="AI262" i="10"/>
  <c r="AX263" i="10"/>
  <c r="AW263" i="10"/>
  <c r="AK263" i="10"/>
  <c r="AJ263" i="10"/>
  <c r="AI263" i="10"/>
  <c r="AX264" i="10"/>
  <c r="AW264" i="10"/>
  <c r="AK264" i="10"/>
  <c r="AJ264" i="10"/>
  <c r="AI264" i="10"/>
  <c r="AX265" i="10"/>
  <c r="AW265" i="10"/>
  <c r="AV265" i="10"/>
  <c r="AU265" i="10"/>
  <c r="AT265" i="10"/>
  <c r="AS265" i="10"/>
  <c r="AR265" i="10"/>
  <c r="AQ265" i="10"/>
  <c r="AP265" i="10"/>
  <c r="AO265" i="10"/>
  <c r="AN265" i="10"/>
  <c r="AM265" i="10"/>
  <c r="AL265" i="10"/>
  <c r="AK265" i="10"/>
  <c r="AJ265" i="10"/>
  <c r="AI265" i="10"/>
  <c r="AX266" i="10"/>
  <c r="AW266" i="10"/>
  <c r="AK266" i="10"/>
  <c r="AJ266" i="10"/>
  <c r="AI266" i="10"/>
  <c r="AX267" i="10"/>
  <c r="AW267" i="10"/>
  <c r="AK267" i="10"/>
  <c r="AJ267" i="10"/>
  <c r="AI267" i="10"/>
  <c r="AX268" i="10"/>
  <c r="AW268" i="10"/>
  <c r="AV268" i="10"/>
  <c r="AU268" i="10"/>
  <c r="AT268" i="10"/>
  <c r="AS268" i="10"/>
  <c r="AR268" i="10"/>
  <c r="AQ268" i="10"/>
  <c r="AP268" i="10"/>
  <c r="AO268" i="10"/>
  <c r="AN268" i="10"/>
  <c r="AM268" i="10"/>
  <c r="AL268" i="10"/>
  <c r="AK268" i="10"/>
  <c r="AJ268" i="10"/>
  <c r="AI268" i="10"/>
  <c r="AN673" i="10"/>
  <c r="AT673" i="10"/>
  <c r="AX697" i="10"/>
  <c r="AR2345" i="10"/>
  <c r="AU673" i="10"/>
  <c r="AK782" i="10"/>
  <c r="AJ782" i="10"/>
  <c r="AS2345" i="10"/>
  <c r="AW724" i="10"/>
  <c r="AX724" i="10"/>
  <c r="AX713" i="10"/>
  <c r="AO705" i="10"/>
  <c r="AR976" i="10"/>
  <c r="AL713" i="10"/>
  <c r="AM716" i="10"/>
  <c r="AX269" i="10"/>
  <c r="AW269" i="10"/>
  <c r="AK269" i="10"/>
  <c r="AJ269" i="10"/>
  <c r="AI269" i="10"/>
  <c r="AX270" i="10"/>
  <c r="AW270" i="10"/>
  <c r="AV270" i="10"/>
  <c r="AU270" i="10"/>
  <c r="AT270" i="10"/>
  <c r="AS270" i="10"/>
  <c r="AR270" i="10"/>
  <c r="AQ270" i="10"/>
  <c r="AP270" i="10"/>
  <c r="AO270" i="10"/>
  <c r="AN270" i="10"/>
  <c r="AM270" i="10"/>
  <c r="AL270" i="10"/>
  <c r="AK270" i="10"/>
  <c r="AJ270" i="10"/>
  <c r="AI270" i="10"/>
  <c r="AX271" i="10"/>
  <c r="AW271" i="10"/>
  <c r="AV271" i="10"/>
  <c r="AU271" i="10"/>
  <c r="AT271" i="10"/>
  <c r="AS271" i="10"/>
  <c r="AR271" i="10"/>
  <c r="AQ271" i="10"/>
  <c r="AP271" i="10"/>
  <c r="AO271" i="10"/>
  <c r="AN271" i="10"/>
  <c r="AM271" i="10"/>
  <c r="AL271" i="10"/>
  <c r="AK271" i="10"/>
  <c r="AJ271" i="10"/>
  <c r="AI271" i="10"/>
  <c r="AX272" i="10"/>
  <c r="AW272" i="10"/>
  <c r="AV272" i="10"/>
  <c r="AU272" i="10"/>
  <c r="AT272" i="10"/>
  <c r="AS272" i="10"/>
  <c r="AR272" i="10"/>
  <c r="AQ272" i="10"/>
  <c r="AP272" i="10"/>
  <c r="AO272" i="10"/>
  <c r="AN272" i="10"/>
  <c r="AM272" i="10"/>
  <c r="AL272" i="10"/>
  <c r="AK272" i="10"/>
  <c r="AJ272" i="10"/>
  <c r="AI272" i="10"/>
  <c r="AI604" i="10"/>
  <c r="AM130" i="45"/>
  <c r="AM118" i="45"/>
  <c r="AM236" i="45" s="1"/>
  <c r="AX273" i="10"/>
  <c r="AW273" i="10"/>
  <c r="AK273" i="10"/>
  <c r="AJ273" i="10"/>
  <c r="AI273" i="10"/>
  <c r="AX274" i="10"/>
  <c r="AW274" i="10"/>
  <c r="AK274" i="10"/>
  <c r="AJ274" i="10"/>
  <c r="AI274" i="10"/>
  <c r="AX276" i="10"/>
  <c r="AW276" i="10"/>
  <c r="AV276" i="10"/>
  <c r="AU276" i="10"/>
  <c r="AT276" i="10"/>
  <c r="AS276" i="10"/>
  <c r="AR276" i="10"/>
  <c r="AQ276" i="10"/>
  <c r="AP276" i="10"/>
  <c r="AO276" i="10"/>
  <c r="AN276" i="10"/>
  <c r="AM276" i="10"/>
  <c r="AL276" i="10"/>
  <c r="AK276" i="10"/>
  <c r="AJ276" i="10"/>
  <c r="AI276" i="10"/>
  <c r="AX278" i="10"/>
  <c r="AW278" i="10"/>
  <c r="AK278" i="10"/>
  <c r="AJ278" i="10"/>
  <c r="AI278" i="10"/>
  <c r="AX275" i="10"/>
  <c r="AW275" i="10"/>
  <c r="AV275" i="10"/>
  <c r="AU275" i="10"/>
  <c r="AT275" i="10"/>
  <c r="AS275" i="10"/>
  <c r="AR275" i="10"/>
  <c r="AQ275" i="10"/>
  <c r="AP275" i="10"/>
  <c r="AO275" i="10"/>
  <c r="AN275" i="10"/>
  <c r="AM275" i="10"/>
  <c r="AL275" i="10"/>
  <c r="AK275" i="10"/>
  <c r="AJ275" i="10"/>
  <c r="AI275" i="10"/>
  <c r="AX277" i="10"/>
  <c r="AW277" i="10"/>
  <c r="AV277" i="10"/>
  <c r="AU277" i="10"/>
  <c r="AT277" i="10"/>
  <c r="AS277" i="10"/>
  <c r="AR277" i="10"/>
  <c r="AQ277" i="10"/>
  <c r="AP277" i="10"/>
  <c r="AO277" i="10"/>
  <c r="AN277" i="10"/>
  <c r="AM277" i="10"/>
  <c r="AL277" i="10"/>
  <c r="AK277" i="10"/>
  <c r="AJ277" i="10"/>
  <c r="AI277" i="10"/>
  <c r="AX280" i="10"/>
  <c r="AW280" i="10"/>
  <c r="AK280" i="10"/>
  <c r="AJ280" i="10"/>
  <c r="AI280" i="10"/>
  <c r="AX281" i="10"/>
  <c r="AW281" i="10"/>
  <c r="AK281" i="10"/>
  <c r="AJ281" i="10"/>
  <c r="AI281" i="10"/>
  <c r="AX279" i="10"/>
  <c r="AW279" i="10"/>
  <c r="AK279" i="10"/>
  <c r="AJ279" i="10"/>
  <c r="AI279" i="10"/>
  <c r="AX282" i="10"/>
  <c r="AW282" i="10"/>
  <c r="AV282" i="10"/>
  <c r="AU282" i="10"/>
  <c r="AT282" i="10"/>
  <c r="AS282" i="10"/>
  <c r="AR282" i="10"/>
  <c r="AQ282" i="10"/>
  <c r="AP282" i="10"/>
  <c r="AO282" i="10"/>
  <c r="AN282" i="10"/>
  <c r="AM282" i="10"/>
  <c r="AL282" i="10"/>
  <c r="AK282" i="10"/>
  <c r="AJ282" i="10"/>
  <c r="AI282" i="10"/>
  <c r="AX283" i="10"/>
  <c r="AW283" i="10"/>
  <c r="AK283" i="10"/>
  <c r="AJ283" i="10"/>
  <c r="AI283" i="10"/>
  <c r="AX284" i="10"/>
  <c r="AW284" i="10"/>
  <c r="AV284" i="10"/>
  <c r="AU284" i="10"/>
  <c r="AT284" i="10"/>
  <c r="AS284" i="10"/>
  <c r="AR284" i="10"/>
  <c r="AQ284" i="10"/>
  <c r="AP284" i="10"/>
  <c r="AO284" i="10"/>
  <c r="AN284" i="10"/>
  <c r="AM284" i="10"/>
  <c r="AL284" i="10"/>
  <c r="AK284" i="10"/>
  <c r="AJ284" i="10"/>
  <c r="AI284" i="10"/>
  <c r="AX285" i="10"/>
  <c r="AW285" i="10"/>
  <c r="AV285" i="10"/>
  <c r="AU285" i="10"/>
  <c r="AT285" i="10"/>
  <c r="AS285" i="10"/>
  <c r="AR285" i="10"/>
  <c r="AQ285" i="10"/>
  <c r="AP285" i="10"/>
  <c r="AO285" i="10"/>
  <c r="AN285" i="10"/>
  <c r="AM285" i="10"/>
  <c r="AL285" i="10"/>
  <c r="AK285" i="10"/>
  <c r="AJ285" i="10"/>
  <c r="AI285" i="10"/>
  <c r="AX286" i="10"/>
  <c r="AW286" i="10"/>
  <c r="AK286" i="10"/>
  <c r="AJ286" i="10"/>
  <c r="AI286" i="10"/>
  <c r="AX287" i="10"/>
  <c r="AW287" i="10"/>
  <c r="AV287" i="10"/>
  <c r="AU287" i="10"/>
  <c r="AT287" i="10"/>
  <c r="AS287" i="10"/>
  <c r="AR287" i="10"/>
  <c r="AQ287" i="10"/>
  <c r="AP287" i="10"/>
  <c r="AO287" i="10"/>
  <c r="AN287" i="10"/>
  <c r="AM287" i="10"/>
  <c r="AL287" i="10"/>
  <c r="AK287" i="10"/>
  <c r="AJ287" i="10"/>
  <c r="AI287" i="10"/>
  <c r="AK2392" i="10"/>
  <c r="AL1773" i="10"/>
  <c r="AK298" i="10"/>
  <c r="AO1375" i="10"/>
  <c r="AP1586" i="10"/>
  <c r="AJ1773" i="10"/>
  <c r="AT720" i="10"/>
  <c r="AU2247" i="10"/>
  <c r="AJ2247" i="10"/>
  <c r="AP2587" i="10"/>
  <c r="AU1586" i="10"/>
  <c r="AJ327" i="10"/>
  <c r="AI327" i="10"/>
  <c r="AT2392" i="10"/>
  <c r="AJ298" i="10"/>
  <c r="AI325" i="10"/>
  <c r="AJ326" i="10"/>
  <c r="AI326" i="10"/>
  <c r="AK325" i="10"/>
  <c r="AX289" i="10"/>
  <c r="AW289" i="10"/>
  <c r="AV289" i="10"/>
  <c r="AU289" i="10"/>
  <c r="AT289" i="10"/>
  <c r="AS289" i="10"/>
  <c r="AR289" i="10"/>
  <c r="AQ289" i="10"/>
  <c r="AP289" i="10"/>
  <c r="AO289" i="10"/>
  <c r="AN289" i="10"/>
  <c r="AM289" i="10"/>
  <c r="AL289" i="10"/>
  <c r="AK289" i="10"/>
  <c r="AJ289" i="10"/>
  <c r="AI289" i="10"/>
  <c r="AX290" i="10"/>
  <c r="AW290" i="10"/>
  <c r="AV290" i="10"/>
  <c r="AU290" i="10"/>
  <c r="AT290" i="10"/>
  <c r="AS290" i="10"/>
  <c r="AR290" i="10"/>
  <c r="AQ290" i="10"/>
  <c r="AP290" i="10"/>
  <c r="AO290" i="10"/>
  <c r="AN290" i="10"/>
  <c r="AM290" i="10"/>
  <c r="AL290" i="10"/>
  <c r="AK290" i="10"/>
  <c r="AJ290" i="10"/>
  <c r="AI290" i="10"/>
  <c r="AX291" i="10"/>
  <c r="AW291" i="10"/>
  <c r="AV291" i="10"/>
  <c r="AU291" i="10"/>
  <c r="AT291" i="10"/>
  <c r="AS291" i="10"/>
  <c r="AR291" i="10"/>
  <c r="AQ291" i="10"/>
  <c r="AP291" i="10"/>
  <c r="AO291" i="10"/>
  <c r="AN291" i="10"/>
  <c r="AM291" i="10"/>
  <c r="AL291" i="10"/>
  <c r="AK291" i="10"/>
  <c r="AJ291" i="10"/>
  <c r="AI291" i="10"/>
  <c r="AX288" i="10"/>
  <c r="AW288" i="10"/>
  <c r="AV288" i="10"/>
  <c r="AU288" i="10"/>
  <c r="AT288" i="10"/>
  <c r="AS288" i="10"/>
  <c r="AR288" i="10"/>
  <c r="AQ288" i="10"/>
  <c r="AP288" i="10"/>
  <c r="AO288" i="10"/>
  <c r="AN288" i="10"/>
  <c r="AM288" i="10"/>
  <c r="AL288" i="10"/>
  <c r="AK288" i="10"/>
  <c r="AJ288" i="10"/>
  <c r="AI288" i="10"/>
  <c r="AX292" i="10"/>
  <c r="AW292" i="10"/>
  <c r="AK292" i="10"/>
  <c r="AJ292" i="10"/>
  <c r="AI292" i="10"/>
  <c r="AX293" i="10"/>
  <c r="AW293" i="10"/>
  <c r="AK293" i="10"/>
  <c r="AJ293" i="10"/>
  <c r="AI293" i="10"/>
  <c r="AX294" i="10"/>
  <c r="AW294" i="10"/>
  <c r="AV294" i="10"/>
  <c r="AU294" i="10"/>
  <c r="AT294" i="10"/>
  <c r="AS294" i="10"/>
  <c r="AR294" i="10"/>
  <c r="AQ294" i="10"/>
  <c r="AP294" i="10"/>
  <c r="AO294" i="10"/>
  <c r="AN294" i="10"/>
  <c r="AM294" i="10"/>
  <c r="AL294" i="10"/>
  <c r="AK294" i="10"/>
  <c r="AJ294" i="10"/>
  <c r="AI294" i="10"/>
  <c r="AX295" i="10"/>
  <c r="AW295" i="10"/>
  <c r="AV295" i="10"/>
  <c r="AU295" i="10"/>
  <c r="AT295" i="10"/>
  <c r="AS295" i="10"/>
  <c r="AR295" i="10"/>
  <c r="AQ295" i="10"/>
  <c r="AP295" i="10"/>
  <c r="AO295" i="10"/>
  <c r="AN295" i="10"/>
  <c r="AM295" i="10"/>
  <c r="AL295" i="10"/>
  <c r="AK295" i="10"/>
  <c r="AJ295" i="10"/>
  <c r="AI295" i="10"/>
  <c r="AX296" i="10"/>
  <c r="AW296" i="10"/>
  <c r="AK296" i="10"/>
  <c r="AJ296" i="10"/>
  <c r="AI296" i="10"/>
  <c r="AX297" i="10"/>
  <c r="AW297" i="10"/>
  <c r="AV297" i="10"/>
  <c r="AU297" i="10"/>
  <c r="AT297" i="10"/>
  <c r="AS297" i="10"/>
  <c r="AR297" i="10"/>
  <c r="AQ297" i="10"/>
  <c r="AP297" i="10"/>
  <c r="AO297" i="10"/>
  <c r="AN297" i="10"/>
  <c r="AM297" i="10"/>
  <c r="AL297" i="10"/>
  <c r="AK297" i="10"/>
  <c r="AJ297" i="10"/>
  <c r="AI297" i="10"/>
  <c r="AW298" i="10"/>
  <c r="AX298" i="10"/>
  <c r="AX299" i="10"/>
  <c r="AW299" i="10"/>
  <c r="AV299" i="10"/>
  <c r="AU299" i="10"/>
  <c r="AT299" i="10"/>
  <c r="AS299" i="10"/>
  <c r="AR299" i="10"/>
  <c r="AQ299" i="10"/>
  <c r="AP299" i="10"/>
  <c r="AO299" i="10"/>
  <c r="AN299" i="10"/>
  <c r="AM299" i="10"/>
  <c r="AL299" i="10"/>
  <c r="AK299" i="10"/>
  <c r="AJ299" i="10"/>
  <c r="AI299" i="10"/>
  <c r="AX300" i="10"/>
  <c r="AW300" i="10"/>
  <c r="AK300" i="10"/>
  <c r="AJ300" i="10"/>
  <c r="AI300" i="10"/>
  <c r="AX303" i="10"/>
  <c r="AW303" i="10"/>
  <c r="AK303" i="10"/>
  <c r="AJ303" i="10"/>
  <c r="AI303" i="10"/>
  <c r="AX301" i="10"/>
  <c r="AW301" i="10"/>
  <c r="AV301" i="10"/>
  <c r="AU301" i="10"/>
  <c r="AT301" i="10"/>
  <c r="AS301" i="10"/>
  <c r="AR301" i="10"/>
  <c r="AQ301" i="10"/>
  <c r="AP301" i="10"/>
  <c r="AO301" i="10"/>
  <c r="AN301" i="10"/>
  <c r="AM301" i="10"/>
  <c r="AL301" i="10"/>
  <c r="AK301" i="10"/>
  <c r="AJ301" i="10"/>
  <c r="AI301" i="10"/>
  <c r="AX302" i="10"/>
  <c r="AW302" i="10"/>
  <c r="AV302" i="10"/>
  <c r="AU302" i="10"/>
  <c r="AT302" i="10"/>
  <c r="AS302" i="10"/>
  <c r="AR302" i="10"/>
  <c r="AQ302" i="10"/>
  <c r="AP302" i="10"/>
  <c r="AO302" i="10"/>
  <c r="AN302" i="10"/>
  <c r="AM302" i="10"/>
  <c r="AL302" i="10"/>
  <c r="AK302" i="10"/>
  <c r="AJ302" i="10"/>
  <c r="AI302" i="10"/>
  <c r="AX304" i="10"/>
  <c r="AW304" i="10"/>
  <c r="AK304" i="10"/>
  <c r="AJ304" i="10"/>
  <c r="AI304" i="10"/>
  <c r="AX305" i="10"/>
  <c r="AW305" i="10"/>
  <c r="AV305" i="10"/>
  <c r="AU305" i="10"/>
  <c r="AT305" i="10"/>
  <c r="AS305" i="10"/>
  <c r="AR305" i="10"/>
  <c r="AQ305" i="10"/>
  <c r="AP305" i="10"/>
  <c r="AO305" i="10"/>
  <c r="AN305" i="10"/>
  <c r="AM305" i="10"/>
  <c r="AL305" i="10"/>
  <c r="AK305" i="10"/>
  <c r="AJ305" i="10"/>
  <c r="AI305" i="10"/>
  <c r="AX306" i="10"/>
  <c r="AW306" i="10"/>
  <c r="AV306" i="10"/>
  <c r="AU306" i="10"/>
  <c r="AT306" i="10"/>
  <c r="AS306" i="10"/>
  <c r="AR306" i="10"/>
  <c r="AQ306" i="10"/>
  <c r="AP306" i="10"/>
  <c r="AO306" i="10"/>
  <c r="AN306" i="10"/>
  <c r="AM306" i="10"/>
  <c r="AL306" i="10"/>
  <c r="AK306" i="10"/>
  <c r="AJ306" i="10"/>
  <c r="AI306" i="10"/>
  <c r="AX308" i="10"/>
  <c r="AW308" i="10"/>
  <c r="AV308" i="10"/>
  <c r="AU308" i="10"/>
  <c r="AT308" i="10"/>
  <c r="AS308" i="10"/>
  <c r="AR308" i="10"/>
  <c r="AQ308" i="10"/>
  <c r="AP308" i="10"/>
  <c r="AO308" i="10"/>
  <c r="AN308" i="10"/>
  <c r="AM308" i="10"/>
  <c r="AL308" i="10"/>
  <c r="AK308" i="10"/>
  <c r="AJ308" i="10"/>
  <c r="AI308" i="10"/>
  <c r="AX307" i="10"/>
  <c r="AW307" i="10"/>
  <c r="AK307" i="10"/>
  <c r="AJ307" i="10"/>
  <c r="AI307" i="10"/>
  <c r="AX309" i="10"/>
  <c r="AW309" i="10"/>
  <c r="AK309" i="10"/>
  <c r="AJ309" i="10"/>
  <c r="AI309" i="10"/>
  <c r="AX310" i="10"/>
  <c r="AW310" i="10"/>
  <c r="AV310" i="10"/>
  <c r="AU310" i="10"/>
  <c r="AT310" i="10"/>
  <c r="AS310" i="10"/>
  <c r="AR310" i="10"/>
  <c r="AQ310" i="10"/>
  <c r="AP310" i="10"/>
  <c r="AO310" i="10"/>
  <c r="AN310" i="10"/>
  <c r="AM310" i="10"/>
  <c r="AL310" i="10"/>
  <c r="AK310" i="10"/>
  <c r="AJ310" i="10"/>
  <c r="AI310" i="10"/>
  <c r="AX311" i="10"/>
  <c r="AW311" i="10"/>
  <c r="AK311" i="10"/>
  <c r="AJ311" i="10"/>
  <c r="AI311" i="10"/>
  <c r="AX312" i="10"/>
  <c r="AW312" i="10"/>
  <c r="AK312" i="10"/>
  <c r="AJ312" i="10"/>
  <c r="AI312" i="10"/>
  <c r="AX318" i="10"/>
  <c r="AW318" i="10"/>
  <c r="AV318" i="10"/>
  <c r="AU318" i="10"/>
  <c r="AT318" i="10"/>
  <c r="AS318" i="10"/>
  <c r="AR318" i="10"/>
  <c r="AQ318" i="10"/>
  <c r="AP318" i="10"/>
  <c r="AO318" i="10"/>
  <c r="AN318" i="10"/>
  <c r="AM318" i="10"/>
  <c r="AL318" i="10"/>
  <c r="AK318" i="10"/>
  <c r="AJ318" i="10"/>
  <c r="AI318" i="10"/>
  <c r="AX319" i="10"/>
  <c r="AW319" i="10"/>
  <c r="AV319" i="10"/>
  <c r="AU319" i="10"/>
  <c r="AT319" i="10"/>
  <c r="AS319" i="10"/>
  <c r="AR319" i="10"/>
  <c r="AQ319" i="10"/>
  <c r="AP319" i="10"/>
  <c r="AO319" i="10"/>
  <c r="AN319" i="10"/>
  <c r="AM319" i="10"/>
  <c r="AL319" i="10"/>
  <c r="AK319" i="10"/>
  <c r="AJ319" i="10"/>
  <c r="AI319" i="10"/>
  <c r="AX320" i="10"/>
  <c r="AW320" i="10"/>
  <c r="AV320" i="10"/>
  <c r="AU320" i="10"/>
  <c r="AT320" i="10"/>
  <c r="AS320" i="10"/>
  <c r="AR320" i="10"/>
  <c r="AQ320" i="10"/>
  <c r="AP320" i="10"/>
  <c r="AO320" i="10"/>
  <c r="AN320" i="10"/>
  <c r="AM320" i="10"/>
  <c r="AL320" i="10"/>
  <c r="AK320" i="10"/>
  <c r="AJ320" i="10"/>
  <c r="AX313" i="10"/>
  <c r="AW313" i="10"/>
  <c r="AK313" i="10"/>
  <c r="AJ313" i="10"/>
  <c r="AI313" i="10"/>
  <c r="AX314" i="10"/>
  <c r="AW314" i="10"/>
  <c r="AV314" i="10"/>
  <c r="AU314" i="10"/>
  <c r="AT314" i="10"/>
  <c r="AS314" i="10"/>
  <c r="AR314" i="10"/>
  <c r="AQ314" i="10"/>
  <c r="AP314" i="10"/>
  <c r="AO314" i="10"/>
  <c r="AN314" i="10"/>
  <c r="AM314" i="10"/>
  <c r="AL314" i="10"/>
  <c r="AK314" i="10"/>
  <c r="AJ314" i="10"/>
  <c r="AI314" i="10"/>
  <c r="AX315" i="10"/>
  <c r="AW315" i="10"/>
  <c r="AV315" i="10"/>
  <c r="AU315" i="10"/>
  <c r="AT315" i="10"/>
  <c r="AS315" i="10"/>
  <c r="AR315" i="10"/>
  <c r="AQ315" i="10"/>
  <c r="AP315" i="10"/>
  <c r="AO315" i="10"/>
  <c r="AN315" i="10"/>
  <c r="AM315" i="10"/>
  <c r="AL315" i="10"/>
  <c r="AK315" i="10"/>
  <c r="AJ315" i="10"/>
  <c r="AI315" i="10"/>
  <c r="AX316" i="10"/>
  <c r="AW316" i="10"/>
  <c r="AV316" i="10"/>
  <c r="AU316" i="10"/>
  <c r="AT316" i="10"/>
  <c r="AS316" i="10"/>
  <c r="AR316" i="10"/>
  <c r="AQ316" i="10"/>
  <c r="AP316" i="10"/>
  <c r="AO316" i="10"/>
  <c r="AN316" i="10"/>
  <c r="AM316" i="10"/>
  <c r="AL316" i="10"/>
  <c r="AK316" i="10"/>
  <c r="AJ316" i="10"/>
  <c r="AI316" i="10"/>
  <c r="AX317" i="10"/>
  <c r="AW317" i="10"/>
  <c r="AK317" i="10"/>
  <c r="AJ317" i="10"/>
  <c r="AI317" i="10"/>
  <c r="AX321" i="10"/>
  <c r="AW321" i="10"/>
  <c r="AV321" i="10"/>
  <c r="AU321" i="10"/>
  <c r="AT321" i="10"/>
  <c r="AS321" i="10"/>
  <c r="AR321" i="10"/>
  <c r="AQ321" i="10"/>
  <c r="AP321" i="10"/>
  <c r="AO321" i="10"/>
  <c r="AN321" i="10"/>
  <c r="AM321" i="10"/>
  <c r="AL321" i="10"/>
  <c r="AK321" i="10"/>
  <c r="AJ321" i="10"/>
  <c r="AI321" i="10"/>
  <c r="AX322" i="10"/>
  <c r="AW322" i="10"/>
  <c r="AK322" i="10"/>
  <c r="AJ322" i="10"/>
  <c r="AI322" i="10"/>
  <c r="AX323" i="10"/>
  <c r="AW323" i="10"/>
  <c r="AV323" i="10"/>
  <c r="AU323" i="10"/>
  <c r="AT323" i="10"/>
  <c r="AS323" i="10"/>
  <c r="AR323" i="10"/>
  <c r="AQ323" i="10"/>
  <c r="AP323" i="10"/>
  <c r="AO323" i="10"/>
  <c r="AN323" i="10"/>
  <c r="AM323" i="10"/>
  <c r="AL323" i="10"/>
  <c r="AK323" i="10"/>
  <c r="AJ323" i="10"/>
  <c r="AI323" i="10"/>
  <c r="AX324" i="10"/>
  <c r="AW324" i="10"/>
  <c r="AV324" i="10"/>
  <c r="AU324" i="10"/>
  <c r="AT324" i="10"/>
  <c r="AS324" i="10"/>
  <c r="AR324" i="10"/>
  <c r="AQ324" i="10"/>
  <c r="AP324" i="10"/>
  <c r="AO324" i="10"/>
  <c r="AN324" i="10"/>
  <c r="AM324" i="10"/>
  <c r="AL324" i="10"/>
  <c r="AK324" i="10"/>
  <c r="AJ324" i="10"/>
  <c r="AI324" i="10"/>
  <c r="AW326" i="10"/>
  <c r="AX326" i="10"/>
  <c r="AW325" i="10"/>
  <c r="AX325" i="10"/>
  <c r="AW327" i="10"/>
  <c r="AX327" i="10"/>
  <c r="AR1508" i="10"/>
  <c r="AS1448" i="10"/>
  <c r="AV1448" i="10"/>
  <c r="AO1980" i="10"/>
  <c r="AX1980" i="10"/>
  <c r="AO1508" i="10"/>
  <c r="AV1874" i="10"/>
  <c r="AW1270" i="10"/>
  <c r="AS1270" i="10"/>
  <c r="AV2178" i="10"/>
  <c r="AR2178" i="10"/>
  <c r="AK2480" i="10"/>
  <c r="AV2500" i="10"/>
  <c r="AK677" i="10"/>
  <c r="AJ677" i="10"/>
  <c r="AL677" i="10"/>
  <c r="AM677" i="10"/>
  <c r="AN677" i="10"/>
  <c r="AK336" i="10"/>
  <c r="AI336" i="10"/>
  <c r="AQ677" i="10"/>
  <c r="AO677" i="10"/>
  <c r="AP677" i="10"/>
  <c r="AR677" i="10"/>
  <c r="AS677" i="10"/>
  <c r="AL335" i="10"/>
  <c r="AW677" i="10"/>
  <c r="AX677" i="10"/>
  <c r="AT335" i="10"/>
  <c r="AS335" i="10"/>
  <c r="AM335" i="10"/>
  <c r="AS351" i="10"/>
  <c r="AK335" i="10"/>
  <c r="AJ335" i="10"/>
  <c r="AI716" i="10"/>
  <c r="AN716" i="10"/>
  <c r="AR716" i="10"/>
  <c r="AS716" i="10"/>
  <c r="AJ788" i="10"/>
  <c r="AO716" i="10"/>
  <c r="AP716" i="10"/>
  <c r="AQ716" i="10"/>
  <c r="AW716" i="10"/>
  <c r="AT716" i="10"/>
  <c r="AU716" i="10"/>
  <c r="AV716" i="10"/>
  <c r="AX716" i="10"/>
  <c r="AK338" i="10"/>
  <c r="AM788" i="10"/>
  <c r="AJ338" i="10"/>
  <c r="AJ716" i="10"/>
  <c r="AK716" i="10"/>
  <c r="AR705" i="10"/>
  <c r="AS705" i="10"/>
  <c r="AR351" i="10"/>
  <c r="AT705" i="10"/>
  <c r="AQ351" i="10"/>
  <c r="AU705" i="10"/>
  <c r="AP351" i="10"/>
  <c r="AO351" i="10"/>
  <c r="AN351" i="10"/>
  <c r="AM351" i="10"/>
  <c r="AL351" i="10"/>
  <c r="AK351" i="10"/>
  <c r="AX335" i="10"/>
  <c r="AJ351" i="10"/>
  <c r="AW335" i="10"/>
  <c r="AM705" i="10"/>
  <c r="AV335" i="10"/>
  <c r="AU335" i="10"/>
  <c r="AX351" i="10"/>
  <c r="AR335" i="10"/>
  <c r="AW351" i="10"/>
  <c r="AQ335" i="10"/>
  <c r="AV351" i="10"/>
  <c r="AP335" i="10"/>
  <c r="AU351" i="10"/>
  <c r="AO335" i="10"/>
  <c r="AT351" i="10"/>
  <c r="AK337" i="10"/>
  <c r="AN335" i="10"/>
  <c r="AJ337" i="10"/>
  <c r="AX328" i="10"/>
  <c r="AW328" i="10"/>
  <c r="AK328" i="10"/>
  <c r="AJ328" i="10"/>
  <c r="AI328" i="10"/>
  <c r="AX329" i="10"/>
  <c r="AW329" i="10"/>
  <c r="AK329" i="10"/>
  <c r="AJ329" i="10"/>
  <c r="AI329" i="10"/>
  <c r="AX330" i="10"/>
  <c r="AW330" i="10"/>
  <c r="AK330" i="10"/>
  <c r="AJ330" i="10"/>
  <c r="AI330" i="10"/>
  <c r="AX331" i="10"/>
  <c r="AW331" i="10"/>
  <c r="AK331" i="10"/>
  <c r="AJ331" i="10"/>
  <c r="AI331" i="10"/>
  <c r="AX332" i="10"/>
  <c r="AW332" i="10"/>
  <c r="AV332" i="10"/>
  <c r="AU332" i="10"/>
  <c r="AT332" i="10"/>
  <c r="AS332" i="10"/>
  <c r="AR332" i="10"/>
  <c r="AQ332" i="10"/>
  <c r="AP332" i="10"/>
  <c r="AO332" i="10"/>
  <c r="AN332" i="10"/>
  <c r="AM332" i="10"/>
  <c r="AL332" i="10"/>
  <c r="AK332" i="10"/>
  <c r="AJ332" i="10"/>
  <c r="AI332" i="10"/>
  <c r="AX333" i="10"/>
  <c r="AW333" i="10"/>
  <c r="AV333" i="10"/>
  <c r="AU333" i="10"/>
  <c r="AT333" i="10"/>
  <c r="AS333" i="10"/>
  <c r="AR333" i="10"/>
  <c r="AQ333" i="10"/>
  <c r="AP333" i="10"/>
  <c r="AO333" i="10"/>
  <c r="AN333" i="10"/>
  <c r="AM333" i="10"/>
  <c r="AL333" i="10"/>
  <c r="AK333" i="10"/>
  <c r="AJ333" i="10"/>
  <c r="AI333" i="10"/>
  <c r="AX334" i="10"/>
  <c r="AW334" i="10"/>
  <c r="AV334" i="10"/>
  <c r="AU334" i="10"/>
  <c r="AT334" i="10"/>
  <c r="AS334" i="10"/>
  <c r="AR334" i="10"/>
  <c r="AQ334" i="10"/>
  <c r="AP334" i="10"/>
  <c r="AO334" i="10"/>
  <c r="AN334" i="10"/>
  <c r="AM334" i="10"/>
  <c r="AL334" i="10"/>
  <c r="AK334" i="10"/>
  <c r="AJ334" i="10"/>
  <c r="AI334" i="10"/>
  <c r="AW336" i="10"/>
  <c r="AX336" i="10"/>
  <c r="AW337" i="10"/>
  <c r="AX337" i="10"/>
  <c r="AW338" i="10"/>
  <c r="AX338" i="10"/>
  <c r="AX339" i="10"/>
  <c r="AW339" i="10"/>
  <c r="AV339" i="10"/>
  <c r="AU339" i="10"/>
  <c r="AT339" i="10"/>
  <c r="AS339" i="10"/>
  <c r="AR339" i="10"/>
  <c r="AQ339" i="10"/>
  <c r="AP339" i="10"/>
  <c r="AO339" i="10"/>
  <c r="AN339" i="10"/>
  <c r="AM339" i="10"/>
  <c r="AL339" i="10"/>
  <c r="AK339" i="10"/>
  <c r="AJ339" i="10"/>
  <c r="AI339" i="10"/>
  <c r="AX340" i="10"/>
  <c r="AW340" i="10"/>
  <c r="AV340" i="10"/>
  <c r="AU340" i="10"/>
  <c r="AT340" i="10"/>
  <c r="AS340" i="10"/>
  <c r="AR340" i="10"/>
  <c r="AQ340" i="10"/>
  <c r="AP340" i="10"/>
  <c r="AO340" i="10"/>
  <c r="AN340" i="10"/>
  <c r="AM340" i="10"/>
  <c r="AL340" i="10"/>
  <c r="AK340" i="10"/>
  <c r="AJ340" i="10"/>
  <c r="AI340" i="10"/>
  <c r="AX341" i="10"/>
  <c r="AW341" i="10"/>
  <c r="AV341" i="10"/>
  <c r="AU341" i="10"/>
  <c r="AT341" i="10"/>
  <c r="AS341" i="10"/>
  <c r="AR341" i="10"/>
  <c r="AQ341" i="10"/>
  <c r="AP341" i="10"/>
  <c r="AO341" i="10"/>
  <c r="AN341" i="10"/>
  <c r="AM341" i="10"/>
  <c r="AL341" i="10"/>
  <c r="AK341" i="10"/>
  <c r="AJ341" i="10"/>
  <c r="AI341" i="10"/>
  <c r="AX342" i="10"/>
  <c r="AW342" i="10"/>
  <c r="AV342" i="10"/>
  <c r="AU342" i="10"/>
  <c r="AT342" i="10"/>
  <c r="AS342" i="10"/>
  <c r="AR342" i="10"/>
  <c r="AQ342" i="10"/>
  <c r="AP342" i="10"/>
  <c r="AO342" i="10"/>
  <c r="AN342" i="10"/>
  <c r="AM342" i="10"/>
  <c r="AL342" i="10"/>
  <c r="AK342" i="10"/>
  <c r="AJ342" i="10"/>
  <c r="AI342" i="10"/>
  <c r="AX343" i="10"/>
  <c r="AW343" i="10"/>
  <c r="AV343" i="10"/>
  <c r="AU343" i="10"/>
  <c r="AT343" i="10"/>
  <c r="AS343" i="10"/>
  <c r="AR343" i="10"/>
  <c r="AQ343" i="10"/>
  <c r="AP343" i="10"/>
  <c r="AO343" i="10"/>
  <c r="AN343" i="10"/>
  <c r="AM343" i="10"/>
  <c r="AL343" i="10"/>
  <c r="AK343" i="10"/>
  <c r="AJ343" i="10"/>
  <c r="AI343" i="10"/>
  <c r="AX344" i="10"/>
  <c r="AW344" i="10"/>
  <c r="AV344" i="10"/>
  <c r="AU344" i="10"/>
  <c r="AT344" i="10"/>
  <c r="AS344" i="10"/>
  <c r="AR344" i="10"/>
  <c r="AQ344" i="10"/>
  <c r="AP344" i="10"/>
  <c r="AO344" i="10"/>
  <c r="AN344" i="10"/>
  <c r="AM344" i="10"/>
  <c r="AL344" i="10"/>
  <c r="AK344" i="10"/>
  <c r="AJ344" i="10"/>
  <c r="AI344" i="10"/>
  <c r="AX345" i="10"/>
  <c r="AW345" i="10"/>
  <c r="AV345" i="10"/>
  <c r="AU345" i="10"/>
  <c r="AT345" i="10"/>
  <c r="AS345" i="10"/>
  <c r="AR345" i="10"/>
  <c r="AQ345" i="10"/>
  <c r="AP345" i="10"/>
  <c r="AO345" i="10"/>
  <c r="AN345" i="10"/>
  <c r="AM345" i="10"/>
  <c r="AL345" i="10"/>
  <c r="AK345" i="10"/>
  <c r="AJ345" i="10"/>
  <c r="AI345" i="10"/>
  <c r="AX346" i="10"/>
  <c r="AW346" i="10"/>
  <c r="AV346" i="10"/>
  <c r="AU346" i="10"/>
  <c r="AT346" i="10"/>
  <c r="AS346" i="10"/>
  <c r="AR346" i="10"/>
  <c r="AQ346" i="10"/>
  <c r="AP346" i="10"/>
  <c r="AO346" i="10"/>
  <c r="AN346" i="10"/>
  <c r="AM346" i="10"/>
  <c r="AL346" i="10"/>
  <c r="AK346" i="10"/>
  <c r="AJ346" i="10"/>
  <c r="AI346" i="10"/>
  <c r="AX347" i="10"/>
  <c r="AW347" i="10"/>
  <c r="AV347" i="10"/>
  <c r="AU347" i="10"/>
  <c r="AT347" i="10"/>
  <c r="AS347" i="10"/>
  <c r="AR347" i="10"/>
  <c r="AQ347" i="10"/>
  <c r="AP347" i="10"/>
  <c r="AO347" i="10"/>
  <c r="AN347" i="10"/>
  <c r="AM347" i="10"/>
  <c r="AL347" i="10"/>
  <c r="AK347" i="10"/>
  <c r="AJ347" i="10"/>
  <c r="AI347" i="10"/>
  <c r="AX348" i="10"/>
  <c r="AW348" i="10"/>
  <c r="AV348" i="10"/>
  <c r="AU348" i="10"/>
  <c r="AT348" i="10"/>
  <c r="AS348" i="10"/>
  <c r="AR348" i="10"/>
  <c r="AQ348" i="10"/>
  <c r="AP348" i="10"/>
  <c r="AO348" i="10"/>
  <c r="AN348" i="10"/>
  <c r="AM348" i="10"/>
  <c r="AL348" i="10"/>
  <c r="AK348" i="10"/>
  <c r="AJ348" i="10"/>
  <c r="AI348" i="10"/>
  <c r="AX349" i="10"/>
  <c r="AW349" i="10"/>
  <c r="AV349" i="10"/>
  <c r="AU349" i="10"/>
  <c r="AT349" i="10"/>
  <c r="AS349" i="10"/>
  <c r="AR349" i="10"/>
  <c r="AQ349" i="10"/>
  <c r="AP349" i="10"/>
  <c r="AO349" i="10"/>
  <c r="AN349" i="10"/>
  <c r="AM349" i="10"/>
  <c r="AL349" i="10"/>
  <c r="AK349" i="10"/>
  <c r="AJ349" i="10"/>
  <c r="AI349" i="10"/>
  <c r="AX350" i="10"/>
  <c r="AW350" i="10"/>
  <c r="AV350" i="10"/>
  <c r="AU350" i="10"/>
  <c r="AT350" i="10"/>
  <c r="AS350" i="10"/>
  <c r="AR350" i="10"/>
  <c r="AQ350" i="10"/>
  <c r="AP350" i="10"/>
  <c r="AO350" i="10"/>
  <c r="AN350" i="10"/>
  <c r="AM350" i="10"/>
  <c r="AL350" i="10"/>
  <c r="AK350" i="10"/>
  <c r="AJ350" i="10"/>
  <c r="AI350" i="10"/>
  <c r="AX352" i="10"/>
  <c r="AW352" i="10"/>
  <c r="AV352" i="10"/>
  <c r="AU352" i="10"/>
  <c r="AT352" i="10"/>
  <c r="AS352" i="10"/>
  <c r="AR352" i="10"/>
  <c r="AQ352" i="10"/>
  <c r="AP352" i="10"/>
  <c r="AO352" i="10"/>
  <c r="AN352" i="10"/>
  <c r="AM352" i="10"/>
  <c r="AL352" i="10"/>
  <c r="AK352" i="10"/>
  <c r="AJ352" i="10"/>
  <c r="AI352" i="10"/>
  <c r="AX353" i="10"/>
  <c r="AW353" i="10"/>
  <c r="AV353" i="10"/>
  <c r="AU353" i="10"/>
  <c r="AT353" i="10"/>
  <c r="AS353" i="10"/>
  <c r="AR353" i="10"/>
  <c r="AQ353" i="10"/>
  <c r="AP353" i="10"/>
  <c r="AO353" i="10"/>
  <c r="AN353" i="10"/>
  <c r="AM353" i="10"/>
  <c r="AL353" i="10"/>
  <c r="AK353" i="10"/>
  <c r="AJ353" i="10"/>
  <c r="AI353" i="10"/>
  <c r="AX354" i="10"/>
  <c r="AW354" i="10"/>
  <c r="AV354" i="10"/>
  <c r="AU354" i="10"/>
  <c r="AT354" i="10"/>
  <c r="AS354" i="10"/>
  <c r="AR354" i="10"/>
  <c r="AQ354" i="10"/>
  <c r="AP354" i="10"/>
  <c r="AO354" i="10"/>
  <c r="AN354" i="10"/>
  <c r="AM354" i="10"/>
  <c r="AL354" i="10"/>
  <c r="AK354" i="10"/>
  <c r="AJ354" i="10"/>
  <c r="AI354" i="10"/>
  <c r="AX355" i="10"/>
  <c r="AW355" i="10"/>
  <c r="AK355" i="10"/>
  <c r="AJ355" i="10"/>
  <c r="AI355" i="10"/>
  <c r="AX356" i="10"/>
  <c r="AW356" i="10"/>
  <c r="AK356" i="10"/>
  <c r="AJ356" i="10"/>
  <c r="AI356" i="10"/>
  <c r="AX357" i="10"/>
  <c r="AW357" i="10"/>
  <c r="AV357" i="10"/>
  <c r="AU357" i="10"/>
  <c r="AT357" i="10"/>
  <c r="AS357" i="10"/>
  <c r="AR357" i="10"/>
  <c r="AQ357" i="10"/>
  <c r="AP357" i="10"/>
  <c r="AO357" i="10"/>
  <c r="AN357" i="10"/>
  <c r="AM357" i="10"/>
  <c r="AL357" i="10"/>
  <c r="AK357" i="10"/>
  <c r="AJ357" i="10"/>
  <c r="AI357" i="10"/>
  <c r="AX358" i="10"/>
  <c r="AW358" i="10"/>
  <c r="AV358" i="10"/>
  <c r="AU358" i="10"/>
  <c r="AT358" i="10"/>
  <c r="AS358" i="10"/>
  <c r="AR358" i="10"/>
  <c r="AQ358" i="10"/>
  <c r="AP358" i="10"/>
  <c r="AO358" i="10"/>
  <c r="AN358" i="10"/>
  <c r="AM358" i="10"/>
  <c r="AL358" i="10"/>
  <c r="AK358" i="10"/>
  <c r="AJ358" i="10"/>
  <c r="AI358" i="10"/>
  <c r="AW720" i="10"/>
  <c r="AQ720" i="10"/>
  <c r="AR720" i="10"/>
  <c r="AS720" i="10"/>
  <c r="AJ720" i="10"/>
  <c r="AK684" i="10"/>
  <c r="AQ684" i="10"/>
  <c r="AU720" i="10"/>
  <c r="AR684" i="10"/>
  <c r="AJ708" i="10"/>
  <c r="AS684" i="10"/>
  <c r="AV720" i="10"/>
  <c r="AK708" i="10"/>
  <c r="AV684" i="10"/>
  <c r="AJ684" i="10"/>
  <c r="AK720" i="10"/>
  <c r="AN720" i="10"/>
  <c r="AO720" i="10"/>
  <c r="AW708" i="10"/>
  <c r="AL720" i="10"/>
  <c r="AX720" i="10"/>
  <c r="AM720" i="10"/>
  <c r="AP720" i="10"/>
  <c r="AX708" i="10"/>
  <c r="AU2694" i="10"/>
  <c r="AM1813" i="10"/>
  <c r="AU2282" i="10"/>
  <c r="AJ2694" i="10"/>
  <c r="AK2287" i="10"/>
  <c r="AM2673" i="10"/>
  <c r="AU1357" i="10"/>
  <c r="AL1591" i="10"/>
  <c r="AJ2664" i="10"/>
  <c r="AV2673" i="10"/>
  <c r="AV406" i="10"/>
  <c r="AX366" i="10"/>
  <c r="AN406" i="10"/>
  <c r="AV366" i="10"/>
  <c r="AJ406" i="10"/>
  <c r="AM366" i="10"/>
  <c r="AU366" i="10"/>
  <c r="AX595" i="10"/>
  <c r="AT366" i="10"/>
  <c r="AO366" i="10"/>
  <c r="AN366" i="10"/>
  <c r="AL404" i="10"/>
  <c r="AJ369" i="10"/>
  <c r="AW366" i="10"/>
  <c r="AT405" i="10"/>
  <c r="AS367" i="10"/>
  <c r="AN367" i="10"/>
  <c r="AX406" i="10"/>
  <c r="AV368" i="10"/>
  <c r="AT368" i="10"/>
  <c r="AS368" i="10"/>
  <c r="AL406" i="10"/>
  <c r="AU404" i="10"/>
  <c r="AR368" i="10"/>
  <c r="AS404" i="10"/>
  <c r="AK368" i="10"/>
  <c r="AM404" i="10"/>
  <c r="AJ368" i="10"/>
  <c r="AW406" i="10"/>
  <c r="AQ404" i="10"/>
  <c r="AP404" i="10"/>
  <c r="AS403" i="10"/>
  <c r="AT406" i="10"/>
  <c r="AO404" i="10"/>
  <c r="AO403" i="10"/>
  <c r="AQ406" i="10"/>
  <c r="AN404" i="10"/>
  <c r="AM403" i="10"/>
  <c r="AX404" i="10"/>
  <c r="AK404" i="10"/>
  <c r="AI406" i="10"/>
  <c r="AW404" i="10"/>
  <c r="AJ404" i="10"/>
  <c r="AU677" i="10"/>
  <c r="AV404" i="10"/>
  <c r="AI404" i="10"/>
  <c r="AT404" i="10"/>
  <c r="AP595" i="10"/>
  <c r="AL403" i="10"/>
  <c r="AT369" i="10"/>
  <c r="AP368" i="10"/>
  <c r="AR367" i="10"/>
  <c r="AN595" i="10"/>
  <c r="AU406" i="10"/>
  <c r="AJ403" i="10"/>
  <c r="AR369" i="10"/>
  <c r="AN368" i="10"/>
  <c r="AP367" i="10"/>
  <c r="AS366" i="10"/>
  <c r="AK595" i="10"/>
  <c r="AR366" i="10"/>
  <c r="AJ595" i="10"/>
  <c r="AS406" i="10"/>
  <c r="AJ367" i="10"/>
  <c r="AI595" i="10"/>
  <c r="AR406" i="10"/>
  <c r="AX403" i="10"/>
  <c r="AW595" i="10"/>
  <c r="AP406" i="10"/>
  <c r="AV403" i="10"/>
  <c r="AT402" i="10"/>
  <c r="AV595" i="10"/>
  <c r="AT403" i="10"/>
  <c r="AW368" i="10"/>
  <c r="AU595" i="10"/>
  <c r="AX367" i="10"/>
  <c r="AT595" i="10"/>
  <c r="AK406" i="10"/>
  <c r="AQ403" i="10"/>
  <c r="AV367" i="10"/>
  <c r="AS595" i="10"/>
  <c r="AT367" i="10"/>
  <c r="AR595" i="10"/>
  <c r="AV369" i="10"/>
  <c r="AX359" i="10"/>
  <c r="AW359" i="10"/>
  <c r="AV359" i="10"/>
  <c r="AU359" i="10"/>
  <c r="AT359" i="10"/>
  <c r="AS359" i="10"/>
  <c r="AR359" i="10"/>
  <c r="AQ359" i="10"/>
  <c r="AP359" i="10"/>
  <c r="AO359" i="10"/>
  <c r="AN359" i="10"/>
  <c r="AM359" i="10"/>
  <c r="AL359" i="10"/>
  <c r="AK359" i="10"/>
  <c r="AJ359" i="10"/>
  <c r="AI359" i="10"/>
  <c r="AX360" i="10"/>
  <c r="AW360" i="10"/>
  <c r="AV360" i="10"/>
  <c r="AU360" i="10"/>
  <c r="AT360" i="10"/>
  <c r="AS360" i="10"/>
  <c r="AR360" i="10"/>
  <c r="AQ360" i="10"/>
  <c r="AP360" i="10"/>
  <c r="AO360" i="10"/>
  <c r="AN360" i="10"/>
  <c r="AM360" i="10"/>
  <c r="AL360" i="10"/>
  <c r="AK360" i="10"/>
  <c r="AJ360" i="10"/>
  <c r="AI360" i="10"/>
  <c r="AX361" i="10"/>
  <c r="AW361" i="10"/>
  <c r="AK361" i="10"/>
  <c r="AJ361" i="10"/>
  <c r="AI361" i="10"/>
  <c r="AX362" i="10"/>
  <c r="AW362" i="10"/>
  <c r="AV362" i="10"/>
  <c r="AU362" i="10"/>
  <c r="AT362" i="10"/>
  <c r="AS362" i="10"/>
  <c r="AR362" i="10"/>
  <c r="AQ362" i="10"/>
  <c r="AP362" i="10"/>
  <c r="AO362" i="10"/>
  <c r="AN362" i="10"/>
  <c r="AM362" i="10"/>
  <c r="AL362" i="10"/>
  <c r="AK362" i="10"/>
  <c r="AJ362" i="10"/>
  <c r="AI362" i="10"/>
  <c r="AX363" i="10"/>
  <c r="AW363" i="10"/>
  <c r="AV363" i="10"/>
  <c r="AU363" i="10"/>
  <c r="AT363" i="10"/>
  <c r="AS363" i="10"/>
  <c r="AR363" i="10"/>
  <c r="AQ363" i="10"/>
  <c r="AP363" i="10"/>
  <c r="AO363" i="10"/>
  <c r="AN363" i="10"/>
  <c r="AM363" i="10"/>
  <c r="AL363" i="10"/>
  <c r="AK363" i="10"/>
  <c r="AJ363" i="10"/>
  <c r="AI363" i="10"/>
  <c r="AN405" i="10"/>
  <c r="AR403" i="10"/>
  <c r="AN402" i="10"/>
  <c r="AW369" i="10"/>
  <c r="AK369" i="10"/>
  <c r="AO367" i="10"/>
  <c r="AM405" i="10"/>
  <c r="AM402" i="10"/>
  <c r="AJ366" i="10"/>
  <c r="AQ595" i="10"/>
  <c r="AK417" i="10"/>
  <c r="AO406" i="10"/>
  <c r="AX405" i="10"/>
  <c r="AL405" i="10"/>
  <c r="AP403" i="10"/>
  <c r="AX402" i="10"/>
  <c r="AL402" i="10"/>
  <c r="AU369" i="10"/>
  <c r="AI369" i="10"/>
  <c r="AQ368" i="10"/>
  <c r="AM367" i="10"/>
  <c r="AI366" i="10"/>
  <c r="AJ417" i="10"/>
  <c r="AW405" i="10"/>
  <c r="AK405" i="10"/>
  <c r="AW402" i="10"/>
  <c r="AK402" i="10"/>
  <c r="AL367" i="10"/>
  <c r="AO595" i="10"/>
  <c r="AV405" i="10"/>
  <c r="AJ405" i="10"/>
  <c r="AN403" i="10"/>
  <c r="AV402" i="10"/>
  <c r="AJ402" i="10"/>
  <c r="AS369" i="10"/>
  <c r="AO368" i="10"/>
  <c r="AW367" i="10"/>
  <c r="AK367" i="10"/>
  <c r="AU405" i="10"/>
  <c r="AI405" i="10"/>
  <c r="AU402" i="10"/>
  <c r="AI402" i="10"/>
  <c r="AQ369" i="10"/>
  <c r="AM368" i="10"/>
  <c r="AU367" i="10"/>
  <c r="AI367" i="10"/>
  <c r="AQ366" i="10"/>
  <c r="AS405" i="10"/>
  <c r="AW403" i="10"/>
  <c r="AK403" i="10"/>
  <c r="AS402" i="10"/>
  <c r="AP369" i="10"/>
  <c r="AX368" i="10"/>
  <c r="AL368" i="10"/>
  <c r="AP366" i="10"/>
  <c r="AR405" i="10"/>
  <c r="AR402" i="10"/>
  <c r="AO369" i="10"/>
  <c r="AK1122" i="10"/>
  <c r="AQ405" i="10"/>
  <c r="AU403" i="10"/>
  <c r="AQ402" i="10"/>
  <c r="AN369" i="10"/>
  <c r="AK1050" i="10"/>
  <c r="AP405" i="10"/>
  <c r="AP402" i="10"/>
  <c r="AM369" i="10"/>
  <c r="AU368" i="10"/>
  <c r="AX369" i="10"/>
  <c r="AX364" i="10"/>
  <c r="AW364" i="10"/>
  <c r="AV364" i="10"/>
  <c r="AU364" i="10"/>
  <c r="AT364" i="10"/>
  <c r="AS364" i="10"/>
  <c r="AR364" i="10"/>
  <c r="AQ364" i="10"/>
  <c r="AP364" i="10"/>
  <c r="AO364" i="10"/>
  <c r="AN364" i="10"/>
  <c r="AM364" i="10"/>
  <c r="AL364" i="10"/>
  <c r="AK364" i="10"/>
  <c r="AJ364" i="10"/>
  <c r="AI364" i="10"/>
  <c r="AX365" i="10"/>
  <c r="AW365" i="10"/>
  <c r="AV365" i="10"/>
  <c r="AU365" i="10"/>
  <c r="AT365" i="10"/>
  <c r="AS365" i="10"/>
  <c r="AR365" i="10"/>
  <c r="AQ365" i="10"/>
  <c r="AP365" i="10"/>
  <c r="AO365" i="10"/>
  <c r="AN365" i="10"/>
  <c r="AM365" i="10"/>
  <c r="AL365" i="10"/>
  <c r="AK365" i="10"/>
  <c r="AJ365" i="10"/>
  <c r="AI365" i="10"/>
  <c r="AX370" i="10"/>
  <c r="AW370" i="10"/>
  <c r="AV370" i="10"/>
  <c r="AU370" i="10"/>
  <c r="AT370" i="10"/>
  <c r="AS370" i="10"/>
  <c r="AR370" i="10"/>
  <c r="AQ370" i="10"/>
  <c r="AP370" i="10"/>
  <c r="AO370" i="10"/>
  <c r="AN370" i="10"/>
  <c r="AM370" i="10"/>
  <c r="AL370" i="10"/>
  <c r="AK370" i="10"/>
  <c r="AJ370" i="10"/>
  <c r="AI370" i="10"/>
  <c r="AX371" i="10"/>
  <c r="AW371" i="10"/>
  <c r="AV371" i="10"/>
  <c r="AU371" i="10"/>
  <c r="AT371" i="10"/>
  <c r="AS371" i="10"/>
  <c r="AR371" i="10"/>
  <c r="AQ371" i="10"/>
  <c r="AP371" i="10"/>
  <c r="AO371" i="10"/>
  <c r="AN371" i="10"/>
  <c r="AM371" i="10"/>
  <c r="AL371" i="10"/>
  <c r="AK371" i="10"/>
  <c r="AJ371" i="10"/>
  <c r="AI371" i="10"/>
  <c r="AX372" i="10"/>
  <c r="AW372" i="10"/>
  <c r="AV372" i="10"/>
  <c r="AU372" i="10"/>
  <c r="AT372" i="10"/>
  <c r="AS372" i="10"/>
  <c r="AR372" i="10"/>
  <c r="AQ372" i="10"/>
  <c r="AP372" i="10"/>
  <c r="AO372" i="10"/>
  <c r="AN372" i="10"/>
  <c r="AM372" i="10"/>
  <c r="AL372" i="10"/>
  <c r="AK372" i="10"/>
  <c r="AJ372" i="10"/>
  <c r="AI372" i="10"/>
  <c r="AX373" i="10"/>
  <c r="AW373" i="10"/>
  <c r="AV373" i="10"/>
  <c r="AU373" i="10"/>
  <c r="AT373" i="10"/>
  <c r="AS373" i="10"/>
  <c r="AR373" i="10"/>
  <c r="AQ373" i="10"/>
  <c r="AP373" i="10"/>
  <c r="AO373" i="10"/>
  <c r="AN373" i="10"/>
  <c r="AM373" i="10"/>
  <c r="AL373" i="10"/>
  <c r="AK373" i="10"/>
  <c r="AJ373" i="10"/>
  <c r="AI373" i="10"/>
  <c r="AX374" i="10"/>
  <c r="AW374" i="10"/>
  <c r="AV374" i="10"/>
  <c r="AU374" i="10"/>
  <c r="AT374" i="10"/>
  <c r="AS374" i="10"/>
  <c r="AR374" i="10"/>
  <c r="AQ374" i="10"/>
  <c r="AP374" i="10"/>
  <c r="AO374" i="10"/>
  <c r="AN374" i="10"/>
  <c r="AM374" i="10"/>
  <c r="AL374" i="10"/>
  <c r="AK374" i="10"/>
  <c r="AJ374" i="10"/>
  <c r="AI374" i="10"/>
  <c r="AX375" i="10"/>
  <c r="AW375" i="10"/>
  <c r="AK375" i="10"/>
  <c r="AJ375" i="10"/>
  <c r="AI375" i="10"/>
  <c r="AX376" i="10"/>
  <c r="AW376" i="10"/>
  <c r="AV376" i="10"/>
  <c r="AU376" i="10"/>
  <c r="AT376" i="10"/>
  <c r="AS376" i="10"/>
  <c r="AR376" i="10"/>
  <c r="AQ376" i="10"/>
  <c r="AP376" i="10"/>
  <c r="AO376" i="10"/>
  <c r="AN376" i="10"/>
  <c r="AM376" i="10"/>
  <c r="AL376" i="10"/>
  <c r="AK376" i="10"/>
  <c r="AJ376" i="10"/>
  <c r="AI376" i="10"/>
  <c r="AX377" i="10"/>
  <c r="AW377" i="10"/>
  <c r="AM377" i="10"/>
  <c r="AL377" i="10"/>
  <c r="AK377" i="10"/>
  <c r="AJ377" i="10"/>
  <c r="AI377" i="10"/>
  <c r="AX378" i="10"/>
  <c r="AW378" i="10"/>
  <c r="AV378" i="10"/>
  <c r="AU378" i="10"/>
  <c r="AT378" i="10"/>
  <c r="AS378" i="10"/>
  <c r="AR378" i="10"/>
  <c r="AQ378" i="10"/>
  <c r="AP378" i="10"/>
  <c r="AO378" i="10"/>
  <c r="AN378" i="10"/>
  <c r="AM378" i="10"/>
  <c r="AL378" i="10"/>
  <c r="AK378" i="10"/>
  <c r="AJ378" i="10"/>
  <c r="AI378" i="10"/>
  <c r="AX379" i="10"/>
  <c r="AW379" i="10"/>
  <c r="AK379" i="10"/>
  <c r="AJ379" i="10"/>
  <c r="AI379" i="10"/>
  <c r="AX381" i="10"/>
  <c r="AW381" i="10"/>
  <c r="AV381" i="10"/>
  <c r="AU381" i="10"/>
  <c r="AT381" i="10"/>
  <c r="AS381" i="10"/>
  <c r="AR381" i="10"/>
  <c r="AQ381" i="10"/>
  <c r="AP381" i="10"/>
  <c r="AO381" i="10"/>
  <c r="AN381" i="10"/>
  <c r="AM381" i="10"/>
  <c r="AL381" i="10"/>
  <c r="AK381" i="10"/>
  <c r="AJ381" i="10"/>
  <c r="AI381" i="10"/>
  <c r="AX382" i="10"/>
  <c r="AW382" i="10"/>
  <c r="AK382" i="10"/>
  <c r="AJ382" i="10"/>
  <c r="AI382" i="10"/>
  <c r="AX380" i="10"/>
  <c r="AW380" i="10"/>
  <c r="AV380" i="10"/>
  <c r="AU380" i="10"/>
  <c r="AT380" i="10"/>
  <c r="AS380" i="10"/>
  <c r="AR380" i="10"/>
  <c r="AQ380" i="10"/>
  <c r="AP380" i="10"/>
  <c r="AO380" i="10"/>
  <c r="AN380" i="10"/>
  <c r="AM380" i="10"/>
  <c r="AL380" i="10"/>
  <c r="AK380" i="10"/>
  <c r="AJ380" i="10"/>
  <c r="AI380" i="10"/>
  <c r="AX383" i="10"/>
  <c r="AW383" i="10"/>
  <c r="AV383" i="10"/>
  <c r="AU383" i="10"/>
  <c r="AT383" i="10"/>
  <c r="AS383" i="10"/>
  <c r="AR383" i="10"/>
  <c r="AQ383" i="10"/>
  <c r="AP383" i="10"/>
  <c r="AO383" i="10"/>
  <c r="AN383" i="10"/>
  <c r="AM383" i="10"/>
  <c r="AL383" i="10"/>
  <c r="AK383" i="10"/>
  <c r="AJ383" i="10"/>
  <c r="AI383" i="10"/>
  <c r="AX384" i="10"/>
  <c r="AW384" i="10"/>
  <c r="AV384" i="10"/>
  <c r="AU384" i="10"/>
  <c r="AT384" i="10"/>
  <c r="AS384" i="10"/>
  <c r="AR384" i="10"/>
  <c r="AQ384" i="10"/>
  <c r="AP384" i="10"/>
  <c r="AO384" i="10"/>
  <c r="AN384" i="10"/>
  <c r="AM384" i="10"/>
  <c r="AL384" i="10"/>
  <c r="AK384" i="10"/>
  <c r="AJ384" i="10"/>
  <c r="AI384" i="10"/>
  <c r="AX385" i="10"/>
  <c r="AW385" i="10"/>
  <c r="AV385" i="10"/>
  <c r="AU385" i="10"/>
  <c r="AT385" i="10"/>
  <c r="AS385" i="10"/>
  <c r="AR385" i="10"/>
  <c r="AQ385" i="10"/>
  <c r="AP385" i="10"/>
  <c r="AO385" i="10"/>
  <c r="AN385" i="10"/>
  <c r="AM385" i="10"/>
  <c r="AL385" i="10"/>
  <c r="AK385" i="10"/>
  <c r="AJ385" i="10"/>
  <c r="AI385" i="10"/>
  <c r="AX386" i="10"/>
  <c r="AW386" i="10"/>
  <c r="AK386" i="10"/>
  <c r="AJ386" i="10"/>
  <c r="AI386" i="10"/>
  <c r="AX387" i="10"/>
  <c r="AW387" i="10"/>
  <c r="AK387" i="10"/>
  <c r="AJ387" i="10"/>
  <c r="AI387" i="10"/>
  <c r="AX388" i="10"/>
  <c r="AW388" i="10"/>
  <c r="AV388" i="10"/>
  <c r="AU388" i="10"/>
  <c r="AT388" i="10"/>
  <c r="AS388" i="10"/>
  <c r="AR388" i="10"/>
  <c r="AQ388" i="10"/>
  <c r="AP388" i="10"/>
  <c r="AO388" i="10"/>
  <c r="AN388" i="10"/>
  <c r="AM388" i="10"/>
  <c r="AL388" i="10"/>
  <c r="AK388" i="10"/>
  <c r="AJ388" i="10"/>
  <c r="AX389" i="10"/>
  <c r="AW389" i="10"/>
  <c r="AV389" i="10"/>
  <c r="AU389" i="10"/>
  <c r="AT389" i="10"/>
  <c r="AS389" i="10"/>
  <c r="AR389" i="10"/>
  <c r="AQ389" i="10"/>
  <c r="AP389" i="10"/>
  <c r="AO389" i="10"/>
  <c r="AN389" i="10"/>
  <c r="AM389" i="10"/>
  <c r="AL389" i="10"/>
  <c r="AK389" i="10"/>
  <c r="AJ389" i="10"/>
  <c r="AI389" i="10"/>
  <c r="AX390" i="10"/>
  <c r="AW390" i="10"/>
  <c r="AV390" i="10"/>
  <c r="AU390" i="10"/>
  <c r="AT390" i="10"/>
  <c r="AS390" i="10"/>
  <c r="AR390" i="10"/>
  <c r="AQ390" i="10"/>
  <c r="AP390" i="10"/>
  <c r="AO390" i="10"/>
  <c r="AN390" i="10"/>
  <c r="AM390" i="10"/>
  <c r="AL390" i="10"/>
  <c r="AK390" i="10"/>
  <c r="AJ390" i="10"/>
  <c r="AI390" i="10"/>
  <c r="AX393" i="10"/>
  <c r="AW393" i="10"/>
  <c r="AK393" i="10"/>
  <c r="AJ393" i="10"/>
  <c r="AI393" i="10"/>
  <c r="AX391" i="10"/>
  <c r="AW391" i="10"/>
  <c r="AV391" i="10"/>
  <c r="AU391" i="10"/>
  <c r="AT391" i="10"/>
  <c r="AS391" i="10"/>
  <c r="AR391" i="10"/>
  <c r="AQ391" i="10"/>
  <c r="AP391" i="10"/>
  <c r="AO391" i="10"/>
  <c r="AN391" i="10"/>
  <c r="AM391" i="10"/>
  <c r="AL391" i="10"/>
  <c r="AK391" i="10"/>
  <c r="AJ391" i="10"/>
  <c r="AI391" i="10"/>
  <c r="AX392" i="10"/>
  <c r="AW392" i="10"/>
  <c r="AV392" i="10"/>
  <c r="AU392" i="10"/>
  <c r="AT392" i="10"/>
  <c r="AS392" i="10"/>
  <c r="AR392" i="10"/>
  <c r="AQ392" i="10"/>
  <c r="AP392" i="10"/>
  <c r="AO392" i="10"/>
  <c r="AN392" i="10"/>
  <c r="AM392" i="10"/>
  <c r="AL392" i="10"/>
  <c r="AK392" i="10"/>
  <c r="AJ392" i="10"/>
  <c r="AI392" i="10"/>
  <c r="AX396" i="10"/>
  <c r="AW396" i="10"/>
  <c r="AV396" i="10"/>
  <c r="AU396" i="10"/>
  <c r="AT396" i="10"/>
  <c r="AS396" i="10"/>
  <c r="AR396" i="10"/>
  <c r="AQ396" i="10"/>
  <c r="AP396" i="10"/>
  <c r="AO396" i="10"/>
  <c r="AN396" i="10"/>
  <c r="AM396" i="10"/>
  <c r="AL396" i="10"/>
  <c r="AK396" i="10"/>
  <c r="AJ396" i="10"/>
  <c r="AI396" i="10"/>
  <c r="AX398" i="10"/>
  <c r="AW398" i="10"/>
  <c r="AV398" i="10"/>
  <c r="AU398" i="10"/>
  <c r="AT398" i="10"/>
  <c r="AS398" i="10"/>
  <c r="AR398" i="10"/>
  <c r="AQ398" i="10"/>
  <c r="AP398" i="10"/>
  <c r="AO398" i="10"/>
  <c r="AN398" i="10"/>
  <c r="AM398" i="10"/>
  <c r="AL398" i="10"/>
  <c r="AK398" i="10"/>
  <c r="AJ398" i="10"/>
  <c r="AI398" i="10"/>
  <c r="AX394" i="10"/>
  <c r="AW394" i="10"/>
  <c r="AV394" i="10"/>
  <c r="AU394" i="10"/>
  <c r="AT394" i="10"/>
  <c r="AS394" i="10"/>
  <c r="AR394" i="10"/>
  <c r="AQ394" i="10"/>
  <c r="AP394" i="10"/>
  <c r="AO394" i="10"/>
  <c r="AN394" i="10"/>
  <c r="AM394" i="10"/>
  <c r="AL394" i="10"/>
  <c r="AK394" i="10"/>
  <c r="AJ394" i="10"/>
  <c r="AI394" i="10"/>
  <c r="AX395" i="10"/>
  <c r="AW395" i="10"/>
  <c r="AK395" i="10"/>
  <c r="AJ395" i="10"/>
  <c r="AI395" i="10"/>
  <c r="AX397" i="10"/>
  <c r="AW397" i="10"/>
  <c r="AK397" i="10"/>
  <c r="AJ397" i="10"/>
  <c r="AI397" i="10"/>
  <c r="AX399" i="10"/>
  <c r="AW399" i="10"/>
  <c r="AV399" i="10"/>
  <c r="AU399" i="10"/>
  <c r="AT399" i="10"/>
  <c r="AS399" i="10"/>
  <c r="AR399" i="10"/>
  <c r="AQ399" i="10"/>
  <c r="AP399" i="10"/>
  <c r="AO399" i="10"/>
  <c r="AN399" i="10"/>
  <c r="AM399" i="10"/>
  <c r="AL399" i="10"/>
  <c r="AK399" i="10"/>
  <c r="AJ399" i="10"/>
  <c r="AI399" i="10"/>
  <c r="AX400" i="10"/>
  <c r="AW400" i="10"/>
  <c r="AV400" i="10"/>
  <c r="AU400" i="10"/>
  <c r="AT400" i="10"/>
  <c r="AS400" i="10"/>
  <c r="AR400" i="10"/>
  <c r="AQ400" i="10"/>
  <c r="AP400" i="10"/>
  <c r="AO400" i="10"/>
  <c r="AN400" i="10"/>
  <c r="AM400" i="10"/>
  <c r="AL400" i="10"/>
  <c r="AK400" i="10"/>
  <c r="AJ400" i="10"/>
  <c r="AI400" i="10"/>
  <c r="AX401" i="10"/>
  <c r="AW401" i="10"/>
  <c r="AK401" i="10"/>
  <c r="AJ401" i="10"/>
  <c r="AI401" i="10"/>
  <c r="AX407" i="10"/>
  <c r="AW407" i="10"/>
  <c r="AV407" i="10"/>
  <c r="AU407" i="10"/>
  <c r="AT407" i="10"/>
  <c r="AS407" i="10"/>
  <c r="AR407" i="10"/>
  <c r="AQ407" i="10"/>
  <c r="AP407" i="10"/>
  <c r="AO407" i="10"/>
  <c r="AN407" i="10"/>
  <c r="AM407" i="10"/>
  <c r="AL407" i="10"/>
  <c r="AK407" i="10"/>
  <c r="AJ407" i="10"/>
  <c r="AI407" i="10"/>
  <c r="AX408" i="10"/>
  <c r="AW408" i="10"/>
  <c r="AV408" i="10"/>
  <c r="AU408" i="10"/>
  <c r="AT408" i="10"/>
  <c r="AS408" i="10"/>
  <c r="AR408" i="10"/>
  <c r="AQ408" i="10"/>
  <c r="AP408" i="10"/>
  <c r="AO408" i="10"/>
  <c r="AN408" i="10"/>
  <c r="AM408" i="10"/>
  <c r="AL408" i="10"/>
  <c r="AK408" i="10"/>
  <c r="AJ408" i="10"/>
  <c r="AI408" i="10"/>
  <c r="AX409" i="10"/>
  <c r="AW409" i="10"/>
  <c r="AV409" i="10"/>
  <c r="AU409" i="10"/>
  <c r="AT409" i="10"/>
  <c r="AS409" i="10"/>
  <c r="AR409" i="10"/>
  <c r="AQ409" i="10"/>
  <c r="AP409" i="10"/>
  <c r="AO409" i="10"/>
  <c r="AN409" i="10"/>
  <c r="AM409" i="10"/>
  <c r="AL409" i="10"/>
  <c r="AK409" i="10"/>
  <c r="AJ409" i="10"/>
  <c r="AI409" i="10"/>
  <c r="AX410" i="10"/>
  <c r="AW410" i="10"/>
  <c r="AV410" i="10"/>
  <c r="AU410" i="10"/>
  <c r="AT410" i="10"/>
  <c r="AS410" i="10"/>
  <c r="AR410" i="10"/>
  <c r="AQ410" i="10"/>
  <c r="AP410" i="10"/>
  <c r="AO410" i="10"/>
  <c r="AN410" i="10"/>
  <c r="AM410" i="10"/>
  <c r="AL410" i="10"/>
  <c r="AK410" i="10"/>
  <c r="AJ410" i="10"/>
  <c r="AI410" i="10"/>
  <c r="AK421" i="10"/>
  <c r="AJ421" i="10"/>
  <c r="AM595" i="10"/>
  <c r="AJ466" i="10"/>
  <c r="AK466" i="10"/>
  <c r="AX411" i="10"/>
  <c r="AW411" i="10"/>
  <c r="AK411" i="10"/>
  <c r="AJ411" i="10"/>
  <c r="AI411" i="10"/>
  <c r="AX412" i="10"/>
  <c r="AW412" i="10"/>
  <c r="AK412" i="10"/>
  <c r="AJ412" i="10"/>
  <c r="AI412" i="10"/>
  <c r="AX413" i="10"/>
  <c r="AW413" i="10"/>
  <c r="AV413" i="10"/>
  <c r="AU413" i="10"/>
  <c r="AT413" i="10"/>
  <c r="AS413" i="10"/>
  <c r="AR413" i="10"/>
  <c r="AQ413" i="10"/>
  <c r="AP413" i="10"/>
  <c r="AO413" i="10"/>
  <c r="AN413" i="10"/>
  <c r="AM413" i="10"/>
  <c r="AL413" i="10"/>
  <c r="AK413" i="10"/>
  <c r="AJ413" i="10"/>
  <c r="AI413" i="10"/>
  <c r="AX414" i="10"/>
  <c r="AW414" i="10"/>
  <c r="AV414" i="10"/>
  <c r="AU414" i="10"/>
  <c r="AT414" i="10"/>
  <c r="AS414" i="10"/>
  <c r="AR414" i="10"/>
  <c r="AQ414" i="10"/>
  <c r="AP414" i="10"/>
  <c r="AO414" i="10"/>
  <c r="AN414" i="10"/>
  <c r="AM414" i="10"/>
  <c r="AL414" i="10"/>
  <c r="AK414" i="10"/>
  <c r="AJ414" i="10"/>
  <c r="AI414" i="10"/>
  <c r="AX415" i="10"/>
  <c r="AW415" i="10"/>
  <c r="AK415" i="10"/>
  <c r="AJ415" i="10"/>
  <c r="AI415" i="10"/>
  <c r="AX416" i="10"/>
  <c r="AW416" i="10"/>
  <c r="AK416" i="10"/>
  <c r="AJ416" i="10"/>
  <c r="AI416" i="10"/>
  <c r="AW417" i="10"/>
  <c r="AX417" i="10"/>
  <c r="AX418" i="10"/>
  <c r="AW418" i="10"/>
  <c r="AK418" i="10"/>
  <c r="AJ418" i="10"/>
  <c r="AI418" i="10"/>
  <c r="AX419" i="10"/>
  <c r="AW419" i="10"/>
  <c r="AV419" i="10"/>
  <c r="AU419" i="10"/>
  <c r="AT419" i="10"/>
  <c r="AS419" i="10"/>
  <c r="AR419" i="10"/>
  <c r="AQ419" i="10"/>
  <c r="AP419" i="10"/>
  <c r="AO419" i="10"/>
  <c r="AN419" i="10"/>
  <c r="AM419" i="10"/>
  <c r="AL419" i="10"/>
  <c r="AK419" i="10"/>
  <c r="AJ419" i="10"/>
  <c r="AI419" i="10"/>
  <c r="AX420" i="10"/>
  <c r="AW420" i="10"/>
  <c r="AV420" i="10"/>
  <c r="AU420" i="10"/>
  <c r="AT420" i="10"/>
  <c r="AS420" i="10"/>
  <c r="AR420" i="10"/>
  <c r="AQ420" i="10"/>
  <c r="AP420" i="10"/>
  <c r="AO420" i="10"/>
  <c r="AN420" i="10"/>
  <c r="AM420" i="10"/>
  <c r="AL420" i="10"/>
  <c r="AK420" i="10"/>
  <c r="AJ420" i="10"/>
  <c r="AI420" i="10"/>
  <c r="AW421" i="10"/>
  <c r="AX421" i="10"/>
  <c r="AX422" i="10"/>
  <c r="AW422" i="10"/>
  <c r="AM422" i="10"/>
  <c r="AL422" i="10"/>
  <c r="AK422" i="10"/>
  <c r="AJ422" i="10"/>
  <c r="AI422" i="10"/>
  <c r="B633" i="10"/>
  <c r="B595" i="10" s="1"/>
  <c r="AX423" i="10"/>
  <c r="AW423" i="10"/>
  <c r="AK423" i="10"/>
  <c r="AJ423" i="10"/>
  <c r="AI423" i="10"/>
  <c r="AX424" i="10"/>
  <c r="AW424" i="10"/>
  <c r="AK424" i="10"/>
  <c r="AJ424" i="10"/>
  <c r="AI424" i="10"/>
  <c r="AX425" i="10"/>
  <c r="AW425" i="10"/>
  <c r="AK425" i="10"/>
  <c r="AJ425" i="10"/>
  <c r="AI425" i="10"/>
  <c r="AX426" i="10"/>
  <c r="AW426" i="10"/>
  <c r="AV426" i="10"/>
  <c r="AU426" i="10"/>
  <c r="AT426" i="10"/>
  <c r="AS426" i="10"/>
  <c r="AR426" i="10"/>
  <c r="AQ426" i="10"/>
  <c r="AP426" i="10"/>
  <c r="AO426" i="10"/>
  <c r="AN426" i="10"/>
  <c r="AM426" i="10"/>
  <c r="AL426" i="10"/>
  <c r="AK426" i="10"/>
  <c r="AJ426" i="10"/>
  <c r="AI426" i="10"/>
  <c r="AX427" i="10"/>
  <c r="AW427" i="10"/>
  <c r="AV427" i="10"/>
  <c r="AU427" i="10"/>
  <c r="AT427" i="10"/>
  <c r="AS427" i="10"/>
  <c r="AR427" i="10"/>
  <c r="AQ427" i="10"/>
  <c r="AP427" i="10"/>
  <c r="AO427" i="10"/>
  <c r="AN427" i="10"/>
  <c r="AM427" i="10"/>
  <c r="AL427" i="10"/>
  <c r="AK427" i="10"/>
  <c r="AJ427" i="10"/>
  <c r="AX428" i="10"/>
  <c r="AW428" i="10"/>
  <c r="AK428" i="10"/>
  <c r="AJ428" i="10"/>
  <c r="AI428" i="10"/>
  <c r="AX429" i="10"/>
  <c r="AW429" i="10"/>
  <c r="AK429" i="10"/>
  <c r="AJ429" i="10"/>
  <c r="AI429" i="10"/>
  <c r="AX430" i="10"/>
  <c r="AW430" i="10"/>
  <c r="AK430" i="10"/>
  <c r="AJ430" i="10"/>
  <c r="AI430" i="10"/>
  <c r="AX633" i="10"/>
  <c r="AW633" i="10"/>
  <c r="AV633" i="10"/>
  <c r="AU633" i="10"/>
  <c r="AT633" i="10"/>
  <c r="AS633" i="10"/>
  <c r="AR633" i="10"/>
  <c r="AQ633" i="10"/>
  <c r="AP633" i="10"/>
  <c r="AO633" i="10"/>
  <c r="AN633" i="10"/>
  <c r="AM633" i="10"/>
  <c r="AL633" i="10"/>
  <c r="AK633" i="10"/>
  <c r="AJ633" i="10"/>
  <c r="AI633" i="10"/>
  <c r="AX431" i="10"/>
  <c r="AW431" i="10"/>
  <c r="AV431" i="10"/>
  <c r="AU431" i="10"/>
  <c r="AT431" i="10"/>
  <c r="AS431" i="10"/>
  <c r="AR431" i="10"/>
  <c r="AQ431" i="10"/>
  <c r="AP431" i="10"/>
  <c r="AO431" i="10"/>
  <c r="AN431" i="10"/>
  <c r="AM431" i="10"/>
  <c r="AL431" i="10"/>
  <c r="AK431" i="10"/>
  <c r="AJ431" i="10"/>
  <c r="AI431" i="10"/>
  <c r="AX432" i="10"/>
  <c r="AW432" i="10"/>
  <c r="AV432" i="10"/>
  <c r="AU432" i="10"/>
  <c r="AT432" i="10"/>
  <c r="AS432" i="10"/>
  <c r="AR432" i="10"/>
  <c r="AQ432" i="10"/>
  <c r="AP432" i="10"/>
  <c r="AO432" i="10"/>
  <c r="AN432" i="10"/>
  <c r="AM432" i="10"/>
  <c r="AL432" i="10"/>
  <c r="AK432" i="10"/>
  <c r="AJ432" i="10"/>
  <c r="AI432" i="10"/>
  <c r="AX433" i="10"/>
  <c r="AW433" i="10"/>
  <c r="AK433" i="10"/>
  <c r="AJ433" i="10"/>
  <c r="AI433" i="10"/>
  <c r="AX434" i="10"/>
  <c r="AW434" i="10"/>
  <c r="AV434" i="10"/>
  <c r="AU434" i="10"/>
  <c r="AT434" i="10"/>
  <c r="AS434" i="10"/>
  <c r="AR434" i="10"/>
  <c r="AQ434" i="10"/>
  <c r="AP434" i="10"/>
  <c r="AO434" i="10"/>
  <c r="AN434" i="10"/>
  <c r="AM434" i="10"/>
  <c r="AL434" i="10"/>
  <c r="AK434" i="10"/>
  <c r="AJ434" i="10"/>
  <c r="AI434" i="10"/>
  <c r="AX435" i="10"/>
  <c r="AW435" i="10"/>
  <c r="AV435" i="10"/>
  <c r="AU435" i="10"/>
  <c r="AT435" i="10"/>
  <c r="AS435" i="10"/>
  <c r="AR435" i="10"/>
  <c r="AQ435" i="10"/>
  <c r="AP435" i="10"/>
  <c r="AO435" i="10"/>
  <c r="AN435" i="10"/>
  <c r="AM435" i="10"/>
  <c r="AL435" i="10"/>
  <c r="AK435" i="10"/>
  <c r="AJ435" i="10"/>
  <c r="AI435" i="10"/>
  <c r="AX436" i="10"/>
  <c r="AW436" i="10"/>
  <c r="AK436" i="10"/>
  <c r="AJ436" i="10"/>
  <c r="AI436" i="10"/>
  <c r="AX437" i="10"/>
  <c r="AW437" i="10"/>
  <c r="AK437" i="10"/>
  <c r="AJ437" i="10"/>
  <c r="AI437" i="10"/>
  <c r="AX438" i="10"/>
  <c r="AW438" i="10"/>
  <c r="AV438" i="10"/>
  <c r="AU438" i="10"/>
  <c r="AT438" i="10"/>
  <c r="AS438" i="10"/>
  <c r="AR438" i="10"/>
  <c r="AQ438" i="10"/>
  <c r="AP438" i="10"/>
  <c r="AO438" i="10"/>
  <c r="AN438" i="10"/>
  <c r="AM438" i="10"/>
  <c r="AL438" i="10"/>
  <c r="AK438" i="10"/>
  <c r="AJ438" i="10"/>
  <c r="AI438" i="10"/>
  <c r="AX439" i="10"/>
  <c r="AW439" i="10"/>
  <c r="AV439" i="10"/>
  <c r="AU439" i="10"/>
  <c r="AT439" i="10"/>
  <c r="AS439" i="10"/>
  <c r="AR439" i="10"/>
  <c r="AQ439" i="10"/>
  <c r="AP439" i="10"/>
  <c r="AO439" i="10"/>
  <c r="AN439" i="10"/>
  <c r="AM439" i="10"/>
  <c r="AL439" i="10"/>
  <c r="AK439" i="10"/>
  <c r="AJ439" i="10"/>
  <c r="AI439" i="10"/>
  <c r="AX441" i="10"/>
  <c r="AW441" i="10"/>
  <c r="AK441" i="10"/>
  <c r="AJ441" i="10"/>
  <c r="AI441" i="10"/>
  <c r="AX440" i="10"/>
  <c r="AW440" i="10"/>
  <c r="AK440" i="10"/>
  <c r="AJ440" i="10"/>
  <c r="AI440" i="10"/>
  <c r="AX442" i="10"/>
  <c r="AW442" i="10"/>
  <c r="AV442" i="10"/>
  <c r="AU442" i="10"/>
  <c r="AT442" i="10"/>
  <c r="AS442" i="10"/>
  <c r="AR442" i="10"/>
  <c r="AQ442" i="10"/>
  <c r="AP442" i="10"/>
  <c r="AO442" i="10"/>
  <c r="AN442" i="10"/>
  <c r="AM442" i="10"/>
  <c r="AL442" i="10"/>
  <c r="AK442" i="10"/>
  <c r="AJ442" i="10"/>
  <c r="AI442" i="10"/>
  <c r="AQ137" i="45"/>
  <c r="AO137" i="45"/>
  <c r="AQ138" i="45"/>
  <c r="AO138" i="45"/>
  <c r="AQ139" i="45"/>
  <c r="AO139" i="45"/>
  <c r="AQ140" i="45"/>
  <c r="AO140" i="45"/>
  <c r="AQ141" i="45"/>
  <c r="AO141" i="45"/>
  <c r="AX443" i="10"/>
  <c r="AW443" i="10"/>
  <c r="AK443" i="10"/>
  <c r="AJ443" i="10"/>
  <c r="AI443" i="10"/>
  <c r="AI585" i="10"/>
  <c r="AD150" i="45"/>
  <c r="AH139" i="45"/>
  <c r="AF139" i="45"/>
  <c r="AD139" i="45"/>
  <c r="AI581" i="10"/>
  <c r="AD149" i="45"/>
  <c r="AF20" i="43" s="1"/>
  <c r="AH138" i="45"/>
  <c r="AF138" i="45"/>
  <c r="AD138" i="45"/>
  <c r="AI563" i="10"/>
  <c r="AH137" i="45"/>
  <c r="AF137" i="45"/>
  <c r="AD137" i="45"/>
  <c r="AI539" i="10"/>
  <c r="Y137" i="45"/>
  <c r="W137" i="45"/>
  <c r="U137" i="45"/>
  <c r="AI538" i="10"/>
  <c r="Y149" i="45"/>
  <c r="W149" i="45"/>
  <c r="U149" i="45"/>
  <c r="W20" i="43" s="1"/>
  <c r="Y138" i="45"/>
  <c r="W138" i="45"/>
  <c r="U138" i="45"/>
  <c r="AI516" i="10"/>
  <c r="P150" i="45"/>
  <c r="N150" i="45"/>
  <c r="L150" i="45"/>
  <c r="O20" i="43" s="1"/>
  <c r="P139" i="45"/>
  <c r="L139" i="45"/>
  <c r="N139" i="45"/>
  <c r="AI473" i="10"/>
  <c r="AD152" i="45"/>
  <c r="AH141" i="45"/>
  <c r="AF141" i="45"/>
  <c r="AD141" i="45"/>
  <c r="AI468" i="10"/>
  <c r="AM137" i="45"/>
  <c r="P137" i="45"/>
  <c r="L137" i="45"/>
  <c r="N137" i="45"/>
  <c r="G137" i="45"/>
  <c r="E137" i="45"/>
  <c r="C137" i="45"/>
  <c r="Y151" i="45"/>
  <c r="W151" i="45"/>
  <c r="U151" i="45"/>
  <c r="Y140" i="45"/>
  <c r="W140" i="45"/>
  <c r="U140" i="45"/>
  <c r="P152" i="45"/>
  <c r="N152" i="45"/>
  <c r="L152" i="45"/>
  <c r="Q20" i="43" s="1"/>
  <c r="P141" i="45"/>
  <c r="L141" i="45"/>
  <c r="N141" i="45"/>
  <c r="AM138" i="45"/>
  <c r="AQ149" i="45"/>
  <c r="AO149" i="45"/>
  <c r="AM149" i="45"/>
  <c r="AH149" i="45"/>
  <c r="AF149" i="45"/>
  <c r="P149" i="45"/>
  <c r="N149" i="45"/>
  <c r="L149" i="45"/>
  <c r="N20" i="43" s="1"/>
  <c r="G149" i="45"/>
  <c r="E149" i="45"/>
  <c r="C149" i="45"/>
  <c r="P138" i="45"/>
  <c r="L138" i="45"/>
  <c r="N138" i="45"/>
  <c r="G138" i="45"/>
  <c r="E138" i="45"/>
  <c r="C138" i="45"/>
  <c r="AM139" i="45"/>
  <c r="AQ150" i="45"/>
  <c r="AO150" i="45"/>
  <c r="AM150" i="45"/>
  <c r="AH150" i="45"/>
  <c r="AF150" i="45"/>
  <c r="Y150" i="45"/>
  <c r="W150" i="45"/>
  <c r="U150" i="45"/>
  <c r="G150" i="45"/>
  <c r="E150" i="45"/>
  <c r="C150" i="45"/>
  <c r="Y139" i="45"/>
  <c r="W139" i="45"/>
  <c r="U139" i="45"/>
  <c r="G139" i="45"/>
  <c r="E139" i="45"/>
  <c r="C139" i="45"/>
  <c r="AM140" i="45"/>
  <c r="P151" i="45"/>
  <c r="N151" i="45"/>
  <c r="L151" i="45"/>
  <c r="P20" i="43" s="1"/>
  <c r="P140" i="45"/>
  <c r="L140" i="45"/>
  <c r="N140" i="45"/>
  <c r="AM141" i="45"/>
  <c r="AQ152" i="45"/>
  <c r="AO152" i="45"/>
  <c r="AM152" i="45"/>
  <c r="AH152" i="45"/>
  <c r="AF152" i="45"/>
  <c r="Y152" i="45"/>
  <c r="W152" i="45"/>
  <c r="U152" i="45"/>
  <c r="G152" i="45"/>
  <c r="E152" i="45"/>
  <c r="C152" i="45"/>
  <c r="Y141" i="45"/>
  <c r="W141" i="45"/>
  <c r="U141" i="45"/>
  <c r="G141" i="45"/>
  <c r="E141" i="45"/>
  <c r="C141" i="45"/>
  <c r="AX444" i="10"/>
  <c r="AW444" i="10"/>
  <c r="AK444" i="10"/>
  <c r="AJ444" i="10"/>
  <c r="AI444" i="10"/>
  <c r="AI467" i="10"/>
  <c r="AQ151" i="45"/>
  <c r="AO151" i="45"/>
  <c r="AM151" i="45"/>
  <c r="AH151" i="45"/>
  <c r="AF151" i="45"/>
  <c r="AD151" i="45"/>
  <c r="G151" i="45"/>
  <c r="E151" i="45"/>
  <c r="C151" i="45"/>
  <c r="AH140" i="45"/>
  <c r="AF140" i="45"/>
  <c r="AD140" i="45"/>
  <c r="G140" i="45"/>
  <c r="E140" i="45"/>
  <c r="C140" i="45"/>
  <c r="AX445" i="10"/>
  <c r="AW445" i="10"/>
  <c r="AK445" i="10"/>
  <c r="AJ445" i="10"/>
  <c r="AI445" i="10"/>
  <c r="AX446" i="10"/>
  <c r="AW446" i="10"/>
  <c r="AK446" i="10"/>
  <c r="AJ446" i="10"/>
  <c r="AI446" i="10"/>
  <c r="AX447" i="10"/>
  <c r="AW447" i="10"/>
  <c r="AK447" i="10"/>
  <c r="AJ447" i="10"/>
  <c r="AI447" i="10"/>
  <c r="AX448" i="10"/>
  <c r="AW448" i="10"/>
  <c r="AK448" i="10"/>
  <c r="AJ448" i="10"/>
  <c r="AI448" i="10"/>
  <c r="AX449" i="10"/>
  <c r="AW449" i="10"/>
  <c r="AK449" i="10"/>
  <c r="AJ449" i="10"/>
  <c r="AI449" i="10"/>
  <c r="AX450" i="10"/>
  <c r="AW450" i="10"/>
  <c r="AK450" i="10"/>
  <c r="AJ450" i="10"/>
  <c r="AI450" i="10"/>
  <c r="AX451" i="10"/>
  <c r="AW451" i="10"/>
  <c r="AK451" i="10"/>
  <c r="AJ451" i="10"/>
  <c r="AI451" i="10"/>
  <c r="AK826" i="10"/>
  <c r="AJ1958" i="10"/>
  <c r="AO1156" i="10"/>
  <c r="AU872" i="10"/>
  <c r="AM1017" i="10"/>
  <c r="AV2700" i="10"/>
  <c r="AX1017" i="10"/>
  <c r="AK959" i="10"/>
  <c r="AN899" i="10"/>
  <c r="AR1376" i="10"/>
  <c r="AX757" i="10"/>
  <c r="AS789" i="10"/>
  <c r="AU1094" i="10"/>
  <c r="AN1156" i="10"/>
  <c r="AW1122" i="10"/>
  <c r="AW757" i="10"/>
  <c r="AN1017" i="10"/>
  <c r="AT1122" i="10"/>
  <c r="AJ929" i="10"/>
  <c r="AN757" i="10"/>
  <c r="AQ1067" i="10"/>
  <c r="AO2253" i="10"/>
  <c r="AM757" i="10"/>
  <c r="AS854" i="10"/>
  <c r="AJ1122" i="10"/>
  <c r="AP982" i="10"/>
  <c r="AV872" i="10"/>
  <c r="AU1260" i="10"/>
  <c r="AJ948" i="10"/>
  <c r="AN912" i="10"/>
  <c r="AX936" i="10"/>
  <c r="AN1167" i="10"/>
  <c r="AM1167" i="10"/>
  <c r="AX452" i="10"/>
  <c r="AW452" i="10"/>
  <c r="AV452" i="10"/>
  <c r="AU452" i="10"/>
  <c r="AT452" i="10"/>
  <c r="AS452" i="10"/>
  <c r="AR452" i="10"/>
  <c r="AQ452" i="10"/>
  <c r="AP452" i="10"/>
  <c r="AO452" i="10"/>
  <c r="AN452" i="10"/>
  <c r="AM452" i="10"/>
  <c r="AL452" i="10"/>
  <c r="AK452" i="10"/>
  <c r="AJ452" i="10"/>
  <c r="AI452" i="10"/>
  <c r="AX453" i="10"/>
  <c r="AW453" i="10"/>
  <c r="AK453" i="10"/>
  <c r="AJ453" i="10"/>
  <c r="AI453" i="10"/>
  <c r="AX454" i="10"/>
  <c r="AW454" i="10"/>
  <c r="AK454" i="10"/>
  <c r="AJ454" i="10"/>
  <c r="AI454" i="10"/>
  <c r="AX529" i="10"/>
  <c r="AW529" i="10"/>
  <c r="AV529" i="10"/>
  <c r="AU529" i="10"/>
  <c r="AT529" i="10"/>
  <c r="AS529" i="10"/>
  <c r="AR529" i="10"/>
  <c r="AQ529" i="10"/>
  <c r="AP529" i="10"/>
  <c r="AO529" i="10"/>
  <c r="AN529" i="10"/>
  <c r="AM529" i="10"/>
  <c r="AL529" i="10"/>
  <c r="AK529" i="10"/>
  <c r="AJ529" i="10"/>
  <c r="AI529" i="10"/>
  <c r="AX455" i="10"/>
  <c r="AW455" i="10"/>
  <c r="AK455" i="10"/>
  <c r="AJ455" i="10"/>
  <c r="AI455" i="10"/>
  <c r="AX456" i="10"/>
  <c r="AW456" i="10"/>
  <c r="AK456" i="10"/>
  <c r="AJ456" i="10"/>
  <c r="AI456" i="10"/>
  <c r="AX457" i="10"/>
  <c r="AW457" i="10"/>
  <c r="AK457" i="10"/>
  <c r="AJ457" i="10"/>
  <c r="AI457" i="10"/>
  <c r="AX458" i="10"/>
  <c r="AW458" i="10"/>
  <c r="AK458" i="10"/>
  <c r="AJ458" i="10"/>
  <c r="AI458" i="10"/>
  <c r="AX459" i="10"/>
  <c r="AW459" i="10"/>
  <c r="AK459" i="10"/>
  <c r="AJ459" i="10"/>
  <c r="AI459" i="10"/>
  <c r="AR1089" i="10"/>
  <c r="AI1089" i="10"/>
  <c r="AT1086" i="10"/>
  <c r="AI1086" i="10"/>
  <c r="AQ1082" i="10"/>
  <c r="AI1082" i="10"/>
  <c r="AJ1072" i="10"/>
  <c r="AI1072" i="10"/>
  <c r="AM1069" i="10"/>
  <c r="AI1069" i="10"/>
  <c r="AO1067" i="10"/>
  <c r="AI1067" i="10"/>
  <c r="AR1066" i="10"/>
  <c r="AI1066" i="10"/>
  <c r="AM1060" i="10"/>
  <c r="AI1060" i="10"/>
  <c r="AW1050" i="10"/>
  <c r="AI1050" i="10"/>
  <c r="AQ1046" i="10"/>
  <c r="AI1046" i="10"/>
  <c r="AJ1045" i="10"/>
  <c r="AI1045" i="10"/>
  <c r="AM1041" i="10"/>
  <c r="AI1041" i="10"/>
  <c r="AW1039" i="10"/>
  <c r="AI1039" i="10"/>
  <c r="AU1038" i="10"/>
  <c r="AI1038" i="10"/>
  <c r="AL1033" i="10"/>
  <c r="AI1033" i="10"/>
  <c r="AJ1029" i="10"/>
  <c r="AI1029" i="10"/>
  <c r="AJ1028" i="10"/>
  <c r="AI1028" i="10"/>
  <c r="AK1027" i="10"/>
  <c r="AI1027" i="10"/>
  <c r="AW1024" i="10"/>
  <c r="AI1024" i="10"/>
  <c r="AK1020" i="10"/>
  <c r="AI1020" i="10"/>
  <c r="AJ1018" i="10"/>
  <c r="AI1018" i="10"/>
  <c r="AK1017" i="10"/>
  <c r="AI1017" i="10"/>
  <c r="AP1011" i="10"/>
  <c r="AI1011" i="10"/>
  <c r="AM1010" i="10"/>
  <c r="AI1010" i="10"/>
  <c r="AK1007" i="10"/>
  <c r="AI1007" i="10"/>
  <c r="AU1006" i="10"/>
  <c r="AI1006" i="10"/>
  <c r="AX1001" i="10"/>
  <c r="AI1001" i="10"/>
  <c r="AK1000" i="10"/>
  <c r="AI1000" i="10"/>
  <c r="AJ999" i="10"/>
  <c r="AI999" i="10"/>
  <c r="AO998" i="10"/>
  <c r="AI998" i="10"/>
  <c r="AT996" i="10"/>
  <c r="AI996" i="10"/>
  <c r="AL995" i="10"/>
  <c r="AI995" i="10"/>
  <c r="AN992" i="10"/>
  <c r="AI992" i="10"/>
  <c r="AP990" i="10"/>
  <c r="AI990" i="10"/>
  <c r="AV989" i="10"/>
  <c r="AI989" i="10"/>
  <c r="AJ988" i="10"/>
  <c r="AI988" i="10"/>
  <c r="AS984" i="10"/>
  <c r="AI984" i="10"/>
  <c r="AR983" i="10"/>
  <c r="AI983" i="10"/>
  <c r="AU982" i="10"/>
  <c r="AI982" i="10"/>
  <c r="AR981" i="10"/>
  <c r="AI981" i="10"/>
  <c r="AJ980" i="10"/>
  <c r="AI980" i="10"/>
  <c r="AK978" i="10"/>
  <c r="AI978" i="10"/>
  <c r="AQ976" i="10"/>
  <c r="AI976" i="10"/>
  <c r="AW970" i="10"/>
  <c r="AI970" i="10"/>
  <c r="AJ969" i="10"/>
  <c r="AI969" i="10"/>
  <c r="AP965" i="10"/>
  <c r="AI965" i="10"/>
  <c r="AP964" i="10"/>
  <c r="AI964" i="10"/>
  <c r="AW959" i="10"/>
  <c r="AI959" i="10"/>
  <c r="AT958" i="10"/>
  <c r="AI958" i="10"/>
  <c r="AJ952" i="10"/>
  <c r="AI952" i="10"/>
  <c r="AJ947" i="10"/>
  <c r="AI947" i="10"/>
  <c r="AX942" i="10"/>
  <c r="AI942" i="10"/>
  <c r="AX937" i="10"/>
  <c r="AI937" i="10"/>
  <c r="AK936" i="10"/>
  <c r="AI936" i="10"/>
  <c r="AO929" i="10"/>
  <c r="AI929" i="10"/>
  <c r="AM926" i="10"/>
  <c r="AI926" i="10"/>
  <c r="AT924" i="10"/>
  <c r="AI924" i="10"/>
  <c r="AQ923" i="10"/>
  <c r="AI923" i="10"/>
  <c r="AN922" i="10"/>
  <c r="AI922" i="10"/>
  <c r="AP921" i="10"/>
  <c r="AI921" i="10"/>
  <c r="AW920" i="10"/>
  <c r="AI920" i="10"/>
  <c r="AN919" i="10"/>
  <c r="AI919" i="10"/>
  <c r="AL918" i="10"/>
  <c r="AI918" i="10"/>
  <c r="AX916" i="10"/>
  <c r="AI916" i="10"/>
  <c r="AQ910" i="10"/>
  <c r="AI910" i="10"/>
  <c r="AQ912" i="10"/>
  <c r="AI912" i="10"/>
  <c r="AT909" i="10"/>
  <c r="AI909" i="10"/>
  <c r="AK908" i="10"/>
  <c r="AI908" i="10"/>
  <c r="AP907" i="10"/>
  <c r="AI907" i="10"/>
  <c r="AN905" i="10"/>
  <c r="AI905" i="10"/>
  <c r="AK904" i="10"/>
  <c r="AI904" i="10"/>
  <c r="AJ900" i="10"/>
  <c r="AI900" i="10"/>
  <c r="AT899" i="10"/>
  <c r="AI899" i="10"/>
  <c r="AO895" i="10"/>
  <c r="AI895" i="10"/>
  <c r="AL894" i="10"/>
  <c r="AI894" i="10"/>
  <c r="AJ893" i="10"/>
  <c r="AI893" i="10"/>
  <c r="AJ892" i="10"/>
  <c r="AI892" i="10"/>
  <c r="AK889" i="10"/>
  <c r="AI889" i="10"/>
  <c r="AK888" i="10"/>
  <c r="AI888" i="10"/>
  <c r="AS887" i="10"/>
  <c r="AI887" i="10"/>
  <c r="AQ885" i="10"/>
  <c r="AI885" i="10"/>
  <c r="AX884" i="10"/>
  <c r="AI884" i="10"/>
  <c r="AM883" i="10"/>
  <c r="AI883" i="10"/>
  <c r="AJ882" i="10"/>
  <c r="AI882" i="10"/>
  <c r="AQ881" i="10"/>
  <c r="AI881" i="10"/>
  <c r="AJ880" i="10"/>
  <c r="AI880" i="10"/>
  <c r="AJ879" i="10"/>
  <c r="AI879" i="10"/>
  <c r="AK877" i="10"/>
  <c r="AI877" i="10"/>
  <c r="AO875" i="10"/>
  <c r="AI875" i="10"/>
  <c r="AP874" i="10"/>
  <c r="AI874" i="10"/>
  <c r="AO873" i="10"/>
  <c r="AI873" i="10"/>
  <c r="AS872" i="10"/>
  <c r="AI872" i="10"/>
  <c r="AK871" i="10"/>
  <c r="AI871" i="10"/>
  <c r="AL870" i="10"/>
  <c r="AI870" i="10"/>
  <c r="AU869" i="10"/>
  <c r="AI869" i="10"/>
  <c r="AT868" i="10"/>
  <c r="AI868" i="10"/>
  <c r="AO867" i="10"/>
  <c r="AI867" i="10"/>
  <c r="AM866" i="10"/>
  <c r="AI866" i="10"/>
  <c r="AN865" i="10"/>
  <c r="AI865" i="10"/>
  <c r="AQ864" i="10"/>
  <c r="AI864" i="10"/>
  <c r="AV863" i="10"/>
  <c r="AI863" i="10"/>
  <c r="AK862" i="10"/>
  <c r="AI862" i="10"/>
  <c r="AW861" i="10"/>
  <c r="AI861" i="10"/>
  <c r="AN860" i="10"/>
  <c r="AI860" i="10"/>
  <c r="AT859" i="10"/>
  <c r="AI859" i="10"/>
  <c r="AU856" i="10"/>
  <c r="AI856" i="10"/>
  <c r="AU855" i="10"/>
  <c r="AI855" i="10"/>
  <c r="AV854" i="10"/>
  <c r="AI854" i="10"/>
  <c r="AK853" i="10"/>
  <c r="AI853" i="10"/>
  <c r="AQ852" i="10"/>
  <c r="AI852" i="10"/>
  <c r="AQ850" i="10"/>
  <c r="AI850" i="10"/>
  <c r="AX849" i="10"/>
  <c r="AI849" i="10"/>
  <c r="AV848" i="10"/>
  <c r="AI848" i="10"/>
  <c r="AQ846" i="10"/>
  <c r="AI846" i="10"/>
  <c r="AS844" i="10"/>
  <c r="AI844" i="10"/>
  <c r="AX842" i="10"/>
  <c r="AI842" i="10"/>
  <c r="AS841" i="10"/>
  <c r="AI841" i="10"/>
  <c r="AX840" i="10"/>
  <c r="AI840" i="10"/>
  <c r="AJ839" i="10"/>
  <c r="AI839" i="10"/>
  <c r="AW838" i="10"/>
  <c r="AI838" i="10"/>
  <c r="AK833" i="10"/>
  <c r="AI833" i="10"/>
  <c r="AJ832" i="10"/>
  <c r="AI832" i="10"/>
  <c r="AJ830" i="10"/>
  <c r="AI830" i="10"/>
  <c r="AJ827" i="10"/>
  <c r="AI827" i="10"/>
  <c r="AS826" i="10"/>
  <c r="AI826" i="10"/>
  <c r="AX825" i="10"/>
  <c r="AI825" i="10"/>
  <c r="AW824" i="10"/>
  <c r="AI824" i="10"/>
  <c r="AJ820" i="10"/>
  <c r="AI820" i="10"/>
  <c r="AN818" i="10"/>
  <c r="AI818" i="10"/>
  <c r="AS817" i="10"/>
  <c r="AI817" i="10"/>
  <c r="AJ816" i="10"/>
  <c r="AI816" i="10"/>
  <c r="AX815" i="10"/>
  <c r="AI815" i="10"/>
  <c r="AJ814" i="10"/>
  <c r="AI814" i="10"/>
  <c r="AO813" i="10"/>
  <c r="AI813" i="10"/>
  <c r="AM810" i="10"/>
  <c r="AI810" i="10"/>
  <c r="AK812" i="10"/>
  <c r="AI812" i="10"/>
  <c r="AK809" i="10"/>
  <c r="AI809" i="10"/>
  <c r="AK805" i="10"/>
  <c r="AI805" i="10"/>
  <c r="AJ804" i="10"/>
  <c r="AI804" i="10"/>
  <c r="AW803" i="10"/>
  <c r="AI803" i="10"/>
  <c r="AJ802" i="10"/>
  <c r="AI802" i="10"/>
  <c r="AK800" i="10"/>
  <c r="AI800" i="10"/>
  <c r="AS799" i="10"/>
  <c r="AI799" i="10"/>
  <c r="AX796" i="10"/>
  <c r="AI796" i="10"/>
  <c r="AK795" i="10"/>
  <c r="AI795" i="10"/>
  <c r="AQ790" i="10"/>
  <c r="AI790" i="10"/>
  <c r="AO789" i="10"/>
  <c r="AI789" i="10"/>
  <c r="AS788" i="10"/>
  <c r="AI788" i="10"/>
  <c r="AK786" i="10"/>
  <c r="AI786" i="10"/>
  <c r="AK784" i="10"/>
  <c r="AI784" i="10"/>
  <c r="AJ783" i="10"/>
  <c r="AI783" i="10"/>
  <c r="AW775" i="10"/>
  <c r="AI775" i="10"/>
  <c r="AU777" i="10"/>
  <c r="AI777" i="10"/>
  <c r="AM781" i="10"/>
  <c r="AI781" i="10"/>
  <c r="AK792" i="10"/>
  <c r="AI792" i="10"/>
  <c r="AK837" i="10"/>
  <c r="AI837" i="10"/>
  <c r="AU857" i="10"/>
  <c r="AI857" i="10"/>
  <c r="AO911" i="10"/>
  <c r="AI911" i="10"/>
  <c r="AL769" i="10"/>
  <c r="AI769" i="10"/>
  <c r="AJ768" i="10"/>
  <c r="AI768" i="10"/>
  <c r="AW763" i="10"/>
  <c r="AI763" i="10"/>
  <c r="AJ761" i="10"/>
  <c r="AI761" i="10"/>
  <c r="AK759" i="10"/>
  <c r="AI759" i="10"/>
  <c r="AK758" i="10"/>
  <c r="AI758" i="10"/>
  <c r="AS757" i="10"/>
  <c r="AI757" i="10"/>
  <c r="AX752" i="10"/>
  <c r="AI752" i="10"/>
  <c r="AJ751" i="10"/>
  <c r="AI751" i="10"/>
  <c r="AJ748" i="10"/>
  <c r="AI748" i="10"/>
  <c r="AJ747" i="10"/>
  <c r="AI747" i="10"/>
  <c r="AM746" i="10"/>
  <c r="AI746" i="10"/>
  <c r="AQ745" i="10"/>
  <c r="AI745" i="10"/>
  <c r="AJ741" i="10"/>
  <c r="AI741" i="10"/>
  <c r="AJ735" i="10"/>
  <c r="AI735" i="10"/>
  <c r="AJ734" i="10"/>
  <c r="AI734" i="10"/>
  <c r="AJ732" i="10"/>
  <c r="AI732" i="10"/>
  <c r="AJ729" i="10"/>
  <c r="AI729" i="10"/>
  <c r="AU731" i="10"/>
  <c r="AI731" i="10"/>
  <c r="AS727" i="10"/>
  <c r="AI727" i="10"/>
  <c r="AQ726" i="10"/>
  <c r="AI726" i="10"/>
  <c r="AP723" i="10"/>
  <c r="AI723" i="10"/>
  <c r="AR722" i="10"/>
  <c r="AI722" i="10"/>
  <c r="AX719" i="10"/>
  <c r="AI719" i="10"/>
  <c r="AU718" i="10"/>
  <c r="AI718" i="10"/>
  <c r="AT715" i="10"/>
  <c r="AI715" i="10"/>
  <c r="AW713" i="10"/>
  <c r="AI713" i="10"/>
  <c r="AX712" i="10"/>
  <c r="AI712" i="10"/>
  <c r="AJ709" i="10"/>
  <c r="AI709" i="10"/>
  <c r="AX705" i="10"/>
  <c r="AI705" i="10"/>
  <c r="AX701" i="10"/>
  <c r="AI701" i="10"/>
  <c r="AW698" i="10"/>
  <c r="AI698" i="10"/>
  <c r="AJ697" i="10"/>
  <c r="AI697" i="10"/>
  <c r="AK694" i="10"/>
  <c r="AI694" i="10"/>
  <c r="AU691" i="10"/>
  <c r="AI691" i="10"/>
  <c r="AX685" i="10"/>
  <c r="AI685" i="10"/>
  <c r="AP684" i="10"/>
  <c r="AI684" i="10"/>
  <c r="AS683" i="10"/>
  <c r="AI683" i="10"/>
  <c r="AX680" i="10"/>
  <c r="AI680" i="10"/>
  <c r="AX674" i="10"/>
  <c r="AI674" i="10"/>
  <c r="AQ672" i="10"/>
  <c r="AI672" i="10"/>
  <c r="AL671" i="10"/>
  <c r="AI671" i="10"/>
  <c r="AJ670" i="10"/>
  <c r="AI670" i="10"/>
  <c r="AL666" i="10"/>
  <c r="AI666" i="10"/>
  <c r="AJ660" i="10"/>
  <c r="AI660" i="10"/>
  <c r="AJ652" i="10"/>
  <c r="AI652" i="10"/>
  <c r="AJ628" i="10"/>
  <c r="AI628" i="10"/>
  <c r="AL617" i="10"/>
  <c r="AI617" i="10"/>
  <c r="AJ616" i="10"/>
  <c r="AI616" i="10"/>
  <c r="AJ615" i="10"/>
  <c r="AI615" i="10"/>
  <c r="AK614" i="10"/>
  <c r="AI614" i="10"/>
  <c r="AK607" i="10"/>
  <c r="AI607" i="10"/>
  <c r="AQ587" i="10"/>
  <c r="AI587" i="10"/>
  <c r="AK562" i="10"/>
  <c r="AI562" i="10"/>
  <c r="AJ561" i="10"/>
  <c r="AI561" i="10"/>
  <c r="AW560" i="10"/>
  <c r="AI560" i="10"/>
  <c r="AJ487" i="10"/>
  <c r="AI487" i="10"/>
  <c r="AK484" i="10"/>
  <c r="AI484" i="10"/>
  <c r="AK483" i="10"/>
  <c r="AI483" i="10"/>
  <c r="AX460" i="10"/>
  <c r="AW460" i="10"/>
  <c r="AV460" i="10"/>
  <c r="AU460" i="10"/>
  <c r="AT460" i="10"/>
  <c r="AS460" i="10"/>
  <c r="AR460" i="10"/>
  <c r="AQ460" i="10"/>
  <c r="AP460" i="10"/>
  <c r="AO460" i="10"/>
  <c r="AN460" i="10"/>
  <c r="AM460" i="10"/>
  <c r="AL460" i="10"/>
  <c r="AK460" i="10"/>
  <c r="AJ460" i="10"/>
  <c r="AI460" i="10"/>
  <c r="AX461" i="10"/>
  <c r="AW461" i="10"/>
  <c r="AK461" i="10"/>
  <c r="AJ461" i="10"/>
  <c r="AX462" i="10"/>
  <c r="AW462" i="10"/>
  <c r="AV462" i="10"/>
  <c r="AU462" i="10"/>
  <c r="AT462" i="10"/>
  <c r="AS462" i="10"/>
  <c r="AR462" i="10"/>
  <c r="AQ462" i="10"/>
  <c r="AP462" i="10"/>
  <c r="AO462" i="10"/>
  <c r="AN462" i="10"/>
  <c r="AM462" i="10"/>
  <c r="AL462" i="10"/>
  <c r="AK462" i="10"/>
  <c r="AJ462" i="10"/>
  <c r="AX463" i="10"/>
  <c r="AW463" i="10"/>
  <c r="AV463" i="10"/>
  <c r="AU463" i="10"/>
  <c r="AT463" i="10"/>
  <c r="AS463" i="10"/>
  <c r="AR463" i="10"/>
  <c r="AQ463" i="10"/>
  <c r="AP463" i="10"/>
  <c r="AO463" i="10"/>
  <c r="AN463" i="10"/>
  <c r="AM463" i="10"/>
  <c r="AL463" i="10"/>
  <c r="AK463" i="10"/>
  <c r="AJ463" i="10"/>
  <c r="AX464" i="10"/>
  <c r="AW464" i="10"/>
  <c r="AV464" i="10"/>
  <c r="AU464" i="10"/>
  <c r="AT464" i="10"/>
  <c r="AS464" i="10"/>
  <c r="AR464" i="10"/>
  <c r="AQ464" i="10"/>
  <c r="AP464" i="10"/>
  <c r="AO464" i="10"/>
  <c r="AN464" i="10"/>
  <c r="AM464" i="10"/>
  <c r="AL464" i="10"/>
  <c r="AK464" i="10"/>
  <c r="AJ464" i="10"/>
  <c r="AX465" i="10"/>
  <c r="AW465" i="10"/>
  <c r="AK465" i="10"/>
  <c r="AJ465" i="10"/>
  <c r="AW466" i="10"/>
  <c r="AX466" i="10"/>
  <c r="AX467" i="10"/>
  <c r="AW467" i="10"/>
  <c r="AK467" i="10"/>
  <c r="AJ467" i="10"/>
  <c r="AX468" i="10"/>
  <c r="AW468" i="10"/>
  <c r="AV468" i="10"/>
  <c r="AU468" i="10"/>
  <c r="AT468" i="10"/>
  <c r="AS468" i="10"/>
  <c r="AR468" i="10"/>
  <c r="AQ468" i="10"/>
  <c r="AP468" i="10"/>
  <c r="AO468" i="10"/>
  <c r="AN468" i="10"/>
  <c r="AM468" i="10"/>
  <c r="AL468" i="10"/>
  <c r="AK468" i="10"/>
  <c r="AJ468" i="10"/>
  <c r="AX469" i="10"/>
  <c r="AW469" i="10"/>
  <c r="AM469" i="10"/>
  <c r="AL469" i="10"/>
  <c r="AK469" i="10"/>
  <c r="AJ469" i="10"/>
  <c r="AS1579" i="10"/>
  <c r="AU1315" i="10"/>
  <c r="AL726" i="10"/>
  <c r="AS850" i="10"/>
  <c r="AU1516" i="10"/>
  <c r="AS905" i="10"/>
  <c r="AN1579" i="10"/>
  <c r="AK2085" i="10"/>
  <c r="AJ861" i="10"/>
  <c r="AM726" i="10"/>
  <c r="AK1516" i="10"/>
  <c r="AU918" i="10"/>
  <c r="AO731" i="10"/>
  <c r="AT1761" i="10"/>
  <c r="AQ1747" i="10"/>
  <c r="AT731" i="10"/>
  <c r="AK1510" i="10"/>
  <c r="AX2284" i="10"/>
  <c r="AW1854" i="10"/>
  <c r="AT2399" i="10"/>
  <c r="AT1928" i="10"/>
  <c r="AP1747" i="10"/>
  <c r="AU1747" i="10"/>
  <c r="AX1761" i="10"/>
  <c r="AV857" i="10"/>
  <c r="AR2589" i="10"/>
  <c r="AN2573" i="10"/>
  <c r="AL983" i="10"/>
  <c r="AS857" i="10"/>
  <c r="AK910" i="10"/>
  <c r="AV1928" i="10"/>
  <c r="AK1747" i="10"/>
  <c r="AJ1839" i="10"/>
  <c r="AW833" i="10"/>
  <c r="AJ483" i="10"/>
  <c r="AP850" i="10"/>
  <c r="AN2399" i="10"/>
  <c r="AM855" i="10"/>
  <c r="AM2050" i="10"/>
  <c r="AO769" i="10"/>
  <c r="AJ2085" i="10"/>
  <c r="AN1928" i="10"/>
  <c r="AV1747" i="10"/>
  <c r="AJ2543" i="10"/>
  <c r="AX1993" i="10"/>
  <c r="AW812" i="10"/>
  <c r="AV873" i="10"/>
  <c r="AQ865" i="10"/>
  <c r="AW1617" i="10"/>
  <c r="AN1542" i="10"/>
  <c r="AJ855" i="10"/>
  <c r="AW1562" i="10"/>
  <c r="AU2063" i="10"/>
  <c r="AJ1747" i="10"/>
  <c r="AR1320" i="10"/>
  <c r="AL2063" i="10"/>
  <c r="AL1747" i="10"/>
  <c r="AU1839" i="10"/>
  <c r="AO850" i="10"/>
  <c r="AQ2399" i="10"/>
  <c r="AM769" i="10"/>
  <c r="AJ1562" i="10"/>
  <c r="AN2063" i="10"/>
  <c r="AL2460" i="10"/>
  <c r="AM865" i="10"/>
  <c r="AP1542" i="10"/>
  <c r="AT850" i="10"/>
  <c r="AL850" i="10"/>
  <c r="AK855" i="10"/>
  <c r="AU910" i="10"/>
  <c r="AM2594" i="10"/>
  <c r="AQ2063" i="10"/>
  <c r="AT2460" i="10"/>
  <c r="AM1255" i="10"/>
  <c r="AN1510" i="10"/>
  <c r="AO855" i="10"/>
  <c r="AL873" i="10"/>
  <c r="AK1617" i="10"/>
  <c r="AU769" i="10"/>
  <c r="AJ2063" i="10"/>
  <c r="AN2460" i="10"/>
  <c r="AJ1255" i="10"/>
  <c r="AJ833" i="10"/>
  <c r="AM731" i="10"/>
  <c r="AO2610" i="10"/>
  <c r="AN769" i="10"/>
  <c r="AJ910" i="10"/>
  <c r="AX2589" i="10"/>
  <c r="AU2680" i="10"/>
  <c r="AX2573" i="10"/>
  <c r="AU1617" i="10"/>
  <c r="AM1405" i="10"/>
  <c r="AR910" i="10"/>
  <c r="AN731" i="10"/>
  <c r="AX2610" i="10"/>
  <c r="AP855" i="10"/>
  <c r="AQ769" i="10"/>
  <c r="AS2589" i="10"/>
  <c r="AM2573" i="10"/>
  <c r="AP1405" i="10"/>
  <c r="AR2691" i="10"/>
  <c r="AX470" i="10"/>
  <c r="AW470" i="10"/>
  <c r="AK470" i="10"/>
  <c r="AJ470" i="10"/>
  <c r="AX471" i="10"/>
  <c r="AW471" i="10"/>
  <c r="AK471" i="10"/>
  <c r="AJ471" i="10"/>
  <c r="AX472" i="10"/>
  <c r="AW472" i="10"/>
  <c r="AK472" i="10"/>
  <c r="AJ472" i="10"/>
  <c r="AX473" i="10"/>
  <c r="AW473" i="10"/>
  <c r="AK473" i="10"/>
  <c r="AJ473" i="10"/>
  <c r="AX474" i="10"/>
  <c r="AW474" i="10"/>
  <c r="AK474" i="10"/>
  <c r="AJ474" i="10"/>
  <c r="AX475" i="10"/>
  <c r="AW475" i="10"/>
  <c r="AK475" i="10"/>
  <c r="AJ475" i="10"/>
  <c r="AX476" i="10"/>
  <c r="AW476" i="10"/>
  <c r="AK476" i="10"/>
  <c r="AJ476" i="10"/>
  <c r="AX478" i="10"/>
  <c r="AW478" i="10"/>
  <c r="AK478" i="10"/>
  <c r="AJ478" i="10"/>
  <c r="AX477" i="10"/>
  <c r="AW477" i="10"/>
  <c r="AK477" i="10"/>
  <c r="AJ477" i="10"/>
  <c r="AX479" i="10"/>
  <c r="AW479" i="10"/>
  <c r="AK479" i="10"/>
  <c r="AJ479" i="10"/>
  <c r="AX480" i="10"/>
  <c r="AW480" i="10"/>
  <c r="AK480" i="10"/>
  <c r="AJ480" i="10"/>
  <c r="AX481" i="10"/>
  <c r="AW481" i="10"/>
  <c r="AK481" i="10"/>
  <c r="AJ481" i="10"/>
  <c r="AX482" i="10"/>
  <c r="AW482" i="10"/>
  <c r="AK482" i="10"/>
  <c r="AJ482" i="10"/>
  <c r="AK487" i="10"/>
  <c r="AJ484" i="10"/>
  <c r="AU2610" i="10"/>
  <c r="AT1993" i="10"/>
  <c r="AW2589" i="10"/>
  <c r="AL2589" i="10"/>
  <c r="AX2460" i="10"/>
  <c r="AX2351" i="10"/>
  <c r="AS2507" i="10"/>
  <c r="AJ2507" i="10"/>
  <c r="AJ2589" i="10"/>
  <c r="AU2460" i="10"/>
  <c r="AK2460" i="10"/>
  <c r="AS2399" i="10"/>
  <c r="AR2399" i="10"/>
  <c r="AO2573" i="10"/>
  <c r="AL2180" i="10"/>
  <c r="AW483" i="10"/>
  <c r="AX483" i="10"/>
  <c r="AW484" i="10"/>
  <c r="AX484" i="10"/>
  <c r="AX485" i="10"/>
  <c r="AW485" i="10"/>
  <c r="AV485" i="10"/>
  <c r="AU485" i="10"/>
  <c r="AT485" i="10"/>
  <c r="AS485" i="10"/>
  <c r="AR485" i="10"/>
  <c r="AQ485" i="10"/>
  <c r="AP485" i="10"/>
  <c r="AO485" i="10"/>
  <c r="AN485" i="10"/>
  <c r="AM485" i="10"/>
  <c r="AL485" i="10"/>
  <c r="AK485" i="10"/>
  <c r="AJ485" i="10"/>
  <c r="AX486" i="10"/>
  <c r="AW486" i="10"/>
  <c r="AK486" i="10"/>
  <c r="AJ486" i="10"/>
  <c r="AW487" i="10"/>
  <c r="AX487" i="10"/>
  <c r="AX488" i="10"/>
  <c r="AW488" i="10"/>
  <c r="AK488" i="10"/>
  <c r="AJ488" i="10"/>
  <c r="AX489" i="10"/>
  <c r="AW489" i="10"/>
  <c r="AK489" i="10"/>
  <c r="AJ489" i="10"/>
  <c r="AX490" i="10"/>
  <c r="AW490" i="10"/>
  <c r="AK490" i="10"/>
  <c r="AJ490" i="10"/>
  <c r="AX491" i="10"/>
  <c r="AW491" i="10"/>
  <c r="AK491" i="10"/>
  <c r="AJ491" i="10"/>
  <c r="AX492" i="10"/>
  <c r="AW492" i="10"/>
  <c r="AK492" i="10"/>
  <c r="AJ492" i="10"/>
  <c r="AX493" i="10"/>
  <c r="AW493" i="10"/>
  <c r="AK493" i="10"/>
  <c r="AJ493" i="10"/>
  <c r="AX494" i="10"/>
  <c r="AW494" i="10"/>
  <c r="AK494" i="10"/>
  <c r="AJ494" i="10"/>
  <c r="AX495" i="10"/>
  <c r="AW495" i="10"/>
  <c r="AK495" i="10"/>
  <c r="AJ495" i="10"/>
  <c r="AX496" i="10"/>
  <c r="AW496" i="10"/>
  <c r="AK496" i="10"/>
  <c r="AJ496" i="10"/>
  <c r="AX497" i="10"/>
  <c r="AW497" i="10"/>
  <c r="AK497" i="10"/>
  <c r="AJ497" i="10"/>
  <c r="AX498" i="10"/>
  <c r="AW498" i="10"/>
  <c r="AK498" i="10"/>
  <c r="AJ498" i="10"/>
  <c r="AX499" i="10"/>
  <c r="AW499" i="10"/>
  <c r="AK499" i="10"/>
  <c r="AJ499" i="10"/>
  <c r="AX500" i="10"/>
  <c r="AW500" i="10"/>
  <c r="AK500" i="10"/>
  <c r="AJ500" i="10"/>
  <c r="AX501" i="10"/>
  <c r="AW501" i="10"/>
  <c r="AK501" i="10"/>
  <c r="AJ501" i="10"/>
  <c r="AX503" i="10"/>
  <c r="AW503" i="10"/>
  <c r="AK503" i="10"/>
  <c r="AJ503" i="10"/>
  <c r="AH148" i="45"/>
  <c r="AF148" i="45"/>
  <c r="AD148" i="45"/>
  <c r="Y148" i="45"/>
  <c r="W148" i="45"/>
  <c r="U148" i="45"/>
  <c r="AQ148" i="45"/>
  <c r="AO148" i="45"/>
  <c r="AM148" i="45"/>
  <c r="P148" i="45"/>
  <c r="N148" i="45"/>
  <c r="L148" i="45"/>
  <c r="G148" i="45"/>
  <c r="E148" i="45"/>
  <c r="C148" i="45"/>
  <c r="AX502" i="10"/>
  <c r="AW502" i="10"/>
  <c r="AK502" i="10"/>
  <c r="AJ502" i="10"/>
  <c r="AX504" i="10"/>
  <c r="AW504" i="10"/>
  <c r="AK504" i="10"/>
  <c r="AJ504" i="10"/>
  <c r="AX505" i="10"/>
  <c r="AW505" i="10"/>
  <c r="AK505" i="10"/>
  <c r="AJ505" i="10"/>
  <c r="AX506" i="10"/>
  <c r="AW506" i="10"/>
  <c r="AK506" i="10"/>
  <c r="AJ506" i="10"/>
  <c r="AX507" i="10"/>
  <c r="AW507" i="10"/>
  <c r="AK507" i="10"/>
  <c r="AJ507" i="10"/>
  <c r="AK700" i="10"/>
  <c r="AX508" i="10"/>
  <c r="AW508" i="10"/>
  <c r="AK508" i="10"/>
  <c r="AJ508" i="10"/>
  <c r="AX509" i="10"/>
  <c r="AW509" i="10"/>
  <c r="AV509" i="10"/>
  <c r="AU509" i="10"/>
  <c r="AT509" i="10"/>
  <c r="AS509" i="10"/>
  <c r="AR509" i="10"/>
  <c r="AQ509" i="10"/>
  <c r="AP509" i="10"/>
  <c r="AO509" i="10"/>
  <c r="AN509" i="10"/>
  <c r="AM509" i="10"/>
  <c r="AL509" i="10"/>
  <c r="AK509" i="10"/>
  <c r="AJ509" i="10"/>
  <c r="AJ1055" i="10"/>
  <c r="AM128" i="45"/>
  <c r="AM116" i="45"/>
  <c r="AK742" i="10"/>
  <c r="AM126" i="45"/>
  <c r="AM114" i="45"/>
  <c r="AK740" i="10"/>
  <c r="AM129" i="45"/>
  <c r="AM117" i="45"/>
  <c r="AM127" i="45"/>
  <c r="AM115" i="45"/>
  <c r="AT865" i="10"/>
  <c r="AJ2619" i="10"/>
  <c r="AX2696" i="10"/>
  <c r="AU885" i="10"/>
  <c r="AR905" i="10"/>
  <c r="AO2696" i="10"/>
  <c r="AT2696" i="10"/>
  <c r="AT814" i="10"/>
  <c r="AN1607" i="10"/>
  <c r="AL2696" i="10"/>
  <c r="AR2427" i="10"/>
  <c r="AL1288" i="10"/>
  <c r="AL1646" i="10"/>
  <c r="AW2696" i="10"/>
  <c r="AQ814" i="10"/>
  <c r="AR2538" i="10"/>
  <c r="AK1377" i="10"/>
  <c r="AJ1215" i="10"/>
  <c r="AQ947" i="10"/>
  <c r="AK905" i="10"/>
  <c r="AN2538" i="10"/>
  <c r="AL1969" i="10"/>
  <c r="AP1266" i="10"/>
  <c r="AN885" i="10"/>
  <c r="AP1854" i="10"/>
  <c r="AS865" i="10"/>
  <c r="AK777" i="10"/>
  <c r="AQ2538" i="10"/>
  <c r="AK885" i="10"/>
  <c r="AT885" i="10"/>
  <c r="AO885" i="10"/>
  <c r="AJ905" i="10"/>
  <c r="AT1854" i="10"/>
  <c r="AX511" i="10"/>
  <c r="AW511" i="10"/>
  <c r="AK511" i="10"/>
  <c r="AJ511" i="10"/>
  <c r="AX510" i="10"/>
  <c r="AW510" i="10"/>
  <c r="AK510" i="10"/>
  <c r="AJ510" i="10"/>
  <c r="AX512" i="10"/>
  <c r="AW512" i="10"/>
  <c r="AV512" i="10"/>
  <c r="AU512" i="10"/>
  <c r="AT512" i="10"/>
  <c r="AS512" i="10"/>
  <c r="AR512" i="10"/>
  <c r="AQ512" i="10"/>
  <c r="AP512" i="10"/>
  <c r="AO512" i="10"/>
  <c r="AN512" i="10"/>
  <c r="AM512" i="10"/>
  <c r="AL512" i="10"/>
  <c r="AK512" i="10"/>
  <c r="AJ512" i="10"/>
  <c r="AX513" i="10"/>
  <c r="AW513" i="10"/>
  <c r="AV513" i="10"/>
  <c r="AU513" i="10"/>
  <c r="AT513" i="10"/>
  <c r="AS513" i="10"/>
  <c r="AR513" i="10"/>
  <c r="AQ513" i="10"/>
  <c r="AP513" i="10"/>
  <c r="AO513" i="10"/>
  <c r="AN513" i="10"/>
  <c r="AM513" i="10"/>
  <c r="AL513" i="10"/>
  <c r="AK513" i="10"/>
  <c r="AJ513" i="10"/>
  <c r="AX514" i="10"/>
  <c r="AW514" i="10"/>
  <c r="AK514" i="10"/>
  <c r="AJ514" i="10"/>
  <c r="AX515" i="10"/>
  <c r="AW515" i="10"/>
  <c r="AK515" i="10"/>
  <c r="AJ515" i="10"/>
  <c r="AT789" i="10"/>
  <c r="AL757" i="10"/>
  <c r="AQ899" i="10"/>
  <c r="AO826" i="10"/>
  <c r="AR757" i="10"/>
  <c r="AU976" i="10"/>
  <c r="AN2094" i="10"/>
  <c r="AU789" i="10"/>
  <c r="AJ1150" i="10"/>
  <c r="AQ965" i="10"/>
  <c r="AU1150" i="10"/>
  <c r="AK976" i="10"/>
  <c r="AW929" i="10"/>
  <c r="AR982" i="10"/>
  <c r="AW1167" i="10"/>
  <c r="AJ1050" i="10"/>
  <c r="AN1067" i="10"/>
  <c r="AS1011" i="10"/>
  <c r="AT1017" i="10"/>
  <c r="AO1139" i="10"/>
  <c r="AJ775" i="10"/>
  <c r="AK838" i="10"/>
  <c r="AX1271" i="10"/>
  <c r="AN713" i="10"/>
  <c r="AR1561" i="10"/>
  <c r="AR1156" i="10"/>
  <c r="AJ936" i="10"/>
  <c r="AN1122" i="10"/>
  <c r="AS1814" i="10"/>
  <c r="AS722" i="10"/>
  <c r="AL789" i="10"/>
  <c r="AK757" i="10"/>
  <c r="AS899" i="10"/>
  <c r="AP899" i="10"/>
  <c r="AN826" i="10"/>
  <c r="AK1965" i="10"/>
  <c r="AU911" i="10"/>
  <c r="AJ838" i="10"/>
  <c r="AU826" i="10"/>
  <c r="AM899" i="10"/>
  <c r="AO713" i="10"/>
  <c r="AO2408" i="10"/>
  <c r="AW884" i="10"/>
  <c r="AM1561" i="10"/>
  <c r="AM1156" i="10"/>
  <c r="AX1122" i="10"/>
  <c r="AJ976" i="10"/>
  <c r="AP1992" i="10"/>
  <c r="AK1150" i="10"/>
  <c r="AN965" i="10"/>
  <c r="AT1611" i="10"/>
  <c r="AN1150" i="10"/>
  <c r="AK849" i="10"/>
  <c r="AS982" i="10"/>
  <c r="AP1050" i="10"/>
  <c r="AM1067" i="10"/>
  <c r="AX959" i="10"/>
  <c r="AJ1017" i="10"/>
  <c r="AR1094" i="10"/>
  <c r="AJ757" i="10"/>
  <c r="AR872" i="10"/>
  <c r="AQ872" i="10"/>
  <c r="AR826" i="10"/>
  <c r="AL854" i="10"/>
  <c r="AK820" i="10"/>
  <c r="AT911" i="10"/>
  <c r="AP713" i="10"/>
  <c r="AK884" i="10"/>
  <c r="AU1082" i="10"/>
  <c r="AU1156" i="10"/>
  <c r="AM1122" i="10"/>
  <c r="AW740" i="10"/>
  <c r="AK803" i="10"/>
  <c r="AW826" i="10"/>
  <c r="AM965" i="10"/>
  <c r="AP1611" i="10"/>
  <c r="AV1156" i="10"/>
  <c r="AS1183" i="10"/>
  <c r="AQ982" i="10"/>
  <c r="AV929" i="10"/>
  <c r="AJ1067" i="10"/>
  <c r="AT965" i="10"/>
  <c r="AX803" i="10"/>
  <c r="AX1094" i="10"/>
  <c r="AQ757" i="10"/>
  <c r="AM912" i="10"/>
  <c r="AP872" i="10"/>
  <c r="AQ826" i="10"/>
  <c r="AT872" i="10"/>
  <c r="AJ911" i="10"/>
  <c r="AP789" i="10"/>
  <c r="AJ2061" i="10"/>
  <c r="AJ740" i="10"/>
  <c r="AQ713" i="10"/>
  <c r="AX2542" i="10"/>
  <c r="AS1082" i="10"/>
  <c r="AJ1156" i="10"/>
  <c r="AP1525" i="10"/>
  <c r="AX2128" i="10"/>
  <c r="AL1122" i="10"/>
  <c r="AX1814" i="10"/>
  <c r="AX740" i="10"/>
  <c r="AO899" i="10"/>
  <c r="AU1463" i="10"/>
  <c r="AJ1139" i="10"/>
  <c r="AR2026" i="10"/>
  <c r="AK965" i="10"/>
  <c r="AX1028" i="10"/>
  <c r="AQ1150" i="10"/>
  <c r="AW1244" i="10"/>
  <c r="AJ982" i="10"/>
  <c r="AX2398" i="10"/>
  <c r="AL1067" i="10"/>
  <c r="AU1011" i="10"/>
  <c r="AJ803" i="10"/>
  <c r="AW1017" i="10"/>
  <c r="AL2089" i="10"/>
  <c r="AL1997" i="10"/>
  <c r="AK899" i="10"/>
  <c r="AR713" i="10"/>
  <c r="AK783" i="10"/>
  <c r="AM1082" i="10"/>
  <c r="AL1592" i="10"/>
  <c r="AM1814" i="10"/>
  <c r="AP2128" i="10"/>
  <c r="AQ1122" i="10"/>
  <c r="AW1911" i="10"/>
  <c r="AJ899" i="10"/>
  <c r="AX768" i="10"/>
  <c r="AL1139" i="10"/>
  <c r="AQ1760" i="10"/>
  <c r="AR965" i="10"/>
  <c r="AW1028" i="10"/>
  <c r="AX1150" i="10"/>
  <c r="AX1167" i="10"/>
  <c r="AO1050" i="10"/>
  <c r="AX1011" i="10"/>
  <c r="AW809" i="10"/>
  <c r="AL1017" i="10"/>
  <c r="AW1139" i="10"/>
  <c r="AS965" i="10"/>
  <c r="AJ965" i="10"/>
  <c r="AK1028" i="10"/>
  <c r="AO1150" i="10"/>
  <c r="AL929" i="10"/>
  <c r="AS1050" i="10"/>
  <c r="AU1167" i="10"/>
  <c r="AX1050" i="10"/>
  <c r="AO1011" i="10"/>
  <c r="AQ1287" i="10"/>
  <c r="AS1504" i="10"/>
  <c r="AJ789" i="10"/>
  <c r="AN854" i="10"/>
  <c r="AM872" i="10"/>
  <c r="AV912" i="10"/>
  <c r="AK911" i="10"/>
  <c r="AN789" i="10"/>
  <c r="AV757" i="10"/>
  <c r="AT912" i="10"/>
  <c r="AO757" i="10"/>
  <c r="AO872" i="10"/>
  <c r="AP854" i="10"/>
  <c r="AL912" i="10"/>
  <c r="AO854" i="10"/>
  <c r="AJ849" i="10"/>
  <c r="AS912" i="10"/>
  <c r="AP911" i="10"/>
  <c r="AQ789" i="10"/>
  <c r="AJ884" i="10"/>
  <c r="AJ1167" i="10"/>
  <c r="AT713" i="10"/>
  <c r="AV2501" i="10"/>
  <c r="AV1067" i="10"/>
  <c r="AT2016" i="10"/>
  <c r="AS1122" i="10"/>
  <c r="AU1691" i="10"/>
  <c r="AW912" i="10"/>
  <c r="AW1094" i="10"/>
  <c r="AK768" i="10"/>
  <c r="AJ701" i="10"/>
  <c r="AU965" i="10"/>
  <c r="AJ1039" i="10"/>
  <c r="AT1150" i="10"/>
  <c r="AP929" i="10"/>
  <c r="AX854" i="10"/>
  <c r="AQ1167" i="10"/>
  <c r="AR1050" i="10"/>
  <c r="AW854" i="10"/>
  <c r="AQ911" i="10"/>
  <c r="AV1011" i="10"/>
  <c r="AK789" i="10"/>
  <c r="AU912" i="10"/>
  <c r="AQ854" i="10"/>
  <c r="AV899" i="10"/>
  <c r="AK872" i="10"/>
  <c r="AV911" i="10"/>
  <c r="AM789" i="10"/>
  <c r="AS713" i="10"/>
  <c r="AK746" i="10"/>
  <c r="AJ1082" i="10"/>
  <c r="AV1122" i="10"/>
  <c r="AW768" i="10"/>
  <c r="AL872" i="10"/>
  <c r="AN872" i="10"/>
  <c r="AL899" i="10"/>
  <c r="AP826" i="10"/>
  <c r="AR854" i="10"/>
  <c r="AT854" i="10"/>
  <c r="AK912" i="10"/>
  <c r="AM911" i="10"/>
  <c r="AV789" i="10"/>
  <c r="AJ746" i="10"/>
  <c r="AV1167" i="10"/>
  <c r="AU713" i="10"/>
  <c r="AJ815" i="10"/>
  <c r="AO2496" i="10"/>
  <c r="AW872" i="10"/>
  <c r="AR1067" i="10"/>
  <c r="AO1449" i="10"/>
  <c r="AR1122" i="10"/>
  <c r="AK1478" i="10"/>
  <c r="AX746" i="10"/>
  <c r="AX912" i="10"/>
  <c r="AJ1094" i="10"/>
  <c r="AN1454" i="10"/>
  <c r="AK701" i="10"/>
  <c r="AV1017" i="10"/>
  <c r="AK1039" i="10"/>
  <c r="AR1150" i="10"/>
  <c r="AQ929" i="10"/>
  <c r="AL982" i="10"/>
  <c r="AK1167" i="10"/>
  <c r="AL1050" i="10"/>
  <c r="AU854" i="10"/>
  <c r="AL911" i="10"/>
  <c r="AT1011" i="10"/>
  <c r="AU1139" i="10"/>
  <c r="AW1150" i="10"/>
  <c r="AT757" i="10"/>
  <c r="AV826" i="10"/>
  <c r="AO912" i="10"/>
  <c r="AT826" i="10"/>
  <c r="AK854" i="10"/>
  <c r="AR912" i="10"/>
  <c r="AS911" i="10"/>
  <c r="AJ713" i="10"/>
  <c r="AV713" i="10"/>
  <c r="AO2506" i="10"/>
  <c r="AJ872" i="10"/>
  <c r="AU1449" i="10"/>
  <c r="AW752" i="10"/>
  <c r="AO1122" i="10"/>
  <c r="AX1875" i="10"/>
  <c r="AW746" i="10"/>
  <c r="AP912" i="10"/>
  <c r="AX826" i="10"/>
  <c r="AW701" i="10"/>
  <c r="AW815" i="10"/>
  <c r="AN1358" i="10"/>
  <c r="AM929" i="10"/>
  <c r="AM982" i="10"/>
  <c r="AS1167" i="10"/>
  <c r="AV1050" i="10"/>
  <c r="AK1067" i="10"/>
  <c r="AR911" i="10"/>
  <c r="AM1011" i="10"/>
  <c r="AQ1139" i="10"/>
  <c r="AS1156" i="10"/>
  <c r="AP757" i="10"/>
  <c r="AU899" i="10"/>
  <c r="AM854" i="10"/>
  <c r="AM826" i="10"/>
  <c r="AJ752" i="10"/>
  <c r="AK713" i="10"/>
  <c r="AJ809" i="10"/>
  <c r="AJ826" i="10"/>
  <c r="AJ1376" i="10"/>
  <c r="AU1122" i="10"/>
  <c r="AW1875" i="10"/>
  <c r="AW2128" i="10"/>
  <c r="AJ970" i="10"/>
  <c r="AW849" i="10"/>
  <c r="AK815" i="10"/>
  <c r="AX970" i="10"/>
  <c r="AR929" i="10"/>
  <c r="AO982" i="10"/>
  <c r="AO1167" i="10"/>
  <c r="AU1067" i="10"/>
  <c r="AU1017" i="10"/>
  <c r="AR1011" i="10"/>
  <c r="AL1094" i="10"/>
  <c r="AK697" i="10"/>
  <c r="AX516" i="10"/>
  <c r="AW516" i="10"/>
  <c r="AK516" i="10"/>
  <c r="AJ516" i="10"/>
  <c r="AL2294" i="10"/>
  <c r="AJ2294" i="10"/>
  <c r="AO2129" i="10"/>
  <c r="AT2129" i="10"/>
  <c r="AK1683" i="10"/>
  <c r="AT1683" i="10"/>
  <c r="AM764" i="10"/>
  <c r="AL764" i="10"/>
  <c r="AL714" i="10"/>
  <c r="AK714" i="10"/>
  <c r="AK674" i="10"/>
  <c r="AK2331" i="10"/>
  <c r="AS2533" i="10"/>
  <c r="AL2533" i="10"/>
  <c r="AT2533" i="10"/>
  <c r="AU2476" i="10"/>
  <c r="AJ2476" i="10"/>
  <c r="AM2476" i="10"/>
  <c r="AL2310" i="10"/>
  <c r="AT2310" i="10"/>
  <c r="AT2294" i="10"/>
  <c r="AJ1902" i="10"/>
  <c r="AS925" i="10"/>
  <c r="AU925" i="10"/>
  <c r="AL674" i="10"/>
  <c r="AT1908" i="10"/>
  <c r="AX2724" i="10"/>
  <c r="AR2724" i="10"/>
  <c r="AL2724" i="10"/>
  <c r="AR2465" i="10"/>
  <c r="AX2465" i="10"/>
  <c r="AJ2465" i="10"/>
  <c r="AX1828" i="10"/>
  <c r="AW1828" i="10"/>
  <c r="AQ1671" i="10"/>
  <c r="AN1671" i="10"/>
  <c r="AU1671" i="10"/>
  <c r="AP1671" i="10"/>
  <c r="AR1531" i="10"/>
  <c r="AX1531" i="10"/>
  <c r="AL1088" i="10"/>
  <c r="AJ1088" i="10"/>
  <c r="AK1073" i="10"/>
  <c r="AJ1073" i="10"/>
  <c r="AP1073" i="10"/>
  <c r="AR1062" i="10"/>
  <c r="AJ1062" i="10"/>
  <c r="AR917" i="10"/>
  <c r="AJ917" i="10"/>
  <c r="AK917" i="10"/>
  <c r="AT917" i="10"/>
  <c r="AL917" i="10"/>
  <c r="AS917" i="10"/>
  <c r="AU917" i="10"/>
  <c r="AO917" i="10"/>
  <c r="AM917" i="10"/>
  <c r="AQ917" i="10"/>
  <c r="AM915" i="10"/>
  <c r="AN915" i="10"/>
  <c r="AL915" i="10"/>
  <c r="AQ915" i="10"/>
  <c r="AR915" i="10"/>
  <c r="AK915" i="10"/>
  <c r="AV915" i="10"/>
  <c r="AW725" i="10"/>
  <c r="AK725" i="10"/>
  <c r="AJ725" i="10"/>
  <c r="AX725" i="10"/>
  <c r="AU717" i="10"/>
  <c r="AT717" i="10"/>
  <c r="AS717" i="10"/>
  <c r="AR717" i="10"/>
  <c r="AQ717" i="10"/>
  <c r="AM717" i="10"/>
  <c r="AP717" i="10"/>
  <c r="AX717" i="10"/>
  <c r="AW717" i="10"/>
  <c r="AV717" i="10"/>
  <c r="AL717" i="10"/>
  <c r="AK717" i="10"/>
  <c r="AJ717" i="10"/>
  <c r="AT2712" i="10"/>
  <c r="AO2712" i="10"/>
  <c r="AW2695" i="10"/>
  <c r="AK2695" i="10"/>
  <c r="AM2637" i="10"/>
  <c r="AS2637" i="10"/>
  <c r="AR2637" i="10"/>
  <c r="AW2632" i="10"/>
  <c r="AQ2632" i="10"/>
  <c r="AM2632" i="10"/>
  <c r="AT2632" i="10"/>
  <c r="AW2618" i="10"/>
  <c r="AS2618" i="10"/>
  <c r="AX2618" i="10"/>
  <c r="AJ2618" i="10"/>
  <c r="AV2618" i="10"/>
  <c r="AK2618" i="10"/>
  <c r="AP2618" i="10"/>
  <c r="AW2609" i="10"/>
  <c r="AP2609" i="10"/>
  <c r="AR2609" i="10"/>
  <c r="AN2609" i="10"/>
  <c r="AX2609" i="10"/>
  <c r="AJ2609" i="10"/>
  <c r="AL2609" i="10"/>
  <c r="AN1736" i="10"/>
  <c r="AQ1736" i="10"/>
  <c r="AW1736" i="10"/>
  <c r="AO1736" i="10"/>
  <c r="AT1736" i="10"/>
  <c r="AX1736" i="10"/>
  <c r="AJ1736" i="10"/>
  <c r="AV1736" i="10"/>
  <c r="AM1736" i="10"/>
  <c r="AR1736" i="10"/>
  <c r="AP1736" i="10"/>
  <c r="AK1736" i="10"/>
  <c r="AS1736" i="10"/>
  <c r="AP1970" i="10"/>
  <c r="AS860" i="10"/>
  <c r="AX670" i="10"/>
  <c r="AR2685" i="10"/>
  <c r="AK2685" i="10"/>
  <c r="AJ2685" i="10"/>
  <c r="AV2454" i="10"/>
  <c r="AS2454" i="10"/>
  <c r="AJ2454" i="10"/>
  <c r="AX2583" i="10"/>
  <c r="AV2583" i="10"/>
  <c r="AO2583" i="10"/>
  <c r="AW2487" i="10"/>
  <c r="AN2487" i="10"/>
  <c r="AM2487" i="10"/>
  <c r="AT2487" i="10"/>
  <c r="AO2487" i="10"/>
  <c r="AX2487" i="10"/>
  <c r="AL2487" i="10"/>
  <c r="AR2205" i="10"/>
  <c r="AO2205" i="10"/>
  <c r="AN1933" i="10"/>
  <c r="AK1933" i="10"/>
  <c r="AO1933" i="10"/>
  <c r="AJ1933" i="10"/>
  <c r="AT1765" i="10"/>
  <c r="AK1765" i="10"/>
  <c r="AQ1765" i="10"/>
  <c r="AO1765" i="10"/>
  <c r="AN1765" i="10"/>
  <c r="AS1765" i="10"/>
  <c r="AL1765" i="10"/>
  <c r="AX1661" i="10"/>
  <c r="AJ1661" i="10"/>
  <c r="AW1661" i="10"/>
  <c r="AW1578" i="10"/>
  <c r="AX1578" i="10"/>
  <c r="AQ1494" i="10"/>
  <c r="AJ1494" i="10"/>
  <c r="AK1494" i="10"/>
  <c r="AT1494" i="10"/>
  <c r="AV1305" i="10"/>
  <c r="AK1305" i="10"/>
  <c r="AQ1305" i="10"/>
  <c r="AX1305" i="10"/>
  <c r="AK1276" i="10"/>
  <c r="AN1276" i="10"/>
  <c r="AT1000" i="10"/>
  <c r="AU1000" i="10"/>
  <c r="AM1000" i="10"/>
  <c r="AO864" i="10"/>
  <c r="AP864" i="10"/>
  <c r="AV864" i="10"/>
  <c r="AS864" i="10"/>
  <c r="AK864" i="10"/>
  <c r="AR864" i="10"/>
  <c r="AU864" i="10"/>
  <c r="AL864" i="10"/>
  <c r="AM864" i="10"/>
  <c r="AT864" i="10"/>
  <c r="AN864" i="10"/>
  <c r="AJ864" i="10"/>
  <c r="AO678" i="10"/>
  <c r="AN678" i="10"/>
  <c r="AM678" i="10"/>
  <c r="AX678" i="10"/>
  <c r="AL678" i="10"/>
  <c r="AT678" i="10"/>
  <c r="AW678" i="10"/>
  <c r="AV678" i="10"/>
  <c r="AQ678" i="10"/>
  <c r="AU678" i="10"/>
  <c r="AS678" i="10"/>
  <c r="AR678" i="10"/>
  <c r="AJ678" i="10"/>
  <c r="AW670" i="10"/>
  <c r="AP2669" i="10"/>
  <c r="AX2669" i="10"/>
  <c r="AU2669" i="10"/>
  <c r="AV2669" i="10"/>
  <c r="AR2669" i="10"/>
  <c r="AN2669" i="10"/>
  <c r="AM2258" i="10"/>
  <c r="AV2258" i="10"/>
  <c r="AJ2258" i="10"/>
  <c r="AN2123" i="10"/>
  <c r="AJ2123" i="10"/>
  <c r="AR1886" i="10"/>
  <c r="AQ1886" i="10"/>
  <c r="AO1886" i="10"/>
  <c r="AL1886" i="10"/>
  <c r="AV1732" i="10"/>
  <c r="AK1732" i="10"/>
  <c r="AV1597" i="10"/>
  <c r="AW1597" i="10"/>
  <c r="AU1520" i="10"/>
  <c r="AJ1520" i="10"/>
  <c r="AK1520" i="10"/>
  <c r="AM1426" i="10"/>
  <c r="AW1426" i="10"/>
  <c r="AR1426" i="10"/>
  <c r="AU1299" i="10"/>
  <c r="AM1299" i="10"/>
  <c r="AO1282" i="10"/>
  <c r="AJ1282" i="10"/>
  <c r="AL1282" i="10"/>
  <c r="AM923" i="10"/>
  <c r="AK923" i="10"/>
  <c r="AO923" i="10"/>
  <c r="AL923" i="10"/>
  <c r="AV923" i="10"/>
  <c r="AS923" i="10"/>
  <c r="AN923" i="10"/>
  <c r="AR923" i="10"/>
  <c r="AP923" i="10"/>
  <c r="AJ923" i="10"/>
  <c r="AT871" i="10"/>
  <c r="AP871" i="10"/>
  <c r="AO871" i="10"/>
  <c r="AR871" i="10"/>
  <c r="AM871" i="10"/>
  <c r="AQ871" i="10"/>
  <c r="AU871" i="10"/>
  <c r="AJ871" i="10"/>
  <c r="AV871" i="10"/>
  <c r="AN871" i="10"/>
  <c r="AS871" i="10"/>
  <c r="AK860" i="10"/>
  <c r="AV860" i="10"/>
  <c r="AL860" i="10"/>
  <c r="AU860" i="10"/>
  <c r="AQ860" i="10"/>
  <c r="AP860" i="10"/>
  <c r="AT860" i="10"/>
  <c r="AR860" i="10"/>
  <c r="AV845" i="10"/>
  <c r="AN845" i="10"/>
  <c r="AQ845" i="10"/>
  <c r="AT845" i="10"/>
  <c r="AO845" i="10"/>
  <c r="AS845" i="10"/>
  <c r="AK845" i="10"/>
  <c r="AL845" i="10"/>
  <c r="AU845" i="10"/>
  <c r="AM845" i="10"/>
  <c r="AR845" i="10"/>
  <c r="AW827" i="10"/>
  <c r="AK827" i="10"/>
  <c r="AX827" i="10"/>
  <c r="AJ762" i="10"/>
  <c r="AK762" i="10"/>
  <c r="AP722" i="10"/>
  <c r="AO722" i="10"/>
  <c r="AN722" i="10"/>
  <c r="AM722" i="10"/>
  <c r="AX722" i="10"/>
  <c r="AL722" i="10"/>
  <c r="AT722" i="10"/>
  <c r="AU722" i="10"/>
  <c r="AW722" i="10"/>
  <c r="AV722" i="10"/>
  <c r="AQ722" i="10"/>
  <c r="AK722" i="10"/>
  <c r="AJ722" i="10"/>
  <c r="AU674" i="10"/>
  <c r="AT674" i="10"/>
  <c r="AS674" i="10"/>
  <c r="AR674" i="10"/>
  <c r="AN674" i="10"/>
  <c r="AW674" i="10"/>
  <c r="AV674" i="10"/>
  <c r="AM674" i="10"/>
  <c r="AQ674" i="10"/>
  <c r="AP674" i="10"/>
  <c r="AO674" i="10"/>
  <c r="AJ674" i="10"/>
  <c r="AQ1578" i="10"/>
  <c r="AQ2729" i="10"/>
  <c r="AS2729" i="10"/>
  <c r="AJ2706" i="10"/>
  <c r="AR2706" i="10"/>
  <c r="AU2665" i="10"/>
  <c r="AQ2665" i="10"/>
  <c r="AP2665" i="10"/>
  <c r="AK2665" i="10"/>
  <c r="AP2652" i="10"/>
  <c r="AW2652" i="10"/>
  <c r="AN2652" i="10"/>
  <c r="AV2652" i="10"/>
  <c r="AL2642" i="10"/>
  <c r="AV2642" i="10"/>
  <c r="AJ2642" i="10"/>
  <c r="AM2614" i="10"/>
  <c r="AN2614" i="10"/>
  <c r="AP2614" i="10"/>
  <c r="AK2614" i="10"/>
  <c r="AQ2604" i="10"/>
  <c r="AV2604" i="10"/>
  <c r="AS2604" i="10"/>
  <c r="AM2604" i="10"/>
  <c r="AL2593" i="10"/>
  <c r="AS2593" i="10"/>
  <c r="AP2593" i="10"/>
  <c r="AW2593" i="10"/>
  <c r="AU1587" i="10"/>
  <c r="AK1587" i="10"/>
  <c r="AQ1587" i="10"/>
  <c r="AS2724" i="10"/>
  <c r="AV2593" i="10"/>
  <c r="AK678" i="10"/>
  <c r="AP678" i="10"/>
  <c r="AN717" i="10"/>
  <c r="AV917" i="10"/>
  <c r="AO717" i="10"/>
  <c r="AN917" i="10"/>
  <c r="AJ1765" i="10"/>
  <c r="AJ2632" i="10"/>
  <c r="AX2665" i="10"/>
  <c r="AO2061" i="10"/>
  <c r="AR1309" i="10"/>
  <c r="AX2408" i="10"/>
  <c r="AL1376" i="10"/>
  <c r="AS2128" i="10"/>
  <c r="AR1814" i="10"/>
  <c r="AV1509" i="10"/>
  <c r="AX1504" i="10"/>
  <c r="AT1233" i="10"/>
  <c r="AV1431" i="10"/>
  <c r="AT1525" i="10"/>
  <c r="AN1364" i="10"/>
  <c r="AU2061" i="10"/>
  <c r="AW1309" i="10"/>
  <c r="AP1271" i="10"/>
  <c r="AT1676" i="10"/>
  <c r="AW2506" i="10"/>
  <c r="AW2501" i="10"/>
  <c r="AM1376" i="10"/>
  <c r="AL1525" i="10"/>
  <c r="AV2128" i="10"/>
  <c r="AP1875" i="10"/>
  <c r="AU1814" i="10"/>
  <c r="AT1463" i="10"/>
  <c r="AM1260" i="10"/>
  <c r="AL1244" i="10"/>
  <c r="AM1875" i="10"/>
  <c r="AJ1814" i="10"/>
  <c r="AS2361" i="10"/>
  <c r="AO2398" i="10"/>
  <c r="AK2501" i="10"/>
  <c r="AT2501" i="10"/>
  <c r="AJ2501" i="10"/>
  <c r="AN2491" i="10"/>
  <c r="AW2491" i="10"/>
  <c r="AV2481" i="10"/>
  <c r="AW2481" i="10"/>
  <c r="AU2481" i="10"/>
  <c r="AL2439" i="10"/>
  <c r="AM2439" i="10"/>
  <c r="AQ2439" i="10"/>
  <c r="AO2378" i="10"/>
  <c r="AN2378" i="10"/>
  <c r="AU2378" i="10"/>
  <c r="AM2378" i="10"/>
  <c r="AV2378" i="10"/>
  <c r="AV2341" i="10"/>
  <c r="AL2341" i="10"/>
  <c r="AT2341" i="10"/>
  <c r="AP2341" i="10"/>
  <c r="AJ2341" i="10"/>
  <c r="AW2341" i="10"/>
  <c r="AJ2326" i="10"/>
  <c r="AK2326" i="10"/>
  <c r="AT2326" i="10"/>
  <c r="AO2326" i="10"/>
  <c r="AL2227" i="10"/>
  <c r="AV2227" i="10"/>
  <c r="AO2227" i="10"/>
  <c r="AT2227" i="10"/>
  <c r="AP2227" i="10"/>
  <c r="AR2227" i="10"/>
  <c r="AK2227" i="10"/>
  <c r="AU2227" i="10"/>
  <c r="AN2227" i="10"/>
  <c r="AQ2227" i="10"/>
  <c r="AT2179" i="10"/>
  <c r="AW2179" i="10"/>
  <c r="AX2179" i="10"/>
  <c r="AQ2179" i="10"/>
  <c r="AP2179" i="10"/>
  <c r="AN2169" i="10"/>
  <c r="AJ2169" i="10"/>
  <c r="AR2122" i="10"/>
  <c r="AQ2122" i="10"/>
  <c r="AM2122" i="10"/>
  <c r="AN2122" i="10"/>
  <c r="AT2122" i="10"/>
  <c r="AP2122" i="10"/>
  <c r="AK2122" i="10"/>
  <c r="AO2122" i="10"/>
  <c r="AJ2122" i="10"/>
  <c r="AV2122" i="10"/>
  <c r="AL2122" i="10"/>
  <c r="AW2122" i="10"/>
  <c r="AN2099" i="10"/>
  <c r="AT2099" i="10"/>
  <c r="AN2089" i="10"/>
  <c r="AU2089" i="10"/>
  <c r="AX2089" i="10"/>
  <c r="AJ2089" i="10"/>
  <c r="AM2089" i="10"/>
  <c r="AR2089" i="10"/>
  <c r="AT2089" i="10"/>
  <c r="AV2089" i="10"/>
  <c r="AP2061" i="10"/>
  <c r="AN2061" i="10"/>
  <c r="AT2061" i="10"/>
  <c r="AL2061" i="10"/>
  <c r="AS2061" i="10"/>
  <c r="AN2026" i="10"/>
  <c r="AO2026" i="10"/>
  <c r="AP2026" i="10"/>
  <c r="AM2026" i="10"/>
  <c r="AU2026" i="10"/>
  <c r="AS2026" i="10"/>
  <c r="AQ2026" i="10"/>
  <c r="AK2026" i="10"/>
  <c r="AL2026" i="10"/>
  <c r="AT2026" i="10"/>
  <c r="AM2016" i="10"/>
  <c r="AN2016" i="10"/>
  <c r="AP2016" i="10"/>
  <c r="AX2016" i="10"/>
  <c r="AK2016" i="10"/>
  <c r="AJ2016" i="10"/>
  <c r="AV1992" i="10"/>
  <c r="AW1992" i="10"/>
  <c r="AK1992" i="10"/>
  <c r="AX1992" i="10"/>
  <c r="AS1992" i="10"/>
  <c r="AU1992" i="10"/>
  <c r="AT1992" i="10"/>
  <c r="AR1992" i="10"/>
  <c r="AM1992" i="10"/>
  <c r="AL1992" i="10"/>
  <c r="AO1992" i="10"/>
  <c r="AQ1992" i="10"/>
  <c r="AJ1992" i="10"/>
  <c r="AR1965" i="10"/>
  <c r="AV1965" i="10"/>
  <c r="AN1965" i="10"/>
  <c r="AX1965" i="10"/>
  <c r="AL1965" i="10"/>
  <c r="AW1965" i="10"/>
  <c r="AP1965" i="10"/>
  <c r="AU1965" i="10"/>
  <c r="AS1965" i="10"/>
  <c r="AT1965" i="10"/>
  <c r="AQ1965" i="10"/>
  <c r="AO1965" i="10"/>
  <c r="AT1917" i="10"/>
  <c r="AK1917" i="10"/>
  <c r="AJ1917" i="10"/>
  <c r="AP1917" i="10"/>
  <c r="AV1917" i="10"/>
  <c r="AU1917" i="10"/>
  <c r="AN1917" i="10"/>
  <c r="AR1917" i="10"/>
  <c r="AQ1917" i="10"/>
  <c r="AM1917" i="10"/>
  <c r="AS1917" i="10"/>
  <c r="AJ1880" i="10"/>
  <c r="AT1880" i="10"/>
  <c r="AR1880" i="10"/>
  <c r="AR1848" i="10"/>
  <c r="AW1848" i="10"/>
  <c r="AO1848" i="10"/>
  <c r="AM1848" i="10"/>
  <c r="AV1848" i="10"/>
  <c r="AK1848" i="10"/>
  <c r="AN1848" i="10"/>
  <c r="AL1848" i="10"/>
  <c r="AS1848" i="10"/>
  <c r="AU1848" i="10"/>
  <c r="AT1833" i="10"/>
  <c r="AS1833" i="10"/>
  <c r="AL1833" i="10"/>
  <c r="AR1833" i="10"/>
  <c r="AU1833" i="10"/>
  <c r="AJ1833" i="10"/>
  <c r="AU1823" i="10"/>
  <c r="AX1823" i="10"/>
  <c r="AT1823" i="10"/>
  <c r="AP1823" i="10"/>
  <c r="AV1823" i="10"/>
  <c r="AS1823" i="10"/>
  <c r="AQ1814" i="10"/>
  <c r="AL1814" i="10"/>
  <c r="AW1814" i="10"/>
  <c r="AN1814" i="10"/>
  <c r="AP1814" i="10"/>
  <c r="AO1814" i="10"/>
  <c r="AV1814" i="10"/>
  <c r="AK1814" i="10"/>
  <c r="AM1799" i="10"/>
  <c r="AJ1799" i="10"/>
  <c r="AR1799" i="10"/>
  <c r="AV1799" i="10"/>
  <c r="AR1779" i="10"/>
  <c r="AV1779" i="10"/>
  <c r="AT1779" i="10"/>
  <c r="AK1779" i="10"/>
  <c r="AU1779" i="10"/>
  <c r="AU1760" i="10"/>
  <c r="AT1760" i="10"/>
  <c r="AO1760" i="10"/>
  <c r="AR1760" i="10"/>
  <c r="AW1760" i="10"/>
  <c r="AM1760" i="10"/>
  <c r="AL1760" i="10"/>
  <c r="AP1760" i="10"/>
  <c r="AS1760" i="10"/>
  <c r="AJ1751" i="10"/>
  <c r="AQ1751" i="10"/>
  <c r="AX1751" i="10"/>
  <c r="AN1751" i="10"/>
  <c r="AV1751" i="10"/>
  <c r="AK1751" i="10"/>
  <c r="AK1696" i="10"/>
  <c r="AV1696" i="10"/>
  <c r="AR1696" i="10"/>
  <c r="AS1696" i="10"/>
  <c r="AS1645" i="10"/>
  <c r="AU1645" i="10"/>
  <c r="AJ1645" i="10"/>
  <c r="AV1645" i="10"/>
  <c r="AL1645" i="10"/>
  <c r="AN1645" i="10"/>
  <c r="AQ1645" i="10"/>
  <c r="AT1645" i="10"/>
  <c r="AU1631" i="10"/>
  <c r="AT1631" i="10"/>
  <c r="AN1631" i="10"/>
  <c r="AJ1631" i="10"/>
  <c r="AR1631" i="10"/>
  <c r="AV1631" i="10"/>
  <c r="AL1631" i="10"/>
  <c r="AQ1631" i="10"/>
  <c r="AL1616" i="10"/>
  <c r="AO1616" i="10"/>
  <c r="AJ1616" i="10"/>
  <c r="AX1616" i="10"/>
  <c r="AW1616" i="10"/>
  <c r="AS1606" i="10"/>
  <c r="AT1606" i="10"/>
  <c r="AM1606" i="10"/>
  <c r="AR1606" i="10"/>
  <c r="AP1592" i="10"/>
  <c r="AK1592" i="10"/>
  <c r="AS1592" i="10"/>
  <c r="AN1592" i="10"/>
  <c r="AT1592" i="10"/>
  <c r="AO1592" i="10"/>
  <c r="AM1592" i="10"/>
  <c r="AK1561" i="10"/>
  <c r="AP1561" i="10"/>
  <c r="AO1561" i="10"/>
  <c r="AS1561" i="10"/>
  <c r="AJ1561" i="10"/>
  <c r="AW1561" i="10"/>
  <c r="AL1509" i="10"/>
  <c r="AJ1509" i="10"/>
  <c r="AK1509" i="10"/>
  <c r="AN1509" i="10"/>
  <c r="AQ1509" i="10"/>
  <c r="AO1509" i="10"/>
  <c r="AM1509" i="10"/>
  <c r="AP1509" i="10"/>
  <c r="AU1509" i="10"/>
  <c r="AS1478" i="10"/>
  <c r="AO1478" i="10"/>
  <c r="AM1478" i="10"/>
  <c r="AW1478" i="10"/>
  <c r="AL1478" i="10"/>
  <c r="AX1478" i="10"/>
  <c r="AJ1478" i="10"/>
  <c r="AR1478" i="10"/>
  <c r="AP1478" i="10"/>
  <c r="AV1478" i="10"/>
  <c r="AO1454" i="10"/>
  <c r="AX1454" i="10"/>
  <c r="AW1454" i="10"/>
  <c r="AV1454" i="10"/>
  <c r="AJ1454" i="10"/>
  <c r="AR1454" i="10"/>
  <c r="AN1449" i="10"/>
  <c r="AJ1449" i="10"/>
  <c r="AM1449" i="10"/>
  <c r="AX1449" i="10"/>
  <c r="AT1449" i="10"/>
  <c r="AL1449" i="10"/>
  <c r="AK1449" i="10"/>
  <c r="AP1449" i="10"/>
  <c r="AN1420" i="10"/>
  <c r="AV1420" i="10"/>
  <c r="AK1420" i="10"/>
  <c r="AQ1420" i="10"/>
  <c r="AJ1420" i="10"/>
  <c r="AX1420" i="10"/>
  <c r="AW1420" i="10"/>
  <c r="AS1420" i="10"/>
  <c r="AP1420" i="10"/>
  <c r="AU1420" i="10"/>
  <c r="AM1420" i="10"/>
  <c r="AL1420" i="10"/>
  <c r="AT1420" i="10"/>
  <c r="AR1420" i="10"/>
  <c r="AR1409" i="10"/>
  <c r="AL1409" i="10"/>
  <c r="AO1409" i="10"/>
  <c r="AP1409" i="10"/>
  <c r="AU1409" i="10"/>
  <c r="AK1409" i="10"/>
  <c r="AJ1409" i="10"/>
  <c r="AQ1409" i="10"/>
  <c r="AN1409" i="10"/>
  <c r="AT1409" i="10"/>
  <c r="AS1393" i="10"/>
  <c r="AK1393" i="10"/>
  <c r="AU1370" i="10"/>
  <c r="AL1370" i="10"/>
  <c r="AP1370" i="10"/>
  <c r="AR1370" i="10"/>
  <c r="AQ1370" i="10"/>
  <c r="AW1370" i="10"/>
  <c r="AM1370" i="10"/>
  <c r="AV1370" i="10"/>
  <c r="AX1370" i="10"/>
  <c r="AS1370" i="10"/>
  <c r="AO1370" i="10"/>
  <c r="AO1358" i="10"/>
  <c r="AU1358" i="10"/>
  <c r="AL1358" i="10"/>
  <c r="AX1358" i="10"/>
  <c r="AS1358" i="10"/>
  <c r="AM1358" i="10"/>
  <c r="AT1358" i="10"/>
  <c r="AO1330" i="10"/>
  <c r="AP1330" i="10"/>
  <c r="AU1330" i="10"/>
  <c r="AS1330" i="10"/>
  <c r="AR1330" i="10"/>
  <c r="AK1330" i="10"/>
  <c r="AW1330" i="10"/>
  <c r="AX1330" i="10"/>
  <c r="AQ1330" i="10"/>
  <c r="AT1330" i="10"/>
  <c r="AT1319" i="10"/>
  <c r="AP1319" i="10"/>
  <c r="AN1319" i="10"/>
  <c r="AJ1319" i="10"/>
  <c r="AW1319" i="10"/>
  <c r="AM1319" i="10"/>
  <c r="AR1319" i="10"/>
  <c r="AK1319" i="10"/>
  <c r="AT1309" i="10"/>
  <c r="AK1309" i="10"/>
  <c r="AN1309" i="10"/>
  <c r="AX1309" i="10"/>
  <c r="AL1309" i="10"/>
  <c r="AV1309" i="10"/>
  <c r="AM1309" i="10"/>
  <c r="AO1309" i="10"/>
  <c r="AU1309" i="10"/>
  <c r="AS1309" i="10"/>
  <c r="AO1271" i="10"/>
  <c r="AQ1271" i="10"/>
  <c r="AW1271" i="10"/>
  <c r="AR1271" i="10"/>
  <c r="AJ1260" i="10"/>
  <c r="AN1260" i="10"/>
  <c r="AT1260" i="10"/>
  <c r="AK1260" i="10"/>
  <c r="AV1260" i="10"/>
  <c r="AO1260" i="10"/>
  <c r="AR1260" i="10"/>
  <c r="AL1260" i="10"/>
  <c r="AS1260" i="10"/>
  <c r="AP1260" i="10"/>
  <c r="AK1244" i="10"/>
  <c r="AM1244" i="10"/>
  <c r="AU1244" i="10"/>
  <c r="AX1244" i="10"/>
  <c r="AN1244" i="10"/>
  <c r="AJ1244" i="10"/>
  <c r="AR1244" i="10"/>
  <c r="AS1233" i="10"/>
  <c r="AJ1233" i="10"/>
  <c r="AR1233" i="10"/>
  <c r="AL1233" i="10"/>
  <c r="AK1233" i="10"/>
  <c r="AX1233" i="10"/>
  <c r="AM1233" i="10"/>
  <c r="AQ1216" i="10"/>
  <c r="AJ1216" i="10"/>
  <c r="AU1216" i="10"/>
  <c r="AS1216" i="10"/>
  <c r="AP1216" i="10"/>
  <c r="AL1216" i="10"/>
  <c r="AM1216" i="10"/>
  <c r="AV1216" i="10"/>
  <c r="AX1216" i="10"/>
  <c r="AX1561" i="10"/>
  <c r="AN1611" i="10"/>
  <c r="AR1592" i="10"/>
  <c r="AT1875" i="10"/>
  <c r="AQ1848" i="10"/>
  <c r="AO1875" i="10"/>
  <c r="AL1463" i="10"/>
  <c r="AS2227" i="10"/>
  <c r="AU2122" i="10"/>
  <c r="AO1631" i="10"/>
  <c r="AK1760" i="10"/>
  <c r="AN2195" i="10"/>
  <c r="AV1330" i="10"/>
  <c r="AU1561" i="10"/>
  <c r="AQ1309" i="10"/>
  <c r="AP1454" i="10"/>
  <c r="AQ1833" i="10"/>
  <c r="AN2408" i="10"/>
  <c r="AJ2179" i="10"/>
  <c r="AV1606" i="10"/>
  <c r="AL1917" i="10"/>
  <c r="AT1848" i="10"/>
  <c r="AJ2227" i="10"/>
  <c r="AO1645" i="10"/>
  <c r="AX2122" i="10"/>
  <c r="AN1833" i="10"/>
  <c r="AJ1330" i="10"/>
  <c r="AO1319" i="10"/>
  <c r="AJ1309" i="10"/>
  <c r="AV1833" i="10"/>
  <c r="AJ2572" i="10"/>
  <c r="AX2572" i="10"/>
  <c r="AP2572" i="10"/>
  <c r="AJ2542" i="10"/>
  <c r="AQ2542" i="10"/>
  <c r="AU2542" i="10"/>
  <c r="AK2542" i="10"/>
  <c r="AL2522" i="10"/>
  <c r="AM2522" i="10"/>
  <c r="AK2522" i="10"/>
  <c r="AR2506" i="10"/>
  <c r="AN2506" i="10"/>
  <c r="AX2496" i="10"/>
  <c r="AQ2496" i="10"/>
  <c r="AU2496" i="10"/>
  <c r="AL2496" i="10"/>
  <c r="AV2496" i="10"/>
  <c r="AT2496" i="10"/>
  <c r="AL2459" i="10"/>
  <c r="AV2459" i="10"/>
  <c r="AR2459" i="10"/>
  <c r="AW2459" i="10"/>
  <c r="AU2459" i="10"/>
  <c r="AJ2459" i="10"/>
  <c r="AM2459" i="10"/>
  <c r="AU2444" i="10"/>
  <c r="AV2444" i="10"/>
  <c r="AM2444" i="10"/>
  <c r="AS2408" i="10"/>
  <c r="AQ2408" i="10"/>
  <c r="AV2408" i="10"/>
  <c r="AL2408" i="10"/>
  <c r="AN2387" i="10"/>
  <c r="AM2387" i="10"/>
  <c r="AO2387" i="10"/>
  <c r="AU2387" i="10"/>
  <c r="AJ2253" i="10"/>
  <c r="AM2253" i="10"/>
  <c r="AQ2253" i="10"/>
  <c r="AL2232" i="10"/>
  <c r="AK2232" i="10"/>
  <c r="AT2232" i="10"/>
  <c r="AP2232" i="10"/>
  <c r="AM2232" i="10"/>
  <c r="AS2195" i="10"/>
  <c r="AX2195" i="10"/>
  <c r="AM2195" i="10"/>
  <c r="AP2195" i="10"/>
  <c r="AJ2195" i="10"/>
  <c r="AT2195" i="10"/>
  <c r="AQ2195" i="10"/>
  <c r="AW2195" i="10"/>
  <c r="AL2195" i="10"/>
  <c r="AR2195" i="10"/>
  <c r="AK2174" i="10"/>
  <c r="AJ2174" i="10"/>
  <c r="AS2174" i="10"/>
  <c r="AT2174" i="10"/>
  <c r="AV2174" i="10"/>
  <c r="AL2174" i="10"/>
  <c r="AW2174" i="10"/>
  <c r="AU2174" i="10"/>
  <c r="AQ2174" i="10"/>
  <c r="AM2174" i="10"/>
  <c r="AM2138" i="10"/>
  <c r="AW2138" i="10"/>
  <c r="AO2138" i="10"/>
  <c r="AR2138" i="10"/>
  <c r="AM2128" i="10"/>
  <c r="AQ2128" i="10"/>
  <c r="AK2128" i="10"/>
  <c r="AO2128" i="10"/>
  <c r="AJ2128" i="10"/>
  <c r="AL2128" i="10"/>
  <c r="AN2128" i="10"/>
  <c r="AT2128" i="10"/>
  <c r="AQ2094" i="10"/>
  <c r="AV2094" i="10"/>
  <c r="AP2094" i="10"/>
  <c r="AX2094" i="10"/>
  <c r="AU2094" i="10"/>
  <c r="AS2094" i="10"/>
  <c r="AK2094" i="10"/>
  <c r="AJ2094" i="10"/>
  <c r="AW2094" i="10"/>
  <c r="AX2084" i="10"/>
  <c r="AU2084" i="10"/>
  <c r="AW2084" i="10"/>
  <c r="AR2084" i="10"/>
  <c r="AV2084" i="10"/>
  <c r="AK2084" i="10"/>
  <c r="AT2084" i="10"/>
  <c r="AL2084" i="10"/>
  <c r="AR2049" i="10"/>
  <c r="AM2049" i="10"/>
  <c r="AW2049" i="10"/>
  <c r="AO2049" i="10"/>
  <c r="AP2049" i="10"/>
  <c r="AT2049" i="10"/>
  <c r="AV2049" i="10"/>
  <c r="AX2049" i="10"/>
  <c r="AK2049" i="10"/>
  <c r="AJ2049" i="10"/>
  <c r="AL2021" i="10"/>
  <c r="AN2021" i="10"/>
  <c r="AJ2021" i="10"/>
  <c r="AT2021" i="10"/>
  <c r="AW2021" i="10"/>
  <c r="AP2021" i="10"/>
  <c r="AO2021" i="10"/>
  <c r="AX2021" i="10"/>
  <c r="AK2021" i="10"/>
  <c r="AM2021" i="10"/>
  <c r="AQ1997" i="10"/>
  <c r="AW1997" i="10"/>
  <c r="AK1997" i="10"/>
  <c r="AR1997" i="10"/>
  <c r="AX1997" i="10"/>
  <c r="AK1981" i="10"/>
  <c r="AX1981" i="10"/>
  <c r="AQ1981" i="10"/>
  <c r="AM1981" i="10"/>
  <c r="AT1981" i="10"/>
  <c r="AW1981" i="10"/>
  <c r="AU1981" i="10"/>
  <c r="AQ1958" i="10"/>
  <c r="AS1958" i="10"/>
  <c r="AU1958" i="10"/>
  <c r="AW1958" i="10"/>
  <c r="AO1958" i="10"/>
  <c r="AO1922" i="10"/>
  <c r="AN1922" i="10"/>
  <c r="AU1922" i="10"/>
  <c r="AL1911" i="10"/>
  <c r="AV1911" i="10"/>
  <c r="AM1911" i="10"/>
  <c r="AP1911" i="10"/>
  <c r="AN1911" i="10"/>
  <c r="AX1911" i="10"/>
  <c r="AR1911" i="10"/>
  <c r="AS1911" i="10"/>
  <c r="AO1911" i="10"/>
  <c r="AQ1911" i="10"/>
  <c r="AK1911" i="10"/>
  <c r="AK1896" i="10"/>
  <c r="AP1896" i="10"/>
  <c r="AN1896" i="10"/>
  <c r="AT1896" i="10"/>
  <c r="AW1896" i="10"/>
  <c r="AR1896" i="10"/>
  <c r="AV1896" i="10"/>
  <c r="AN1875" i="10"/>
  <c r="AS1875" i="10"/>
  <c r="AU1875" i="10"/>
  <c r="AV1875" i="10"/>
  <c r="AK1875" i="10"/>
  <c r="AR1875" i="10"/>
  <c r="AL1875" i="10"/>
  <c r="AJ1875" i="10"/>
  <c r="AJ1843" i="10"/>
  <c r="AM1843" i="10"/>
  <c r="AS1794" i="10"/>
  <c r="AO1794" i="10"/>
  <c r="AQ1794" i="10"/>
  <c r="AP1794" i="10"/>
  <c r="AN1794" i="10"/>
  <c r="AX1794" i="10"/>
  <c r="AU1794" i="10"/>
  <c r="AR1794" i="10"/>
  <c r="AV1794" i="10"/>
  <c r="AK1794" i="10"/>
  <c r="AS1784" i="10"/>
  <c r="AJ1784" i="10"/>
  <c r="AX1784" i="10"/>
  <c r="AR1784" i="10"/>
  <c r="AM1784" i="10"/>
  <c r="AP1784" i="10"/>
  <c r="AN1784" i="10"/>
  <c r="AL1784" i="10"/>
  <c r="AJ1727" i="10"/>
  <c r="AR1727" i="10"/>
  <c r="AT1717" i="10"/>
  <c r="AM1717" i="10"/>
  <c r="AR1717" i="10"/>
  <c r="AL1717" i="10"/>
  <c r="AJ1717" i="10"/>
  <c r="AK1717" i="10"/>
  <c r="AO1717" i="10"/>
  <c r="AU1717" i="10"/>
  <c r="AN1691" i="10"/>
  <c r="AJ1691" i="10"/>
  <c r="AW1691" i="10"/>
  <c r="AT1691" i="10"/>
  <c r="AM1691" i="10"/>
  <c r="AS1691" i="10"/>
  <c r="AK1691" i="10"/>
  <c r="AX1691" i="10"/>
  <c r="AL1691" i="10"/>
  <c r="AP1691" i="10"/>
  <c r="AQ1691" i="10"/>
  <c r="AU1676" i="10"/>
  <c r="AO1676" i="10"/>
  <c r="AV1676" i="10"/>
  <c r="AL1676" i="10"/>
  <c r="AR1676" i="10"/>
  <c r="AP1676" i="10"/>
  <c r="AN1676" i="10"/>
  <c r="AM1676" i="10"/>
  <c r="AQ1676" i="10"/>
  <c r="AJ1676" i="10"/>
  <c r="AU1611" i="10"/>
  <c r="AO1611" i="10"/>
  <c r="AX1611" i="10"/>
  <c r="AL1611" i="10"/>
  <c r="AK1611" i="10"/>
  <c r="AQ1611" i="10"/>
  <c r="AS1611" i="10"/>
  <c r="AW1611" i="10"/>
  <c r="AR1611" i="10"/>
  <c r="AV1611" i="10"/>
  <c r="AM1611" i="10"/>
  <c r="AM1541" i="10"/>
  <c r="AJ1541" i="10"/>
  <c r="AN1541" i="10"/>
  <c r="AO1525" i="10"/>
  <c r="AR1525" i="10"/>
  <c r="AU1525" i="10"/>
  <c r="AN1525" i="10"/>
  <c r="AQ1525" i="10"/>
  <c r="AK1525" i="10"/>
  <c r="AV1525" i="10"/>
  <c r="AW1515" i="10"/>
  <c r="AL1515" i="10"/>
  <c r="AJ1515" i="10"/>
  <c r="AR1515" i="10"/>
  <c r="AQ1515" i="10"/>
  <c r="AK1515" i="10"/>
  <c r="AS1515" i="10"/>
  <c r="AV1515" i="10"/>
  <c r="AJ1504" i="10"/>
  <c r="AV1504" i="10"/>
  <c r="AR1504" i="10"/>
  <c r="AK1504" i="10"/>
  <c r="AW1504" i="10"/>
  <c r="AP1473" i="10"/>
  <c r="AT1473" i="10"/>
  <c r="AQ1473" i="10"/>
  <c r="AN1473" i="10"/>
  <c r="AS1473" i="10"/>
  <c r="AJ1473" i="10"/>
  <c r="AL1473" i="10"/>
  <c r="AM1463" i="10"/>
  <c r="AN1463" i="10"/>
  <c r="AX1463" i="10"/>
  <c r="AJ1463" i="10"/>
  <c r="AQ1463" i="10"/>
  <c r="AR1463" i="10"/>
  <c r="AK1463" i="10"/>
  <c r="AP1463" i="10"/>
  <c r="AS1463" i="10"/>
  <c r="AV1463" i="10"/>
  <c r="AT1431" i="10"/>
  <c r="AN1431" i="10"/>
  <c r="AR1431" i="10"/>
  <c r="AO1431" i="10"/>
  <c r="AQ1431" i="10"/>
  <c r="AX1431" i="10"/>
  <c r="AS1431" i="10"/>
  <c r="AL1431" i="10"/>
  <c r="AK1431" i="10"/>
  <c r="AR1404" i="10"/>
  <c r="AW1404" i="10"/>
  <c r="AK1404" i="10"/>
  <c r="AJ1404" i="10"/>
  <c r="AM1404" i="10"/>
  <c r="AP1404" i="10"/>
  <c r="AQ1404" i="10"/>
  <c r="AO1404" i="10"/>
  <c r="AS1404" i="10"/>
  <c r="AT1404" i="10"/>
  <c r="AX1404" i="10"/>
  <c r="AV1404" i="10"/>
  <c r="AL1404" i="10"/>
  <c r="AK1376" i="10"/>
  <c r="AS1376" i="10"/>
  <c r="AW1376" i="10"/>
  <c r="AX1376" i="10"/>
  <c r="AP1376" i="10"/>
  <c r="AN1376" i="10"/>
  <c r="AO1376" i="10"/>
  <c r="AU1376" i="10"/>
  <c r="AO1364" i="10"/>
  <c r="AP1364" i="10"/>
  <c r="AQ1364" i="10"/>
  <c r="AU1364" i="10"/>
  <c r="AL1364" i="10"/>
  <c r="AV1364" i="10"/>
  <c r="AK1364" i="10"/>
  <c r="AR1364" i="10"/>
  <c r="AJ1364" i="10"/>
  <c r="AM1364" i="10"/>
  <c r="AK1293" i="10"/>
  <c r="AX1293" i="10"/>
  <c r="AU1293" i="10"/>
  <c r="AJ1293" i="10"/>
  <c r="AQ1293" i="10"/>
  <c r="AJ1287" i="10"/>
  <c r="AP1287" i="10"/>
  <c r="AV1287" i="10"/>
  <c r="AU1287" i="10"/>
  <c r="AM1287" i="10"/>
  <c r="AR1287" i="10"/>
  <c r="AN1287" i="10"/>
  <c r="AS1287" i="10"/>
  <c r="AO1287" i="10"/>
  <c r="AX1287" i="10"/>
  <c r="AK1265" i="10"/>
  <c r="AV1265" i="10"/>
  <c r="AT1265" i="10"/>
  <c r="AX1265" i="10"/>
  <c r="AO1265" i="10"/>
  <c r="AR1265" i="10"/>
  <c r="AL1265" i="10"/>
  <c r="AJ1265" i="10"/>
  <c r="AP1265" i="10"/>
  <c r="AS1265" i="10"/>
  <c r="AU1265" i="10"/>
  <c r="AM1265" i="10"/>
  <c r="AW1265" i="10"/>
  <c r="AL1254" i="10"/>
  <c r="AT1254" i="10"/>
  <c r="AP1254" i="10"/>
  <c r="AN1254" i="10"/>
  <c r="AQ1254" i="10"/>
  <c r="AS1254" i="10"/>
  <c r="AV1254" i="10"/>
  <c r="AO1227" i="10"/>
  <c r="AU1227" i="10"/>
  <c r="AR1227" i="10"/>
  <c r="AS1227" i="10"/>
  <c r="AW1227" i="10"/>
  <c r="AJ1227" i="10"/>
  <c r="AN1227" i="10"/>
  <c r="AV1227" i="10"/>
  <c r="AQ1227" i="10"/>
  <c r="AQ1205" i="10"/>
  <c r="AN1205" i="10"/>
  <c r="AJ1205" i="10"/>
  <c r="AM1205" i="10"/>
  <c r="AT1205" i="10"/>
  <c r="AW1205" i="10"/>
  <c r="AS1205" i="10"/>
  <c r="AK1205" i="10"/>
  <c r="AR1205" i="10"/>
  <c r="AO1205" i="10"/>
  <c r="AW1199" i="10"/>
  <c r="AV1199" i="10"/>
  <c r="AK1199" i="10"/>
  <c r="AX1199" i="10"/>
  <c r="AP1199" i="10"/>
  <c r="AR1199" i="10"/>
  <c r="AQ1199" i="10"/>
  <c r="AL1199" i="10"/>
  <c r="AO1199" i="10"/>
  <c r="AS1199" i="10"/>
  <c r="AT1199" i="10"/>
  <c r="AO1188" i="10"/>
  <c r="AW1188" i="10"/>
  <c r="AX1188" i="10"/>
  <c r="AV1188" i="10"/>
  <c r="AT1183" i="10"/>
  <c r="AW1183" i="10"/>
  <c r="AP1183" i="10"/>
  <c r="AJ1183" i="10"/>
  <c r="AM1183" i="10"/>
  <c r="AQ1183" i="10"/>
  <c r="AV1183" i="10"/>
  <c r="AS1319" i="10"/>
  <c r="AJ2084" i="10"/>
  <c r="AX2459" i="10"/>
  <c r="AW1550" i="10"/>
  <c r="AU1205" i="10"/>
  <c r="AJ1606" i="10"/>
  <c r="AP1717" i="10"/>
  <c r="AP1981" i="10"/>
  <c r="AO1420" i="10"/>
  <c r="AX1848" i="10"/>
  <c r="AO1541" i="10"/>
  <c r="AW1794" i="10"/>
  <c r="AQ2021" i="10"/>
  <c r="AL1330" i="10"/>
  <c r="AM1616" i="10"/>
  <c r="AX1319" i="10"/>
  <c r="AM1853" i="10"/>
  <c r="AX2444" i="10"/>
  <c r="AM1833" i="10"/>
  <c r="AL1205" i="10"/>
  <c r="AX1606" i="10"/>
  <c r="AN1981" i="10"/>
  <c r="AR1358" i="10"/>
  <c r="AO1981" i="10"/>
  <c r="AU2128" i="10"/>
  <c r="AJ1848" i="10"/>
  <c r="AU1478" i="10"/>
  <c r="AX1843" i="10"/>
  <c r="AM1794" i="10"/>
  <c r="AN1271" i="10"/>
  <c r="AX1515" i="10"/>
  <c r="AU2021" i="10"/>
  <c r="AQ1606" i="10"/>
  <c r="AS1717" i="10"/>
  <c r="AU1616" i="10"/>
  <c r="AQ1233" i="10"/>
  <c r="AM1409" i="10"/>
  <c r="AR1541" i="10"/>
  <c r="AT1293" i="10"/>
  <c r="AV2253" i="10"/>
  <c r="AJ1965" i="10"/>
  <c r="AJ2408" i="10"/>
  <c r="AK1833" i="10"/>
  <c r="AP1205" i="10"/>
  <c r="AQ2016" i="10"/>
  <c r="AJ1358" i="10"/>
  <c r="AL2016" i="10"/>
  <c r="AO1917" i="10"/>
  <c r="AM1454" i="10"/>
  <c r="AN1404" i="10"/>
  <c r="AL1794" i="10"/>
  <c r="AX1702" i="10"/>
  <c r="AN2084" i="10"/>
  <c r="AO2084" i="10"/>
  <c r="AU2195" i="10"/>
  <c r="AS2089" i="10"/>
  <c r="AP1233" i="10"/>
  <c r="AV1409" i="10"/>
  <c r="AK1823" i="10"/>
  <c r="AU1454" i="10"/>
  <c r="AS2049" i="10"/>
  <c r="AS1293" i="10"/>
  <c r="AJ1981" i="10"/>
  <c r="AJ1997" i="10"/>
  <c r="AU2572" i="10"/>
  <c r="AP1880" i="10"/>
  <c r="AS2179" i="10"/>
  <c r="AX1205" i="10"/>
  <c r="AK1216" i="10"/>
  <c r="AW1358" i="10"/>
  <c r="AM1525" i="10"/>
  <c r="AS2016" i="10"/>
  <c r="AQ1478" i="10"/>
  <c r="AX1917" i="10"/>
  <c r="AN1478" i="10"/>
  <c r="AO1691" i="10"/>
  <c r="AU1404" i="10"/>
  <c r="AJ1794" i="10"/>
  <c r="AV1760" i="10"/>
  <c r="AV1358" i="10"/>
  <c r="AP2089" i="10"/>
  <c r="AQ1896" i="10"/>
  <c r="AP1227" i="10"/>
  <c r="AK1784" i="10"/>
  <c r="AM1922" i="10"/>
  <c r="AU2049" i="10"/>
  <c r="AO1515" i="10"/>
  <c r="AR1293" i="10"/>
  <c r="AX517" i="10"/>
  <c r="AW517" i="10"/>
  <c r="AK517" i="10"/>
  <c r="AJ517" i="10"/>
  <c r="AX518" i="10"/>
  <c r="AW518" i="10"/>
  <c r="AK518" i="10"/>
  <c r="AJ518" i="10"/>
  <c r="AX519" i="10"/>
  <c r="AW519" i="10"/>
  <c r="AK519" i="10"/>
  <c r="AJ519" i="10"/>
  <c r="AX520" i="10"/>
  <c r="AW520" i="10"/>
  <c r="AK520" i="10"/>
  <c r="AJ520" i="10"/>
  <c r="AX521" i="10"/>
  <c r="AW521" i="10"/>
  <c r="AV521" i="10"/>
  <c r="AU521" i="10"/>
  <c r="AT521" i="10"/>
  <c r="AS521" i="10"/>
  <c r="AR521" i="10"/>
  <c r="AQ521" i="10"/>
  <c r="AP521" i="10"/>
  <c r="AO521" i="10"/>
  <c r="AN521" i="10"/>
  <c r="AM521" i="10"/>
  <c r="AL521" i="10"/>
  <c r="AK521" i="10"/>
  <c r="AJ521" i="10"/>
  <c r="AX522" i="10"/>
  <c r="AW522" i="10"/>
  <c r="AK522" i="10"/>
  <c r="AJ522" i="10"/>
  <c r="AX523" i="10"/>
  <c r="AW523" i="10"/>
  <c r="AK523" i="10"/>
  <c r="AJ523" i="10"/>
  <c r="AP718" i="10"/>
  <c r="AQ2589" i="10"/>
  <c r="AR2696" i="10"/>
  <c r="AR1464" i="10"/>
  <c r="AM1455" i="10"/>
  <c r="AX675" i="10"/>
  <c r="AP675" i="10"/>
  <c r="AT1041" i="10"/>
  <c r="AX2605" i="10"/>
  <c r="AO2605" i="10"/>
  <c r="AJ2691" i="10"/>
  <c r="AK2691" i="10"/>
  <c r="AN2691" i="10"/>
  <c r="AO2661" i="10"/>
  <c r="AW2661" i="10"/>
  <c r="AK2404" i="10"/>
  <c r="AP2404" i="10"/>
  <c r="AQ2404" i="10"/>
  <c r="AV1146" i="10"/>
  <c r="AL1146" i="10"/>
  <c r="AL798" i="10"/>
  <c r="AT798" i="10"/>
  <c r="AW2295" i="10"/>
  <c r="AN2295" i="10"/>
  <c r="AJ1960" i="10"/>
  <c r="AT1960" i="10"/>
  <c r="AM924" i="10"/>
  <c r="AV924" i="10"/>
  <c r="AM873" i="10"/>
  <c r="AN910" i="10"/>
  <c r="AL905" i="10"/>
  <c r="AR865" i="10"/>
  <c r="AT2409" i="10"/>
  <c r="AM885" i="10"/>
  <c r="AQ731" i="10"/>
  <c r="AK804" i="10"/>
  <c r="AJ2399" i="10"/>
  <c r="AJ2295" i="10"/>
  <c r="AR769" i="10"/>
  <c r="AW1046" i="10"/>
  <c r="AU1646" i="10"/>
  <c r="AK2724" i="10"/>
  <c r="AN2724" i="10"/>
  <c r="AQ2724" i="10"/>
  <c r="AO2669" i="10"/>
  <c r="AJ2669" i="10"/>
  <c r="AL2656" i="10"/>
  <c r="AJ2656" i="10"/>
  <c r="AN2599" i="10"/>
  <c r="AJ2599" i="10"/>
  <c r="AT2583" i="10"/>
  <c r="AU2583" i="10"/>
  <c r="AJ2553" i="10"/>
  <c r="AK2553" i="10"/>
  <c r="AX2553" i="10"/>
  <c r="AP2553" i="10"/>
  <c r="AW2533" i="10"/>
  <c r="AK2533" i="10"/>
  <c r="AL2512" i="10"/>
  <c r="AJ2512" i="10"/>
  <c r="AR2487" i="10"/>
  <c r="AV2487" i="10"/>
  <c r="AQ2487" i="10"/>
  <c r="AU2487" i="10"/>
  <c r="AP2487" i="10"/>
  <c r="AS2487" i="10"/>
  <c r="AK2487" i="10"/>
  <c r="AW2432" i="10"/>
  <c r="AJ2432" i="10"/>
  <c r="AL2331" i="10"/>
  <c r="AO2331" i="10"/>
  <c r="AJ2331" i="10"/>
  <c r="AV2300" i="10"/>
  <c r="AL2300" i="10"/>
  <c r="AN2129" i="10"/>
  <c r="AR2129" i="10"/>
  <c r="AL2129" i="10"/>
  <c r="AW2003" i="10"/>
  <c r="AP2003" i="10"/>
  <c r="AJ2003" i="10"/>
  <c r="AU1970" i="10"/>
  <c r="AJ1970" i="10"/>
  <c r="AT1970" i="10"/>
  <c r="AK1970" i="10"/>
  <c r="AX1970" i="10"/>
  <c r="AM1933" i="10"/>
  <c r="AQ1933" i="10"/>
  <c r="AS1933" i="10"/>
  <c r="AT1933" i="10"/>
  <c r="AW1902" i="10"/>
  <c r="AN1902" i="10"/>
  <c r="AX1886" i="10"/>
  <c r="AT1886" i="10"/>
  <c r="AS1886" i="10"/>
  <c r="AN1886" i="10"/>
  <c r="AP1886" i="10"/>
  <c r="AJ1886" i="10"/>
  <c r="AM1886" i="10"/>
  <c r="AK1865" i="10"/>
  <c r="AM1865" i="10"/>
  <c r="AR1828" i="10"/>
  <c r="AJ1828" i="10"/>
  <c r="AM1765" i="10"/>
  <c r="AU1765" i="10"/>
  <c r="AW1765" i="10"/>
  <c r="AS1723" i="10"/>
  <c r="AN1723" i="10"/>
  <c r="AM1681" i="10"/>
  <c r="AQ1681" i="10"/>
  <c r="AS1681" i="10"/>
  <c r="AL1671" i="10"/>
  <c r="AJ1671" i="10"/>
  <c r="AO1671" i="10"/>
  <c r="AT1671" i="10"/>
  <c r="AW1671" i="10"/>
  <c r="AX1671" i="10"/>
  <c r="AM1671" i="10"/>
  <c r="AS1671" i="10"/>
  <c r="AT1602" i="10"/>
  <c r="AU1602" i="10"/>
  <c r="AP1602" i="10"/>
  <c r="AJ1578" i="10"/>
  <c r="AK1578" i="10"/>
  <c r="AW1547" i="10"/>
  <c r="AJ1547" i="10"/>
  <c r="AQ1499" i="10"/>
  <c r="AJ1499" i="10"/>
  <c r="AV1443" i="10"/>
  <c r="AK1443" i="10"/>
  <c r="AW1414" i="10"/>
  <c r="AS1414" i="10"/>
  <c r="AO1414" i="10"/>
  <c r="AK734" i="10"/>
  <c r="AX1765" i="10"/>
  <c r="AJ2724" i="10"/>
  <c r="AR2331" i="10"/>
  <c r="AT1756" i="10"/>
  <c r="AU1928" i="10"/>
  <c r="AT2589" i="10"/>
  <c r="AN2649" i="10"/>
  <c r="AW1970" i="10"/>
  <c r="AR1671" i="10"/>
  <c r="AP2460" i="10"/>
  <c r="AJ2487" i="10"/>
  <c r="AO1747" i="10"/>
  <c r="AJ2144" i="10"/>
  <c r="AJ2300" i="10"/>
  <c r="AK2393" i="10"/>
  <c r="AR1157" i="10"/>
  <c r="AL1859" i="10"/>
  <c r="AJ2648" i="10"/>
  <c r="AK1646" i="10"/>
  <c r="AV1310" i="10"/>
  <c r="AR1315" i="10"/>
  <c r="AJ698" i="10"/>
  <c r="AK2701" i="10"/>
  <c r="AS2701" i="10"/>
  <c r="AQ2680" i="10"/>
  <c r="AP2680" i="10"/>
  <c r="AJ2675" i="10"/>
  <c r="AL2675" i="10"/>
  <c r="AJ2638" i="10"/>
  <c r="AO2638" i="10"/>
  <c r="AX2623" i="10"/>
  <c r="AN2623" i="10"/>
  <c r="AW2623" i="10"/>
  <c r="AW2619" i="10"/>
  <c r="AR2619" i="10"/>
  <c r="AL2573" i="10"/>
  <c r="AT2573" i="10"/>
  <c r="AQ2573" i="10"/>
  <c r="AV2573" i="10"/>
  <c r="AJ2573" i="10"/>
  <c r="AK2573" i="10"/>
  <c r="AX2538" i="10"/>
  <c r="AK2538" i="10"/>
  <c r="AS2538" i="10"/>
  <c r="AP2538" i="10"/>
  <c r="AL2538" i="10"/>
  <c r="AL2507" i="10"/>
  <c r="AM2507" i="10"/>
  <c r="AK2507" i="10"/>
  <c r="AW2433" i="10"/>
  <c r="AU2433" i="10"/>
  <c r="AU2399" i="10"/>
  <c r="AP2399" i="10"/>
  <c r="AK2399" i="10"/>
  <c r="AJ2201" i="10"/>
  <c r="AK2201" i="10"/>
  <c r="AW2175" i="10"/>
  <c r="AO2175" i="10"/>
  <c r="AL2175" i="10"/>
  <c r="AT2027" i="10"/>
  <c r="AM2027" i="10"/>
  <c r="AK1993" i="10"/>
  <c r="AR1993" i="10"/>
  <c r="AK1928" i="10"/>
  <c r="AQ1928" i="10"/>
  <c r="AS1854" i="10"/>
  <c r="AN1854" i="10"/>
  <c r="AK1854" i="10"/>
  <c r="AM1854" i="10"/>
  <c r="AR1854" i="10"/>
  <c r="AX1854" i="10"/>
  <c r="AJ1849" i="10"/>
  <c r="AU1849" i="10"/>
  <c r="AW1844" i="10"/>
  <c r="AS1844" i="10"/>
  <c r="AL1810" i="10"/>
  <c r="AU1810" i="10"/>
  <c r="AN1785" i="10"/>
  <c r="AS1785" i="10"/>
  <c r="AX1770" i="10"/>
  <c r="AJ1770" i="10"/>
  <c r="AR1761" i="10"/>
  <c r="AQ1761" i="10"/>
  <c r="AJ1761" i="10"/>
  <c r="AU1761" i="10"/>
  <c r="AK1761" i="10"/>
  <c r="AV1761" i="10"/>
  <c r="AP1761" i="10"/>
  <c r="AW1761" i="10"/>
  <c r="AL1761" i="10"/>
  <c r="AP1703" i="10"/>
  <c r="AL1703" i="10"/>
  <c r="AP1557" i="10"/>
  <c r="AW1557" i="10"/>
  <c r="AJ1536" i="10"/>
  <c r="AU1536" i="10"/>
  <c r="AT1222" i="10"/>
  <c r="AR1222" i="10"/>
  <c r="AJ1222" i="10"/>
  <c r="AJ1151" i="10"/>
  <c r="AK1151" i="10"/>
  <c r="AM910" i="10"/>
  <c r="AP910" i="10"/>
  <c r="AL910" i="10"/>
  <c r="AS910" i="10"/>
  <c r="AP885" i="10"/>
  <c r="AV885" i="10"/>
  <c r="AJ885" i="10"/>
  <c r="AL885" i="10"/>
  <c r="AR873" i="10"/>
  <c r="AU873" i="10"/>
  <c r="AQ873" i="10"/>
  <c r="AK873" i="10"/>
  <c r="AN873" i="10"/>
  <c r="AP873" i="10"/>
  <c r="AS873" i="10"/>
  <c r="AL865" i="10"/>
  <c r="AK865" i="10"/>
  <c r="AN855" i="10"/>
  <c r="AT855" i="10"/>
  <c r="AQ855" i="10"/>
  <c r="AJ850" i="10"/>
  <c r="AN850" i="10"/>
  <c r="AV850" i="10"/>
  <c r="AM850" i="10"/>
  <c r="AJ821" i="10"/>
  <c r="AK821" i="10"/>
  <c r="AN857" i="10"/>
  <c r="AT857" i="10"/>
  <c r="AK857" i="10"/>
  <c r="AR857" i="10"/>
  <c r="AK769" i="10"/>
  <c r="AV769" i="10"/>
  <c r="AT769" i="10"/>
  <c r="AP769" i="10"/>
  <c r="AX753" i="10"/>
  <c r="AJ753" i="10"/>
  <c r="AP731" i="10"/>
  <c r="AR731" i="10"/>
  <c r="AS731" i="10"/>
  <c r="AK731" i="10"/>
  <c r="AJ731" i="10"/>
  <c r="AQ905" i="10"/>
  <c r="AM905" i="10"/>
  <c r="AK850" i="10"/>
  <c r="AJ865" i="10"/>
  <c r="AO905" i="10"/>
  <c r="AS2129" i="10"/>
  <c r="AW2643" i="10"/>
  <c r="AO865" i="10"/>
  <c r="AV731" i="10"/>
  <c r="AT873" i="10"/>
  <c r="AJ1774" i="10"/>
  <c r="AM2399" i="10"/>
  <c r="AR1765" i="10"/>
  <c r="AS769" i="10"/>
  <c r="AQ857" i="10"/>
  <c r="AM857" i="10"/>
  <c r="AJ2492" i="10"/>
  <c r="AV1785" i="10"/>
  <c r="AO1928" i="10"/>
  <c r="AT2724" i="10"/>
  <c r="AL2680" i="10"/>
  <c r="AQ1970" i="10"/>
  <c r="AJ1854" i="10"/>
  <c r="AP2573" i="10"/>
  <c r="AM2691" i="10"/>
  <c r="AO1839" i="10"/>
  <c r="AX1426" i="10"/>
  <c r="AJ1602" i="10"/>
  <c r="AM1859" i="10"/>
  <c r="AO2648" i="10"/>
  <c r="AQ1805" i="10"/>
  <c r="AV2696" i="10"/>
  <c r="AN2696" i="10"/>
  <c r="AQ2696" i="10"/>
  <c r="AU2696" i="10"/>
  <c r="AK2696" i="10"/>
  <c r="AL2628" i="10"/>
  <c r="AX2628" i="10"/>
  <c r="AV2460" i="10"/>
  <c r="AO2460" i="10"/>
  <c r="AW2460" i="10"/>
  <c r="AJ2460" i="10"/>
  <c r="AQ2460" i="10"/>
  <c r="AP2063" i="10"/>
  <c r="AS2063" i="10"/>
  <c r="AM2063" i="10"/>
  <c r="AV2063" i="10"/>
  <c r="AM1912" i="10"/>
  <c r="AX1912" i="10"/>
  <c r="AS1747" i="10"/>
  <c r="AN1747" i="10"/>
  <c r="AW1747" i="10"/>
  <c r="AR1747" i="10"/>
  <c r="AT1747" i="10"/>
  <c r="AJ1542" i="10"/>
  <c r="AO1542" i="10"/>
  <c r="AX1542" i="10"/>
  <c r="AK1542" i="10"/>
  <c r="AQ1489" i="10"/>
  <c r="AS1489" i="10"/>
  <c r="AK1489" i="10"/>
  <c r="AT1288" i="10"/>
  <c r="AN1288" i="10"/>
  <c r="AW1288" i="10"/>
  <c r="AJ1140" i="10"/>
  <c r="AU1140" i="10"/>
  <c r="AN960" i="10"/>
  <c r="AJ960" i="10"/>
  <c r="AP865" i="10"/>
  <c r="AS885" i="10"/>
  <c r="AW1713" i="10"/>
  <c r="AV910" i="10"/>
  <c r="AU2538" i="10"/>
  <c r="AS2460" i="10"/>
  <c r="AR2573" i="10"/>
  <c r="AM2696" i="10"/>
  <c r="AU2573" i="10"/>
  <c r="AW1310" i="10"/>
  <c r="AJ726" i="10"/>
  <c r="AV905" i="10"/>
  <c r="AL731" i="10"/>
  <c r="AJ873" i="10"/>
  <c r="AV1774" i="10"/>
  <c r="AP1765" i="10"/>
  <c r="AV1765" i="10"/>
  <c r="AM1761" i="10"/>
  <c r="AT910" i="10"/>
  <c r="AO857" i="10"/>
  <c r="AX2701" i="10"/>
  <c r="AP2492" i="10"/>
  <c r="AJ2594" i="10"/>
  <c r="AO1854" i="10"/>
  <c r="AW2724" i="10"/>
  <c r="AJ1912" i="10"/>
  <c r="AR2680" i="10"/>
  <c r="AV1970" i="10"/>
  <c r="AQ1854" i="10"/>
  <c r="AM1747" i="10"/>
  <c r="AM2460" i="10"/>
  <c r="AS2573" i="10"/>
  <c r="AQ1839" i="10"/>
  <c r="AR1703" i="10"/>
  <c r="AT1426" i="10"/>
  <c r="AJ1288" i="10"/>
  <c r="AW1602" i="10"/>
  <c r="AO1489" i="10"/>
  <c r="AT1859" i="10"/>
  <c r="AJ1414" i="10"/>
  <c r="AT2651" i="10"/>
  <c r="AK1649" i="10"/>
  <c r="AJ1852" i="10"/>
  <c r="AT2098" i="10"/>
  <c r="AX2631" i="10"/>
  <c r="AO1639" i="10"/>
  <c r="AW2015" i="10"/>
  <c r="AL921" i="10"/>
  <c r="AR1649" i="10"/>
  <c r="AJ818" i="10"/>
  <c r="AP726" i="10"/>
  <c r="AV2691" i="10"/>
  <c r="AU1455" i="10"/>
  <c r="AX2223" i="10"/>
  <c r="AS989" i="10"/>
  <c r="AT1455" i="10"/>
  <c r="AK1795" i="10"/>
  <c r="AV1866" i="10"/>
  <c r="AQ2098" i="10"/>
  <c r="AN1158" i="10"/>
  <c r="AR726" i="10"/>
  <c r="AJ866" i="10"/>
  <c r="AM2617" i="10"/>
  <c r="AJ1455" i="10"/>
  <c r="AP1795" i="10"/>
  <c r="AR2117" i="10"/>
  <c r="AV1759" i="10"/>
  <c r="AJ2631" i="10"/>
  <c r="AQ969" i="10"/>
  <c r="AN1429" i="10"/>
  <c r="Z19" i="43"/>
  <c r="AR818" i="10"/>
  <c r="AQ2071" i="10"/>
  <c r="AM2643" i="10"/>
  <c r="AV2438" i="10"/>
  <c r="AK2643" i="10"/>
  <c r="AN2597" i="10"/>
  <c r="AJ2661" i="10"/>
  <c r="AR1246" i="10"/>
  <c r="AW1560" i="10"/>
  <c r="AO1745" i="10"/>
  <c r="AO1795" i="10"/>
  <c r="AK2117" i="10"/>
  <c r="AM1943" i="10"/>
  <c r="AQ1560" i="10"/>
  <c r="AP2597" i="10"/>
  <c r="AU1795" i="10"/>
  <c r="AK840" i="10"/>
  <c r="AJ2641" i="10"/>
  <c r="AM2719" i="10"/>
  <c r="AP2661" i="10"/>
  <c r="AX729" i="10"/>
  <c r="AQ2516" i="10"/>
  <c r="AK2617" i="10"/>
  <c r="AN1345" i="10"/>
  <c r="U99" i="45"/>
  <c r="Y17" i="43" s="1"/>
  <c r="AP1397" i="10"/>
  <c r="AR1429" i="10"/>
  <c r="AX1605" i="10"/>
  <c r="AT2015" i="10"/>
  <c r="AW2442" i="10"/>
  <c r="AR887" i="10"/>
  <c r="AU883" i="10"/>
  <c r="AW1605" i="10"/>
  <c r="AJ2617" i="10"/>
  <c r="AK2425" i="10"/>
  <c r="AR2241" i="10"/>
  <c r="AV1620" i="10"/>
  <c r="AJ1329" i="10"/>
  <c r="AT1946" i="10"/>
  <c r="AS2015" i="10"/>
  <c r="AP2728" i="10"/>
  <c r="AT2442" i="10"/>
  <c r="AV2551" i="10"/>
  <c r="AO2442" i="10"/>
  <c r="AJ1351" i="10"/>
  <c r="AS2154" i="10"/>
  <c r="AO1926" i="10"/>
  <c r="AW916" i="10"/>
  <c r="AK1560" i="10"/>
  <c r="AJ1721" i="10"/>
  <c r="AS1639" i="10"/>
  <c r="AP2025" i="10"/>
  <c r="AM1745" i="10"/>
  <c r="AS1857" i="10"/>
  <c r="AN2516" i="10"/>
  <c r="AM2516" i="10"/>
  <c r="AT2659" i="10"/>
  <c r="AT1711" i="10"/>
  <c r="AS998" i="10"/>
  <c r="AT2571" i="10"/>
  <c r="AT1605" i="10"/>
  <c r="AU2319" i="10"/>
  <c r="AR2668" i="10"/>
  <c r="AP2668" i="10"/>
  <c r="AN2668" i="10"/>
  <c r="AV2668" i="10"/>
  <c r="AL2668" i="10"/>
  <c r="AO2668" i="10"/>
  <c r="AM2668" i="10"/>
  <c r="AJ2668" i="10"/>
  <c r="AU2668" i="10"/>
  <c r="AX2668" i="10"/>
  <c r="AW2668" i="10"/>
  <c r="AK2668" i="10"/>
  <c r="AT2668" i="10"/>
  <c r="AT2438" i="10"/>
  <c r="AO2438" i="10"/>
  <c r="AX2438" i="10"/>
  <c r="AS2438" i="10"/>
  <c r="AK2438" i="10"/>
  <c r="AT2277" i="10"/>
  <c r="AJ2277" i="10"/>
  <c r="AR2277" i="10"/>
  <c r="AV2277" i="10"/>
  <c r="AN2226" i="10"/>
  <c r="AL2226" i="10"/>
  <c r="AP2226" i="10"/>
  <c r="AR2226" i="10"/>
  <c r="AJ2226" i="10"/>
  <c r="AM2148" i="10"/>
  <c r="AJ2148" i="10"/>
  <c r="AR1931" i="10"/>
  <c r="AJ1931" i="10"/>
  <c r="AN1931" i="10"/>
  <c r="AO1884" i="10"/>
  <c r="AM1884" i="10"/>
  <c r="AS1884" i="10"/>
  <c r="AK1884" i="10"/>
  <c r="AU1884" i="10"/>
  <c r="AR1884" i="10"/>
  <c r="AX1884" i="10"/>
  <c r="AP1884" i="10"/>
  <c r="AP1837" i="10"/>
  <c r="AR1837" i="10"/>
  <c r="AT1837" i="10"/>
  <c r="AU1837" i="10"/>
  <c r="AQ1837" i="10"/>
  <c r="AW1837" i="10"/>
  <c r="AM1837" i="10"/>
  <c r="AK1837" i="10"/>
  <c r="AS1837" i="10"/>
  <c r="AO1837" i="10"/>
  <c r="AL1837" i="10"/>
  <c r="AX1837" i="10"/>
  <c r="AV1837" i="10"/>
  <c r="AT1793" i="10"/>
  <c r="AL1793" i="10"/>
  <c r="AR1793" i="10"/>
  <c r="AW1793" i="10"/>
  <c r="AQ1793" i="10"/>
  <c r="AV1793" i="10"/>
  <c r="AK1793" i="10"/>
  <c r="AJ1793" i="10"/>
  <c r="AU1793" i="10"/>
  <c r="AM1793" i="10"/>
  <c r="AX1793" i="10"/>
  <c r="AN1793" i="10"/>
  <c r="AM1492" i="10"/>
  <c r="AN1492" i="10"/>
  <c r="AO1492" i="10"/>
  <c r="AJ1492" i="10"/>
  <c r="AX1492" i="10"/>
  <c r="AK1492" i="10"/>
  <c r="AT1492" i="10"/>
  <c r="AL1492" i="10"/>
  <c r="AO1110" i="10"/>
  <c r="AS1110" i="10"/>
  <c r="AU1110" i="10"/>
  <c r="AR1110" i="10"/>
  <c r="AW1110" i="10"/>
  <c r="AJ1110" i="10"/>
  <c r="AV1110" i="10"/>
  <c r="AK1110" i="10"/>
  <c r="AL1110" i="10"/>
  <c r="AQ1110" i="10"/>
  <c r="AX1110" i="10"/>
  <c r="AP1110" i="10"/>
  <c r="AM1110" i="10"/>
  <c r="AO2298" i="10"/>
  <c r="AN2617" i="10"/>
  <c r="AV2678" i="10"/>
  <c r="AU1931" i="10"/>
  <c r="AV2319" i="10"/>
  <c r="AQ2298" i="10"/>
  <c r="AJ1605" i="10"/>
  <c r="AT2617" i="10"/>
  <c r="AT2425" i="10"/>
  <c r="AJ869" i="10"/>
  <c r="AS2678" i="10"/>
  <c r="AW1620" i="10"/>
  <c r="AQ1329" i="10"/>
  <c r="AP2015" i="10"/>
  <c r="AV2015" i="10"/>
  <c r="AP2576" i="10"/>
  <c r="AJ2728" i="10"/>
  <c r="AQ2597" i="10"/>
  <c r="AU2551" i="10"/>
  <c r="AV2442" i="10"/>
  <c r="AK1852" i="10"/>
  <c r="AJ1926" i="10"/>
  <c r="AK916" i="10"/>
  <c r="AT1560" i="10"/>
  <c r="AS1220" i="10"/>
  <c r="AL2025" i="10"/>
  <c r="AN2521" i="10"/>
  <c r="AJ1429" i="10"/>
  <c r="AS1852" i="10"/>
  <c r="AX2154" i="10"/>
  <c r="AK1690" i="10"/>
  <c r="AV1768" i="10"/>
  <c r="AO1793" i="10"/>
  <c r="AP1793" i="10"/>
  <c r="AN2319" i="10"/>
  <c r="AQ2699" i="10"/>
  <c r="AU2699" i="10"/>
  <c r="AK2699" i="10"/>
  <c r="AP2699" i="10"/>
  <c r="AW2277" i="10"/>
  <c r="AO2425" i="10"/>
  <c r="AL2678" i="10"/>
  <c r="AQ1946" i="10"/>
  <c r="AK2015" i="10"/>
  <c r="AL2576" i="10"/>
  <c r="AN2442" i="10"/>
  <c r="AQ869" i="10"/>
  <c r="AR1381" i="10"/>
  <c r="AQ1852" i="10"/>
  <c r="AM1560" i="10"/>
  <c r="Y129" i="45"/>
  <c r="AM2576" i="10"/>
  <c r="AT2597" i="10"/>
  <c r="AN2438" i="10"/>
  <c r="AS2551" i="10"/>
  <c r="AU2442" i="10"/>
  <c r="AM869" i="10"/>
  <c r="AV1381" i="10"/>
  <c r="AN1852" i="10"/>
  <c r="AK952" i="10"/>
  <c r="AU1237" i="10"/>
  <c r="AR1803" i="10"/>
  <c r="AN1220" i="10"/>
  <c r="AM2442" i="10"/>
  <c r="AV1857" i="10"/>
  <c r="AS2521" i="10"/>
  <c r="AQ1492" i="10"/>
  <c r="AJ2236" i="10"/>
  <c r="AM1931" i="10"/>
  <c r="AL712" i="10"/>
  <c r="AQ2127" i="10"/>
  <c r="AK883" i="10"/>
  <c r="AW2699" i="10"/>
  <c r="AP2716" i="10"/>
  <c r="AJ813" i="10"/>
  <c r="AJ824" i="10"/>
  <c r="AR2425" i="10"/>
  <c r="AK2298" i="10"/>
  <c r="AP2425" i="10"/>
  <c r="AK2277" i="10"/>
  <c r="AT2241" i="10"/>
  <c r="W129" i="45"/>
  <c r="AR2526" i="10"/>
  <c r="AK2728" i="10"/>
  <c r="AR2576" i="10"/>
  <c r="AJ2015" i="10"/>
  <c r="AR2597" i="10"/>
  <c r="AW2438" i="10"/>
  <c r="AX2551" i="10"/>
  <c r="AR2442" i="10"/>
  <c r="AU1852" i="10"/>
  <c r="AW952" i="10"/>
  <c r="AM1237" i="10"/>
  <c r="AW1857" i="10"/>
  <c r="AO2521" i="10"/>
  <c r="AU1329" i="10"/>
  <c r="AU1492" i="10"/>
  <c r="AU1381" i="10"/>
  <c r="AV1253" i="10"/>
  <c r="AO1424" i="10"/>
  <c r="AW1323" i="10"/>
  <c r="AV887" i="10"/>
  <c r="AK824" i="10"/>
  <c r="AS2298" i="10"/>
  <c r="AV2298" i="10"/>
  <c r="AO2277" i="10"/>
  <c r="AV2597" i="10"/>
  <c r="AW2597" i="10"/>
  <c r="AN2015" i="10"/>
  <c r="AK2597" i="10"/>
  <c r="AR2438" i="10"/>
  <c r="AX952" i="10"/>
  <c r="AO1237" i="10"/>
  <c r="AS1492" i="10"/>
  <c r="AW1492" i="10"/>
  <c r="AV2236" i="10"/>
  <c r="AX2597" i="10"/>
  <c r="AR2728" i="10"/>
  <c r="AN2728" i="10"/>
  <c r="AX2728" i="10"/>
  <c r="AM2728" i="10"/>
  <c r="AW2728" i="10"/>
  <c r="AL2728" i="10"/>
  <c r="AW2716" i="10"/>
  <c r="AS2716" i="10"/>
  <c r="AU2716" i="10"/>
  <c r="AT2716" i="10"/>
  <c r="AR2716" i="10"/>
  <c r="AO2716" i="10"/>
  <c r="AK2716" i="10"/>
  <c r="AQ2716" i="10"/>
  <c r="AQ2688" i="10"/>
  <c r="AP2688" i="10"/>
  <c r="AL2688" i="10"/>
  <c r="AW2688" i="10"/>
  <c r="AO2688" i="10"/>
  <c r="AU2688" i="10"/>
  <c r="AV2688" i="10"/>
  <c r="AK2688" i="10"/>
  <c r="AX2688" i="10"/>
  <c r="AN2688" i="10"/>
  <c r="AM2688" i="10"/>
  <c r="AT2688" i="10"/>
  <c r="AR2688" i="10"/>
  <c r="AU2678" i="10"/>
  <c r="AT2678" i="10"/>
  <c r="AO2678" i="10"/>
  <c r="AM2678" i="10"/>
  <c r="AX2678" i="10"/>
  <c r="AR2678" i="10"/>
  <c r="AN2678" i="10"/>
  <c r="AJ2678" i="10"/>
  <c r="AW2678" i="10"/>
  <c r="AK2678" i="10"/>
  <c r="AP2626" i="10"/>
  <c r="AS2626" i="10"/>
  <c r="AO2626" i="10"/>
  <c r="AR2626" i="10"/>
  <c r="AV2626" i="10"/>
  <c r="AT2626" i="10"/>
  <c r="AL2626" i="10"/>
  <c r="AN2613" i="10"/>
  <c r="AQ2613" i="10"/>
  <c r="AO2613" i="10"/>
  <c r="AJ2613" i="10"/>
  <c r="AS2613" i="10"/>
  <c r="AP2613" i="10"/>
  <c r="AX2613" i="10"/>
  <c r="AK2613" i="10"/>
  <c r="AW2576" i="10"/>
  <c r="AV2576" i="10"/>
  <c r="AO2576" i="10"/>
  <c r="AU2576" i="10"/>
  <c r="AT2576" i="10"/>
  <c r="AN2576" i="10"/>
  <c r="AS2576" i="10"/>
  <c r="AL2556" i="10"/>
  <c r="AM2556" i="10"/>
  <c r="AN2556" i="10"/>
  <c r="AU2556" i="10"/>
  <c r="AV2556" i="10"/>
  <c r="AT2556" i="10"/>
  <c r="AW2556" i="10"/>
  <c r="AX2556" i="10"/>
  <c r="AO2556" i="10"/>
  <c r="AS2556" i="10"/>
  <c r="AK2556" i="10"/>
  <c r="AP2556" i="10"/>
  <c r="AJ2556" i="10"/>
  <c r="AQ2556" i="10"/>
  <c r="AV2541" i="10"/>
  <c r="AU2541" i="10"/>
  <c r="AT2541" i="10"/>
  <c r="AR2541" i="10"/>
  <c r="AO2541" i="10"/>
  <c r="AW2541" i="10"/>
  <c r="AX2541" i="10"/>
  <c r="AQ2541" i="10"/>
  <c r="AN2541" i="10"/>
  <c r="AS2541" i="10"/>
  <c r="AM2541" i="10"/>
  <c r="AK2541" i="10"/>
  <c r="AJ2541" i="10"/>
  <c r="AP2526" i="10"/>
  <c r="AJ2526" i="10"/>
  <c r="AN2526" i="10"/>
  <c r="AM2526" i="10"/>
  <c r="AU2526" i="10"/>
  <c r="AO2526" i="10"/>
  <c r="AV2526" i="10"/>
  <c r="AS2526" i="10"/>
  <c r="AL2526" i="10"/>
  <c r="AW2521" i="10"/>
  <c r="AK2521" i="10"/>
  <c r="AU2521" i="10"/>
  <c r="AR2521" i="10"/>
  <c r="AP2521" i="10"/>
  <c r="AQ2521" i="10"/>
  <c r="AM2521" i="10"/>
  <c r="AX2521" i="10"/>
  <c r="AL2521" i="10"/>
  <c r="AR2490" i="10"/>
  <c r="AO2490" i="10"/>
  <c r="AK2490" i="10"/>
  <c r="AU2490" i="10"/>
  <c r="AW2490" i="10"/>
  <c r="AT2490" i="10"/>
  <c r="AX2490" i="10"/>
  <c r="AV2490" i="10"/>
  <c r="AP2490" i="10"/>
  <c r="AL2490" i="10"/>
  <c r="AQ2490" i="10"/>
  <c r="AS2490" i="10"/>
  <c r="AM2490" i="10"/>
  <c r="AJ2490" i="10"/>
  <c r="AN2490" i="10"/>
  <c r="AX2469" i="10"/>
  <c r="AM2469" i="10"/>
  <c r="AQ2469" i="10"/>
  <c r="AN2469" i="10"/>
  <c r="AK2469" i="10"/>
  <c r="AT2469" i="10"/>
  <c r="AS2469" i="10"/>
  <c r="AL2469" i="10"/>
  <c r="AR2469" i="10"/>
  <c r="AU2469" i="10"/>
  <c r="AW2469" i="10"/>
  <c r="AP2469" i="10"/>
  <c r="AV2469" i="10"/>
  <c r="AO2469" i="10"/>
  <c r="AR2360" i="10"/>
  <c r="AU2360" i="10"/>
  <c r="AS2360" i="10"/>
  <c r="AP2360" i="10"/>
  <c r="AT2360" i="10"/>
  <c r="AM2360" i="10"/>
  <c r="AQ2360" i="10"/>
  <c r="AK2360" i="10"/>
  <c r="AO2360" i="10"/>
  <c r="AW2360" i="10"/>
  <c r="AV2360" i="10"/>
  <c r="AJ2360" i="10"/>
  <c r="AU2335" i="10"/>
  <c r="AM2335" i="10"/>
  <c r="AX2335" i="10"/>
  <c r="AS2335" i="10"/>
  <c r="AV2335" i="10"/>
  <c r="AJ2335" i="10"/>
  <c r="AK2335" i="10"/>
  <c r="AP2335" i="10"/>
  <c r="AO2335" i="10"/>
  <c r="AL2335" i="10"/>
  <c r="AQ2335" i="10"/>
  <c r="AR2335" i="10"/>
  <c r="AN2325" i="10"/>
  <c r="AU2325" i="10"/>
  <c r="AP2325" i="10"/>
  <c r="AJ2325" i="10"/>
  <c r="AW2325" i="10"/>
  <c r="AM2325" i="10"/>
  <c r="AO2325" i="10"/>
  <c r="AL2325" i="10"/>
  <c r="AX2325" i="10"/>
  <c r="AT2325" i="10"/>
  <c r="AQ2325" i="10"/>
  <c r="AK2325" i="10"/>
  <c r="AR2325" i="10"/>
  <c r="AV2325" i="10"/>
  <c r="AQ2271" i="10"/>
  <c r="AR2271" i="10"/>
  <c r="AP2271" i="10"/>
  <c r="AS2271" i="10"/>
  <c r="AW2271" i="10"/>
  <c r="AM2271" i="10"/>
  <c r="AT2271" i="10"/>
  <c r="AV2271" i="10"/>
  <c r="AJ2271" i="10"/>
  <c r="AU2241" i="10"/>
  <c r="AX2241" i="10"/>
  <c r="AO2241" i="10"/>
  <c r="AP2241" i="10"/>
  <c r="AS2241" i="10"/>
  <c r="AQ2241" i="10"/>
  <c r="AV2241" i="10"/>
  <c r="AJ2241" i="10"/>
  <c r="AS2230" i="10"/>
  <c r="AW2230" i="10"/>
  <c r="AJ2230" i="10"/>
  <c r="AX2230" i="10"/>
  <c r="AK2230" i="10"/>
  <c r="AP2154" i="10"/>
  <c r="AT2154" i="10"/>
  <c r="AR2154" i="10"/>
  <c r="AM2154" i="10"/>
  <c r="AN2154" i="10"/>
  <c r="AO2154" i="10"/>
  <c r="AJ2154" i="10"/>
  <c r="AV2154" i="10"/>
  <c r="AU2154" i="10"/>
  <c r="AP2098" i="10"/>
  <c r="AU2098" i="10"/>
  <c r="AJ2098" i="10"/>
  <c r="AK2098" i="10"/>
  <c r="AV2098" i="10"/>
  <c r="AR2098" i="10"/>
  <c r="AN2098" i="10"/>
  <c r="AW2098" i="10"/>
  <c r="AL2098" i="10"/>
  <c r="AX2098" i="10"/>
  <c r="AP2066" i="10"/>
  <c r="AK2066" i="10"/>
  <c r="AW2066" i="10"/>
  <c r="AX2066" i="10"/>
  <c r="AL2066" i="10"/>
  <c r="AV2066" i="10"/>
  <c r="AJ2066" i="10"/>
  <c r="AM2066" i="10"/>
  <c r="AO2066" i="10"/>
  <c r="AU2066" i="10"/>
  <c r="AQ2025" i="10"/>
  <c r="AJ2025" i="10"/>
  <c r="AR2025" i="10"/>
  <c r="AR2015" i="10"/>
  <c r="AX2015" i="10"/>
  <c r="AU2015" i="10"/>
  <c r="AM2015" i="10"/>
  <c r="AQ2015" i="10"/>
  <c r="AJ1996" i="10"/>
  <c r="AR1996" i="10"/>
  <c r="AW1996" i="10"/>
  <c r="AQ1996" i="10"/>
  <c r="AX1996" i="10"/>
  <c r="AS1996" i="10"/>
  <c r="AP1996" i="10"/>
  <c r="AM1996" i="10"/>
  <c r="AL1996" i="10"/>
  <c r="AV1996" i="10"/>
  <c r="AN1996" i="10"/>
  <c r="AO1996" i="10"/>
  <c r="AV1964" i="10"/>
  <c r="AS1964" i="10"/>
  <c r="AT1964" i="10"/>
  <c r="AM1964" i="10"/>
  <c r="AO1964" i="10"/>
  <c r="AK1964" i="10"/>
  <c r="AN1964" i="10"/>
  <c r="AR1964" i="10"/>
  <c r="AQ1964" i="10"/>
  <c r="AJ1964" i="10"/>
  <c r="AW1964" i="10"/>
  <c r="AU1964" i="10"/>
  <c r="AP1964" i="10"/>
  <c r="AU1900" i="10"/>
  <c r="AS1900" i="10"/>
  <c r="AJ1900" i="10"/>
  <c r="AM1900" i="10"/>
  <c r="AN1900" i="10"/>
  <c r="AO1863" i="10"/>
  <c r="AS1863" i="10"/>
  <c r="AW1863" i="10"/>
  <c r="AK1863" i="10"/>
  <c r="AM1863" i="10"/>
  <c r="AT1863" i="10"/>
  <c r="AJ1863" i="10"/>
  <c r="AX1863" i="10"/>
  <c r="AQ1863" i="10"/>
  <c r="AV1863" i="10"/>
  <c r="AU1863" i="10"/>
  <c r="AL1863" i="10"/>
  <c r="AQ1857" i="10"/>
  <c r="AK1857" i="10"/>
  <c r="AM1857" i="10"/>
  <c r="AX1857" i="10"/>
  <c r="AU1857" i="10"/>
  <c r="AR1857" i="10"/>
  <c r="AT1857" i="10"/>
  <c r="AJ1857" i="10"/>
  <c r="AO1857" i="10"/>
  <c r="AJ1822" i="10"/>
  <c r="AM1822" i="10"/>
  <c r="AS1822" i="10"/>
  <c r="AP1822" i="10"/>
  <c r="AT1822" i="10"/>
  <c r="AM1803" i="10"/>
  <c r="AQ1803" i="10"/>
  <c r="AU1803" i="10"/>
  <c r="AN1803" i="10"/>
  <c r="AQ1768" i="10"/>
  <c r="AT1768" i="10"/>
  <c r="AK1768" i="10"/>
  <c r="AW1768" i="10"/>
  <c r="AR1768" i="10"/>
  <c r="AO1768" i="10"/>
  <c r="AP1768" i="10"/>
  <c r="AS1768" i="10"/>
  <c r="AU1768" i="10"/>
  <c r="AN1768" i="10"/>
  <c r="AL1768" i="10"/>
  <c r="AX1768" i="10"/>
  <c r="AM1759" i="10"/>
  <c r="AU1759" i="10"/>
  <c r="AQ1759" i="10"/>
  <c r="AN1759" i="10"/>
  <c r="AS1759" i="10"/>
  <c r="AK1759" i="10"/>
  <c r="AJ1759" i="10"/>
  <c r="AR1759" i="10"/>
  <c r="AP1759" i="10"/>
  <c r="AL1759" i="10"/>
  <c r="AO1759" i="10"/>
  <c r="AW1759" i="10"/>
  <c r="AT1759" i="10"/>
  <c r="AS1745" i="10"/>
  <c r="AU1745" i="10"/>
  <c r="AP1745" i="10"/>
  <c r="AL1745" i="10"/>
  <c r="AW1745" i="10"/>
  <c r="AX1745" i="10"/>
  <c r="AN1745" i="10"/>
  <c r="AV1745" i="10"/>
  <c r="AT1745" i="10"/>
  <c r="AS1711" i="10"/>
  <c r="AV1711" i="10"/>
  <c r="AU1711" i="10"/>
  <c r="AM1711" i="10"/>
  <c r="AP1711" i="10"/>
  <c r="AQ1711" i="10"/>
  <c r="AN1711" i="10"/>
  <c r="AR1711" i="10"/>
  <c r="AO1711" i="10"/>
  <c r="AR1695" i="10"/>
  <c r="AK1695" i="10"/>
  <c r="AL1695" i="10"/>
  <c r="AO1695" i="10"/>
  <c r="AQ1695" i="10"/>
  <c r="AP1695" i="10"/>
  <c r="AT1695" i="10"/>
  <c r="AS1695" i="10"/>
  <c r="AN1695" i="10"/>
  <c r="AV1695" i="10"/>
  <c r="AU1695" i="10"/>
  <c r="AV1654" i="10"/>
  <c r="AP1654" i="10"/>
  <c r="AQ1654" i="10"/>
  <c r="AO1654" i="10"/>
  <c r="AM1654" i="10"/>
  <c r="AN1654" i="10"/>
  <c r="AS1654" i="10"/>
  <c r="AJ1654" i="10"/>
  <c r="AT1654" i="10"/>
  <c r="AL1654" i="10"/>
  <c r="AU1630" i="10"/>
  <c r="AM1630" i="10"/>
  <c r="AK1630" i="10"/>
  <c r="AS1630" i="10"/>
  <c r="AO1630" i="10"/>
  <c r="AR1630" i="10"/>
  <c r="AT1630" i="10"/>
  <c r="AP1630" i="10"/>
  <c r="AV1630" i="10"/>
  <c r="AJ1630" i="10"/>
  <c r="AN1630" i="10"/>
  <c r="AL1630" i="10"/>
  <c r="AQ1630" i="10"/>
  <c r="AN1620" i="10"/>
  <c r="AU1620" i="10"/>
  <c r="AS1620" i="10"/>
  <c r="AP1620" i="10"/>
  <c r="AO1620" i="10"/>
  <c r="AQ1620" i="10"/>
  <c r="AM1620" i="10"/>
  <c r="AR1620" i="10"/>
  <c r="AK1620" i="10"/>
  <c r="AT1620" i="10"/>
  <c r="AJ1620" i="10"/>
  <c r="AL1620" i="10"/>
  <c r="AP1571" i="10"/>
  <c r="AQ1571" i="10"/>
  <c r="AV1571" i="10"/>
  <c r="AT1571" i="10"/>
  <c r="AO1571" i="10"/>
  <c r="AM1571" i="10"/>
  <c r="AN1571" i="10"/>
  <c r="AS1571" i="10"/>
  <c r="AU1571" i="10"/>
  <c r="AK1571" i="10"/>
  <c r="AJ1571" i="10"/>
  <c r="AL1571" i="10"/>
  <c r="AM1555" i="10"/>
  <c r="AL1555" i="10"/>
  <c r="AW1555" i="10"/>
  <c r="AV1555" i="10"/>
  <c r="AR1555" i="10"/>
  <c r="AQ1555" i="10"/>
  <c r="AN1545" i="10"/>
  <c r="AM1545" i="10"/>
  <c r="AR1545" i="10"/>
  <c r="AK1545" i="10"/>
  <c r="AW1545" i="10"/>
  <c r="AT1545" i="10"/>
  <c r="AL1545" i="10"/>
  <c r="AX1545" i="10"/>
  <c r="AO1545" i="10"/>
  <c r="AS1545" i="10"/>
  <c r="AP1545" i="10"/>
  <c r="AV1545" i="10"/>
  <c r="AR1529" i="10"/>
  <c r="AN1529" i="10"/>
  <c r="AM1529" i="10"/>
  <c r="AV1529" i="10"/>
  <c r="AP1529" i="10"/>
  <c r="AT1529" i="10"/>
  <c r="AU1529" i="10"/>
  <c r="AJ1529" i="10"/>
  <c r="AS1529" i="10"/>
  <c r="AK1529" i="10"/>
  <c r="AO1529" i="10"/>
  <c r="AL1424" i="10"/>
  <c r="AS1424" i="10"/>
  <c r="AP1424" i="10"/>
  <c r="AJ1424" i="10"/>
  <c r="AK1424" i="10"/>
  <c r="AV1424" i="10"/>
  <c r="AT1424" i="10"/>
  <c r="AN1424" i="10"/>
  <c r="AR1424" i="10"/>
  <c r="AM1424" i="10"/>
  <c r="AQ1424" i="10"/>
  <c r="AR1392" i="10"/>
  <c r="AS1392" i="10"/>
  <c r="AX1392" i="10"/>
  <c r="AQ1392" i="10"/>
  <c r="AM1392" i="10"/>
  <c r="AU1392" i="10"/>
  <c r="AN1392" i="10"/>
  <c r="AW1392" i="10"/>
  <c r="AO1392" i="10"/>
  <c r="AL1392" i="10"/>
  <c r="AO1381" i="10"/>
  <c r="AX1381" i="10"/>
  <c r="AM1381" i="10"/>
  <c r="AN1381" i="10"/>
  <c r="AQ1381" i="10"/>
  <c r="AT1381" i="10"/>
  <c r="AP1381" i="10"/>
  <c r="AK1381" i="10"/>
  <c r="AL1381" i="10"/>
  <c r="AR1351" i="10"/>
  <c r="AU1351" i="10"/>
  <c r="AL1351" i="10"/>
  <c r="AO1351" i="10"/>
  <c r="AQ1351" i="10"/>
  <c r="AX1351" i="10"/>
  <c r="AS1351" i="10"/>
  <c r="AT1351" i="10"/>
  <c r="AV1351" i="10"/>
  <c r="AP1351" i="10"/>
  <c r="AK1351" i="10"/>
  <c r="AM1340" i="10"/>
  <c r="AS1340" i="10"/>
  <c r="AL1340" i="10"/>
  <c r="AU1340" i="10"/>
  <c r="AO1340" i="10"/>
  <c r="AN1340" i="10"/>
  <c r="AX1340" i="10"/>
  <c r="AQ1340" i="10"/>
  <c r="AT1340" i="10"/>
  <c r="AR1340" i="10"/>
  <c r="AV1340" i="10"/>
  <c r="AP1340" i="10"/>
  <c r="AJ1340" i="10"/>
  <c r="AW1340" i="10"/>
  <c r="AK1340" i="10"/>
  <c r="AR1329" i="10"/>
  <c r="AM1329" i="10"/>
  <c r="AO1329" i="10"/>
  <c r="AP1329" i="10"/>
  <c r="AK1329" i="10"/>
  <c r="AX1329" i="10"/>
  <c r="AS1329" i="10"/>
  <c r="AV1329" i="10"/>
  <c r="AN1329" i="10"/>
  <c r="AT1329" i="10"/>
  <c r="AW1303" i="10"/>
  <c r="AV1303" i="10"/>
  <c r="AN1303" i="10"/>
  <c r="AJ1303" i="10"/>
  <c r="AR1303" i="10"/>
  <c r="AU1303" i="10"/>
  <c r="AQ1303" i="10"/>
  <c r="AM1303" i="10"/>
  <c r="AP1303" i="10"/>
  <c r="AQ1237" i="10"/>
  <c r="AR1237" i="10"/>
  <c r="AJ1237" i="10"/>
  <c r="AT1237" i="10"/>
  <c r="AP1237" i="10"/>
  <c r="AS1237" i="10"/>
  <c r="AU1220" i="10"/>
  <c r="AW1220" i="10"/>
  <c r="AM1220" i="10"/>
  <c r="AO1220" i="10"/>
  <c r="AV1220" i="10"/>
  <c r="AL1220" i="10"/>
  <c r="AP1220" i="10"/>
  <c r="AX1220" i="10"/>
  <c r="AR1220" i="10"/>
  <c r="AT1220" i="10"/>
  <c r="AK1220" i="10"/>
  <c r="AK1192" i="10"/>
  <c r="AU1192" i="10"/>
  <c r="AV1192" i="10"/>
  <c r="AN1192" i="10"/>
  <c r="AO1192" i="10"/>
  <c r="AW1192" i="10"/>
  <c r="AT1192" i="10"/>
  <c r="AJ1192" i="10"/>
  <c r="AM1192" i="10"/>
  <c r="AL1192" i="10"/>
  <c r="AP1192" i="10"/>
  <c r="AR1192" i="10"/>
  <c r="AX1192" i="10"/>
  <c r="AM1171" i="10"/>
  <c r="AO1171" i="10"/>
  <c r="AV1171" i="10"/>
  <c r="AN1171" i="10"/>
  <c r="AX1171" i="10"/>
  <c r="AT1171" i="10"/>
  <c r="AS1171" i="10"/>
  <c r="AQ1171" i="10"/>
  <c r="AP1171" i="10"/>
  <c r="AR1171" i="10"/>
  <c r="AL1171" i="10"/>
  <c r="AU1171" i="10"/>
  <c r="AJ1171" i="10"/>
  <c r="AK1171" i="10"/>
  <c r="AW1138" i="10"/>
  <c r="AU1138" i="10"/>
  <c r="AK1138" i="10"/>
  <c r="AJ1138" i="10"/>
  <c r="AL1138" i="10"/>
  <c r="AX1138" i="10"/>
  <c r="AV1138" i="10"/>
  <c r="AO1138" i="10"/>
  <c r="AP1138" i="10"/>
  <c r="AR1138" i="10"/>
  <c r="AS1138" i="10"/>
  <c r="AM1104" i="10"/>
  <c r="AP1104" i="10"/>
  <c r="AX1104" i="10"/>
  <c r="AQ1104" i="10"/>
  <c r="AS1104" i="10"/>
  <c r="AR1104" i="10"/>
  <c r="AO1104" i="10"/>
  <c r="AJ1104" i="10"/>
  <c r="AK1104" i="10"/>
  <c r="AT1104" i="10"/>
  <c r="AW1104" i="10"/>
  <c r="AP1092" i="10"/>
  <c r="AX1092" i="10"/>
  <c r="AQ1092" i="10"/>
  <c r="AU1092" i="10"/>
  <c r="AN1092" i="10"/>
  <c r="AS1092" i="10"/>
  <c r="AV1092" i="10"/>
  <c r="AM1092" i="10"/>
  <c r="AR1092" i="10"/>
  <c r="AO1092" i="10"/>
  <c r="AJ1092" i="10"/>
  <c r="AW1092" i="10"/>
  <c r="AL1092" i="10"/>
  <c r="AT1092" i="10"/>
  <c r="AW1081" i="10"/>
  <c r="AM1081" i="10"/>
  <c r="AN1081" i="10"/>
  <c r="AL1081" i="10"/>
  <c r="AS1081" i="10"/>
  <c r="AU1081" i="10"/>
  <c r="AQ1081" i="10"/>
  <c r="AT1081" i="10"/>
  <c r="AV1081" i="10"/>
  <c r="AX1081" i="10"/>
  <c r="AO1081" i="10"/>
  <c r="AR1081" i="10"/>
  <c r="AW1021" i="10"/>
  <c r="AK1021" i="10"/>
  <c r="AN998" i="10"/>
  <c r="AP998" i="10"/>
  <c r="AX998" i="10"/>
  <c r="AU998" i="10"/>
  <c r="AL998" i="10"/>
  <c r="AM998" i="10"/>
  <c r="AR998" i="10"/>
  <c r="AQ998" i="10"/>
  <c r="AJ998" i="10"/>
  <c r="AW998" i="10"/>
  <c r="AW921" i="10"/>
  <c r="AR921" i="10"/>
  <c r="AX921" i="10"/>
  <c r="AJ921" i="10"/>
  <c r="AN921" i="10"/>
  <c r="AV921" i="10"/>
  <c r="AO921" i="10"/>
  <c r="AK760" i="10"/>
  <c r="AW760" i="10"/>
  <c r="AX760" i="10"/>
  <c r="AK696" i="10"/>
  <c r="AJ696" i="10"/>
  <c r="AW696" i="10"/>
  <c r="AX696" i="10"/>
  <c r="AP2722" i="10"/>
  <c r="AK2722" i="10"/>
  <c r="AR2722" i="10"/>
  <c r="AS2722" i="10"/>
  <c r="AQ2722" i="10"/>
  <c r="AT2722" i="10"/>
  <c r="AM2722" i="10"/>
  <c r="AU2722" i="10"/>
  <c r="AJ2722" i="10"/>
  <c r="AO2722" i="10"/>
  <c r="AV2722" i="10"/>
  <c r="AN2722" i="10"/>
  <c r="AW2722" i="10"/>
  <c r="AL2722" i="10"/>
  <c r="AX2722" i="10"/>
  <c r="AU2659" i="10"/>
  <c r="AK2659" i="10"/>
  <c r="AL2659" i="10"/>
  <c r="AN2659" i="10"/>
  <c r="AO2659" i="10"/>
  <c r="AP2659" i="10"/>
  <c r="AR2659" i="10"/>
  <c r="AM2659" i="10"/>
  <c r="AV2659" i="10"/>
  <c r="AX2659" i="10"/>
  <c r="AS2659" i="10"/>
  <c r="AW2659" i="10"/>
  <c r="AX2651" i="10"/>
  <c r="AJ2651" i="10"/>
  <c r="AN2651" i="10"/>
  <c r="AK2651" i="10"/>
  <c r="AL2651" i="10"/>
  <c r="AP2651" i="10"/>
  <c r="AM2651" i="10"/>
  <c r="AO2651" i="10"/>
  <c r="AS2651" i="10"/>
  <c r="AR2651" i="10"/>
  <c r="AV2651" i="10"/>
  <c r="AQ2641" i="10"/>
  <c r="AV2641" i="10"/>
  <c r="AT2641" i="10"/>
  <c r="AL2641" i="10"/>
  <c r="AO2641" i="10"/>
  <c r="AS2641" i="10"/>
  <c r="AM2641" i="10"/>
  <c r="AK2641" i="10"/>
  <c r="AR2641" i="10"/>
  <c r="AM2631" i="10"/>
  <c r="AN2631" i="10"/>
  <c r="AQ2631" i="10"/>
  <c r="AT2631" i="10"/>
  <c r="AV2631" i="10"/>
  <c r="AS2631" i="10"/>
  <c r="AO2631" i="10"/>
  <c r="AL2631" i="10"/>
  <c r="AP2631" i="10"/>
  <c r="AL2617" i="10"/>
  <c r="AO2617" i="10"/>
  <c r="AU2617" i="10"/>
  <c r="AW2592" i="10"/>
  <c r="AQ2592" i="10"/>
  <c r="AR2592" i="10"/>
  <c r="AX2592" i="10"/>
  <c r="AO2592" i="10"/>
  <c r="AN2592" i="10"/>
  <c r="AK2592" i="10"/>
  <c r="AS2592" i="10"/>
  <c r="AT2592" i="10"/>
  <c r="AV2592" i="10"/>
  <c r="AP2592" i="10"/>
  <c r="AJ2592" i="10"/>
  <c r="AJ2571" i="10"/>
  <c r="AO2571" i="10"/>
  <c r="AV2571" i="10"/>
  <c r="AK2571" i="10"/>
  <c r="AM2571" i="10"/>
  <c r="AP2571" i="10"/>
  <c r="AN2571" i="10"/>
  <c r="AL2571" i="10"/>
  <c r="AW2571" i="10"/>
  <c r="AX2571" i="10"/>
  <c r="AS2571" i="10"/>
  <c r="AU2571" i="10"/>
  <c r="AT2551" i="10"/>
  <c r="AN2551" i="10"/>
  <c r="AQ2551" i="10"/>
  <c r="AM2551" i="10"/>
  <c r="AP2536" i="10"/>
  <c r="AW2536" i="10"/>
  <c r="AQ2536" i="10"/>
  <c r="AJ2536" i="10"/>
  <c r="AR2516" i="10"/>
  <c r="AT2516" i="10"/>
  <c r="AU2516" i="10"/>
  <c r="AS2516" i="10"/>
  <c r="AW2516" i="10"/>
  <c r="AP2516" i="10"/>
  <c r="AX2516" i="10"/>
  <c r="AP2495" i="10"/>
  <c r="AW2495" i="10"/>
  <c r="AL2495" i="10"/>
  <c r="AQ2495" i="10"/>
  <c r="AX2495" i="10"/>
  <c r="AM2495" i="10"/>
  <c r="AV2495" i="10"/>
  <c r="AK2495" i="10"/>
  <c r="AO2495" i="10"/>
  <c r="AS2495" i="10"/>
  <c r="AT2495" i="10"/>
  <c r="AU2495" i="10"/>
  <c r="AN2495" i="10"/>
  <c r="AJ2495" i="10"/>
  <c r="AO2463" i="10"/>
  <c r="AL2463" i="10"/>
  <c r="AN2463" i="10"/>
  <c r="AS2463" i="10"/>
  <c r="AR2463" i="10"/>
  <c r="AQ2463" i="10"/>
  <c r="AP2463" i="10"/>
  <c r="AK2463" i="10"/>
  <c r="AU2463" i="10"/>
  <c r="AV2463" i="10"/>
  <c r="AX2463" i="10"/>
  <c r="AM2463" i="10"/>
  <c r="AJ2463" i="10"/>
  <c r="AT2463" i="10"/>
  <c r="AW2463" i="10"/>
  <c r="AK2442" i="10"/>
  <c r="AP2442" i="10"/>
  <c r="AJ2442" i="10"/>
  <c r="AQ2442" i="10"/>
  <c r="AU2425" i="10"/>
  <c r="AJ2425" i="10"/>
  <c r="AX2425" i="10"/>
  <c r="AU2419" i="10"/>
  <c r="AT2419" i="10"/>
  <c r="AM2419" i="10"/>
  <c r="AN2419" i="10"/>
  <c r="AV2419" i="10"/>
  <c r="AS2419" i="10"/>
  <c r="AQ2419" i="10"/>
  <c r="AO2419" i="10"/>
  <c r="AR2419" i="10"/>
  <c r="AP2419" i="10"/>
  <c r="AK2419" i="10"/>
  <c r="AX2419" i="10"/>
  <c r="AL2419" i="10"/>
  <c r="AW2419" i="10"/>
  <c r="AX2397" i="10"/>
  <c r="AJ2397" i="10"/>
  <c r="AO2397" i="10"/>
  <c r="AS2397" i="10"/>
  <c r="AK2397" i="10"/>
  <c r="AR2397" i="10"/>
  <c r="AT2397" i="10"/>
  <c r="AU2397" i="10"/>
  <c r="AM2397" i="10"/>
  <c r="AL2397" i="10"/>
  <c r="AT2381" i="10"/>
  <c r="AP2381" i="10"/>
  <c r="AN2381" i="10"/>
  <c r="AS2381" i="10"/>
  <c r="AK2381" i="10"/>
  <c r="AU2381" i="10"/>
  <c r="AM2381" i="10"/>
  <c r="AX2381" i="10"/>
  <c r="AO2381" i="10"/>
  <c r="AR2381" i="10"/>
  <c r="AO2308" i="10"/>
  <c r="AQ2308" i="10"/>
  <c r="AW2308" i="10"/>
  <c r="AN2308" i="10"/>
  <c r="AK2308" i="10"/>
  <c r="AL2308" i="10"/>
  <c r="AX2308" i="10"/>
  <c r="AP2308" i="10"/>
  <c r="AS2308" i="10"/>
  <c r="AJ2308" i="10"/>
  <c r="AV2308" i="10"/>
  <c r="AM2308" i="10"/>
  <c r="AT2308" i="10"/>
  <c r="AR2236" i="10"/>
  <c r="AQ2236" i="10"/>
  <c r="AU2236" i="10"/>
  <c r="AK2236" i="10"/>
  <c r="AM2236" i="10"/>
  <c r="AP2236" i="10"/>
  <c r="AL2236" i="10"/>
  <c r="AN2236" i="10"/>
  <c r="AO2236" i="10"/>
  <c r="AX2236" i="10"/>
  <c r="AT2236" i="10"/>
  <c r="AL2220" i="10"/>
  <c r="AX2220" i="10"/>
  <c r="AO2220" i="10"/>
  <c r="AN2220" i="10"/>
  <c r="AP2220" i="10"/>
  <c r="AV2220" i="10"/>
  <c r="AJ2220" i="10"/>
  <c r="AT2220" i="10"/>
  <c r="AW2220" i="10"/>
  <c r="AR2199" i="10"/>
  <c r="AO2199" i="10"/>
  <c r="AX2199" i="10"/>
  <c r="AK2199" i="10"/>
  <c r="AP2199" i="10"/>
  <c r="AQ2199" i="10"/>
  <c r="AM2199" i="10"/>
  <c r="AL2199" i="10"/>
  <c r="AT2199" i="10"/>
  <c r="AN2199" i="10"/>
  <c r="AV2199" i="10"/>
  <c r="AS2199" i="10"/>
  <c r="AU2199" i="10"/>
  <c r="AU2127" i="10"/>
  <c r="AS2127" i="10"/>
  <c r="AK2127" i="10"/>
  <c r="AX2127" i="10"/>
  <c r="AR2127" i="10"/>
  <c r="AO2127" i="10"/>
  <c r="AV2127" i="10"/>
  <c r="AT2127" i="10"/>
  <c r="AL2127" i="10"/>
  <c r="AM2127" i="10"/>
  <c r="AN2127" i="10"/>
  <c r="AU2104" i="10"/>
  <c r="AW2104" i="10"/>
  <c r="AT2104" i="10"/>
  <c r="AO2104" i="10"/>
  <c r="AN2104" i="10"/>
  <c r="AJ2104" i="10"/>
  <c r="AM2104" i="10"/>
  <c r="AS2071" i="10"/>
  <c r="AP2071" i="10"/>
  <c r="AU2071" i="10"/>
  <c r="AT2071" i="10"/>
  <c r="AR2071" i="10"/>
  <c r="AM2071" i="10"/>
  <c r="AO2071" i="10"/>
  <c r="AX2071" i="10"/>
  <c r="AV2071" i="10"/>
  <c r="AN2048" i="10"/>
  <c r="AQ2048" i="10"/>
  <c r="AK2048" i="10"/>
  <c r="AV2048" i="10"/>
  <c r="AW2048" i="10"/>
  <c r="AL2048" i="10"/>
  <c r="AJ2048" i="10"/>
  <c r="AR2048" i="10"/>
  <c r="AM2048" i="10"/>
  <c r="AS2048" i="10"/>
  <c r="AO2048" i="10"/>
  <c r="AV2030" i="10"/>
  <c r="AN2030" i="10"/>
  <c r="AJ2030" i="10"/>
  <c r="AR2030" i="10"/>
  <c r="AT2030" i="10"/>
  <c r="AK2030" i="10"/>
  <c r="AM2030" i="10"/>
  <c r="AQ2030" i="10"/>
  <c r="AU2030" i="10"/>
  <c r="AT2020" i="10"/>
  <c r="AS2020" i="10"/>
  <c r="AO2020" i="10"/>
  <c r="AU2020" i="10"/>
  <c r="AX2020" i="10"/>
  <c r="AP2020" i="10"/>
  <c r="AN2020" i="10"/>
  <c r="AR2020" i="10"/>
  <c r="AV2020" i="10"/>
  <c r="AQ2020" i="10"/>
  <c r="AK2020" i="10"/>
  <c r="AJ2020" i="10"/>
  <c r="AW2008" i="10"/>
  <c r="AL2008" i="10"/>
  <c r="AP2008" i="10"/>
  <c r="AU2008" i="10"/>
  <c r="AK2008" i="10"/>
  <c r="AJ2008" i="10"/>
  <c r="AV2008" i="10"/>
  <c r="AN2008" i="10"/>
  <c r="AR2008" i="10"/>
  <c r="AQ2008" i="10"/>
  <c r="AO1986" i="10"/>
  <c r="AX1986" i="10"/>
  <c r="AV1986" i="10"/>
  <c r="AJ1986" i="10"/>
  <c r="AU1986" i="10"/>
  <c r="AM1986" i="10"/>
  <c r="AS1986" i="10"/>
  <c r="AP1986" i="10"/>
  <c r="AR1986" i="10"/>
  <c r="AW1986" i="10"/>
  <c r="AL1986" i="10"/>
  <c r="AT1986" i="10"/>
  <c r="AQ1986" i="10"/>
  <c r="AK1986" i="10"/>
  <c r="AW1956" i="10"/>
  <c r="AJ1956" i="10"/>
  <c r="AQ1956" i="10"/>
  <c r="AK1956" i="10"/>
  <c r="AM1956" i="10"/>
  <c r="AX1956" i="10"/>
  <c r="AS1946" i="10"/>
  <c r="AV1946" i="10"/>
  <c r="AU1946" i="10"/>
  <c r="AW1946" i="10"/>
  <c r="AX1946" i="10"/>
  <c r="AP1946" i="10"/>
  <c r="AV1926" i="10"/>
  <c r="AP1926" i="10"/>
  <c r="AN1926" i="10"/>
  <c r="AL1852" i="10"/>
  <c r="AO1852" i="10"/>
  <c r="AT1852" i="10"/>
  <c r="AP1852" i="10"/>
  <c r="AW1852" i="10"/>
  <c r="AM1852" i="10"/>
  <c r="AN1808" i="10"/>
  <c r="AK1808" i="10"/>
  <c r="AT1808" i="10"/>
  <c r="AO1808" i="10"/>
  <c r="AM1808" i="10"/>
  <c r="AP1808" i="10"/>
  <c r="AX1808" i="10"/>
  <c r="AW1808" i="10"/>
  <c r="AL1808" i="10"/>
  <c r="AJ1808" i="10"/>
  <c r="AU1808" i="10"/>
  <c r="AR1808" i="10"/>
  <c r="AV1808" i="10"/>
  <c r="AQ1808" i="10"/>
  <c r="AS1808" i="10"/>
  <c r="AR1783" i="10"/>
  <c r="AT1783" i="10"/>
  <c r="AN1783" i="10"/>
  <c r="AQ1783" i="10"/>
  <c r="AK1783" i="10"/>
  <c r="AL1783" i="10"/>
  <c r="AW1783" i="10"/>
  <c r="AS1783" i="10"/>
  <c r="AO1783" i="10"/>
  <c r="AP1783" i="10"/>
  <c r="AJ1783" i="10"/>
  <c r="AU1783" i="10"/>
  <c r="AV1783" i="10"/>
  <c r="AX1783" i="10"/>
  <c r="AM1783" i="10"/>
  <c r="AT1721" i="10"/>
  <c r="AU1721" i="10"/>
  <c r="AN1721" i="10"/>
  <c r="AO1721" i="10"/>
  <c r="AS1721" i="10"/>
  <c r="AV1721" i="10"/>
  <c r="AR1721" i="10"/>
  <c r="AL1721" i="10"/>
  <c r="AP1706" i="10"/>
  <c r="AJ1706" i="10"/>
  <c r="AK1706" i="10"/>
  <c r="AT1706" i="10"/>
  <c r="AO1706" i="10"/>
  <c r="AQ1706" i="10"/>
  <c r="AR1659" i="10"/>
  <c r="AJ1659" i="10"/>
  <c r="AU1659" i="10"/>
  <c r="AQ1659" i="10"/>
  <c r="AU1649" i="10"/>
  <c r="AN1649" i="10"/>
  <c r="AO1649" i="10"/>
  <c r="AS1649" i="10"/>
  <c r="AT1649" i="10"/>
  <c r="AV1649" i="10"/>
  <c r="AQ1649" i="10"/>
  <c r="AM1649" i="10"/>
  <c r="AP1649" i="10"/>
  <c r="AV1639" i="10"/>
  <c r="AR1639" i="10"/>
  <c r="AQ1639" i="10"/>
  <c r="AN1639" i="10"/>
  <c r="AU1639" i="10"/>
  <c r="AT1639" i="10"/>
  <c r="AL1639" i="10"/>
  <c r="AW1639" i="10"/>
  <c r="AR1625" i="10"/>
  <c r="AP1625" i="10"/>
  <c r="AQ1625" i="10"/>
  <c r="AM1625" i="10"/>
  <c r="AO1625" i="10"/>
  <c r="AV1625" i="10"/>
  <c r="AN1625" i="10"/>
  <c r="AL1625" i="10"/>
  <c r="AJ1625" i="10"/>
  <c r="AT1625" i="10"/>
  <c r="AU1605" i="10"/>
  <c r="AS1605" i="10"/>
  <c r="AR1605" i="10"/>
  <c r="AK1605" i="10"/>
  <c r="AN1605" i="10"/>
  <c r="AQ1605" i="10"/>
  <c r="AV1605" i="10"/>
  <c r="AP1605" i="10"/>
  <c r="AO1605" i="10"/>
  <c r="AL1605" i="10"/>
  <c r="AU1560" i="10"/>
  <c r="AO1560" i="10"/>
  <c r="AR1560" i="10"/>
  <c r="AN1560" i="10"/>
  <c r="AV1560" i="10"/>
  <c r="AL1560" i="10"/>
  <c r="AS1560" i="10"/>
  <c r="AR1551" i="10"/>
  <c r="AQ1551" i="10"/>
  <c r="AP1551" i="10"/>
  <c r="AJ1551" i="10"/>
  <c r="AX1551" i="10"/>
  <c r="AN1551" i="10"/>
  <c r="AV1551" i="10"/>
  <c r="AO1551" i="10"/>
  <c r="AU1551" i="10"/>
  <c r="AT1551" i="10"/>
  <c r="AM1551" i="10"/>
  <c r="AK1551" i="10"/>
  <c r="AS1551" i="10"/>
  <c r="AL1551" i="10"/>
  <c r="AU1534" i="10"/>
  <c r="AL1534" i="10"/>
  <c r="AR1534" i="10"/>
  <c r="AT1534" i="10"/>
  <c r="AP1534" i="10"/>
  <c r="AK1534" i="10"/>
  <c r="AQ1534" i="10"/>
  <c r="AM1534" i="10"/>
  <c r="AN1487" i="10"/>
  <c r="AQ1487" i="10"/>
  <c r="AM1487" i="10"/>
  <c r="AR1487" i="10"/>
  <c r="AS1487" i="10"/>
  <c r="AJ1487" i="10"/>
  <c r="AK1487" i="10"/>
  <c r="AW1487" i="10"/>
  <c r="AU1487" i="10"/>
  <c r="AT1487" i="10"/>
  <c r="AX1487" i="10"/>
  <c r="AO1487" i="10"/>
  <c r="AV1487" i="10"/>
  <c r="AS1457" i="10"/>
  <c r="AR1457" i="10"/>
  <c r="AO1457" i="10"/>
  <c r="AJ1457" i="10"/>
  <c r="AU1457" i="10"/>
  <c r="AP1457" i="10"/>
  <c r="AT1457" i="10"/>
  <c r="AM1457" i="10"/>
  <c r="AK1457" i="10"/>
  <c r="AR1447" i="10"/>
  <c r="AN1447" i="10"/>
  <c r="AQ1447" i="10"/>
  <c r="AS1447" i="10"/>
  <c r="AT1447" i="10"/>
  <c r="AJ1447" i="10"/>
  <c r="AK1447" i="10"/>
  <c r="AU1447" i="10"/>
  <c r="AO1447" i="10"/>
  <c r="AM1447" i="10"/>
  <c r="AP1447" i="10"/>
  <c r="AL1447" i="10"/>
  <c r="AV1447" i="10"/>
  <c r="AW1429" i="10"/>
  <c r="AL1429" i="10"/>
  <c r="AM1429" i="10"/>
  <c r="AS1429" i="10"/>
  <c r="AQ1429" i="10"/>
  <c r="AO1429" i="10"/>
  <c r="AX1429" i="10"/>
  <c r="AT1429" i="10"/>
  <c r="AK1429" i="10"/>
  <c r="AU1397" i="10"/>
  <c r="AL1397" i="10"/>
  <c r="AK1397" i="10"/>
  <c r="AS1397" i="10"/>
  <c r="AT1397" i="10"/>
  <c r="AR1397" i="10"/>
  <c r="AQ1397" i="10"/>
  <c r="AJ1397" i="10"/>
  <c r="AN1397" i="10"/>
  <c r="AM1397" i="10"/>
  <c r="AS1345" i="10"/>
  <c r="AX1345" i="10"/>
  <c r="AV1345" i="10"/>
  <c r="AR1345" i="10"/>
  <c r="AW1345" i="10"/>
  <c r="AQ1345" i="10"/>
  <c r="AJ1345" i="10"/>
  <c r="AM1345" i="10"/>
  <c r="AK1345" i="10"/>
  <c r="AP1345" i="10"/>
  <c r="AT1345" i="10"/>
  <c r="AM1334" i="10"/>
  <c r="AW1334" i="10"/>
  <c r="AJ1334" i="10"/>
  <c r="AL1334" i="10"/>
  <c r="AX1334" i="10"/>
  <c r="AU1334" i="10"/>
  <c r="AN1334" i="10"/>
  <c r="AP1334" i="10"/>
  <c r="AR1334" i="10"/>
  <c r="AQ1334" i="10"/>
  <c r="AK1334" i="10"/>
  <c r="AT1334" i="10"/>
  <c r="AO1334" i="10"/>
  <c r="AV1334" i="10"/>
  <c r="AS1334" i="10"/>
  <c r="AQ1323" i="10"/>
  <c r="AO1323" i="10"/>
  <c r="AT1323" i="10"/>
  <c r="AK1323" i="10"/>
  <c r="AJ1323" i="10"/>
  <c r="AM1323" i="10"/>
  <c r="AL1323" i="10"/>
  <c r="AU1323" i="10"/>
  <c r="AN1323" i="10"/>
  <c r="AS1323" i="10"/>
  <c r="AP1323" i="10"/>
  <c r="AR1323" i="10"/>
  <c r="AT1297" i="10"/>
  <c r="AQ1297" i="10"/>
  <c r="AS1297" i="10"/>
  <c r="AM1297" i="10"/>
  <c r="AR1297" i="10"/>
  <c r="AN1297" i="10"/>
  <c r="AK1297" i="10"/>
  <c r="AW1297" i="10"/>
  <c r="AU1297" i="10"/>
  <c r="AX1297" i="10"/>
  <c r="AL1280" i="10"/>
  <c r="AR1280" i="10"/>
  <c r="AU1280" i="10"/>
  <c r="AJ1280" i="10"/>
  <c r="AK1280" i="10"/>
  <c r="AO1280" i="10"/>
  <c r="AX1280" i="10"/>
  <c r="AN1280" i="10"/>
  <c r="AP1280" i="10"/>
  <c r="AT1280" i="10"/>
  <c r="AV1280" i="10"/>
  <c r="AM1280" i="10"/>
  <c r="AS1280" i="10"/>
  <c r="AL1253" i="10"/>
  <c r="AO1253" i="10"/>
  <c r="AX1253" i="10"/>
  <c r="AT1253" i="10"/>
  <c r="AR1253" i="10"/>
  <c r="AK1253" i="10"/>
  <c r="AQ1253" i="10"/>
  <c r="AS1253" i="10"/>
  <c r="AU1253" i="10"/>
  <c r="AM1253" i="10"/>
  <c r="AW1253" i="10"/>
  <c r="AP1253" i="10"/>
  <c r="AQ1132" i="10"/>
  <c r="AV1132" i="10"/>
  <c r="AR1132" i="10"/>
  <c r="AK1132" i="10"/>
  <c r="AO1132" i="10"/>
  <c r="AW1132" i="10"/>
  <c r="AX1132" i="10"/>
  <c r="AN1132" i="10"/>
  <c r="AP1132" i="10"/>
  <c r="AT1132" i="10"/>
  <c r="AS1132" i="10"/>
  <c r="AU1132" i="10"/>
  <c r="AM1132" i="10"/>
  <c r="AJ1132" i="10"/>
  <c r="AX1098" i="10"/>
  <c r="AL1098" i="10"/>
  <c r="AJ1098" i="10"/>
  <c r="AR1098" i="10"/>
  <c r="AN1098" i="10"/>
  <c r="AW1098" i="10"/>
  <c r="AQ1098" i="10"/>
  <c r="AO1098" i="10"/>
  <c r="AV1098" i="10"/>
  <c r="AS1086" i="10"/>
  <c r="AN1086" i="10"/>
  <c r="AU1086" i="10"/>
  <c r="AW1086" i="10"/>
  <c r="AO1086" i="10"/>
  <c r="AR1086" i="10"/>
  <c r="AJ1086" i="10"/>
  <c r="AL1086" i="10"/>
  <c r="AV1086" i="10"/>
  <c r="AM1086" i="10"/>
  <c r="AX1086" i="10"/>
  <c r="AK1086" i="10"/>
  <c r="AP1086" i="10"/>
  <c r="AP1054" i="10"/>
  <c r="AR1054" i="10"/>
  <c r="AO1054" i="10"/>
  <c r="AW1054" i="10"/>
  <c r="AX1054" i="10"/>
  <c r="AU1054" i="10"/>
  <c r="AR1043" i="10"/>
  <c r="AP1043" i="10"/>
  <c r="AU1043" i="10"/>
  <c r="AM1043" i="10"/>
  <c r="AQ1043" i="10"/>
  <c r="AT1043" i="10"/>
  <c r="AV1043" i="10"/>
  <c r="AW1043" i="10"/>
  <c r="AJ1043" i="10"/>
  <c r="AX1043" i="10"/>
  <c r="AS1043" i="10"/>
  <c r="AK1043" i="10"/>
  <c r="AN1043" i="10"/>
  <c r="AL1043" i="10"/>
  <c r="AO1043" i="10"/>
  <c r="AT1004" i="10"/>
  <c r="AQ1004" i="10"/>
  <c r="AR1004" i="10"/>
  <c r="AN1004" i="10"/>
  <c r="AX1004" i="10"/>
  <c r="AU1004" i="10"/>
  <c r="AJ1004" i="10"/>
  <c r="AM1004" i="10"/>
  <c r="AS1004" i="10"/>
  <c r="AW1004" i="10"/>
  <c r="AL1004" i="10"/>
  <c r="AO1004" i="10"/>
  <c r="AP1004" i="10"/>
  <c r="AK1004" i="10"/>
  <c r="AV1004" i="10"/>
  <c r="AW992" i="10"/>
  <c r="AV992" i="10"/>
  <c r="AR992" i="10"/>
  <c r="AM992" i="10"/>
  <c r="AS992" i="10"/>
  <c r="AK992" i="10"/>
  <c r="AP992" i="10"/>
  <c r="AL992" i="10"/>
  <c r="AX992" i="10"/>
  <c r="AT992" i="10"/>
  <c r="AU992" i="10"/>
  <c r="AQ992" i="10"/>
  <c r="AJ992" i="10"/>
  <c r="AR969" i="10"/>
  <c r="AT969" i="10"/>
  <c r="AW969" i="10"/>
  <c r="AV969" i="10"/>
  <c r="AU969" i="10"/>
  <c r="AX969" i="10"/>
  <c r="AS969" i="10"/>
  <c r="AN969" i="10"/>
  <c r="AP969" i="10"/>
  <c r="AM969" i="10"/>
  <c r="AL969" i="10"/>
  <c r="AO969" i="10"/>
  <c r="AQ887" i="10"/>
  <c r="AW887" i="10"/>
  <c r="AX887" i="10"/>
  <c r="AN887" i="10"/>
  <c r="AX883" i="10"/>
  <c r="AT883" i="10"/>
  <c r="AJ883" i="10"/>
  <c r="AL883" i="10"/>
  <c r="AP883" i="10"/>
  <c r="AR883" i="10"/>
  <c r="AS883" i="10"/>
  <c r="AL869" i="10"/>
  <c r="AO869" i="10"/>
  <c r="AX869" i="10"/>
  <c r="AW869" i="10"/>
  <c r="AP869" i="10"/>
  <c r="AT869" i="10"/>
  <c r="AK869" i="10"/>
  <c r="AV818" i="10"/>
  <c r="AW818" i="10"/>
  <c r="AX818" i="10"/>
  <c r="AM818" i="10"/>
  <c r="AS818" i="10"/>
  <c r="AQ818" i="10"/>
  <c r="AW813" i="10"/>
  <c r="AX813" i="10"/>
  <c r="AP813" i="10"/>
  <c r="AR813" i="10"/>
  <c r="AL813" i="10"/>
  <c r="AT813" i="10"/>
  <c r="AW778" i="10"/>
  <c r="AX778" i="10"/>
  <c r="AK778" i="10"/>
  <c r="AJ778" i="10"/>
  <c r="AK767" i="10"/>
  <c r="AW767" i="10"/>
  <c r="AX767" i="10"/>
  <c r="AV712" i="10"/>
  <c r="AJ712" i="10"/>
  <c r="AU712" i="10"/>
  <c r="AT712" i="10"/>
  <c r="AS712" i="10"/>
  <c r="AR712" i="10"/>
  <c r="AO712" i="10"/>
  <c r="AN712" i="10"/>
  <c r="AW712" i="10"/>
  <c r="AQ712" i="10"/>
  <c r="AP712" i="10"/>
  <c r="AM712" i="10"/>
  <c r="AJ1695" i="10"/>
  <c r="AV2716" i="10"/>
  <c r="AR2617" i="10"/>
  <c r="AM2241" i="10"/>
  <c r="AO883" i="10"/>
  <c r="AJ767" i="10"/>
  <c r="AJ2071" i="10"/>
  <c r="AJ2516" i="10"/>
  <c r="AN2641" i="10"/>
  <c r="AL2442" i="10"/>
  <c r="AK2154" i="10"/>
  <c r="AP1560" i="10"/>
  <c r="AK1092" i="10"/>
  <c r="AL1297" i="10"/>
  <c r="AK1639" i="10"/>
  <c r="AO2516" i="10"/>
  <c r="AT2335" i="10"/>
  <c r="AT1138" i="10"/>
  <c r="AQ2668" i="10"/>
  <c r="AJ1545" i="10"/>
  <c r="AW1171" i="10"/>
  <c r="AQ1900" i="10"/>
  <c r="AX1852" i="10"/>
  <c r="AL887" i="10"/>
  <c r="AS921" i="10"/>
  <c r="AL818" i="10"/>
  <c r="AJ760" i="10"/>
  <c r="AV2617" i="10"/>
  <c r="AP1392" i="10"/>
  <c r="AL2516" i="10"/>
  <c r="AL2613" i="10"/>
  <c r="AJ2438" i="10"/>
  <c r="AW2551" i="10"/>
  <c r="AL1345" i="10"/>
  <c r="AQ2154" i="10"/>
  <c r="AX1560" i="10"/>
  <c r="AJ1297" i="10"/>
  <c r="AP1639" i="10"/>
  <c r="AJ1745" i="10"/>
  <c r="AS2098" i="10"/>
  <c r="AJ1768" i="10"/>
  <c r="AP887" i="10"/>
  <c r="AK887" i="10"/>
  <c r="AO2319" i="10"/>
  <c r="AJ1555" i="10"/>
  <c r="AX1397" i="10"/>
  <c r="AJ1837" i="10"/>
  <c r="AN869" i="10"/>
  <c r="AL1857" i="10"/>
  <c r="AV2521" i="10"/>
  <c r="AK712" i="10"/>
  <c r="AN2066" i="10"/>
  <c r="AS2688" i="10"/>
  <c r="AT2008" i="10"/>
  <c r="AQ1086" i="10"/>
  <c r="AR2571" i="10"/>
  <c r="AQ2250" i="10"/>
  <c r="AM2250" i="10"/>
  <c r="AN883" i="10"/>
  <c r="AV869" i="10"/>
  <c r="AQ813" i="10"/>
  <c r="AW2425" i="10"/>
  <c r="AV1397" i="10"/>
  <c r="AX2277" i="10"/>
  <c r="AP2617" i="10"/>
  <c r="AJ1392" i="10"/>
  <c r="AN1837" i="10"/>
  <c r="AL2425" i="10"/>
  <c r="AM2425" i="10"/>
  <c r="AP818" i="10"/>
  <c r="AT818" i="10"/>
  <c r="AL2241" i="10"/>
  <c r="AN2241" i="10"/>
  <c r="AM887" i="10"/>
  <c r="AQ883" i="10"/>
  <c r="AK1654" i="10"/>
  <c r="AO2551" i="10"/>
  <c r="AJ887" i="10"/>
  <c r="AO887" i="10"/>
  <c r="AV883" i="10"/>
  <c r="AU921" i="10"/>
  <c r="AR1946" i="10"/>
  <c r="AU2597" i="10"/>
  <c r="AR2699" i="10"/>
  <c r="AO1946" i="10"/>
  <c r="AJ2597" i="10"/>
  <c r="AL2438" i="10"/>
  <c r="AJ2551" i="10"/>
  <c r="AX2442" i="10"/>
  <c r="AV1852" i="10"/>
  <c r="AN1884" i="10"/>
  <c r="AK1711" i="10"/>
  <c r="AP1081" i="10"/>
  <c r="AJ1649" i="10"/>
  <c r="AO2536" i="10"/>
  <c r="AS1625" i="10"/>
  <c r="AK1822" i="10"/>
  <c r="AJ1381" i="10"/>
  <c r="AS1534" i="10"/>
  <c r="AW1280" i="10"/>
  <c r="AL1529" i="10"/>
  <c r="AU1345" i="10"/>
  <c r="AS1793" i="10"/>
  <c r="AO2597" i="10"/>
  <c r="AS2236" i="10"/>
  <c r="AW883" i="10"/>
  <c r="AN1110" i="10"/>
  <c r="AR2308" i="10"/>
  <c r="AV998" i="10"/>
  <c r="AU2631" i="10"/>
  <c r="AR1654" i="10"/>
  <c r="AX1323" i="10"/>
  <c r="AT887" i="10"/>
  <c r="AK818" i="10"/>
  <c r="AS813" i="10"/>
  <c r="AN813" i="10"/>
  <c r="AW1397" i="10"/>
  <c r="AN2298" i="10"/>
  <c r="AJ916" i="10"/>
  <c r="AU818" i="10"/>
  <c r="AP2127" i="10"/>
  <c r="AS2728" i="10"/>
  <c r="AP2641" i="10"/>
  <c r="AK2576" i="10"/>
  <c r="AP2438" i="10"/>
  <c r="AK2551" i="10"/>
  <c r="AQ1884" i="10"/>
  <c r="AR2230" i="10"/>
  <c r="AN1986" i="10"/>
  <c r="AN1351" i="10"/>
  <c r="AK2071" i="10"/>
  <c r="AT1110" i="10"/>
  <c r="AR2631" i="10"/>
  <c r="AL1487" i="10"/>
  <c r="AW1551" i="10"/>
  <c r="AW1351" i="10"/>
  <c r="AT1303" i="10"/>
  <c r="AJ1534" i="10"/>
  <c r="AT1690" i="10"/>
  <c r="AV1690" i="10"/>
  <c r="AM1690" i="10"/>
  <c r="AO1690" i="10"/>
  <c r="AL1408" i="10"/>
  <c r="AW1408" i="10"/>
  <c r="AU1408" i="10"/>
  <c r="AM1408" i="10"/>
  <c r="AS1408" i="10"/>
  <c r="AT1408" i="10"/>
  <c r="AR1408" i="10"/>
  <c r="AQ1408" i="10"/>
  <c r="AX1408" i="10"/>
  <c r="AN1408" i="10"/>
  <c r="AV1408" i="10"/>
  <c r="AX1027" i="10"/>
  <c r="AW1027" i="10"/>
  <c r="AJ1027" i="10"/>
  <c r="AW700" i="10"/>
  <c r="AX700" i="10"/>
  <c r="AQ921" i="10"/>
  <c r="AK921" i="10"/>
  <c r="AN2425" i="10"/>
  <c r="AQ1745" i="10"/>
  <c r="AN1822" i="10"/>
  <c r="AM2098" i="10"/>
  <c r="AV1429" i="10"/>
  <c r="AW1884" i="10"/>
  <c r="AN1946" i="10"/>
  <c r="AL2015" i="10"/>
  <c r="AP1429" i="10"/>
  <c r="AV2516" i="10"/>
  <c r="AN2071" i="10"/>
  <c r="AQ2651" i="10"/>
  <c r="AQ2659" i="10"/>
  <c r="AK1996" i="10"/>
  <c r="AQ2066" i="10"/>
  <c r="AK998" i="10"/>
  <c r="AO992" i="10"/>
  <c r="AS1192" i="10"/>
  <c r="AS2668" i="10"/>
  <c r="AL1711" i="10"/>
  <c r="AJ1408" i="10"/>
  <c r="AU2592" i="10"/>
  <c r="AO1900" i="10"/>
  <c r="AU1555" i="10"/>
  <c r="AJ2699" i="10"/>
  <c r="AK813" i="10"/>
  <c r="AU1625" i="10"/>
  <c r="AL2298" i="10"/>
  <c r="AQ2617" i="10"/>
  <c r="AK1392" i="10"/>
  <c r="AQ2425" i="10"/>
  <c r="AU1654" i="10"/>
  <c r="AK1946" i="10"/>
  <c r="AL2597" i="10"/>
  <c r="AR2551" i="10"/>
  <c r="AM2438" i="10"/>
  <c r="AL2551" i="10"/>
  <c r="AQ1926" i="10"/>
  <c r="AQ1220" i="10"/>
  <c r="AX1639" i="10"/>
  <c r="AL1329" i="10"/>
  <c r="AT1884" i="10"/>
  <c r="AW2154" i="10"/>
  <c r="AV813" i="10"/>
  <c r="AW2298" i="10"/>
  <c r="AT2521" i="10"/>
  <c r="AW2641" i="10"/>
  <c r="AQ2277" i="10"/>
  <c r="AJ2688" i="10"/>
  <c r="AK969" i="10"/>
  <c r="AJ2576" i="10"/>
  <c r="AJ2319" i="10"/>
  <c r="AM921" i="10"/>
  <c r="AO818" i="10"/>
  <c r="AR2298" i="10"/>
  <c r="AS869" i="10"/>
  <c r="AU2651" i="10"/>
  <c r="AU2728" i="10"/>
  <c r="AU2641" i="10"/>
  <c r="AN2699" i="10"/>
  <c r="AM1946" i="10"/>
  <c r="AK1081" i="10"/>
  <c r="AO1297" i="10"/>
  <c r="AT2536" i="10"/>
  <c r="AQ1822" i="10"/>
  <c r="AN1857" i="10"/>
  <c r="AM813" i="10"/>
  <c r="AT921" i="10"/>
  <c r="AJ2419" i="10"/>
  <c r="AU813" i="10"/>
  <c r="AM2277" i="10"/>
  <c r="AV2425" i="10"/>
  <c r="AJ2298" i="10"/>
  <c r="AU887" i="10"/>
  <c r="AQ2678" i="10"/>
  <c r="AR869" i="10"/>
  <c r="AJ2127" i="10"/>
  <c r="AJ2626" i="10"/>
  <c r="AS2597" i="10"/>
  <c r="AT2613" i="10"/>
  <c r="AX2576" i="10"/>
  <c r="AX2699" i="10"/>
  <c r="AR2613" i="10"/>
  <c r="AJ1946" i="10"/>
  <c r="AQ2438" i="10"/>
  <c r="AK2631" i="10"/>
  <c r="AJ1884" i="10"/>
  <c r="AJ1081" i="10"/>
  <c r="AV1297" i="10"/>
  <c r="AM1639" i="10"/>
  <c r="AW1900" i="10"/>
  <c r="AL2536" i="10"/>
  <c r="AK1745" i="10"/>
  <c r="AL1822" i="10"/>
  <c r="AO1822" i="10"/>
  <c r="AJ2469" i="10"/>
  <c r="AJ1253" i="10"/>
  <c r="AK2241" i="10"/>
  <c r="AV2386" i="10"/>
  <c r="AX1964" i="10"/>
  <c r="AW1381" i="10"/>
  <c r="AL2271" i="10"/>
  <c r="AW2030" i="10"/>
  <c r="AL2071" i="10"/>
  <c r="AT1392" i="10"/>
  <c r="AT998" i="10"/>
  <c r="AP1487" i="10"/>
  <c r="AQ1545" i="10"/>
  <c r="AU1706" i="10"/>
  <c r="AV1392" i="10"/>
  <c r="AK1303" i="10"/>
  <c r="AO2011" i="10"/>
  <c r="AX524" i="10"/>
  <c r="AW524" i="10"/>
  <c r="AK524" i="10"/>
  <c r="AJ524" i="10"/>
  <c r="AX526" i="10"/>
  <c r="AW526" i="10"/>
  <c r="AK526" i="10"/>
  <c r="AJ526" i="10"/>
  <c r="AX525" i="10"/>
  <c r="AW525" i="10"/>
  <c r="AK525" i="10"/>
  <c r="AJ525" i="10"/>
  <c r="AX527" i="10"/>
  <c r="AW527" i="10"/>
  <c r="AK527" i="10"/>
  <c r="AJ527" i="10"/>
  <c r="AJ700" i="10"/>
  <c r="AJ563" i="10"/>
  <c r="AX528" i="10"/>
  <c r="AW528" i="10"/>
  <c r="AK528" i="10"/>
  <c r="AJ528" i="10"/>
  <c r="AX530" i="10"/>
  <c r="AW530" i="10"/>
  <c r="AV530" i="10"/>
  <c r="AU530" i="10"/>
  <c r="AT530" i="10"/>
  <c r="AS530" i="10"/>
  <c r="AR530" i="10"/>
  <c r="AQ530" i="10"/>
  <c r="AP530" i="10"/>
  <c r="AO530" i="10"/>
  <c r="AN530" i="10"/>
  <c r="AM530" i="10"/>
  <c r="AL530" i="10"/>
  <c r="AK530" i="10"/>
  <c r="AJ530" i="10"/>
  <c r="AO127" i="45"/>
  <c r="AX531" i="10"/>
  <c r="AW531" i="10"/>
  <c r="AV531" i="10"/>
  <c r="AU531" i="10"/>
  <c r="AT531" i="10"/>
  <c r="AS531" i="10"/>
  <c r="AR531" i="10"/>
  <c r="AQ531" i="10"/>
  <c r="AP531" i="10"/>
  <c r="AO531" i="10"/>
  <c r="AN531" i="10"/>
  <c r="AM531" i="10"/>
  <c r="AL531" i="10"/>
  <c r="AK531" i="10"/>
  <c r="AJ531" i="10"/>
  <c r="AP705" i="10"/>
  <c r="AP1591" i="10"/>
  <c r="AT684" i="10"/>
  <c r="AQ1813" i="10"/>
  <c r="AQ705" i="10"/>
  <c r="AM1430" i="10"/>
  <c r="AP1685" i="10"/>
  <c r="AU684" i="10"/>
  <c r="AQ126" i="45"/>
  <c r="AS1540" i="10"/>
  <c r="AQ128" i="45"/>
  <c r="AQ108" i="45"/>
  <c r="AL684" i="10"/>
  <c r="AX684" i="10"/>
  <c r="AS1259" i="10"/>
  <c r="AM684" i="10"/>
  <c r="AJ705" i="10"/>
  <c r="AV705" i="10"/>
  <c r="AN684" i="10"/>
  <c r="AK705" i="10"/>
  <c r="AW705" i="10"/>
  <c r="AO684" i="10"/>
  <c r="AO126" i="45"/>
  <c r="AO128" i="45"/>
  <c r="AL1864" i="10"/>
  <c r="AL705" i="10"/>
  <c r="AT802" i="10"/>
  <c r="AJ870" i="10"/>
  <c r="AR1275" i="10"/>
  <c r="AX1275" i="10"/>
  <c r="AL2282" i="10"/>
  <c r="AL2687" i="10"/>
  <c r="AT848" i="10"/>
  <c r="AQ2711" i="10"/>
  <c r="AP2500" i="10"/>
  <c r="AK1980" i="10"/>
  <c r="AJ1243" i="10"/>
  <c r="AN2705" i="10"/>
  <c r="AQ1441" i="10"/>
  <c r="AK1066" i="10"/>
  <c r="AR1453" i="10"/>
  <c r="AR1540" i="10"/>
  <c r="AV1615" i="10"/>
  <c r="AU2587" i="10"/>
  <c r="AM947" i="10"/>
  <c r="AL1010" i="10"/>
  <c r="AP1127" i="10"/>
  <c r="AW2209" i="10"/>
  <c r="AT2366" i="10"/>
  <c r="AM2287" i="10"/>
  <c r="AN1813" i="10"/>
  <c r="AQ1369" i="10"/>
  <c r="AX1357" i="10"/>
  <c r="AO1441" i="10"/>
  <c r="AP981" i="10"/>
  <c r="AK1166" i="10"/>
  <c r="AO2407" i="10"/>
  <c r="AP1477" i="10"/>
  <c r="AQ2377" i="10"/>
  <c r="AK2247" i="10"/>
  <c r="AN958" i="10"/>
  <c r="AP2043" i="10"/>
  <c r="AS2043" i="10"/>
  <c r="AN2043" i="10"/>
  <c r="AM2043" i="10"/>
  <c r="AJ2043" i="10"/>
  <c r="AK2043" i="10"/>
  <c r="AR2043" i="10"/>
  <c r="AX1969" i="10"/>
  <c r="AR1969" i="10"/>
  <c r="AJ1969" i="10"/>
  <c r="AV1842" i="10"/>
  <c r="AX1842" i="10"/>
  <c r="AL1842" i="10"/>
  <c r="AS1842" i="10"/>
  <c r="AK1842" i="10"/>
  <c r="AU1842" i="10"/>
  <c r="AW1842" i="10"/>
  <c r="AO1842" i="10"/>
  <c r="AJ1842" i="10"/>
  <c r="AN1842" i="10"/>
  <c r="AT1789" i="10"/>
  <c r="AS1789" i="10"/>
  <c r="AU1789" i="10"/>
  <c r="AP1789" i="10"/>
  <c r="AM1789" i="10"/>
  <c r="AN1789" i="10"/>
  <c r="AJ1789" i="10"/>
  <c r="AO1789" i="10"/>
  <c r="AV1789" i="10"/>
  <c r="AR1789" i="10"/>
  <c r="AL1789" i="10"/>
  <c r="AX1789" i="10"/>
  <c r="AQ1701" i="10"/>
  <c r="AM1701" i="10"/>
  <c r="AS1701" i="10"/>
  <c r="AU1701" i="10"/>
  <c r="AP1701" i="10"/>
  <c r="AV1701" i="10"/>
  <c r="AR1701" i="10"/>
  <c r="AO1701" i="10"/>
  <c r="AK1701" i="10"/>
  <c r="AT1701" i="10"/>
  <c r="AJ1701" i="10"/>
  <c r="AN1635" i="10"/>
  <c r="AT1635" i="10"/>
  <c r="AM1635" i="10"/>
  <c r="AO1635" i="10"/>
  <c r="AP1635" i="10"/>
  <c r="AL1635" i="10"/>
  <c r="AU1635" i="10"/>
  <c r="AJ1635" i="10"/>
  <c r="AS1635" i="10"/>
  <c r="AR1635" i="10"/>
  <c r="AQ1635" i="10"/>
  <c r="AM1566" i="10"/>
  <c r="AK1566" i="10"/>
  <c r="AJ1566" i="10"/>
  <c r="AT1566" i="10"/>
  <c r="AU1566" i="10"/>
  <c r="AV1566" i="10"/>
  <c r="AP1566" i="10"/>
  <c r="AR1566" i="10"/>
  <c r="AQ1566" i="10"/>
  <c r="AO1566" i="10"/>
  <c r="AX1566" i="10"/>
  <c r="AN1566" i="10"/>
  <c r="AL1566" i="10"/>
  <c r="AR1503" i="10"/>
  <c r="AU1503" i="10"/>
  <c r="AM1503" i="10"/>
  <c r="AP1503" i="10"/>
  <c r="AK1503" i="10"/>
  <c r="AS1503" i="10"/>
  <c r="AQ1503" i="10"/>
  <c r="AW1503" i="10"/>
  <c r="AN1503" i="10"/>
  <c r="AJ1503" i="10"/>
  <c r="AQ1448" i="10"/>
  <c r="AR1448" i="10"/>
  <c r="AU1448" i="10"/>
  <c r="AO1448" i="10"/>
  <c r="AN1448" i="10"/>
  <c r="AM1448" i="10"/>
  <c r="AP1448" i="10"/>
  <c r="AJ1448" i="10"/>
  <c r="AL1448" i="10"/>
  <c r="AW1313" i="10"/>
  <c r="AT1313" i="10"/>
  <c r="AO1313" i="10"/>
  <c r="AQ1313" i="10"/>
  <c r="AJ1313" i="10"/>
  <c r="AN1313" i="10"/>
  <c r="AS1313" i="10"/>
  <c r="AM1313" i="10"/>
  <c r="AU1313" i="10"/>
  <c r="AP1313" i="10"/>
  <c r="AL1313" i="10"/>
  <c r="AV1313" i="10"/>
  <c r="AR1313" i="10"/>
  <c r="AK1313" i="10"/>
  <c r="AX1313" i="10"/>
  <c r="AN1204" i="10"/>
  <c r="AR1204" i="10"/>
  <c r="AQ1204" i="10"/>
  <c r="AL1204" i="10"/>
  <c r="AX1204" i="10"/>
  <c r="AT1204" i="10"/>
  <c r="AJ1204" i="10"/>
  <c r="AO1204" i="10"/>
  <c r="AW1204" i="10"/>
  <c r="AM2711" i="10"/>
  <c r="AL2582" i="10"/>
  <c r="AQ1980" i="10"/>
  <c r="AT2500" i="10"/>
  <c r="AR2689" i="10"/>
  <c r="AJ2705" i="10"/>
  <c r="AR1441" i="10"/>
  <c r="AL1453" i="10"/>
  <c r="AX1615" i="10"/>
  <c r="AK2587" i="10"/>
  <c r="AK947" i="10"/>
  <c r="AK1010" i="10"/>
  <c r="AU1127" i="10"/>
  <c r="AV2209" i="10"/>
  <c r="AL2366" i="10"/>
  <c r="AQ2287" i="10"/>
  <c r="AL1369" i="10"/>
  <c r="AT1441" i="10"/>
  <c r="AO1166" i="10"/>
  <c r="AP1498" i="10"/>
  <c r="AL2377" i="10"/>
  <c r="AN2247" i="10"/>
  <c r="AP1941" i="10"/>
  <c r="AW1941" i="10"/>
  <c r="AJ1941" i="10"/>
  <c r="AR1941" i="10"/>
  <c r="AK1941" i="10"/>
  <c r="AL1941" i="10"/>
  <c r="AT1264" i="10"/>
  <c r="AR1264" i="10"/>
  <c r="AQ1264" i="10"/>
  <c r="AR1248" i="10"/>
  <c r="AS1248" i="10"/>
  <c r="AM1248" i="10"/>
  <c r="AO1248" i="10"/>
  <c r="AU1248" i="10"/>
  <c r="AN1248" i="10"/>
  <c r="AW1248" i="10"/>
  <c r="AV1248" i="10"/>
  <c r="AT1248" i="10"/>
  <c r="AX1248" i="10"/>
  <c r="AJ1248" i="10"/>
  <c r="AK1248" i="10"/>
  <c r="AM1243" i="10"/>
  <c r="AX1243" i="10"/>
  <c r="AQ1243" i="10"/>
  <c r="AN1243" i="10"/>
  <c r="AO1243" i="10"/>
  <c r="AT1243" i="10"/>
  <c r="AL1243" i="10"/>
  <c r="AV1243" i="10"/>
  <c r="AS1243" i="10"/>
  <c r="AP1243" i="10"/>
  <c r="AK1243" i="10"/>
  <c r="AT1215" i="10"/>
  <c r="AV1215" i="10"/>
  <c r="AK1215" i="10"/>
  <c r="AU1215" i="10"/>
  <c r="AN1215" i="10"/>
  <c r="AR1215" i="10"/>
  <c r="AW1215" i="10"/>
  <c r="AL1215" i="10"/>
  <c r="AS1215" i="10"/>
  <c r="AQ1215" i="10"/>
  <c r="AU1187" i="10"/>
  <c r="AO1187" i="10"/>
  <c r="AK1187" i="10"/>
  <c r="AT1187" i="10"/>
  <c r="AN1187" i="10"/>
  <c r="AS1187" i="10"/>
  <c r="AQ1187" i="10"/>
  <c r="AL1187" i="10"/>
  <c r="AJ1187" i="10"/>
  <c r="AP1187" i="10"/>
  <c r="AM1187" i="10"/>
  <c r="AR1187" i="10"/>
  <c r="AW1187" i="10"/>
  <c r="AL1177" i="10"/>
  <c r="AK1177" i="10"/>
  <c r="AU1177" i="10"/>
  <c r="AO1177" i="10"/>
  <c r="AX1177" i="10"/>
  <c r="AV1177" i="10"/>
  <c r="AQ1177" i="10"/>
  <c r="AJ1177" i="10"/>
  <c r="AN1177" i="10"/>
  <c r="AM1177" i="10"/>
  <c r="AT1177" i="10"/>
  <c r="AS1177" i="10"/>
  <c r="AP1177" i="10"/>
  <c r="AR1177" i="10"/>
  <c r="AM1161" i="10"/>
  <c r="AJ1161" i="10"/>
  <c r="AK1161" i="10"/>
  <c r="AW1161" i="10"/>
  <c r="AX1161" i="10"/>
  <c r="AO1161" i="10"/>
  <c r="AT1161" i="10"/>
  <c r="AQ1161" i="10"/>
  <c r="AP1161" i="10"/>
  <c r="AL1161" i="10"/>
  <c r="AS1161" i="10"/>
  <c r="AR1161" i="10"/>
  <c r="AN1161" i="10"/>
  <c r="AV1144" i="10"/>
  <c r="AP1144" i="10"/>
  <c r="AS1144" i="10"/>
  <c r="AM1144" i="10"/>
  <c r="AO1144" i="10"/>
  <c r="AW1144" i="10"/>
  <c r="AL1144" i="10"/>
  <c r="AK1144" i="10"/>
  <c r="AQ1121" i="10"/>
  <c r="AS1121" i="10"/>
  <c r="AN1121" i="10"/>
  <c r="AM1121" i="10"/>
  <c r="AX1121" i="10"/>
  <c r="AP1121" i="10"/>
  <c r="AT1121" i="10"/>
  <c r="AX1093" i="10"/>
  <c r="AQ1093" i="10"/>
  <c r="AR1093" i="10"/>
  <c r="AK1093" i="10"/>
  <c r="AV1093" i="10"/>
  <c r="AT1066" i="10"/>
  <c r="AS1066" i="10"/>
  <c r="AM1066" i="10"/>
  <c r="AJ1066" i="10"/>
  <c r="AP1066" i="10"/>
  <c r="AO1066" i="10"/>
  <c r="AV1066" i="10"/>
  <c r="AU1066" i="10"/>
  <c r="AQ1066" i="10"/>
  <c r="AL1066" i="10"/>
  <c r="AR1049" i="10"/>
  <c r="AM1049" i="10"/>
  <c r="AK1049" i="10"/>
  <c r="AT1049" i="10"/>
  <c r="AU1049" i="10"/>
  <c r="AJ1049" i="10"/>
  <c r="AP1049" i="10"/>
  <c r="AN1049" i="10"/>
  <c r="AO1049" i="10"/>
  <c r="AV1049" i="10"/>
  <c r="AW1049" i="10"/>
  <c r="AX1049" i="10"/>
  <c r="AQ1049" i="10"/>
  <c r="AL1049" i="10"/>
  <c r="AS1049" i="10"/>
  <c r="AM1016" i="10"/>
  <c r="AN1016" i="10"/>
  <c r="AJ1016" i="10"/>
  <c r="AV1016" i="10"/>
  <c r="AK1016" i="10"/>
  <c r="AL1016" i="10"/>
  <c r="AO1016" i="10"/>
  <c r="AT1016" i="10"/>
  <c r="AQ1016" i="10"/>
  <c r="AS1016" i="10"/>
  <c r="AR1016" i="10"/>
  <c r="AU1016" i="10"/>
  <c r="AX975" i="10"/>
  <c r="AK975" i="10"/>
  <c r="AW975" i="10"/>
  <c r="AJ975" i="10"/>
  <c r="AS958" i="10"/>
  <c r="AK958" i="10"/>
  <c r="AU958" i="10"/>
  <c r="AP958" i="10"/>
  <c r="AV958" i="10"/>
  <c r="AR958" i="10"/>
  <c r="AW958" i="10"/>
  <c r="AX958" i="10"/>
  <c r="AM958" i="10"/>
  <c r="AL958" i="10"/>
  <c r="AJ958" i="10"/>
  <c r="AQ958" i="10"/>
  <c r="AW909" i="10"/>
  <c r="AX909" i="10"/>
  <c r="AJ909" i="10"/>
  <c r="AP909" i="10"/>
  <c r="AQ909" i="10"/>
  <c r="AV909" i="10"/>
  <c r="AO909" i="10"/>
  <c r="AN909" i="10"/>
  <c r="AX843" i="10"/>
  <c r="AJ843" i="10"/>
  <c r="AW843" i="10"/>
  <c r="AK843" i="10"/>
  <c r="AW819" i="10"/>
  <c r="AU819" i="10"/>
  <c r="AV819" i="10"/>
  <c r="AT819" i="10"/>
  <c r="AO819" i="10"/>
  <c r="AN819" i="10"/>
  <c r="AL819" i="10"/>
  <c r="AQ819" i="10"/>
  <c r="AL802" i="10"/>
  <c r="AX802" i="10"/>
  <c r="AW802" i="10"/>
  <c r="AK802" i="10"/>
  <c r="AO802" i="10"/>
  <c r="AN802" i="10"/>
  <c r="AR802" i="10"/>
  <c r="AW773" i="10"/>
  <c r="AX773" i="10"/>
  <c r="AJ773" i="10"/>
  <c r="AK773" i="10"/>
  <c r="AW755" i="10"/>
  <c r="AX755" i="10"/>
  <c r="AW745" i="10"/>
  <c r="AX745" i="10"/>
  <c r="AL745" i="10"/>
  <c r="AM745" i="10"/>
  <c r="AT745" i="10"/>
  <c r="AS745" i="10"/>
  <c r="AP745" i="10"/>
  <c r="AT1093" i="10"/>
  <c r="AQ1038" i="10"/>
  <c r="AT1503" i="10"/>
  <c r="AK1847" i="10"/>
  <c r="AQ1941" i="10"/>
  <c r="AU2511" i="10"/>
  <c r="AT2511" i="10"/>
  <c r="AR1556" i="10"/>
  <c r="AO1556" i="10"/>
  <c r="AQ1921" i="10"/>
  <c r="AM1921" i="10"/>
  <c r="AV1921" i="10"/>
  <c r="AJ1921" i="10"/>
  <c r="AX1895" i="10"/>
  <c r="AT1895" i="10"/>
  <c r="AL1895" i="10"/>
  <c r="AN1895" i="10"/>
  <c r="AR1895" i="10"/>
  <c r="AM1895" i="10"/>
  <c r="AS1895" i="10"/>
  <c r="AW1895" i="10"/>
  <c r="AQ1895" i="10"/>
  <c r="AO1895" i="10"/>
  <c r="AV1895" i="10"/>
  <c r="AP1895" i="10"/>
  <c r="AM1874" i="10"/>
  <c r="AQ1874" i="10"/>
  <c r="AT1874" i="10"/>
  <c r="AU1874" i="10"/>
  <c r="AS1874" i="10"/>
  <c r="AR1874" i="10"/>
  <c r="AP1874" i="10"/>
  <c r="AX1874" i="10"/>
  <c r="AJ1874" i="10"/>
  <c r="AL1874" i="10"/>
  <c r="AQ1818" i="10"/>
  <c r="AX1818" i="10"/>
  <c r="AS1818" i="10"/>
  <c r="AP1818" i="10"/>
  <c r="AK1818" i="10"/>
  <c r="AV1818" i="10"/>
  <c r="AU1818" i="10"/>
  <c r="AO1818" i="10"/>
  <c r="AM1818" i="10"/>
  <c r="AV1778" i="10"/>
  <c r="AJ1778" i="10"/>
  <c r="AW1778" i="10"/>
  <c r="AR1778" i="10"/>
  <c r="AX1778" i="10"/>
  <c r="AK1778" i="10"/>
  <c r="AL1778" i="10"/>
  <c r="AT1778" i="10"/>
  <c r="AM1778" i="10"/>
  <c r="AT1726" i="10"/>
  <c r="AX1726" i="10"/>
  <c r="AO1726" i="10"/>
  <c r="AJ1726" i="10"/>
  <c r="AW1726" i="10"/>
  <c r="AM1726" i="10"/>
  <c r="AU1726" i="10"/>
  <c r="AR1726" i="10"/>
  <c r="AQ1726" i="10"/>
  <c r="AP1726" i="10"/>
  <c r="AV1726" i="10"/>
  <c r="AT1675" i="10"/>
  <c r="AK1675" i="10"/>
  <c r="AR1675" i="10"/>
  <c r="AP1675" i="10"/>
  <c r="AN1675" i="10"/>
  <c r="AV1675" i="10"/>
  <c r="AL1644" i="10"/>
  <c r="AT1644" i="10"/>
  <c r="AK1644" i="10"/>
  <c r="AV1644" i="10"/>
  <c r="AR1644" i="10"/>
  <c r="AQ1644" i="10"/>
  <c r="AS1644" i="10"/>
  <c r="AO1644" i="10"/>
  <c r="AN1644" i="10"/>
  <c r="AV1610" i="10"/>
  <c r="AP1610" i="10"/>
  <c r="AQ1610" i="10"/>
  <c r="AU1610" i="10"/>
  <c r="AO1610" i="10"/>
  <c r="AN1610" i="10"/>
  <c r="AJ1610" i="10"/>
  <c r="AW1610" i="10"/>
  <c r="AX1610" i="10"/>
  <c r="AT1610" i="10"/>
  <c r="AS1610" i="10"/>
  <c r="AQ1596" i="10"/>
  <c r="AP1596" i="10"/>
  <c r="AW1596" i="10"/>
  <c r="AL1477" i="10"/>
  <c r="AM1477" i="10"/>
  <c r="AJ1477" i="10"/>
  <c r="AK1477" i="10"/>
  <c r="AT1477" i="10"/>
  <c r="AN1477" i="10"/>
  <c r="AQ1477" i="10"/>
  <c r="AV1477" i="10"/>
  <c r="AR1477" i="10"/>
  <c r="AV1462" i="10"/>
  <c r="AO1462" i="10"/>
  <c r="AJ1462" i="10"/>
  <c r="AP1462" i="10"/>
  <c r="AQ1462" i="10"/>
  <c r="AR1462" i="10"/>
  <c r="AK1462" i="10"/>
  <c r="AT1462" i="10"/>
  <c r="AL1462" i="10"/>
  <c r="AL1435" i="10"/>
  <c r="AJ1435" i="10"/>
  <c r="AS1435" i="10"/>
  <c r="AO1435" i="10"/>
  <c r="AX1435" i="10"/>
  <c r="AU1435" i="10"/>
  <c r="AQ1435" i="10"/>
  <c r="AK1435" i="10"/>
  <c r="AW1435" i="10"/>
  <c r="AM1435" i="10"/>
  <c r="AN1435" i="10"/>
  <c r="AP1435" i="10"/>
  <c r="AT1435" i="10"/>
  <c r="AV1435" i="10"/>
  <c r="AM1375" i="10"/>
  <c r="AL1375" i="10"/>
  <c r="AV1375" i="10"/>
  <c r="AR1375" i="10"/>
  <c r="AK1375" i="10"/>
  <c r="AS1375" i="10"/>
  <c r="AU1375" i="10"/>
  <c r="AR1232" i="10"/>
  <c r="AO1232" i="10"/>
  <c r="AS1232" i="10"/>
  <c r="AL1232" i="10"/>
  <c r="AX728" i="10"/>
  <c r="AW728" i="10"/>
  <c r="AK909" i="10"/>
  <c r="AM2299" i="10"/>
  <c r="AJ2299" i="10"/>
  <c r="AN1701" i="10"/>
  <c r="AS947" i="10"/>
  <c r="AX1010" i="10"/>
  <c r="AR2392" i="10"/>
  <c r="AN1847" i="10"/>
  <c r="AQ1789" i="10"/>
  <c r="AP2282" i="10"/>
  <c r="AS1477" i="10"/>
  <c r="AO1264" i="10"/>
  <c r="AP1016" i="10"/>
  <c r="AT1453" i="10"/>
  <c r="AT1818" i="10"/>
  <c r="AN947" i="10"/>
  <c r="AX2392" i="10"/>
  <c r="AU745" i="10"/>
  <c r="AJ1198" i="10"/>
  <c r="AT1941" i="10"/>
  <c r="AS1675" i="10"/>
  <c r="AU1498" i="10"/>
  <c r="AU1472" i="10"/>
  <c r="AL1503" i="10"/>
  <c r="AO1596" i="10"/>
  <c r="AL1818" i="10"/>
  <c r="AS1127" i="10"/>
  <c r="AW751" i="10"/>
  <c r="AK1419" i="10"/>
  <c r="AS1726" i="10"/>
  <c r="AO1038" i="10"/>
  <c r="AJ2194" i="10"/>
  <c r="AU2231" i="10"/>
  <c r="AU2345" i="10"/>
  <c r="AM2694" i="10"/>
  <c r="AT2431" i="10"/>
  <c r="AK728" i="10"/>
  <c r="AR2160" i="10"/>
  <c r="AS1472" i="10"/>
  <c r="AL1425" i="10"/>
  <c r="AM1425" i="10"/>
  <c r="AT2414" i="10"/>
  <c r="AR2684" i="10"/>
  <c r="AV2684" i="10"/>
  <c r="AX2684" i="10"/>
  <c r="AQ2684" i="10"/>
  <c r="AP2684" i="10"/>
  <c r="AS2684" i="10"/>
  <c r="AU2684" i="10"/>
  <c r="AW2684" i="10"/>
  <c r="AM2684" i="10"/>
  <c r="AL2684" i="10"/>
  <c r="AK2684" i="10"/>
  <c r="AJ2684" i="10"/>
  <c r="AU2664" i="10"/>
  <c r="AV2664" i="10"/>
  <c r="AX2664" i="10"/>
  <c r="AS2664" i="10"/>
  <c r="AW2664" i="10"/>
  <c r="AR2664" i="10"/>
  <c r="AT2664" i="10"/>
  <c r="AQ2664" i="10"/>
  <c r="AO2664" i="10"/>
  <c r="AL2664" i="10"/>
  <c r="AM2664" i="10"/>
  <c r="AN2664" i="10"/>
  <c r="AS2452" i="10"/>
  <c r="AU2452" i="10"/>
  <c r="AK2452" i="10"/>
  <c r="AQ2452" i="10"/>
  <c r="AW2452" i="10"/>
  <c r="AR2452" i="10"/>
  <c r="AV2452" i="10"/>
  <c r="AM2452" i="10"/>
  <c r="AO2452" i="10"/>
  <c r="AL2452" i="10"/>
  <c r="AP2452" i="10"/>
  <c r="AX2452" i="10"/>
  <c r="AL2608" i="10"/>
  <c r="AN2608" i="10"/>
  <c r="AU2608" i="10"/>
  <c r="AV2608" i="10"/>
  <c r="AM2608" i="10"/>
  <c r="AR2608" i="10"/>
  <c r="AT2608" i="10"/>
  <c r="AK2608" i="10"/>
  <c r="AJ2608" i="10"/>
  <c r="AO2608" i="10"/>
  <c r="AP2608" i="10"/>
  <c r="AQ2608" i="10"/>
  <c r="AQ2505" i="10"/>
  <c r="AS2505" i="10"/>
  <c r="AJ2505" i="10"/>
  <c r="AT2505" i="10"/>
  <c r="AM2505" i="10"/>
  <c r="AL2505" i="10"/>
  <c r="AR2505" i="10"/>
  <c r="AU2505" i="10"/>
  <c r="AV2505" i="10"/>
  <c r="AT2402" i="10"/>
  <c r="AL2402" i="10"/>
  <c r="AX2402" i="10"/>
  <c r="AV2402" i="10"/>
  <c r="AM2402" i="10"/>
  <c r="AK2402" i="10"/>
  <c r="AU2402" i="10"/>
  <c r="AJ2402" i="10"/>
  <c r="AQ2402" i="10"/>
  <c r="AP2402" i="10"/>
  <c r="AS2402" i="10"/>
  <c r="AW2402" i="10"/>
  <c r="AR2402" i="10"/>
  <c r="AN2402" i="10"/>
  <c r="AO2402" i="10"/>
  <c r="AS2377" i="10"/>
  <c r="AJ2377" i="10"/>
  <c r="AX2377" i="10"/>
  <c r="AO2377" i="10"/>
  <c r="AN2377" i="10"/>
  <c r="AT2377" i="10"/>
  <c r="AK2377" i="10"/>
  <c r="AM2377" i="10"/>
  <c r="AW2377" i="10"/>
  <c r="AP2377" i="10"/>
  <c r="AV2377" i="10"/>
  <c r="AR2377" i="10"/>
  <c r="AX2366" i="10"/>
  <c r="AM2366" i="10"/>
  <c r="AU2366" i="10"/>
  <c r="AW2366" i="10"/>
  <c r="AR2366" i="10"/>
  <c r="AO2366" i="10"/>
  <c r="AK2366" i="10"/>
  <c r="AN2366" i="10"/>
  <c r="AQ2340" i="10"/>
  <c r="AJ2340" i="10"/>
  <c r="AM2340" i="10"/>
  <c r="AL2340" i="10"/>
  <c r="AN2340" i="10"/>
  <c r="AS2340" i="10"/>
  <c r="AO2340" i="10"/>
  <c r="AX2340" i="10"/>
  <c r="AW2340" i="10"/>
  <c r="AK2340" i="10"/>
  <c r="AU2340" i="10"/>
  <c r="AT2340" i="10"/>
  <c r="AR2340" i="10"/>
  <c r="AV2340" i="10"/>
  <c r="AT2293" i="10"/>
  <c r="AR2293" i="10"/>
  <c r="AS2293" i="10"/>
  <c r="AQ2293" i="10"/>
  <c r="AW2293" i="10"/>
  <c r="AJ2293" i="10"/>
  <c r="AN2293" i="10"/>
  <c r="AK2293" i="10"/>
  <c r="AX2293" i="10"/>
  <c r="AO2293" i="10"/>
  <c r="AM2293" i="10"/>
  <c r="AV2293" i="10"/>
  <c r="AU2293" i="10"/>
  <c r="AT2257" i="10"/>
  <c r="AQ2257" i="10"/>
  <c r="AN2257" i="10"/>
  <c r="AP2257" i="10"/>
  <c r="AW2257" i="10"/>
  <c r="AK2257" i="10"/>
  <c r="AM2257" i="10"/>
  <c r="AL2257" i="10"/>
  <c r="AX2257" i="10"/>
  <c r="AV2257" i="10"/>
  <c r="AS2257" i="10"/>
  <c r="AJ2257" i="10"/>
  <c r="AR2257" i="10"/>
  <c r="AO2257" i="10"/>
  <c r="AP2214" i="10"/>
  <c r="AV2214" i="10"/>
  <c r="AQ2214" i="10"/>
  <c r="AU2214" i="10"/>
  <c r="AM2214" i="10"/>
  <c r="AO2178" i="10"/>
  <c r="AU2178" i="10"/>
  <c r="AP2178" i="10"/>
  <c r="AK2178" i="10"/>
  <c r="AN2178" i="10"/>
  <c r="AT2178" i="10"/>
  <c r="AW2178" i="10"/>
  <c r="AS2178" i="10"/>
  <c r="AM2178" i="10"/>
  <c r="AL2178" i="10"/>
  <c r="AL2120" i="10"/>
  <c r="AN2120" i="10"/>
  <c r="AU2120" i="10"/>
  <c r="AW2120" i="10"/>
  <c r="AS2120" i="10"/>
  <c r="AT2120" i="10"/>
  <c r="AK2120" i="10"/>
  <c r="AR2120" i="10"/>
  <c r="AV2120" i="10"/>
  <c r="AQ2120" i="10"/>
  <c r="AM2120" i="10"/>
  <c r="AT1952" i="10"/>
  <c r="AK1952" i="10"/>
  <c r="AN1952" i="10"/>
  <c r="AX1952" i="10"/>
  <c r="AJ1952" i="10"/>
  <c r="AU1952" i="10"/>
  <c r="AL1952" i="10"/>
  <c r="AW1910" i="10"/>
  <c r="AL1910" i="10"/>
  <c r="AM1910" i="10"/>
  <c r="AQ1910" i="10"/>
  <c r="AV1910" i="10"/>
  <c r="AR1910" i="10"/>
  <c r="AJ1910" i="10"/>
  <c r="AL1847" i="10"/>
  <c r="AR1847" i="10"/>
  <c r="AO1847" i="10"/>
  <c r="AU1847" i="10"/>
  <c r="AJ1847" i="10"/>
  <c r="AX1847" i="10"/>
  <c r="AS1847" i="10"/>
  <c r="AQ1847" i="10"/>
  <c r="AV1847" i="10"/>
  <c r="AP1847" i="10"/>
  <c r="AO1798" i="10"/>
  <c r="AW1798" i="10"/>
  <c r="AR1798" i="10"/>
  <c r="AJ1798" i="10"/>
  <c r="AK1798" i="10"/>
  <c r="AQ1716" i="10"/>
  <c r="AS1716" i="10"/>
  <c r="AJ1716" i="10"/>
  <c r="AO1665" i="10"/>
  <c r="AX1665" i="10"/>
  <c r="AK1582" i="10"/>
  <c r="AN1582" i="10"/>
  <c r="AT1582" i="10"/>
  <c r="AU1582" i="10"/>
  <c r="AV1582" i="10"/>
  <c r="AM1582" i="10"/>
  <c r="AO1582" i="10"/>
  <c r="AL1582" i="10"/>
  <c r="AJ1582" i="10"/>
  <c r="AS1582" i="10"/>
  <c r="AR1582" i="10"/>
  <c r="AP1582" i="10"/>
  <c r="AN1540" i="10"/>
  <c r="AM1540" i="10"/>
  <c r="AP1540" i="10"/>
  <c r="AT1540" i="10"/>
  <c r="AS1514" i="10"/>
  <c r="AQ1514" i="10"/>
  <c r="AO1514" i="10"/>
  <c r="AV1514" i="10"/>
  <c r="AR1514" i="10"/>
  <c r="AT1514" i="10"/>
  <c r="AK1514" i="10"/>
  <c r="AP1514" i="10"/>
  <c r="AJ1514" i="10"/>
  <c r="AM1514" i="10"/>
  <c r="AL1514" i="10"/>
  <c r="AN1514" i="10"/>
  <c r="AS1482" i="10"/>
  <c r="AP1482" i="10"/>
  <c r="AU1482" i="10"/>
  <c r="AL1482" i="10"/>
  <c r="AO1482" i="10"/>
  <c r="AT1482" i="10"/>
  <c r="AJ1482" i="10"/>
  <c r="AR1482" i="10"/>
  <c r="AM1482" i="10"/>
  <c r="AK1482" i="10"/>
  <c r="AV1482" i="10"/>
  <c r="AX1482" i="10"/>
  <c r="AN1482" i="10"/>
  <c r="AW1482" i="10"/>
  <c r="AW1453" i="10"/>
  <c r="AV1453" i="10"/>
  <c r="AU1453" i="10"/>
  <c r="AS1453" i="10"/>
  <c r="AK1453" i="10"/>
  <c r="AX1453" i="10"/>
  <c r="AQ1453" i="10"/>
  <c r="AN1453" i="10"/>
  <c r="AO1308" i="10"/>
  <c r="AQ1308" i="10"/>
  <c r="AV1308" i="10"/>
  <c r="AS1308" i="10"/>
  <c r="AJ1308" i="10"/>
  <c r="AX1308" i="10"/>
  <c r="AM1308" i="10"/>
  <c r="AN1292" i="10"/>
  <c r="AU1292" i="10"/>
  <c r="AO1292" i="10"/>
  <c r="AL1292" i="10"/>
  <c r="AR1292" i="10"/>
  <c r="AW1292" i="10"/>
  <c r="AX1292" i="10"/>
  <c r="AQ1292" i="10"/>
  <c r="AV1292" i="10"/>
  <c r="AK1292" i="10"/>
  <c r="AP1292" i="10"/>
  <c r="AM1292" i="10"/>
  <c r="AT1292" i="10"/>
  <c r="AM1270" i="10"/>
  <c r="AU1270" i="10"/>
  <c r="AR1270" i="10"/>
  <c r="AL1182" i="10"/>
  <c r="AJ1182" i="10"/>
  <c r="AV1182" i="10"/>
  <c r="AX1182" i="10"/>
  <c r="AK1182" i="10"/>
  <c r="AW1182" i="10"/>
  <c r="AR1182" i="10"/>
  <c r="AP1182" i="10"/>
  <c r="AQ1182" i="10"/>
  <c r="AU1182" i="10"/>
  <c r="AN1182" i="10"/>
  <c r="AO1182" i="10"/>
  <c r="AM1182" i="10"/>
  <c r="AT1182" i="10"/>
  <c r="AS1182" i="10"/>
  <c r="AW1166" i="10"/>
  <c r="AU1166" i="10"/>
  <c r="AN1166" i="10"/>
  <c r="AQ1166" i="10"/>
  <c r="AL1166" i="10"/>
  <c r="AR1166" i="10"/>
  <c r="AX1166" i="10"/>
  <c r="AP1166" i="10"/>
  <c r="AJ1155" i="10"/>
  <c r="AM1155" i="10"/>
  <c r="AT1155" i="10"/>
  <c r="AR1155" i="10"/>
  <c r="AU1155" i="10"/>
  <c r="AP1155" i="10"/>
  <c r="AV1155" i="10"/>
  <c r="AN1155" i="10"/>
  <c r="AW1155" i="10"/>
  <c r="AX1155" i="10"/>
  <c r="AK1155" i="10"/>
  <c r="AO1155" i="10"/>
  <c r="AL1038" i="10"/>
  <c r="AM1038" i="10"/>
  <c r="AR1038" i="10"/>
  <c r="AX1038" i="10"/>
  <c r="AP1038" i="10"/>
  <c r="AJ1038" i="10"/>
  <c r="AT1038" i="10"/>
  <c r="AV1038" i="10"/>
  <c r="AN1038" i="10"/>
  <c r="AW1038" i="10"/>
  <c r="AK1038" i="10"/>
  <c r="AX981" i="10"/>
  <c r="AM981" i="10"/>
  <c r="AW981" i="10"/>
  <c r="AK981" i="10"/>
  <c r="AO981" i="10"/>
  <c r="AU981" i="10"/>
  <c r="AN981" i="10"/>
  <c r="AT981" i="10"/>
  <c r="AL981" i="10"/>
  <c r="AJ981" i="10"/>
  <c r="AS981" i="10"/>
  <c r="AQ981" i="10"/>
  <c r="AT964" i="10"/>
  <c r="AO964" i="10"/>
  <c r="AR964" i="10"/>
  <c r="AM964" i="10"/>
  <c r="AU927" i="10"/>
  <c r="AJ927" i="10"/>
  <c r="AP927" i="10"/>
  <c r="AN927" i="10"/>
  <c r="AO927" i="10"/>
  <c r="AW927" i="10"/>
  <c r="AX927" i="10"/>
  <c r="AQ927" i="10"/>
  <c r="AV927" i="10"/>
  <c r="AT927" i="10"/>
  <c r="AK927" i="10"/>
  <c r="AM927" i="10"/>
  <c r="AS927" i="10"/>
  <c r="AX814" i="10"/>
  <c r="AV814" i="10"/>
  <c r="AW814" i="10"/>
  <c r="AU814" i="10"/>
  <c r="AR814" i="10"/>
  <c r="AS814" i="10"/>
  <c r="AL814" i="10"/>
  <c r="AM814" i="10"/>
  <c r="AP814" i="10"/>
  <c r="AX788" i="10"/>
  <c r="AW788" i="10"/>
  <c r="AO788" i="10"/>
  <c r="AQ788" i="10"/>
  <c r="AX777" i="10"/>
  <c r="AW777" i="10"/>
  <c r="AJ777" i="10"/>
  <c r="AN777" i="10"/>
  <c r="AR777" i="10"/>
  <c r="AT777" i="10"/>
  <c r="AL777" i="10"/>
  <c r="AJ739" i="10"/>
  <c r="AK739" i="10"/>
  <c r="AW739" i="10"/>
  <c r="AQ127" i="45"/>
  <c r="AX739" i="10"/>
  <c r="AV853" i="10"/>
  <c r="AW2500" i="10"/>
  <c r="AJ1644" i="10"/>
  <c r="AJ1010" i="10"/>
  <c r="AQ1675" i="10"/>
  <c r="AL1675" i="10"/>
  <c r="AN964" i="10"/>
  <c r="AV1270" i="10"/>
  <c r="AQ1270" i="10"/>
  <c r="AQ2209" i="10"/>
  <c r="AJ728" i="10"/>
  <c r="AJ2673" i="10"/>
  <c r="AQ922" i="10"/>
  <c r="AR2214" i="10"/>
  <c r="AP788" i="10"/>
  <c r="AQ2500" i="10"/>
  <c r="AN2505" i="10"/>
  <c r="AU1675" i="10"/>
  <c r="AM1675" i="10"/>
  <c r="AV1121" i="10"/>
  <c r="AV1403" i="10"/>
  <c r="AJ1232" i="10"/>
  <c r="AJ964" i="10"/>
  <c r="AK1472" i="10"/>
  <c r="AO1503" i="10"/>
  <c r="AX1596" i="10"/>
  <c r="AR1818" i="10"/>
  <c r="AJ1270" i="10"/>
  <c r="AJ2366" i="10"/>
  <c r="AK751" i="10"/>
  <c r="AU1514" i="10"/>
  <c r="AW1243" i="10"/>
  <c r="AL1726" i="10"/>
  <c r="AW1847" i="10"/>
  <c r="AJ1375" i="10"/>
  <c r="AV1204" i="10"/>
  <c r="AJ2120" i="10"/>
  <c r="AL2293" i="10"/>
  <c r="AR2299" i="10"/>
  <c r="AQ2299" i="10"/>
  <c r="AR2711" i="10"/>
  <c r="AS2711" i="10"/>
  <c r="AW2711" i="10"/>
  <c r="AO2711" i="10"/>
  <c r="AK2711" i="10"/>
  <c r="AJ2711" i="10"/>
  <c r="AV2694" i="10"/>
  <c r="AS2694" i="10"/>
  <c r="AN2694" i="10"/>
  <c r="AX2694" i="10"/>
  <c r="AO2694" i="10"/>
  <c r="AR2694" i="10"/>
  <c r="AQ2694" i="10"/>
  <c r="AP2694" i="10"/>
  <c r="AW2694" i="10"/>
  <c r="AX2603" i="10"/>
  <c r="AN2603" i="10"/>
  <c r="AO2603" i="10"/>
  <c r="AR2603" i="10"/>
  <c r="AT2603" i="10"/>
  <c r="AM2603" i="10"/>
  <c r="AV2603" i="10"/>
  <c r="AS2603" i="10"/>
  <c r="AU2603" i="10"/>
  <c r="AJ2603" i="10"/>
  <c r="AK2603" i="10"/>
  <c r="AP2603" i="10"/>
  <c r="AW2603" i="10"/>
  <c r="AL2603" i="10"/>
  <c r="AM2582" i="10"/>
  <c r="AU2582" i="10"/>
  <c r="AX2582" i="10"/>
  <c r="AV2582" i="10"/>
  <c r="AK2582" i="10"/>
  <c r="AP2582" i="10"/>
  <c r="AO2582" i="10"/>
  <c r="AR2582" i="10"/>
  <c r="AS2582" i="10"/>
  <c r="AN2582" i="10"/>
  <c r="AT2561" i="10"/>
  <c r="AO2561" i="10"/>
  <c r="AW2561" i="10"/>
  <c r="AL2561" i="10"/>
  <c r="AX2561" i="10"/>
  <c r="AK2561" i="10"/>
  <c r="AV2561" i="10"/>
  <c r="AS2561" i="10"/>
  <c r="AR2561" i="10"/>
  <c r="AM2561" i="10"/>
  <c r="AP2561" i="10"/>
  <c r="AQ2561" i="10"/>
  <c r="AN2561" i="10"/>
  <c r="AJ2561" i="10"/>
  <c r="AP2480" i="10"/>
  <c r="AQ2480" i="10"/>
  <c r="AL2480" i="10"/>
  <c r="AO2480" i="10"/>
  <c r="AN2480" i="10"/>
  <c r="AM2480" i="10"/>
  <c r="AV2480" i="10"/>
  <c r="AR2480" i="10"/>
  <c r="AX2480" i="10"/>
  <c r="AW2480" i="10"/>
  <c r="AS2480" i="10"/>
  <c r="AU2480" i="10"/>
  <c r="AO2457" i="10"/>
  <c r="AJ2457" i="10"/>
  <c r="AX2431" i="10"/>
  <c r="AR2431" i="10"/>
  <c r="AL2431" i="10"/>
  <c r="AS2431" i="10"/>
  <c r="AP2431" i="10"/>
  <c r="AO2431" i="10"/>
  <c r="AN2431" i="10"/>
  <c r="AU2431" i="10"/>
  <c r="AV2431" i="10"/>
  <c r="AW2431" i="10"/>
  <c r="AJ2431" i="10"/>
  <c r="AM2431" i="10"/>
  <c r="AS2407" i="10"/>
  <c r="AR2407" i="10"/>
  <c r="AQ2407" i="10"/>
  <c r="AW2407" i="10"/>
  <c r="AV2407" i="10"/>
  <c r="AM2407" i="10"/>
  <c r="AN2407" i="10"/>
  <c r="AL2407" i="10"/>
  <c r="AP2407" i="10"/>
  <c r="AU2407" i="10"/>
  <c r="AT2407" i="10"/>
  <c r="AK2407" i="10"/>
  <c r="AS2371" i="10"/>
  <c r="AL2371" i="10"/>
  <c r="AJ2371" i="10"/>
  <c r="AP2371" i="10"/>
  <c r="AW2371" i="10"/>
  <c r="AK2371" i="10"/>
  <c r="AU2371" i="10"/>
  <c r="AT2371" i="10"/>
  <c r="AV2371" i="10"/>
  <c r="AR2371" i="10"/>
  <c r="AN2371" i="10"/>
  <c r="AM2371" i="10"/>
  <c r="AX2371" i="10"/>
  <c r="AO2371" i="10"/>
  <c r="AJ2345" i="10"/>
  <c r="AP2345" i="10"/>
  <c r="AW2345" i="10"/>
  <c r="AL2345" i="10"/>
  <c r="AT2345" i="10"/>
  <c r="AN2345" i="10"/>
  <c r="AV2345" i="10"/>
  <c r="AQ2345" i="10"/>
  <c r="AO2345" i="10"/>
  <c r="AX2345" i="10"/>
  <c r="AM2345" i="10"/>
  <c r="AP2330" i="10"/>
  <c r="AV2330" i="10"/>
  <c r="AT2330" i="10"/>
  <c r="AR2330" i="10"/>
  <c r="AJ2330" i="10"/>
  <c r="AL2330" i="10"/>
  <c r="AU2330" i="10"/>
  <c r="AM2330" i="10"/>
  <c r="AK2330" i="10"/>
  <c r="AS2330" i="10"/>
  <c r="AW2330" i="10"/>
  <c r="AO2330" i="10"/>
  <c r="AL2287" i="10"/>
  <c r="AS2287" i="10"/>
  <c r="AX2287" i="10"/>
  <c r="AW2287" i="10"/>
  <c r="AT2287" i="10"/>
  <c r="AP2287" i="10"/>
  <c r="AV2287" i="10"/>
  <c r="AO2287" i="10"/>
  <c r="AM2252" i="10"/>
  <c r="AN2252" i="10"/>
  <c r="AU2252" i="10"/>
  <c r="AR2252" i="10"/>
  <c r="AS2252" i="10"/>
  <c r="AK2252" i="10"/>
  <c r="AP2252" i="10"/>
  <c r="AX2252" i="10"/>
  <c r="AQ2252" i="10"/>
  <c r="AV2252" i="10"/>
  <c r="AL2252" i="10"/>
  <c r="AW2252" i="10"/>
  <c r="AT2252" i="10"/>
  <c r="AJ2252" i="10"/>
  <c r="AX2209" i="10"/>
  <c r="AK2209" i="10"/>
  <c r="AS2209" i="10"/>
  <c r="AL2209" i="10"/>
  <c r="AU2209" i="10"/>
  <c r="AO2209" i="10"/>
  <c r="AN2209" i="10"/>
  <c r="AK2204" i="10"/>
  <c r="AR2204" i="10"/>
  <c r="AL2204" i="10"/>
  <c r="AS2204" i="10"/>
  <c r="AP2204" i="10"/>
  <c r="AT2204" i="10"/>
  <c r="AW2204" i="10"/>
  <c r="AN2204" i="10"/>
  <c r="AQ2204" i="10"/>
  <c r="AP2173" i="10"/>
  <c r="AR2173" i="10"/>
  <c r="AU2173" i="10"/>
  <c r="AT2173" i="10"/>
  <c r="AQ2173" i="10"/>
  <c r="AM2173" i="10"/>
  <c r="AV2173" i="10"/>
  <c r="AX2173" i="10"/>
  <c r="AS2173" i="10"/>
  <c r="AL2173" i="10"/>
  <c r="AN2173" i="10"/>
  <c r="AJ2173" i="10"/>
  <c r="AP2149" i="10"/>
  <c r="AQ2149" i="10"/>
  <c r="AU2149" i="10"/>
  <c r="AS2149" i="10"/>
  <c r="AL2149" i="10"/>
  <c r="AR2149" i="10"/>
  <c r="AJ2149" i="10"/>
  <c r="AN2149" i="10"/>
  <c r="AX2149" i="10"/>
  <c r="AT2149" i="10"/>
  <c r="AK2137" i="10"/>
  <c r="AS2137" i="10"/>
  <c r="AN2137" i="10"/>
  <c r="AT2137" i="10"/>
  <c r="AM2137" i="10"/>
  <c r="AQ2137" i="10"/>
  <c r="AP2137" i="10"/>
  <c r="AR2137" i="10"/>
  <c r="AO2137" i="10"/>
  <c r="AO2110" i="10"/>
  <c r="AL2110" i="10"/>
  <c r="AQ2110" i="10"/>
  <c r="AS2110" i="10"/>
  <c r="AX2105" i="10"/>
  <c r="AP2105" i="10"/>
  <c r="AU2105" i="10"/>
  <c r="AO2105" i="10"/>
  <c r="AO2093" i="10"/>
  <c r="AM2093" i="10"/>
  <c r="AS2093" i="10"/>
  <c r="AV2093" i="10"/>
  <c r="AK2093" i="10"/>
  <c r="AU2093" i="10"/>
  <c r="AL2093" i="10"/>
  <c r="AR2093" i="10"/>
  <c r="AN2093" i="10"/>
  <c r="AP2093" i="10"/>
  <c r="AQ2093" i="10"/>
  <c r="AT2093" i="10"/>
  <c r="AX2093" i="10"/>
  <c r="AW2093" i="10"/>
  <c r="AQ2088" i="10"/>
  <c r="AJ2088" i="10"/>
  <c r="AW2088" i="10"/>
  <c r="AO2088" i="10"/>
  <c r="AJ2083" i="10"/>
  <c r="AW2083" i="10"/>
  <c r="AX2083" i="10"/>
  <c r="AN2083" i="10"/>
  <c r="AT2083" i="10"/>
  <c r="AV2083" i="10"/>
  <c r="AN2056" i="10"/>
  <c r="AX2056" i="10"/>
  <c r="AS2056" i="10"/>
  <c r="AO2056" i="10"/>
  <c r="AL2056" i="10"/>
  <c r="AJ2056" i="10"/>
  <c r="AV2056" i="10"/>
  <c r="AM2056" i="10"/>
  <c r="AT2056" i="10"/>
  <c r="AK2056" i="10"/>
  <c r="AP2056" i="10"/>
  <c r="AW2056" i="10"/>
  <c r="AR2056" i="10"/>
  <c r="AU2056" i="10"/>
  <c r="AL1980" i="10"/>
  <c r="AJ1980" i="10"/>
  <c r="AW1980" i="10"/>
  <c r="AV1980" i="10"/>
  <c r="AN1980" i="10"/>
  <c r="AS1980" i="10"/>
  <c r="AM1980" i="10"/>
  <c r="AR1980" i="10"/>
  <c r="AS1832" i="10"/>
  <c r="AO1832" i="10"/>
  <c r="AR1832" i="10"/>
  <c r="AU1832" i="10"/>
  <c r="AJ1832" i="10"/>
  <c r="AV1832" i="10"/>
  <c r="AQ1832" i="10"/>
  <c r="AW1832" i="10"/>
  <c r="AK1832" i="10"/>
  <c r="AU1813" i="10"/>
  <c r="AL1813" i="10"/>
  <c r="AT1813" i="10"/>
  <c r="AS1813" i="10"/>
  <c r="AX1813" i="10"/>
  <c r="AW1813" i="10"/>
  <c r="AK1813" i="10"/>
  <c r="AJ1813" i="10"/>
  <c r="AV1813" i="10"/>
  <c r="AO1813" i="10"/>
  <c r="AK1764" i="10"/>
  <c r="AM1764" i="10"/>
  <c r="AT1764" i="10"/>
  <c r="AS1764" i="10"/>
  <c r="AW1764" i="10"/>
  <c r="AO1764" i="10"/>
  <c r="AQ1764" i="10"/>
  <c r="AV1764" i="10"/>
  <c r="AU1764" i="10"/>
  <c r="AP1764" i="10"/>
  <c r="AR1750" i="10"/>
  <c r="AO1750" i="10"/>
  <c r="AX1750" i="10"/>
  <c r="AP1750" i="10"/>
  <c r="AQ1750" i="10"/>
  <c r="AU1750" i="10"/>
  <c r="AU1615" i="10"/>
  <c r="AO1615" i="10"/>
  <c r="AS1615" i="10"/>
  <c r="AK1615" i="10"/>
  <c r="AL1615" i="10"/>
  <c r="AW1615" i="10"/>
  <c r="AJ1615" i="10"/>
  <c r="AR1615" i="10"/>
  <c r="AN1615" i="10"/>
  <c r="AP1615" i="10"/>
  <c r="AM1586" i="10"/>
  <c r="AO1586" i="10"/>
  <c r="AJ1586" i="10"/>
  <c r="AX1586" i="10"/>
  <c r="AS1586" i="10"/>
  <c r="AR1586" i="10"/>
  <c r="AM1508" i="10"/>
  <c r="AK1508" i="10"/>
  <c r="AQ1508" i="10"/>
  <c r="AU1508" i="10"/>
  <c r="AV1508" i="10"/>
  <c r="AT1508" i="10"/>
  <c r="AS1508" i="10"/>
  <c r="AV1498" i="10"/>
  <c r="AQ1498" i="10"/>
  <c r="AT1498" i="10"/>
  <c r="AR1498" i="10"/>
  <c r="AJ1498" i="10"/>
  <c r="AM1498" i="10"/>
  <c r="AK1498" i="10"/>
  <c r="AX1498" i="10"/>
  <c r="AS1498" i="10"/>
  <c r="AN1498" i="10"/>
  <c r="AO1498" i="10"/>
  <c r="AR1472" i="10"/>
  <c r="AT1472" i="10"/>
  <c r="AQ1472" i="10"/>
  <c r="AW1472" i="10"/>
  <c r="AM1472" i="10"/>
  <c r="AN1472" i="10"/>
  <c r="AJ1472" i="10"/>
  <c r="AO1472" i="10"/>
  <c r="AP1472" i="10"/>
  <c r="AL1472" i="10"/>
  <c r="AV1472" i="10"/>
  <c r="AW1441" i="10"/>
  <c r="AU1441" i="10"/>
  <c r="AL1441" i="10"/>
  <c r="AM1441" i="10"/>
  <c r="AV1441" i="10"/>
  <c r="AX1441" i="10"/>
  <c r="AP1441" i="10"/>
  <c r="AS1441" i="10"/>
  <c r="AJ1441" i="10"/>
  <c r="AT1419" i="10"/>
  <c r="AO1419" i="10"/>
  <c r="AN1419" i="10"/>
  <c r="AL1419" i="10"/>
  <c r="AR1419" i="10"/>
  <c r="AV1419" i="10"/>
  <c r="AM1419" i="10"/>
  <c r="AW1419" i="10"/>
  <c r="AQ1419" i="10"/>
  <c r="AU1419" i="10"/>
  <c r="AP1419" i="10"/>
  <c r="AJ1419" i="10"/>
  <c r="AJ1357" i="10"/>
  <c r="AK1357" i="10"/>
  <c r="AL1357" i="10"/>
  <c r="AO1357" i="10"/>
  <c r="AR1357" i="10"/>
  <c r="AM1357" i="10"/>
  <c r="AP1357" i="10"/>
  <c r="AW1357" i="10"/>
  <c r="AQ1318" i="10"/>
  <c r="AT1318" i="10"/>
  <c r="AS1318" i="10"/>
  <c r="AV1318" i="10"/>
  <c r="AM1318" i="10"/>
  <c r="AK1318" i="10"/>
  <c r="AN1318" i="10"/>
  <c r="AO1318" i="10"/>
  <c r="AX1318" i="10"/>
  <c r="AU1318" i="10"/>
  <c r="AL1318" i="10"/>
  <c r="AW1318" i="10"/>
  <c r="AR1318" i="10"/>
  <c r="AP1318" i="10"/>
  <c r="AT1286" i="10"/>
  <c r="AP1286" i="10"/>
  <c r="AW1286" i="10"/>
  <c r="AM1286" i="10"/>
  <c r="AQ1286" i="10"/>
  <c r="AR1286" i="10"/>
  <c r="AN1286" i="10"/>
  <c r="AL1286" i="10"/>
  <c r="AS1286" i="10"/>
  <c r="AV1286" i="10"/>
  <c r="AK1286" i="10"/>
  <c r="AO1286" i="10"/>
  <c r="AJ1286" i="10"/>
  <c r="AU1286" i="10"/>
  <c r="AS1275" i="10"/>
  <c r="AK1275" i="10"/>
  <c r="AN1275" i="10"/>
  <c r="AT1275" i="10"/>
  <c r="AV1275" i="10"/>
  <c r="AO1275" i="10"/>
  <c r="AW1259" i="10"/>
  <c r="AV1259" i="10"/>
  <c r="AT1259" i="10"/>
  <c r="AO1259" i="10"/>
  <c r="AQ1259" i="10"/>
  <c r="AU1259" i="10"/>
  <c r="AM1259" i="10"/>
  <c r="AX1259" i="10"/>
  <c r="AJ1259" i="10"/>
  <c r="AL1259" i="10"/>
  <c r="AR1259" i="10"/>
  <c r="AV1198" i="10"/>
  <c r="AQ1198" i="10"/>
  <c r="AN1198" i="10"/>
  <c r="AX1198" i="10"/>
  <c r="AP1198" i="10"/>
  <c r="AK1198" i="10"/>
  <c r="AS1198" i="10"/>
  <c r="AM1198" i="10"/>
  <c r="AO1198" i="10"/>
  <c r="AL1198" i="10"/>
  <c r="AU1198" i="10"/>
  <c r="AW1198" i="10"/>
  <c r="AT1149" i="10"/>
  <c r="AP1149" i="10"/>
  <c r="AK1149" i="10"/>
  <c r="AS1149" i="10"/>
  <c r="AQ1149" i="10"/>
  <c r="AU1149" i="10"/>
  <c r="AW1149" i="10"/>
  <c r="AJ1149" i="10"/>
  <c r="AX1149" i="10"/>
  <c r="AT1127" i="10"/>
  <c r="AV1127" i="10"/>
  <c r="AN1127" i="10"/>
  <c r="AQ1127" i="10"/>
  <c r="AR1127" i="10"/>
  <c r="AK1127" i="10"/>
  <c r="AL1127" i="10"/>
  <c r="AX1127" i="10"/>
  <c r="AU1072" i="10"/>
  <c r="AP1072" i="10"/>
  <c r="AT1072" i="10"/>
  <c r="AK1072" i="10"/>
  <c r="AV1072" i="10"/>
  <c r="AM1072" i="10"/>
  <c r="AN1072" i="10"/>
  <c r="AL1072" i="10"/>
  <c r="AO1072" i="10"/>
  <c r="AU934" i="10"/>
  <c r="AP934" i="10"/>
  <c r="AQ934" i="10"/>
  <c r="AX934" i="10"/>
  <c r="AL934" i="10"/>
  <c r="AN934" i="10"/>
  <c r="AR934" i="10"/>
  <c r="AO934" i="10"/>
  <c r="AV934" i="10"/>
  <c r="AW934" i="10"/>
  <c r="AT934" i="10"/>
  <c r="AM934" i="10"/>
  <c r="AN848" i="10"/>
  <c r="AW848" i="10"/>
  <c r="AX848" i="10"/>
  <c r="AO848" i="10"/>
  <c r="AL848" i="10"/>
  <c r="AQ848" i="10"/>
  <c r="AK848" i="10"/>
  <c r="AM848" i="10"/>
  <c r="AJ808" i="10"/>
  <c r="AK808" i="10"/>
  <c r="AX782" i="10"/>
  <c r="AW782" i="10"/>
  <c r="AJ745" i="10"/>
  <c r="AQ1275" i="10"/>
  <c r="AO814" i="10"/>
  <c r="AN814" i="10"/>
  <c r="AU1462" i="10"/>
  <c r="AV788" i="10"/>
  <c r="AV777" i="10"/>
  <c r="AS1462" i="10"/>
  <c r="AT2582" i="10"/>
  <c r="AV1166" i="10"/>
  <c r="AJ1540" i="10"/>
  <c r="AT2209" i="10"/>
  <c r="AT1375" i="10"/>
  <c r="AV802" i="10"/>
  <c r="AS802" i="10"/>
  <c r="AR848" i="10"/>
  <c r="AP848" i="10"/>
  <c r="AS848" i="10"/>
  <c r="AN2214" i="10"/>
  <c r="AU1275" i="10"/>
  <c r="AJ2372" i="10"/>
  <c r="AX2407" i="10"/>
  <c r="AN745" i="10"/>
  <c r="AJ2214" i="10"/>
  <c r="AP1275" i="10"/>
  <c r="AS909" i="10"/>
  <c r="AX2505" i="10"/>
  <c r="AK2505" i="10"/>
  <c r="AJ2500" i="10"/>
  <c r="AO1675" i="10"/>
  <c r="AJ1121" i="10"/>
  <c r="AW1066" i="10"/>
  <c r="AS1292" i="10"/>
  <c r="AJ1596" i="10"/>
  <c r="AR2088" i="10"/>
  <c r="AN1818" i="10"/>
  <c r="AJ1127" i="10"/>
  <c r="AW1586" i="10"/>
  <c r="AR2209" i="10"/>
  <c r="AL1740" i="10"/>
  <c r="AV2366" i="10"/>
  <c r="AL1248" i="10"/>
  <c r="AP1248" i="10"/>
  <c r="AV2204" i="10"/>
  <c r="AN1726" i="10"/>
  <c r="AJ2110" i="10"/>
  <c r="AO2062" i="10"/>
  <c r="AU1204" i="10"/>
  <c r="AP1204" i="10"/>
  <c r="AL1610" i="10"/>
  <c r="AR1764" i="10"/>
  <c r="AU1895" i="10"/>
  <c r="AO2684" i="10"/>
  <c r="AV1161" i="10"/>
  <c r="AQ2371" i="10"/>
  <c r="AX2133" i="10"/>
  <c r="AW1477" i="10"/>
  <c r="AS1419" i="10"/>
  <c r="AU2711" i="10"/>
  <c r="AL2577" i="10"/>
  <c r="AV2577" i="10"/>
  <c r="AV1932" i="10"/>
  <c r="AO1932" i="10"/>
  <c r="AU863" i="10"/>
  <c r="AQ2705" i="10"/>
  <c r="AV2705" i="10"/>
  <c r="AL2705" i="10"/>
  <c r="AP2705" i="10"/>
  <c r="AO2705" i="10"/>
  <c r="AK2705" i="10"/>
  <c r="AR2705" i="10"/>
  <c r="AU2705" i="10"/>
  <c r="AT2673" i="10"/>
  <c r="AR2673" i="10"/>
  <c r="AU2673" i="10"/>
  <c r="AN2673" i="10"/>
  <c r="AL2673" i="10"/>
  <c r="AO2673" i="10"/>
  <c r="AK2673" i="10"/>
  <c r="AP2673" i="10"/>
  <c r="AO2646" i="10"/>
  <c r="AQ2646" i="10"/>
  <c r="AV2646" i="10"/>
  <c r="AW2646" i="10"/>
  <c r="AK2646" i="10"/>
  <c r="AJ2646" i="10"/>
  <c r="AM2646" i="10"/>
  <c r="AN2646" i="10"/>
  <c r="AP2646" i="10"/>
  <c r="AS2646" i="10"/>
  <c r="AX2646" i="10"/>
  <c r="AL2646" i="10"/>
  <c r="AR2587" i="10"/>
  <c r="AM2587" i="10"/>
  <c r="AV2587" i="10"/>
  <c r="AL2587" i="10"/>
  <c r="AS2587" i="10"/>
  <c r="AT2587" i="10"/>
  <c r="AN2587" i="10"/>
  <c r="AO2587" i="10"/>
  <c r="AJ2587" i="10"/>
  <c r="AW2587" i="10"/>
  <c r="AL2413" i="10"/>
  <c r="AM2413" i="10"/>
  <c r="AS2413" i="10"/>
  <c r="AP2413" i="10"/>
  <c r="AR2413" i="10"/>
  <c r="AJ2413" i="10"/>
  <c r="AK2413" i="10"/>
  <c r="AQ2413" i="10"/>
  <c r="AT2413" i="10"/>
  <c r="AU2413" i="10"/>
  <c r="AV2413" i="10"/>
  <c r="AO2413" i="10"/>
  <c r="AW2413" i="10"/>
  <c r="AN2413" i="10"/>
  <c r="AX2413" i="10"/>
  <c r="AK2314" i="10"/>
  <c r="AO2314" i="10"/>
  <c r="AN2314" i="10"/>
  <c r="AP2314" i="10"/>
  <c r="AX2314" i="10"/>
  <c r="AR2314" i="10"/>
  <c r="AU2314" i="10"/>
  <c r="AM2314" i="10"/>
  <c r="AJ2314" i="10"/>
  <c r="AQ2314" i="10"/>
  <c r="AL2314" i="10"/>
  <c r="AV2314" i="10"/>
  <c r="AS2314" i="10"/>
  <c r="AW2282" i="10"/>
  <c r="AV2282" i="10"/>
  <c r="AT2282" i="10"/>
  <c r="AN2282" i="10"/>
  <c r="AS2282" i="10"/>
  <c r="AM2282" i="10"/>
  <c r="AQ2282" i="10"/>
  <c r="AK2282" i="10"/>
  <c r="AX2282" i="10"/>
  <c r="AL2247" i="10"/>
  <c r="AV2247" i="10"/>
  <c r="AW2247" i="10"/>
  <c r="AX2247" i="10"/>
  <c r="AQ2247" i="10"/>
  <c r="AM2247" i="10"/>
  <c r="AR2247" i="10"/>
  <c r="AS2247" i="10"/>
  <c r="AO2247" i="10"/>
  <c r="AO2115" i="10"/>
  <c r="AK2115" i="10"/>
  <c r="AN2037" i="10"/>
  <c r="AK2037" i="10"/>
  <c r="AM2037" i="10"/>
  <c r="AR2037" i="10"/>
  <c r="AV2037" i="10"/>
  <c r="AS1890" i="10"/>
  <c r="AW1890" i="10"/>
  <c r="AQ1890" i="10"/>
  <c r="AR1890" i="10"/>
  <c r="AM1890" i="10"/>
  <c r="AW1827" i="10"/>
  <c r="AO1827" i="10"/>
  <c r="AK1827" i="10"/>
  <c r="AR1827" i="10"/>
  <c r="AU1773" i="10"/>
  <c r="AS1773" i="10"/>
  <c r="AN1773" i="10"/>
  <c r="AO1773" i="10"/>
  <c r="AP1773" i="10"/>
  <c r="AK1773" i="10"/>
  <c r="AQ1773" i="10"/>
  <c r="AW1773" i="10"/>
  <c r="AM1773" i="10"/>
  <c r="AV1773" i="10"/>
  <c r="AR1773" i="10"/>
  <c r="AK1735" i="10"/>
  <c r="AP1735" i="10"/>
  <c r="AJ1735" i="10"/>
  <c r="AJ1591" i="10"/>
  <c r="AN1591" i="10"/>
  <c r="AO1591" i="10"/>
  <c r="AK1591" i="10"/>
  <c r="AQ1591" i="10"/>
  <c r="AR1591" i="10"/>
  <c r="AT1591" i="10"/>
  <c r="AJ1467" i="10"/>
  <c r="AN1467" i="10"/>
  <c r="AO1467" i="10"/>
  <c r="AU1467" i="10"/>
  <c r="AQ1467" i="10"/>
  <c r="AK1467" i="10"/>
  <c r="AL1467" i="10"/>
  <c r="AT1467" i="10"/>
  <c r="AP1467" i="10"/>
  <c r="AR1467" i="10"/>
  <c r="AS1467" i="10"/>
  <c r="AM1467" i="10"/>
  <c r="AV1467" i="10"/>
  <c r="AK1413" i="10"/>
  <c r="AU1413" i="10"/>
  <c r="AN1413" i="10"/>
  <c r="AX1413" i="10"/>
  <c r="AJ1413" i="10"/>
  <c r="AP1413" i="10"/>
  <c r="AW1413" i="10"/>
  <c r="AO1413" i="10"/>
  <c r="AM1413" i="10"/>
  <c r="AT1413" i="10"/>
  <c r="AL1413" i="10"/>
  <c r="AV1413" i="10"/>
  <c r="AQ1413" i="10"/>
  <c r="AU1369" i="10"/>
  <c r="AP1369" i="10"/>
  <c r="AS1369" i="10"/>
  <c r="AJ1369" i="10"/>
  <c r="AT1369" i="10"/>
  <c r="AM1369" i="10"/>
  <c r="AR1369" i="10"/>
  <c r="AX1369" i="10"/>
  <c r="AW1369" i="10"/>
  <c r="AL1226" i="10"/>
  <c r="AJ1226" i="10"/>
  <c r="AN1226" i="10"/>
  <c r="AO1226" i="10"/>
  <c r="AR1226" i="10"/>
  <c r="AP947" i="10"/>
  <c r="AO947" i="10"/>
  <c r="AV947" i="10"/>
  <c r="AL947" i="10"/>
  <c r="AX947" i="10"/>
  <c r="AT947" i="10"/>
  <c r="AU947" i="10"/>
  <c r="AW733" i="10"/>
  <c r="AX733" i="10"/>
  <c r="AJ733" i="10"/>
  <c r="AJ2480" i="10"/>
  <c r="AS1941" i="10"/>
  <c r="AU1243" i="10"/>
  <c r="AX1066" i="10"/>
  <c r="AP1813" i="10"/>
  <c r="AJ1275" i="10"/>
  <c r="AJ1932" i="10"/>
  <c r="AO777" i="10"/>
  <c r="AV745" i="10"/>
  <c r="AS2366" i="10"/>
  <c r="AV981" i="10"/>
  <c r="AT2247" i="10"/>
  <c r="AO958" i="10"/>
  <c r="AX1232" i="10"/>
  <c r="AR745" i="10"/>
  <c r="AJ848" i="10"/>
  <c r="AL909" i="10"/>
  <c r="AU909" i="10"/>
  <c r="AU802" i="10"/>
  <c r="AS777" i="10"/>
  <c r="AM777" i="10"/>
  <c r="AU848" i="10"/>
  <c r="AQ777" i="10"/>
  <c r="AJ2204" i="10"/>
  <c r="AJ755" i="10"/>
  <c r="AJ1352" i="10"/>
  <c r="AT788" i="10"/>
  <c r="AW2505" i="10"/>
  <c r="AV1941" i="10"/>
  <c r="AJ1675" i="10"/>
  <c r="AJ819" i="10"/>
  <c r="AJ1764" i="10"/>
  <c r="AJ1292" i="10"/>
  <c r="AP2088" i="10"/>
  <c r="AP1270" i="10"/>
  <c r="AL1093" i="10"/>
  <c r="AW1818" i="10"/>
  <c r="AN1093" i="10"/>
  <c r="AV1586" i="10"/>
  <c r="AM2209" i="10"/>
  <c r="AU1093" i="10"/>
  <c r="AN1874" i="10"/>
  <c r="AU2204" i="10"/>
  <c r="AU2646" i="10"/>
  <c r="AK1726" i="10"/>
  <c r="AQ1357" i="10"/>
  <c r="AK1789" i="10"/>
  <c r="AM1204" i="10"/>
  <c r="AM1610" i="10"/>
  <c r="AR2282" i="10"/>
  <c r="AL1498" i="10"/>
  <c r="AN2684" i="10"/>
  <c r="AU1161" i="10"/>
  <c r="AQ1582" i="10"/>
  <c r="AX1072" i="10"/>
  <c r="AN1066" i="10"/>
  <c r="AS1413" i="10"/>
  <c r="AO2252" i="10"/>
  <c r="AU1798" i="10"/>
  <c r="AX1016" i="10"/>
  <c r="AN1462" i="10"/>
  <c r="AJ2464" i="10"/>
  <c r="AT2464" i="10"/>
  <c r="AV2392" i="10"/>
  <c r="AP2392" i="10"/>
  <c r="AS2392" i="10"/>
  <c r="AL2392" i="10"/>
  <c r="AQ2392" i="10"/>
  <c r="AJ2392" i="10"/>
  <c r="AN2392" i="10"/>
  <c r="AO2392" i="10"/>
  <c r="AK2231" i="10"/>
  <c r="AS2231" i="10"/>
  <c r="AQ2231" i="10"/>
  <c r="AW2231" i="10"/>
  <c r="AM2231" i="10"/>
  <c r="AP2231" i="10"/>
  <c r="AJ2231" i="10"/>
  <c r="AT2231" i="10"/>
  <c r="AL2231" i="10"/>
  <c r="AO2231" i="10"/>
  <c r="AR2231" i="10"/>
  <c r="AK2168" i="10"/>
  <c r="AU2168" i="10"/>
  <c r="AL2168" i="10"/>
  <c r="AP2160" i="10"/>
  <c r="AJ2160" i="10"/>
  <c r="AU2160" i="10"/>
  <c r="AQ2160" i="10"/>
  <c r="AM2160" i="10"/>
  <c r="AK2160" i="10"/>
  <c r="AW2160" i="10"/>
  <c r="AV2160" i="10"/>
  <c r="AO2160" i="10"/>
  <c r="AX2160" i="10"/>
  <c r="AO2133" i="10"/>
  <c r="AM2133" i="10"/>
  <c r="AW2133" i="10"/>
  <c r="AP2133" i="10"/>
  <c r="AV2133" i="10"/>
  <c r="AJ2133" i="10"/>
  <c r="AK2133" i="10"/>
  <c r="AQ2133" i="10"/>
  <c r="AU2133" i="10"/>
  <c r="AR2133" i="10"/>
  <c r="AT2133" i="10"/>
  <c r="AN2133" i="10"/>
  <c r="AL2133" i="10"/>
  <c r="AN2076" i="10"/>
  <c r="AL2076" i="10"/>
  <c r="AV2076" i="10"/>
  <c r="AT2076" i="10"/>
  <c r="AW2076" i="10"/>
  <c r="AS2076" i="10"/>
  <c r="AX2076" i="10"/>
  <c r="AM2076" i="10"/>
  <c r="AP2076" i="10"/>
  <c r="AR2076" i="10"/>
  <c r="AU2076" i="10"/>
  <c r="AK1991" i="10"/>
  <c r="AN1991" i="10"/>
  <c r="AL1991" i="10"/>
  <c r="AM1991" i="10"/>
  <c r="AW1991" i="10"/>
  <c r="AU1991" i="10"/>
  <c r="AS1991" i="10"/>
  <c r="AO1991" i="10"/>
  <c r="AV1991" i="10"/>
  <c r="AJ1991" i="10"/>
  <c r="AR1991" i="10"/>
  <c r="AT1991" i="10"/>
  <c r="AT1916" i="10"/>
  <c r="AJ1916" i="10"/>
  <c r="AS1916" i="10"/>
  <c r="AM1916" i="10"/>
  <c r="AQ1916" i="10"/>
  <c r="AS1685" i="10"/>
  <c r="AO1685" i="10"/>
  <c r="AT1685" i="10"/>
  <c r="AR1685" i="10"/>
  <c r="AL1685" i="10"/>
  <c r="AN1685" i="10"/>
  <c r="AS1430" i="10"/>
  <c r="AN1430" i="10"/>
  <c r="AP1430" i="10"/>
  <c r="AQ1430" i="10"/>
  <c r="AJ1430" i="10"/>
  <c r="AV1430" i="10"/>
  <c r="AO1430" i="10"/>
  <c r="AR1430" i="10"/>
  <c r="AO1363" i="10"/>
  <c r="AU1363" i="10"/>
  <c r="AS1363" i="10"/>
  <c r="AV1363" i="10"/>
  <c r="AJ1363" i="10"/>
  <c r="AQ1363" i="10"/>
  <c r="AT1363" i="10"/>
  <c r="AL1363" i="10"/>
  <c r="AP1363" i="10"/>
  <c r="AK1363" i="10"/>
  <c r="AW1363" i="10"/>
  <c r="AX1363" i="10"/>
  <c r="AN1363" i="10"/>
  <c r="AM1363" i="10"/>
  <c r="AJ2282" i="10"/>
  <c r="AR909" i="10"/>
  <c r="AP1453" i="10"/>
  <c r="AQ2587" i="10"/>
  <c r="AP2366" i="10"/>
  <c r="AM1127" i="10"/>
  <c r="AM819" i="10"/>
  <c r="AV2231" i="10"/>
  <c r="AW1275" i="10"/>
  <c r="AO745" i="10"/>
  <c r="AS819" i="10"/>
  <c r="AL1275" i="10"/>
  <c r="AW1921" i="10"/>
  <c r="AW1127" i="10"/>
  <c r="AL1270" i="10"/>
  <c r="AX751" i="10"/>
  <c r="AT1847" i="10"/>
  <c r="AN2231" i="10"/>
  <c r="AM1166" i="10"/>
  <c r="AK814" i="10"/>
  <c r="AN788" i="10"/>
  <c r="AN863" i="10"/>
  <c r="AK755" i="10"/>
  <c r="AM844" i="10"/>
  <c r="AP777" i="10"/>
  <c r="AO2505" i="10"/>
  <c r="AU1941" i="10"/>
  <c r="AP819" i="10"/>
  <c r="AN1764" i="10"/>
  <c r="AR947" i="10"/>
  <c r="AJ1818" i="10"/>
  <c r="AM1093" i="10"/>
  <c r="AK1586" i="10"/>
  <c r="AJ2209" i="10"/>
  <c r="AW2392" i="10"/>
  <c r="AX2204" i="10"/>
  <c r="AR2646" i="10"/>
  <c r="AS2673" i="10"/>
  <c r="AO1874" i="10"/>
  <c r="AQ2330" i="10"/>
  <c r="AS1038" i="10"/>
  <c r="AL1764" i="10"/>
  <c r="AW2149" i="10"/>
  <c r="AK1610" i="10"/>
  <c r="AX1991" i="10"/>
  <c r="AS1566" i="10"/>
  <c r="AR1072" i="10"/>
  <c r="AT1198" i="10"/>
  <c r="AO2636" i="10"/>
  <c r="AU2636" i="10"/>
  <c r="AL2636" i="10"/>
  <c r="AT2636" i="10"/>
  <c r="AX2636" i="10"/>
  <c r="AV2636" i="10"/>
  <c r="AK2636" i="10"/>
  <c r="AN2636" i="10"/>
  <c r="AM2636" i="10"/>
  <c r="AS2636" i="10"/>
  <c r="AW2636" i="10"/>
  <c r="AQ2636" i="10"/>
  <c r="AR2636" i="10"/>
  <c r="AP2636" i="10"/>
  <c r="AM2500" i="10"/>
  <c r="AS2500" i="10"/>
  <c r="AN2500" i="10"/>
  <c r="AK2500" i="10"/>
  <c r="AX2500" i="10"/>
  <c r="AU2500" i="10"/>
  <c r="AR2500" i="10"/>
  <c r="AO2500" i="10"/>
  <c r="AS2062" i="10"/>
  <c r="AL2062" i="10"/>
  <c r="AW2062" i="10"/>
  <c r="AV2062" i="10"/>
  <c r="AQ2062" i="10"/>
  <c r="AR2062" i="10"/>
  <c r="AT2062" i="10"/>
  <c r="AU2062" i="10"/>
  <c r="AX2062" i="10"/>
  <c r="AP2062" i="10"/>
  <c r="AJ2062" i="10"/>
  <c r="AK2062" i="10"/>
  <c r="AM2062" i="10"/>
  <c r="AL2694" i="10"/>
  <c r="AQ2673" i="10"/>
  <c r="AJ2287" i="10"/>
  <c r="AO1149" i="10"/>
  <c r="AN1441" i="10"/>
  <c r="AQ2431" i="10"/>
  <c r="AL1701" i="10"/>
  <c r="AQ802" i="10"/>
  <c r="AL788" i="10"/>
  <c r="AK819" i="10"/>
  <c r="AP802" i="10"/>
  <c r="AJ1665" i="10"/>
  <c r="AX1773" i="10"/>
  <c r="AR788" i="10"/>
  <c r="AM909" i="10"/>
  <c r="AR819" i="10"/>
  <c r="AN1941" i="10"/>
  <c r="AT1980" i="10"/>
  <c r="AO1941" i="10"/>
  <c r="AT2684" i="10"/>
  <c r="AU788" i="10"/>
  <c r="AK1895" i="10"/>
  <c r="AW1969" i="10"/>
  <c r="AX1215" i="10"/>
  <c r="AK1448" i="10"/>
  <c r="AK2694" i="10"/>
  <c r="AO1093" i="10"/>
  <c r="AN1586" i="10"/>
  <c r="AS1093" i="10"/>
  <c r="AM2392" i="10"/>
  <c r="AP1093" i="10"/>
  <c r="AK1921" i="10"/>
  <c r="AR1413" i="10"/>
  <c r="AM2204" i="10"/>
  <c r="AX2673" i="10"/>
  <c r="AW1874" i="10"/>
  <c r="AN2330" i="10"/>
  <c r="AW1375" i="10"/>
  <c r="AK1369" i="10"/>
  <c r="AQ1375" i="10"/>
  <c r="AM2149" i="10"/>
  <c r="AQ2178" i="10"/>
  <c r="AR1610" i="10"/>
  <c r="AQ1991" i="10"/>
  <c r="AX2178" i="10"/>
  <c r="AJ934" i="10"/>
  <c r="AV1187" i="10"/>
  <c r="AV1750" i="10"/>
  <c r="AP2664" i="10"/>
  <c r="AR927" i="10"/>
  <c r="AX532" i="10"/>
  <c r="AW532" i="10"/>
  <c r="AK532" i="10"/>
  <c r="AJ532" i="10"/>
  <c r="AX533" i="10"/>
  <c r="AW533" i="10"/>
  <c r="AK533" i="10"/>
  <c r="AJ533" i="10"/>
  <c r="AX534" i="10"/>
  <c r="AW534" i="10"/>
  <c r="AK534" i="10"/>
  <c r="AJ534" i="10"/>
  <c r="AX535" i="10"/>
  <c r="AW535" i="10"/>
  <c r="AK535" i="10"/>
  <c r="AJ535" i="10"/>
  <c r="AX536" i="10"/>
  <c r="AW536" i="10"/>
  <c r="AK536" i="10"/>
  <c r="AJ536" i="10"/>
  <c r="AX537" i="10"/>
  <c r="AW537" i="10"/>
  <c r="AK537" i="10"/>
  <c r="AJ537" i="10"/>
  <c r="AX538" i="10"/>
  <c r="AW538" i="10"/>
  <c r="AV538" i="10"/>
  <c r="AU538" i="10"/>
  <c r="AT538" i="10"/>
  <c r="AS538" i="10"/>
  <c r="AR538" i="10"/>
  <c r="AQ538" i="10"/>
  <c r="AP538" i="10"/>
  <c r="AO538" i="10"/>
  <c r="AN538" i="10"/>
  <c r="AM538" i="10"/>
  <c r="AL538" i="10"/>
  <c r="AK538" i="10"/>
  <c r="AJ538" i="10"/>
  <c r="AX539" i="10"/>
  <c r="AW539" i="10"/>
  <c r="AK539" i="10"/>
  <c r="AJ539" i="10"/>
  <c r="AX540" i="10"/>
  <c r="AW540" i="10"/>
  <c r="AK540" i="10"/>
  <c r="AJ540" i="10"/>
  <c r="AR1974" i="10"/>
  <c r="AJ1974" i="10"/>
  <c r="AV1957" i="10"/>
  <c r="AN1957" i="10"/>
  <c r="AJ1947" i="10"/>
  <c r="AS1947" i="10"/>
  <c r="AP1936" i="10"/>
  <c r="AO1936" i="10"/>
  <c r="AL1936" i="10"/>
  <c r="AU1936" i="10"/>
  <c r="AW1927" i="10"/>
  <c r="AR1927" i="10"/>
  <c r="AX1927" i="10"/>
  <c r="AL1927" i="10"/>
  <c r="AU1927" i="10"/>
  <c r="AJ1906" i="10"/>
  <c r="AN1906" i="10"/>
  <c r="AM1906" i="10"/>
  <c r="AR1901" i="10"/>
  <c r="AO1901" i="10"/>
  <c r="AP1901" i="10"/>
  <c r="AU1901" i="10"/>
  <c r="AT1901" i="10"/>
  <c r="AS1901" i="10"/>
  <c r="AK1901" i="10"/>
  <c r="AL1901" i="10"/>
  <c r="AJ1901" i="10"/>
  <c r="AM1901" i="10"/>
  <c r="AV1901" i="10"/>
  <c r="AQ1901" i="10"/>
  <c r="AT1885" i="10"/>
  <c r="AU1885" i="10"/>
  <c r="AL1885" i="10"/>
  <c r="AX1885" i="10"/>
  <c r="AK1885" i="10"/>
  <c r="AM1885" i="10"/>
  <c r="AS1885" i="10"/>
  <c r="AW1885" i="10"/>
  <c r="AQ1885" i="10"/>
  <c r="AJ1885" i="10"/>
  <c r="AV1885" i="10"/>
  <c r="AT1869" i="10"/>
  <c r="AK1869" i="10"/>
  <c r="AR1869" i="10"/>
  <c r="AS1869" i="10"/>
  <c r="AV1869" i="10"/>
  <c r="AJ1869" i="10"/>
  <c r="AX1869" i="10"/>
  <c r="AQ1869" i="10"/>
  <c r="AL1869" i="10"/>
  <c r="AW1869" i="10"/>
  <c r="AM1869" i="10"/>
  <c r="AP1869" i="10"/>
  <c r="AN1869" i="10"/>
  <c r="AS1864" i="10"/>
  <c r="AK1864" i="10"/>
  <c r="AQ1864" i="10"/>
  <c r="AP1864" i="10"/>
  <c r="AS1858" i="10"/>
  <c r="AN1858" i="10"/>
  <c r="AM1858" i="10"/>
  <c r="AJ1858" i="10"/>
  <c r="AL1858" i="10"/>
  <c r="AT1858" i="10"/>
  <c r="AK1858" i="10"/>
  <c r="AR1858" i="10"/>
  <c r="AV1858" i="10"/>
  <c r="AX1838" i="10"/>
  <c r="AU1838" i="10"/>
  <c r="AP1838" i="10"/>
  <c r="AK1838" i="10"/>
  <c r="AO1838" i="10"/>
  <c r="AS1838" i="10"/>
  <c r="AR1838" i="10"/>
  <c r="AV1838" i="10"/>
  <c r="AT1838" i="10"/>
  <c r="AW1838" i="10"/>
  <c r="AL1809" i="10"/>
  <c r="AJ1809" i="10"/>
  <c r="AO1809" i="10"/>
  <c r="AX1809" i="10"/>
  <c r="AQ1809" i="10"/>
  <c r="AP1804" i="10"/>
  <c r="AX1804" i="10"/>
  <c r="AL1804" i="10"/>
  <c r="AT1804" i="10"/>
  <c r="AM1804" i="10"/>
  <c r="AU1804" i="10"/>
  <c r="AQ1804" i="10"/>
  <c r="AJ1804" i="10"/>
  <c r="AW1804" i="10"/>
  <c r="AO1804" i="10"/>
  <c r="AS1804" i="10"/>
  <c r="AR1804" i="10"/>
  <c r="AN1804" i="10"/>
  <c r="AV1804" i="10"/>
  <c r="AM1769" i="10"/>
  <c r="AX1769" i="10"/>
  <c r="AT1769" i="10"/>
  <c r="AK1769" i="10"/>
  <c r="AP1769" i="10"/>
  <c r="AO1769" i="10"/>
  <c r="AK1755" i="10"/>
  <c r="AW1755" i="10"/>
  <c r="AT1755" i="10"/>
  <c r="AV1755" i="10"/>
  <c r="AJ1755" i="10"/>
  <c r="AR1755" i="10"/>
  <c r="AL1755" i="10"/>
  <c r="AX1755" i="10"/>
  <c r="AM1755" i="10"/>
  <c r="AQ1755" i="10"/>
  <c r="AS1746" i="10"/>
  <c r="AN1746" i="10"/>
  <c r="AT1746" i="10"/>
  <c r="AX1746" i="10"/>
  <c r="AO1746" i="10"/>
  <c r="AK1746" i="10"/>
  <c r="AQ1746" i="10"/>
  <c r="AV1740" i="10"/>
  <c r="AS1740" i="10"/>
  <c r="AQ1740" i="10"/>
  <c r="AM1740" i="10"/>
  <c r="AN1740" i="10"/>
  <c r="AW1740" i="10"/>
  <c r="AJ1740" i="10"/>
  <c r="AO1740" i="10"/>
  <c r="AX1740" i="10"/>
  <c r="AP1740" i="10"/>
  <c r="AK1740" i="10"/>
  <c r="AT1731" i="10"/>
  <c r="AV1731" i="10"/>
  <c r="AM1731" i="10"/>
  <c r="AW1731" i="10"/>
  <c r="AJ1731" i="10"/>
  <c r="AX1731" i="10"/>
  <c r="AQ1722" i="10"/>
  <c r="AV1722" i="10"/>
  <c r="AL1722" i="10"/>
  <c r="AT1722" i="10"/>
  <c r="AN1722" i="10"/>
  <c r="AM1722" i="10"/>
  <c r="AJ1722" i="10"/>
  <c r="AU1722" i="10"/>
  <c r="AO1722" i="10"/>
  <c r="AP1722" i="10"/>
  <c r="AS1722" i="10"/>
  <c r="AO1707" i="10"/>
  <c r="AV1707" i="10"/>
  <c r="AJ1707" i="10"/>
  <c r="AR1707" i="10"/>
  <c r="AP1707" i="10"/>
  <c r="AT1707" i="10"/>
  <c r="AX1680" i="10"/>
  <c r="AP1680" i="10"/>
  <c r="AU1680" i="10"/>
  <c r="AQ1680" i="10"/>
  <c r="AL1680" i="10"/>
  <c r="AT1680" i="10"/>
  <c r="AN1680" i="10"/>
  <c r="AO1680" i="10"/>
  <c r="AU1670" i="10"/>
  <c r="AJ1670" i="10"/>
  <c r="AL1670" i="10"/>
  <c r="AU1660" i="10"/>
  <c r="AS1660" i="10"/>
  <c r="AK1660" i="10"/>
  <c r="AJ1660" i="10"/>
  <c r="AV1660" i="10"/>
  <c r="AQ1660" i="10"/>
  <c r="AR1660" i="10"/>
  <c r="AO1660" i="10"/>
  <c r="AL1660" i="10"/>
  <c r="AN1660" i="10"/>
  <c r="AT1660" i="10"/>
  <c r="AN1655" i="10"/>
  <c r="AL1655" i="10"/>
  <c r="AJ1655" i="10"/>
  <c r="AT1655" i="10"/>
  <c r="AU1655" i="10"/>
  <c r="AM1655" i="10"/>
  <c r="AO1655" i="10"/>
  <c r="AP1655" i="10"/>
  <c r="AQ1655" i="10"/>
  <c r="AU1640" i="10"/>
  <c r="AK1640" i="10"/>
  <c r="AP1640" i="10"/>
  <c r="AM1640" i="10"/>
  <c r="AL1640" i="10"/>
  <c r="AT1640" i="10"/>
  <c r="AR1640" i="10"/>
  <c r="AS1640" i="10"/>
  <c r="AV1626" i="10"/>
  <c r="AR1626" i="10"/>
  <c r="AM1626" i="10"/>
  <c r="AQ1626" i="10"/>
  <c r="AO1626" i="10"/>
  <c r="AU1626" i="10"/>
  <c r="AS1621" i="10"/>
  <c r="AU1621" i="10"/>
  <c r="AW1621" i="10"/>
  <c r="AO1621" i="10"/>
  <c r="AV1621" i="10"/>
  <c r="AK1621" i="10"/>
  <c r="AP1621" i="10"/>
  <c r="AQ1621" i="10"/>
  <c r="AT1621" i="10"/>
  <c r="AO1601" i="10"/>
  <c r="AV1601" i="10"/>
  <c r="AL1601" i="10"/>
  <c r="AR1601" i="10"/>
  <c r="AM1601" i="10"/>
  <c r="AQ1601" i="10"/>
  <c r="AS1601" i="10"/>
  <c r="AT1601" i="10"/>
  <c r="AK1601" i="10"/>
  <c r="AN1601" i="10"/>
  <c r="AP1601" i="10"/>
  <c r="AW1601" i="10"/>
  <c r="AJ1601" i="10"/>
  <c r="AU1577" i="10"/>
  <c r="AT1577" i="10"/>
  <c r="AL1577" i="10"/>
  <c r="AX1577" i="10"/>
  <c r="AR1577" i="10"/>
  <c r="AP1556" i="10"/>
  <c r="AW1556" i="10"/>
  <c r="AK1556" i="10"/>
  <c r="AX1556" i="10"/>
  <c r="AQ1556" i="10"/>
  <c r="AN1556" i="10"/>
  <c r="AU1556" i="10"/>
  <c r="AL1556" i="10"/>
  <c r="AT1556" i="10"/>
  <c r="AJ1556" i="10"/>
  <c r="AQ1546" i="10"/>
  <c r="AO1546" i="10"/>
  <c r="AP1546" i="10"/>
  <c r="AS1546" i="10"/>
  <c r="AX1546" i="10"/>
  <c r="AW1546" i="10"/>
  <c r="AK1546" i="10"/>
  <c r="AM1535" i="10"/>
  <c r="AK1535" i="10"/>
  <c r="AU1535" i="10"/>
  <c r="AQ1535" i="10"/>
  <c r="AJ1535" i="10"/>
  <c r="AP1535" i="10"/>
  <c r="AL1535" i="10"/>
  <c r="AO1535" i="10"/>
  <c r="AL1530" i="10"/>
  <c r="AQ1530" i="10"/>
  <c r="AN1530" i="10"/>
  <c r="AX1530" i="10"/>
  <c r="AW1530" i="10"/>
  <c r="AT1530" i="10"/>
  <c r="AS1530" i="10"/>
  <c r="AU1530" i="10"/>
  <c r="AJ1530" i="10"/>
  <c r="AM1524" i="10"/>
  <c r="AQ1524" i="10"/>
  <c r="AT1524" i="10"/>
  <c r="AL1524" i="10"/>
  <c r="AR1524" i="10"/>
  <c r="AS1524" i="10"/>
  <c r="AJ1524" i="10"/>
  <c r="AW1524" i="10"/>
  <c r="AK1524" i="10"/>
  <c r="AT1519" i="10"/>
  <c r="AV1519" i="10"/>
  <c r="AJ1519" i="10"/>
  <c r="AV1493" i="10"/>
  <c r="AL1493" i="10"/>
  <c r="AQ1493" i="10"/>
  <c r="AM1493" i="10"/>
  <c r="AJ1493" i="10"/>
  <c r="AP1493" i="10"/>
  <c r="AR1493" i="10"/>
  <c r="AN1493" i="10"/>
  <c r="AK1493" i="10"/>
  <c r="AS1493" i="10"/>
  <c r="AO1493" i="10"/>
  <c r="AW1493" i="10"/>
  <c r="AJ1488" i="10"/>
  <c r="AX1488" i="10"/>
  <c r="AV1488" i="10"/>
  <c r="AO1488" i="10"/>
  <c r="AS1488" i="10"/>
  <c r="AL1488" i="10"/>
  <c r="AQ1488" i="10"/>
  <c r="AR1488" i="10"/>
  <c r="AP1488" i="10"/>
  <c r="AT1488" i="10"/>
  <c r="AM1458" i="10"/>
  <c r="AT1458" i="10"/>
  <c r="AT1442" i="10"/>
  <c r="AK1442" i="10"/>
  <c r="AL1442" i="10"/>
  <c r="AR1442" i="10"/>
  <c r="AW1442" i="10"/>
  <c r="AV1442" i="10"/>
  <c r="AQ1442" i="10"/>
  <c r="AX1442" i="10"/>
  <c r="AT1425" i="10"/>
  <c r="AO1425" i="10"/>
  <c r="AW1425" i="10"/>
  <c r="AK1425" i="10"/>
  <c r="AS1425" i="10"/>
  <c r="AU1425" i="10"/>
  <c r="AR1425" i="10"/>
  <c r="AQ1425" i="10"/>
  <c r="AV1425" i="10"/>
  <c r="AP1425" i="10"/>
  <c r="AL1398" i="10"/>
  <c r="AV1398" i="10"/>
  <c r="AU1398" i="10"/>
  <c r="AM1387" i="10"/>
  <c r="AV1387" i="10"/>
  <c r="AW1387" i="10"/>
  <c r="AX1387" i="10"/>
  <c r="AN1387" i="10"/>
  <c r="AU1387" i="10"/>
  <c r="AT1387" i="10"/>
  <c r="AR1387" i="10"/>
  <c r="AS1387" i="10"/>
  <c r="AV1382" i="10"/>
  <c r="AN1382" i="10"/>
  <c r="AR1382" i="10"/>
  <c r="AS1382" i="10"/>
  <c r="AL1382" i="10"/>
  <c r="AX1382" i="10"/>
  <c r="AW1382" i="10"/>
  <c r="AP1382" i="10"/>
  <c r="AW1352" i="10"/>
  <c r="AM1352" i="10"/>
  <c r="AN1352" i="10"/>
  <c r="AO1352" i="10"/>
  <c r="AL1352" i="10"/>
  <c r="AT1352" i="10"/>
  <c r="AS1352" i="10"/>
  <c r="AP1352" i="10"/>
  <c r="AQ1352" i="10"/>
  <c r="AX1346" i="10"/>
  <c r="AW1346" i="10"/>
  <c r="AR1346" i="10"/>
  <c r="AN1346" i="10"/>
  <c r="AK1346" i="10"/>
  <c r="AL1346" i="10"/>
  <c r="AM1346" i="10"/>
  <c r="AV1346" i="10"/>
  <c r="AO1346" i="10"/>
  <c r="AQ1346" i="10"/>
  <c r="AL1341" i="10"/>
  <c r="AQ1341" i="10"/>
  <c r="AV1341" i="10"/>
  <c r="AT1341" i="10"/>
  <c r="AX1341" i="10"/>
  <c r="AJ1341" i="10"/>
  <c r="AP1341" i="10"/>
  <c r="AS1341" i="10"/>
  <c r="AK1341" i="10"/>
  <c r="AS1335" i="10"/>
  <c r="AP1335" i="10"/>
  <c r="AR1335" i="10"/>
  <c r="AN1335" i="10"/>
  <c r="AQ1335" i="10"/>
  <c r="AM1324" i="10"/>
  <c r="AT1324" i="10"/>
  <c r="AU1324" i="10"/>
  <c r="AL1324" i="10"/>
  <c r="AK1324" i="10"/>
  <c r="AS1324" i="10"/>
  <c r="AL1304" i="10"/>
  <c r="AN1304" i="10"/>
  <c r="AS1304" i="10"/>
  <c r="AJ1304" i="10"/>
  <c r="AV1304" i="10"/>
  <c r="AW1304" i="10"/>
  <c r="AU1304" i="10"/>
  <c r="AX1304" i="10"/>
  <c r="AK1304" i="10"/>
  <c r="AP1304" i="10"/>
  <c r="AO1298" i="10"/>
  <c r="AL1298" i="10"/>
  <c r="AM1298" i="10"/>
  <c r="AV1298" i="10"/>
  <c r="AJ1298" i="10"/>
  <c r="AR1298" i="10"/>
  <c r="AV1281" i="10"/>
  <c r="AW1281" i="10"/>
  <c r="AT1281" i="10"/>
  <c r="AS1281" i="10"/>
  <c r="AM1281" i="10"/>
  <c r="AJ1281" i="10"/>
  <c r="AL1281" i="10"/>
  <c r="AP1281" i="10"/>
  <c r="AU1281" i="10"/>
  <c r="AR1281" i="10"/>
  <c r="AK1238" i="10"/>
  <c r="AV1238" i="10"/>
  <c r="AU1238" i="10"/>
  <c r="AW1238" i="10"/>
  <c r="AN1238" i="10"/>
  <c r="AJ1238" i="10"/>
  <c r="AP1238" i="10"/>
  <c r="AT1238" i="10"/>
  <c r="AL1238" i="10"/>
  <c r="AS1238" i="10"/>
  <c r="AM1238" i="10"/>
  <c r="AR1238" i="10"/>
  <c r="AQ1221" i="10"/>
  <c r="AS1221" i="10"/>
  <c r="AM1221" i="10"/>
  <c r="AW1221" i="10"/>
  <c r="AL1221" i="10"/>
  <c r="AV1210" i="10"/>
  <c r="AU1210" i="10"/>
  <c r="AK1210" i="10"/>
  <c r="AP1210" i="10"/>
  <c r="AX1210" i="10"/>
  <c r="AJ1210" i="10"/>
  <c r="AW1210" i="10"/>
  <c r="AR1193" i="10"/>
  <c r="AJ1193" i="10"/>
  <c r="AP1193" i="10"/>
  <c r="AW1193" i="10"/>
  <c r="AV1193" i="10"/>
  <c r="AS1193" i="10"/>
  <c r="AL1193" i="10"/>
  <c r="AQ1193" i="10"/>
  <c r="AT1193" i="10"/>
  <c r="AP1172" i="10"/>
  <c r="AW1172" i="10"/>
  <c r="AJ1172" i="10"/>
  <c r="AV1172" i="10"/>
  <c r="AL1172" i="10"/>
  <c r="AT1172" i="10"/>
  <c r="AM1172" i="10"/>
  <c r="AN1172" i="10"/>
  <c r="AK1172" i="10"/>
  <c r="AO1133" i="10"/>
  <c r="AS1133" i="10"/>
  <c r="AT1133" i="10"/>
  <c r="AW1133" i="10"/>
  <c r="AQ1133" i="10"/>
  <c r="AP1133" i="10"/>
  <c r="AX1116" i="10"/>
  <c r="AL1116" i="10"/>
  <c r="AU1116" i="10"/>
  <c r="AO1116" i="10"/>
  <c r="AM1116" i="10"/>
  <c r="AN1116" i="10"/>
  <c r="AW1116" i="10"/>
  <c r="AU1111" i="10"/>
  <c r="AT1111" i="10"/>
  <c r="AQ1111" i="10"/>
  <c r="AJ1111" i="10"/>
  <c r="AK1111" i="10"/>
  <c r="AR1111" i="10"/>
  <c r="AQ1105" i="10"/>
  <c r="AO1105" i="10"/>
  <c r="AP1105" i="10"/>
  <c r="AR1105" i="10"/>
  <c r="AJ1105" i="10"/>
  <c r="AW1105" i="10"/>
  <c r="AL1105" i="10"/>
  <c r="AX1099" i="10"/>
  <c r="AK1099" i="10"/>
  <c r="AP1099" i="10"/>
  <c r="AQ1099" i="10"/>
  <c r="AL1099" i="10"/>
  <c r="AO1087" i="10"/>
  <c r="AP1087" i="10"/>
  <c r="AT1087" i="10"/>
  <c r="AX1087" i="10"/>
  <c r="AW1087" i="10"/>
  <c r="AQ1077" i="10"/>
  <c r="AP1077" i="10"/>
  <c r="AL1077" i="10"/>
  <c r="AX1077" i="10"/>
  <c r="AO1061" i="10"/>
  <c r="AP1061" i="10"/>
  <c r="AX1061" i="10"/>
  <c r="AV1061" i="10"/>
  <c r="AL1061" i="10"/>
  <c r="AR1061" i="10"/>
  <c r="AT1061" i="10"/>
  <c r="AQ1061" i="10"/>
  <c r="AN1055" i="10"/>
  <c r="AU1055" i="10"/>
  <c r="AP1055" i="10"/>
  <c r="AQ1055" i="10"/>
  <c r="AM1055" i="10"/>
  <c r="AK1055" i="10"/>
  <c r="AW1055" i="10"/>
  <c r="AX1055" i="10"/>
  <c r="AW1044" i="10"/>
  <c r="AK1044" i="10"/>
  <c r="AX1044" i="10"/>
  <c r="AV1044" i="10"/>
  <c r="AN1044" i="10"/>
  <c r="AS1044" i="10"/>
  <c r="AQ1044" i="10"/>
  <c r="AM1044" i="10"/>
  <c r="AT1044" i="10"/>
  <c r="AU1044" i="10"/>
  <c r="AV1033" i="10"/>
  <c r="AT1033" i="10"/>
  <c r="AU1033" i="10"/>
  <c r="AP1033" i="10"/>
  <c r="AK1033" i="10"/>
  <c r="AX1033" i="10"/>
  <c r="AW1033" i="10"/>
  <c r="AM1033" i="10"/>
  <c r="AS1033" i="10"/>
  <c r="AX1022" i="10"/>
  <c r="AW1022" i="10"/>
  <c r="AJ1022" i="10"/>
  <c r="AK1022" i="10"/>
  <c r="AV1005" i="10"/>
  <c r="AT1005" i="10"/>
  <c r="AN1005" i="10"/>
  <c r="AU1005" i="10"/>
  <c r="AR1005" i="10"/>
  <c r="AP1005" i="10"/>
  <c r="AM1005" i="10"/>
  <c r="AL1005" i="10"/>
  <c r="AS1005" i="10"/>
  <c r="AK1005" i="10"/>
  <c r="AM999" i="10"/>
  <c r="AX999" i="10"/>
  <c r="AW999" i="10"/>
  <c r="AN999" i="10"/>
  <c r="AT999" i="10"/>
  <c r="AO999" i="10"/>
  <c r="AS999" i="10"/>
  <c r="AK999" i="10"/>
  <c r="AK993" i="10"/>
  <c r="AJ993" i="10"/>
  <c r="AV993" i="10"/>
  <c r="AT993" i="10"/>
  <c r="AL993" i="10"/>
  <c r="AO993" i="10"/>
  <c r="AN993" i="10"/>
  <c r="AU993" i="10"/>
  <c r="AP993" i="10"/>
  <c r="AS987" i="10"/>
  <c r="AQ987" i="10"/>
  <c r="AO987" i="10"/>
  <c r="AM987" i="10"/>
  <c r="AW987" i="10"/>
  <c r="AU987" i="10"/>
  <c r="AR987" i="10"/>
  <c r="AK987" i="10"/>
  <c r="AP987" i="10"/>
  <c r="AJ987" i="10"/>
  <c r="AW953" i="10"/>
  <c r="AK953" i="10"/>
  <c r="AX941" i="10"/>
  <c r="AJ941" i="10"/>
  <c r="AW941" i="10"/>
  <c r="AK941" i="10"/>
  <c r="AX935" i="10"/>
  <c r="AJ935" i="10"/>
  <c r="AK935" i="10"/>
  <c r="AW935" i="10"/>
  <c r="AO922" i="10"/>
  <c r="AP922" i="10"/>
  <c r="AS922" i="10"/>
  <c r="AW922" i="10"/>
  <c r="AK897" i="10"/>
  <c r="AX897" i="10"/>
  <c r="AX888" i="10"/>
  <c r="AJ888" i="10"/>
  <c r="AW888" i="10"/>
  <c r="AK878" i="10"/>
  <c r="AW878" i="10"/>
  <c r="AX878" i="10"/>
  <c r="AT870" i="10"/>
  <c r="AU870" i="10"/>
  <c r="AQ870" i="10"/>
  <c r="AW863" i="10"/>
  <c r="AP863" i="10"/>
  <c r="AX863" i="10"/>
  <c r="AM863" i="10"/>
  <c r="AR863" i="10"/>
  <c r="AO863" i="10"/>
  <c r="AX859" i="10"/>
  <c r="AM859" i="10"/>
  <c r="AW859" i="10"/>
  <c r="AW853" i="10"/>
  <c r="AO853" i="10"/>
  <c r="AQ853" i="10"/>
  <c r="AP853" i="10"/>
  <c r="AT853" i="10"/>
  <c r="AN853" i="10"/>
  <c r="AX853" i="10"/>
  <c r="AX844" i="10"/>
  <c r="AV844" i="10"/>
  <c r="AJ844" i="10"/>
  <c r="AQ844" i="10"/>
  <c r="AK831" i="10"/>
  <c r="AW831" i="10"/>
  <c r="AX776" i="10"/>
  <c r="AW776" i="10"/>
  <c r="AK776" i="10"/>
  <c r="AW761" i="10"/>
  <c r="AK693" i="10"/>
  <c r="AN693" i="10"/>
  <c r="AM693" i="10"/>
  <c r="AL693" i="10"/>
  <c r="AX688" i="10"/>
  <c r="AW688" i="10"/>
  <c r="AK688" i="10"/>
  <c r="AJ688" i="10"/>
  <c r="AX681" i="10"/>
  <c r="AW681" i="10"/>
  <c r="AK681" i="10"/>
  <c r="AJ681" i="10"/>
  <c r="AW2723" i="10"/>
  <c r="AP2723" i="10"/>
  <c r="AV2723" i="10"/>
  <c r="AR2723" i="10"/>
  <c r="AR2660" i="10"/>
  <c r="AK2660" i="10"/>
  <c r="AU2622" i="10"/>
  <c r="AV2622" i="10"/>
  <c r="AS2622" i="10"/>
  <c r="AS2566" i="10"/>
  <c r="AU2566" i="10"/>
  <c r="AQ2566" i="10"/>
  <c r="AJ2566" i="10"/>
  <c r="AP2532" i="10"/>
  <c r="AJ2532" i="10"/>
  <c r="AO2517" i="10"/>
  <c r="AT2517" i="10"/>
  <c r="AR2517" i="10"/>
  <c r="AW2517" i="10"/>
  <c r="AT2470" i="10"/>
  <c r="AX2470" i="10"/>
  <c r="AK2470" i="10"/>
  <c r="AJ2470" i="10"/>
  <c r="AV2414" i="10"/>
  <c r="AL2414" i="10"/>
  <c r="AW2414" i="10"/>
  <c r="AS2414" i="10"/>
  <c r="AP2414" i="10"/>
  <c r="AW2382" i="10"/>
  <c r="AJ2382" i="10"/>
  <c r="AM2382" i="10"/>
  <c r="AO2382" i="10"/>
  <c r="AR2382" i="10"/>
  <c r="AV2382" i="10"/>
  <c r="AV2350" i="10"/>
  <c r="AJ2350" i="10"/>
  <c r="AN2350" i="10"/>
  <c r="AX2320" i="10"/>
  <c r="AR2320" i="10"/>
  <c r="AL2320" i="10"/>
  <c r="AJ2320" i="10"/>
  <c r="AQ2304" i="10"/>
  <c r="AX2304" i="10"/>
  <c r="AM2288" i="10"/>
  <c r="AJ2288" i="10"/>
  <c r="AR2288" i="10"/>
  <c r="AV2288" i="10"/>
  <c r="AK2272" i="10"/>
  <c r="AM2272" i="10"/>
  <c r="AX2262" i="10"/>
  <c r="AJ2262" i="10"/>
  <c r="AU2237" i="10"/>
  <c r="AT2237" i="10"/>
  <c r="AM2237" i="10"/>
  <c r="AP2221" i="10"/>
  <c r="AW2221" i="10"/>
  <c r="AM2221" i="10"/>
  <c r="AX2221" i="10"/>
  <c r="AR2221" i="10"/>
  <c r="AM2155" i="10"/>
  <c r="AU2155" i="10"/>
  <c r="AS2155" i="10"/>
  <c r="AJ2155" i="10"/>
  <c r="AP2155" i="10"/>
  <c r="AX2155" i="10"/>
  <c r="AT2155" i="10"/>
  <c r="AU2072" i="10"/>
  <c r="AJ2072" i="10"/>
  <c r="AR2072" i="10"/>
  <c r="AS2072" i="10"/>
  <c r="AO2057" i="10"/>
  <c r="AP2057" i="10"/>
  <c r="AS870" i="10"/>
  <c r="AR859" i="10"/>
  <c r="AK870" i="10"/>
  <c r="AV859" i="10"/>
  <c r="AJ795" i="10"/>
  <c r="AJ1346" i="10"/>
  <c r="AU2299" i="10"/>
  <c r="AS1769" i="10"/>
  <c r="AU853" i="10"/>
  <c r="AJ2723" i="10"/>
  <c r="AO1864" i="10"/>
  <c r="AU2414" i="10"/>
  <c r="AK2511" i="10"/>
  <c r="AQ2067" i="10"/>
  <c r="AR870" i="10"/>
  <c r="AT1493" i="10"/>
  <c r="AO1458" i="10"/>
  <c r="AM2566" i="10"/>
  <c r="AQ2723" i="10"/>
  <c r="AT1740" i="10"/>
  <c r="AK1722" i="10"/>
  <c r="AN1901" i="10"/>
  <c r="AU1493" i="10"/>
  <c r="AT1210" i="10"/>
  <c r="AP2262" i="10"/>
  <c r="AW897" i="10"/>
  <c r="AV2420" i="10"/>
  <c r="AM1193" i="10"/>
  <c r="AT1932" i="10"/>
  <c r="AS2700" i="10"/>
  <c r="AJ2700" i="10"/>
  <c r="AP2700" i="10"/>
  <c r="AM2700" i="10"/>
  <c r="AR2537" i="10"/>
  <c r="AS2537" i="10"/>
  <c r="AJ2537" i="10"/>
  <c r="AL2426" i="10"/>
  <c r="AT2426" i="10"/>
  <c r="AS2426" i="10"/>
  <c r="AN859" i="10"/>
  <c r="AR1621" i="10"/>
  <c r="AK2299" i="10"/>
  <c r="AX1352" i="10"/>
  <c r="AW1769" i="10"/>
  <c r="AX2723" i="10"/>
  <c r="AK761" i="10"/>
  <c r="AO2723" i="10"/>
  <c r="AW1864" i="10"/>
  <c r="AJ2414" i="10"/>
  <c r="AQ1005" i="10"/>
  <c r="AV1221" i="10"/>
  <c r="AR1304" i="10"/>
  <c r="AL1387" i="10"/>
  <c r="AN2566" i="10"/>
  <c r="AR1722" i="10"/>
  <c r="AR1033" i="10"/>
  <c r="AX1493" i="10"/>
  <c r="AL1210" i="10"/>
  <c r="AX2679" i="10"/>
  <c r="AP1442" i="10"/>
  <c r="AJ776" i="10"/>
  <c r="AP1746" i="10"/>
  <c r="AP2189" i="10"/>
  <c r="AT2717" i="10"/>
  <c r="AO2717" i="10"/>
  <c r="AX2717" i="10"/>
  <c r="AU2717" i="10"/>
  <c r="AT2458" i="10"/>
  <c r="AX2458" i="10"/>
  <c r="AL2458" i="10"/>
  <c r="AJ2458" i="10"/>
  <c r="AP2458" i="10"/>
  <c r="AQ2598" i="10"/>
  <c r="AM2598" i="10"/>
  <c r="AR2598" i="10"/>
  <c r="AW2598" i="10"/>
  <c r="AO2577" i="10"/>
  <c r="AR2577" i="10"/>
  <c r="AX2577" i="10"/>
  <c r="AT2577" i="10"/>
  <c r="AM2577" i="10"/>
  <c r="AK2577" i="10"/>
  <c r="AJ2577" i="10"/>
  <c r="AW2577" i="10"/>
  <c r="AV2557" i="10"/>
  <c r="AT2557" i="10"/>
  <c r="AU2547" i="10"/>
  <c r="AK2547" i="10"/>
  <c r="AO2547" i="10"/>
  <c r="AV2547" i="10"/>
  <c r="AT2547" i="10"/>
  <c r="AW2547" i="10"/>
  <c r="AJ2547" i="10"/>
  <c r="AX2527" i="10"/>
  <c r="AU2527" i="10"/>
  <c r="AW2511" i="10"/>
  <c r="AN2511" i="10"/>
  <c r="AJ2511" i="10"/>
  <c r="AV2511" i="10"/>
  <c r="AM2511" i="10"/>
  <c r="AR2511" i="10"/>
  <c r="AJ2486" i="10"/>
  <c r="AN2486" i="10"/>
  <c r="AR2475" i="10"/>
  <c r="AU2475" i="10"/>
  <c r="AK2475" i="10"/>
  <c r="AX2464" i="10"/>
  <c r="AP2464" i="10"/>
  <c r="AS2464" i="10"/>
  <c r="AV2464" i="10"/>
  <c r="AW2464" i="10"/>
  <c r="AM2464" i="10"/>
  <c r="AL2372" i="10"/>
  <c r="AP2372" i="10"/>
  <c r="AQ2309" i="10"/>
  <c r="AK2309" i="10"/>
  <c r="AW2299" i="10"/>
  <c r="AT2299" i="10"/>
  <c r="AK2278" i="10"/>
  <c r="AR2278" i="10"/>
  <c r="AP2278" i="10"/>
  <c r="AS2267" i="10"/>
  <c r="AN2267" i="10"/>
  <c r="AJ2248" i="10"/>
  <c r="AR2248" i="10"/>
  <c r="AJ2143" i="10"/>
  <c r="AT2143" i="10"/>
  <c r="AW2143" i="10"/>
  <c r="AM2143" i="10"/>
  <c r="AV2121" i="10"/>
  <c r="AK2121" i="10"/>
  <c r="AR2121" i="10"/>
  <c r="AJ2121" i="10"/>
  <c r="AK2077" i="10"/>
  <c r="AU2077" i="10"/>
  <c r="AP2077" i="10"/>
  <c r="AS2067" i="10"/>
  <c r="AN2067" i="10"/>
  <c r="AJ2067" i="10"/>
  <c r="AM2067" i="10"/>
  <c r="AO2031" i="10"/>
  <c r="AJ2031" i="10"/>
  <c r="AS1987" i="10"/>
  <c r="AN1987" i="10"/>
  <c r="AX1987" i="10"/>
  <c r="AU859" i="10"/>
  <c r="AM1621" i="10"/>
  <c r="AJ2622" i="10"/>
  <c r="AV1352" i="10"/>
  <c r="AJ1769" i="10"/>
  <c r="AT2723" i="10"/>
  <c r="AP2299" i="10"/>
  <c r="AJ878" i="10"/>
  <c r="AL2723" i="10"/>
  <c r="AJ1577" i="10"/>
  <c r="AX1936" i="10"/>
  <c r="AR2414" i="10"/>
  <c r="AP2547" i="10"/>
  <c r="AL2470" i="10"/>
  <c r="AR2067" i="10"/>
  <c r="AJ1005" i="10"/>
  <c r="AJ1221" i="10"/>
  <c r="AP1387" i="10"/>
  <c r="AU1546" i="10"/>
  <c r="AO1869" i="10"/>
  <c r="AX922" i="10"/>
  <c r="AS1346" i="10"/>
  <c r="AL1335" i="10"/>
  <c r="AT1221" i="10"/>
  <c r="AR2002" i="10"/>
  <c r="AJ2002" i="10"/>
  <c r="AS2002" i="10"/>
  <c r="AM922" i="10"/>
  <c r="AP870" i="10"/>
  <c r="AK859" i="10"/>
  <c r="AO844" i="10"/>
  <c r="AK1352" i="10"/>
  <c r="AN2299" i="10"/>
  <c r="AL1769" i="10"/>
  <c r="AN2002" i="10"/>
  <c r="AS2299" i="10"/>
  <c r="AJ853" i="10"/>
  <c r="AM853" i="10"/>
  <c r="AS1577" i="10"/>
  <c r="AX2700" i="10"/>
  <c r="AV1936" i="10"/>
  <c r="AX2547" i="10"/>
  <c r="AN2464" i="10"/>
  <c r="AS2547" i="10"/>
  <c r="AJ1927" i="10"/>
  <c r="AX2689" i="10"/>
  <c r="AO2262" i="10"/>
  <c r="AV2221" i="10"/>
  <c r="AR1055" i="10"/>
  <c r="AJ1387" i="10"/>
  <c r="AK1947" i="10"/>
  <c r="AV1546" i="10"/>
  <c r="AW1341" i="10"/>
  <c r="AO1335" i="10"/>
  <c r="AK2420" i="10"/>
  <c r="AT2057" i="10"/>
  <c r="AJ2689" i="10"/>
  <c r="AQ863" i="10"/>
  <c r="AR1746" i="10"/>
  <c r="AN844" i="10"/>
  <c r="AW1932" i="10"/>
  <c r="AR1864" i="10"/>
  <c r="AX1864" i="10"/>
  <c r="AS1936" i="10"/>
  <c r="AQ2577" i="10"/>
  <c r="AN2700" i="10"/>
  <c r="AN1864" i="10"/>
  <c r="AU2464" i="10"/>
  <c r="AP2511" i="10"/>
  <c r="AQ2547" i="10"/>
  <c r="AJ1425" i="10"/>
  <c r="AK1335" i="10"/>
  <c r="AJ1061" i="10"/>
  <c r="AJ1572" i="10"/>
  <c r="AW1111" i="10"/>
  <c r="AR1530" i="10"/>
  <c r="AL1621" i="10"/>
  <c r="AO1382" i="10"/>
  <c r="AQ1304" i="10"/>
  <c r="AU1061" i="10"/>
  <c r="AQ859" i="10"/>
  <c r="AJ863" i="10"/>
  <c r="AJ1746" i="10"/>
  <c r="AT844" i="10"/>
  <c r="AS853" i="10"/>
  <c r="AU922" i="10"/>
  <c r="AN2577" i="10"/>
  <c r="AT1936" i="10"/>
  <c r="AN1932" i="10"/>
  <c r="AJ1864" i="10"/>
  <c r="AU2577" i="10"/>
  <c r="AR2700" i="10"/>
  <c r="AL2464" i="10"/>
  <c r="AX2511" i="10"/>
  <c r="AM2547" i="10"/>
  <c r="AP1519" i="10"/>
  <c r="AN2309" i="10"/>
  <c r="AN1341" i="10"/>
  <c r="AV1133" i="10"/>
  <c r="AL1572" i="10"/>
  <c r="AS1111" i="10"/>
  <c r="AK1530" i="10"/>
  <c r="AN1621" i="10"/>
  <c r="AR1655" i="10"/>
  <c r="AR1680" i="10"/>
  <c r="AU1869" i="10"/>
  <c r="AK1382" i="10"/>
  <c r="AN1838" i="10"/>
  <c r="AM1061" i="10"/>
  <c r="AJ922" i="10"/>
  <c r="AW1577" i="10"/>
  <c r="AJ859" i="10"/>
  <c r="AT863" i="10"/>
  <c r="AM1746" i="10"/>
  <c r="AL844" i="10"/>
  <c r="AV2299" i="10"/>
  <c r="AK844" i="10"/>
  <c r="AP2622" i="10"/>
  <c r="AL2566" i="10"/>
  <c r="AJ897" i="10"/>
  <c r="AU1932" i="10"/>
  <c r="AU2700" i="10"/>
  <c r="AX2414" i="10"/>
  <c r="AR2464" i="10"/>
  <c r="AS2511" i="10"/>
  <c r="AL2547" i="10"/>
  <c r="AK2486" i="10"/>
  <c r="AJ2309" i="10"/>
  <c r="AU1352" i="10"/>
  <c r="AX1524" i="10"/>
  <c r="AM1133" i="10"/>
  <c r="AV1111" i="10"/>
  <c r="AK1655" i="10"/>
  <c r="AX831" i="10"/>
  <c r="AS2143" i="10"/>
  <c r="AU1601" i="10"/>
  <c r="AM2426" i="10"/>
  <c r="AM1442" i="10"/>
  <c r="AQ1387" i="10"/>
  <c r="AQ1210" i="10"/>
  <c r="AJ1838" i="10"/>
  <c r="AT1055" i="10"/>
  <c r="AQ1116" i="10"/>
  <c r="AQ2267" i="10"/>
  <c r="AN1077" i="10"/>
  <c r="AK1577" i="10"/>
  <c r="AR853" i="10"/>
  <c r="AT922" i="10"/>
  <c r="AJ831" i="10"/>
  <c r="AS859" i="10"/>
  <c r="AL863" i="10"/>
  <c r="AR844" i="10"/>
  <c r="AO2622" i="10"/>
  <c r="AJ2237" i="10"/>
  <c r="AW1680" i="10"/>
  <c r="AO2700" i="10"/>
  <c r="AQ1936" i="10"/>
  <c r="AL1932" i="10"/>
  <c r="AK2414" i="10"/>
  <c r="AO2464" i="10"/>
  <c r="AQ2511" i="10"/>
  <c r="AR2547" i="10"/>
  <c r="AQ1382" i="10"/>
  <c r="AP1524" i="10"/>
  <c r="AV1670" i="10"/>
  <c r="AJ1133" i="10"/>
  <c r="AL1111" i="10"/>
  <c r="AS1655" i="10"/>
  <c r="AX1601" i="10"/>
  <c r="AU1442" i="10"/>
  <c r="AS1535" i="10"/>
  <c r="AU1809" i="10"/>
  <c r="AV1055" i="10"/>
  <c r="AP1324" i="10"/>
  <c r="AK1116" i="10"/>
  <c r="AL853" i="10"/>
  <c r="AN870" i="10"/>
  <c r="AV922" i="10"/>
  <c r="AV870" i="10"/>
  <c r="AK922" i="10"/>
  <c r="AP859" i="10"/>
  <c r="AJ904" i="10"/>
  <c r="AJ2475" i="10"/>
  <c r="AS863" i="10"/>
  <c r="AP844" i="10"/>
  <c r="AJ1546" i="10"/>
  <c r="AR922" i="10"/>
  <c r="AJ1680" i="10"/>
  <c r="AT2700" i="10"/>
  <c r="AQ2414" i="10"/>
  <c r="AQ2464" i="10"/>
  <c r="AO2511" i="10"/>
  <c r="AQ2121" i="10"/>
  <c r="AO2458" i="10"/>
  <c r="AQ1281" i="10"/>
  <c r="AU1382" i="10"/>
  <c r="AS1556" i="10"/>
  <c r="AX1172" i="10"/>
  <c r="AJ1640" i="10"/>
  <c r="AJ1116" i="10"/>
  <c r="AV1655" i="10"/>
  <c r="AW844" i="10"/>
  <c r="AX1425" i="10"/>
  <c r="AS2443" i="10"/>
  <c r="AT1535" i="10"/>
  <c r="AU1105" i="10"/>
  <c r="AP1044" i="10"/>
  <c r="AW1809" i="10"/>
  <c r="AM1111" i="10"/>
  <c r="AV987" i="10"/>
  <c r="AO870" i="10"/>
  <c r="AM870" i="10"/>
  <c r="AO859" i="10"/>
  <c r="AJ1621" i="10"/>
  <c r="AK863" i="10"/>
  <c r="AU844" i="10"/>
  <c r="AJ1626" i="10"/>
  <c r="AX2299" i="10"/>
  <c r="AN1546" i="10"/>
  <c r="AL2299" i="10"/>
  <c r="AR1932" i="10"/>
  <c r="AK1680" i="10"/>
  <c r="AL2700" i="10"/>
  <c r="AM2414" i="10"/>
  <c r="AO2414" i="10"/>
  <c r="AK2464" i="10"/>
  <c r="AL2511" i="10"/>
  <c r="AP2350" i="10"/>
  <c r="AL859" i="10"/>
  <c r="AK1281" i="10"/>
  <c r="AJ1382" i="10"/>
  <c r="AR1172" i="10"/>
  <c r="AX761" i="10"/>
  <c r="AP1660" i="10"/>
  <c r="AR1740" i="10"/>
  <c r="AS1680" i="10"/>
  <c r="AO1524" i="10"/>
  <c r="AN1425" i="10"/>
  <c r="AM1556" i="10"/>
  <c r="AX1105" i="10"/>
  <c r="AK1133" i="10"/>
  <c r="AT987" i="10"/>
  <c r="AN1111" i="10"/>
  <c r="AK560" i="10"/>
  <c r="AX541" i="10"/>
  <c r="AW541" i="10"/>
  <c r="AK541" i="10"/>
  <c r="AJ541" i="10"/>
  <c r="AX542" i="10"/>
  <c r="AW542" i="10"/>
  <c r="AK542" i="10"/>
  <c r="AJ542" i="10"/>
  <c r="AX543" i="10"/>
  <c r="AW543" i="10"/>
  <c r="AM543" i="10"/>
  <c r="AL543" i="10"/>
  <c r="AK543" i="10"/>
  <c r="AJ543" i="10"/>
  <c r="AX544" i="10"/>
  <c r="AW544" i="10"/>
  <c r="AV544" i="10"/>
  <c r="AU544" i="10"/>
  <c r="AT544" i="10"/>
  <c r="AS544" i="10"/>
  <c r="AR544" i="10"/>
  <c r="AQ544" i="10"/>
  <c r="AP544" i="10"/>
  <c r="AO544" i="10"/>
  <c r="AN544" i="10"/>
  <c r="AM544" i="10"/>
  <c r="AL544" i="10"/>
  <c r="AK544" i="10"/>
  <c r="AJ544" i="10"/>
  <c r="AX545" i="10"/>
  <c r="AW545" i="10"/>
  <c r="AV545" i="10"/>
  <c r="AU545" i="10"/>
  <c r="AT545" i="10"/>
  <c r="AS545" i="10"/>
  <c r="AR545" i="10"/>
  <c r="AQ545" i="10"/>
  <c r="AP545" i="10"/>
  <c r="AO545" i="10"/>
  <c r="AN545" i="10"/>
  <c r="AM545" i="10"/>
  <c r="AL545" i="10"/>
  <c r="AK545" i="10"/>
  <c r="AJ545" i="10"/>
  <c r="U128" i="45"/>
  <c r="W89" i="45"/>
  <c r="AO108" i="45"/>
  <c r="AX546" i="10"/>
  <c r="AW546" i="10"/>
  <c r="AV546" i="10"/>
  <c r="AU546" i="10"/>
  <c r="AT546" i="10"/>
  <c r="AS546" i="10"/>
  <c r="AR546" i="10"/>
  <c r="AQ546" i="10"/>
  <c r="AP546" i="10"/>
  <c r="AO546" i="10"/>
  <c r="AN546" i="10"/>
  <c r="AM546" i="10"/>
  <c r="AL546" i="10"/>
  <c r="AK546" i="10"/>
  <c r="AJ546" i="10"/>
  <c r="AQ1497" i="10"/>
  <c r="AO1506" i="10"/>
  <c r="AM2712" i="10"/>
  <c r="AN2522" i="10"/>
  <c r="AV2232" i="10"/>
  <c r="AN2618" i="10"/>
  <c r="AP2729" i="10"/>
  <c r="AV1880" i="10"/>
  <c r="AP1922" i="10"/>
  <c r="AV2021" i="10"/>
  <c r="AN1958" i="10"/>
  <c r="AL1504" i="10"/>
  <c r="AV727" i="10"/>
  <c r="AU1911" i="10"/>
  <c r="AV1691" i="10"/>
  <c r="AR2155" i="10"/>
  <c r="AQ1265" i="10"/>
  <c r="AJ2604" i="10"/>
  <c r="AO1463" i="10"/>
  <c r="AW2350" i="10"/>
  <c r="AM1680" i="10"/>
  <c r="AS1676" i="10"/>
  <c r="AP2712" i="10"/>
  <c r="AV1556" i="10"/>
  <c r="AV1524" i="10"/>
  <c r="AK1193" i="10"/>
  <c r="AJ1760" i="10"/>
  <c r="AW1702" i="10"/>
  <c r="AK2527" i="10"/>
  <c r="AK2642" i="10"/>
  <c r="AP1833" i="10"/>
  <c r="AQ2382" i="10"/>
  <c r="AX1760" i="10"/>
  <c r="AK1488" i="10"/>
  <c r="AU1199" i="10"/>
  <c r="AM1199" i="10"/>
  <c r="AM2084" i="10"/>
  <c r="AO2195" i="10"/>
  <c r="AO2557" i="10"/>
  <c r="AU1346" i="10"/>
  <c r="AW1901" i="10"/>
  <c r="AM2304" i="10"/>
  <c r="AX1039" i="10"/>
  <c r="AX2232" i="10"/>
  <c r="AO1387" i="10"/>
  <c r="AO1210" i="10"/>
  <c r="AV1535" i="10"/>
  <c r="AL2309" i="10"/>
  <c r="AS1525" i="10"/>
  <c r="AL2288" i="10"/>
  <c r="AN2262" i="10"/>
  <c r="AR1188" i="10"/>
  <c r="AP1111" i="10"/>
  <c r="AX1111" i="10"/>
  <c r="AT1911" i="10"/>
  <c r="AQ1823" i="10"/>
  <c r="AM1880" i="10"/>
  <c r="AP1626" i="10"/>
  <c r="AV1922" i="10"/>
  <c r="AV2689" i="10"/>
  <c r="AP1858" i="10"/>
  <c r="AX1067" i="10"/>
  <c r="AV1087" i="10"/>
  <c r="AN1626" i="10"/>
  <c r="AR1254" i="10"/>
  <c r="AQ1017" i="10"/>
  <c r="AN1330" i="10"/>
  <c r="AQ1011" i="10"/>
  <c r="AM1099" i="10"/>
  <c r="AO1640" i="10"/>
  <c r="AX775" i="10"/>
  <c r="AN2572" i="10"/>
  <c r="AQ1577" i="10"/>
  <c r="AO1082" i="10"/>
  <c r="AW1082" i="10"/>
  <c r="AR1958" i="10"/>
  <c r="AL1156" i="10"/>
  <c r="AT1227" i="10"/>
  <c r="AN1504" i="10"/>
  <c r="AT1825" i="10"/>
  <c r="AS2712" i="10"/>
  <c r="AT2387" i="10"/>
  <c r="AR1922" i="10"/>
  <c r="AR2604" i="10"/>
  <c r="AS2695" i="10"/>
  <c r="AS1087" i="10"/>
  <c r="AT1626" i="10"/>
  <c r="AJ1099" i="10"/>
  <c r="AT1156" i="10"/>
  <c r="AJ1714" i="10"/>
  <c r="AK1633" i="10"/>
  <c r="AK2729" i="10"/>
  <c r="AN2729" i="10"/>
  <c r="AM2729" i="10"/>
  <c r="AT2588" i="10"/>
  <c r="AP2588" i="10"/>
  <c r="AJ2481" i="10"/>
  <c r="AT2481" i="10"/>
  <c r="AT2361" i="10"/>
  <c r="AM2361" i="10"/>
  <c r="AL2361" i="10"/>
  <c r="AS2232" i="10"/>
  <c r="AW2232" i="10"/>
  <c r="AU2179" i="10"/>
  <c r="AK2179" i="10"/>
  <c r="AU2169" i="10"/>
  <c r="AP2169" i="10"/>
  <c r="AO2094" i="10"/>
  <c r="AL2094" i="10"/>
  <c r="AK2089" i="10"/>
  <c r="AQ2089" i="10"/>
  <c r="AV2026" i="10"/>
  <c r="AX2026" i="10"/>
  <c r="AK1958" i="10"/>
  <c r="AT1958" i="10"/>
  <c r="AQ1922" i="10"/>
  <c r="AK1922" i="10"/>
  <c r="AW1922" i="10"/>
  <c r="AJ1896" i="10"/>
  <c r="AX1896" i="10"/>
  <c r="AL1896" i="10"/>
  <c r="AV1853" i="10"/>
  <c r="AR1853" i="10"/>
  <c r="AO1823" i="10"/>
  <c r="AM1823" i="10"/>
  <c r="AK1799" i="10"/>
  <c r="AN1799" i="10"/>
  <c r="AQ1799" i="10"/>
  <c r="AU1696" i="10"/>
  <c r="AP1696" i="10"/>
  <c r="AT1561" i="10"/>
  <c r="AN1561" i="10"/>
  <c r="AL1561" i="10"/>
  <c r="AV1561" i="10"/>
  <c r="AU1541" i="10"/>
  <c r="AT1541" i="10"/>
  <c r="AQ1541" i="10"/>
  <c r="AT1515" i="10"/>
  <c r="AM1515" i="10"/>
  <c r="AP1515" i="10"/>
  <c r="AS1509" i="10"/>
  <c r="AR1509" i="10"/>
  <c r="AO1504" i="10"/>
  <c r="AM1504" i="10"/>
  <c r="AU1504" i="10"/>
  <c r="AT1504" i="10"/>
  <c r="AV1473" i="10"/>
  <c r="AK1473" i="10"/>
  <c r="AM1473" i="10"/>
  <c r="AU1473" i="10"/>
  <c r="AR1473" i="10"/>
  <c r="AL1454" i="10"/>
  <c r="AQ1454" i="10"/>
  <c r="AK1454" i="10"/>
  <c r="AS1454" i="10"/>
  <c r="AW1449" i="10"/>
  <c r="AV1449" i="10"/>
  <c r="AQ1449" i="10"/>
  <c r="AS1449" i="10"/>
  <c r="AU1431" i="10"/>
  <c r="AP1431" i="10"/>
  <c r="AW1409" i="10"/>
  <c r="AS1409" i="10"/>
  <c r="AX1409" i="10"/>
  <c r="AV1376" i="10"/>
  <c r="AQ1376" i="10"/>
  <c r="AN1370" i="10"/>
  <c r="AK1370" i="10"/>
  <c r="AT1370" i="10"/>
  <c r="AX1364" i="10"/>
  <c r="AT1364" i="10"/>
  <c r="AS1364" i="10"/>
  <c r="AP1358" i="10"/>
  <c r="AQ1358" i="10"/>
  <c r="AU1319" i="10"/>
  <c r="AL1319" i="10"/>
  <c r="AQ1319" i="10"/>
  <c r="AV1319" i="10"/>
  <c r="AP1293" i="10"/>
  <c r="AM1293" i="10"/>
  <c r="AL1287" i="10"/>
  <c r="AK1287" i="10"/>
  <c r="AM1271" i="10"/>
  <c r="AS1271" i="10"/>
  <c r="AL1271" i="10"/>
  <c r="AO1244" i="10"/>
  <c r="AP1244" i="10"/>
  <c r="AS1244" i="10"/>
  <c r="AT1244" i="10"/>
  <c r="AV1244" i="10"/>
  <c r="AN1233" i="10"/>
  <c r="AV1233" i="10"/>
  <c r="AW1233" i="10"/>
  <c r="AO1233" i="10"/>
  <c r="AO1183" i="10"/>
  <c r="AN1183" i="10"/>
  <c r="AK1183" i="10"/>
  <c r="AR1183" i="10"/>
  <c r="AU1183" i="10"/>
  <c r="AL1183" i="10"/>
  <c r="AT1167" i="10"/>
  <c r="AL1167" i="10"/>
  <c r="AR1167" i="10"/>
  <c r="AM1150" i="10"/>
  <c r="AP1150" i="10"/>
  <c r="AV1150" i="10"/>
  <c r="AL1150" i="10"/>
  <c r="AK1139" i="10"/>
  <c r="AP1139" i="10"/>
  <c r="AT1094" i="10"/>
  <c r="AO1094" i="10"/>
  <c r="AW1067" i="10"/>
  <c r="AS1067" i="10"/>
  <c r="AP1067" i="10"/>
  <c r="AQ1050" i="10"/>
  <c r="AN1050" i="10"/>
  <c r="AM1050" i="10"/>
  <c r="AU1050" i="10"/>
  <c r="AJ1011" i="10"/>
  <c r="AN1011" i="10"/>
  <c r="AL1011" i="10"/>
  <c r="AW1011" i="10"/>
  <c r="AV982" i="10"/>
  <c r="AW982" i="10"/>
  <c r="AN982" i="10"/>
  <c r="AX982" i="10"/>
  <c r="AK982" i="10"/>
  <c r="AO976" i="10"/>
  <c r="AN976" i="10"/>
  <c r="AW965" i="10"/>
  <c r="AV965" i="10"/>
  <c r="AX965" i="10"/>
  <c r="AT929" i="10"/>
  <c r="AX929" i="10"/>
  <c r="AN929" i="10"/>
  <c r="AU929" i="10"/>
  <c r="AX879" i="10"/>
  <c r="AW879" i="10"/>
  <c r="AW783" i="10"/>
  <c r="AX783" i="10"/>
  <c r="AW685" i="10"/>
  <c r="AK685" i="10"/>
  <c r="AJ685" i="10"/>
  <c r="AM108" i="45"/>
  <c r="AW2443" i="10"/>
  <c r="AU2443" i="10"/>
  <c r="AP2355" i="10"/>
  <c r="AO2355" i="10"/>
  <c r="AW2355" i="10"/>
  <c r="AR2184" i="10"/>
  <c r="AN2184" i="10"/>
  <c r="AW2009" i="10"/>
  <c r="AJ2009" i="10"/>
  <c r="AO1906" i="10"/>
  <c r="AU1906" i="10"/>
  <c r="AR1885" i="10"/>
  <c r="AN1885" i="10"/>
  <c r="AO1885" i="10"/>
  <c r="AU1864" i="10"/>
  <c r="AM1864" i="10"/>
  <c r="AX1858" i="10"/>
  <c r="AQ1858" i="10"/>
  <c r="AW1858" i="10"/>
  <c r="AL1838" i="10"/>
  <c r="AQ1838" i="10"/>
  <c r="AM1838" i="10"/>
  <c r="AK1809" i="10"/>
  <c r="AT1809" i="10"/>
  <c r="AV1769" i="10"/>
  <c r="AU1769" i="10"/>
  <c r="AP1755" i="10"/>
  <c r="AS1755" i="10"/>
  <c r="AO1755" i="10"/>
  <c r="AV1746" i="10"/>
  <c r="AL1746" i="10"/>
  <c r="AU1746" i="10"/>
  <c r="AL1707" i="10"/>
  <c r="AQ1707" i="10"/>
  <c r="AU1707" i="10"/>
  <c r="AS1707" i="10"/>
  <c r="AM1707" i="10"/>
  <c r="AQ1640" i="10"/>
  <c r="AV1640" i="10"/>
  <c r="AN1640" i="10"/>
  <c r="AL1546" i="10"/>
  <c r="AM1546" i="10"/>
  <c r="AV1530" i="10"/>
  <c r="AM1530" i="10"/>
  <c r="AP1530" i="10"/>
  <c r="AO1442" i="10"/>
  <c r="AN1442" i="10"/>
  <c r="AS1442" i="10"/>
  <c r="AS1398" i="10"/>
  <c r="AK1398" i="10"/>
  <c r="AJ1398" i="10"/>
  <c r="AQ1398" i="10"/>
  <c r="AT1382" i="10"/>
  <c r="AM1382" i="10"/>
  <c r="AO1341" i="10"/>
  <c r="AR1341" i="10"/>
  <c r="AU1335" i="10"/>
  <c r="AV1335" i="10"/>
  <c r="AW1335" i="10"/>
  <c r="AX1335" i="10"/>
  <c r="AW1324" i="10"/>
  <c r="AX1324" i="10"/>
  <c r="AT1304" i="10"/>
  <c r="AO1304" i="10"/>
  <c r="AM1304" i="10"/>
  <c r="AQ1298" i="10"/>
  <c r="AK1298" i="10"/>
  <c r="AX1281" i="10"/>
  <c r="AO1281" i="10"/>
  <c r="AN1281" i="10"/>
  <c r="AO1238" i="10"/>
  <c r="AX1238" i="10"/>
  <c r="AP1221" i="10"/>
  <c r="AX1221" i="10"/>
  <c r="AU1221" i="10"/>
  <c r="AN1221" i="10"/>
  <c r="AN1210" i="10"/>
  <c r="AR1210" i="10"/>
  <c r="AS1210" i="10"/>
  <c r="AM1210" i="10"/>
  <c r="AU1193" i="10"/>
  <c r="AX1193" i="10"/>
  <c r="AO1193" i="10"/>
  <c r="AO1172" i="10"/>
  <c r="AU1172" i="10"/>
  <c r="AS1172" i="10"/>
  <c r="AU1133" i="10"/>
  <c r="AR1133" i="10"/>
  <c r="AL1133" i="10"/>
  <c r="AN1133" i="10"/>
  <c r="AP1116" i="10"/>
  <c r="AT1116" i="10"/>
  <c r="AV1116" i="10"/>
  <c r="AV1105" i="10"/>
  <c r="AT1105" i="10"/>
  <c r="AS1105" i="10"/>
  <c r="AK1105" i="10"/>
  <c r="AJ1077" i="10"/>
  <c r="AM1077" i="10"/>
  <c r="AW1077" i="10"/>
  <c r="AS1077" i="10"/>
  <c r="AO1077" i="10"/>
  <c r="AK1061" i="10"/>
  <c r="AN1061" i="10"/>
  <c r="AS1061" i="10"/>
  <c r="AW1061" i="10"/>
  <c r="AL1055" i="10"/>
  <c r="AO1055" i="10"/>
  <c r="AS1055" i="10"/>
  <c r="AL1044" i="10"/>
  <c r="AO1044" i="10"/>
  <c r="AJ1044" i="10"/>
  <c r="AR1044" i="10"/>
  <c r="AO1033" i="10"/>
  <c r="AN1033" i="10"/>
  <c r="AJ1033" i="10"/>
  <c r="AQ1033" i="10"/>
  <c r="AO1005" i="10"/>
  <c r="AW1005" i="10"/>
  <c r="AX1005" i="10"/>
  <c r="AP999" i="10"/>
  <c r="AR999" i="10"/>
  <c r="AU999" i="10"/>
  <c r="AL999" i="10"/>
  <c r="AS993" i="10"/>
  <c r="AQ993" i="10"/>
  <c r="AX993" i="10"/>
  <c r="AM993" i="10"/>
  <c r="AX987" i="10"/>
  <c r="AL987" i="10"/>
  <c r="AN987" i="10"/>
  <c r="AX953" i="10"/>
  <c r="AJ953" i="10"/>
  <c r="AW870" i="10"/>
  <c r="AX870" i="10"/>
  <c r="AX795" i="10"/>
  <c r="AW795" i="10"/>
  <c r="Y90" i="45"/>
  <c r="W90" i="45"/>
  <c r="AJ2138" i="10"/>
  <c r="AR2021" i="10"/>
  <c r="AP2084" i="10"/>
  <c r="AO2341" i="10"/>
  <c r="AK2378" i="10"/>
  <c r="AK2195" i="10"/>
  <c r="AS2291" i="10"/>
  <c r="AS2496" i="10"/>
  <c r="AR2232" i="10"/>
  <c r="AQ2361" i="10"/>
  <c r="AW2026" i="10"/>
  <c r="AO2089" i="10"/>
  <c r="AU1896" i="10"/>
  <c r="AM2642" i="10"/>
  <c r="AL2652" i="10"/>
  <c r="AU2674" i="10"/>
  <c r="AL2481" i="10"/>
  <c r="AT2604" i="10"/>
  <c r="AV2632" i="10"/>
  <c r="AK1541" i="10"/>
  <c r="AU1858" i="10"/>
  <c r="AV2588" i="10"/>
  <c r="AT1864" i="10"/>
  <c r="AQ1769" i="10"/>
  <c r="AN1769" i="10"/>
  <c r="AT2674" i="10"/>
  <c r="AP1809" i="10"/>
  <c r="AW1287" i="10"/>
  <c r="AU1515" i="10"/>
  <c r="AK1707" i="10"/>
  <c r="AQ1504" i="10"/>
  <c r="AW1293" i="10"/>
  <c r="AT1216" i="10"/>
  <c r="AJ560" i="10"/>
  <c r="AR2721" i="10"/>
  <c r="AV2721" i="10"/>
  <c r="AO2060" i="10"/>
  <c r="AU2060" i="10"/>
  <c r="AW1867" i="10"/>
  <c r="AR1867" i="10"/>
  <c r="AO1433" i="10"/>
  <c r="AQ1433" i="10"/>
  <c r="AJ1301" i="10"/>
  <c r="AL1301" i="10"/>
  <c r="AV1301" i="10"/>
  <c r="AU1301" i="10"/>
  <c r="AR1036" i="10"/>
  <c r="AV1036" i="10"/>
  <c r="AO1036" i="10"/>
  <c r="AX1036" i="10"/>
  <c r="AK925" i="10"/>
  <c r="AJ1945" i="10"/>
  <c r="AO1246" i="10"/>
  <c r="AQ1506" i="10"/>
  <c r="AO2317" i="10"/>
  <c r="AL2317" i="10"/>
  <c r="AM2446" i="10"/>
  <c r="AL2633" i="10"/>
  <c r="AS2633" i="10"/>
  <c r="AN2579" i="10"/>
  <c r="AS2579" i="10"/>
  <c r="AQ2451" i="10"/>
  <c r="AK2451" i="10"/>
  <c r="AJ2422" i="10"/>
  <c r="AU2422" i="10"/>
  <c r="AT1976" i="10"/>
  <c r="AX1976" i="10"/>
  <c r="AU1943" i="10"/>
  <c r="AQ1943" i="10"/>
  <c r="AO1943" i="10"/>
  <c r="AJ1876" i="10"/>
  <c r="AN1876" i="10"/>
  <c r="AU1834" i="10"/>
  <c r="AJ1834" i="10"/>
  <c r="AU1677" i="10"/>
  <c r="AJ1677" i="10"/>
  <c r="AV1677" i="10"/>
  <c r="AQ1632" i="10"/>
  <c r="AP1632" i="10"/>
  <c r="AR1632" i="10"/>
  <c r="AL1484" i="10"/>
  <c r="AJ1484" i="10"/>
  <c r="AS1484" i="10"/>
  <c r="AJ1464" i="10"/>
  <c r="AW1464" i="10"/>
  <c r="AK1464" i="10"/>
  <c r="AK1326" i="10"/>
  <c r="AW1326" i="10"/>
  <c r="AM1095" i="10"/>
  <c r="AR1095" i="10"/>
  <c r="AL989" i="10"/>
  <c r="AM989" i="10"/>
  <c r="AU989" i="10"/>
  <c r="AP989" i="10"/>
  <c r="AM918" i="10"/>
  <c r="AO918" i="10"/>
  <c r="AK918" i="10"/>
  <c r="AT790" i="10"/>
  <c r="AO790" i="10"/>
  <c r="AO726" i="10"/>
  <c r="AN726" i="10"/>
  <c r="AW726" i="10"/>
  <c r="AK726" i="10"/>
  <c r="AS726" i="10"/>
  <c r="AS718" i="10"/>
  <c r="AU924" i="10"/>
  <c r="AV2720" i="10"/>
  <c r="AT856" i="10"/>
  <c r="AQ2295" i="10"/>
  <c r="AL1223" i="10"/>
  <c r="AV2446" i="10"/>
  <c r="AV1261" i="10"/>
  <c r="AU2446" i="10"/>
  <c r="AX1913" i="10"/>
  <c r="AM2605" i="10"/>
  <c r="AU2650" i="10"/>
  <c r="AJ2301" i="10"/>
  <c r="AQ1108" i="10"/>
  <c r="AN1677" i="10"/>
  <c r="AR989" i="10"/>
  <c r="AX1663" i="10"/>
  <c r="AO2652" i="10"/>
  <c r="AT726" i="10"/>
  <c r="AU764" i="10"/>
  <c r="AO2643" i="10"/>
  <c r="AS2609" i="10"/>
  <c r="AR2295" i="10"/>
  <c r="AM2542" i="10"/>
  <c r="AP2459" i="10"/>
  <c r="AV2572" i="10"/>
  <c r="AR2446" i="10"/>
  <c r="AK2496" i="10"/>
  <c r="AM2686" i="10"/>
  <c r="AR2632" i="10"/>
  <c r="AK1484" i="10"/>
  <c r="AQ1677" i="10"/>
  <c r="AM1495" i="10"/>
  <c r="AW2712" i="10"/>
  <c r="AV2729" i="10"/>
  <c r="AK2632" i="10"/>
  <c r="AR2695" i="10"/>
  <c r="AW2572" i="10"/>
  <c r="AQ2503" i="10"/>
  <c r="AT2503" i="10"/>
  <c r="AW2429" i="10"/>
  <c r="AJ2429" i="10"/>
  <c r="AK2400" i="10"/>
  <c r="AN2400" i="10"/>
  <c r="U90" i="45"/>
  <c r="Y16" i="43" s="1"/>
  <c r="AQ129" i="45"/>
  <c r="AO129" i="45"/>
  <c r="U129" i="45"/>
  <c r="Y99" i="45"/>
  <c r="Y117" i="45"/>
  <c r="AX2192" i="10"/>
  <c r="AW2192" i="10"/>
  <c r="AK2192" i="10"/>
  <c r="AK1058" i="10"/>
  <c r="AO1058" i="10"/>
  <c r="AK2606" i="10"/>
  <c r="AR1908" i="10"/>
  <c r="AO2697" i="10"/>
  <c r="AL2697" i="10"/>
  <c r="AM1537" i="10"/>
  <c r="AX1537" i="10"/>
  <c r="AL1537" i="10"/>
  <c r="AJ881" i="10"/>
  <c r="AR881" i="10"/>
  <c r="AQ1246" i="10"/>
  <c r="AU2456" i="10"/>
  <c r="AK2456" i="10"/>
  <c r="AL2456" i="10"/>
  <c r="AO2223" i="10"/>
  <c r="AP2223" i="10"/>
  <c r="AQ2186" i="10"/>
  <c r="AJ2186" i="10"/>
  <c r="AJ2079" i="10"/>
  <c r="AU2079" i="10"/>
  <c r="AV2022" i="10"/>
  <c r="AS2022" i="10"/>
  <c r="AM2022" i="10"/>
  <c r="AT1966" i="10"/>
  <c r="AQ1966" i="10"/>
  <c r="AJ1892" i="10"/>
  <c r="AS1892" i="10"/>
  <c r="AK1892" i="10"/>
  <c r="AM1892" i="10"/>
  <c r="AQ1871" i="10"/>
  <c r="AN1871" i="10"/>
  <c r="AJ1871" i="10"/>
  <c r="AS1871" i="10"/>
  <c r="AU1871" i="10"/>
  <c r="AM1871" i="10"/>
  <c r="AJ1737" i="10"/>
  <c r="AP1737" i="10"/>
  <c r="AK890" i="10"/>
  <c r="AJ890" i="10"/>
  <c r="AX763" i="10"/>
  <c r="AJ763" i="10"/>
  <c r="AK763" i="10"/>
  <c r="AU726" i="10"/>
  <c r="AV2643" i="10"/>
  <c r="AS2295" i="10"/>
  <c r="AJ2633" i="10"/>
  <c r="AO2295" i="10"/>
  <c r="AJ1337" i="10"/>
  <c r="AR2317" i="10"/>
  <c r="AK2706" i="10"/>
  <c r="AS2706" i="10"/>
  <c r="AW2706" i="10"/>
  <c r="AU2706" i="10"/>
  <c r="AM2706" i="10"/>
  <c r="AN2706" i="10"/>
  <c r="AQ2706" i="10"/>
  <c r="AP2706" i="10"/>
  <c r="AT2706" i="10"/>
  <c r="AL2706" i="10"/>
  <c r="AJ2647" i="10"/>
  <c r="AV2647" i="10"/>
  <c r="AM2647" i="10"/>
  <c r="AR2647" i="10"/>
  <c r="AX2647" i="10"/>
  <c r="AS2647" i="10"/>
  <c r="AP2647" i="10"/>
  <c r="AW2637" i="10"/>
  <c r="AJ2637" i="10"/>
  <c r="AQ2637" i="10"/>
  <c r="AO2637" i="10"/>
  <c r="AK2637" i="10"/>
  <c r="AN2627" i="10"/>
  <c r="AS2627" i="10"/>
  <c r="AJ2627" i="10"/>
  <c r="AU2627" i="10"/>
  <c r="AK2627" i="10"/>
  <c r="AM2627" i="10"/>
  <c r="AV2627" i="10"/>
  <c r="AT2627" i="10"/>
  <c r="AQ2627" i="10"/>
  <c r="AP2627" i="10"/>
  <c r="AR2627" i="10"/>
  <c r="AS2614" i="10"/>
  <c r="AX2614" i="10"/>
  <c r="AL2614" i="10"/>
  <c r="AU2614" i="10"/>
  <c r="AT2614" i="10"/>
  <c r="AR2614" i="10"/>
  <c r="AV2614" i="10"/>
  <c r="AU2604" i="10"/>
  <c r="AP2604" i="10"/>
  <c r="AN2604" i="10"/>
  <c r="AK2604" i="10"/>
  <c r="AL2604" i="10"/>
  <c r="AO2604" i="10"/>
  <c r="AW2604" i="10"/>
  <c r="AX2604" i="10"/>
  <c r="AT2593" i="10"/>
  <c r="AN2593" i="10"/>
  <c r="AU2593" i="10"/>
  <c r="AM2593" i="10"/>
  <c r="AM2501" i="10"/>
  <c r="AS2501" i="10"/>
  <c r="AL2501" i="10"/>
  <c r="AO2501" i="10"/>
  <c r="AN2501" i="10"/>
  <c r="AX2501" i="10"/>
  <c r="AQ2501" i="10"/>
  <c r="AR2491" i="10"/>
  <c r="AP2491" i="10"/>
  <c r="AQ2491" i="10"/>
  <c r="AV2491" i="10"/>
  <c r="AM2491" i="10"/>
  <c r="AT2491" i="10"/>
  <c r="AJ2491" i="10"/>
  <c r="AL2491" i="10"/>
  <c r="AX2491" i="10"/>
  <c r="AO2491" i="10"/>
  <c r="AS2439" i="10"/>
  <c r="AO2439" i="10"/>
  <c r="AV2439" i="10"/>
  <c r="AU2439" i="10"/>
  <c r="AJ2439" i="10"/>
  <c r="AN2439" i="10"/>
  <c r="AP2439" i="10"/>
  <c r="AK2439" i="10"/>
  <c r="AR2439" i="10"/>
  <c r="AT2439" i="10"/>
  <c r="AU2408" i="10"/>
  <c r="AW2408" i="10"/>
  <c r="AT2408" i="10"/>
  <c r="AK2408" i="10"/>
  <c r="AR2408" i="10"/>
  <c r="AM2408" i="10"/>
  <c r="AS2387" i="10"/>
  <c r="AR2387" i="10"/>
  <c r="AW2387" i="10"/>
  <c r="AX2387" i="10"/>
  <c r="AL2387" i="10"/>
  <c r="AJ2387" i="10"/>
  <c r="AP2387" i="10"/>
  <c r="AW2361" i="10"/>
  <c r="AJ2361" i="10"/>
  <c r="AU2361" i="10"/>
  <c r="AX2361" i="10"/>
  <c r="AP2361" i="10"/>
  <c r="AN2361" i="10"/>
  <c r="AR2361" i="10"/>
  <c r="AO2361" i="10"/>
  <c r="AV2361" i="10"/>
  <c r="AQ2341" i="10"/>
  <c r="AN2341" i="10"/>
  <c r="AX2341" i="10"/>
  <c r="AK2341" i="10"/>
  <c r="AM2341" i="10"/>
  <c r="AR2341" i="10"/>
  <c r="AU2341" i="10"/>
  <c r="AS2341" i="10"/>
  <c r="AW2326" i="10"/>
  <c r="AV2326" i="10"/>
  <c r="AR2326" i="10"/>
  <c r="AU2326" i="10"/>
  <c r="AS2326" i="10"/>
  <c r="AQ2326" i="10"/>
  <c r="AL2326" i="10"/>
  <c r="AM2326" i="10"/>
  <c r="AR2253" i="10"/>
  <c r="AK2253" i="10"/>
  <c r="AX2253" i="10"/>
  <c r="AW2253" i="10"/>
  <c r="AN2253" i="10"/>
  <c r="AU2253" i="10"/>
  <c r="AL2253" i="10"/>
  <c r="AP2253" i="10"/>
  <c r="AV726" i="10"/>
  <c r="AK790" i="10"/>
  <c r="AN798" i="10"/>
  <c r="AN790" i="10"/>
  <c r="AO2609" i="10"/>
  <c r="AP2637" i="10"/>
  <c r="AO2186" i="10"/>
  <c r="AK2609" i="10"/>
  <c r="AQ2572" i="10"/>
  <c r="AT2637" i="10"/>
  <c r="AV2404" i="10"/>
  <c r="AS2459" i="10"/>
  <c r="AR2542" i="10"/>
  <c r="AR2593" i="10"/>
  <c r="AL2506" i="10"/>
  <c r="AR2501" i="10"/>
  <c r="AP2632" i="10"/>
  <c r="AQ2378" i="10"/>
  <c r="AJ1887" i="10"/>
  <c r="AJ996" i="10"/>
  <c r="AQ1315" i="10"/>
  <c r="AR1433" i="10"/>
  <c r="AU2491" i="10"/>
  <c r="AX2706" i="10"/>
  <c r="AQ2022" i="10"/>
  <c r="AQ2712" i="10"/>
  <c r="AP2326" i="10"/>
  <c r="AN2336" i="10"/>
  <c r="AX2439" i="10"/>
  <c r="AJ2017" i="10"/>
  <c r="AV2387" i="10"/>
  <c r="AV2522" i="10"/>
  <c r="AO2614" i="10"/>
  <c r="AT1326" i="10"/>
  <c r="AQ2647" i="10"/>
  <c r="AU2336" i="10"/>
  <c r="AO2130" i="10"/>
  <c r="AJ2398" i="10"/>
  <c r="AN2674" i="10"/>
  <c r="AM1878" i="10"/>
  <c r="AK1878" i="10"/>
  <c r="AT925" i="10"/>
  <c r="AV925" i="10"/>
  <c r="AV714" i="10"/>
  <c r="AJ714" i="10"/>
  <c r="AM2503" i="10"/>
  <c r="AN866" i="10"/>
  <c r="AQ866" i="10"/>
  <c r="AL866" i="10"/>
  <c r="AN851" i="10"/>
  <c r="AO851" i="10"/>
  <c r="AM1913" i="10"/>
  <c r="AV2719" i="10"/>
  <c r="AS2719" i="10"/>
  <c r="AL2379" i="10"/>
  <c r="AP2379" i="10"/>
  <c r="AQ2145" i="10"/>
  <c r="AJ2145" i="10"/>
  <c r="AN2145" i="10"/>
  <c r="AU2145" i="10"/>
  <c r="AV2090" i="10"/>
  <c r="AN2090" i="10"/>
  <c r="AR1881" i="10"/>
  <c r="AN1881" i="10"/>
  <c r="AP1881" i="10"/>
  <c r="AJ1579" i="10"/>
  <c r="AO1579" i="10"/>
  <c r="AM1501" i="10"/>
  <c r="AL1501" i="10"/>
  <c r="AO1501" i="10"/>
  <c r="AN995" i="10"/>
  <c r="AM995" i="10"/>
  <c r="AU995" i="10"/>
  <c r="AX861" i="10"/>
  <c r="AK861" i="10"/>
  <c r="AX698" i="10"/>
  <c r="AK698" i="10"/>
  <c r="AS2652" i="10"/>
  <c r="AU2652" i="10"/>
  <c r="AJ2652" i="10"/>
  <c r="AM2652" i="10"/>
  <c r="AX2652" i="10"/>
  <c r="AQ2652" i="10"/>
  <c r="AX726" i="10"/>
  <c r="AS2253" i="10"/>
  <c r="AT2459" i="10"/>
  <c r="AL1881" i="10"/>
  <c r="AR2633" i="10"/>
  <c r="AN2637" i="10"/>
  <c r="AP1820" i="10"/>
  <c r="AT2022" i="10"/>
  <c r="AQ2614" i="10"/>
  <c r="AN2216" i="10"/>
  <c r="AX2593" i="10"/>
  <c r="AS1966" i="10"/>
  <c r="AK2593" i="10"/>
  <c r="AT1876" i="10"/>
  <c r="AO2404" i="10"/>
  <c r="AO2593" i="10"/>
  <c r="AM2422" i="10"/>
  <c r="AP2501" i="10"/>
  <c r="AK2652" i="10"/>
  <c r="AL2374" i="10"/>
  <c r="AS1934" i="10"/>
  <c r="AW1795" i="10"/>
  <c r="AJ1315" i="10"/>
  <c r="AW2379" i="10"/>
  <c r="AS2491" i="10"/>
  <c r="AV2706" i="10"/>
  <c r="AM2108" i="10"/>
  <c r="AX2326" i="10"/>
  <c r="AR2652" i="10"/>
  <c r="AW2439" i="10"/>
  <c r="AL2017" i="10"/>
  <c r="AK2387" i="10"/>
  <c r="AL2647" i="10"/>
  <c r="AM2398" i="10"/>
  <c r="AV2674" i="10"/>
  <c r="AP781" i="10"/>
  <c r="AQ781" i="10"/>
  <c r="AN2285" i="10"/>
  <c r="AK2285" i="10"/>
  <c r="AL2285" i="10"/>
  <c r="AQ2245" i="10"/>
  <c r="AK2245" i="10"/>
  <c r="AS2245" i="10"/>
  <c r="AP1872" i="10"/>
  <c r="AU1872" i="10"/>
  <c r="AO1321" i="10"/>
  <c r="AK1321" i="10"/>
  <c r="AU1102" i="10"/>
  <c r="AM1102" i="10"/>
  <c r="AV841" i="10"/>
  <c r="AJ841" i="10"/>
  <c r="AP852" i="10"/>
  <c r="AO2260" i="10"/>
  <c r="AP1141" i="10"/>
  <c r="AX1141" i="10"/>
  <c r="AM1141" i="10"/>
  <c r="AK1141" i="10"/>
  <c r="AN1013" i="10"/>
  <c r="AQ1013" i="10"/>
  <c r="AN675" i="10"/>
  <c r="AW675" i="10"/>
  <c r="AR718" i="10"/>
  <c r="AL2605" i="10"/>
  <c r="AS2605" i="10"/>
  <c r="AS2228" i="10"/>
  <c r="AW2228" i="10"/>
  <c r="AK2228" i="10"/>
  <c r="AX2228" i="10"/>
  <c r="AL2228" i="10"/>
  <c r="AR1960" i="10"/>
  <c r="AP1960" i="10"/>
  <c r="AQ1866" i="10"/>
  <c r="AP1866" i="10"/>
  <c r="AM1866" i="10"/>
  <c r="AS1662" i="10"/>
  <c r="AL1662" i="10"/>
  <c r="AJ1662" i="10"/>
  <c r="AP1662" i="10"/>
  <c r="AX1469" i="10"/>
  <c r="AM1469" i="10"/>
  <c r="AV1469" i="10"/>
  <c r="AR1389" i="10"/>
  <c r="AU1389" i="10"/>
  <c r="AT1389" i="10"/>
  <c r="AS1389" i="10"/>
  <c r="AP1310" i="10"/>
  <c r="AT1310" i="10"/>
  <c r="AJ1283" i="10"/>
  <c r="AN1283" i="10"/>
  <c r="AT1283" i="10"/>
  <c r="AN1245" i="10"/>
  <c r="AQ1245" i="10"/>
  <c r="AN1107" i="10"/>
  <c r="AR1107" i="10"/>
  <c r="AL1107" i="10"/>
  <c r="AW1107" i="10"/>
  <c r="AS1107" i="10"/>
  <c r="AO1046" i="10"/>
  <c r="AP1046" i="10"/>
  <c r="AK1046" i="10"/>
  <c r="AM1046" i="10"/>
  <c r="AL1001" i="10"/>
  <c r="AJ1001" i="10"/>
  <c r="AO1001" i="10"/>
  <c r="AQ924" i="10"/>
  <c r="AJ924" i="10"/>
  <c r="AO924" i="10"/>
  <c r="AW837" i="10"/>
  <c r="AJ837" i="10"/>
  <c r="AJ1310" i="10"/>
  <c r="AU2473" i="10"/>
  <c r="AV1878" i="10"/>
  <c r="AJ1290" i="10"/>
  <c r="AL2022" i="10"/>
  <c r="AO2017" i="10"/>
  <c r="AO694" i="10"/>
  <c r="AO2729" i="10"/>
  <c r="AT2729" i="10"/>
  <c r="AX2729" i="10"/>
  <c r="AR2729" i="10"/>
  <c r="AL2729" i="10"/>
  <c r="AJ2729" i="10"/>
  <c r="AW2729" i="10"/>
  <c r="AN2712" i="10"/>
  <c r="AV2712" i="10"/>
  <c r="AK2712" i="10"/>
  <c r="AX2712" i="10"/>
  <c r="AU2712" i="10"/>
  <c r="AR2712" i="10"/>
  <c r="AJ2712" i="10"/>
  <c r="AL2695" i="10"/>
  <c r="AQ2695" i="10"/>
  <c r="AV2695" i="10"/>
  <c r="AJ2695" i="10"/>
  <c r="AO2695" i="10"/>
  <c r="AT2695" i="10"/>
  <c r="AP2695" i="10"/>
  <c r="AU2695" i="10"/>
  <c r="AN2695" i="10"/>
  <c r="AX2695" i="10"/>
  <c r="AM2695" i="10"/>
  <c r="AJ2674" i="10"/>
  <c r="AQ2674" i="10"/>
  <c r="AS2674" i="10"/>
  <c r="AL2674" i="10"/>
  <c r="AR2674" i="10"/>
  <c r="AX2674" i="10"/>
  <c r="AM2674" i="10"/>
  <c r="AP2674" i="10"/>
  <c r="AW2674" i="10"/>
  <c r="AK2674" i="10"/>
  <c r="AW2665" i="10"/>
  <c r="AT2665" i="10"/>
  <c r="AV2665" i="10"/>
  <c r="AN2665" i="10"/>
  <c r="AJ2665" i="10"/>
  <c r="AO2665" i="10"/>
  <c r="AR2665" i="10"/>
  <c r="AL2665" i="10"/>
  <c r="AM2665" i="10"/>
  <c r="AT2642" i="10"/>
  <c r="AX2642" i="10"/>
  <c r="AW2642" i="10"/>
  <c r="AP2642" i="10"/>
  <c r="AO2642" i="10"/>
  <c r="AN2642" i="10"/>
  <c r="AU2642" i="10"/>
  <c r="AS2642" i="10"/>
  <c r="AQ2642" i="10"/>
  <c r="AX2632" i="10"/>
  <c r="AS2632" i="10"/>
  <c r="AN2632" i="10"/>
  <c r="AO2632" i="10"/>
  <c r="AO2618" i="10"/>
  <c r="AU2618" i="10"/>
  <c r="AT2618" i="10"/>
  <c r="AL2618" i="10"/>
  <c r="AQ2618" i="10"/>
  <c r="AM2618" i="10"/>
  <c r="AQ2609" i="10"/>
  <c r="AU2609" i="10"/>
  <c r="AT2609" i="10"/>
  <c r="AM2609" i="10"/>
  <c r="AV2609" i="10"/>
  <c r="AQ2588" i="10"/>
  <c r="AS2588" i="10"/>
  <c r="AJ2588" i="10"/>
  <c r="AU2588" i="10"/>
  <c r="AK2588" i="10"/>
  <c r="AX2588" i="10"/>
  <c r="AO2588" i="10"/>
  <c r="AR2588" i="10"/>
  <c r="AO2572" i="10"/>
  <c r="AK2572" i="10"/>
  <c r="AS2572" i="10"/>
  <c r="AM2572" i="10"/>
  <c r="AL2572" i="10"/>
  <c r="AT2572" i="10"/>
  <c r="AR2572" i="10"/>
  <c r="AO2542" i="10"/>
  <c r="AW2542" i="10"/>
  <c r="AV2542" i="10"/>
  <c r="AP2542" i="10"/>
  <c r="AN2542" i="10"/>
  <c r="AS2542" i="10"/>
  <c r="AT2542" i="10"/>
  <c r="AT2522" i="10"/>
  <c r="AU2522" i="10"/>
  <c r="AO2522" i="10"/>
  <c r="AP2522" i="10"/>
  <c r="AR2522" i="10"/>
  <c r="AQ2522" i="10"/>
  <c r="AS2522" i="10"/>
  <c r="AW2522" i="10"/>
  <c r="AP2506" i="10"/>
  <c r="AT2506" i="10"/>
  <c r="AJ2506" i="10"/>
  <c r="AU2506" i="10"/>
  <c r="AS2506" i="10"/>
  <c r="AM2506" i="10"/>
  <c r="AV2506" i="10"/>
  <c r="AQ2506" i="10"/>
  <c r="AJ2496" i="10"/>
  <c r="AW2496" i="10"/>
  <c r="AR2496" i="10"/>
  <c r="AP2496" i="10"/>
  <c r="AN2496" i="10"/>
  <c r="AO2481" i="10"/>
  <c r="AQ2481" i="10"/>
  <c r="AS2481" i="10"/>
  <c r="AN2481" i="10"/>
  <c r="AX2481" i="10"/>
  <c r="AK2481" i="10"/>
  <c r="AM2481" i="10"/>
  <c r="AP2481" i="10"/>
  <c r="AK2459" i="10"/>
  <c r="AN2459" i="10"/>
  <c r="AQ2459" i="10"/>
  <c r="AO2459" i="10"/>
  <c r="AR2444" i="10"/>
  <c r="AN2444" i="10"/>
  <c r="AQ2444" i="10"/>
  <c r="AK2444" i="10"/>
  <c r="AR2403" i="10"/>
  <c r="AX2403" i="10"/>
  <c r="AJ2403" i="10"/>
  <c r="AK2403" i="10"/>
  <c r="AQ2403" i="10"/>
  <c r="AP2378" i="10"/>
  <c r="AS2378" i="10"/>
  <c r="AT2378" i="10"/>
  <c r="AL2378" i="10"/>
  <c r="AW2378" i="10"/>
  <c r="AX2378" i="10"/>
  <c r="AR2378" i="10"/>
  <c r="AJ2378" i="10"/>
  <c r="AJ2367" i="10"/>
  <c r="AT2367" i="10"/>
  <c r="AP2336" i="10"/>
  <c r="AW2336" i="10"/>
  <c r="AU2242" i="10"/>
  <c r="AR2242" i="10"/>
  <c r="AW2242" i="10"/>
  <c r="AP2242" i="10"/>
  <c r="AJ2242" i="10"/>
  <c r="AN894" i="10"/>
  <c r="AT2260" i="10"/>
  <c r="AQ1881" i="10"/>
  <c r="AQ1310" i="10"/>
  <c r="AX2295" i="10"/>
  <c r="AO2444" i="10"/>
  <c r="AL1820" i="10"/>
  <c r="AW2614" i="10"/>
  <c r="AR2642" i="10"/>
  <c r="AN925" i="10"/>
  <c r="AU2729" i="10"/>
  <c r="AS2665" i="10"/>
  <c r="AW2588" i="10"/>
  <c r="AQ2593" i="10"/>
  <c r="AU2404" i="10"/>
  <c r="AJ2593" i="10"/>
  <c r="AQ2422" i="10"/>
  <c r="AX2506" i="10"/>
  <c r="AT2652" i="10"/>
  <c r="AW1752" i="10"/>
  <c r="AK2491" i="10"/>
  <c r="AO2706" i="10"/>
  <c r="AL2712" i="10"/>
  <c r="AN2326" i="10"/>
  <c r="AL2632" i="10"/>
  <c r="AU2632" i="10"/>
  <c r="AQ2387" i="10"/>
  <c r="AX2522" i="10"/>
  <c r="AO2627" i="10"/>
  <c r="AW2647" i="10"/>
  <c r="AR2481" i="10"/>
  <c r="AQ2232" i="10"/>
  <c r="AU2232" i="10"/>
  <c r="AO2232" i="10"/>
  <c r="AJ2232" i="10"/>
  <c r="AX2365" i="10"/>
  <c r="AL2365" i="10"/>
  <c r="AM2365" i="10"/>
  <c r="AN2365" i="10"/>
  <c r="AW2365" i="10"/>
  <c r="AT2365" i="10"/>
  <c r="AR2365" i="10"/>
  <c r="AO2365" i="10"/>
  <c r="AQ2365" i="10"/>
  <c r="AK2365" i="10"/>
  <c r="AS2365" i="10"/>
  <c r="AU2365" i="10"/>
  <c r="AJ2365" i="10"/>
  <c r="AV2365" i="10"/>
  <c r="AW2007" i="10"/>
  <c r="AO2007" i="10"/>
  <c r="AJ2007" i="10"/>
  <c r="AT2007" i="10"/>
  <c r="AN2007" i="10"/>
  <c r="AU2007" i="10"/>
  <c r="AM2007" i="10"/>
  <c r="AR2007" i="10"/>
  <c r="AX2007" i="10"/>
  <c r="AQ2007" i="10"/>
  <c r="AL2007" i="10"/>
  <c r="AV2007" i="10"/>
  <c r="AP2007" i="10"/>
  <c r="AS2007" i="10"/>
  <c r="AJ1868" i="10"/>
  <c r="AV1868" i="10"/>
  <c r="AV1749" i="10"/>
  <c r="AP1749" i="10"/>
  <c r="AQ1749" i="10"/>
  <c r="AT1749" i="10"/>
  <c r="AS1749" i="10"/>
  <c r="AX1749" i="10"/>
  <c r="AW1749" i="10"/>
  <c r="AL1749" i="10"/>
  <c r="AO1749" i="10"/>
  <c r="AJ1749" i="10"/>
  <c r="AD78" i="45"/>
  <c r="AE15" i="43" s="1"/>
  <c r="U78" i="45"/>
  <c r="K11" i="53" s="1"/>
  <c r="P78" i="45"/>
  <c r="AL1258" i="10"/>
  <c r="AU1258" i="10"/>
  <c r="AQ1258" i="10"/>
  <c r="AX1258" i="10"/>
  <c r="AV1258" i="10"/>
  <c r="AO1258" i="10"/>
  <c r="AN1258" i="10"/>
  <c r="AJ1258" i="10"/>
  <c r="AM1258" i="10"/>
  <c r="AR1258" i="10"/>
  <c r="AT1258" i="10"/>
  <c r="AS1258" i="10"/>
  <c r="AP1258" i="10"/>
  <c r="AK1258" i="10"/>
  <c r="AW1258" i="10"/>
  <c r="AQ1143" i="10"/>
  <c r="AR1143" i="10"/>
  <c r="AW1143" i="10"/>
  <c r="AO1143" i="10"/>
  <c r="AU1143" i="10"/>
  <c r="AJ1143" i="10"/>
  <c r="AP1143" i="10"/>
  <c r="AN1143" i="10"/>
  <c r="AX1143" i="10"/>
  <c r="AK1143" i="10"/>
  <c r="AV1143" i="10"/>
  <c r="AT1143" i="10"/>
  <c r="AM1143" i="10"/>
  <c r="AS1143" i="10"/>
  <c r="AL1143" i="10"/>
  <c r="AK732" i="10"/>
  <c r="AW732" i="10"/>
  <c r="AX732" i="10"/>
  <c r="AN2645" i="10"/>
  <c r="AT2645" i="10"/>
  <c r="AU2645" i="10"/>
  <c r="AS2645" i="10"/>
  <c r="AR2645" i="10"/>
  <c r="AO2645" i="10"/>
  <c r="AQ2645" i="10"/>
  <c r="AV2645" i="10"/>
  <c r="AM2645" i="10"/>
  <c r="AP2645" i="10"/>
  <c r="AT1889" i="10"/>
  <c r="AK1889" i="10"/>
  <c r="AO1889" i="10"/>
  <c r="AW1889" i="10"/>
  <c r="AS1889" i="10"/>
  <c r="AX1889" i="10"/>
  <c r="AQ1889" i="10"/>
  <c r="AN1889" i="10"/>
  <c r="AJ1889" i="10"/>
  <c r="AL1889" i="10"/>
  <c r="AV1889" i="10"/>
  <c r="AU1889" i="10"/>
  <c r="AR1889" i="10"/>
  <c r="AM1889" i="10"/>
  <c r="AP1889" i="10"/>
  <c r="AX1777" i="10"/>
  <c r="AS1777" i="10"/>
  <c r="AR1777" i="10"/>
  <c r="AK1777" i="10"/>
  <c r="AN1777" i="10"/>
  <c r="AP1777" i="10"/>
  <c r="AQ1777" i="10"/>
  <c r="AJ1777" i="10"/>
  <c r="AU1777" i="10"/>
  <c r="AV1777" i="10"/>
  <c r="AW1777" i="10"/>
  <c r="AM1777" i="10"/>
  <c r="AL1777" i="10"/>
  <c r="AV1674" i="10"/>
  <c r="AK1674" i="10"/>
  <c r="AN1674" i="10"/>
  <c r="AM1674" i="10"/>
  <c r="AO1674" i="10"/>
  <c r="AP1674" i="10"/>
  <c r="AL1674" i="10"/>
  <c r="AT1674" i="10"/>
  <c r="AR1674" i="10"/>
  <c r="AS1674" i="10"/>
  <c r="AQ1674" i="10"/>
  <c r="AJ1674" i="10"/>
  <c r="AU1674" i="10"/>
  <c r="AX1674" i="10"/>
  <c r="AW1674" i="10"/>
  <c r="AJ1374" i="10"/>
  <c r="AL1374" i="10"/>
  <c r="AW1374" i="10"/>
  <c r="AS1374" i="10"/>
  <c r="AU1374" i="10"/>
  <c r="AP1374" i="10"/>
  <c r="AQ1374" i="10"/>
  <c r="AN1374" i="10"/>
  <c r="AV1374" i="10"/>
  <c r="AM1374" i="10"/>
  <c r="AK1374" i="10"/>
  <c r="AX1374" i="10"/>
  <c r="AT1374" i="10"/>
  <c r="AR1374" i="10"/>
  <c r="AO1374" i="10"/>
  <c r="AU1242" i="10"/>
  <c r="AL1242" i="10"/>
  <c r="AT1126" i="10"/>
  <c r="AP1126" i="10"/>
  <c r="AX1126" i="10"/>
  <c r="AQ1126" i="10"/>
  <c r="AS1126" i="10"/>
  <c r="AU1126" i="10"/>
  <c r="AV1126" i="10"/>
  <c r="AL1126" i="10"/>
  <c r="AN1126" i="10"/>
  <c r="AT1015" i="10"/>
  <c r="AX1015" i="10"/>
  <c r="AO1015" i="10"/>
  <c r="AN1015" i="10"/>
  <c r="AJ1015" i="10"/>
  <c r="AL1015" i="10"/>
  <c r="AW1015" i="10"/>
  <c r="AR1015" i="10"/>
  <c r="AQ1015" i="10"/>
  <c r="AU1015" i="10"/>
  <c r="AK1015" i="10"/>
  <c r="AV1015" i="10"/>
  <c r="AS1015" i="10"/>
  <c r="AM1015" i="10"/>
  <c r="AP1015" i="10"/>
  <c r="AW903" i="10"/>
  <c r="AJ903" i="10"/>
  <c r="AX903" i="10"/>
  <c r="AK903" i="10"/>
  <c r="AX807" i="10"/>
  <c r="AK807" i="10"/>
  <c r="AW807" i="10"/>
  <c r="AX744" i="10"/>
  <c r="AW744" i="10"/>
  <c r="AJ744" i="10"/>
  <c r="AK744" i="10"/>
  <c r="AO2650" i="10"/>
  <c r="AX2650" i="10"/>
  <c r="AT2650" i="10"/>
  <c r="AV2650" i="10"/>
  <c r="AW2650" i="10"/>
  <c r="AP2650" i="10"/>
  <c r="AN2650" i="10"/>
  <c r="AJ2650" i="10"/>
  <c r="AS2650" i="10"/>
  <c r="AK2650" i="10"/>
  <c r="AQ2650" i="10"/>
  <c r="AN2198" i="10"/>
  <c r="AL2198" i="10"/>
  <c r="AP2198" i="10"/>
  <c r="AS2198" i="10"/>
  <c r="AX2198" i="10"/>
  <c r="AJ2198" i="10"/>
  <c r="AO2198" i="10"/>
  <c r="AK1963" i="10"/>
  <c r="AP1963" i="10"/>
  <c r="AR1963" i="10"/>
  <c r="AO1963" i="10"/>
  <c r="AT1963" i="10"/>
  <c r="AM1963" i="10"/>
  <c r="AN1963" i="10"/>
  <c r="AQ1963" i="10"/>
  <c r="AJ1963" i="10"/>
  <c r="AW1963" i="10"/>
  <c r="AL1963" i="10"/>
  <c r="AX1963" i="10"/>
  <c r="AT1782" i="10"/>
  <c r="AJ1782" i="10"/>
  <c r="AW1782" i="10"/>
  <c r="AX1782" i="10"/>
  <c r="AN1782" i="10"/>
  <c r="AO1782" i="10"/>
  <c r="AO1705" i="10"/>
  <c r="AM1705" i="10"/>
  <c r="AR1705" i="10"/>
  <c r="AV1705" i="10"/>
  <c r="AS1705" i="10"/>
  <c r="AP1705" i="10"/>
  <c r="AT1705" i="10"/>
  <c r="AQ1705" i="10"/>
  <c r="AU1705" i="10"/>
  <c r="AJ1705" i="10"/>
  <c r="AL1705" i="10"/>
  <c r="AK1634" i="10"/>
  <c r="AJ1634" i="10"/>
  <c r="AN1570" i="10"/>
  <c r="AM1570" i="10"/>
  <c r="AR1570" i="10"/>
  <c r="AK1570" i="10"/>
  <c r="AO1570" i="10"/>
  <c r="AQ1570" i="10"/>
  <c r="AP1570" i="10"/>
  <c r="AU1570" i="10"/>
  <c r="AT1570" i="10"/>
  <c r="AJ1570" i="10"/>
  <c r="AS1570" i="10"/>
  <c r="AP1109" i="10"/>
  <c r="AS1109" i="10"/>
  <c r="AQ1109" i="10"/>
  <c r="AN1109" i="10"/>
  <c r="AK1109" i="10"/>
  <c r="AM1109" i="10"/>
  <c r="AV1109" i="10"/>
  <c r="AL1109" i="10"/>
  <c r="AW1109" i="10"/>
  <c r="AT1109" i="10"/>
  <c r="AU1109" i="10"/>
  <c r="AJ1109" i="10"/>
  <c r="AX968" i="10"/>
  <c r="AP968" i="10"/>
  <c r="AL968" i="10"/>
  <c r="AM968" i="10"/>
  <c r="AR968" i="10"/>
  <c r="AS968" i="10"/>
  <c r="AT968" i="10"/>
  <c r="AU968" i="10"/>
  <c r="AK968" i="10"/>
  <c r="AW968" i="10"/>
  <c r="AV968" i="10"/>
  <c r="AJ968" i="10"/>
  <c r="AO968" i="10"/>
  <c r="AN968" i="10"/>
  <c r="AQ968" i="10"/>
  <c r="AV2065" i="10"/>
  <c r="AW2065" i="10"/>
  <c r="AN2065" i="10"/>
  <c r="AS2065" i="10"/>
  <c r="AU2065" i="10"/>
  <c r="AR2065" i="10"/>
  <c r="AX2065" i="10"/>
  <c r="AQ2065" i="10"/>
  <c r="AM2065" i="10"/>
  <c r="AP2065" i="10"/>
  <c r="AT2065" i="10"/>
  <c r="AO2065" i="10"/>
  <c r="AL2065" i="10"/>
  <c r="AJ2065" i="10"/>
  <c r="AK2065" i="10"/>
  <c r="AW985" i="10"/>
  <c r="AX985" i="10"/>
  <c r="AK985" i="10"/>
  <c r="AJ985" i="10"/>
  <c r="AU907" i="10"/>
  <c r="AW1600" i="10"/>
  <c r="AP2365" i="10"/>
  <c r="AK1585" i="10"/>
  <c r="AS2171" i="10"/>
  <c r="AT2070" i="10"/>
  <c r="AJ807" i="10"/>
  <c r="AK2630" i="10"/>
  <c r="AN2630" i="10"/>
  <c r="AT2630" i="10"/>
  <c r="AL2630" i="10"/>
  <c r="AS2630" i="10"/>
  <c r="AV2630" i="10"/>
  <c r="AQ2630" i="10"/>
  <c r="AU2630" i="10"/>
  <c r="AO2630" i="10"/>
  <c r="AJ2630" i="10"/>
  <c r="AM2630" i="10"/>
  <c r="AR2630" i="10"/>
  <c r="AP2630" i="10"/>
  <c r="AP2515" i="10"/>
  <c r="AQ2515" i="10"/>
  <c r="AW2515" i="10"/>
  <c r="AM2515" i="10"/>
  <c r="AS2515" i="10"/>
  <c r="AV2515" i="10"/>
  <c r="AR2515" i="10"/>
  <c r="AN2515" i="10"/>
  <c r="AJ2515" i="10"/>
  <c r="AT2515" i="10"/>
  <c r="AK2515" i="10"/>
  <c r="AU2515" i="10"/>
  <c r="AO2515" i="10"/>
  <c r="AL2515" i="10"/>
  <c r="AX2515" i="10"/>
  <c r="AO2468" i="10"/>
  <c r="AS2468" i="10"/>
  <c r="AX2468" i="10"/>
  <c r="AV2468" i="10"/>
  <c r="AM2468" i="10"/>
  <c r="AT2468" i="10"/>
  <c r="AU2468" i="10"/>
  <c r="AQ2468" i="10"/>
  <c r="AK2468" i="10"/>
  <c r="AL2468" i="10"/>
  <c r="AP2468" i="10"/>
  <c r="AJ2468" i="10"/>
  <c r="AR2468" i="10"/>
  <c r="AW2468" i="10"/>
  <c r="AN2468" i="10"/>
  <c r="AX2370" i="10"/>
  <c r="AV2370" i="10"/>
  <c r="AJ2370" i="10"/>
  <c r="AS2370" i="10"/>
  <c r="AM2370" i="10"/>
  <c r="AW2370" i="10"/>
  <c r="AQ2370" i="10"/>
  <c r="AU2370" i="10"/>
  <c r="AN2370" i="10"/>
  <c r="AT2370" i="10"/>
  <c r="AP2370" i="10"/>
  <c r="AR2370" i="10"/>
  <c r="AL2370" i="10"/>
  <c r="AO2370" i="10"/>
  <c r="AX2334" i="10"/>
  <c r="AO2334" i="10"/>
  <c r="AQ2334" i="10"/>
  <c r="AV2334" i="10"/>
  <c r="AP2334" i="10"/>
  <c r="AS2334" i="10"/>
  <c r="AK2334" i="10"/>
  <c r="AN2334" i="10"/>
  <c r="AW2334" i="10"/>
  <c r="AR2334" i="10"/>
  <c r="AM2334" i="10"/>
  <c r="AU2334" i="10"/>
  <c r="AL2334" i="10"/>
  <c r="AT2334" i="10"/>
  <c r="AQ2119" i="10"/>
  <c r="AS2119" i="10"/>
  <c r="AM2119" i="10"/>
  <c r="AO2119" i="10"/>
  <c r="AJ2119" i="10"/>
  <c r="AN2119" i="10"/>
  <c r="AU2119" i="10"/>
  <c r="AX2119" i="10"/>
  <c r="AW2119" i="10"/>
  <c r="AK2119" i="10"/>
  <c r="AL2119" i="10"/>
  <c r="AO2054" i="10"/>
  <c r="AW2054" i="10"/>
  <c r="AT2054" i="10"/>
  <c r="AJ2054" i="10"/>
  <c r="AQ2054" i="10"/>
  <c r="AL2054" i="10"/>
  <c r="AL2019" i="10"/>
  <c r="AO2019" i="10"/>
  <c r="AR2019" i="10"/>
  <c r="AK2019" i="10"/>
  <c r="AQ2019" i="10"/>
  <c r="AP2019" i="10"/>
  <c r="AW2019" i="10"/>
  <c r="AX2019" i="10"/>
  <c r="AM2019" i="10"/>
  <c r="AN2019" i="10"/>
  <c r="AU2019" i="10"/>
  <c r="AT2019" i="10"/>
  <c r="AJ2019" i="10"/>
  <c r="AV2019" i="10"/>
  <c r="AS2019" i="10"/>
  <c r="AO1979" i="10"/>
  <c r="AW1979" i="10"/>
  <c r="AM1979" i="10"/>
  <c r="AR1979" i="10"/>
  <c r="AP1979" i="10"/>
  <c r="AV1979" i="10"/>
  <c r="AJ1979" i="10"/>
  <c r="AX1979" i="10"/>
  <c r="AS1979" i="10"/>
  <c r="AK1979" i="10"/>
  <c r="AM1939" i="10"/>
  <c r="AQ1939" i="10"/>
  <c r="AW1939" i="10"/>
  <c r="AS1939" i="10"/>
  <c r="AU1939" i="10"/>
  <c r="AR1939" i="10"/>
  <c r="AP1939" i="10"/>
  <c r="AV1939" i="10"/>
  <c r="AX1939" i="10"/>
  <c r="AT1939" i="10"/>
  <c r="AJ1939" i="10"/>
  <c r="AO1939" i="10"/>
  <c r="AN1939" i="10"/>
  <c r="AK1939" i="10"/>
  <c r="AL1939" i="10"/>
  <c r="AP1877" i="10"/>
  <c r="AN1877" i="10"/>
  <c r="AL1877" i="10"/>
  <c r="AW1877" i="10"/>
  <c r="AT1877" i="10"/>
  <c r="AQ1877" i="10"/>
  <c r="AJ1877" i="10"/>
  <c r="AM1877" i="10"/>
  <c r="AX1877" i="10"/>
  <c r="AV1877" i="10"/>
  <c r="AU1877" i="10"/>
  <c r="AO1877" i="10"/>
  <c r="AS1856" i="10"/>
  <c r="AJ1856" i="10"/>
  <c r="AO1856" i="10"/>
  <c r="AX1856" i="10"/>
  <c r="AN1856" i="10"/>
  <c r="AL1856" i="10"/>
  <c r="AR1856" i="10"/>
  <c r="AT1856" i="10"/>
  <c r="AQ1856" i="10"/>
  <c r="AW1856" i="10"/>
  <c r="AK1856" i="10"/>
  <c r="AP1856" i="10"/>
  <c r="L70" i="45"/>
  <c r="N14" i="43" s="1"/>
  <c r="P70" i="45"/>
  <c r="AU1856" i="10"/>
  <c r="AM1856" i="10"/>
  <c r="AP1744" i="10"/>
  <c r="AQ1744" i="10"/>
  <c r="AX1744" i="10"/>
  <c r="AU1744" i="10"/>
  <c r="AM1744" i="10"/>
  <c r="AT1744" i="10"/>
  <c r="AR1744" i="10"/>
  <c r="AJ1744" i="10"/>
  <c r="AQ1715" i="10"/>
  <c r="AO1715" i="10"/>
  <c r="AR1715" i="10"/>
  <c r="AL1715" i="10"/>
  <c r="AW1715" i="10"/>
  <c r="AX1715" i="10"/>
  <c r="AJ1715" i="10"/>
  <c r="AM1715" i="10"/>
  <c r="AU1648" i="10"/>
  <c r="AM1648" i="10"/>
  <c r="AL1648" i="10"/>
  <c r="AO1648" i="10"/>
  <c r="AP1619" i="10"/>
  <c r="AN1619" i="10"/>
  <c r="AS1619" i="10"/>
  <c r="AJ1619" i="10"/>
  <c r="AT1619" i="10"/>
  <c r="AL1619" i="10"/>
  <c r="AX1590" i="10"/>
  <c r="AP1590" i="10"/>
  <c r="AK1590" i="10"/>
  <c r="AV1590" i="10"/>
  <c r="AL1590" i="10"/>
  <c r="AQ1590" i="10"/>
  <c r="AT1590" i="10"/>
  <c r="AW1590" i="10"/>
  <c r="AJ1590" i="10"/>
  <c r="AO1590" i="10"/>
  <c r="AR1590" i="10"/>
  <c r="AN1590" i="10"/>
  <c r="AO1544" i="10"/>
  <c r="AQ1544" i="10"/>
  <c r="AM1544" i="10"/>
  <c r="AV1544" i="10"/>
  <c r="AK1544" i="10"/>
  <c r="AL1544" i="10"/>
  <c r="AS1544" i="10"/>
  <c r="AP1544" i="10"/>
  <c r="AN1544" i="10"/>
  <c r="AT1544" i="10"/>
  <c r="AU1544" i="10"/>
  <c r="AJ1544" i="10"/>
  <c r="AR1544" i="10"/>
  <c r="AX1402" i="10"/>
  <c r="AM1402" i="10"/>
  <c r="AK1402" i="10"/>
  <c r="AN1402" i="10"/>
  <c r="AQ1402" i="10"/>
  <c r="AR1402" i="10"/>
  <c r="AU1402" i="10"/>
  <c r="AV1402" i="10"/>
  <c r="AP1402" i="10"/>
  <c r="AL1402" i="10"/>
  <c r="AJ1402" i="10"/>
  <c r="AS1402" i="10"/>
  <c r="AT1402" i="10"/>
  <c r="AS1380" i="10"/>
  <c r="AK1380" i="10"/>
  <c r="AJ1380" i="10"/>
  <c r="AR1380" i="10"/>
  <c r="AT1333" i="10"/>
  <c r="AJ1333" i="10"/>
  <c r="AV1333" i="10"/>
  <c r="AN1333" i="10"/>
  <c r="AM1333" i="10"/>
  <c r="AQ1333" i="10"/>
  <c r="AS1333" i="10"/>
  <c r="AL1333" i="10"/>
  <c r="AU1333" i="10"/>
  <c r="AK1333" i="10"/>
  <c r="AO1333" i="10"/>
  <c r="AR1333" i="10"/>
  <c r="AP1333" i="10"/>
  <c r="AW1333" i="10"/>
  <c r="AX1333" i="10"/>
  <c r="AN1186" i="10"/>
  <c r="AQ1186" i="10"/>
  <c r="AO1186" i="10"/>
  <c r="AU1186" i="10"/>
  <c r="AM1186" i="10"/>
  <c r="AR1186" i="10"/>
  <c r="AW1186" i="10"/>
  <c r="AS1186" i="10"/>
  <c r="AP1186" i="10"/>
  <c r="AK1186" i="10"/>
  <c r="AV1186" i="10"/>
  <c r="AX1186" i="10"/>
  <c r="AJ1186" i="10"/>
  <c r="AL1186" i="10"/>
  <c r="AT1186" i="10"/>
  <c r="AN1165" i="10"/>
  <c r="AL1165" i="10"/>
  <c r="AV1165" i="10"/>
  <c r="AS1165" i="10"/>
  <c r="AT1165" i="10"/>
  <c r="AR1165" i="10"/>
  <c r="AK1165" i="10"/>
  <c r="AO1165" i="10"/>
  <c r="AP1165" i="10"/>
  <c r="AX1165" i="10"/>
  <c r="AJ1165" i="10"/>
  <c r="AU1165" i="10"/>
  <c r="AQ1165" i="10"/>
  <c r="AW1165" i="10"/>
  <c r="AM1165" i="10"/>
  <c r="AV1137" i="10"/>
  <c r="AK1137" i="10"/>
  <c r="AO1137" i="10"/>
  <c r="AQ1137" i="10"/>
  <c r="AT1137" i="10"/>
  <c r="AL1137" i="10"/>
  <c r="AU1137" i="10"/>
  <c r="AM1137" i="10"/>
  <c r="AN1137" i="10"/>
  <c r="AS1137" i="10"/>
  <c r="AW1137" i="10"/>
  <c r="AX1137" i="10"/>
  <c r="AP1137" i="10"/>
  <c r="AR1137" i="10"/>
  <c r="AM1042" i="10"/>
  <c r="AR1042" i="10"/>
  <c r="AL1042" i="10"/>
  <c r="AK1042" i="10"/>
  <c r="AX1042" i="10"/>
  <c r="AN1042" i="10"/>
  <c r="AT1042" i="10"/>
  <c r="AO1042" i="10"/>
  <c r="AQ1042" i="10"/>
  <c r="AJ1042" i="10"/>
  <c r="AS1042" i="10"/>
  <c r="AV1042" i="10"/>
  <c r="AU1042" i="10"/>
  <c r="AP1042" i="10"/>
  <c r="AW1042" i="10"/>
  <c r="AW951" i="10"/>
  <c r="AJ951" i="10"/>
  <c r="AK951" i="10"/>
  <c r="AX951" i="10"/>
  <c r="AX920" i="10"/>
  <c r="AQ920" i="10"/>
  <c r="AJ920" i="10"/>
  <c r="AN920" i="10"/>
  <c r="AO920" i="10"/>
  <c r="AS920" i="10"/>
  <c r="AT920" i="10"/>
  <c r="AU920" i="10"/>
  <c r="AK920" i="10"/>
  <c r="AR920" i="10"/>
  <c r="AM920" i="10"/>
  <c r="AP920" i="10"/>
  <c r="AL920" i="10"/>
  <c r="AW902" i="10"/>
  <c r="AX902" i="10"/>
  <c r="AJ902" i="10"/>
  <c r="AK902" i="10"/>
  <c r="AX797" i="10"/>
  <c r="AW797" i="10"/>
  <c r="AJ797" i="10"/>
  <c r="AK797" i="10"/>
  <c r="AR719" i="10"/>
  <c r="AQ719" i="10"/>
  <c r="AP719" i="10"/>
  <c r="AO719" i="10"/>
  <c r="AN719" i="10"/>
  <c r="AM719" i="10"/>
  <c r="AW719" i="10"/>
  <c r="AV719" i="10"/>
  <c r="AT719" i="10"/>
  <c r="AU719" i="10"/>
  <c r="AS719" i="10"/>
  <c r="AJ719" i="10"/>
  <c r="AL719" i="10"/>
  <c r="AK719" i="10"/>
  <c r="AW707" i="10"/>
  <c r="AK707" i="10"/>
  <c r="AJ707" i="10"/>
  <c r="AX707" i="10"/>
  <c r="AM676" i="10"/>
  <c r="AX676" i="10"/>
  <c r="AL676" i="10"/>
  <c r="AW676" i="10"/>
  <c r="AK676" i="10"/>
  <c r="AU676" i="10"/>
  <c r="AV676" i="10"/>
  <c r="AJ676" i="10"/>
  <c r="AT676" i="10"/>
  <c r="AQ676" i="10"/>
  <c r="AS676" i="10"/>
  <c r="AR676" i="10"/>
  <c r="AK1699" i="10"/>
  <c r="AQ1699" i="10"/>
  <c r="AR1699" i="10"/>
  <c r="AJ1699" i="10"/>
  <c r="AO1699" i="10"/>
  <c r="AU1699" i="10"/>
  <c r="AV1699" i="10"/>
  <c r="AM1699" i="10"/>
  <c r="AV1241" i="10"/>
  <c r="AR1241" i="10"/>
  <c r="AM1241" i="10"/>
  <c r="AO1241" i="10"/>
  <c r="AX1241" i="10"/>
  <c r="AN1241" i="10"/>
  <c r="AQ1241" i="10"/>
  <c r="AP1241" i="10"/>
  <c r="AL1241" i="10"/>
  <c r="AT1241" i="10"/>
  <c r="AJ1241" i="10"/>
  <c r="AU1241" i="10"/>
  <c r="AK1241" i="10"/>
  <c r="AW1241" i="10"/>
  <c r="AS1241" i="10"/>
  <c r="AN1153" i="10"/>
  <c r="AV1153" i="10"/>
  <c r="AX1153" i="10"/>
  <c r="AP1153" i="10"/>
  <c r="AU1153" i="10"/>
  <c r="AK1153" i="10"/>
  <c r="AJ1153" i="10"/>
  <c r="AO1153" i="10"/>
  <c r="AM1153" i="10"/>
  <c r="AQ1153" i="10"/>
  <c r="AW1153" i="10"/>
  <c r="AR1153" i="10"/>
  <c r="AJ2334" i="10"/>
  <c r="AM1590" i="10"/>
  <c r="AR2658" i="10"/>
  <c r="AR1585" i="10"/>
  <c r="AU2710" i="10"/>
  <c r="AQ2710" i="10"/>
  <c r="AO2710" i="10"/>
  <c r="AW2710" i="10"/>
  <c r="AR2710" i="10"/>
  <c r="AT2710" i="10"/>
  <c r="AL2710" i="10"/>
  <c r="AK2710" i="10"/>
  <c r="AJ2710" i="10"/>
  <c r="AN2710" i="10"/>
  <c r="AV2710" i="10"/>
  <c r="AU2693" i="10"/>
  <c r="AL2693" i="10"/>
  <c r="AP2693" i="10"/>
  <c r="AK2693" i="10"/>
  <c r="AN2693" i="10"/>
  <c r="AQ2693" i="10"/>
  <c r="AR2693" i="10"/>
  <c r="AJ2693" i="10"/>
  <c r="AW2683" i="10"/>
  <c r="AX2683" i="10"/>
  <c r="AL2683" i="10"/>
  <c r="AN2683" i="10"/>
  <c r="AK2683" i="10"/>
  <c r="AJ2683" i="10"/>
  <c r="AM2683" i="10"/>
  <c r="AO2683" i="10"/>
  <c r="AP2683" i="10"/>
  <c r="AU2683" i="10"/>
  <c r="AR2683" i="10"/>
  <c r="AV2450" i="10"/>
  <c r="AR2450" i="10"/>
  <c r="AQ2450" i="10"/>
  <c r="AO2450" i="10"/>
  <c r="AT2450" i="10"/>
  <c r="AU2450" i="10"/>
  <c r="AM2450" i="10"/>
  <c r="AS2450" i="10"/>
  <c r="AK2450" i="10"/>
  <c r="AJ2450" i="10"/>
  <c r="AX2450" i="10"/>
  <c r="AP2450" i="10"/>
  <c r="AW2450" i="10"/>
  <c r="AN2450" i="10"/>
  <c r="AL2450" i="10"/>
  <c r="AT2635" i="10"/>
  <c r="AP2635" i="10"/>
  <c r="AK2635" i="10"/>
  <c r="AN2635" i="10"/>
  <c r="AJ2635" i="10"/>
  <c r="AL2635" i="10"/>
  <c r="AQ2635" i="10"/>
  <c r="AR2635" i="10"/>
  <c r="AX2635" i="10"/>
  <c r="AS2635" i="10"/>
  <c r="AU2635" i="10"/>
  <c r="AM2635" i="10"/>
  <c r="AT2621" i="10"/>
  <c r="AS2621" i="10"/>
  <c r="AM2621" i="10"/>
  <c r="AU2621" i="10"/>
  <c r="AW2621" i="10"/>
  <c r="AK2621" i="10"/>
  <c r="AO2621" i="10"/>
  <c r="AR2621" i="10"/>
  <c r="AX2621" i="10"/>
  <c r="AJ2621" i="10"/>
  <c r="AL2621" i="10"/>
  <c r="AQ2621" i="10"/>
  <c r="AN2621" i="10"/>
  <c r="AR2607" i="10"/>
  <c r="AW2607" i="10"/>
  <c r="AS2607" i="10"/>
  <c r="AN2607" i="10"/>
  <c r="AX2607" i="10"/>
  <c r="AQ2607" i="10"/>
  <c r="AV2607" i="10"/>
  <c r="AL2607" i="10"/>
  <c r="AJ2607" i="10"/>
  <c r="AU2607" i="10"/>
  <c r="AK2607" i="10"/>
  <c r="AP2607" i="10"/>
  <c r="AR2565" i="10"/>
  <c r="AW2565" i="10"/>
  <c r="AK2565" i="10"/>
  <c r="AP2565" i="10"/>
  <c r="AS2565" i="10"/>
  <c r="AN2565" i="10"/>
  <c r="AM2565" i="10"/>
  <c r="AJ2565" i="10"/>
  <c r="AR2546" i="10"/>
  <c r="AV2546" i="10"/>
  <c r="AJ2546" i="10"/>
  <c r="AT2546" i="10"/>
  <c r="AN2504" i="10"/>
  <c r="AM2504" i="10"/>
  <c r="AJ2504" i="10"/>
  <c r="AM2479" i="10"/>
  <c r="AX2479" i="10"/>
  <c r="AU2479" i="10"/>
  <c r="AL2479" i="10"/>
  <c r="AQ2479" i="10"/>
  <c r="AN2479" i="10"/>
  <c r="AW2479" i="10"/>
  <c r="AP2479" i="10"/>
  <c r="AR2479" i="10"/>
  <c r="AS2479" i="10"/>
  <c r="AV2479" i="10"/>
  <c r="AK2479" i="10"/>
  <c r="AJ2479" i="10"/>
  <c r="AT2479" i="10"/>
  <c r="AO2479" i="10"/>
  <c r="AO2437" i="10"/>
  <c r="AK2437" i="10"/>
  <c r="AN2437" i="10"/>
  <c r="AP2437" i="10"/>
  <c r="AW2437" i="10"/>
  <c r="AQ2437" i="10"/>
  <c r="AT2437" i="10"/>
  <c r="AS2437" i="10"/>
  <c r="AJ2437" i="10"/>
  <c r="AX2437" i="10"/>
  <c r="AL2437" i="10"/>
  <c r="AU2437" i="10"/>
  <c r="AV2437" i="10"/>
  <c r="AM2437" i="10"/>
  <c r="AR2437" i="10"/>
  <c r="AN2376" i="10"/>
  <c r="AS2376" i="10"/>
  <c r="AW2376" i="10"/>
  <c r="AM2376" i="10"/>
  <c r="AR2376" i="10"/>
  <c r="AQ2376" i="10"/>
  <c r="AT2376" i="10"/>
  <c r="AV2376" i="10"/>
  <c r="AU2376" i="10"/>
  <c r="AK2376" i="10"/>
  <c r="AL2376" i="10"/>
  <c r="AP2376" i="10"/>
  <c r="AX2376" i="10"/>
  <c r="AJ2376" i="10"/>
  <c r="AO2376" i="10"/>
  <c r="AM2349" i="10"/>
  <c r="AP2349" i="10"/>
  <c r="AK2349" i="10"/>
  <c r="AW2349" i="10"/>
  <c r="AV2349" i="10"/>
  <c r="AX2349" i="10"/>
  <c r="AJ2349" i="10"/>
  <c r="AK2339" i="10"/>
  <c r="AW2339" i="10"/>
  <c r="AR2339" i="10"/>
  <c r="AQ2339" i="10"/>
  <c r="AN2339" i="10"/>
  <c r="AU2339" i="10"/>
  <c r="AT2339" i="10"/>
  <c r="AS2339" i="10"/>
  <c r="AV2339" i="10"/>
  <c r="AX2339" i="10"/>
  <c r="AO2339" i="10"/>
  <c r="AP2339" i="10"/>
  <c r="AM2339" i="10"/>
  <c r="AL2339" i="10"/>
  <c r="AJ2339" i="10"/>
  <c r="AV2313" i="10"/>
  <c r="AW2313" i="10"/>
  <c r="AK2313" i="10"/>
  <c r="AX2313" i="10"/>
  <c r="AU2313" i="10"/>
  <c r="AL2313" i="10"/>
  <c r="AM2313" i="10"/>
  <c r="AR2313" i="10"/>
  <c r="AS2313" i="10"/>
  <c r="AT2313" i="10"/>
  <c r="AP2313" i="10"/>
  <c r="AN2313" i="10"/>
  <c r="AJ2313" i="10"/>
  <c r="AO2313" i="10"/>
  <c r="AQ2313" i="10"/>
  <c r="AW2303" i="10"/>
  <c r="AJ2303" i="10"/>
  <c r="AQ2303" i="10"/>
  <c r="AT2303" i="10"/>
  <c r="AK2303" i="10"/>
  <c r="AR2303" i="10"/>
  <c r="AS2303" i="10"/>
  <c r="AX2292" i="10"/>
  <c r="AK2292" i="10"/>
  <c r="AR2292" i="10"/>
  <c r="AO2292" i="10"/>
  <c r="AP2292" i="10"/>
  <c r="AS2292" i="10"/>
  <c r="AV2292" i="10"/>
  <c r="AM2292" i="10"/>
  <c r="AT2292" i="10"/>
  <c r="AU2292" i="10"/>
  <c r="AQ2292" i="10"/>
  <c r="AN2292" i="10"/>
  <c r="AJ2292" i="10"/>
  <c r="AL2292" i="10"/>
  <c r="AU2261" i="10"/>
  <c r="AL2261" i="10"/>
  <c r="AR2261" i="10"/>
  <c r="AP2261" i="10"/>
  <c r="AT2261" i="10"/>
  <c r="AO2261" i="10"/>
  <c r="AM2261" i="10"/>
  <c r="AJ2261" i="10"/>
  <c r="AS2261" i="10"/>
  <c r="AV2261" i="10"/>
  <c r="AW2261" i="10"/>
  <c r="AX2261" i="10"/>
  <c r="AQ2261" i="10"/>
  <c r="AK2261" i="10"/>
  <c r="AN2261" i="10"/>
  <c r="AN2172" i="10"/>
  <c r="AL2172" i="10"/>
  <c r="AR2172" i="10"/>
  <c r="AS2172" i="10"/>
  <c r="AM2172" i="10"/>
  <c r="AP2172" i="10"/>
  <c r="AO2172" i="10"/>
  <c r="AJ2172" i="10"/>
  <c r="AX2172" i="10"/>
  <c r="AQ2172" i="10"/>
  <c r="AT2172" i="10"/>
  <c r="AV2172" i="10"/>
  <c r="AW2172" i="10"/>
  <c r="AK2172" i="10"/>
  <c r="AU2172" i="10"/>
  <c r="AL2147" i="10"/>
  <c r="AK2147" i="10"/>
  <c r="AJ2147" i="10"/>
  <c r="AS2147" i="10"/>
  <c r="AV2132" i="10"/>
  <c r="AT2132" i="10"/>
  <c r="AS2132" i="10"/>
  <c r="AJ2132" i="10"/>
  <c r="AK2132" i="10"/>
  <c r="AQ2132" i="10"/>
  <c r="AP2132" i="10"/>
  <c r="AX2132" i="10"/>
  <c r="AR2132" i="10"/>
  <c r="AW2132" i="10"/>
  <c r="AO2132" i="10"/>
  <c r="AL2132" i="10"/>
  <c r="AN2132" i="10"/>
  <c r="AM2132" i="10"/>
  <c r="AU2132" i="10"/>
  <c r="AO2082" i="10"/>
  <c r="AS2082" i="10"/>
  <c r="AN2082" i="10"/>
  <c r="AP2082" i="10"/>
  <c r="AK2082" i="10"/>
  <c r="AJ2082" i="10"/>
  <c r="AX2082" i="10"/>
  <c r="AR2082" i="10"/>
  <c r="AL2082" i="10"/>
  <c r="AM2082" i="10"/>
  <c r="AX2042" i="10"/>
  <c r="AV2042" i="10"/>
  <c r="AU2042" i="10"/>
  <c r="AQ2042" i="10"/>
  <c r="AK2042" i="10"/>
  <c r="AW2042" i="10"/>
  <c r="AS2042" i="10"/>
  <c r="AN2042" i="10"/>
  <c r="AT2042" i="10"/>
  <c r="AT2001" i="10"/>
  <c r="AX2001" i="10"/>
  <c r="AO2001" i="10"/>
  <c r="AU2001" i="10"/>
  <c r="AW2001" i="10"/>
  <c r="AK2001" i="10"/>
  <c r="AM2001" i="10"/>
  <c r="AV2001" i="10"/>
  <c r="AJ2001" i="10"/>
  <c r="AQ2001" i="10"/>
  <c r="AN2001" i="10"/>
  <c r="AR2001" i="10"/>
  <c r="AU1973" i="10"/>
  <c r="AW1973" i="10"/>
  <c r="AL1973" i="10"/>
  <c r="AR1973" i="10"/>
  <c r="AM1973" i="10"/>
  <c r="AQ1973" i="10"/>
  <c r="AJ1973" i="10"/>
  <c r="AN1973" i="10"/>
  <c r="AT1973" i="10"/>
  <c r="AU1920" i="10"/>
  <c r="AP1920" i="10"/>
  <c r="AV1920" i="10"/>
  <c r="AL1920" i="10"/>
  <c r="AK1920" i="10"/>
  <c r="AN1920" i="10"/>
  <c r="AM1920" i="10"/>
  <c r="AW1920" i="10"/>
  <c r="AR1920" i="10"/>
  <c r="AS1920" i="10"/>
  <c r="AJ1920" i="10"/>
  <c r="AT1920" i="10"/>
  <c r="AO1920" i="10"/>
  <c r="AQ1920" i="10"/>
  <c r="AX1920" i="10"/>
  <c r="AP1894" i="10"/>
  <c r="AW1894" i="10"/>
  <c r="AM1894" i="10"/>
  <c r="AR1894" i="10"/>
  <c r="AO1894" i="10"/>
  <c r="AT1894" i="10"/>
  <c r="AX1894" i="10"/>
  <c r="AQ1894" i="10"/>
  <c r="AL1894" i="10"/>
  <c r="AU1894" i="10"/>
  <c r="AK1894" i="10"/>
  <c r="AJ1894" i="10"/>
  <c r="AV1894" i="10"/>
  <c r="AL1788" i="10"/>
  <c r="AM1788" i="10"/>
  <c r="AU1788" i="10"/>
  <c r="AN1788" i="10"/>
  <c r="AT1788" i="10"/>
  <c r="AV1788" i="10"/>
  <c r="AO1788" i="10"/>
  <c r="AS1788" i="10"/>
  <c r="AW1788" i="10"/>
  <c r="AX1788" i="10"/>
  <c r="AQ1788" i="10"/>
  <c r="AP1788" i="10"/>
  <c r="AK1788" i="10"/>
  <c r="AR1788" i="10"/>
  <c r="AJ1788" i="10"/>
  <c r="AR1772" i="10"/>
  <c r="AU1772" i="10"/>
  <c r="AK1772" i="10"/>
  <c r="AJ1772" i="10"/>
  <c r="AL1772" i="10"/>
  <c r="AX1772" i="10"/>
  <c r="AS1772" i="10"/>
  <c r="AO1772" i="10"/>
  <c r="AP1772" i="10"/>
  <c r="AQ1772" i="10"/>
  <c r="AW1772" i="10"/>
  <c r="AM1772" i="10"/>
  <c r="AN1772" i="10"/>
  <c r="AT1772" i="10"/>
  <c r="AU1739" i="10"/>
  <c r="AV1739" i="10"/>
  <c r="AM1739" i="10"/>
  <c r="AJ1739" i="10"/>
  <c r="AL1739" i="10"/>
  <c r="AX1739" i="10"/>
  <c r="AQ1739" i="10"/>
  <c r="AT1739" i="10"/>
  <c r="AN1739" i="10"/>
  <c r="AK1739" i="10"/>
  <c r="AP1739" i="10"/>
  <c r="AO1739" i="10"/>
  <c r="AW1739" i="10"/>
  <c r="AR1739" i="10"/>
  <c r="AS1739" i="10"/>
  <c r="AQ1725" i="10"/>
  <c r="AV1725" i="10"/>
  <c r="AP1725" i="10"/>
  <c r="AM1725" i="10"/>
  <c r="AN1725" i="10"/>
  <c r="AR1725" i="10"/>
  <c r="AO1725" i="10"/>
  <c r="AJ1725" i="10"/>
  <c r="AS1725" i="10"/>
  <c r="AT1725" i="10"/>
  <c r="AL1725" i="10"/>
  <c r="AK1725" i="10"/>
  <c r="AU1725" i="10"/>
  <c r="AK1679" i="10"/>
  <c r="AU1679" i="10"/>
  <c r="AP1679" i="10"/>
  <c r="AR1679" i="10"/>
  <c r="AV1679" i="10"/>
  <c r="AT1679" i="10"/>
  <c r="AQ1679" i="10"/>
  <c r="AL1679" i="10"/>
  <c r="AS1679" i="10"/>
  <c r="AM1679" i="10"/>
  <c r="AN1679" i="10"/>
  <c r="AO1679" i="10"/>
  <c r="AJ1679" i="10"/>
  <c r="AM1600" i="10"/>
  <c r="AR1600" i="10"/>
  <c r="AV1600" i="10"/>
  <c r="AP1600" i="10"/>
  <c r="AJ1600" i="10"/>
  <c r="AX1600" i="10"/>
  <c r="AM1523" i="10"/>
  <c r="AK1523" i="10"/>
  <c r="AT1523" i="10"/>
  <c r="AW1523" i="10"/>
  <c r="AP1523" i="10"/>
  <c r="AU1523" i="10"/>
  <c r="AL1523" i="10"/>
  <c r="AN1523" i="10"/>
  <c r="AR1523" i="10"/>
  <c r="AS1523" i="10"/>
  <c r="AJ1523" i="10"/>
  <c r="AV1523" i="10"/>
  <c r="AX1523" i="10"/>
  <c r="AL1513" i="10"/>
  <c r="AN1513" i="10"/>
  <c r="AV1513" i="10"/>
  <c r="AS1513" i="10"/>
  <c r="AM1513" i="10"/>
  <c r="AO1481" i="10"/>
  <c r="AS1481" i="10"/>
  <c r="AT1481" i="10"/>
  <c r="AX1481" i="10"/>
  <c r="AN1481" i="10"/>
  <c r="AW1481" i="10"/>
  <c r="AQ1481" i="10"/>
  <c r="AU1481" i="10"/>
  <c r="AM1481" i="10"/>
  <c r="AV1481" i="10"/>
  <c r="AP1481" i="10"/>
  <c r="AL1481" i="10"/>
  <c r="AR1481" i="10"/>
  <c r="AK1481" i="10"/>
  <c r="AU1461" i="10"/>
  <c r="AO1461" i="10"/>
  <c r="AN1461" i="10"/>
  <c r="AP1461" i="10"/>
  <c r="AJ1461" i="10"/>
  <c r="AQ1461" i="10"/>
  <c r="AV1461" i="10"/>
  <c r="AL1461" i="10"/>
  <c r="AM1461" i="10"/>
  <c r="AT1461" i="10"/>
  <c r="AK1461" i="10"/>
  <c r="AR1461" i="10"/>
  <c r="AS1461" i="10"/>
  <c r="AS1440" i="10"/>
  <c r="AR1440" i="10"/>
  <c r="AO1440" i="10"/>
  <c r="AU1440" i="10"/>
  <c r="AX1440" i="10"/>
  <c r="AJ1440" i="10"/>
  <c r="AV1440" i="10"/>
  <c r="AN1440" i="10"/>
  <c r="AK1440" i="10"/>
  <c r="AM1440" i="10"/>
  <c r="AQ1440" i="10"/>
  <c r="AP1440" i="10"/>
  <c r="AX1418" i="10"/>
  <c r="AN1418" i="10"/>
  <c r="AP1418" i="10"/>
  <c r="AS1418" i="10"/>
  <c r="AM1418" i="10"/>
  <c r="AW1418" i="10"/>
  <c r="AQ1418" i="10"/>
  <c r="AR1418" i="10"/>
  <c r="AL1418" i="10"/>
  <c r="AV1418" i="10"/>
  <c r="AT1418" i="10"/>
  <c r="AJ1418" i="10"/>
  <c r="AO1418" i="10"/>
  <c r="AK1418" i="10"/>
  <c r="AU1418" i="10"/>
  <c r="AR1386" i="10"/>
  <c r="AK1386" i="10"/>
  <c r="AV1386" i="10"/>
  <c r="AQ1386" i="10"/>
  <c r="AO1386" i="10"/>
  <c r="AU1386" i="10"/>
  <c r="AP1386" i="10"/>
  <c r="AT1386" i="10"/>
  <c r="AX1386" i="10"/>
  <c r="AS1386" i="10"/>
  <c r="AM1386" i="10"/>
  <c r="AJ1386" i="10"/>
  <c r="AN1386" i="10"/>
  <c r="AL1386" i="10"/>
  <c r="AW1386" i="10"/>
  <c r="AT1362" i="10"/>
  <c r="AJ1362" i="10"/>
  <c r="AO1362" i="10"/>
  <c r="AK1362" i="10"/>
  <c r="AX1362" i="10"/>
  <c r="AV1362" i="10"/>
  <c r="AW1362" i="10"/>
  <c r="AS1362" i="10"/>
  <c r="AM1362" i="10"/>
  <c r="AQ1362" i="10"/>
  <c r="AL1362" i="10"/>
  <c r="AN1362" i="10"/>
  <c r="AP1362" i="10"/>
  <c r="AU1362" i="10"/>
  <c r="AW1291" i="10"/>
  <c r="AO1291" i="10"/>
  <c r="AJ1291" i="10"/>
  <c r="AL1291" i="10"/>
  <c r="AS1291" i="10"/>
  <c r="AR1291" i="10"/>
  <c r="AM1291" i="10"/>
  <c r="AN1291" i="10"/>
  <c r="AX1291" i="10"/>
  <c r="AQ1291" i="10"/>
  <c r="AU1291" i="10"/>
  <c r="AP1291" i="10"/>
  <c r="AK1291" i="10"/>
  <c r="AV1291" i="10"/>
  <c r="AV1214" i="10"/>
  <c r="AT1214" i="10"/>
  <c r="AO1214" i="10"/>
  <c r="AJ1214" i="10"/>
  <c r="AL1214" i="10"/>
  <c r="AX1214" i="10"/>
  <c r="AU1214" i="10"/>
  <c r="AS1214" i="10"/>
  <c r="AN1214" i="10"/>
  <c r="AR1214" i="10"/>
  <c r="AK1214" i="10"/>
  <c r="AW1214" i="10"/>
  <c r="AP1214" i="10"/>
  <c r="AM1214" i="10"/>
  <c r="AQ1214" i="10"/>
  <c r="AM1197" i="10"/>
  <c r="AR1197" i="10"/>
  <c r="AN1197" i="10"/>
  <c r="AO1197" i="10"/>
  <c r="AU1197" i="10"/>
  <c r="AP1197" i="10"/>
  <c r="AX1197" i="10"/>
  <c r="AW1197" i="10"/>
  <c r="AQ1197" i="10"/>
  <c r="AS1197" i="10"/>
  <c r="AK1197" i="10"/>
  <c r="AJ1197" i="10"/>
  <c r="AT1197" i="10"/>
  <c r="AV1197" i="10"/>
  <c r="AL1197" i="10"/>
  <c r="AV1160" i="10"/>
  <c r="AL1160" i="10"/>
  <c r="AP1160" i="10"/>
  <c r="AK1160" i="10"/>
  <c r="AU1160" i="10"/>
  <c r="AM1160" i="10"/>
  <c r="AW1160" i="10"/>
  <c r="AQ1160" i="10"/>
  <c r="AX1160" i="10"/>
  <c r="AN1160" i="10"/>
  <c r="AJ1160" i="10"/>
  <c r="AO1160" i="10"/>
  <c r="AT1120" i="10"/>
  <c r="AP1120" i="10"/>
  <c r="AV1120" i="10"/>
  <c r="AN1120" i="10"/>
  <c r="AW1120" i="10"/>
  <c r="AS1120" i="10"/>
  <c r="AU1120" i="10"/>
  <c r="AO1120" i="10"/>
  <c r="AR1120" i="10"/>
  <c r="AQ1120" i="10"/>
  <c r="AK1120" i="10"/>
  <c r="AL1120" i="10"/>
  <c r="AX1120" i="10"/>
  <c r="AJ1120" i="10"/>
  <c r="AM1120" i="10"/>
  <c r="AJ1065" i="10"/>
  <c r="AV1065" i="10"/>
  <c r="AR1048" i="10"/>
  <c r="AQ1048" i="10"/>
  <c r="AT1048" i="10"/>
  <c r="AJ1048" i="10"/>
  <c r="AM1048" i="10"/>
  <c r="AO1048" i="10"/>
  <c r="AX1048" i="10"/>
  <c r="AK1048" i="10"/>
  <c r="AS1048" i="10"/>
  <c r="AV1048" i="10"/>
  <c r="AP1048" i="10"/>
  <c r="AW1048" i="10"/>
  <c r="AU1048" i="10"/>
  <c r="AL1048" i="10"/>
  <c r="AN1048" i="10"/>
  <c r="AX1032" i="10"/>
  <c r="AK1032" i="10"/>
  <c r="AP1032" i="10"/>
  <c r="AR1032" i="10"/>
  <c r="AT1032" i="10"/>
  <c r="AN1032" i="10"/>
  <c r="AU1032" i="10"/>
  <c r="AW1032" i="10"/>
  <c r="AS1032" i="10"/>
  <c r="AJ1032" i="10"/>
  <c r="AR1009" i="10"/>
  <c r="AQ1009" i="10"/>
  <c r="AP1009" i="10"/>
  <c r="AW1009" i="10"/>
  <c r="AU1009" i="10"/>
  <c r="AV1009" i="10"/>
  <c r="AM1009" i="10"/>
  <c r="AS1009" i="10"/>
  <c r="AN1009" i="10"/>
  <c r="AO1009" i="10"/>
  <c r="AK1009" i="10"/>
  <c r="AJ1009" i="10"/>
  <c r="AL1009" i="10"/>
  <c r="AO986" i="10"/>
  <c r="AV986" i="10"/>
  <c r="AX986" i="10"/>
  <c r="AN986" i="10"/>
  <c r="AW986" i="10"/>
  <c r="AK986" i="10"/>
  <c r="AU986" i="10"/>
  <c r="AQ986" i="10"/>
  <c r="AL986" i="10"/>
  <c r="AT986" i="10"/>
  <c r="AJ986" i="10"/>
  <c r="AP986" i="10"/>
  <c r="AR986" i="10"/>
  <c r="AM986" i="10"/>
  <c r="AS986" i="10"/>
  <c r="AO957" i="10"/>
  <c r="AK957" i="10"/>
  <c r="AX957" i="10"/>
  <c r="AS957" i="10"/>
  <c r="AQ957" i="10"/>
  <c r="AW957" i="10"/>
  <c r="AR957" i="10"/>
  <c r="AU957" i="10"/>
  <c r="AL957" i="10"/>
  <c r="AP957" i="10"/>
  <c r="AT957" i="10"/>
  <c r="AJ957" i="10"/>
  <c r="AV957" i="10"/>
  <c r="AM957" i="10"/>
  <c r="AN957" i="10"/>
  <c r="AS946" i="10"/>
  <c r="AQ946" i="10"/>
  <c r="AN946" i="10"/>
  <c r="AX946" i="10"/>
  <c r="AW946" i="10"/>
  <c r="AV946" i="10"/>
  <c r="AO946" i="10"/>
  <c r="AM946" i="10"/>
  <c r="AL946" i="10"/>
  <c r="AU946" i="10"/>
  <c r="AK946" i="10"/>
  <c r="AR946" i="10"/>
  <c r="AP946" i="10"/>
  <c r="AJ946" i="10"/>
  <c r="AT946" i="10"/>
  <c r="AO928" i="10"/>
  <c r="AT928" i="10"/>
  <c r="AX928" i="10"/>
  <c r="AW928" i="10"/>
  <c r="AU928" i="10"/>
  <c r="L107" i="45"/>
  <c r="AQ928" i="10"/>
  <c r="AK928" i="10"/>
  <c r="L128" i="45"/>
  <c r="AP928" i="10"/>
  <c r="AN928" i="10"/>
  <c r="AR928" i="10"/>
  <c r="AV928" i="10"/>
  <c r="AL928" i="10"/>
  <c r="AS928" i="10"/>
  <c r="AP908" i="10"/>
  <c r="AX908" i="10"/>
  <c r="AL908" i="10"/>
  <c r="AW908" i="10"/>
  <c r="AJ908" i="10"/>
  <c r="AS908" i="10"/>
  <c r="AU908" i="10"/>
  <c r="AQ908" i="10"/>
  <c r="AM908" i="10"/>
  <c r="AT908" i="10"/>
  <c r="AO908" i="10"/>
  <c r="AR908" i="10"/>
  <c r="AV908" i="10"/>
  <c r="AX898" i="10"/>
  <c r="AK898" i="10"/>
  <c r="AJ898" i="10"/>
  <c r="AW898" i="10"/>
  <c r="AX868" i="10"/>
  <c r="AO868" i="10"/>
  <c r="AU868" i="10"/>
  <c r="AS868" i="10"/>
  <c r="AJ868" i="10"/>
  <c r="AR868" i="10"/>
  <c r="AL868" i="10"/>
  <c r="AP868" i="10"/>
  <c r="AQ868" i="10"/>
  <c r="AK868" i="10"/>
  <c r="AN868" i="10"/>
  <c r="AX836" i="10"/>
  <c r="AK836" i="10"/>
  <c r="AW836" i="10"/>
  <c r="AJ836" i="10"/>
  <c r="AM801" i="10"/>
  <c r="AU801" i="10"/>
  <c r="AN801" i="10"/>
  <c r="AW801" i="10"/>
  <c r="AX801" i="10"/>
  <c r="AS801" i="10"/>
  <c r="AL801" i="10"/>
  <c r="AO801" i="10"/>
  <c r="AK801" i="10"/>
  <c r="AV801" i="10"/>
  <c r="AP801" i="10"/>
  <c r="AR801" i="10"/>
  <c r="AJ801" i="10"/>
  <c r="AT801" i="10"/>
  <c r="AW794" i="10"/>
  <c r="AX794" i="10"/>
  <c r="AJ794" i="10"/>
  <c r="AK794" i="10"/>
  <c r="AX772" i="10"/>
  <c r="AW772" i="10"/>
  <c r="L127" i="45"/>
  <c r="P127" i="45"/>
  <c r="AK772" i="10"/>
  <c r="AJ772" i="10"/>
  <c r="AX738" i="10"/>
  <c r="AK738" i="10"/>
  <c r="AT2525" i="10"/>
  <c r="AM2525" i="10"/>
  <c r="AO2525" i="10"/>
  <c r="AQ2525" i="10"/>
  <c r="AU2525" i="10"/>
  <c r="AW2525" i="10"/>
  <c r="AN2525" i="10"/>
  <c r="AS2525" i="10"/>
  <c r="AR2525" i="10"/>
  <c r="AK2525" i="10"/>
  <c r="AX2525" i="10"/>
  <c r="AV2525" i="10"/>
  <c r="AJ2525" i="10"/>
  <c r="AP2525" i="10"/>
  <c r="AQ2430" i="10"/>
  <c r="AV2430" i="10"/>
  <c r="AU2430" i="10"/>
  <c r="AM2430" i="10"/>
  <c r="AV2256" i="10"/>
  <c r="AJ2256" i="10"/>
  <c r="AK2256" i="10"/>
  <c r="Y34" i="45"/>
  <c r="W43" i="45"/>
  <c r="Y7" i="45"/>
  <c r="U34" i="45"/>
  <c r="W10" i="43" s="1"/>
  <c r="W7" i="45"/>
  <c r="AT2114" i="10"/>
  <c r="AP2114" i="10"/>
  <c r="AL2114" i="10"/>
  <c r="AQ2114" i="10"/>
  <c r="AJ2114" i="10"/>
  <c r="AW1851" i="10"/>
  <c r="AK1851" i="10"/>
  <c r="AS1851" i="10"/>
  <c r="AT1851" i="10"/>
  <c r="AM1851" i="10"/>
  <c r="AU1851" i="10"/>
  <c r="AP1851" i="10"/>
  <c r="AL1851" i="10"/>
  <c r="AO1851" i="10"/>
  <c r="AX1851" i="10"/>
  <c r="AV1851" i="10"/>
  <c r="AJ1851" i="10"/>
  <c r="AN1851" i="10"/>
  <c r="AR1851" i="10"/>
  <c r="AQ1851" i="10"/>
  <c r="AN1763" i="10"/>
  <c r="AQ1763" i="10"/>
  <c r="AO1763" i="10"/>
  <c r="AV1763" i="10"/>
  <c r="AM1763" i="10"/>
  <c r="AJ1763" i="10"/>
  <c r="AR1689" i="10"/>
  <c r="AU1689" i="10"/>
  <c r="AO1689" i="10"/>
  <c r="AT1689" i="10"/>
  <c r="AJ1689" i="10"/>
  <c r="AQ1689" i="10"/>
  <c r="AS1689" i="10"/>
  <c r="AN1689" i="10"/>
  <c r="AL1689" i="10"/>
  <c r="AM1689" i="10"/>
  <c r="AV1689" i="10"/>
  <c r="AV1604" i="10"/>
  <c r="AM1604" i="10"/>
  <c r="AO1604" i="10"/>
  <c r="AN1604" i="10"/>
  <c r="AS1604" i="10"/>
  <c r="AJ1604" i="10"/>
  <c r="AW1604" i="10"/>
  <c r="AK1528" i="10"/>
  <c r="AN1528" i="10"/>
  <c r="AQ1528" i="10"/>
  <c r="AO1528" i="10"/>
  <c r="AR1528" i="10"/>
  <c r="AX1528" i="10"/>
  <c r="AP1528" i="10"/>
  <c r="AV1528" i="10"/>
  <c r="AL1528" i="10"/>
  <c r="AT1528" i="10"/>
  <c r="AM1528" i="10"/>
  <c r="AS1528" i="10"/>
  <c r="AW1528" i="10"/>
  <c r="AU1528" i="10"/>
  <c r="AJ1528" i="10"/>
  <c r="AS1350" i="10"/>
  <c r="AJ1350" i="10"/>
  <c r="AP1350" i="10"/>
  <c r="AT1252" i="10"/>
  <c r="AU1252" i="10"/>
  <c r="AN1252" i="10"/>
  <c r="AM1252" i="10"/>
  <c r="AQ1252" i="10"/>
  <c r="AP1252" i="10"/>
  <c r="AW1252" i="10"/>
  <c r="AV1252" i="10"/>
  <c r="AR1252" i="10"/>
  <c r="AX1252" i="10"/>
  <c r="AL1252" i="10"/>
  <c r="AO1252" i="10"/>
  <c r="AJ1252" i="10"/>
  <c r="AS1252" i="10"/>
  <c r="AK1252" i="10"/>
  <c r="AN1148" i="10"/>
  <c r="AW1148" i="10"/>
  <c r="AX1148" i="10"/>
  <c r="AU1148" i="10"/>
  <c r="AO1148" i="10"/>
  <c r="AV1148" i="10"/>
  <c r="AM1148" i="10"/>
  <c r="AT1148" i="10"/>
  <c r="AQ1148" i="10"/>
  <c r="AK1148" i="10"/>
  <c r="AP1148" i="10"/>
  <c r="AR1148" i="10"/>
  <c r="AS1148" i="10"/>
  <c r="AJ1148" i="10"/>
  <c r="AM858" i="10"/>
  <c r="AW858" i="10"/>
  <c r="AJ858" i="10"/>
  <c r="AX858" i="10"/>
  <c r="AK858" i="10"/>
  <c r="AL858" i="10"/>
  <c r="AO858" i="10"/>
  <c r="AR858" i="10"/>
  <c r="AN858" i="10"/>
  <c r="AV858" i="10"/>
  <c r="AP858" i="10"/>
  <c r="AX2655" i="10"/>
  <c r="AM2655" i="10"/>
  <c r="AK2655" i="10"/>
  <c r="AV2655" i="10"/>
  <c r="AR2655" i="10"/>
  <c r="AT2655" i="10"/>
  <c r="AP2655" i="10"/>
  <c r="AS2655" i="10"/>
  <c r="AL2655" i="10"/>
  <c r="AO2655" i="10"/>
  <c r="AQ2655" i="10"/>
  <c r="AN2655" i="10"/>
  <c r="AW2655" i="10"/>
  <c r="AJ2655" i="10"/>
  <c r="AU2655" i="10"/>
  <c r="AK2396" i="10"/>
  <c r="AS2396" i="10"/>
  <c r="AM2396" i="10"/>
  <c r="AQ2396" i="10"/>
  <c r="AL2396" i="10"/>
  <c r="AP2396" i="10"/>
  <c r="AW2396" i="10"/>
  <c r="AU2396" i="10"/>
  <c r="AO2396" i="10"/>
  <c r="AX2396" i="10"/>
  <c r="AT2396" i="10"/>
  <c r="AJ2396" i="10"/>
  <c r="AR2396" i="10"/>
  <c r="AN2396" i="10"/>
  <c r="AV2396" i="10"/>
  <c r="AQ1738" i="10"/>
  <c r="AS1738" i="10"/>
  <c r="AR1738" i="10"/>
  <c r="AN1738" i="10"/>
  <c r="AK1738" i="10"/>
  <c r="AV1738" i="10"/>
  <c r="AT1738" i="10"/>
  <c r="AJ1738" i="10"/>
  <c r="AU1738" i="10"/>
  <c r="AP1738" i="10"/>
  <c r="AL1738" i="10"/>
  <c r="AW1738" i="10"/>
  <c r="AM1738" i="10"/>
  <c r="AX1738" i="10"/>
  <c r="AO1738" i="10"/>
  <c r="AL1688" i="10"/>
  <c r="AT1688" i="10"/>
  <c r="AR1688" i="10"/>
  <c r="AV1688" i="10"/>
  <c r="AQ1688" i="10"/>
  <c r="AO1688" i="10"/>
  <c r="AP1688" i="10"/>
  <c r="AS1688" i="10"/>
  <c r="AU1688" i="10"/>
  <c r="AJ1688" i="10"/>
  <c r="AM1688" i="10"/>
  <c r="AK1688" i="10"/>
  <c r="AN1688" i="10"/>
  <c r="AK1580" i="10"/>
  <c r="AR1580" i="10"/>
  <c r="AU1580" i="10"/>
  <c r="AT1580" i="10"/>
  <c r="AL1580" i="10"/>
  <c r="AN1580" i="10"/>
  <c r="AV1580" i="10"/>
  <c r="AM1580" i="10"/>
  <c r="AJ1580" i="10"/>
  <c r="AO1580" i="10"/>
  <c r="AP1580" i="10"/>
  <c r="AX1465" i="10"/>
  <c r="AL1465" i="10"/>
  <c r="AT1465" i="10"/>
  <c r="AS1465" i="10"/>
  <c r="AW1465" i="10"/>
  <c r="AJ1465" i="10"/>
  <c r="AR1465" i="10"/>
  <c r="AU1465" i="10"/>
  <c r="AQ1465" i="10"/>
  <c r="AV1465" i="10"/>
  <c r="AK1465" i="10"/>
  <c r="AO1465" i="10"/>
  <c r="AM1465" i="10"/>
  <c r="AN1465" i="10"/>
  <c r="AP1465" i="10"/>
  <c r="AP1439" i="10"/>
  <c r="AJ1439" i="10"/>
  <c r="AN1439" i="10"/>
  <c r="AQ1439" i="10"/>
  <c r="AX1439" i="10"/>
  <c r="AL1439" i="10"/>
  <c r="AT1439" i="10"/>
  <c r="AK1439" i="10"/>
  <c r="AV1439" i="10"/>
  <c r="AM1439" i="10"/>
  <c r="AW1439" i="10"/>
  <c r="AR1439" i="10"/>
  <c r="AO1439" i="10"/>
  <c r="AS1439" i="10"/>
  <c r="AU1439" i="10"/>
  <c r="AL1367" i="10"/>
  <c r="AO1367" i="10"/>
  <c r="AP1367" i="10"/>
  <c r="AK1367" i="10"/>
  <c r="AU1367" i="10"/>
  <c r="AX1367" i="10"/>
  <c r="AT1367" i="10"/>
  <c r="AS1367" i="10"/>
  <c r="AM1367" i="10"/>
  <c r="AN1367" i="10"/>
  <c r="AV1367" i="10"/>
  <c r="AQ1367" i="10"/>
  <c r="AR1367" i="10"/>
  <c r="AJ1367" i="10"/>
  <c r="AW1367" i="10"/>
  <c r="AT1290" i="10"/>
  <c r="AN1290" i="10"/>
  <c r="AU1290" i="10"/>
  <c r="AK1290" i="10"/>
  <c r="AX1290" i="10"/>
  <c r="AW1290" i="10"/>
  <c r="AV1290" i="10"/>
  <c r="AM1290" i="10"/>
  <c r="AS1290" i="10"/>
  <c r="AL1290" i="10"/>
  <c r="AR1290" i="10"/>
  <c r="AU1257" i="10"/>
  <c r="AV1257" i="10"/>
  <c r="AR1257" i="10"/>
  <c r="AK1257" i="10"/>
  <c r="AT1257" i="10"/>
  <c r="AJ1257" i="10"/>
  <c r="AX1257" i="10"/>
  <c r="AW1257" i="10"/>
  <c r="AP1257" i="10"/>
  <c r="AO1257" i="10"/>
  <c r="AN1257" i="10"/>
  <c r="AS1257" i="10"/>
  <c r="AM1257" i="10"/>
  <c r="AQ1257" i="10"/>
  <c r="AL1257" i="10"/>
  <c r="AN1196" i="10"/>
  <c r="AW1196" i="10"/>
  <c r="AL1196" i="10"/>
  <c r="AP1196" i="10"/>
  <c r="AR1196" i="10"/>
  <c r="AM1196" i="10"/>
  <c r="AJ1196" i="10"/>
  <c r="AU1196" i="10"/>
  <c r="AV1196" i="10"/>
  <c r="AQ1196" i="10"/>
  <c r="AO1196" i="10"/>
  <c r="AX1196" i="10"/>
  <c r="AL1114" i="10"/>
  <c r="AT1114" i="10"/>
  <c r="AQ1114" i="10"/>
  <c r="AR1114" i="10"/>
  <c r="AW1114" i="10"/>
  <c r="AN1114" i="10"/>
  <c r="AS1114" i="10"/>
  <c r="AV1114" i="10"/>
  <c r="AO1114" i="10"/>
  <c r="AP1114" i="10"/>
  <c r="AK1114" i="10"/>
  <c r="AX1114" i="10"/>
  <c r="AM1114" i="10"/>
  <c r="AJ1114" i="10"/>
  <c r="AW1070" i="10"/>
  <c r="AK1070" i="10"/>
  <c r="AL1070" i="10"/>
  <c r="AQ1070" i="10"/>
  <c r="AS1070" i="10"/>
  <c r="AJ1070" i="10"/>
  <c r="AM1070" i="10"/>
  <c r="AX1070" i="10"/>
  <c r="AN1070" i="10"/>
  <c r="AR1070" i="10"/>
  <c r="AU1070" i="10"/>
  <c r="AP1070" i="10"/>
  <c r="AV1070" i="10"/>
  <c r="AW1008" i="10"/>
  <c r="AX1008" i="10"/>
  <c r="AR1008" i="10"/>
  <c r="AS1008" i="10"/>
  <c r="AM1008" i="10"/>
  <c r="AQ1008" i="10"/>
  <c r="AU1008" i="10"/>
  <c r="AK1008" i="10"/>
  <c r="AP1008" i="10"/>
  <c r="AJ1008" i="10"/>
  <c r="AV1008" i="10"/>
  <c r="AL1008" i="10"/>
  <c r="AO1008" i="10"/>
  <c r="AT1008" i="10"/>
  <c r="AN1008" i="10"/>
  <c r="C130" i="45"/>
  <c r="AO817" i="10"/>
  <c r="AV817" i="10"/>
  <c r="AV868" i="10"/>
  <c r="AJ928" i="10"/>
  <c r="AJ2645" i="10"/>
  <c r="AT2683" i="10"/>
  <c r="AW1585" i="10"/>
  <c r="AR2125" i="10"/>
  <c r="AR1362" i="10"/>
  <c r="AU2349" i="10"/>
  <c r="AP2663" i="10"/>
  <c r="AT2663" i="10"/>
  <c r="AQ2663" i="10"/>
  <c r="AR2663" i="10"/>
  <c r="AS2663" i="10"/>
  <c r="AN2663" i="10"/>
  <c r="AL2663" i="10"/>
  <c r="AJ2663" i="10"/>
  <c r="AW2663" i="10"/>
  <c r="AW2602" i="10"/>
  <c r="AQ2602" i="10"/>
  <c r="AV2602" i="10"/>
  <c r="AR2602" i="10"/>
  <c r="AS2602" i="10"/>
  <c r="AT2602" i="10"/>
  <c r="AL2602" i="10"/>
  <c r="AP2602" i="10"/>
  <c r="AK2602" i="10"/>
  <c r="AN2602" i="10"/>
  <c r="AM2602" i="10"/>
  <c r="AJ2602" i="10"/>
  <c r="AO2602" i="10"/>
  <c r="AU2602" i="10"/>
  <c r="AX2602" i="10"/>
  <c r="AT2586" i="10"/>
  <c r="AL2586" i="10"/>
  <c r="AR2586" i="10"/>
  <c r="AS2586" i="10"/>
  <c r="AV2586" i="10"/>
  <c r="AO2586" i="10"/>
  <c r="AN2586" i="10"/>
  <c r="AP2586" i="10"/>
  <c r="AJ2586" i="10"/>
  <c r="AM2586" i="10"/>
  <c r="AW2531" i="10"/>
  <c r="AX2531" i="10"/>
  <c r="AL2531" i="10"/>
  <c r="AN2531" i="10"/>
  <c r="AR2531" i="10"/>
  <c r="AP2531" i="10"/>
  <c r="AT2531" i="10"/>
  <c r="AJ2531" i="10"/>
  <c r="AU2531" i="10"/>
  <c r="AK2531" i="10"/>
  <c r="AQ2531" i="10"/>
  <c r="AM2531" i="10"/>
  <c r="AO2531" i="10"/>
  <c r="AS2531" i="10"/>
  <c r="AV2531" i="10"/>
  <c r="AN2510" i="10"/>
  <c r="AM2510" i="10"/>
  <c r="AQ2510" i="10"/>
  <c r="AL2510" i="10"/>
  <c r="AJ2510" i="10"/>
  <c r="AW2485" i="10"/>
  <c r="AS2485" i="10"/>
  <c r="AQ2485" i="10"/>
  <c r="AO2485" i="10"/>
  <c r="AK2474" i="10"/>
  <c r="AW2474" i="10"/>
  <c r="AM2474" i="10"/>
  <c r="AJ2474" i="10"/>
  <c r="AV2474" i="10"/>
  <c r="AX2474" i="10"/>
  <c r="AT2474" i="10"/>
  <c r="AR2474" i="10"/>
  <c r="AP2474" i="10"/>
  <c r="AU2474" i="10"/>
  <c r="AS2474" i="10"/>
  <c r="AO2474" i="10"/>
  <c r="AN2474" i="10"/>
  <c r="AQ2474" i="10"/>
  <c r="AP2412" i="10"/>
  <c r="AR2412" i="10"/>
  <c r="AV2412" i="10"/>
  <c r="AQ2412" i="10"/>
  <c r="AM2412" i="10"/>
  <c r="AL2412" i="10"/>
  <c r="AO2412" i="10"/>
  <c r="AK2412" i="10"/>
  <c r="AU2412" i="10"/>
  <c r="AJ2412" i="10"/>
  <c r="AW2412" i="10"/>
  <c r="AT2412" i="10"/>
  <c r="AX2412" i="10"/>
  <c r="AN2412" i="10"/>
  <c r="AX2391" i="10"/>
  <c r="AP2391" i="10"/>
  <c r="AL2391" i="10"/>
  <c r="AS2391" i="10"/>
  <c r="AQ2391" i="10"/>
  <c r="AV2391" i="10"/>
  <c r="AK2391" i="10"/>
  <c r="AU2391" i="10"/>
  <c r="AJ2391" i="10"/>
  <c r="AR2391" i="10"/>
  <c r="AN2391" i="10"/>
  <c r="AT2391" i="10"/>
  <c r="AW2354" i="10"/>
  <c r="AX2354" i="10"/>
  <c r="AK2344" i="10"/>
  <c r="AT2344" i="10"/>
  <c r="AN2344" i="10"/>
  <c r="AL2344" i="10"/>
  <c r="AS2344" i="10"/>
  <c r="AR2344" i="10"/>
  <c r="AJ2344" i="10"/>
  <c r="AM2344" i="10"/>
  <c r="AS2276" i="10"/>
  <c r="AR2276" i="10"/>
  <c r="AQ2276" i="10"/>
  <c r="AK2276" i="10"/>
  <c r="AP2276" i="10"/>
  <c r="AJ2276" i="10"/>
  <c r="AV2276" i="10"/>
  <c r="AO2266" i="10"/>
  <c r="AL2266" i="10"/>
  <c r="AP2266" i="10"/>
  <c r="AT2266" i="10"/>
  <c r="AS2266" i="10"/>
  <c r="AV2266" i="10"/>
  <c r="AR2266" i="10"/>
  <c r="AN2266" i="10"/>
  <c r="AU2266" i="10"/>
  <c r="AK2266" i="10"/>
  <c r="AW2266" i="10"/>
  <c r="AQ2266" i="10"/>
  <c r="AJ2266" i="10"/>
  <c r="AM2266" i="10"/>
  <c r="AX2266" i="10"/>
  <c r="AQ2188" i="10"/>
  <c r="AL2188" i="10"/>
  <c r="AN2188" i="10"/>
  <c r="AT2188" i="10"/>
  <c r="AR2188" i="10"/>
  <c r="AV2188" i="10"/>
  <c r="AK2188" i="10"/>
  <c r="AM2188" i="10"/>
  <c r="AW2188" i="10"/>
  <c r="AX2188" i="10"/>
  <c r="AS2188" i="10"/>
  <c r="AU2188" i="10"/>
  <c r="AJ2188" i="10"/>
  <c r="AO2188" i="10"/>
  <c r="AP2188" i="10"/>
  <c r="AM2142" i="10"/>
  <c r="AX2142" i="10"/>
  <c r="AU2142" i="10"/>
  <c r="AQ2142" i="10"/>
  <c r="AW2142" i="10"/>
  <c r="AN2142" i="10"/>
  <c r="AT2142" i="10"/>
  <c r="AV2142" i="10"/>
  <c r="AL2142" i="10"/>
  <c r="AS2142" i="10"/>
  <c r="AJ2142" i="10"/>
  <c r="AP2142" i="10"/>
  <c r="AR2142" i="10"/>
  <c r="AO2142" i="10"/>
  <c r="AT2126" i="10"/>
  <c r="AU2126" i="10"/>
  <c r="AL2126" i="10"/>
  <c r="AO2126" i="10"/>
  <c r="AM2126" i="10"/>
  <c r="AR2126" i="10"/>
  <c r="AK2126" i="10"/>
  <c r="AJ2126" i="10"/>
  <c r="AV2126" i="10"/>
  <c r="AP2126" i="10"/>
  <c r="AW2126" i="10"/>
  <c r="AQ2126" i="10"/>
  <c r="AN2126" i="10"/>
  <c r="AX2126" i="10"/>
  <c r="AK2075" i="10"/>
  <c r="AT2075" i="10"/>
  <c r="AQ2075" i="10"/>
  <c r="AL2075" i="10"/>
  <c r="AN2075" i="10"/>
  <c r="AR2075" i="10"/>
  <c r="AO2075" i="10"/>
  <c r="AM2075" i="10"/>
  <c r="AU2075" i="10"/>
  <c r="AJ2075" i="10"/>
  <c r="AW2055" i="10"/>
  <c r="AV2055" i="10"/>
  <c r="AO2055" i="10"/>
  <c r="AX2055" i="10"/>
  <c r="AL2055" i="10"/>
  <c r="AT2055" i="10"/>
  <c r="AR2055" i="10"/>
  <c r="AJ2055" i="10"/>
  <c r="AU2055" i="10"/>
  <c r="AN2055" i="10"/>
  <c r="AS2055" i="10"/>
  <c r="AP2055" i="10"/>
  <c r="AK2055" i="10"/>
  <c r="AQ2055" i="10"/>
  <c r="AM2055" i="10"/>
  <c r="AQ1951" i="10"/>
  <c r="AM1951" i="10"/>
  <c r="AO1951" i="10"/>
  <c r="AX1951" i="10"/>
  <c r="AV1951" i="10"/>
  <c r="AU1951" i="10"/>
  <c r="AP1951" i="10"/>
  <c r="AW1951" i="10"/>
  <c r="AL1951" i="10"/>
  <c r="AT1951" i="10"/>
  <c r="AN1951" i="10"/>
  <c r="AK1951" i="10"/>
  <c r="AR1951" i="10"/>
  <c r="AS1951" i="10"/>
  <c r="AJ1951" i="10"/>
  <c r="AQ1935" i="10"/>
  <c r="AR1935" i="10"/>
  <c r="AP1935" i="10"/>
  <c r="AX1935" i="10"/>
  <c r="AK1935" i="10"/>
  <c r="AL1935" i="10"/>
  <c r="AW1935" i="10"/>
  <c r="AN1935" i="10"/>
  <c r="AM1935" i="10"/>
  <c r="AJ1935" i="10"/>
  <c r="AV1935" i="10"/>
  <c r="AS1935" i="10"/>
  <c r="AT1935" i="10"/>
  <c r="AO1915" i="10"/>
  <c r="AU1915" i="10"/>
  <c r="AN1915" i="10"/>
  <c r="AL1915" i="10"/>
  <c r="AK1915" i="10"/>
  <c r="AR1915" i="10"/>
  <c r="AW1915" i="10"/>
  <c r="AQ1915" i="10"/>
  <c r="AS1915" i="10"/>
  <c r="AM1915" i="10"/>
  <c r="AJ1915" i="10"/>
  <c r="AP1915" i="10"/>
  <c r="AX1915" i="10"/>
  <c r="AV1915" i="10"/>
  <c r="AT1915" i="10"/>
  <c r="AL1841" i="10"/>
  <c r="AJ1841" i="10"/>
  <c r="AN1841" i="10"/>
  <c r="AM1841" i="10"/>
  <c r="AK1841" i="10"/>
  <c r="AO1841" i="10"/>
  <c r="AQ1841" i="10"/>
  <c r="AX1841" i="10"/>
  <c r="AS1841" i="10"/>
  <c r="AT1841" i="10"/>
  <c r="AR1841" i="10"/>
  <c r="AW1841" i="10"/>
  <c r="AU1841" i="10"/>
  <c r="AV1841" i="10"/>
  <c r="AP1841" i="10"/>
  <c r="AV1831" i="10"/>
  <c r="AR1831" i="10"/>
  <c r="AX1817" i="10"/>
  <c r="AO1817" i="10"/>
  <c r="AQ1817" i="10"/>
  <c r="AR1817" i="10"/>
  <c r="AN1817" i="10"/>
  <c r="AL1817" i="10"/>
  <c r="AS1817" i="10"/>
  <c r="AW1817" i="10"/>
  <c r="AT1817" i="10"/>
  <c r="AV1817" i="10"/>
  <c r="AK1817" i="10"/>
  <c r="AU1817" i="10"/>
  <c r="AJ1817" i="10"/>
  <c r="AM1817" i="10"/>
  <c r="AP1817" i="10"/>
  <c r="AV1754" i="10"/>
  <c r="AP1754" i="10"/>
  <c r="AM1754" i="10"/>
  <c r="AU1754" i="10"/>
  <c r="AR1754" i="10"/>
  <c r="AS1754" i="10"/>
  <c r="AL1754" i="10"/>
  <c r="AT1754" i="10"/>
  <c r="AN1754" i="10"/>
  <c r="AX1754" i="10"/>
  <c r="AO1754" i="10"/>
  <c r="AW1754" i="10"/>
  <c r="AK1754" i="10"/>
  <c r="AQ1754" i="10"/>
  <c r="AJ1754" i="10"/>
  <c r="AN1669" i="10"/>
  <c r="AS1669" i="10"/>
  <c r="AM1669" i="10"/>
  <c r="AJ1669" i="10"/>
  <c r="AK1669" i="10"/>
  <c r="AQ1669" i="10"/>
  <c r="AU1669" i="10"/>
  <c r="AR1669" i="10"/>
  <c r="AL1669" i="10"/>
  <c r="AO1669" i="10"/>
  <c r="AP1669" i="10"/>
  <c r="AV1669" i="10"/>
  <c r="AT1669" i="10"/>
  <c r="AV1643" i="10"/>
  <c r="AR1643" i="10"/>
  <c r="AN1643" i="10"/>
  <c r="AP1643" i="10"/>
  <c r="AS1643" i="10"/>
  <c r="AU1643" i="10"/>
  <c r="AT1643" i="10"/>
  <c r="AM1643" i="10"/>
  <c r="AJ1643" i="10"/>
  <c r="AQ1643" i="10"/>
  <c r="AK1643" i="10"/>
  <c r="AO1643" i="10"/>
  <c r="AL1643" i="10"/>
  <c r="AV1595" i="10"/>
  <c r="AP1595" i="10"/>
  <c r="AN1595" i="10"/>
  <c r="AR1595" i="10"/>
  <c r="AT1595" i="10"/>
  <c r="AU1595" i="10"/>
  <c r="AM1595" i="10"/>
  <c r="AQ1595" i="10"/>
  <c r="AL1595" i="10"/>
  <c r="AO1595" i="10"/>
  <c r="AW1595" i="10"/>
  <c r="AK1595" i="10"/>
  <c r="AS1595" i="10"/>
  <c r="AJ1595" i="10"/>
  <c r="AX1595" i="10"/>
  <c r="AQ1581" i="10"/>
  <c r="AS1581" i="10"/>
  <c r="AV1581" i="10"/>
  <c r="AM1581" i="10"/>
  <c r="AO1581" i="10"/>
  <c r="AT1581" i="10"/>
  <c r="AL1581" i="10"/>
  <c r="AN1581" i="10"/>
  <c r="AJ1581" i="10"/>
  <c r="AR1581" i="10"/>
  <c r="AU1581" i="10"/>
  <c r="AP1581" i="10"/>
  <c r="AN1565" i="10"/>
  <c r="AV1565" i="10"/>
  <c r="AM1565" i="10"/>
  <c r="AP1565" i="10"/>
  <c r="AK1565" i="10"/>
  <c r="AS1565" i="10"/>
  <c r="AT1565" i="10"/>
  <c r="AR1565" i="10"/>
  <c r="AO1565" i="10"/>
  <c r="AU1565" i="10"/>
  <c r="AL1565" i="10"/>
  <c r="AQ1565" i="10"/>
  <c r="AW1565" i="10"/>
  <c r="AJ1565" i="10"/>
  <c r="AX1565" i="10"/>
  <c r="AT1539" i="10"/>
  <c r="AV1539" i="10"/>
  <c r="AQ1539" i="10"/>
  <c r="AP1539" i="10"/>
  <c r="AL1539" i="10"/>
  <c r="AN1539" i="10"/>
  <c r="AJ1539" i="10"/>
  <c r="AS1539" i="10"/>
  <c r="AO1539" i="10"/>
  <c r="AR1539" i="10"/>
  <c r="AR1518" i="10"/>
  <c r="AV1518" i="10"/>
  <c r="AW1518" i="10"/>
  <c r="AN1518" i="10"/>
  <c r="AM1518" i="10"/>
  <c r="AO1518" i="10"/>
  <c r="AQ1518" i="10"/>
  <c r="AK1518" i="10"/>
  <c r="AU1518" i="10"/>
  <c r="AX1518" i="10"/>
  <c r="AS1518" i="10"/>
  <c r="AT1518" i="10"/>
  <c r="AP1518" i="10"/>
  <c r="AJ1518" i="10"/>
  <c r="AL1518" i="10"/>
  <c r="AO1507" i="10"/>
  <c r="AS1507" i="10"/>
  <c r="AN1507" i="10"/>
  <c r="AK1507" i="10"/>
  <c r="AM1507" i="10"/>
  <c r="AP1507" i="10"/>
  <c r="AR1507" i="10"/>
  <c r="AU1507" i="10"/>
  <c r="AJ1507" i="10"/>
  <c r="AQ1507" i="10"/>
  <c r="AT1507" i="10"/>
  <c r="AV1507" i="10"/>
  <c r="AL1507" i="10"/>
  <c r="AT1466" i="10"/>
  <c r="AP1466" i="10"/>
  <c r="AQ1466" i="10"/>
  <c r="AN1466" i="10"/>
  <c r="AL1466" i="10"/>
  <c r="AJ1466" i="10"/>
  <c r="AP1356" i="10"/>
  <c r="AW1356" i="10"/>
  <c r="AJ1356" i="10"/>
  <c r="AK1356" i="10"/>
  <c r="AU1356" i="10"/>
  <c r="AR1356" i="10"/>
  <c r="AS1356" i="10"/>
  <c r="AM1356" i="10"/>
  <c r="AV1356" i="10"/>
  <c r="AN1356" i="10"/>
  <c r="AO1356" i="10"/>
  <c r="AT1356" i="10"/>
  <c r="AL1356" i="10"/>
  <c r="AM1312" i="10"/>
  <c r="AN1312" i="10"/>
  <c r="AK1312" i="10"/>
  <c r="AR1312" i="10"/>
  <c r="AP1312" i="10"/>
  <c r="AL1312" i="10"/>
  <c r="AW1312" i="10"/>
  <c r="AS1312" i="10"/>
  <c r="AJ1312" i="10"/>
  <c r="AL1285" i="10"/>
  <c r="AU1285" i="10"/>
  <c r="AV1285" i="10"/>
  <c r="AS1285" i="10"/>
  <c r="AW1285" i="10"/>
  <c r="AK1285" i="10"/>
  <c r="AQ1285" i="10"/>
  <c r="AN1285" i="10"/>
  <c r="AJ1285" i="10"/>
  <c r="AR1285" i="10"/>
  <c r="AM1285" i="10"/>
  <c r="AX1285" i="10"/>
  <c r="AV1263" i="10"/>
  <c r="AK1263" i="10"/>
  <c r="AU1263" i="10"/>
  <c r="AS1263" i="10"/>
  <c r="AX1263" i="10"/>
  <c r="AJ1263" i="10"/>
  <c r="AQ1263" i="10"/>
  <c r="AP1263" i="10"/>
  <c r="AN1263" i="10"/>
  <c r="AR1263" i="10"/>
  <c r="AT1263" i="10"/>
  <c r="AW1263" i="10"/>
  <c r="AL1263" i="10"/>
  <c r="AO1263" i="10"/>
  <c r="AM1263" i="10"/>
  <c r="AX1247" i="10"/>
  <c r="AK1247" i="10"/>
  <c r="AV1247" i="10"/>
  <c r="AL1247" i="10"/>
  <c r="AN1247" i="10"/>
  <c r="AR1247" i="10"/>
  <c r="AJ1247" i="10"/>
  <c r="AS1247" i="10"/>
  <c r="AP1225" i="10"/>
  <c r="AL1225" i="10"/>
  <c r="AT1225" i="10"/>
  <c r="AX1225" i="10"/>
  <c r="AK1225" i="10"/>
  <c r="AU1225" i="10"/>
  <c r="AR1225" i="10"/>
  <c r="AW1225" i="10"/>
  <c r="AO1225" i="10"/>
  <c r="AJ1225" i="10"/>
  <c r="AN1225" i="10"/>
  <c r="AQ1225" i="10"/>
  <c r="AS1225" i="10"/>
  <c r="AV1225" i="10"/>
  <c r="AM1225" i="10"/>
  <c r="AR1209" i="10"/>
  <c r="AS1209" i="10"/>
  <c r="AL1209" i="10"/>
  <c r="AX1209" i="10"/>
  <c r="AN1209" i="10"/>
  <c r="AP1209" i="10"/>
  <c r="AK1209" i="10"/>
  <c r="AW1209" i="10"/>
  <c r="AT1209" i="10"/>
  <c r="AJ1209" i="10"/>
  <c r="AQ1209" i="10"/>
  <c r="AO1209" i="10"/>
  <c r="AM1209" i="10"/>
  <c r="AU1209" i="10"/>
  <c r="AN1181" i="10"/>
  <c r="AM1181" i="10"/>
  <c r="AJ1181" i="10"/>
  <c r="AQ1181" i="10"/>
  <c r="AP1181" i="10"/>
  <c r="AS1181" i="10"/>
  <c r="AU1181" i="10"/>
  <c r="AV1181" i="10"/>
  <c r="AX1181" i="10"/>
  <c r="AL1181" i="10"/>
  <c r="AW1181" i="10"/>
  <c r="AO1181" i="10"/>
  <c r="AK1181" i="10"/>
  <c r="AR1181" i="10"/>
  <c r="AT1181" i="10"/>
  <c r="AM1154" i="10"/>
  <c r="AR1154" i="10"/>
  <c r="AS1154" i="10"/>
  <c r="AN1154" i="10"/>
  <c r="AO1154" i="10"/>
  <c r="AQ1154" i="10"/>
  <c r="AJ1154" i="10"/>
  <c r="AT1154" i="10"/>
  <c r="AP1154" i="10"/>
  <c r="AW1154" i="10"/>
  <c r="AL1154" i="10"/>
  <c r="AK1154" i="10"/>
  <c r="AN1115" i="10"/>
  <c r="AL1115" i="10"/>
  <c r="AK1115" i="10"/>
  <c r="AX1115" i="10"/>
  <c r="AS1115" i="10"/>
  <c r="AV1115" i="10"/>
  <c r="AT1115" i="10"/>
  <c r="AM1115" i="10"/>
  <c r="AJ1115" i="10"/>
  <c r="AP1115" i="10"/>
  <c r="AR1115" i="10"/>
  <c r="AW1115" i="10"/>
  <c r="AQ1115" i="10"/>
  <c r="AU1115" i="10"/>
  <c r="AO1115" i="10"/>
  <c r="AN1076" i="10"/>
  <c r="AO1076" i="10"/>
  <c r="AJ1076" i="10"/>
  <c r="AV1076" i="10"/>
  <c r="AQ1076" i="10"/>
  <c r="AP1076" i="10"/>
  <c r="AT1076" i="10"/>
  <c r="AW1076" i="10"/>
  <c r="AU1076" i="10"/>
  <c r="AX1076" i="10"/>
  <c r="AR1076" i="10"/>
  <c r="AL1076" i="10"/>
  <c r="AK1076" i="10"/>
  <c r="AM1076" i="10"/>
  <c r="AS1076" i="10"/>
  <c r="AX974" i="10"/>
  <c r="AK974" i="10"/>
  <c r="AW974" i="10"/>
  <c r="AJ974" i="10"/>
  <c r="AJ963" i="10"/>
  <c r="AK963" i="10"/>
  <c r="AX963" i="10"/>
  <c r="AW963" i="10"/>
  <c r="AK933" i="10"/>
  <c r="AW933" i="10"/>
  <c r="AX933" i="10"/>
  <c r="AJ933" i="10"/>
  <c r="AW914" i="10"/>
  <c r="AX914" i="10"/>
  <c r="AV914" i="10"/>
  <c r="AT914" i="10"/>
  <c r="AR914" i="10"/>
  <c r="AJ914" i="10"/>
  <c r="AU914" i="10"/>
  <c r="AN914" i="10"/>
  <c r="AM914" i="10"/>
  <c r="AK914" i="10"/>
  <c r="AP914" i="10"/>
  <c r="AL914" i="10"/>
  <c r="AO914" i="10"/>
  <c r="AQ914" i="10"/>
  <c r="AX876" i="10"/>
  <c r="AN876" i="10"/>
  <c r="AU876" i="10"/>
  <c r="AL876" i="10"/>
  <c r="AP876" i="10"/>
  <c r="AR876" i="10"/>
  <c r="AK876" i="10"/>
  <c r="AQ876" i="10"/>
  <c r="AW852" i="10"/>
  <c r="AX852" i="10"/>
  <c r="AK852" i="10"/>
  <c r="AR852" i="10"/>
  <c r="AS852" i="10"/>
  <c r="AU852" i="10"/>
  <c r="AL852" i="10"/>
  <c r="AT852" i="10"/>
  <c r="AN852" i="10"/>
  <c r="AJ852" i="10"/>
  <c r="AM852" i="10"/>
  <c r="AX779" i="10"/>
  <c r="AW779" i="10"/>
  <c r="AJ779" i="10"/>
  <c r="AX766" i="10"/>
  <c r="AW766" i="10"/>
  <c r="AJ766" i="10"/>
  <c r="AK766" i="10"/>
  <c r="AJ727" i="10"/>
  <c r="AK727" i="10"/>
  <c r="AU727" i="10"/>
  <c r="AX727" i="10"/>
  <c r="AN727" i="10"/>
  <c r="AM727" i="10"/>
  <c r="AO727" i="10"/>
  <c r="AW727" i="10"/>
  <c r="AP727" i="10"/>
  <c r="AQ727" i="10"/>
  <c r="AL727" i="10"/>
  <c r="AT727" i="10"/>
  <c r="AX2147" i="10"/>
  <c r="AU1247" i="10"/>
  <c r="AJ1481" i="10"/>
  <c r="AX2727" i="10"/>
  <c r="AT2727" i="10"/>
  <c r="AU2727" i="10"/>
  <c r="AJ2727" i="10"/>
  <c r="AR2727" i="10"/>
  <c r="AW2727" i="10"/>
  <c r="AQ2727" i="10"/>
  <c r="AO2727" i="10"/>
  <c r="AP2727" i="10"/>
  <c r="AW2667" i="10"/>
  <c r="AU2667" i="10"/>
  <c r="AS2667" i="10"/>
  <c r="AQ2667" i="10"/>
  <c r="AV2667" i="10"/>
  <c r="AJ2667" i="10"/>
  <c r="AL2667" i="10"/>
  <c r="AS2640" i="10"/>
  <c r="AJ2640" i="10"/>
  <c r="AN2640" i="10"/>
  <c r="AM2640" i="10"/>
  <c r="AO2581" i="10"/>
  <c r="AX2581" i="10"/>
  <c r="AJ2581" i="10"/>
  <c r="AL2581" i="10"/>
  <c r="AS2581" i="10"/>
  <c r="AR2581" i="10"/>
  <c r="AP2581" i="10"/>
  <c r="AM2581" i="10"/>
  <c r="AU2581" i="10"/>
  <c r="AW2581" i="10"/>
  <c r="AV2581" i="10"/>
  <c r="AT2581" i="10"/>
  <c r="AK2581" i="10"/>
  <c r="AW2570" i="10"/>
  <c r="AR2570" i="10"/>
  <c r="AP2570" i="10"/>
  <c r="AN2570" i="10"/>
  <c r="AV2570" i="10"/>
  <c r="AS2570" i="10"/>
  <c r="AO2570" i="10"/>
  <c r="AX2570" i="10"/>
  <c r="AL2570" i="10"/>
  <c r="AJ2570" i="10"/>
  <c r="AQ2570" i="10"/>
  <c r="AK2570" i="10"/>
  <c r="AM2570" i="10"/>
  <c r="AU2570" i="10"/>
  <c r="AT2570" i="10"/>
  <c r="AP2555" i="10"/>
  <c r="AU2555" i="10"/>
  <c r="AM2555" i="10"/>
  <c r="AO2555" i="10"/>
  <c r="AS2555" i="10"/>
  <c r="AL2555" i="10"/>
  <c r="AQ2555" i="10"/>
  <c r="AT2555" i="10"/>
  <c r="AN2555" i="10"/>
  <c r="AK2555" i="10"/>
  <c r="AJ2555" i="10"/>
  <c r="AP2540" i="10"/>
  <c r="AU2540" i="10"/>
  <c r="AN2540" i="10"/>
  <c r="AS2540" i="10"/>
  <c r="AJ2540" i="10"/>
  <c r="AT2540" i="10"/>
  <c r="AR2540" i="10"/>
  <c r="AO2540" i="10"/>
  <c r="AM2540" i="10"/>
  <c r="AX2540" i="10"/>
  <c r="AK2540" i="10"/>
  <c r="AQ2540" i="10"/>
  <c r="AW2540" i="10"/>
  <c r="AL2540" i="10"/>
  <c r="AV2540" i="10"/>
  <c r="AV2494" i="10"/>
  <c r="AK2494" i="10"/>
  <c r="AX2494" i="10"/>
  <c r="AW2494" i="10"/>
  <c r="AO2494" i="10"/>
  <c r="AJ2494" i="10"/>
  <c r="AU2455" i="10"/>
  <c r="AW2455" i="10"/>
  <c r="AS2455" i="10"/>
  <c r="AR2455" i="10"/>
  <c r="AX2455" i="10"/>
  <c r="AU2418" i="10"/>
  <c r="AM2418" i="10"/>
  <c r="AS2418" i="10"/>
  <c r="AP2418" i="10"/>
  <c r="AW2418" i="10"/>
  <c r="AJ2418" i="10"/>
  <c r="AR2418" i="10"/>
  <c r="AO2418" i="10"/>
  <c r="AX2418" i="10"/>
  <c r="AQ2418" i="10"/>
  <c r="AK2418" i="10"/>
  <c r="AL2418" i="10"/>
  <c r="AN2418" i="10"/>
  <c r="AV2418" i="10"/>
  <c r="AN2359" i="10"/>
  <c r="AQ2359" i="10"/>
  <c r="AV2359" i="10"/>
  <c r="AK2359" i="10"/>
  <c r="AM2359" i="10"/>
  <c r="AP2359" i="10"/>
  <c r="AX2359" i="10"/>
  <c r="AR2359" i="10"/>
  <c r="AT2359" i="10"/>
  <c r="AO2359" i="10"/>
  <c r="AJ2359" i="10"/>
  <c r="AS2359" i="10"/>
  <c r="AU2359" i="10"/>
  <c r="AW2359" i="10"/>
  <c r="AL2329" i="10"/>
  <c r="AO2329" i="10"/>
  <c r="AT2329" i="10"/>
  <c r="AQ2329" i="10"/>
  <c r="AW2329" i="10"/>
  <c r="AR2329" i="10"/>
  <c r="AU2329" i="10"/>
  <c r="AS2329" i="10"/>
  <c r="AJ2329" i="10"/>
  <c r="AP2329" i="10"/>
  <c r="AV2329" i="10"/>
  <c r="AK2329" i="10"/>
  <c r="AM2329" i="10"/>
  <c r="AN2329" i="10"/>
  <c r="AT2307" i="10"/>
  <c r="AM2307" i="10"/>
  <c r="AP2307" i="10"/>
  <c r="AO2307" i="10"/>
  <c r="AQ2307" i="10"/>
  <c r="AJ2307" i="10"/>
  <c r="AK2307" i="10"/>
  <c r="AX2251" i="10"/>
  <c r="AP2251" i="10"/>
  <c r="AS2251" i="10"/>
  <c r="AO2251" i="10"/>
  <c r="AN2251" i="10"/>
  <c r="AJ2251" i="10"/>
  <c r="AL2251" i="10"/>
  <c r="AV2251" i="10"/>
  <c r="AX2240" i="10"/>
  <c r="AU2240" i="10"/>
  <c r="AT2240" i="10"/>
  <c r="AR2240" i="10"/>
  <c r="AM2240" i="10"/>
  <c r="AK2240" i="10"/>
  <c r="AW2240" i="10"/>
  <c r="AO2240" i="10"/>
  <c r="AL2240" i="10"/>
  <c r="AJ2240" i="10"/>
  <c r="AV2240" i="10"/>
  <c r="AP2240" i="10"/>
  <c r="AS2240" i="10"/>
  <c r="AQ2240" i="10"/>
  <c r="AR2225" i="10"/>
  <c r="AO2225" i="10"/>
  <c r="AN2225" i="10"/>
  <c r="AQ2225" i="10"/>
  <c r="AX2225" i="10"/>
  <c r="AL2225" i="10"/>
  <c r="AJ2225" i="10"/>
  <c r="AP2225" i="10"/>
  <c r="AS2225" i="10"/>
  <c r="AV2225" i="10"/>
  <c r="AM2225" i="10"/>
  <c r="AT2225" i="10"/>
  <c r="AP2208" i="10"/>
  <c r="AL2208" i="10"/>
  <c r="AU2208" i="10"/>
  <c r="AW2208" i="10" s="1"/>
  <c r="AQ2208" i="10"/>
  <c r="AN2208" i="10"/>
  <c r="AV2208" i="10"/>
  <c r="AX2208" i="10" s="1"/>
  <c r="AK2208" i="10"/>
  <c r="AR2208" i="10"/>
  <c r="AJ2208" i="10"/>
  <c r="AS2208" i="10"/>
  <c r="AT2208" i="10"/>
  <c r="AO2208" i="10"/>
  <c r="AM2208" i="10"/>
  <c r="AK2193" i="10"/>
  <c r="AO2193" i="10"/>
  <c r="AS2193" i="10"/>
  <c r="AN2193" i="10"/>
  <c r="AL2193" i="10"/>
  <c r="AR2193" i="10"/>
  <c r="AQ2193" i="10"/>
  <c r="AP2193" i="10"/>
  <c r="AJ2193" i="10"/>
  <c r="AV2165" i="10"/>
  <c r="AP2165" i="10"/>
  <c r="AQ2165" i="10"/>
  <c r="AT2165" i="10"/>
  <c r="AK2165" i="10"/>
  <c r="AN2165" i="10"/>
  <c r="AU2165" i="10"/>
  <c r="AS2165" i="10"/>
  <c r="AO2165" i="10"/>
  <c r="AW2165" i="10"/>
  <c r="AM2165" i="10"/>
  <c r="AL2165" i="10"/>
  <c r="AX2165" i="10"/>
  <c r="AR2165" i="10"/>
  <c r="AT2159" i="10"/>
  <c r="AP2159" i="10"/>
  <c r="AV2159" i="10"/>
  <c r="AQ2159" i="10"/>
  <c r="AX2159" i="10"/>
  <c r="AN2159" i="10"/>
  <c r="AR2159" i="10"/>
  <c r="AM2159" i="10"/>
  <c r="AK2159" i="10"/>
  <c r="AO2159" i="10"/>
  <c r="AW2159" i="10"/>
  <c r="AJ2159" i="10"/>
  <c r="AU2159" i="10"/>
  <c r="AS2159" i="10"/>
  <c r="AU2136" i="10"/>
  <c r="AP2136" i="10"/>
  <c r="AW2136" i="10"/>
  <c r="AV2136" i="10"/>
  <c r="AM2136" i="10"/>
  <c r="AQ2136" i="10"/>
  <c r="AJ2136" i="10"/>
  <c r="AR2136" i="10"/>
  <c r="AL2136" i="10"/>
  <c r="AO2136" i="10"/>
  <c r="AN2136" i="10"/>
  <c r="AS2136" i="10"/>
  <c r="AT2136" i="10"/>
  <c r="AK2136" i="10"/>
  <c r="AX2136" i="10"/>
  <c r="AX2109" i="10"/>
  <c r="AR2109" i="10"/>
  <c r="AM2109" i="10"/>
  <c r="AV2109" i="10"/>
  <c r="AO2109" i="10"/>
  <c r="AU2109" i="10"/>
  <c r="AL2109" i="10"/>
  <c r="AQ2109" i="10"/>
  <c r="AP2109" i="10"/>
  <c r="AS2109" i="10"/>
  <c r="AN2109" i="10"/>
  <c r="AJ2109" i="10"/>
  <c r="AT2109" i="10"/>
  <c r="AK2097" i="10"/>
  <c r="AQ2097" i="10"/>
  <c r="AV2097" i="10"/>
  <c r="AS2097" i="10"/>
  <c r="AW2097" i="10"/>
  <c r="AR2097" i="10"/>
  <c r="AO2097" i="10"/>
  <c r="AT2097" i="10"/>
  <c r="AL2097" i="10"/>
  <c r="AU2097" i="10"/>
  <c r="AJ2097" i="10"/>
  <c r="AP2097" i="10"/>
  <c r="AN2097" i="10"/>
  <c r="AM2097" i="10"/>
  <c r="AX2097" i="10"/>
  <c r="AL2087" i="10"/>
  <c r="AR2087" i="10"/>
  <c r="AP2087" i="10"/>
  <c r="AQ2070" i="10"/>
  <c r="AW2070" i="10"/>
  <c r="AK2070" i="10"/>
  <c r="AU2070" i="10"/>
  <c r="AM2070" i="10"/>
  <c r="AO2070" i="10"/>
  <c r="AJ2070" i="10"/>
  <c r="AS2070" i="10"/>
  <c r="AV2070" i="10"/>
  <c r="AP2070" i="10"/>
  <c r="AN2070" i="10"/>
  <c r="AR2070" i="10"/>
  <c r="AL2070" i="10"/>
  <c r="AV2047" i="10"/>
  <c r="AN2047" i="10"/>
  <c r="AJ2047" i="10"/>
  <c r="AK2047" i="10"/>
  <c r="AQ2047" i="10"/>
  <c r="AW2047" i="10"/>
  <c r="AJ2024" i="10"/>
  <c r="AQ2024" i="10"/>
  <c r="AN2024" i="10"/>
  <c r="AK2024" i="10"/>
  <c r="AW2024" i="10"/>
  <c r="AU2006" i="10"/>
  <c r="AS2006" i="10"/>
  <c r="AV2006" i="10"/>
  <c r="AO2006" i="10"/>
  <c r="AJ2006" i="10"/>
  <c r="AX2006" i="10"/>
  <c r="AR2006" i="10"/>
  <c r="AM2006" i="10"/>
  <c r="AP2006" i="10"/>
  <c r="AW2006" i="10"/>
  <c r="AN2006" i="10"/>
  <c r="AK2006" i="10"/>
  <c r="AQ2006" i="10"/>
  <c r="AO1985" i="10"/>
  <c r="AP1985" i="10"/>
  <c r="AL1985" i="10"/>
  <c r="AR1985" i="10"/>
  <c r="AM1985" i="10"/>
  <c r="AN1985" i="10"/>
  <c r="AK1985" i="10"/>
  <c r="AU1985" i="10"/>
  <c r="AQ1985" i="10"/>
  <c r="AJ1985" i="10"/>
  <c r="AV1985" i="10"/>
  <c r="AX1985" i="10"/>
  <c r="AT1945" i="10"/>
  <c r="AP1945" i="10"/>
  <c r="AV1945" i="10"/>
  <c r="AQ1945" i="10"/>
  <c r="AU1945" i="10"/>
  <c r="AW1930" i="10"/>
  <c r="AR1930" i="10"/>
  <c r="AS1930" i="10"/>
  <c r="AQ1930" i="10"/>
  <c r="AM1930" i="10"/>
  <c r="AV1930" i="10"/>
  <c r="AP1930" i="10"/>
  <c r="AX1930" i="10"/>
  <c r="AL1930" i="10"/>
  <c r="AT1930" i="10"/>
  <c r="AJ1930" i="10"/>
  <c r="AK1930" i="10"/>
  <c r="AO1930" i="10"/>
  <c r="AU1930" i="10"/>
  <c r="AN1930" i="10"/>
  <c r="AJ1909" i="10"/>
  <c r="AQ1909" i="10"/>
  <c r="AW1873" i="10"/>
  <c r="AM1873" i="10"/>
  <c r="AT1873" i="10"/>
  <c r="AX1873" i="10"/>
  <c r="AV1873" i="10"/>
  <c r="AN1873" i="10"/>
  <c r="AP1873" i="10"/>
  <c r="AU1873" i="10"/>
  <c r="AQ1873" i="10"/>
  <c r="AS1873" i="10"/>
  <c r="AL1873" i="10"/>
  <c r="AJ1873" i="10"/>
  <c r="AK1873" i="10"/>
  <c r="AV1802" i="10"/>
  <c r="AX1802" i="10"/>
  <c r="AQ1802" i="10"/>
  <c r="AR1802" i="10"/>
  <c r="AT1802" i="10"/>
  <c r="AM1802" i="10"/>
  <c r="AJ1802" i="10"/>
  <c r="AU1802" i="10"/>
  <c r="AP1802" i="10"/>
  <c r="AW1802" i="10"/>
  <c r="AL1802" i="10"/>
  <c r="AS1802" i="10"/>
  <c r="AM1767" i="10"/>
  <c r="AJ1767" i="10"/>
  <c r="AV1734" i="10"/>
  <c r="AW1734" i="10"/>
  <c r="AS1734" i="10"/>
  <c r="AM1734" i="10"/>
  <c r="AN1734" i="10"/>
  <c r="AK1734" i="10"/>
  <c r="AT1734" i="10"/>
  <c r="AL1734" i="10"/>
  <c r="AJ1734" i="10"/>
  <c r="AW1684" i="10"/>
  <c r="AM1684" i="10"/>
  <c r="AQ1684" i="10"/>
  <c r="AO1684" i="10"/>
  <c r="AJ1684" i="10"/>
  <c r="AU1684" i="10"/>
  <c r="AR1684" i="10"/>
  <c r="AX1684" i="10"/>
  <c r="AP1684" i="10"/>
  <c r="AK1684" i="10"/>
  <c r="AN1684" i="10"/>
  <c r="AK1658" i="10"/>
  <c r="AP1658" i="10"/>
  <c r="AU1658" i="10"/>
  <c r="AO1658" i="10"/>
  <c r="AS1658" i="10"/>
  <c r="AM1658" i="10"/>
  <c r="AV1658" i="10"/>
  <c r="AN1658" i="10"/>
  <c r="AL1658" i="10"/>
  <c r="AJ1658" i="10"/>
  <c r="AT1658" i="10"/>
  <c r="AR1658" i="10"/>
  <c r="AK1629" i="10"/>
  <c r="AQ1629" i="10"/>
  <c r="AU1629" i="10"/>
  <c r="AN1629" i="10"/>
  <c r="AP1629" i="10"/>
  <c r="AL1629" i="10"/>
  <c r="AM1629" i="10"/>
  <c r="AR1629" i="10"/>
  <c r="AT1629" i="10"/>
  <c r="AO1629" i="10"/>
  <c r="AJ1629" i="10"/>
  <c r="AS1629" i="10"/>
  <c r="AQ1614" i="10"/>
  <c r="AU1614" i="10"/>
  <c r="AJ1614" i="10"/>
  <c r="AR1614" i="10"/>
  <c r="AV1614" i="10"/>
  <c r="AX1614" i="10"/>
  <c r="AP1585" i="10"/>
  <c r="AT1585" i="10"/>
  <c r="AQ1585" i="10"/>
  <c r="AU1585" i="10"/>
  <c r="AO1585" i="10"/>
  <c r="AJ1585" i="10"/>
  <c r="AM1585" i="10"/>
  <c r="AV1585" i="10"/>
  <c r="AS1585" i="10"/>
  <c r="AX1585" i="10"/>
  <c r="AL1585" i="10"/>
  <c r="AN1554" i="10"/>
  <c r="AO1554" i="10"/>
  <c r="AK1554" i="10"/>
  <c r="AQ1554" i="10"/>
  <c r="AW1554" i="10"/>
  <c r="AX1554" i="10"/>
  <c r="AL1554" i="10"/>
  <c r="AR1554" i="10"/>
  <c r="AR1491" i="10"/>
  <c r="AO1491" i="10"/>
  <c r="AP1491" i="10"/>
  <c r="AK1491" i="10"/>
  <c r="AM1491" i="10"/>
  <c r="AO1434" i="10"/>
  <c r="AW1434" i="10"/>
  <c r="AJ1434" i="10"/>
  <c r="AK1434" i="10"/>
  <c r="AS1434" i="10"/>
  <c r="AV1434" i="10"/>
  <c r="AN1434" i="10"/>
  <c r="AR1434" i="10"/>
  <c r="AM1434" i="10"/>
  <c r="AP1434" i="10"/>
  <c r="AX1434" i="10"/>
  <c r="AS1417" i="10"/>
  <c r="AP1417" i="10"/>
  <c r="AV1417" i="10"/>
  <c r="AT1417" i="10"/>
  <c r="AW1417" i="10"/>
  <c r="AN1417" i="10"/>
  <c r="AJ1417" i="10"/>
  <c r="AO1396" i="10"/>
  <c r="AV1396" i="10"/>
  <c r="AU1396" i="10"/>
  <c r="AT1396" i="10"/>
  <c r="AN1396" i="10"/>
  <c r="AJ1396" i="10"/>
  <c r="AK1396" i="10"/>
  <c r="AR1396" i="10"/>
  <c r="AP1396" i="10"/>
  <c r="AQ1396" i="10"/>
  <c r="AX1396" i="10"/>
  <c r="AM1396" i="10"/>
  <c r="AL1396" i="10"/>
  <c r="AW1396" i="10"/>
  <c r="AL1344" i="10"/>
  <c r="AT1344" i="10"/>
  <c r="AV1344" i="10"/>
  <c r="AU1344" i="10"/>
  <c r="AJ1344" i="10"/>
  <c r="AN1344" i="10"/>
  <c r="AX1344" i="10"/>
  <c r="AM1322" i="10"/>
  <c r="AX1322" i="10"/>
  <c r="AL1322" i="10"/>
  <c r="AT1322" i="10"/>
  <c r="AO1322" i="10"/>
  <c r="AJ1322" i="10"/>
  <c r="AN1322" i="10"/>
  <c r="AO1307" i="10"/>
  <c r="AQ1307" i="10"/>
  <c r="AU1307" i="10"/>
  <c r="AP1307" i="10"/>
  <c r="AS1307" i="10"/>
  <c r="AK1307" i="10"/>
  <c r="AM1307" i="10"/>
  <c r="AW1307" i="10"/>
  <c r="AL1307" i="10"/>
  <c r="AV1307" i="10"/>
  <c r="AX1307" i="10"/>
  <c r="AT1307" i="10"/>
  <c r="AN1307" i="10"/>
  <c r="AN1274" i="10"/>
  <c r="AS1274" i="10"/>
  <c r="AP1274" i="10"/>
  <c r="AQ1274" i="10"/>
  <c r="AW1274" i="10"/>
  <c r="AK1274" i="10"/>
  <c r="AO1274" i="10"/>
  <c r="AR1274" i="10"/>
  <c r="AT1274" i="10"/>
  <c r="AX1274" i="10"/>
  <c r="AL1274" i="10"/>
  <c r="AV1274" i="10"/>
  <c r="AU1274" i="10"/>
  <c r="AT1236" i="10"/>
  <c r="AX1236" i="10"/>
  <c r="AR1236" i="10"/>
  <c r="AM1236" i="10"/>
  <c r="AO1236" i="10"/>
  <c r="AW1236" i="10"/>
  <c r="AU1236" i="10"/>
  <c r="AK1236" i="10"/>
  <c r="AL1236" i="10"/>
  <c r="AS1236" i="10"/>
  <c r="AN1236" i="10"/>
  <c r="AQ1236" i="10"/>
  <c r="AJ1236" i="10"/>
  <c r="AV1236" i="10"/>
  <c r="AL1191" i="10"/>
  <c r="AS1191" i="10"/>
  <c r="AT1191" i="10"/>
  <c r="AO1191" i="10"/>
  <c r="AJ1191" i="10"/>
  <c r="AW1191" i="10"/>
  <c r="AP1191" i="10"/>
  <c r="AU1191" i="10"/>
  <c r="AK1191" i="10"/>
  <c r="AM1191" i="10"/>
  <c r="AV1191" i="10"/>
  <c r="AR1191" i="10"/>
  <c r="AX1191" i="10"/>
  <c r="AN1191" i="10"/>
  <c r="AX1131" i="10"/>
  <c r="AL1131" i="10"/>
  <c r="AR1131" i="10"/>
  <c r="AS1131" i="10"/>
  <c r="AO1131" i="10"/>
  <c r="AU1131" i="10"/>
  <c r="AQ1131" i="10"/>
  <c r="AW1131" i="10"/>
  <c r="AJ1131" i="10"/>
  <c r="AM1131" i="10"/>
  <c r="AT1131" i="10"/>
  <c r="AK1131" i="10"/>
  <c r="AP1103" i="10"/>
  <c r="AR1103" i="10"/>
  <c r="AL1103" i="10"/>
  <c r="AJ1103" i="10"/>
  <c r="AT1103" i="10"/>
  <c r="AT1085" i="10"/>
  <c r="AM1085" i="10"/>
  <c r="AL1085" i="10"/>
  <c r="AJ1085" i="10"/>
  <c r="AR1059" i="10"/>
  <c r="AV1059" i="10"/>
  <c r="AT1059" i="10"/>
  <c r="AJ1059" i="10"/>
  <c r="AW1059" i="10"/>
  <c r="AM1059" i="10"/>
  <c r="AK1059" i="10"/>
  <c r="AP1059" i="10"/>
  <c r="AN1059" i="10"/>
  <c r="AX1059" i="10"/>
  <c r="AS1059" i="10"/>
  <c r="AQ1059" i="10"/>
  <c r="AL1059" i="10"/>
  <c r="AU1059" i="10"/>
  <c r="AO1059" i="10"/>
  <c r="AN997" i="10"/>
  <c r="AX997" i="10"/>
  <c r="AT997" i="10"/>
  <c r="AR997" i="10"/>
  <c r="AP997" i="10"/>
  <c r="AJ997" i="10"/>
  <c r="AK997" i="10"/>
  <c r="AO997" i="10"/>
  <c r="AQ997" i="10"/>
  <c r="AV997" i="10"/>
  <c r="AS997" i="10"/>
  <c r="AW997" i="10"/>
  <c r="AM997" i="10"/>
  <c r="AL997" i="10"/>
  <c r="AU997" i="10"/>
  <c r="AU945" i="10"/>
  <c r="AQ945" i="10"/>
  <c r="AV945" i="10"/>
  <c r="AN945" i="10"/>
  <c r="AO945" i="10"/>
  <c r="AP945" i="10"/>
  <c r="AR945" i="10"/>
  <c r="AK945" i="10"/>
  <c r="AS945" i="10"/>
  <c r="AX945" i="10"/>
  <c r="AJ945" i="10"/>
  <c r="AW945" i="10"/>
  <c r="AM945" i="10"/>
  <c r="AT945" i="10"/>
  <c r="AK896" i="10"/>
  <c r="AX896" i="10"/>
  <c r="AW896" i="10"/>
  <c r="AJ896" i="10"/>
  <c r="AX847" i="10"/>
  <c r="AW847" i="10"/>
  <c r="AU847" i="10"/>
  <c r="AQ847" i="10"/>
  <c r="AN847" i="10"/>
  <c r="AO847" i="10"/>
  <c r="AM847" i="10"/>
  <c r="AJ847" i="10"/>
  <c r="AK847" i="10"/>
  <c r="AR847" i="10"/>
  <c r="AS847" i="10"/>
  <c r="AP847" i="10"/>
  <c r="AV847" i="10"/>
  <c r="AW817" i="10"/>
  <c r="AR817" i="10"/>
  <c r="AL817" i="10"/>
  <c r="AM817" i="10"/>
  <c r="AQ817" i="10"/>
  <c r="AK817" i="10"/>
  <c r="AJ817" i="10"/>
  <c r="AP817" i="10"/>
  <c r="AJ756" i="10"/>
  <c r="AX756" i="10"/>
  <c r="AW756" i="10"/>
  <c r="AK756" i="10"/>
  <c r="AR721" i="10"/>
  <c r="AQ721" i="10"/>
  <c r="AP721" i="10"/>
  <c r="AO721" i="10"/>
  <c r="AM721" i="10"/>
  <c r="AN721" i="10"/>
  <c r="AT721" i="10"/>
  <c r="AS721" i="10"/>
  <c r="AK721" i="10"/>
  <c r="AL721" i="10"/>
  <c r="AJ721" i="10"/>
  <c r="AJ715" i="10"/>
  <c r="AQ715" i="10"/>
  <c r="AS715" i="10"/>
  <c r="AX715" i="10"/>
  <c r="AV715" i="10"/>
  <c r="AR715" i="10"/>
  <c r="AP715" i="10"/>
  <c r="AM715" i="10"/>
  <c r="AU715" i="10"/>
  <c r="AK715" i="10"/>
  <c r="AW715" i="10"/>
  <c r="AX703" i="10"/>
  <c r="AW703" i="10"/>
  <c r="AK703" i="10"/>
  <c r="AJ703" i="10"/>
  <c r="AM672" i="10"/>
  <c r="AX672" i="10"/>
  <c r="AL672" i="10"/>
  <c r="AW672" i="10"/>
  <c r="AK672" i="10"/>
  <c r="AU672" i="10"/>
  <c r="AV672" i="10"/>
  <c r="AJ672" i="10"/>
  <c r="AT672" i="10"/>
  <c r="AP672" i="10"/>
  <c r="AO672" i="10"/>
  <c r="AN672" i="10"/>
  <c r="C88" i="45"/>
  <c r="C97" i="45"/>
  <c r="D17" i="43" s="1"/>
  <c r="C127" i="45"/>
  <c r="AU721" i="10"/>
  <c r="AL847" i="10"/>
  <c r="AU858" i="10"/>
  <c r="AN2581" i="10"/>
  <c r="AV1772" i="10"/>
  <c r="AR1307" i="10"/>
  <c r="AT2709" i="10"/>
  <c r="AR2709" i="10"/>
  <c r="AN2709" i="10"/>
  <c r="AQ2709" i="10"/>
  <c r="AP2709" i="10"/>
  <c r="AU2709" i="10"/>
  <c r="AS2709" i="10"/>
  <c r="AW2709" i="10"/>
  <c r="AJ2709" i="10"/>
  <c r="AO2709" i="10"/>
  <c r="AL2709" i="10"/>
  <c r="AV2709" i="10"/>
  <c r="AM2703" i="10"/>
  <c r="AT2703" i="10"/>
  <c r="AW2703" i="10"/>
  <c r="AR2703" i="10"/>
  <c r="AO2703" i="10"/>
  <c r="AL2703" i="10"/>
  <c r="AP2703" i="10"/>
  <c r="AQ2703" i="10"/>
  <c r="AV2703" i="10"/>
  <c r="AS2703" i="10"/>
  <c r="AU2703" i="10"/>
  <c r="AX2703" i="10"/>
  <c r="AJ2703" i="10"/>
  <c r="AK2703" i="10"/>
  <c r="AN2703" i="10"/>
  <c r="AW2682" i="10"/>
  <c r="AR2682" i="10"/>
  <c r="AL2682" i="10"/>
  <c r="AV2682" i="10"/>
  <c r="AU2682" i="10"/>
  <c r="AQ2682" i="10"/>
  <c r="AN2682" i="10"/>
  <c r="AM2682" i="10"/>
  <c r="AJ2682" i="10"/>
  <c r="AO2682" i="10"/>
  <c r="AT2682" i="10"/>
  <c r="AS2682" i="10"/>
  <c r="AP2682" i="10"/>
  <c r="AU2658" i="10"/>
  <c r="AV2658" i="10"/>
  <c r="AT2658" i="10"/>
  <c r="AK2658" i="10"/>
  <c r="AQ2658" i="10"/>
  <c r="AS2658" i="10"/>
  <c r="AL2658" i="10"/>
  <c r="AO2658" i="10"/>
  <c r="AM2658" i="10"/>
  <c r="AW2658" i="10"/>
  <c r="AP2658" i="10"/>
  <c r="AN2658" i="10"/>
  <c r="AX2658" i="10"/>
  <c r="AO2625" i="10"/>
  <c r="AS2625" i="10"/>
  <c r="AU2625" i="10"/>
  <c r="AK2625" i="10"/>
  <c r="AT2625" i="10"/>
  <c r="AL2625" i="10"/>
  <c r="AJ2625" i="10"/>
  <c r="AN2625" i="10"/>
  <c r="AP2625" i="10"/>
  <c r="AR2625" i="10"/>
  <c r="AQ2625" i="10"/>
  <c r="AV2612" i="10"/>
  <c r="AX2612" i="10"/>
  <c r="AK2612" i="10"/>
  <c r="AW2612" i="10"/>
  <c r="AT2612" i="10"/>
  <c r="AM2612" i="10"/>
  <c r="AO2612" i="10"/>
  <c r="AL2612" i="10"/>
  <c r="AP2612" i="10"/>
  <c r="AQ2612" i="10"/>
  <c r="AN2612" i="10"/>
  <c r="AU2612" i="10"/>
  <c r="AS2612" i="10"/>
  <c r="AJ2612" i="10"/>
  <c r="AK2591" i="10"/>
  <c r="AQ2591" i="10"/>
  <c r="AW2591" i="10"/>
  <c r="AS2591" i="10"/>
  <c r="AU2591" i="10"/>
  <c r="AP2591" i="10"/>
  <c r="AR2591" i="10"/>
  <c r="AV2591" i="10"/>
  <c r="AL2591" i="10"/>
  <c r="AJ2591" i="10"/>
  <c r="AO2591" i="10"/>
  <c r="AX2591" i="10"/>
  <c r="AM2591" i="10"/>
  <c r="AT2591" i="10"/>
  <c r="AN2591" i="10"/>
  <c r="AS2550" i="10"/>
  <c r="AV2550" i="10"/>
  <c r="AQ2550" i="10"/>
  <c r="AR2550" i="10"/>
  <c r="AW2550" i="10"/>
  <c r="AN2550" i="10"/>
  <c r="AP2550" i="10"/>
  <c r="AO2550" i="10"/>
  <c r="AK2550" i="10"/>
  <c r="AM2550" i="10"/>
  <c r="AT2550" i="10"/>
  <c r="AX2550" i="10"/>
  <c r="AU2550" i="10"/>
  <c r="AL2550" i="10"/>
  <c r="AJ2550" i="10"/>
  <c r="AL2530" i="10"/>
  <c r="AU2530" i="10"/>
  <c r="AP2530" i="10"/>
  <c r="AT2530" i="10"/>
  <c r="AJ2530" i="10"/>
  <c r="AM2530" i="10"/>
  <c r="AV2530" i="10"/>
  <c r="AR2530" i="10"/>
  <c r="AN2530" i="10"/>
  <c r="AK2530" i="10"/>
  <c r="AQ2530" i="10"/>
  <c r="AW2530" i="10"/>
  <c r="AS2530" i="10"/>
  <c r="AO2530" i="10"/>
  <c r="AX2530" i="10"/>
  <c r="AQ2489" i="10"/>
  <c r="AM2489" i="10"/>
  <c r="AS2489" i="10"/>
  <c r="AP2489" i="10"/>
  <c r="AO2489" i="10"/>
  <c r="AW2489" i="10"/>
  <c r="AX2489" i="10"/>
  <c r="AR2489" i="10"/>
  <c r="AN2489" i="10"/>
  <c r="AU2489" i="10"/>
  <c r="AT2489" i="10"/>
  <c r="AK2489" i="10"/>
  <c r="AL2489" i="10"/>
  <c r="AV2489" i="10"/>
  <c r="AJ2489" i="10"/>
  <c r="AJ2473" i="10"/>
  <c r="AO2473" i="10"/>
  <c r="AL2473" i="10"/>
  <c r="AR2473" i="10"/>
  <c r="AP2473" i="10"/>
  <c r="AN2473" i="10"/>
  <c r="AK2473" i="10"/>
  <c r="AS2473" i="10"/>
  <c r="AV2473" i="10"/>
  <c r="AT2473" i="10"/>
  <c r="AM2473" i="10"/>
  <c r="AR2462" i="10"/>
  <c r="AV2462" i="10"/>
  <c r="AS2462" i="10"/>
  <c r="AT2462" i="10"/>
  <c r="AP2462" i="10"/>
  <c r="AK2462" i="10"/>
  <c r="AM2462" i="10"/>
  <c r="AO2462" i="10"/>
  <c r="AU2462" i="10"/>
  <c r="AL2462" i="10"/>
  <c r="AN2462" i="10"/>
  <c r="AQ2462" i="10"/>
  <c r="AJ2462" i="10"/>
  <c r="AX2441" i="10"/>
  <c r="AS2441" i="10"/>
  <c r="AK2441" i="10"/>
  <c r="AL2441" i="10"/>
  <c r="AU2441" i="10"/>
  <c r="AN2441" i="10"/>
  <c r="AO2441" i="10"/>
  <c r="AT2441" i="10"/>
  <c r="AQ2441" i="10"/>
  <c r="AM2441" i="10"/>
  <c r="AV2441" i="10"/>
  <c r="AR2441" i="10"/>
  <c r="AP2441" i="10"/>
  <c r="AJ2441" i="10"/>
  <c r="AW2441" i="10"/>
  <c r="AR2375" i="10"/>
  <c r="AV2375" i="10"/>
  <c r="AN2375" i="10"/>
  <c r="AO2375" i="10"/>
  <c r="AW2375" i="10"/>
  <c r="AK2375" i="10"/>
  <c r="AX2375" i="10"/>
  <c r="AT2375" i="10"/>
  <c r="AM2375" i="10"/>
  <c r="AP2375" i="10"/>
  <c r="AU2375" i="10"/>
  <c r="AJ2375" i="10"/>
  <c r="AS2375" i="10"/>
  <c r="AQ2375" i="10"/>
  <c r="AL2375" i="10"/>
  <c r="AM2323" i="10"/>
  <c r="AV2323" i="10"/>
  <c r="AU2323" i="10"/>
  <c r="AW2323" i="10"/>
  <c r="AX2323" i="10"/>
  <c r="AO2323" i="10"/>
  <c r="AP2323" i="10"/>
  <c r="AQ2323" i="10"/>
  <c r="AN2323" i="10"/>
  <c r="AL2323" i="10"/>
  <c r="AX2270" i="10"/>
  <c r="AT2270" i="10"/>
  <c r="AP2270" i="10"/>
  <c r="AU2270" i="10"/>
  <c r="AN2270" i="10"/>
  <c r="AR2270" i="10"/>
  <c r="AK2270" i="10"/>
  <c r="AV2270" i="10"/>
  <c r="AL2270" i="10"/>
  <c r="AW2270" i="10"/>
  <c r="AJ2270" i="10"/>
  <c r="AM2270" i="10"/>
  <c r="AO2270" i="10"/>
  <c r="AS2270" i="10"/>
  <c r="AQ2270" i="10"/>
  <c r="AT2182" i="10"/>
  <c r="AS2182" i="10"/>
  <c r="AU2182" i="10"/>
  <c r="AO2182" i="10"/>
  <c r="AR2182" i="10"/>
  <c r="AL2182" i="10"/>
  <c r="AV2182" i="10"/>
  <c r="AK2182" i="10"/>
  <c r="AQ2182" i="10"/>
  <c r="AP2182" i="10"/>
  <c r="AM2182" i="10"/>
  <c r="AN2182" i="10"/>
  <c r="AW2182" i="10"/>
  <c r="AX2182" i="10"/>
  <c r="AJ2182" i="10"/>
  <c r="AT2171" i="10"/>
  <c r="AQ2171" i="10"/>
  <c r="AW2171" i="10"/>
  <c r="AR2171" i="10"/>
  <c r="AU2171" i="10"/>
  <c r="AM2171" i="10"/>
  <c r="AN2171" i="10"/>
  <c r="AK2171" i="10"/>
  <c r="AL2171" i="10"/>
  <c r="AX2171" i="10"/>
  <c r="AJ2171" i="10"/>
  <c r="AT2141" i="10"/>
  <c r="AQ2141" i="10"/>
  <c r="AP2141" i="10"/>
  <c r="AS2141" i="10"/>
  <c r="AU2141" i="10"/>
  <c r="AW2141" i="10"/>
  <c r="AX2141" i="10"/>
  <c r="AL2141" i="10"/>
  <c r="AN2141" i="10"/>
  <c r="AJ2141" i="10"/>
  <c r="AV2141" i="10"/>
  <c r="AK2141" i="10"/>
  <c r="AR2141" i="10"/>
  <c r="AO2141" i="10"/>
  <c r="AW2131" i="10"/>
  <c r="AS2131" i="10"/>
  <c r="AT2131" i="10"/>
  <c r="AR2131" i="10"/>
  <c r="AO2131" i="10"/>
  <c r="AU2131" i="10"/>
  <c r="AP2131" i="10"/>
  <c r="AN2131" i="10"/>
  <c r="AV2131" i="10"/>
  <c r="AQ2131" i="10"/>
  <c r="AJ2131" i="10"/>
  <c r="AL2131" i="10"/>
  <c r="AK2131" i="10"/>
  <c r="AM2131" i="10"/>
  <c r="AX2131" i="10"/>
  <c r="AV2053" i="10"/>
  <c r="AJ2053" i="10"/>
  <c r="AU2053" i="10"/>
  <c r="AM2053" i="10"/>
  <c r="AO2053" i="10"/>
  <c r="AP2053" i="10"/>
  <c r="AT2053" i="10"/>
  <c r="AL2053" i="10"/>
  <c r="AR2053" i="10"/>
  <c r="AN2053" i="10"/>
  <c r="AX2053" i="10"/>
  <c r="AQ2053" i="10"/>
  <c r="AW2053" i="10"/>
  <c r="AS2053" i="10"/>
  <c r="AN2018" i="10"/>
  <c r="AM2018" i="10"/>
  <c r="AO2018" i="10"/>
  <c r="AR2018" i="10"/>
  <c r="AK2018" i="10"/>
  <c r="AQ2018" i="10"/>
  <c r="AU2018" i="10"/>
  <c r="AT2018" i="10"/>
  <c r="AJ2018" i="10"/>
  <c r="AL1995" i="10"/>
  <c r="AJ1995" i="10"/>
  <c r="AO1995" i="10"/>
  <c r="AR1995" i="10"/>
  <c r="AP1830" i="10"/>
  <c r="AT1830" i="10"/>
  <c r="AR1830" i="10"/>
  <c r="AL1830" i="10"/>
  <c r="AK1830" i="10"/>
  <c r="AQ1830" i="10"/>
  <c r="AW1830" i="10"/>
  <c r="AS1830" i="10"/>
  <c r="AM1830" i="10"/>
  <c r="AO1830" i="10"/>
  <c r="AN1830" i="10"/>
  <c r="AJ1830" i="10"/>
  <c r="W78" i="45"/>
  <c r="AX1830" i="10"/>
  <c r="AU1830" i="10"/>
  <c r="AV1830" i="10"/>
  <c r="AO1807" i="10"/>
  <c r="AW1807" i="10"/>
  <c r="AN1807" i="10"/>
  <c r="AV1807" i="10"/>
  <c r="AX1807" i="10"/>
  <c r="AK1807" i="10"/>
  <c r="AT1807" i="10"/>
  <c r="AM1807" i="10"/>
  <c r="AJ1807" i="10"/>
  <c r="AR1807" i="10"/>
  <c r="AL1807" i="10"/>
  <c r="AU1807" i="10"/>
  <c r="AP1807" i="10"/>
  <c r="AS1807" i="10"/>
  <c r="AN1792" i="10"/>
  <c r="AR1792" i="10"/>
  <c r="AU1792" i="10"/>
  <c r="AQ1792" i="10"/>
  <c r="AV1792" i="10"/>
  <c r="AX1792" i="10"/>
  <c r="AM1792" i="10"/>
  <c r="AO1792" i="10"/>
  <c r="AS1792" i="10"/>
  <c r="AL1792" i="10"/>
  <c r="AJ1792" i="10"/>
  <c r="AK1792" i="10"/>
  <c r="AN1710" i="10"/>
  <c r="AR1710" i="10"/>
  <c r="AT1710" i="10"/>
  <c r="AQ1710" i="10"/>
  <c r="AV1710" i="10"/>
  <c r="AJ1710" i="10"/>
  <c r="AK1710" i="10"/>
  <c r="AU1710" i="10"/>
  <c r="AL1710" i="10"/>
  <c r="AP1710" i="10"/>
  <c r="AM1710" i="10"/>
  <c r="AO1710" i="10"/>
  <c r="AS1710" i="10"/>
  <c r="AM1678" i="10"/>
  <c r="AV1678" i="10"/>
  <c r="AP1678" i="10"/>
  <c r="AN1678" i="10"/>
  <c r="AT1678" i="10"/>
  <c r="AU1678" i="10"/>
  <c r="AQ1678" i="10"/>
  <c r="AR1678" i="10"/>
  <c r="AK1678" i="10"/>
  <c r="AS1678" i="10"/>
  <c r="AO1678" i="10"/>
  <c r="AJ1678" i="10"/>
  <c r="AL1678" i="10"/>
  <c r="AR1638" i="10"/>
  <c r="AQ1638" i="10"/>
  <c r="AL1638" i="10"/>
  <c r="AP1638" i="10"/>
  <c r="AM1638" i="10"/>
  <c r="AT1638" i="10"/>
  <c r="AO1638" i="10"/>
  <c r="AU1638" i="10"/>
  <c r="AN1638" i="10"/>
  <c r="AS1638" i="10"/>
  <c r="AJ1638" i="10"/>
  <c r="AV1638" i="10"/>
  <c r="AK1638" i="10"/>
  <c r="AO1594" i="10"/>
  <c r="AL1594" i="10"/>
  <c r="AR1594" i="10"/>
  <c r="AU1594" i="10"/>
  <c r="AP1594" i="10"/>
  <c r="AV1594" i="10"/>
  <c r="AT1594" i="10"/>
  <c r="AK1594" i="10"/>
  <c r="AM1594" i="10"/>
  <c r="AJ1594" i="10"/>
  <c r="AN1594" i="10"/>
  <c r="AQ1594" i="10"/>
  <c r="AS1594" i="10"/>
  <c r="AK1522" i="10"/>
  <c r="AU1522" i="10"/>
  <c r="AQ1522" i="10"/>
  <c r="AW1522" i="10"/>
  <c r="AM1522" i="10"/>
  <c r="AT1522" i="10"/>
  <c r="AL1522" i="10"/>
  <c r="AV1522" i="10"/>
  <c r="AP1522" i="10"/>
  <c r="AJ1522" i="10"/>
  <c r="AS1522" i="10"/>
  <c r="AR1522" i="10"/>
  <c r="AO1522" i="10"/>
  <c r="AX1522" i="10"/>
  <c r="AN1522" i="10"/>
  <c r="AV1512" i="10"/>
  <c r="AR1512" i="10"/>
  <c r="AT1512" i="10"/>
  <c r="AM1512" i="10"/>
  <c r="AU1512" i="10"/>
  <c r="AN1512" i="10"/>
  <c r="AP1512" i="10"/>
  <c r="AX1512" i="10"/>
  <c r="AL1512" i="10"/>
  <c r="AK1512" i="10"/>
  <c r="AJ1512" i="10"/>
  <c r="AQ1512" i="10"/>
  <c r="AS1512" i="10"/>
  <c r="AW1512" i="10"/>
  <c r="AO1512" i="10"/>
  <c r="AN2467" i="10"/>
  <c r="AU2467" i="10"/>
  <c r="AM2467" i="10"/>
  <c r="AQ2467" i="10"/>
  <c r="AO2467" i="10"/>
  <c r="AL2467" i="10"/>
  <c r="AP2467" i="10"/>
  <c r="AR2467" i="10"/>
  <c r="AK2467" i="10"/>
  <c r="AS2467" i="10"/>
  <c r="AT2467" i="10"/>
  <c r="AV2467" i="10"/>
  <c r="AJ2467" i="10"/>
  <c r="AU1428" i="10"/>
  <c r="AL1428" i="10"/>
  <c r="AQ1428" i="10"/>
  <c r="AP1428" i="10"/>
  <c r="AX1428" i="10"/>
  <c r="AV1428" i="10"/>
  <c r="AW1428" i="10"/>
  <c r="AN1428" i="10"/>
  <c r="AR1428" i="10"/>
  <c r="AO1428" i="10"/>
  <c r="AS1428" i="10"/>
  <c r="AT1428" i="10"/>
  <c r="AM1428" i="10"/>
  <c r="AK1428" i="10"/>
  <c r="AJ1428" i="10"/>
  <c r="AM1416" i="10"/>
  <c r="AS1416" i="10"/>
  <c r="AP1416" i="10"/>
  <c r="AK1416" i="10"/>
  <c r="AN1416" i="10"/>
  <c r="AQ1416" i="10"/>
  <c r="AR1416" i="10"/>
  <c r="AL1416" i="10"/>
  <c r="AU1416" i="10"/>
  <c r="AV1416" i="10"/>
  <c r="AX1416" i="10"/>
  <c r="AW1416" i="10"/>
  <c r="AJ1416" i="10"/>
  <c r="AT1416" i="10"/>
  <c r="AO1416" i="10"/>
  <c r="AO1407" i="10"/>
  <c r="AV1407" i="10"/>
  <c r="AU1407" i="10"/>
  <c r="AN1407" i="10"/>
  <c r="AM1407" i="10"/>
  <c r="AS1407" i="10"/>
  <c r="AW1407" i="10"/>
  <c r="AX1407" i="10"/>
  <c r="AT1407" i="10"/>
  <c r="AQ1407" i="10"/>
  <c r="AL1407" i="10"/>
  <c r="AP1407" i="10"/>
  <c r="AJ1407" i="10"/>
  <c r="AR1407" i="10"/>
  <c r="AJ1391" i="10"/>
  <c r="AL1391" i="10"/>
  <c r="AT1391" i="10"/>
  <c r="AU1391" i="10"/>
  <c r="AW1391" i="10"/>
  <c r="AV1391" i="10"/>
  <c r="AR1391" i="10"/>
  <c r="AQ1391" i="10"/>
  <c r="AN1391" i="10"/>
  <c r="AO1391" i="10"/>
  <c r="AP1391" i="10"/>
  <c r="AK1391" i="10"/>
  <c r="AX1391" i="10"/>
  <c r="AM1391" i="10"/>
  <c r="AS1391" i="10"/>
  <c r="AU1379" i="10"/>
  <c r="AJ1379" i="10"/>
  <c r="AM1379" i="10"/>
  <c r="AO1379" i="10"/>
  <c r="AR1379" i="10"/>
  <c r="AP1379" i="10"/>
  <c r="AS1379" i="10"/>
  <c r="AK1379" i="10"/>
  <c r="AQ1379" i="10"/>
  <c r="AT1379" i="10"/>
  <c r="AN1379" i="10"/>
  <c r="AO1361" i="10"/>
  <c r="AS1361" i="10"/>
  <c r="AJ1361" i="10"/>
  <c r="AL1296" i="10"/>
  <c r="AQ1296" i="10"/>
  <c r="AK1296" i="10"/>
  <c r="AV1296" i="10"/>
  <c r="AR1296" i="10"/>
  <c r="AN1296" i="10"/>
  <c r="AU1296" i="10"/>
  <c r="AX1296" i="10"/>
  <c r="AT1296" i="10"/>
  <c r="AP1296" i="10"/>
  <c r="AU1268" i="10"/>
  <c r="AS1268" i="10"/>
  <c r="AW1268" i="10"/>
  <c r="AK1268" i="10"/>
  <c r="AN1268" i="10"/>
  <c r="AR1268" i="10"/>
  <c r="AM1268" i="10"/>
  <c r="AJ1268" i="10"/>
  <c r="AP1268" i="10"/>
  <c r="AV1268" i="10"/>
  <c r="AO1268" i="10"/>
  <c r="AQ1268" i="10"/>
  <c r="AX1268" i="10"/>
  <c r="AX1224" i="10"/>
  <c r="AT1224" i="10"/>
  <c r="AN1224" i="10"/>
  <c r="AU1224" i="10"/>
  <c r="AP1224" i="10"/>
  <c r="AM1224" i="10"/>
  <c r="AL1224" i="10"/>
  <c r="AS1224" i="10"/>
  <c r="AK1224" i="10"/>
  <c r="AQ1224" i="10"/>
  <c r="AJ1224" i="10"/>
  <c r="AV1224" i="10"/>
  <c r="AO1224" i="10"/>
  <c r="AW1224" i="10"/>
  <c r="AR1224" i="10"/>
  <c r="AT1202" i="10"/>
  <c r="AU1202" i="10"/>
  <c r="AX1202" i="10"/>
  <c r="AN1202" i="10"/>
  <c r="AS1202" i="10"/>
  <c r="AK1202" i="10"/>
  <c r="AR1202" i="10"/>
  <c r="AP1202" i="10"/>
  <c r="AJ1202" i="10"/>
  <c r="AM1202" i="10"/>
  <c r="AQ1202" i="10"/>
  <c r="AV1202" i="10"/>
  <c r="AO1202" i="10"/>
  <c r="AW1202" i="10"/>
  <c r="AL1202" i="10"/>
  <c r="AR1170" i="10"/>
  <c r="AN1170" i="10"/>
  <c r="AJ1170" i="10"/>
  <c r="AQ1170" i="10"/>
  <c r="AL1170" i="10"/>
  <c r="AM1170" i="10"/>
  <c r="AO1170" i="10"/>
  <c r="AU1170" i="10"/>
  <c r="AS1170" i="10"/>
  <c r="AV1170" i="10"/>
  <c r="AK1170" i="10"/>
  <c r="AT1170" i="10"/>
  <c r="AX1170" i="10"/>
  <c r="AP1170" i="10"/>
  <c r="AS1159" i="10"/>
  <c r="AN1159" i="10"/>
  <c r="AX1159" i="10"/>
  <c r="AW1159" i="10"/>
  <c r="AM1159" i="10"/>
  <c r="AR1159" i="10"/>
  <c r="AQ1159" i="10"/>
  <c r="AU1159" i="10"/>
  <c r="AV1159" i="10"/>
  <c r="AJ1159" i="10"/>
  <c r="AO1159" i="10"/>
  <c r="AT1159" i="10"/>
  <c r="AL1159" i="10"/>
  <c r="AK1159" i="10"/>
  <c r="AP1159" i="10"/>
  <c r="AR1119" i="10"/>
  <c r="AO1119" i="10"/>
  <c r="AT1119" i="10"/>
  <c r="AV1119" i="10"/>
  <c r="AL1119" i="10"/>
  <c r="AJ1119" i="10"/>
  <c r="AW1119" i="10"/>
  <c r="AN1119" i="10"/>
  <c r="AX1119" i="10"/>
  <c r="AP1119" i="10"/>
  <c r="AQ1119" i="10"/>
  <c r="AS1119" i="10"/>
  <c r="AK1119" i="10"/>
  <c r="AX1064" i="10"/>
  <c r="AP1064" i="10"/>
  <c r="AO1064" i="10"/>
  <c r="AR1064" i="10"/>
  <c r="AV1064" i="10"/>
  <c r="AK1064" i="10"/>
  <c r="AW1064" i="10"/>
  <c r="AQ1064" i="10"/>
  <c r="AT1064" i="10"/>
  <c r="AU1064" i="10"/>
  <c r="AJ1064" i="10"/>
  <c r="AM1064" i="10"/>
  <c r="AS1064" i="10"/>
  <c r="AN1064" i="10"/>
  <c r="AL1064" i="10"/>
  <c r="AN1047" i="10"/>
  <c r="AK1047" i="10"/>
  <c r="AR1047" i="10"/>
  <c r="AU1047" i="10"/>
  <c r="AS1047" i="10"/>
  <c r="AU1031" i="10"/>
  <c r="AX1031" i="10"/>
  <c r="AM1014" i="10"/>
  <c r="AS1014" i="10"/>
  <c r="AV1014" i="10"/>
  <c r="AP1014" i="10"/>
  <c r="AU1014" i="10"/>
  <c r="AQ1014" i="10"/>
  <c r="AX1014" i="10"/>
  <c r="AL1014" i="10"/>
  <c r="AK1014" i="10"/>
  <c r="AW1014" i="10"/>
  <c r="AN1014" i="10"/>
  <c r="AJ1014" i="10"/>
  <c r="AO1014" i="10"/>
  <c r="AT1014" i="10"/>
  <c r="AR1014" i="10"/>
  <c r="AX973" i="10"/>
  <c r="AJ973" i="10"/>
  <c r="AK973" i="10"/>
  <c r="AW973" i="10"/>
  <c r="AW956" i="10"/>
  <c r="AP956" i="10"/>
  <c r="AO956" i="10"/>
  <c r="AN956" i="10"/>
  <c r="AM956" i="10"/>
  <c r="AQ956" i="10"/>
  <c r="AT956" i="10"/>
  <c r="AL956" i="10"/>
  <c r="AK956" i="10"/>
  <c r="AV956" i="10"/>
  <c r="AR956" i="10"/>
  <c r="AX956" i="10"/>
  <c r="AU956" i="10"/>
  <c r="AJ956" i="10"/>
  <c r="AS956" i="10"/>
  <c r="AJ932" i="10"/>
  <c r="AX932" i="10"/>
  <c r="AW932" i="10"/>
  <c r="AK932" i="10"/>
  <c r="AX913" i="10"/>
  <c r="AW913" i="10"/>
  <c r="AR913" i="10"/>
  <c r="AL913" i="10"/>
  <c r="AO913" i="10"/>
  <c r="AN913" i="10"/>
  <c r="AV913" i="10"/>
  <c r="AM913" i="10"/>
  <c r="AS913" i="10"/>
  <c r="AJ913" i="10"/>
  <c r="AP913" i="10"/>
  <c r="AK913" i="10"/>
  <c r="AT913" i="10"/>
  <c r="AU913" i="10"/>
  <c r="AX811" i="10"/>
  <c r="AW811" i="10"/>
  <c r="AK811" i="10"/>
  <c r="AL811" i="10"/>
  <c r="AM811" i="10"/>
  <c r="AJ811" i="10"/>
  <c r="AR800" i="10"/>
  <c r="AX800" i="10"/>
  <c r="AW800" i="10"/>
  <c r="AN800" i="10"/>
  <c r="AU800" i="10"/>
  <c r="AS800" i="10"/>
  <c r="AL800" i="10"/>
  <c r="AV800" i="10"/>
  <c r="AJ800" i="10"/>
  <c r="AO800" i="10"/>
  <c r="AT800" i="10"/>
  <c r="AQ800" i="10"/>
  <c r="AP800" i="10"/>
  <c r="AM800" i="10"/>
  <c r="AX785" i="10"/>
  <c r="AW785" i="10"/>
  <c r="AK785" i="10"/>
  <c r="AJ785" i="10"/>
  <c r="AW771" i="10"/>
  <c r="AX771" i="10"/>
  <c r="AJ771" i="10"/>
  <c r="AK771" i="10"/>
  <c r="AX749" i="10"/>
  <c r="AK749" i="10"/>
  <c r="AW749" i="10"/>
  <c r="AJ749" i="10"/>
  <c r="AW737" i="10"/>
  <c r="AX737" i="10"/>
  <c r="AJ737" i="10"/>
  <c r="AU695" i="10"/>
  <c r="AT695" i="10"/>
  <c r="AS695" i="10"/>
  <c r="AQ695" i="10"/>
  <c r="AP695" i="10"/>
  <c r="AL695" i="10"/>
  <c r="AO695" i="10"/>
  <c r="AN695" i="10"/>
  <c r="AJ695" i="10"/>
  <c r="AM695" i="10"/>
  <c r="AK695" i="10"/>
  <c r="AX695" i="10"/>
  <c r="AW695" i="10"/>
  <c r="P114" i="45"/>
  <c r="AJ680" i="10"/>
  <c r="AS2281" i="10"/>
  <c r="AX1356" i="10"/>
  <c r="AJ2042" i="10"/>
  <c r="AQ2581" i="10"/>
  <c r="AK2007" i="10"/>
  <c r="AS2683" i="10"/>
  <c r="AS2126" i="10"/>
  <c r="AR695" i="10"/>
  <c r="AL2525" i="10"/>
  <c r="AT1648" i="10"/>
  <c r="AV1629" i="10"/>
  <c r="AK1581" i="10"/>
  <c r="AP1689" i="10"/>
  <c r="AM2607" i="10"/>
  <c r="AN715" i="10"/>
  <c r="AV2555" i="10"/>
  <c r="AS1590" i="10"/>
  <c r="AN908" i="10"/>
  <c r="AK1689" i="10"/>
  <c r="AO715" i="10"/>
  <c r="AK737" i="10"/>
  <c r="AL715" i="10"/>
  <c r="AW2645" i="10"/>
  <c r="AN676" i="10"/>
  <c r="AN817" i="10"/>
  <c r="AM868" i="10"/>
  <c r="AK1802" i="10"/>
  <c r="AO676" i="10"/>
  <c r="AR672" i="10"/>
  <c r="AT817" i="10"/>
  <c r="AV920" i="10"/>
  <c r="AQ1807" i="10"/>
  <c r="AX2682" i="10"/>
  <c r="AK1705" i="10"/>
  <c r="AM2141" i="10"/>
  <c r="AU2704" i="10"/>
  <c r="AT2704" i="10"/>
  <c r="AV2704" i="10"/>
  <c r="AP2704" i="10"/>
  <c r="AS2704" i="10"/>
  <c r="AK2704" i="10"/>
  <c r="AX2704" i="10"/>
  <c r="AO2704" i="10"/>
  <c r="AM2704" i="10"/>
  <c r="AQ2704" i="10"/>
  <c r="AL2704" i="10"/>
  <c r="AR2704" i="10"/>
  <c r="AS2672" i="10"/>
  <c r="AK2672" i="10"/>
  <c r="AR2672" i="10"/>
  <c r="AQ2672" i="10"/>
  <c r="AO2672" i="10"/>
  <c r="AW2672" i="10"/>
  <c r="AP2672" i="10"/>
  <c r="AT2672" i="10"/>
  <c r="AM2672" i="10"/>
  <c r="AJ2672" i="10"/>
  <c r="AN2672" i="10"/>
  <c r="AX2672" i="10"/>
  <c r="AT2447" i="10"/>
  <c r="AX2447" i="10"/>
  <c r="AR2447" i="10"/>
  <c r="AV2447" i="10"/>
  <c r="AK2447" i="10"/>
  <c r="AW2447" i="10"/>
  <c r="AP2447" i="10"/>
  <c r="AL2447" i="10"/>
  <c r="AN2447" i="10"/>
  <c r="AQ2447" i="10"/>
  <c r="AO2447" i="10"/>
  <c r="AS2447" i="10"/>
  <c r="AJ2447" i="10"/>
  <c r="AQ2401" i="10"/>
  <c r="AK2401" i="10"/>
  <c r="AT2401" i="10"/>
  <c r="AJ2401" i="10"/>
  <c r="AL2401" i="10"/>
  <c r="AR2401" i="10"/>
  <c r="AS2401" i="10"/>
  <c r="AN2401" i="10"/>
  <c r="AU2401" i="10"/>
  <c r="AN2324" i="10"/>
  <c r="AS2324" i="10"/>
  <c r="AM2324" i="10"/>
  <c r="AM2235" i="10"/>
  <c r="AO2235" i="10"/>
  <c r="AU2235" i="10"/>
  <c r="AL2235" i="10"/>
  <c r="AT2235" i="10"/>
  <c r="AV2235" i="10"/>
  <c r="AJ2235" i="10"/>
  <c r="AR2235" i="10"/>
  <c r="AP2235" i="10"/>
  <c r="AS2235" i="10"/>
  <c r="L15" i="45"/>
  <c r="M8" i="43" s="1"/>
  <c r="AX2235" i="10"/>
  <c r="P6" i="45"/>
  <c r="AN2235" i="10"/>
  <c r="E51" i="45"/>
  <c r="L51" i="45"/>
  <c r="H25" i="53" s="1"/>
  <c r="AO2183" i="10"/>
  <c r="AT2183" i="10"/>
  <c r="AP2183" i="10"/>
  <c r="AU2183" i="10"/>
  <c r="AX2183" i="10"/>
  <c r="AM2183" i="10"/>
  <c r="AN2183" i="10"/>
  <c r="AS2183" i="10"/>
  <c r="AW2183" i="10"/>
  <c r="AL2183" i="10"/>
  <c r="AQ2183" i="10"/>
  <c r="AJ2183" i="10"/>
  <c r="AV2183" i="10"/>
  <c r="AR2183" i="10"/>
  <c r="AP1940" i="10"/>
  <c r="AQ1940" i="10"/>
  <c r="AW1940" i="10"/>
  <c r="AL1940" i="10"/>
  <c r="AT1940" i="10"/>
  <c r="AR1940" i="10"/>
  <c r="AK1940" i="10"/>
  <c r="AJ1940" i="10"/>
  <c r="AS1940" i="10"/>
  <c r="AO1940" i="10"/>
  <c r="AU1940" i="10"/>
  <c r="AX1940" i="10"/>
  <c r="AV1940" i="10"/>
  <c r="AN1940" i="10"/>
  <c r="AM1905" i="10"/>
  <c r="AP1905" i="10"/>
  <c r="AL1905" i="10"/>
  <c r="AO1905" i="10"/>
  <c r="AQ1905" i="10"/>
  <c r="AU1905" i="10"/>
  <c r="AS1905" i="10"/>
  <c r="AR1905" i="10"/>
  <c r="AT1905" i="10"/>
  <c r="AN1905" i="10"/>
  <c r="AX1905" i="10"/>
  <c r="AW1905" i="10"/>
  <c r="AV1905" i="10"/>
  <c r="AK1905" i="10"/>
  <c r="AJ1905" i="10"/>
  <c r="AK1826" i="10"/>
  <c r="AO1826" i="10"/>
  <c r="AW1826" i="10"/>
  <c r="AQ1826" i="10"/>
  <c r="AJ1826" i="10"/>
  <c r="AR1826" i="10"/>
  <c r="AX1826" i="10"/>
  <c r="AM1826" i="10"/>
  <c r="AS1826" i="10"/>
  <c r="AL1826" i="10"/>
  <c r="AV1826" i="10"/>
  <c r="AU1826" i="10"/>
  <c r="AN1826" i="10"/>
  <c r="AT1826" i="10"/>
  <c r="AM1730" i="10"/>
  <c r="AP1730" i="10"/>
  <c r="AT1730" i="10"/>
  <c r="AU1730" i="10"/>
  <c r="AV1730" i="10"/>
  <c r="AK1730" i="10"/>
  <c r="AN1730" i="10"/>
  <c r="AO1730" i="10"/>
  <c r="AX1730" i="10"/>
  <c r="AJ1730" i="10"/>
  <c r="AQ1730" i="10"/>
  <c r="AL1730" i="10"/>
  <c r="AS1730" i="10"/>
  <c r="AR1730" i="10"/>
  <c r="AW1730" i="10"/>
  <c r="AP1576" i="10"/>
  <c r="AS1576" i="10"/>
  <c r="AU1576" i="10"/>
  <c r="AT1576" i="10"/>
  <c r="AO1576" i="10"/>
  <c r="AK1576" i="10"/>
  <c r="AQ1576" i="10"/>
  <c r="AR1576" i="10"/>
  <c r="AJ1576" i="10"/>
  <c r="AM1576" i="10"/>
  <c r="AV1576" i="10"/>
  <c r="AN1576" i="10"/>
  <c r="AL1576" i="10"/>
  <c r="AN1502" i="10"/>
  <c r="AP1502" i="10"/>
  <c r="AO1502" i="10"/>
  <c r="AK1502" i="10"/>
  <c r="AS1502" i="10"/>
  <c r="AM1502" i="10"/>
  <c r="AU1502" i="10"/>
  <c r="AQ1502" i="10"/>
  <c r="AJ1502" i="10"/>
  <c r="AL1502" i="10"/>
  <c r="AT1502" i="10"/>
  <c r="AR1502" i="10"/>
  <c r="AV1502" i="10"/>
  <c r="AS1476" i="10"/>
  <c r="AP1476" i="10"/>
  <c r="AN1476" i="10"/>
  <c r="AX1476" i="10"/>
  <c r="AU1476" i="10"/>
  <c r="AQ1476" i="10"/>
  <c r="AV1476" i="10"/>
  <c r="AO1476" i="10"/>
  <c r="AM1476" i="10"/>
  <c r="AL1476" i="10"/>
  <c r="AK1476" i="10"/>
  <c r="AT1476" i="10"/>
  <c r="AR1476" i="10"/>
  <c r="AJ1476" i="10"/>
  <c r="AW1476" i="10"/>
  <c r="AL1368" i="10"/>
  <c r="AN1368" i="10"/>
  <c r="AS1368" i="10"/>
  <c r="AW1368" i="10"/>
  <c r="AV1368" i="10"/>
  <c r="AR1368" i="10"/>
  <c r="AT1368" i="10"/>
  <c r="AM1368" i="10"/>
  <c r="AJ1368" i="10"/>
  <c r="AK1368" i="10"/>
  <c r="AO1368" i="10"/>
  <c r="AU1368" i="10"/>
  <c r="AX1368" i="10"/>
  <c r="AQ1368" i="10"/>
  <c r="AT1269" i="10"/>
  <c r="AX1269" i="10"/>
  <c r="AW1269" i="10"/>
  <c r="AR1269" i="10"/>
  <c r="AJ1269" i="10"/>
  <c r="AP1269" i="10"/>
  <c r="AS1269" i="10"/>
  <c r="AK1269" i="10"/>
  <c r="AM1269" i="10"/>
  <c r="AU1269" i="10"/>
  <c r="AL1269" i="10"/>
  <c r="AO1269" i="10"/>
  <c r="AW1231" i="10"/>
  <c r="AU1231" i="10"/>
  <c r="AR1231" i="10"/>
  <c r="AL1231" i="10"/>
  <c r="AM1231" i="10"/>
  <c r="AV1231" i="10"/>
  <c r="AQ1231" i="10"/>
  <c r="AN1231" i="10"/>
  <c r="AP1231" i="10"/>
  <c r="AX1231" i="10"/>
  <c r="AO1231" i="10"/>
  <c r="AT1231" i="10"/>
  <c r="AS1231" i="10"/>
  <c r="AJ1231" i="10"/>
  <c r="AK1231" i="10"/>
  <c r="AJ1203" i="10"/>
  <c r="AN1203" i="10"/>
  <c r="AS1203" i="10"/>
  <c r="AM1203" i="10"/>
  <c r="AL1176" i="10"/>
  <c r="AV1176" i="10"/>
  <c r="AJ1176" i="10"/>
  <c r="AQ1176" i="10"/>
  <c r="AX1176" i="10"/>
  <c r="AR1176" i="10"/>
  <c r="AX1071" i="10"/>
  <c r="AN1071" i="10"/>
  <c r="AS1071" i="10"/>
  <c r="AT1071" i="10"/>
  <c r="AQ1071" i="10"/>
  <c r="AJ1071" i="10"/>
  <c r="AP1071" i="10"/>
  <c r="AK1071" i="10"/>
  <c r="AO980" i="10"/>
  <c r="AK980" i="10"/>
  <c r="AS940" i="10"/>
  <c r="AP940" i="10"/>
  <c r="AM940" i="10"/>
  <c r="AQ940" i="10"/>
  <c r="AJ940" i="10"/>
  <c r="AL940" i="10"/>
  <c r="AN940" i="10"/>
  <c r="AX940" i="10"/>
  <c r="AT940" i="10"/>
  <c r="AO940" i="10"/>
  <c r="AR940" i="10"/>
  <c r="AV940" i="10"/>
  <c r="AW940" i="10"/>
  <c r="AU940" i="10"/>
  <c r="AK940" i="10"/>
  <c r="AW787" i="10"/>
  <c r="AX787" i="10"/>
  <c r="AD90" i="45"/>
  <c r="AH16" i="43" s="1"/>
  <c r="AJ787" i="10"/>
  <c r="AH99" i="45"/>
  <c r="AD129" i="45"/>
  <c r="AK787" i="10"/>
  <c r="AF129" i="45"/>
  <c r="AH129" i="45"/>
  <c r="AX750" i="10"/>
  <c r="AK750" i="10"/>
  <c r="AW750" i="10"/>
  <c r="AH126" i="45"/>
  <c r="AD126" i="45"/>
  <c r="AJ750" i="10"/>
  <c r="E126" i="45"/>
  <c r="AJ692" i="10"/>
  <c r="AW692" i="10"/>
  <c r="AX692" i="10"/>
  <c r="AW2235" i="10"/>
  <c r="AJ1126" i="10"/>
  <c r="AP1826" i="10"/>
  <c r="AL1440" i="10"/>
  <c r="AT2721" i="10"/>
  <c r="AQ2721" i="10"/>
  <c r="AP2721" i="10"/>
  <c r="AU2721" i="10"/>
  <c r="AJ2721" i="10"/>
  <c r="AS2721" i="10"/>
  <c r="AO2721" i="10"/>
  <c r="AL2721" i="10"/>
  <c r="AN2721" i="10"/>
  <c r="AK2721" i="10"/>
  <c r="AV2677" i="10"/>
  <c r="AJ2677" i="10"/>
  <c r="AX2677" i="10"/>
  <c r="AR2677" i="10"/>
  <c r="AS2677" i="10"/>
  <c r="AP2677" i="10"/>
  <c r="AO2677" i="10"/>
  <c r="AT2677" i="10"/>
  <c r="AL2677" i="10"/>
  <c r="AQ2677" i="10"/>
  <c r="AU2677" i="10"/>
  <c r="AK2677" i="10"/>
  <c r="AM2677" i="10"/>
  <c r="AW2677" i="10"/>
  <c r="AP2575" i="10"/>
  <c r="AJ2575" i="10"/>
  <c r="AO2560" i="10"/>
  <c r="AP2560" i="10"/>
  <c r="AN2560" i="10"/>
  <c r="AL2560" i="10"/>
  <c r="AV2560" i="10"/>
  <c r="AK2560" i="10"/>
  <c r="AQ2560" i="10"/>
  <c r="AM2560" i="10"/>
  <c r="AU2560" i="10"/>
  <c r="AX2560" i="10"/>
  <c r="AT2560" i="10"/>
  <c r="AW2560" i="10"/>
  <c r="AR2560" i="10"/>
  <c r="AJ2560" i="10"/>
  <c r="AS2560" i="10"/>
  <c r="AP2499" i="10"/>
  <c r="AL2499" i="10"/>
  <c r="AW2499" i="10"/>
  <c r="AJ2499" i="10"/>
  <c r="AT2499" i="10"/>
  <c r="AJ2424" i="10"/>
  <c r="AW2424" i="10"/>
  <c r="AR2424" i="10"/>
  <c r="AS2424" i="10"/>
  <c r="AK2424" i="10"/>
  <c r="AN2406" i="10"/>
  <c r="AR2406" i="10"/>
  <c r="AQ2406" i="10"/>
  <c r="AJ2406" i="10"/>
  <c r="AU2406" i="10"/>
  <c r="AU2297" i="10"/>
  <c r="AP2297" i="10"/>
  <c r="AL2297" i="10"/>
  <c r="AV2297" i="10"/>
  <c r="AT2297" i="10"/>
  <c r="AS2297" i="10"/>
  <c r="AO2297" i="10"/>
  <c r="AN2297" i="10"/>
  <c r="AX2297" i="10"/>
  <c r="AK2297" i="10"/>
  <c r="AR2297" i="10"/>
  <c r="AQ2297" i="10"/>
  <c r="AM2297" i="10"/>
  <c r="AW2297" i="10"/>
  <c r="AJ2297" i="10"/>
  <c r="AM2281" i="10"/>
  <c r="AT2281" i="10"/>
  <c r="AP2281" i="10"/>
  <c r="AW2281" i="10"/>
  <c r="AU2281" i="10"/>
  <c r="AK2281" i="10"/>
  <c r="AV2281" i="10"/>
  <c r="AO2246" i="10"/>
  <c r="AN2246" i="10"/>
  <c r="AP2246" i="10"/>
  <c r="AR2246" i="10"/>
  <c r="AK2246" i="10"/>
  <c r="AS2246" i="10"/>
  <c r="AQ2246" i="10"/>
  <c r="AJ2246" i="10"/>
  <c r="AL2246" i="10"/>
  <c r="AU2246" i="10"/>
  <c r="AV2246" i="10"/>
  <c r="AW2246" i="10"/>
  <c r="AX2246" i="10"/>
  <c r="AT2246" i="10"/>
  <c r="AW2213" i="10"/>
  <c r="AV2213" i="10"/>
  <c r="AR2213" i="10"/>
  <c r="AN2213" i="10"/>
  <c r="AU2213" i="10"/>
  <c r="AQ2213" i="10"/>
  <c r="AS2213" i="10"/>
  <c r="AJ2213" i="10"/>
  <c r="AO2213" i="10"/>
  <c r="AJ2203" i="10"/>
  <c r="AN2203" i="10"/>
  <c r="AO2203" i="10"/>
  <c r="AS2203" i="10"/>
  <c r="AK2153" i="10"/>
  <c r="AO2153" i="10"/>
  <c r="AJ2153" i="10"/>
  <c r="AP2103" i="10"/>
  <c r="AX2103" i="10"/>
  <c r="AU2103" i="10"/>
  <c r="AR2103" i="10"/>
  <c r="AM2103" i="10"/>
  <c r="AJ2103" i="10"/>
  <c r="AN2103" i="10"/>
  <c r="AV2092" i="10"/>
  <c r="AQ2092" i="10"/>
  <c r="AX2092" i="10"/>
  <c r="AL2092" i="10"/>
  <c r="AU2092" i="10"/>
  <c r="AJ2092" i="10"/>
  <c r="AM2060" i="10"/>
  <c r="AJ2060" i="10"/>
  <c r="AX2060" i="10"/>
  <c r="AP2060" i="10"/>
  <c r="AO2029" i="10"/>
  <c r="AU2029" i="10"/>
  <c r="AJ2029" i="10"/>
  <c r="AN2029" i="10"/>
  <c r="AK2029" i="10"/>
  <c r="AR2029" i="10"/>
  <c r="AN2014" i="10"/>
  <c r="AQ2014" i="10"/>
  <c r="AM2014" i="10"/>
  <c r="AX2014" i="10"/>
  <c r="AO2014" i="10"/>
  <c r="AL2014" i="10"/>
  <c r="AJ2014" i="10"/>
  <c r="AP2014" i="10"/>
  <c r="AU2014" i="10"/>
  <c r="AT2014" i="10"/>
  <c r="AW2014" i="10"/>
  <c r="AK2014" i="10"/>
  <c r="AS2000" i="10"/>
  <c r="AN2000" i="10"/>
  <c r="AL2000" i="10"/>
  <c r="AO2000" i="10"/>
  <c r="AT2000" i="10"/>
  <c r="AR2000" i="10"/>
  <c r="AX2000" i="10"/>
  <c r="AP2000" i="10"/>
  <c r="AJ2000" i="10"/>
  <c r="AK2000" i="10"/>
  <c r="AU2000" i="10"/>
  <c r="AP1990" i="10"/>
  <c r="AT1990" i="10"/>
  <c r="AN1968" i="10"/>
  <c r="AX1968" i="10"/>
  <c r="AM1968" i="10"/>
  <c r="AP1968" i="10"/>
  <c r="AK1968" i="10"/>
  <c r="AW1968" i="10"/>
  <c r="AV1968" i="10"/>
  <c r="AT1968" i="10"/>
  <c r="AQ1968" i="10"/>
  <c r="AJ1968" i="10"/>
  <c r="AO1968" i="10"/>
  <c r="AS1968" i="10"/>
  <c r="AR1968" i="10"/>
  <c r="AL1968" i="10"/>
  <c r="AS1883" i="10"/>
  <c r="AR1883" i="10"/>
  <c r="AU1883" i="10"/>
  <c r="AQ1883" i="10"/>
  <c r="AM1883" i="10"/>
  <c r="AN1883" i="10"/>
  <c r="AK1883" i="10"/>
  <c r="AJ1883" i="10"/>
  <c r="AT1883" i="10"/>
  <c r="AP1883" i="10"/>
  <c r="AO1883" i="10"/>
  <c r="AL1883" i="10"/>
  <c r="AW1883" i="10"/>
  <c r="AV1883" i="10"/>
  <c r="AX1883" i="10"/>
  <c r="AM1862" i="10"/>
  <c r="AN1862" i="10"/>
  <c r="AO1862" i="10"/>
  <c r="AL1862" i="10"/>
  <c r="AQ1862" i="10"/>
  <c r="AJ1862" i="10"/>
  <c r="AV1862" i="10"/>
  <c r="AT1862" i="10"/>
  <c r="AS1862" i="10"/>
  <c r="AU1862" i="10"/>
  <c r="AM1846" i="10"/>
  <c r="AV1846" i="10"/>
  <c r="AO1846" i="10"/>
  <c r="AR1846" i="10"/>
  <c r="AT1846" i="10"/>
  <c r="AJ1846" i="10"/>
  <c r="AU1846" i="10"/>
  <c r="AW1846" i="10"/>
  <c r="AL1846" i="10"/>
  <c r="AK1846" i="10"/>
  <c r="AS1846" i="10"/>
  <c r="AN1846" i="10"/>
  <c r="AX1846" i="10"/>
  <c r="AP1846" i="10"/>
  <c r="AQ1812" i="10"/>
  <c r="AT1812" i="10"/>
  <c r="AS1812" i="10"/>
  <c r="AR1812" i="10"/>
  <c r="AO1812" i="10"/>
  <c r="AN1812" i="10"/>
  <c r="AM1812" i="10"/>
  <c r="AW1812" i="10"/>
  <c r="AJ1812" i="10"/>
  <c r="AX1812" i="10"/>
  <c r="AK1812" i="10"/>
  <c r="AL1812" i="10"/>
  <c r="AP1812" i="10"/>
  <c r="AV1812" i="10"/>
  <c r="AV1797" i="10"/>
  <c r="AJ1797" i="10"/>
  <c r="AO1797" i="10"/>
  <c r="AR1720" i="10"/>
  <c r="AO1720" i="10"/>
  <c r="AS1720" i="10"/>
  <c r="AK1720" i="10"/>
  <c r="AN1720" i="10"/>
  <c r="AP1720" i="10"/>
  <c r="AJ1720" i="10"/>
  <c r="AV1720" i="10"/>
  <c r="AM1720" i="10"/>
  <c r="AM1694" i="10"/>
  <c r="AQ1694" i="10"/>
  <c r="AS1694" i="10"/>
  <c r="AT1694" i="10"/>
  <c r="AR1694" i="10"/>
  <c r="AK1694" i="10"/>
  <c r="AU1694" i="10"/>
  <c r="AO1694" i="10"/>
  <c r="AP1694" i="10"/>
  <c r="AL1694" i="10"/>
  <c r="AN1694" i="10"/>
  <c r="AV1694" i="10"/>
  <c r="AO1664" i="10"/>
  <c r="AV1664" i="10"/>
  <c r="AT1664" i="10"/>
  <c r="AJ1664" i="10"/>
  <c r="AP1664" i="10"/>
  <c r="AX1664" i="10"/>
  <c r="AW1664" i="10"/>
  <c r="AL1664" i="10"/>
  <c r="AQ1664" i="10"/>
  <c r="AK1664" i="10"/>
  <c r="AU1664" i="10"/>
  <c r="AS1664" i="10"/>
  <c r="AM1664" i="10"/>
  <c r="AN1664" i="10"/>
  <c r="AR1664" i="10"/>
  <c r="AN1653" i="10"/>
  <c r="AO1653" i="10"/>
  <c r="AL1653" i="10"/>
  <c r="AV1653" i="10"/>
  <c r="AQ1653" i="10"/>
  <c r="AS1653" i="10"/>
  <c r="AU1653" i="10"/>
  <c r="AM1653" i="10"/>
  <c r="AJ1653" i="10"/>
  <c r="AR1653" i="10"/>
  <c r="AT1653" i="10"/>
  <c r="AK1653" i="10"/>
  <c r="AR1624" i="10"/>
  <c r="AQ1624" i="10"/>
  <c r="AT1624" i="10"/>
  <c r="AS1624" i="10"/>
  <c r="AJ1624" i="10"/>
  <c r="AV1624" i="10"/>
  <c r="AK1624" i="10"/>
  <c r="AL1624" i="10"/>
  <c r="AW1624" i="10"/>
  <c r="AU1624" i="10"/>
  <c r="AX1624" i="10"/>
  <c r="AO1624" i="10"/>
  <c r="AM1624" i="10"/>
  <c r="AN1624" i="10"/>
  <c r="AP1624" i="10"/>
  <c r="AQ1609" i="10"/>
  <c r="AN1609" i="10"/>
  <c r="AM1609" i="10"/>
  <c r="AL1609" i="10"/>
  <c r="AW1609" i="10"/>
  <c r="AL1559" i="10"/>
  <c r="AO1559" i="10"/>
  <c r="AR1559" i="10"/>
  <c r="AS1559" i="10"/>
  <c r="AP1559" i="10"/>
  <c r="AT1559" i="10"/>
  <c r="AK1559" i="10"/>
  <c r="AW1559" i="10"/>
  <c r="AX1559" i="10"/>
  <c r="AJ1559" i="10"/>
  <c r="AM1497" i="10"/>
  <c r="AR1497" i="10"/>
  <c r="AP1497" i="10"/>
  <c r="AX1497" i="10"/>
  <c r="AU1497" i="10"/>
  <c r="AJ1497" i="10"/>
  <c r="AK1497" i="10"/>
  <c r="AT1497" i="10"/>
  <c r="AS1497" i="10"/>
  <c r="AN1497" i="10"/>
  <c r="AO1497" i="10"/>
  <c r="AV1497" i="10"/>
  <c r="AX1486" i="10"/>
  <c r="AQ1486" i="10"/>
  <c r="AU1486" i="10"/>
  <c r="AP1486" i="10"/>
  <c r="AL1486" i="10"/>
  <c r="AT1486" i="10"/>
  <c r="AN1486" i="10"/>
  <c r="AR1486" i="10"/>
  <c r="AO1486" i="10"/>
  <c r="AS1486" i="10"/>
  <c r="AV1486" i="10"/>
  <c r="AJ1486" i="10"/>
  <c r="AX1471" i="10"/>
  <c r="AJ1471" i="10"/>
  <c r="AR1471" i="10"/>
  <c r="AL1471" i="10"/>
  <c r="AW1471" i="10"/>
  <c r="AT1471" i="10"/>
  <c r="AO1471" i="10"/>
  <c r="AS1471" i="10"/>
  <c r="AP1471" i="10"/>
  <c r="AN1471" i="10"/>
  <c r="AK1471" i="10"/>
  <c r="AQ1471" i="10"/>
  <c r="AT1452" i="10"/>
  <c r="AW1452" i="10"/>
  <c r="AL1452" i="10"/>
  <c r="AQ1452" i="10"/>
  <c r="AS1452" i="10"/>
  <c r="AM1452" i="10"/>
  <c r="AR1452" i="10"/>
  <c r="AO1452" i="10"/>
  <c r="AV1452" i="10"/>
  <c r="AJ1452" i="10"/>
  <c r="AP1452" i="10"/>
  <c r="AU1452" i="10"/>
  <c r="AN1452" i="10"/>
  <c r="AK1452" i="10"/>
  <c r="AO1423" i="10"/>
  <c r="AT1423" i="10"/>
  <c r="AW1423" i="10"/>
  <c r="AN1423" i="10"/>
  <c r="AM1423" i="10"/>
  <c r="AV1423" i="10"/>
  <c r="AS1423" i="10"/>
  <c r="AK1423" i="10"/>
  <c r="AL1423" i="10"/>
  <c r="AX1423" i="10"/>
  <c r="AJ1423" i="10"/>
  <c r="AU1423" i="10"/>
  <c r="AQ1423" i="10"/>
  <c r="AQ1412" i="10"/>
  <c r="AR1412" i="10"/>
  <c r="AJ1412" i="10"/>
  <c r="AV1317" i="10"/>
  <c r="AL1317" i="10"/>
  <c r="AU1317" i="10"/>
  <c r="AQ1317" i="10"/>
  <c r="AR1317" i="10"/>
  <c r="AW1317" i="10"/>
  <c r="AX1317" i="10"/>
  <c r="AN1317" i="10"/>
  <c r="AK1317" i="10"/>
  <c r="AT1317" i="10"/>
  <c r="AO1317" i="10"/>
  <c r="AM1317" i="10"/>
  <c r="AP1317" i="10"/>
  <c r="AJ1317" i="10"/>
  <c r="AS1317" i="10"/>
  <c r="AM1302" i="10"/>
  <c r="AT1302" i="10"/>
  <c r="AO1302" i="10"/>
  <c r="AX1302" i="10"/>
  <c r="AL1302" i="10"/>
  <c r="AW1302" i="10"/>
  <c r="AK1302" i="10"/>
  <c r="AS1302" i="10"/>
  <c r="AQ1302" i="10"/>
  <c r="AN1302" i="10"/>
  <c r="AJ1302" i="10"/>
  <c r="AV1302" i="10"/>
  <c r="AR1302" i="10"/>
  <c r="AU1302" i="10"/>
  <c r="AP1302" i="10"/>
  <c r="AO1279" i="10"/>
  <c r="AW1279" i="10"/>
  <c r="AT1279" i="10"/>
  <c r="AR1279" i="10"/>
  <c r="AU1279" i="10"/>
  <c r="AJ1279" i="10"/>
  <c r="AX1279" i="10"/>
  <c r="AL1279" i="10"/>
  <c r="AV1279" i="10"/>
  <c r="AM1279" i="10"/>
  <c r="AS1279" i="10"/>
  <c r="AN1279" i="10"/>
  <c r="AK1279" i="10"/>
  <c r="AQ1279" i="10"/>
  <c r="AU1219" i="10"/>
  <c r="AN1219" i="10"/>
  <c r="AV1219" i="10"/>
  <c r="AW1219" i="10"/>
  <c r="AR1219" i="10"/>
  <c r="AP1219" i="10"/>
  <c r="AT1219" i="10"/>
  <c r="AQ1219" i="10"/>
  <c r="AO1219" i="10"/>
  <c r="AL1219" i="10"/>
  <c r="AK1219" i="10"/>
  <c r="AX1219" i="10"/>
  <c r="AS1219" i="10"/>
  <c r="AM1219" i="10"/>
  <c r="AJ1219" i="10"/>
  <c r="AX1097" i="10"/>
  <c r="AQ1097" i="10"/>
  <c r="AL1097" i="10"/>
  <c r="AK1097" i="10"/>
  <c r="AN1097" i="10"/>
  <c r="AR1097" i="10"/>
  <c r="AS1097" i="10"/>
  <c r="AO1097" i="10"/>
  <c r="AJ1097" i="10"/>
  <c r="AW1097" i="10"/>
  <c r="AV1097" i="10"/>
  <c r="AT1097" i="10"/>
  <c r="AU1097" i="10"/>
  <c r="AP1097" i="10"/>
  <c r="AM1097" i="10"/>
  <c r="AJ1080" i="10"/>
  <c r="AO1080" i="10"/>
  <c r="AS1080" i="10"/>
  <c r="AR1080" i="10"/>
  <c r="AN1080" i="10"/>
  <c r="AM1080" i="10"/>
  <c r="AX1053" i="10"/>
  <c r="AP1053" i="10"/>
  <c r="AO1053" i="10"/>
  <c r="AS1053" i="10"/>
  <c r="AM1053" i="10"/>
  <c r="AN1053" i="10"/>
  <c r="AK1053" i="10"/>
  <c r="AL1053" i="10"/>
  <c r="AU1053" i="10"/>
  <c r="AT1053" i="10"/>
  <c r="AW1053" i="10"/>
  <c r="AJ1053" i="10"/>
  <c r="AR1053" i="10"/>
  <c r="AQ1053" i="10"/>
  <c r="AV1053" i="10"/>
  <c r="AX1037" i="10"/>
  <c r="AO1037" i="10"/>
  <c r="AW1037" i="10"/>
  <c r="AU1037" i="10"/>
  <c r="AP1037" i="10"/>
  <c r="AK1037" i="10"/>
  <c r="AS1037" i="10"/>
  <c r="AV1037" i="10"/>
  <c r="AM1037" i="10"/>
  <c r="AT1037" i="10"/>
  <c r="AR1037" i="10"/>
  <c r="AQ1037" i="10"/>
  <c r="AJ1037" i="10"/>
  <c r="AK1026" i="10"/>
  <c r="AW1026" i="10"/>
  <c r="AJ1026" i="10"/>
  <c r="AX1026" i="10"/>
  <c r="AP1003" i="10"/>
  <c r="AU1003" i="10"/>
  <c r="AR1003" i="10"/>
  <c r="AN1003" i="10"/>
  <c r="AJ1003" i="10"/>
  <c r="AL1003" i="10"/>
  <c r="AV1003" i="10"/>
  <c r="AX1003" i="10"/>
  <c r="AW1003" i="10"/>
  <c r="AS1003" i="10"/>
  <c r="AK1003" i="10"/>
  <c r="AT1003" i="10"/>
  <c r="AQ1003" i="10"/>
  <c r="AL991" i="10"/>
  <c r="AR991" i="10"/>
  <c r="AN991" i="10"/>
  <c r="AU991" i="10"/>
  <c r="AQ991" i="10"/>
  <c r="AS991" i="10"/>
  <c r="AO991" i="10"/>
  <c r="AP991" i="10"/>
  <c r="AT991" i="10"/>
  <c r="AW991" i="10"/>
  <c r="AK991" i="10"/>
  <c r="AJ991" i="10"/>
  <c r="AX991" i="10"/>
  <c r="AM991" i="10"/>
  <c r="AV991" i="10"/>
  <c r="AW926" i="10"/>
  <c r="AX926" i="10"/>
  <c r="AV926" i="10"/>
  <c r="AQ926" i="10"/>
  <c r="AL926" i="10"/>
  <c r="AT926" i="10"/>
  <c r="AS926" i="10"/>
  <c r="AP926" i="10"/>
  <c r="AN926" i="10"/>
  <c r="AK926" i="10"/>
  <c r="AU926" i="10"/>
  <c r="AJ926" i="10"/>
  <c r="AR926" i="10"/>
  <c r="AO926" i="10"/>
  <c r="AJ907" i="10"/>
  <c r="AS907" i="10"/>
  <c r="AO907" i="10"/>
  <c r="AL907" i="10"/>
  <c r="AW907" i="10"/>
  <c r="AT907" i="10"/>
  <c r="AR907" i="10"/>
  <c r="AM907" i="10"/>
  <c r="AK907" i="10"/>
  <c r="AN907" i="10"/>
  <c r="AQ907" i="10"/>
  <c r="AX907" i="10"/>
  <c r="AR842" i="10"/>
  <c r="AK842" i="10"/>
  <c r="AS842" i="10"/>
  <c r="AJ842" i="10"/>
  <c r="AM842" i="10"/>
  <c r="AV842" i="10"/>
  <c r="AP842" i="10"/>
  <c r="AN842" i="10"/>
  <c r="AL842" i="10"/>
  <c r="AT842" i="10"/>
  <c r="AO842" i="10"/>
  <c r="AJ823" i="10"/>
  <c r="AK823" i="10"/>
  <c r="AX823" i="10"/>
  <c r="AW823" i="10"/>
  <c r="AK780" i="10"/>
  <c r="AW780" i="10"/>
  <c r="AX780" i="10"/>
  <c r="AJ780" i="10"/>
  <c r="AV852" i="10"/>
  <c r="AP2024" i="10"/>
  <c r="AN2147" i="10"/>
  <c r="AK1945" i="10"/>
  <c r="AT2418" i="10"/>
  <c r="AL2650" i="10"/>
  <c r="AP1236" i="10"/>
  <c r="AS2014" i="10"/>
  <c r="AV1856" i="10"/>
  <c r="AU2715" i="10"/>
  <c r="AL2715" i="10"/>
  <c r="AQ2715" i="10"/>
  <c r="AT2715" i="10"/>
  <c r="AN2715" i="10"/>
  <c r="AV2715" i="10"/>
  <c r="AO2715" i="10"/>
  <c r="AP2715" i="10"/>
  <c r="AM2715" i="10"/>
  <c r="AS2715" i="10"/>
  <c r="AX2715" i="10"/>
  <c r="AJ2715" i="10"/>
  <c r="AK2715" i="10"/>
  <c r="AW2715" i="10"/>
  <c r="AR2715" i="10"/>
  <c r="AS2698" i="10"/>
  <c r="AJ2698" i="10"/>
  <c r="AV2698" i="10"/>
  <c r="AM2698" i="10"/>
  <c r="AL2698" i="10"/>
  <c r="AP2698" i="10"/>
  <c r="AN2687" i="10"/>
  <c r="AM2687" i="10"/>
  <c r="AS2687" i="10"/>
  <c r="AV2687" i="10"/>
  <c r="AT2687" i="10"/>
  <c r="AW2687" i="10"/>
  <c r="AU2687" i="10"/>
  <c r="AP2687" i="10"/>
  <c r="AK2687" i="10"/>
  <c r="AQ2687" i="10"/>
  <c r="AO2687" i="10"/>
  <c r="AX2687" i="10"/>
  <c r="AJ2644" i="10"/>
  <c r="AK2644" i="10"/>
  <c r="AV2644" i="10"/>
  <c r="AL2644" i="10"/>
  <c r="AW2644" i="10"/>
  <c r="AO2644" i="10"/>
  <c r="AP2644" i="10"/>
  <c r="AR2644" i="10"/>
  <c r="AS2644" i="10"/>
  <c r="AM2644" i="10"/>
  <c r="AX2644" i="10"/>
  <c r="AU2644" i="10"/>
  <c r="AN2644" i="10"/>
  <c r="AQ2644" i="10"/>
  <c r="AT2644" i="10"/>
  <c r="AV2616" i="10"/>
  <c r="AL2616" i="10"/>
  <c r="AM2616" i="10"/>
  <c r="AK2616" i="10"/>
  <c r="AS2616" i="10"/>
  <c r="AT2616" i="10"/>
  <c r="AO2616" i="10"/>
  <c r="AU2616" i="10"/>
  <c r="AN2616" i="10"/>
  <c r="AQ2616" i="10"/>
  <c r="AP2616" i="10"/>
  <c r="AR2616" i="10"/>
  <c r="AJ2616" i="10"/>
  <c r="AN2545" i="10"/>
  <c r="AQ2545" i="10"/>
  <c r="AU2545" i="10"/>
  <c r="AS2545" i="10"/>
  <c r="AX2545" i="10"/>
  <c r="AJ2545" i="10"/>
  <c r="AM2545" i="10"/>
  <c r="AV2545" i="10"/>
  <c r="AW2545" i="10"/>
  <c r="AL2545" i="10"/>
  <c r="AR2545" i="10"/>
  <c r="AT2545" i="10"/>
  <c r="AP2545" i="10"/>
  <c r="AO2545" i="10"/>
  <c r="AN2535" i="10"/>
  <c r="AO2535" i="10"/>
  <c r="AX2535" i="10"/>
  <c r="AV2520" i="10"/>
  <c r="AW2520" i="10"/>
  <c r="AL2520" i="10"/>
  <c r="AT2520" i="10"/>
  <c r="AS2520" i="10"/>
  <c r="AM2520" i="10"/>
  <c r="AP2520" i="10"/>
  <c r="AO2520" i="10"/>
  <c r="AU2520" i="10"/>
  <c r="AX2520" i="10"/>
  <c r="AK2520" i="10"/>
  <c r="AR2520" i="10"/>
  <c r="AQ2520" i="10"/>
  <c r="AJ2520" i="10"/>
  <c r="AN2520" i="10"/>
  <c r="AU2509" i="10"/>
  <c r="AV2509" i="10"/>
  <c r="AM2509" i="10"/>
  <c r="AK2509" i="10"/>
  <c r="AS2509" i="10"/>
  <c r="AL2509" i="10"/>
  <c r="AP2509" i="10"/>
  <c r="AQ2509" i="10"/>
  <c r="AO2509" i="10"/>
  <c r="AR2509" i="10"/>
  <c r="AT2509" i="10"/>
  <c r="AW2509" i="10"/>
  <c r="AN2509" i="10"/>
  <c r="AX2509" i="10"/>
  <c r="AU2484" i="10"/>
  <c r="AP2484" i="10"/>
  <c r="AM2484" i="10"/>
  <c r="AV2484" i="10"/>
  <c r="AQ2484" i="10"/>
  <c r="AN2484" i="10"/>
  <c r="AO2484" i="10"/>
  <c r="AS2484" i="10"/>
  <c r="AK2484" i="10"/>
  <c r="AR2484" i="10"/>
  <c r="AT2484" i="10"/>
  <c r="AL2484" i="10"/>
  <c r="AJ2484" i="10"/>
  <c r="AL2436" i="10"/>
  <c r="AK2436" i="10"/>
  <c r="AO2436" i="10"/>
  <c r="AS2436" i="10"/>
  <c r="AV2436" i="10"/>
  <c r="AU2436" i="10"/>
  <c r="AM2436" i="10"/>
  <c r="AT2436" i="10"/>
  <c r="AJ2436" i="10"/>
  <c r="AR2436" i="10"/>
  <c r="AW2436" i="10"/>
  <c r="AX2436" i="10"/>
  <c r="AN2436" i="10"/>
  <c r="AT2390" i="10"/>
  <c r="AV2390" i="10"/>
  <c r="AW2390" i="10"/>
  <c r="AK2390" i="10"/>
  <c r="AN2390" i="10"/>
  <c r="AM2390" i="10"/>
  <c r="AO2390" i="10"/>
  <c r="AP2390" i="10"/>
  <c r="AQ2390" i="10"/>
  <c r="AJ2390" i="10"/>
  <c r="AX2390" i="10"/>
  <c r="AL2390" i="10"/>
  <c r="AV2380" i="10"/>
  <c r="AW2380" i="10"/>
  <c r="AP2380" i="10"/>
  <c r="AR2380" i="10"/>
  <c r="AU2380" i="10"/>
  <c r="AM2380" i="10"/>
  <c r="AQ2380" i="10"/>
  <c r="AK2380" i="10"/>
  <c r="AX2380" i="10"/>
  <c r="AT2380" i="10"/>
  <c r="AL2380" i="10"/>
  <c r="AJ2380" i="10"/>
  <c r="AS2380" i="10"/>
  <c r="AN2380" i="10"/>
  <c r="AS2364" i="10"/>
  <c r="AL2364" i="10"/>
  <c r="AT2364" i="10"/>
  <c r="AV2364" i="10"/>
  <c r="AR2364" i="10"/>
  <c r="AU2364" i="10"/>
  <c r="AK2364" i="10"/>
  <c r="AX2364" i="10"/>
  <c r="AO2364" i="10"/>
  <c r="AP2364" i="10"/>
  <c r="AM2364" i="10"/>
  <c r="AJ2364" i="10"/>
  <c r="AQ2364" i="10"/>
  <c r="AW2364" i="10"/>
  <c r="AN2364" i="10"/>
  <c r="AR2353" i="10"/>
  <c r="AU2353" i="10"/>
  <c r="AK2353" i="10"/>
  <c r="AN2353" i="10"/>
  <c r="AT2353" i="10"/>
  <c r="AV2353" i="10"/>
  <c r="AQ2353" i="10"/>
  <c r="AX2353" i="10"/>
  <c r="AL2353" i="10"/>
  <c r="AW2353" i="10"/>
  <c r="AP2353" i="10"/>
  <c r="AM2353" i="10"/>
  <c r="AJ2353" i="10"/>
  <c r="AS2353" i="10"/>
  <c r="AX2318" i="10"/>
  <c r="AQ2318" i="10"/>
  <c r="AS2318" i="10"/>
  <c r="AT2318" i="10"/>
  <c r="AO2318" i="10"/>
  <c r="AM2318" i="10"/>
  <c r="AP2318" i="10"/>
  <c r="AJ2318" i="10"/>
  <c r="AN2318" i="10"/>
  <c r="AV2318" i="10"/>
  <c r="AW2318" i="10"/>
  <c r="AU2318" i="10"/>
  <c r="AL2318" i="10"/>
  <c r="AK2318" i="10"/>
  <c r="AR2318" i="10"/>
  <c r="AQ2275" i="10"/>
  <c r="AP2275" i="10"/>
  <c r="AM2275" i="10"/>
  <c r="AO2275" i="10"/>
  <c r="AR2275" i="10"/>
  <c r="AS2275" i="10"/>
  <c r="AJ2275" i="10"/>
  <c r="AN2275" i="10"/>
  <c r="AX2275" i="10"/>
  <c r="AU2265" i="10"/>
  <c r="AO2265" i="10"/>
  <c r="AX2265" i="10"/>
  <c r="AT2265" i="10"/>
  <c r="AW2265" i="10"/>
  <c r="AN2265" i="10"/>
  <c r="AJ2265" i="10"/>
  <c r="AS2265" i="10"/>
  <c r="AL2265" i="10"/>
  <c r="AQ2265" i="10"/>
  <c r="AV2265" i="10"/>
  <c r="AP2265" i="10"/>
  <c r="AV2229" i="10"/>
  <c r="AL2229" i="10"/>
  <c r="AM2229" i="10"/>
  <c r="AP2229" i="10"/>
  <c r="AQ2229" i="10"/>
  <c r="AW2229" i="10"/>
  <c r="AU2229" i="10"/>
  <c r="AX2229" i="10"/>
  <c r="AT2229" i="10"/>
  <c r="AR2229" i="10"/>
  <c r="AN2229" i="10"/>
  <c r="AJ2229" i="10"/>
  <c r="G43" i="45"/>
  <c r="G34" i="45"/>
  <c r="AS2229" i="10"/>
  <c r="E7" i="45"/>
  <c r="N25" i="45"/>
  <c r="AK2229" i="10"/>
  <c r="L34" i="45"/>
  <c r="N10" i="43" s="1"/>
  <c r="G7" i="45"/>
  <c r="E16" i="45"/>
  <c r="E52" i="45"/>
  <c r="AT2219" i="10"/>
  <c r="AL2219" i="10"/>
  <c r="AV2219" i="10"/>
  <c r="AO2219" i="10"/>
  <c r="AR2219" i="10"/>
  <c r="AX2219" i="10"/>
  <c r="AQ2219" i="10"/>
  <c r="AW2219" i="10"/>
  <c r="AS2219" i="10"/>
  <c r="AN2219" i="10"/>
  <c r="AJ2219" i="10"/>
  <c r="AK2219" i="10"/>
  <c r="AM2219" i="10"/>
  <c r="AO2187" i="10"/>
  <c r="AN2187" i="10"/>
  <c r="AK2187" i="10"/>
  <c r="AW2187" i="10"/>
  <c r="AU2187" i="10"/>
  <c r="AT2187" i="10"/>
  <c r="AR2187" i="10"/>
  <c r="AP2187" i="10"/>
  <c r="AV2187" i="10"/>
  <c r="AQ2187" i="10"/>
  <c r="AS2187" i="10"/>
  <c r="AL2187" i="10"/>
  <c r="AX2187" i="10"/>
  <c r="AJ2187" i="10"/>
  <c r="AM2187" i="10"/>
  <c r="AT2146" i="10"/>
  <c r="AN2146" i="10"/>
  <c r="AX2146" i="10"/>
  <c r="AL2146" i="10"/>
  <c r="AO2146" i="10"/>
  <c r="AU2146" i="10"/>
  <c r="AP2146" i="10"/>
  <c r="AQ2146" i="10"/>
  <c r="AM2146" i="10"/>
  <c r="AV2125" i="10"/>
  <c r="AW2125" i="10"/>
  <c r="AT2125" i="10"/>
  <c r="AK2125" i="10"/>
  <c r="AO2125" i="10"/>
  <c r="AP2125" i="10"/>
  <c r="AJ2125" i="10"/>
  <c r="AQ2125" i="10"/>
  <c r="AX2125" i="10"/>
  <c r="AS2125" i="10"/>
  <c r="AM2125" i="10"/>
  <c r="AU2125" i="10"/>
  <c r="AN2125" i="10"/>
  <c r="AW2102" i="10"/>
  <c r="AV2102" i="10"/>
  <c r="AN2102" i="10"/>
  <c r="AU2102" i="10"/>
  <c r="AS2102" i="10"/>
  <c r="AR2102" i="10"/>
  <c r="AO2102" i="10"/>
  <c r="AJ2102" i="10"/>
  <c r="AM2102" i="10"/>
  <c r="AQ2102" i="10"/>
  <c r="AK2102" i="10"/>
  <c r="AX2102" i="10"/>
  <c r="AP2102" i="10"/>
  <c r="AL2102" i="10"/>
  <c r="AT2102" i="10"/>
  <c r="AL2081" i="10"/>
  <c r="AS2081" i="10"/>
  <c r="AX2081" i="10"/>
  <c r="AO2081" i="10"/>
  <c r="AU2081" i="10"/>
  <c r="AN2081" i="10"/>
  <c r="AR2081" i="10"/>
  <c r="AM2081" i="10"/>
  <c r="AJ2081" i="10"/>
  <c r="AK2034" i="10"/>
  <c r="AP2034" i="10"/>
  <c r="AM2034" i="10"/>
  <c r="AJ2034" i="10"/>
  <c r="AN2034" i="10"/>
  <c r="AX2034" i="10"/>
  <c r="AV2034" i="10"/>
  <c r="AT2034" i="10"/>
  <c r="AU2034" i="10"/>
  <c r="AL2034" i="10"/>
  <c r="AQ2034" i="10"/>
  <c r="AR2034" i="10"/>
  <c r="AV1978" i="10"/>
  <c r="AR1978" i="10"/>
  <c r="AK1978" i="10"/>
  <c r="AP1978" i="10"/>
  <c r="AS1978" i="10"/>
  <c r="AW1978" i="10"/>
  <c r="AT1978" i="10"/>
  <c r="AN1978" i="10"/>
  <c r="AO1978" i="10"/>
  <c r="AJ1978" i="10"/>
  <c r="AX1978" i="10"/>
  <c r="AL1978" i="10"/>
  <c r="AM1978" i="10"/>
  <c r="AQ1978" i="10"/>
  <c r="AU1978" i="10"/>
  <c r="AP1962" i="10"/>
  <c r="AU1962" i="10"/>
  <c r="AL1962" i="10"/>
  <c r="AR1962" i="10"/>
  <c r="AX1962" i="10"/>
  <c r="AQ1962" i="10"/>
  <c r="AJ1962" i="10"/>
  <c r="AV1955" i="10"/>
  <c r="AJ1955" i="10"/>
  <c r="AR1955" i="10"/>
  <c r="AQ1955" i="10"/>
  <c r="AW1955" i="10"/>
  <c r="AN1955" i="10"/>
  <c r="AU1955" i="10"/>
  <c r="AM1955" i="10"/>
  <c r="AL1955" i="10"/>
  <c r="AO1955" i="10"/>
  <c r="AX1955" i="10"/>
  <c r="AS1955" i="10"/>
  <c r="AK1955" i="10"/>
  <c r="AP1955" i="10"/>
  <c r="AT1955" i="10"/>
  <c r="AK1950" i="10"/>
  <c r="AP1950" i="10"/>
  <c r="AX1950" i="10"/>
  <c r="AU1950" i="10"/>
  <c r="AW1950" i="10"/>
  <c r="AL1950" i="10"/>
  <c r="AN1950" i="10"/>
  <c r="AR1950" i="10"/>
  <c r="AM1950" i="10"/>
  <c r="AO1950" i="10"/>
  <c r="AQ1950" i="10"/>
  <c r="AV1950" i="10"/>
  <c r="AS1950" i="10"/>
  <c r="AJ1950" i="10"/>
  <c r="AT1950" i="10"/>
  <c r="AQ1925" i="10"/>
  <c r="AP1925" i="10"/>
  <c r="AO1925" i="10"/>
  <c r="AM1925" i="10"/>
  <c r="AL1925" i="10"/>
  <c r="AW1925" i="10"/>
  <c r="AX1925" i="10"/>
  <c r="AV1925" i="10"/>
  <c r="AJ1925" i="10"/>
  <c r="AR1925" i="10"/>
  <c r="AT1925" i="10"/>
  <c r="AU1925" i="10"/>
  <c r="AS1925" i="10"/>
  <c r="AN1925" i="10"/>
  <c r="AK1925" i="10"/>
  <c r="AM1914" i="10"/>
  <c r="AN1914" i="10"/>
  <c r="AP1914" i="10"/>
  <c r="AJ1914" i="10"/>
  <c r="AU1914" i="10"/>
  <c r="AX1914" i="10"/>
  <c r="AS1914" i="10"/>
  <c r="AT1914" i="10"/>
  <c r="AW1914" i="10"/>
  <c r="AQ1914" i="10"/>
  <c r="AK1914" i="10"/>
  <c r="AL1914" i="10"/>
  <c r="AO1914" i="10"/>
  <c r="AV1914" i="10"/>
  <c r="AR1914" i="10"/>
  <c r="AU1904" i="10"/>
  <c r="AT1904" i="10"/>
  <c r="AV1904" i="10"/>
  <c r="AR1904" i="10"/>
  <c r="AN1904" i="10"/>
  <c r="AJ1904" i="10"/>
  <c r="AP1904" i="10"/>
  <c r="AO1904" i="10"/>
  <c r="AL1904" i="10"/>
  <c r="AS1904" i="10"/>
  <c r="AQ1904" i="10"/>
  <c r="AW1904" i="10"/>
  <c r="AK1904" i="10"/>
  <c r="AX1904" i="10"/>
  <c r="AM1904" i="10"/>
  <c r="AV1899" i="10"/>
  <c r="AS1899" i="10"/>
  <c r="AL1899" i="10"/>
  <c r="AT1899" i="10"/>
  <c r="AQ1899" i="10"/>
  <c r="AJ1899" i="10"/>
  <c r="AX1899" i="10"/>
  <c r="AP1899" i="10"/>
  <c r="AN1821" i="10"/>
  <c r="AT1821" i="10"/>
  <c r="AM1821" i="10"/>
  <c r="AV1821" i="10"/>
  <c r="AL1821" i="10"/>
  <c r="AS1821" i="10"/>
  <c r="AJ1821" i="10"/>
  <c r="AW1821" i="10"/>
  <c r="AX1821" i="10"/>
  <c r="AO1821" i="10"/>
  <c r="AR1821" i="10"/>
  <c r="AQ1821" i="10"/>
  <c r="AK1821" i="10"/>
  <c r="AU1821" i="10"/>
  <c r="AN1787" i="10"/>
  <c r="AJ1787" i="10"/>
  <c r="AW1787" i="10"/>
  <c r="AL1787" i="10"/>
  <c r="AT1787" i="10"/>
  <c r="AQ1787" i="10"/>
  <c r="AK1787" i="10"/>
  <c r="AP1787" i="10"/>
  <c r="AV1787" i="10"/>
  <c r="AX1787" i="10"/>
  <c r="AM1787" i="10"/>
  <c r="AS1787" i="10"/>
  <c r="AR1787" i="10"/>
  <c r="AU1787" i="10"/>
  <c r="AO1787" i="10"/>
  <c r="AM1753" i="10"/>
  <c r="AU1753" i="10"/>
  <c r="AN1753" i="10"/>
  <c r="AL1753" i="10"/>
  <c r="AO1753" i="10"/>
  <c r="AT1753" i="10"/>
  <c r="AQ1753" i="10"/>
  <c r="AS1753" i="10"/>
  <c r="AX1753" i="10"/>
  <c r="AW1753" i="10"/>
  <c r="AP1753" i="10"/>
  <c r="AJ1753" i="10"/>
  <c r="AK1753" i="10"/>
  <c r="AV1753" i="10"/>
  <c r="AR1753" i="10"/>
  <c r="AV1599" i="10"/>
  <c r="AQ1599" i="10"/>
  <c r="AO1599" i="10"/>
  <c r="AT1599" i="10"/>
  <c r="AS1599" i="10"/>
  <c r="AR1599" i="10"/>
  <c r="AX1599" i="10"/>
  <c r="AJ1599" i="10"/>
  <c r="AN1599" i="10"/>
  <c r="AP1599" i="10"/>
  <c r="AU1599" i="10"/>
  <c r="AW1599" i="10"/>
  <c r="AL1599" i="10"/>
  <c r="AK1599" i="10"/>
  <c r="AM1599" i="10"/>
  <c r="AO1575" i="10"/>
  <c r="AM1575" i="10"/>
  <c r="AR1575" i="10"/>
  <c r="AU1575" i="10"/>
  <c r="AP1575" i="10"/>
  <c r="AL1575" i="10"/>
  <c r="AT1575" i="10"/>
  <c r="AK1575" i="10"/>
  <c r="AV1575" i="10"/>
  <c r="AJ1575" i="10"/>
  <c r="AN1575" i="10"/>
  <c r="AQ1575" i="10"/>
  <c r="AS1575" i="10"/>
  <c r="AS1564" i="10"/>
  <c r="AN1564" i="10"/>
  <c r="AL1564" i="10"/>
  <c r="AR1564" i="10"/>
  <c r="AW1564" i="10"/>
  <c r="AP1564" i="10"/>
  <c r="AT1564" i="10"/>
  <c r="AV1564" i="10"/>
  <c r="AM1564" i="10"/>
  <c r="AX1564" i="10"/>
  <c r="AJ1564" i="10"/>
  <c r="AK1564" i="10"/>
  <c r="AU1564" i="10"/>
  <c r="AQ1564" i="10"/>
  <c r="AO1549" i="10"/>
  <c r="AM1549" i="10"/>
  <c r="AN1549" i="10"/>
  <c r="AJ1549" i="10"/>
  <c r="AV1549" i="10"/>
  <c r="AO1538" i="10"/>
  <c r="AP1538" i="10"/>
  <c r="AS1538" i="10"/>
  <c r="AQ1538" i="10"/>
  <c r="AN1538" i="10"/>
  <c r="AX1538" i="10"/>
  <c r="AU1538" i="10"/>
  <c r="AK1538" i="10"/>
  <c r="AV1538" i="10"/>
  <c r="AT1538" i="10"/>
  <c r="AR1517" i="10"/>
  <c r="AP1517" i="10"/>
  <c r="AW1517" i="10"/>
  <c r="AQ1517" i="10"/>
  <c r="AJ1456" i="10"/>
  <c r="AR1456" i="10"/>
  <c r="AL1456" i="10"/>
  <c r="AM1456" i="10"/>
  <c r="AV1456" i="10"/>
  <c r="AU1456" i="10"/>
  <c r="AQ1456" i="10"/>
  <c r="AP1456" i="10"/>
  <c r="AS1456" i="10"/>
  <c r="AO1456" i="10"/>
  <c r="AK1456" i="10"/>
  <c r="AT1456" i="10"/>
  <c r="AN1456" i="10"/>
  <c r="AU1446" i="10"/>
  <c r="AM1446" i="10"/>
  <c r="AJ1446" i="10"/>
  <c r="AS1446" i="10"/>
  <c r="AQ1446" i="10"/>
  <c r="AX1446" i="10"/>
  <c r="AV1446" i="10"/>
  <c r="AN1446" i="10"/>
  <c r="AR1446" i="10"/>
  <c r="AT1446" i="10"/>
  <c r="AL1446" i="10"/>
  <c r="AO1446" i="10"/>
  <c r="AK1446" i="10"/>
  <c r="AP1446" i="10"/>
  <c r="AR1385" i="10"/>
  <c r="AQ1385" i="10"/>
  <c r="AV1385" i="10"/>
  <c r="AT1385" i="10"/>
  <c r="AW1385" i="10"/>
  <c r="AP1385" i="10"/>
  <c r="AJ1385" i="10"/>
  <c r="AS1385" i="10"/>
  <c r="AU1385" i="10"/>
  <c r="AK1385" i="10"/>
  <c r="AX1385" i="10"/>
  <c r="AN1385" i="10"/>
  <c r="AL1385" i="10"/>
  <c r="AO1385" i="10"/>
  <c r="AM1385" i="10"/>
  <c r="AO1373" i="10"/>
  <c r="AV1373" i="10"/>
  <c r="AN1373" i="10"/>
  <c r="AU1373" i="10"/>
  <c r="AS1373" i="10"/>
  <c r="AX1373" i="10"/>
  <c r="AL1373" i="10"/>
  <c r="AR1373" i="10"/>
  <c r="AT1373" i="10"/>
  <c r="AK1373" i="10"/>
  <c r="AW1373" i="10"/>
  <c r="AJ1373" i="10"/>
  <c r="AM1355" i="10"/>
  <c r="AV1355" i="10"/>
  <c r="AU1355" i="10"/>
  <c r="AR1355" i="10"/>
  <c r="AP1355" i="10"/>
  <c r="AL1355" i="10"/>
  <c r="AQ1355" i="10"/>
  <c r="AW1355" i="10"/>
  <c r="AJ1355" i="10"/>
  <c r="AK1355" i="10"/>
  <c r="AX1355" i="10"/>
  <c r="AS1355" i="10"/>
  <c r="AN1355" i="10"/>
  <c r="AQ1311" i="10"/>
  <c r="AT1311" i="10"/>
  <c r="AX1311" i="10"/>
  <c r="AN1311" i="10"/>
  <c r="AU1311" i="10"/>
  <c r="AW1311" i="10"/>
  <c r="AO1311" i="10"/>
  <c r="AM1311" i="10"/>
  <c r="AV1311" i="10"/>
  <c r="AS1311" i="10"/>
  <c r="AJ1311" i="10"/>
  <c r="AR1311" i="10"/>
  <c r="AL1311" i="10"/>
  <c r="AJ1284" i="10"/>
  <c r="AO1284" i="10"/>
  <c r="AU1284" i="10"/>
  <c r="AS1284" i="10"/>
  <c r="AN1284" i="10"/>
  <c r="AL1284" i="10"/>
  <c r="AK1284" i="10"/>
  <c r="AW1284" i="10"/>
  <c r="AV1230" i="10"/>
  <c r="AO1230" i="10"/>
  <c r="AJ1230" i="10"/>
  <c r="AR1230" i="10"/>
  <c r="AP1230" i="10"/>
  <c r="AT1230" i="10"/>
  <c r="AX1230" i="10"/>
  <c r="AS1230" i="10"/>
  <c r="AL1230" i="10"/>
  <c r="AQ1230" i="10"/>
  <c r="AU1230" i="10"/>
  <c r="AN1230" i="10"/>
  <c r="AJ1208" i="10"/>
  <c r="AR1208" i="10"/>
  <c r="AX1208" i="10"/>
  <c r="AP1208" i="10"/>
  <c r="AO1208" i="10"/>
  <c r="AU1208" i="10"/>
  <c r="AS1208" i="10"/>
  <c r="AW1208" i="10"/>
  <c r="AT1208" i="10"/>
  <c r="AN1208" i="10"/>
  <c r="AK1208" i="10"/>
  <c r="AV1208" i="10"/>
  <c r="AM1208" i="10"/>
  <c r="AQ1208" i="10"/>
  <c r="AL1208" i="10"/>
  <c r="AN1175" i="10"/>
  <c r="AM1175" i="10"/>
  <c r="AX1175" i="10"/>
  <c r="AT1175" i="10"/>
  <c r="AS1175" i="10"/>
  <c r="AK1175" i="10"/>
  <c r="AV1175" i="10"/>
  <c r="AL1175" i="10"/>
  <c r="AP1175" i="10"/>
  <c r="AR1175" i="10"/>
  <c r="AQ1175" i="10"/>
  <c r="AW1175" i="10"/>
  <c r="AO1175" i="10"/>
  <c r="AU1175" i="10"/>
  <c r="AJ1175" i="10"/>
  <c r="AM1142" i="10"/>
  <c r="AK1142" i="10"/>
  <c r="AX1142" i="10"/>
  <c r="AR1142" i="10"/>
  <c r="AJ1142" i="10"/>
  <c r="AP1142" i="10"/>
  <c r="AW1142" i="10"/>
  <c r="AV1142" i="10"/>
  <c r="AO1142" i="10"/>
  <c r="AN1142" i="10"/>
  <c r="AS1142" i="10"/>
  <c r="AU1142" i="10"/>
  <c r="AL1142" i="10"/>
  <c r="AT1142" i="10"/>
  <c r="AQ1142" i="10"/>
  <c r="AS1130" i="10"/>
  <c r="AK1130" i="10"/>
  <c r="AN1130" i="10"/>
  <c r="AT1130" i="10"/>
  <c r="AR1130" i="10"/>
  <c r="AL1130" i="10"/>
  <c r="AV1130" i="10"/>
  <c r="AU1130" i="10"/>
  <c r="AX1130" i="10"/>
  <c r="AW1130" i="10"/>
  <c r="AO1130" i="10"/>
  <c r="AM1130" i="10"/>
  <c r="AQ1130" i="10"/>
  <c r="AJ1130" i="10"/>
  <c r="AP1130" i="10"/>
  <c r="AJ1125" i="10"/>
  <c r="AU1125" i="10"/>
  <c r="AS1125" i="10"/>
  <c r="AX1125" i="10"/>
  <c r="AO1125" i="10"/>
  <c r="AL1125" i="10"/>
  <c r="AP1125" i="10"/>
  <c r="AQ1125" i="10"/>
  <c r="AN1125" i="10"/>
  <c r="AR1125" i="10"/>
  <c r="AT1125" i="10"/>
  <c r="AM1125" i="10"/>
  <c r="AK1125" i="10"/>
  <c r="AJ979" i="10"/>
  <c r="AW979" i="10"/>
  <c r="AK979" i="10"/>
  <c r="AX979" i="10"/>
  <c r="AN962" i="10"/>
  <c r="AV962" i="10"/>
  <c r="AJ962" i="10"/>
  <c r="AO962" i="10"/>
  <c r="AM962" i="10"/>
  <c r="AT962" i="10"/>
  <c r="AS962" i="10"/>
  <c r="AP962" i="10"/>
  <c r="AK962" i="10"/>
  <c r="AL962" i="10"/>
  <c r="AW962" i="10"/>
  <c r="AQ962" i="10"/>
  <c r="AR962" i="10"/>
  <c r="AX962" i="10"/>
  <c r="AU962" i="10"/>
  <c r="AM939" i="10"/>
  <c r="AW939" i="10"/>
  <c r="AK939" i="10"/>
  <c r="AR939" i="10"/>
  <c r="AL939" i="10"/>
  <c r="AT939" i="10"/>
  <c r="AP939" i="10"/>
  <c r="AS939" i="10"/>
  <c r="AV939" i="10"/>
  <c r="AJ939" i="10"/>
  <c r="AQ939" i="10"/>
  <c r="AO939" i="10"/>
  <c r="AU939" i="10"/>
  <c r="AX939" i="10"/>
  <c r="AN939" i="10"/>
  <c r="AJ895" i="10"/>
  <c r="AW895" i="10"/>
  <c r="AX895" i="10"/>
  <c r="AS895" i="10"/>
  <c r="AQ895" i="10"/>
  <c r="AL895" i="10"/>
  <c r="AR895" i="10"/>
  <c r="AN895" i="10"/>
  <c r="AV895" i="10"/>
  <c r="AM895" i="10"/>
  <c r="AT895" i="10"/>
  <c r="AU895" i="10"/>
  <c r="AP895" i="10"/>
  <c r="AX875" i="10"/>
  <c r="AR875" i="10"/>
  <c r="AU875" i="10"/>
  <c r="AS875" i="10"/>
  <c r="AP875" i="10"/>
  <c r="AN875" i="10"/>
  <c r="AM875" i="10"/>
  <c r="AV875" i="10"/>
  <c r="AQ875" i="10"/>
  <c r="AJ875" i="10"/>
  <c r="AK875" i="10"/>
  <c r="AL875" i="10"/>
  <c r="AT875" i="10"/>
  <c r="AS867" i="10"/>
  <c r="AK867" i="10"/>
  <c r="AU867" i="10"/>
  <c r="AX867" i="10"/>
  <c r="AT867" i="10"/>
  <c r="AL867" i="10"/>
  <c r="AV867" i="10"/>
  <c r="AQ867" i="10"/>
  <c r="AN867" i="10"/>
  <c r="AM867" i="10"/>
  <c r="AJ867" i="10"/>
  <c r="AP867" i="10"/>
  <c r="AX835" i="10"/>
  <c r="AW835" i="10"/>
  <c r="AJ835" i="10"/>
  <c r="AK835" i="10"/>
  <c r="AW806" i="10"/>
  <c r="AX806" i="10"/>
  <c r="AJ806" i="10"/>
  <c r="AV781" i="10"/>
  <c r="AU781" i="10"/>
  <c r="AX781" i="10"/>
  <c r="AR781" i="10"/>
  <c r="AS781" i="10"/>
  <c r="AL781" i="10"/>
  <c r="AQ198" i="45" s="1"/>
  <c r="AT781" i="10"/>
  <c r="AJ781" i="10"/>
  <c r="AK781" i="10"/>
  <c r="AN781" i="10"/>
  <c r="AO781" i="10"/>
  <c r="AW781" i="10"/>
  <c r="AK765" i="10"/>
  <c r="AX765" i="10"/>
  <c r="AW765" i="10"/>
  <c r="AD128" i="45"/>
  <c r="AH98" i="45"/>
  <c r="AH128" i="45"/>
  <c r="AJ765" i="10"/>
  <c r="AF128" i="45"/>
  <c r="AD98" i="45"/>
  <c r="AG17" i="43" s="1"/>
  <c r="AX743" i="10"/>
  <c r="AQ117" i="45"/>
  <c r="AJ743" i="10"/>
  <c r="U117" i="45"/>
  <c r="Y18" i="43" s="1"/>
  <c r="N99" i="45"/>
  <c r="G99" i="45"/>
  <c r="G90" i="45"/>
  <c r="P108" i="45"/>
  <c r="N117" i="45"/>
  <c r="L99" i="45"/>
  <c r="P17" i="43" s="1"/>
  <c r="AK743" i="10"/>
  <c r="N129" i="45"/>
  <c r="AN743" i="10"/>
  <c r="N90" i="45"/>
  <c r="P129" i="45"/>
  <c r="L108" i="45"/>
  <c r="P18" i="43" s="1"/>
  <c r="AT743" i="10"/>
  <c r="E129" i="45"/>
  <c r="P90" i="45"/>
  <c r="AS743" i="10"/>
  <c r="P99" i="45"/>
  <c r="E108" i="45"/>
  <c r="N108" i="45"/>
  <c r="G117" i="45"/>
  <c r="L129" i="45"/>
  <c r="AR743" i="10"/>
  <c r="AL743" i="10"/>
  <c r="AU743" i="10"/>
  <c r="AO743" i="10"/>
  <c r="L90" i="45"/>
  <c r="P16" i="43" s="1"/>
  <c r="AM743" i="10"/>
  <c r="AQ743" i="10"/>
  <c r="AP743" i="10"/>
  <c r="L117" i="45"/>
  <c r="P19" i="43" s="1"/>
  <c r="AK730" i="10"/>
  <c r="AX730" i="10"/>
  <c r="AW730" i="10"/>
  <c r="AJ730" i="10"/>
  <c r="AX699" i="10"/>
  <c r="AW699" i="10"/>
  <c r="AK699" i="10"/>
  <c r="AJ699" i="10"/>
  <c r="AV721" i="10"/>
  <c r="AQ1191" i="10"/>
  <c r="AK779" i="10"/>
  <c r="AN2281" i="10"/>
  <c r="AJ2281" i="10"/>
  <c r="AT858" i="10"/>
  <c r="AR2650" i="10"/>
  <c r="AM2391" i="10"/>
  <c r="AJ1307" i="10"/>
  <c r="AW2060" i="10"/>
  <c r="AT1440" i="10"/>
  <c r="AV2014" i="10"/>
  <c r="AQ1356" i="10"/>
  <c r="AW1440" i="10"/>
  <c r="AQ1523" i="10"/>
  <c r="AR2042" i="10"/>
  <c r="AM2721" i="10"/>
  <c r="AJ1296" i="10"/>
  <c r="AW721" i="10"/>
  <c r="AW2596" i="10"/>
  <c r="AM928" i="10"/>
  <c r="AO1935" i="10"/>
  <c r="AJ2165" i="10"/>
  <c r="AS858" i="10"/>
  <c r="AO1802" i="10"/>
  <c r="AJ1513" i="10"/>
  <c r="AR2014" i="10"/>
  <c r="AL1148" i="10"/>
  <c r="P126" i="45"/>
  <c r="AX721" i="10"/>
  <c r="AQ913" i="10"/>
  <c r="AK895" i="10"/>
  <c r="AQ858" i="10"/>
  <c r="AJ2535" i="10"/>
  <c r="AN2240" i="10"/>
  <c r="AV2683" i="10"/>
  <c r="AP1279" i="10"/>
  <c r="AV1209" i="10"/>
  <c r="AM1003" i="10"/>
  <c r="AO2353" i="10"/>
  <c r="AV695" i="10"/>
  <c r="AT847" i="10"/>
  <c r="AS914" i="10"/>
  <c r="AK806" i="10"/>
  <c r="AV907" i="10"/>
  <c r="AR2612" i="10"/>
  <c r="AU2535" i="10"/>
  <c r="AV1471" i="10"/>
  <c r="AP1648" i="10"/>
  <c r="AO1003" i="10"/>
  <c r="AP676" i="10"/>
  <c r="AS672" i="10"/>
  <c r="AQ801" i="10"/>
  <c r="AO852" i="10"/>
  <c r="N127" i="45"/>
  <c r="AU842" i="10"/>
  <c r="G128" i="45"/>
  <c r="AM2625" i="10"/>
  <c r="AJ2687" i="10"/>
  <c r="AR727" i="10"/>
  <c r="AM1940" i="10"/>
  <c r="AL2474" i="10"/>
  <c r="L78" i="45"/>
  <c r="K25" i="53" s="1"/>
  <c r="AK2682" i="10"/>
  <c r="AK1909" i="10"/>
  <c r="AK2142" i="10"/>
  <c r="AN1705" i="10"/>
  <c r="AW1497" i="10"/>
  <c r="AO1523" i="10"/>
  <c r="AM2246" i="10"/>
  <c r="AR2251" i="10"/>
  <c r="AW2000" i="10"/>
  <c r="AS2047" i="10"/>
  <c r="AT718" i="10"/>
  <c r="AT714" i="10"/>
  <c r="AK736" i="10"/>
  <c r="AQ894" i="10"/>
  <c r="AU881" i="10"/>
  <c r="AP1961" i="10"/>
  <c r="AP1608" i="10"/>
  <c r="AS1673" i="10"/>
  <c r="AN2369" i="10"/>
  <c r="AS1058" i="10"/>
  <c r="AT2725" i="10"/>
  <c r="AN2725" i="10"/>
  <c r="AW2725" i="10"/>
  <c r="AJ2725" i="10"/>
  <c r="AX2725" i="10"/>
  <c r="AS2725" i="10"/>
  <c r="AV2725" i="10"/>
  <c r="AR2725" i="10"/>
  <c r="AL2725" i="10"/>
  <c r="AR2719" i="10"/>
  <c r="AP2719" i="10"/>
  <c r="AK2719" i="10"/>
  <c r="AJ2719" i="10"/>
  <c r="AL2719" i="10"/>
  <c r="AU2691" i="10"/>
  <c r="AT2691" i="10"/>
  <c r="AS2691" i="10"/>
  <c r="AQ2691" i="10"/>
  <c r="AX2691" i="10"/>
  <c r="AO2691" i="10"/>
  <c r="AL2691" i="10"/>
  <c r="AP2691" i="10"/>
  <c r="AS2670" i="10"/>
  <c r="AO2670" i="10"/>
  <c r="AM2670" i="10"/>
  <c r="AV2670" i="10"/>
  <c r="AX2670" i="10"/>
  <c r="AN2670" i="10"/>
  <c r="AL2670" i="10"/>
  <c r="AT2670" i="10"/>
  <c r="AK2670" i="10"/>
  <c r="AJ2670" i="10"/>
  <c r="AU2670" i="10"/>
  <c r="AW2670" i="10"/>
  <c r="AQ2670" i="10"/>
  <c r="AP2670" i="10"/>
  <c r="AR2670" i="10"/>
  <c r="AT2456" i="10"/>
  <c r="AW2456" i="10"/>
  <c r="AM2456" i="10"/>
  <c r="AX2456" i="10"/>
  <c r="AJ2456" i="10"/>
  <c r="AQ2456" i="10"/>
  <c r="AR2456" i="10"/>
  <c r="AS2456" i="10"/>
  <c r="AO2456" i="10"/>
  <c r="AN2456" i="10"/>
  <c r="AP2456" i="10"/>
  <c r="AU2661" i="10"/>
  <c r="AT2661" i="10"/>
  <c r="AK2661" i="10"/>
  <c r="AQ2661" i="10"/>
  <c r="AS2661" i="10"/>
  <c r="AX2661" i="10"/>
  <c r="AL2661" i="10"/>
  <c r="AM2661" i="10"/>
  <c r="AV2661" i="10"/>
  <c r="AN2661" i="10"/>
  <c r="AO2657" i="10"/>
  <c r="AR2657" i="10"/>
  <c r="AX2657" i="10"/>
  <c r="AQ2657" i="10"/>
  <c r="AV2657" i="10"/>
  <c r="AS2657" i="10"/>
  <c r="AP2657" i="10"/>
  <c r="AM2657" i="10"/>
  <c r="AK2657" i="10"/>
  <c r="AW2657" i="10"/>
  <c r="AT2657" i="10"/>
  <c r="AL2657" i="10"/>
  <c r="AU2657" i="10"/>
  <c r="AJ2657" i="10"/>
  <c r="AN2657" i="10"/>
  <c r="AR2643" i="10"/>
  <c r="AQ2643" i="10"/>
  <c r="AT2643" i="10"/>
  <c r="AU2643" i="10"/>
  <c r="AN2643" i="10"/>
  <c r="AS2643" i="10"/>
  <c r="AX2643" i="10"/>
  <c r="AP2643" i="10"/>
  <c r="AL2643" i="10"/>
  <c r="AV2633" i="10"/>
  <c r="AO2633" i="10"/>
  <c r="AW2633" i="10"/>
  <c r="AK2633" i="10"/>
  <c r="AQ2633" i="10"/>
  <c r="AU2633" i="10"/>
  <c r="AM2633" i="10"/>
  <c r="AN2633" i="10"/>
  <c r="AX2633" i="10"/>
  <c r="AP2633" i="10"/>
  <c r="AT2615" i="10"/>
  <c r="AO2615" i="10"/>
  <c r="AV2615" i="10"/>
  <c r="AQ2615" i="10"/>
  <c r="AS2615" i="10"/>
  <c r="AR2615" i="10"/>
  <c r="AL2615" i="10"/>
  <c r="AM2615" i="10"/>
  <c r="AU2615" i="10"/>
  <c r="AJ2615" i="10"/>
  <c r="AP2615" i="10"/>
  <c r="AW2615" i="10"/>
  <c r="AX2615" i="10"/>
  <c r="AK2615" i="10"/>
  <c r="AW2605" i="10"/>
  <c r="AQ2605" i="10"/>
  <c r="AK2605" i="10"/>
  <c r="AV2605" i="10"/>
  <c r="AP2605" i="10"/>
  <c r="AR2605" i="10"/>
  <c r="AW2600" i="10"/>
  <c r="AX2600" i="10"/>
  <c r="AV2600" i="10"/>
  <c r="AR2600" i="10"/>
  <c r="AQ2600" i="10"/>
  <c r="AK2600" i="10"/>
  <c r="AS2600" i="10"/>
  <c r="AL2600" i="10"/>
  <c r="AJ2600" i="10"/>
  <c r="AM2600" i="10"/>
  <c r="AN2600" i="10"/>
  <c r="AO2600" i="10"/>
  <c r="AU2600" i="10"/>
  <c r="AO2579" i="10"/>
  <c r="AR2579" i="10"/>
  <c r="AM2579" i="10"/>
  <c r="AX2579" i="10"/>
  <c r="AT2579" i="10"/>
  <c r="AW2579" i="10"/>
  <c r="AV2579" i="10"/>
  <c r="AJ2579" i="10"/>
  <c r="AP2579" i="10"/>
  <c r="AL2579" i="10"/>
  <c r="AU2579" i="10"/>
  <c r="AQ2579" i="10"/>
  <c r="AK2579" i="10"/>
  <c r="AK2568" i="10"/>
  <c r="AM2568" i="10"/>
  <c r="AW2568" i="10"/>
  <c r="AX2568" i="10"/>
  <c r="AN2568" i="10"/>
  <c r="AO2568" i="10"/>
  <c r="AP2568" i="10"/>
  <c r="AQ2568" i="10"/>
  <c r="AT2568" i="10"/>
  <c r="AU2568" i="10"/>
  <c r="AR2568" i="10"/>
  <c r="AV2568" i="10"/>
  <c r="AS2568" i="10"/>
  <c r="AL2568" i="10"/>
  <c r="AK2563" i="10"/>
  <c r="AT2563" i="10"/>
  <c r="AV2563" i="10"/>
  <c r="AM2563" i="10"/>
  <c r="AU2563" i="10"/>
  <c r="AX2563" i="10"/>
  <c r="AQ2563" i="10"/>
  <c r="AJ2563" i="10"/>
  <c r="AP2563" i="10"/>
  <c r="AN2563" i="10"/>
  <c r="AO2563" i="10"/>
  <c r="AR2563" i="10"/>
  <c r="AS2563" i="10"/>
  <c r="AQ2549" i="10"/>
  <c r="AP2549" i="10"/>
  <c r="AX2549" i="10"/>
  <c r="AJ2549" i="10"/>
  <c r="AL2549" i="10"/>
  <c r="AV2549" i="10"/>
  <c r="AN2549" i="10"/>
  <c r="AS2549" i="10"/>
  <c r="AR2549" i="10"/>
  <c r="AT2549" i="10"/>
  <c r="AN2513" i="10"/>
  <c r="AM2513" i="10"/>
  <c r="AK2513" i="10"/>
  <c r="AW2513" i="10"/>
  <c r="AS2513" i="10"/>
  <c r="AR2513" i="10"/>
  <c r="AT2513" i="10"/>
  <c r="AQ2513" i="10"/>
  <c r="AO2513" i="10"/>
  <c r="AV2513" i="10"/>
  <c r="AP2513" i="10"/>
  <c r="AL2513" i="10"/>
  <c r="AX2513" i="10"/>
  <c r="AJ2513" i="10"/>
  <c r="AU2513" i="10"/>
  <c r="AX2502" i="10"/>
  <c r="AN2502" i="10"/>
  <c r="AT2502" i="10"/>
  <c r="AO2502" i="10"/>
  <c r="AU2502" i="10"/>
  <c r="AP2502" i="10"/>
  <c r="AM2502" i="10"/>
  <c r="AQ2502" i="10"/>
  <c r="AL2502" i="10"/>
  <c r="AR2502" i="10"/>
  <c r="AV2502" i="10"/>
  <c r="AW2502" i="10"/>
  <c r="AS2502" i="10"/>
  <c r="AJ2502" i="10"/>
  <c r="AK2502" i="10"/>
  <c r="AT2497" i="10"/>
  <c r="AQ2497" i="10"/>
  <c r="AN2497" i="10"/>
  <c r="AS2497" i="10"/>
  <c r="AV2497" i="10"/>
  <c r="AL2497" i="10"/>
  <c r="AK2497" i="10"/>
  <c r="AU2497" i="10"/>
  <c r="AP2497" i="10"/>
  <c r="AM2497" i="10"/>
  <c r="AX2497" i="10"/>
  <c r="AJ2497" i="10"/>
  <c r="AR2497" i="10"/>
  <c r="AP2451" i="10"/>
  <c r="AL2451" i="10"/>
  <c r="AO2451" i="10"/>
  <c r="AU2451" i="10"/>
  <c r="AW2451" i="10"/>
  <c r="AM2451" i="10"/>
  <c r="AR2451" i="10"/>
  <c r="AJ2451" i="10"/>
  <c r="AX2451" i="10"/>
  <c r="AV2451" i="10"/>
  <c r="AT2451" i="10"/>
  <c r="AS2451" i="10"/>
  <c r="AN2451" i="10"/>
  <c r="AR2440" i="10"/>
  <c r="AT2440" i="10"/>
  <c r="AU2440" i="10"/>
  <c r="AN2440" i="10"/>
  <c r="AL2440" i="10"/>
  <c r="AO2440" i="10"/>
  <c r="AM2440" i="10"/>
  <c r="AX2440" i="10"/>
  <c r="AJ2440" i="10"/>
  <c r="AK2440" i="10"/>
  <c r="AK2434" i="10"/>
  <c r="AX2434" i="10"/>
  <c r="AP2434" i="10"/>
  <c r="AU2434" i="10"/>
  <c r="AN2434" i="10"/>
  <c r="AL2434" i="10"/>
  <c r="AT2428" i="10"/>
  <c r="AM2428" i="10"/>
  <c r="AX2428" i="10"/>
  <c r="AQ2428" i="10"/>
  <c r="AU2428" i="10"/>
  <c r="AN2428" i="10"/>
  <c r="AS2428" i="10"/>
  <c r="AJ2428" i="10"/>
  <c r="AP2428" i="10"/>
  <c r="AO2428" i="10"/>
  <c r="AL2428" i="10"/>
  <c r="AR2428" i="10"/>
  <c r="AV2428" i="10"/>
  <c r="AK2428" i="10"/>
  <c r="AW2428" i="10"/>
  <c r="AP2422" i="10"/>
  <c r="AV2422" i="10"/>
  <c r="AK2422" i="10"/>
  <c r="AO2422" i="10"/>
  <c r="AW2422" i="10"/>
  <c r="AL2422" i="10"/>
  <c r="AS2422" i="10"/>
  <c r="AN2422" i="10"/>
  <c r="AX2422" i="10"/>
  <c r="AT2422" i="10"/>
  <c r="AU2416" i="10"/>
  <c r="AO2416" i="10"/>
  <c r="AW2416" i="10"/>
  <c r="AT2416" i="10"/>
  <c r="AR2416" i="10"/>
  <c r="AN2416" i="10"/>
  <c r="AQ2416" i="10"/>
  <c r="AM2416" i="10"/>
  <c r="AX2416" i="10"/>
  <c r="AM2404" i="10"/>
  <c r="AT2404" i="10"/>
  <c r="AL2404" i="10"/>
  <c r="AW2404" i="10"/>
  <c r="AX2404" i="10"/>
  <c r="AN2404" i="10"/>
  <c r="AJ2404" i="10"/>
  <c r="AR2404" i="10"/>
  <c r="AS2404" i="10"/>
  <c r="AP2394" i="10"/>
  <c r="AV2394" i="10"/>
  <c r="AK2394" i="10"/>
  <c r="AS2394" i="10"/>
  <c r="AO2394" i="10"/>
  <c r="AU2394" i="10"/>
  <c r="AW2394" i="10"/>
  <c r="AX2394" i="10"/>
  <c r="AT2394" i="10"/>
  <c r="AJ2394" i="10"/>
  <c r="AN2394" i="10"/>
  <c r="AR2394" i="10"/>
  <c r="AL2389" i="10"/>
  <c r="AQ2389" i="10"/>
  <c r="AN2389" i="10"/>
  <c r="AM2389" i="10"/>
  <c r="AP2389" i="10"/>
  <c r="AU2389" i="10"/>
  <c r="AV2389" i="10"/>
  <c r="AW2389" i="10"/>
  <c r="AX2389" i="10"/>
  <c r="AO2389" i="10"/>
  <c r="AK2389" i="10"/>
  <c r="AT2389" i="10"/>
  <c r="AS2389" i="10"/>
  <c r="AR2389" i="10"/>
  <c r="AJ2389" i="10"/>
  <c r="AX2379" i="10"/>
  <c r="AM2379" i="10"/>
  <c r="AK2379" i="10"/>
  <c r="AN2379" i="10"/>
  <c r="AS2379" i="10"/>
  <c r="AU2379" i="10"/>
  <c r="AV2379" i="10"/>
  <c r="AJ2379" i="10"/>
  <c r="AQ2379" i="10"/>
  <c r="AR2379" i="10"/>
  <c r="AT2379" i="10"/>
  <c r="AU2368" i="10"/>
  <c r="AW2368" i="10"/>
  <c r="AS2368" i="10"/>
  <c r="AJ2368" i="10"/>
  <c r="AN2368" i="10"/>
  <c r="AK2342" i="10"/>
  <c r="AL2342" i="10"/>
  <c r="AM2342" i="10"/>
  <c r="AO2342" i="10"/>
  <c r="AW2342" i="10"/>
  <c r="AV2342" i="10"/>
  <c r="AJ2342" i="10"/>
  <c r="AP2342" i="10"/>
  <c r="AN2342" i="10"/>
  <c r="AQ2342" i="10"/>
  <c r="AR2342" i="10"/>
  <c r="AT2342" i="10"/>
  <c r="AS2342" i="10"/>
  <c r="AT2332" i="10"/>
  <c r="AW2332" i="10"/>
  <c r="AP2332" i="10"/>
  <c r="AX2332" i="10"/>
  <c r="AN2332" i="10"/>
  <c r="AS2332" i="10"/>
  <c r="AL2332" i="10"/>
  <c r="AO2332" i="10"/>
  <c r="AK2332" i="10"/>
  <c r="AM2332" i="10"/>
  <c r="AU2332" i="10"/>
  <c r="AV2332" i="10"/>
  <c r="AR2332" i="10"/>
  <c r="AJ2332" i="10"/>
  <c r="AQ2332" i="10"/>
  <c r="AV2327" i="10"/>
  <c r="AX2327" i="10"/>
  <c r="AN2327" i="10"/>
  <c r="AT2327" i="10"/>
  <c r="AR2327" i="10"/>
  <c r="AJ2327" i="10"/>
  <c r="AU2327" i="10"/>
  <c r="AL2327" i="10"/>
  <c r="AW2327" i="10"/>
  <c r="AK2327" i="10"/>
  <c r="AM2327" i="10"/>
  <c r="AP2327" i="10"/>
  <c r="AS2327" i="10"/>
  <c r="AO2327" i="10"/>
  <c r="AQ2327" i="10"/>
  <c r="AU2311" i="10"/>
  <c r="AL2311" i="10"/>
  <c r="AS2311" i="10"/>
  <c r="AN2311" i="10"/>
  <c r="AQ2311" i="10"/>
  <c r="AS2301" i="10"/>
  <c r="AU2301" i="10"/>
  <c r="AW2301" i="10"/>
  <c r="AO2301" i="10"/>
  <c r="AN2301" i="10"/>
  <c r="AM2301" i="10"/>
  <c r="AK2301" i="10"/>
  <c r="AP2301" i="10"/>
  <c r="AT2301" i="10"/>
  <c r="AL2301" i="10"/>
  <c r="AQ2301" i="10"/>
  <c r="AR2301" i="10"/>
  <c r="AX2301" i="10"/>
  <c r="AP2295" i="10"/>
  <c r="AK2295" i="10"/>
  <c r="AT2295" i="10"/>
  <c r="AL2295" i="10"/>
  <c r="AV2295" i="10"/>
  <c r="AM2295" i="10"/>
  <c r="AU2295" i="10"/>
  <c r="AO2290" i="10"/>
  <c r="AR2290" i="10"/>
  <c r="AK2290" i="10"/>
  <c r="AX2290" i="10"/>
  <c r="AV2290" i="10"/>
  <c r="AU2290" i="10"/>
  <c r="AJ2290" i="10"/>
  <c r="AL2290" i="10"/>
  <c r="AP2290" i="10"/>
  <c r="C6" i="45"/>
  <c r="L79" i="45"/>
  <c r="N15" i="43" s="1"/>
  <c r="AL2692" i="10"/>
  <c r="AQ2692" i="10"/>
  <c r="AK2692" i="10"/>
  <c r="AP2692" i="10"/>
  <c r="AU2692" i="10"/>
  <c r="AN2692" i="10"/>
  <c r="AM2692" i="10"/>
  <c r="AX2692" i="10"/>
  <c r="AV2692" i="10"/>
  <c r="AR2692" i="10"/>
  <c r="AO2692" i="10"/>
  <c r="AS2692" i="10"/>
  <c r="AW2692" i="10"/>
  <c r="AT2692" i="10"/>
  <c r="AQ2662" i="10"/>
  <c r="AX2662" i="10"/>
  <c r="AP2662" i="10"/>
  <c r="AT2662" i="10"/>
  <c r="AR2662" i="10"/>
  <c r="AL2662" i="10"/>
  <c r="AV2662" i="10"/>
  <c r="AS2662" i="10"/>
  <c r="AK2662" i="10"/>
  <c r="AM2662" i="10"/>
  <c r="AN2662" i="10"/>
  <c r="AJ2662" i="10"/>
  <c r="AO2662" i="10"/>
  <c r="AT2634" i="10"/>
  <c r="AO2634" i="10"/>
  <c r="AP2634" i="10"/>
  <c r="AM2634" i="10"/>
  <c r="AV2634" i="10"/>
  <c r="AJ2634" i="10"/>
  <c r="AL2634" i="10"/>
  <c r="AU2634" i="10"/>
  <c r="AS2634" i="10"/>
  <c r="AM2585" i="10"/>
  <c r="AV2585" i="10"/>
  <c r="AO2585" i="10"/>
  <c r="AS2585" i="10"/>
  <c r="AL2585" i="10"/>
  <c r="AP2585" i="10"/>
  <c r="AK2585" i="10"/>
  <c r="AU2585" i="10"/>
  <c r="AN2585" i="10"/>
  <c r="AT2585" i="10"/>
  <c r="AX2585" i="10"/>
  <c r="AQ2539" i="10"/>
  <c r="AP2539" i="10"/>
  <c r="AM2539" i="10"/>
  <c r="AW2539" i="10"/>
  <c r="AU2539" i="10"/>
  <c r="AS2539" i="10"/>
  <c r="AO2539" i="10"/>
  <c r="AN2539" i="10"/>
  <c r="AJ2539" i="10"/>
  <c r="AK2539" i="10"/>
  <c r="AV2539" i="10"/>
  <c r="AJ2503" i="10"/>
  <c r="AO2503" i="10"/>
  <c r="AP2503" i="10"/>
  <c r="AR2503" i="10"/>
  <c r="AV2503" i="10"/>
  <c r="AN2503" i="10"/>
  <c r="AP2446" i="10"/>
  <c r="AJ2446" i="10"/>
  <c r="AL2446" i="10"/>
  <c r="AX2446" i="10"/>
  <c r="AL2423" i="10"/>
  <c r="AO2423" i="10"/>
  <c r="AK2423" i="10"/>
  <c r="AS2423" i="10"/>
  <c r="AW2423" i="10"/>
  <c r="AR2423" i="10"/>
  <c r="AV2423" i="10"/>
  <c r="AX2423" i="10"/>
  <c r="AP2423" i="10"/>
  <c r="AQ2423" i="10"/>
  <c r="AT2384" i="10"/>
  <c r="AP2384" i="10"/>
  <c r="AR2384" i="10"/>
  <c r="AW2384" i="10"/>
  <c r="AK2384" i="10"/>
  <c r="AX2384" i="10"/>
  <c r="AU2384" i="10"/>
  <c r="AL2384" i="10"/>
  <c r="AN2384" i="10"/>
  <c r="AQ2384" i="10"/>
  <c r="AO2384" i="10"/>
  <c r="AS2384" i="10"/>
  <c r="AM2384" i="10"/>
  <c r="AV2384" i="10"/>
  <c r="AJ2384" i="10"/>
  <c r="AQ2343" i="10"/>
  <c r="AP2343" i="10"/>
  <c r="AT2343" i="10"/>
  <c r="AR2343" i="10"/>
  <c r="AN2343" i="10"/>
  <c r="AM2343" i="10"/>
  <c r="AU2343" i="10"/>
  <c r="AJ2343" i="10"/>
  <c r="AJ2333" i="10"/>
  <c r="AR2333" i="10"/>
  <c r="AQ2333" i="10"/>
  <c r="AW2333" i="10"/>
  <c r="AK2333" i="10"/>
  <c r="AS2333" i="10"/>
  <c r="AT2333" i="10"/>
  <c r="AP2333" i="10"/>
  <c r="AV2333" i="10"/>
  <c r="AO2333" i="10"/>
  <c r="AX2312" i="10"/>
  <c r="AJ2312" i="10"/>
  <c r="AW2312" i="10"/>
  <c r="AK2312" i="10"/>
  <c r="AS2312" i="10"/>
  <c r="AT2312" i="10"/>
  <c r="AN2312" i="10"/>
  <c r="AV2312" i="10"/>
  <c r="AQ2312" i="10"/>
  <c r="AP2312" i="10"/>
  <c r="AU2291" i="10"/>
  <c r="AJ2291" i="10"/>
  <c r="AQ2291" i="10"/>
  <c r="AP2245" i="10"/>
  <c r="AO2245" i="10"/>
  <c r="AM2245" i="10"/>
  <c r="AX2245" i="10"/>
  <c r="AU2245" i="10"/>
  <c r="AL2245" i="10"/>
  <c r="AR2245" i="10"/>
  <c r="AV2245" i="10"/>
  <c r="AN2245" i="10"/>
  <c r="AJ2245" i="10"/>
  <c r="AW2245" i="10"/>
  <c r="AT2218" i="10"/>
  <c r="AS2218" i="10"/>
  <c r="AR2218" i="10"/>
  <c r="AK2218" i="10"/>
  <c r="AW2218" i="10"/>
  <c r="AQ2218" i="10"/>
  <c r="AV2218" i="10"/>
  <c r="AU2218" i="10"/>
  <c r="AX2218" i="10"/>
  <c r="AP2218" i="10"/>
  <c r="AM2218" i="10"/>
  <c r="AN2218" i="10"/>
  <c r="AL2218" i="10"/>
  <c r="AO2218" i="10"/>
  <c r="AV2197" i="10"/>
  <c r="AW2197" i="10"/>
  <c r="AJ2197" i="10"/>
  <c r="AP2197" i="10"/>
  <c r="AV2176" i="10"/>
  <c r="AO2176" i="10"/>
  <c r="AU2176" i="10"/>
  <c r="AX2176" i="10"/>
  <c r="AL2176" i="10"/>
  <c r="AJ2176" i="10"/>
  <c r="AR2176" i="10"/>
  <c r="AW2176" i="10"/>
  <c r="AV2113" i="10"/>
  <c r="AO2113" i="10"/>
  <c r="AJ2113" i="10"/>
  <c r="AX2113" i="10"/>
  <c r="AK2113" i="10"/>
  <c r="AW2113" i="10"/>
  <c r="AP2113" i="10"/>
  <c r="AR2113" i="10"/>
  <c r="AQ2113" i="10"/>
  <c r="AT2113" i="10"/>
  <c r="AM2113" i="10"/>
  <c r="AS2113" i="10"/>
  <c r="AN2113" i="10"/>
  <c r="AK2091" i="10"/>
  <c r="AJ2091" i="10"/>
  <c r="AN2091" i="10"/>
  <c r="AM2091" i="10"/>
  <c r="AL2023" i="10"/>
  <c r="AS2023" i="10"/>
  <c r="AU2023" i="10"/>
  <c r="AM2023" i="10"/>
  <c r="AV2023" i="10"/>
  <c r="AQ2023" i="10"/>
  <c r="AK2023" i="10"/>
  <c r="AX2023" i="10"/>
  <c r="AO2023" i="10"/>
  <c r="AN2023" i="10"/>
  <c r="AJ2023" i="10"/>
  <c r="AP2023" i="10"/>
  <c r="AR1999" i="10"/>
  <c r="AN1999" i="10"/>
  <c r="AU1999" i="10"/>
  <c r="AX1999" i="10"/>
  <c r="AQ1999" i="10"/>
  <c r="AL1999" i="10"/>
  <c r="AS1999" i="10"/>
  <c r="AM1929" i="10"/>
  <c r="AV1929" i="10"/>
  <c r="AJ1929" i="10"/>
  <c r="AX1929" i="10"/>
  <c r="AN1929" i="10"/>
  <c r="AU1929" i="10"/>
  <c r="AQ1929" i="10"/>
  <c r="AK1929" i="10"/>
  <c r="AX1908" i="10"/>
  <c r="AJ1908" i="10"/>
  <c r="AP1908" i="10"/>
  <c r="AS1908" i="10"/>
  <c r="AQ1908" i="10"/>
  <c r="AO1908" i="10"/>
  <c r="AK1908" i="10"/>
  <c r="AL1908" i="10"/>
  <c r="AW1908" i="10"/>
  <c r="AV1908" i="10"/>
  <c r="AX1882" i="10"/>
  <c r="AW1882" i="10"/>
  <c r="AU1882" i="10"/>
  <c r="AT1882" i="10"/>
  <c r="AP1882" i="10"/>
  <c r="AQ1882" i="10"/>
  <c r="AV1882" i="10"/>
  <c r="AS1882" i="10"/>
  <c r="AM1882" i="10"/>
  <c r="AO1882" i="10"/>
  <c r="AR1882" i="10"/>
  <c r="AL1882" i="10"/>
  <c r="N69" i="45"/>
  <c r="AN1882" i="10"/>
  <c r="AK1882" i="10"/>
  <c r="AJ1882" i="10"/>
  <c r="AT1840" i="10"/>
  <c r="AR1840" i="10"/>
  <c r="AS1840" i="10"/>
  <c r="AM1840" i="10"/>
  <c r="AL1840" i="10"/>
  <c r="AX1840" i="10"/>
  <c r="AJ1840" i="10"/>
  <c r="AK1816" i="10"/>
  <c r="AO1816" i="10"/>
  <c r="AL1816" i="10"/>
  <c r="AX1816" i="10"/>
  <c r="AW1816" i="10"/>
  <c r="AN1816" i="10"/>
  <c r="AM1816" i="10"/>
  <c r="AV1816" i="10"/>
  <c r="AU1816" i="10"/>
  <c r="AQ1816" i="10"/>
  <c r="AR1816" i="10"/>
  <c r="AP1816" i="10"/>
  <c r="AS1816" i="10"/>
  <c r="AJ1816" i="10"/>
  <c r="AT1816" i="10"/>
  <c r="AV1748" i="10"/>
  <c r="AX1748" i="10"/>
  <c r="AP1748" i="10"/>
  <c r="AR1748" i="10"/>
  <c r="AU1748" i="10"/>
  <c r="AJ1748" i="10"/>
  <c r="AN1748" i="10"/>
  <c r="AL1748" i="10"/>
  <c r="AQ1748" i="10"/>
  <c r="AK1748" i="10"/>
  <c r="AO1748" i="10"/>
  <c r="AP1714" i="10"/>
  <c r="AT1714" i="10"/>
  <c r="AO1714" i="10"/>
  <c r="AQ1714" i="10"/>
  <c r="AU1714" i="10"/>
  <c r="AL1714" i="10"/>
  <c r="AK1714" i="10"/>
  <c r="AN1714" i="10"/>
  <c r="AM1714" i="10"/>
  <c r="AV1714" i="10"/>
  <c r="AO1683" i="10"/>
  <c r="AS1683" i="10"/>
  <c r="AJ1683" i="10"/>
  <c r="AV1683" i="10"/>
  <c r="AL1683" i="10"/>
  <c r="AU1683" i="10"/>
  <c r="AN1683" i="10"/>
  <c r="AM1683" i="10"/>
  <c r="AQ1558" i="10"/>
  <c r="AP1558" i="10"/>
  <c r="AR1558" i="10"/>
  <c r="AJ1558" i="10"/>
  <c r="AL1558" i="10"/>
  <c r="AU1558" i="10"/>
  <c r="AK1500" i="10"/>
  <c r="AS1500" i="10"/>
  <c r="AP1500" i="10"/>
  <c r="AJ1500" i="10"/>
  <c r="AN1500" i="10"/>
  <c r="AR1500" i="10"/>
  <c r="AW1500" i="10"/>
  <c r="AL1500" i="10"/>
  <c r="AT1500" i="10"/>
  <c r="AX1500" i="10"/>
  <c r="AT1470" i="10"/>
  <c r="AM1470" i="10"/>
  <c r="AV1470" i="10"/>
  <c r="AS1470" i="10"/>
  <c r="AR1470" i="10"/>
  <c r="AL1470" i="10"/>
  <c r="AN1470" i="10"/>
  <c r="AQ1470" i="10"/>
  <c r="AW1470" i="10"/>
  <c r="AO1470" i="10"/>
  <c r="AK1470" i="10"/>
  <c r="AJ1470" i="10"/>
  <c r="AQ1451" i="10"/>
  <c r="AN1451" i="10"/>
  <c r="AM1451" i="10"/>
  <c r="AJ1451" i="10"/>
  <c r="AP1451" i="10"/>
  <c r="AS1451" i="10"/>
  <c r="AL1451" i="10"/>
  <c r="AX1451" i="10"/>
  <c r="AR1451" i="10"/>
  <c r="AU1451" i="10"/>
  <c r="AW1451" i="10"/>
  <c r="AO1422" i="10"/>
  <c r="AS1422" i="10"/>
  <c r="AJ1422" i="10"/>
  <c r="AU1422" i="10"/>
  <c r="AO1395" i="10"/>
  <c r="AT1395" i="10"/>
  <c r="AN1395" i="10"/>
  <c r="AW1395" i="10"/>
  <c r="AQ1395" i="10"/>
  <c r="AL1395" i="10"/>
  <c r="AK1395" i="10"/>
  <c r="AV1395" i="10"/>
  <c r="AJ1395" i="10"/>
  <c r="AP1395" i="10"/>
  <c r="AR1395" i="10"/>
  <c r="AK1338" i="10"/>
  <c r="AR1338" i="10"/>
  <c r="AU1338" i="10"/>
  <c r="AJ1338" i="10"/>
  <c r="AN1338" i="10"/>
  <c r="AX1338" i="10"/>
  <c r="AO1338" i="10"/>
  <c r="AM1338" i="10"/>
  <c r="AT1338" i="10"/>
  <c r="AS1338" i="10"/>
  <c r="AL1338" i="10"/>
  <c r="AO1316" i="10"/>
  <c r="AS1316" i="10"/>
  <c r="AL1316" i="10"/>
  <c r="AK1316" i="10"/>
  <c r="AV1316" i="10"/>
  <c r="AU1316" i="10"/>
  <c r="AN1316" i="10"/>
  <c r="AP1316" i="10"/>
  <c r="AX1316" i="10"/>
  <c r="AT1316" i="10"/>
  <c r="AR1316" i="10"/>
  <c r="AQ1316" i="10"/>
  <c r="AJ1316" i="10"/>
  <c r="AM1316" i="10"/>
  <c r="AW1316" i="10"/>
  <c r="AP1278" i="10"/>
  <c r="AQ1278" i="10"/>
  <c r="AS1278" i="10"/>
  <c r="AK1278" i="10"/>
  <c r="AM1278" i="10"/>
  <c r="AR1278" i="10"/>
  <c r="AT1278" i="10"/>
  <c r="AX1213" i="10"/>
  <c r="AU1213" i="10"/>
  <c r="AR1213" i="10"/>
  <c r="AS1213" i="10"/>
  <c r="AM1213" i="10"/>
  <c r="AJ1213" i="10"/>
  <c r="AQ1213" i="10"/>
  <c r="AV1213" i="10"/>
  <c r="AL1213" i="10"/>
  <c r="AK1213" i="10"/>
  <c r="AN1213" i="10"/>
  <c r="AT1213" i="10"/>
  <c r="AW1213" i="10"/>
  <c r="AP1180" i="10"/>
  <c r="AM1180" i="10"/>
  <c r="AW1180" i="10"/>
  <c r="AK1180" i="10"/>
  <c r="AX1180" i="10"/>
  <c r="AO1180" i="10"/>
  <c r="AN1180" i="10"/>
  <c r="AS1180" i="10"/>
  <c r="AV1180" i="10"/>
  <c r="AJ1180" i="10"/>
  <c r="AU1180" i="10"/>
  <c r="AT1180" i="10"/>
  <c r="AQ1180" i="10"/>
  <c r="AL1180" i="10"/>
  <c r="AK1090" i="10"/>
  <c r="AJ1090" i="10"/>
  <c r="AT1090" i="10"/>
  <c r="AL1090" i="10"/>
  <c r="AX1090" i="10"/>
  <c r="AV1090" i="10"/>
  <c r="AR1090" i="10"/>
  <c r="AW1090" i="10"/>
  <c r="AS1090" i="10"/>
  <c r="AX938" i="10"/>
  <c r="AU938" i="10"/>
  <c r="AO938" i="10"/>
  <c r="AQ938" i="10"/>
  <c r="AW938" i="10"/>
  <c r="AK938" i="10"/>
  <c r="AS938" i="10"/>
  <c r="AN938" i="10"/>
  <c r="AL938" i="10"/>
  <c r="AV938" i="10"/>
  <c r="AJ938" i="10"/>
  <c r="AP938" i="10"/>
  <c r="AR938" i="10"/>
  <c r="AM711" i="10"/>
  <c r="AP711" i="10"/>
  <c r="AW711" i="10"/>
  <c r="AO711" i="10"/>
  <c r="AK711" i="10"/>
  <c r="AX711" i="10"/>
  <c r="AV711" i="10"/>
  <c r="AJ711" i="10"/>
  <c r="AL711" i="10"/>
  <c r="AU711" i="10"/>
  <c r="AT711" i="10"/>
  <c r="AK687" i="10"/>
  <c r="C128" i="45"/>
  <c r="AS714" i="10"/>
  <c r="AP1791" i="10"/>
  <c r="AO1791" i="10"/>
  <c r="AJ1766" i="10"/>
  <c r="AR1766" i="10"/>
  <c r="AO1652" i="10"/>
  <c r="AM1652" i="10"/>
  <c r="AP1652" i="10"/>
  <c r="AM1563" i="10"/>
  <c r="AX1563" i="10"/>
  <c r="AO1069" i="10"/>
  <c r="AR1069" i="10"/>
  <c r="AS1069" i="10"/>
  <c r="AU1069" i="10"/>
  <c r="AJ1069" i="10"/>
  <c r="AX1069" i="10"/>
  <c r="AQ1069" i="10"/>
  <c r="AV1069" i="10"/>
  <c r="AW1069" i="10"/>
  <c r="AL1069" i="10"/>
  <c r="AT1069" i="10"/>
  <c r="AX978" i="10"/>
  <c r="AP978" i="10"/>
  <c r="AS978" i="10"/>
  <c r="AU978" i="10"/>
  <c r="AN978" i="10"/>
  <c r="AM978" i="10"/>
  <c r="AQ978" i="10"/>
  <c r="AL978" i="10"/>
  <c r="AR978" i="10"/>
  <c r="AT978" i="10"/>
  <c r="AV978" i="10"/>
  <c r="AO978" i="10"/>
  <c r="AJ978" i="10"/>
  <c r="AW799" i="10"/>
  <c r="AX799" i="10"/>
  <c r="AN799" i="10"/>
  <c r="AU799" i="10"/>
  <c r="AR799" i="10"/>
  <c r="AV799" i="10"/>
  <c r="AK799" i="10"/>
  <c r="AJ799" i="10"/>
  <c r="AM799" i="10"/>
  <c r="AL799" i="10"/>
  <c r="AQ799" i="10"/>
  <c r="AT799" i="10"/>
  <c r="AP799" i="10"/>
  <c r="AO799" i="10"/>
  <c r="AO723" i="10"/>
  <c r="AN723" i="10"/>
  <c r="AM723" i="10"/>
  <c r="AX723" i="10"/>
  <c r="AL723" i="10"/>
  <c r="AW723" i="10"/>
  <c r="AK723" i="10"/>
  <c r="AV723" i="10"/>
  <c r="AJ723" i="10"/>
  <c r="AX706" i="10"/>
  <c r="AW706" i="10"/>
  <c r="AJ706" i="10"/>
  <c r="AK706" i="10"/>
  <c r="Y128" i="45"/>
  <c r="AQ1984" i="10"/>
  <c r="AJ1961" i="10"/>
  <c r="AJ2692" i="10"/>
  <c r="AN1872" i="10"/>
  <c r="AR723" i="10"/>
  <c r="AU714" i="10"/>
  <c r="AT841" i="10"/>
  <c r="AJ862" i="10"/>
  <c r="AT874" i="10"/>
  <c r="AS2260" i="10"/>
  <c r="AJ2676" i="10"/>
  <c r="AJ764" i="10"/>
  <c r="AO1961" i="10"/>
  <c r="AN2446" i="10"/>
  <c r="AJ1999" i="10"/>
  <c r="AU2113" i="10"/>
  <c r="AT1893" i="10"/>
  <c r="AK1867" i="10"/>
  <c r="AQ1835" i="10"/>
  <c r="AW1938" i="10"/>
  <c r="AU2342" i="10"/>
  <c r="AP2600" i="10"/>
  <c r="AR1058" i="10"/>
  <c r="AP1129" i="10"/>
  <c r="AR2312" i="10"/>
  <c r="AL2197" i="10"/>
  <c r="AQ1147" i="10"/>
  <c r="AM2394" i="10"/>
  <c r="AO2720" i="10"/>
  <c r="AX2720" i="10"/>
  <c r="AN2720" i="10"/>
  <c r="AJ2720" i="10"/>
  <c r="AW2720" i="10"/>
  <c r="AU2720" i="10"/>
  <c r="AT2666" i="10"/>
  <c r="AR2666" i="10"/>
  <c r="AO2666" i="10"/>
  <c r="AU2620" i="10"/>
  <c r="AW2620" i="10"/>
  <c r="AX2620" i="10"/>
  <c r="AJ2620" i="10"/>
  <c r="AN2620" i="10"/>
  <c r="AT2601" i="10"/>
  <c r="AL2601" i="10"/>
  <c r="AW2601" i="10"/>
  <c r="AR2601" i="10"/>
  <c r="AK2601" i="10"/>
  <c r="AS2601" i="10"/>
  <c r="AO2601" i="10"/>
  <c r="AQ2601" i="10"/>
  <c r="AJ2601" i="10"/>
  <c r="AM2601" i="10"/>
  <c r="AX2564" i="10"/>
  <c r="AJ2564" i="10"/>
  <c r="AP2564" i="10"/>
  <c r="AS2564" i="10"/>
  <c r="AT2564" i="10"/>
  <c r="AQ2564" i="10"/>
  <c r="AK2564" i="10"/>
  <c r="AV2564" i="10"/>
  <c r="AN2564" i="10"/>
  <c r="AO2564" i="10"/>
  <c r="AV2524" i="10"/>
  <c r="AN2524" i="10"/>
  <c r="AW2524" i="10"/>
  <c r="AO2524" i="10"/>
  <c r="AR2524" i="10"/>
  <c r="AU2524" i="10"/>
  <c r="AJ2524" i="10"/>
  <c r="AP2493" i="10"/>
  <c r="AW2493" i="10"/>
  <c r="AR2493" i="10"/>
  <c r="AJ2493" i="10"/>
  <c r="AS2493" i="10"/>
  <c r="AK2493" i="10"/>
  <c r="AL2493" i="10"/>
  <c r="AQ2493" i="10"/>
  <c r="AT2493" i="10"/>
  <c r="AM2493" i="10"/>
  <c r="AV2493" i="10"/>
  <c r="AK2478" i="10"/>
  <c r="AN2478" i="10"/>
  <c r="AJ2478" i="10"/>
  <c r="AR2478" i="10"/>
  <c r="AV2411" i="10"/>
  <c r="AQ2411" i="10"/>
  <c r="AX2411" i="10"/>
  <c r="AO2411" i="10"/>
  <c r="AP2411" i="10"/>
  <c r="AJ2411" i="10"/>
  <c r="AS2411" i="10"/>
  <c r="AN2411" i="10"/>
  <c r="AK2411" i="10"/>
  <c r="AT2411" i="10"/>
  <c r="AW2369" i="10"/>
  <c r="AK2369" i="10"/>
  <c r="AX2369" i="10"/>
  <c r="AR2369" i="10"/>
  <c r="AM2369" i="10"/>
  <c r="AO2369" i="10"/>
  <c r="AV2369" i="10"/>
  <c r="AT2369" i="10"/>
  <c r="AL2369" i="10"/>
  <c r="AS2369" i="10"/>
  <c r="AQ2369" i="10"/>
  <c r="AU2369" i="10"/>
  <c r="AP2352" i="10"/>
  <c r="AJ2352" i="10"/>
  <c r="AV2352" i="10"/>
  <c r="AS2352" i="10"/>
  <c r="AN2352" i="10"/>
  <c r="AO2352" i="10"/>
  <c r="AL2338" i="10"/>
  <c r="AU2338" i="10"/>
  <c r="AO2338" i="10"/>
  <c r="AP2338" i="10"/>
  <c r="AM2338" i="10"/>
  <c r="AV2338" i="10"/>
  <c r="AN2338" i="10"/>
  <c r="AK2338" i="10"/>
  <c r="AS2338" i="10"/>
  <c r="AW2338" i="10"/>
  <c r="AT2338" i="10"/>
  <c r="AR2338" i="10"/>
  <c r="AX2338" i="10"/>
  <c r="AQ2338" i="10"/>
  <c r="AO2255" i="10"/>
  <c r="AK2255" i="10"/>
  <c r="AM2255" i="10"/>
  <c r="AT2255" i="10"/>
  <c r="AS2255" i="10"/>
  <c r="AJ2255" i="10"/>
  <c r="AX2255" i="10"/>
  <c r="AM2224" i="10"/>
  <c r="AT2224" i="10"/>
  <c r="AU2224" i="10"/>
  <c r="AK2224" i="10"/>
  <c r="AN2224" i="10"/>
  <c r="AS2224" i="10"/>
  <c r="AL2224" i="10"/>
  <c r="AO2224" i="10"/>
  <c r="AJ2224" i="10"/>
  <c r="AR2224" i="10"/>
  <c r="AW2224" i="10"/>
  <c r="AX2224" i="10"/>
  <c r="AP2224" i="10"/>
  <c r="AV2224" i="10"/>
  <c r="AM2192" i="10"/>
  <c r="AO2192" i="10" s="1"/>
  <c r="AQ2192" i="10" s="1"/>
  <c r="AS2192" i="10" s="1"/>
  <c r="AU2192" i="10" s="1"/>
  <c r="AL2192" i="10"/>
  <c r="AN2192" i="10" s="1"/>
  <c r="AP2192" i="10" s="1"/>
  <c r="AR2192" i="10" s="1"/>
  <c r="AT2192" i="10" s="1"/>
  <c r="AV2192" i="10" s="1"/>
  <c r="AR2118" i="10"/>
  <c r="AU2118" i="10"/>
  <c r="AP2118" i="10"/>
  <c r="AV2118" i="10"/>
  <c r="AS2118" i="10"/>
  <c r="AM2118" i="10"/>
  <c r="AV2096" i="10"/>
  <c r="AJ2096" i="10"/>
  <c r="AL2080" i="10"/>
  <c r="AU2080" i="10"/>
  <c r="AM2080" i="10"/>
  <c r="AQ2080" i="10"/>
  <c r="AX2080" i="10"/>
  <c r="AN2080" i="10"/>
  <c r="AV2080" i="10"/>
  <c r="AT2080" i="10"/>
  <c r="AW2080" i="10"/>
  <c r="AP2080" i="10"/>
  <c r="AJ2080" i="10"/>
  <c r="AR2080" i="10"/>
  <c r="AR2052" i="10"/>
  <c r="AK2052" i="10"/>
  <c r="AJ2052" i="10"/>
  <c r="AT2052" i="10"/>
  <c r="AN2013" i="10"/>
  <c r="AR2013" i="10"/>
  <c r="AO2013" i="10"/>
  <c r="AT2013" i="10"/>
  <c r="AS2013" i="10"/>
  <c r="AV2013" i="10"/>
  <c r="AX2013" i="10"/>
  <c r="AK2013" i="10"/>
  <c r="AW2013" i="10"/>
  <c r="AU2013" i="10"/>
  <c r="AJ2013" i="10"/>
  <c r="AM2013" i="10"/>
  <c r="AQ2013" i="10"/>
  <c r="AP2013" i="10"/>
  <c r="AX1984" i="10"/>
  <c r="AK1984" i="10"/>
  <c r="AU1984" i="10"/>
  <c r="AO1984" i="10"/>
  <c r="AV1984" i="10"/>
  <c r="AN1984" i="10"/>
  <c r="AP1938" i="10"/>
  <c r="AS1938" i="10"/>
  <c r="AL1938" i="10"/>
  <c r="AM1938" i="10"/>
  <c r="AJ1938" i="10"/>
  <c r="AR1938" i="10"/>
  <c r="AX1938" i="10"/>
  <c r="AV1938" i="10"/>
  <c r="AU1938" i="10"/>
  <c r="AK1938" i="10"/>
  <c r="AO1938" i="10"/>
  <c r="AQ1938" i="10"/>
  <c r="AT1878" i="10"/>
  <c r="AO1878" i="10"/>
  <c r="AP1878" i="10"/>
  <c r="AS1878" i="10"/>
  <c r="AQ1878" i="10"/>
  <c r="AN1878" i="10"/>
  <c r="AR1878" i="10"/>
  <c r="AJ1878" i="10"/>
  <c r="AX1878" i="10"/>
  <c r="AS1845" i="10"/>
  <c r="AR1845" i="10"/>
  <c r="AV1845" i="10"/>
  <c r="AK1845" i="10"/>
  <c r="AT1845" i="10"/>
  <c r="AX1845" i="10"/>
  <c r="AJ1845" i="10"/>
  <c r="AM1845" i="10"/>
  <c r="AL1825" i="10"/>
  <c r="AU1825" i="10"/>
  <c r="AM1825" i="10"/>
  <c r="AQ1825" i="10"/>
  <c r="AR1825" i="10"/>
  <c r="AP1825" i="10"/>
  <c r="AW1825" i="10"/>
  <c r="AX1825" i="10"/>
  <c r="AK1825" i="10"/>
  <c r="AS1825" i="10"/>
  <c r="AO1825" i="10"/>
  <c r="AV1825" i="10"/>
  <c r="AJ1825" i="10"/>
  <c r="AQ1801" i="10"/>
  <c r="AL1801" i="10"/>
  <c r="AX1801" i="10"/>
  <c r="AO1801" i="10"/>
  <c r="AS1801" i="10"/>
  <c r="AN1801" i="10"/>
  <c r="AM1801" i="10"/>
  <c r="AP1801" i="10"/>
  <c r="AU1801" i="10"/>
  <c r="AM1776" i="10"/>
  <c r="AP1776" i="10"/>
  <c r="AS1776" i="10"/>
  <c r="AN1776" i="10"/>
  <c r="AJ1776" i="10"/>
  <c r="AU1776" i="10"/>
  <c r="AW1776" i="10"/>
  <c r="AR1776" i="10"/>
  <c r="AQ1719" i="10"/>
  <c r="AN1719" i="10"/>
  <c r="AS1719" i="10"/>
  <c r="AL1719" i="10"/>
  <c r="AS1663" i="10"/>
  <c r="AT1663" i="10"/>
  <c r="AN1663" i="10"/>
  <c r="AV1663" i="10"/>
  <c r="AR1663" i="10"/>
  <c r="AW1663" i="10"/>
  <c r="AQ1663" i="10"/>
  <c r="AR1642" i="10"/>
  <c r="AT1642" i="10"/>
  <c r="AL1642" i="10"/>
  <c r="AO1642" i="10"/>
  <c r="AM1642" i="10"/>
  <c r="AK1642" i="10"/>
  <c r="AN1642" i="10"/>
  <c r="AQ1642" i="10"/>
  <c r="AS1642" i="10"/>
  <c r="AJ1642" i="10"/>
  <c r="AU1642" i="10"/>
  <c r="AV1642" i="10"/>
  <c r="AU1608" i="10"/>
  <c r="AJ1608" i="10"/>
  <c r="AL1608" i="10"/>
  <c r="AK1608" i="10"/>
  <c r="AR1608" i="10"/>
  <c r="AM1608" i="10"/>
  <c r="AQ1608" i="10"/>
  <c r="AT1608" i="10"/>
  <c r="AV1608" i="10"/>
  <c r="AO1608" i="10"/>
  <c r="AS1608" i="10"/>
  <c r="AV1589" i="10"/>
  <c r="AO1589" i="10"/>
  <c r="AS1589" i="10"/>
  <c r="AQ1589" i="10"/>
  <c r="AT1589" i="10"/>
  <c r="AN1589" i="10"/>
  <c r="AM1589" i="10"/>
  <c r="AK1589" i="10"/>
  <c r="AL1589" i="10"/>
  <c r="AR1589" i="10"/>
  <c r="AU1589" i="10"/>
  <c r="AP1589" i="10"/>
  <c r="AJ1589" i="10"/>
  <c r="AQ1496" i="10"/>
  <c r="AJ1496" i="10"/>
  <c r="AV1475" i="10"/>
  <c r="AK1475" i="10"/>
  <c r="AM1475" i="10"/>
  <c r="AU1475" i="10"/>
  <c r="AL1475" i="10"/>
  <c r="AP1475" i="10"/>
  <c r="AQ1475" i="10"/>
  <c r="AO1475" i="10"/>
  <c r="AT1475" i="10"/>
  <c r="AR1475" i="10"/>
  <c r="AW1475" i="10"/>
  <c r="AJ1475" i="10"/>
  <c r="AS1475" i="10"/>
  <c r="AS1321" i="10"/>
  <c r="AR1321" i="10"/>
  <c r="AL1321" i="10"/>
  <c r="AW1321" i="10"/>
  <c r="AV1321" i="10"/>
  <c r="AM1321" i="10"/>
  <c r="AQ1321" i="10"/>
  <c r="AU1321" i="10"/>
  <c r="AP1321" i="10"/>
  <c r="AX1321" i="10"/>
  <c r="AJ1321" i="10"/>
  <c r="AN1321" i="10"/>
  <c r="AO1251" i="10"/>
  <c r="AR1251" i="10"/>
  <c r="AP1251" i="10"/>
  <c r="AK1251" i="10"/>
  <c r="AX1251" i="10"/>
  <c r="AL1251" i="10"/>
  <c r="AT1251" i="10"/>
  <c r="AV1251" i="10"/>
  <c r="AM1251" i="10"/>
  <c r="AQ1251" i="10"/>
  <c r="AS1251" i="10"/>
  <c r="AW1251" i="10"/>
  <c r="AN1251" i="10"/>
  <c r="AJ1251" i="10"/>
  <c r="AU1251" i="10"/>
  <c r="AX1235" i="10"/>
  <c r="AV1235" i="10"/>
  <c r="AR1235" i="10"/>
  <c r="AO1235" i="10"/>
  <c r="AU1235" i="10"/>
  <c r="AT1235" i="10"/>
  <c r="AK1235" i="10"/>
  <c r="AL1235" i="10"/>
  <c r="AQ1235" i="10"/>
  <c r="AP1235" i="10"/>
  <c r="AS1235" i="10"/>
  <c r="AN1235" i="10"/>
  <c r="AJ1235" i="10"/>
  <c r="AW1235" i="10"/>
  <c r="AQ1096" i="10"/>
  <c r="AR1096" i="10"/>
  <c r="AM1096" i="10"/>
  <c r="AS1096" i="10"/>
  <c r="AU1096" i="10"/>
  <c r="AP1096" i="10"/>
  <c r="AX1096" i="10"/>
  <c r="AW1096" i="10"/>
  <c r="AL1096" i="10"/>
  <c r="AJ1096" i="10"/>
  <c r="AT1096" i="10"/>
  <c r="AN1096" i="10"/>
  <c r="AV1096" i="10"/>
  <c r="AK1096" i="10"/>
  <c r="AO1096" i="10"/>
  <c r="AL1075" i="10"/>
  <c r="AT1075" i="10"/>
  <c r="AR1075" i="10"/>
  <c r="AK1075" i="10"/>
  <c r="AO1075" i="10"/>
  <c r="AN1075" i="10"/>
  <c r="AX1075" i="10"/>
  <c r="AV1075" i="10"/>
  <c r="AM1075" i="10"/>
  <c r="AJ1075" i="10"/>
  <c r="AQ1075" i="10"/>
  <c r="AW1075" i="10"/>
  <c r="AP1075" i="10"/>
  <c r="AM1052" i="10"/>
  <c r="AW1052" i="10"/>
  <c r="AX1025" i="10"/>
  <c r="AJ1025" i="10"/>
  <c r="AK1025" i="10"/>
  <c r="AW1025" i="10"/>
  <c r="AW919" i="10"/>
  <c r="AX919" i="10"/>
  <c r="AJ919" i="10"/>
  <c r="AP919" i="10"/>
  <c r="AK919" i="10"/>
  <c r="AM919" i="10"/>
  <c r="AR919" i="10"/>
  <c r="AL919" i="10"/>
  <c r="AT919" i="10"/>
  <c r="AS919" i="10"/>
  <c r="AU919" i="10"/>
  <c r="AK846" i="10"/>
  <c r="AJ846" i="10"/>
  <c r="AS846" i="10"/>
  <c r="AM846" i="10"/>
  <c r="AP846" i="10"/>
  <c r="AN846" i="10"/>
  <c r="AR846" i="10"/>
  <c r="AO846" i="10"/>
  <c r="AL846" i="10"/>
  <c r="AV846" i="10"/>
  <c r="AR841" i="10"/>
  <c r="AJ1984" i="10"/>
  <c r="AX1872" i="10"/>
  <c r="AU1908" i="10"/>
  <c r="AM1908" i="10"/>
  <c r="AW2585" i="10"/>
  <c r="AR2585" i="10"/>
  <c r="AR1180" i="10"/>
  <c r="AJ2702" i="10"/>
  <c r="AW2702" i="10"/>
  <c r="AL2702" i="10"/>
  <c r="AR2702" i="10"/>
  <c r="AV2681" i="10"/>
  <c r="AO2681" i="10"/>
  <c r="AS2681" i="10"/>
  <c r="AJ2681" i="10"/>
  <c r="AU2483" i="10"/>
  <c r="AL2483" i="10"/>
  <c r="AP2483" i="10"/>
  <c r="AJ2483" i="10"/>
  <c r="AQ2395" i="10"/>
  <c r="AR2395" i="10"/>
  <c r="AO2395" i="10"/>
  <c r="AJ2395" i="10"/>
  <c r="P34" i="45"/>
  <c r="AO2264" i="10"/>
  <c r="AR2140" i="10"/>
  <c r="AN2140" i="10"/>
  <c r="AV2012" i="10"/>
  <c r="AN2012" i="10"/>
  <c r="AV1829" i="10"/>
  <c r="AN1829" i="10"/>
  <c r="AM1829" i="10"/>
  <c r="AT1781" i="10"/>
  <c r="AU1781" i="10"/>
  <c r="AQ1781" i="10"/>
  <c r="AR1781" i="10"/>
  <c r="AJ1781" i="10"/>
  <c r="AJ1762" i="10"/>
  <c r="AK1762" i="10"/>
  <c r="E97" i="45"/>
  <c r="AS1169" i="10"/>
  <c r="AQ1169" i="10"/>
  <c r="AM1169" i="10"/>
  <c r="AO1169" i="10"/>
  <c r="AP1169" i="10"/>
  <c r="AL1169" i="10"/>
  <c r="AN1169" i="10"/>
  <c r="AX1169" i="10"/>
  <c r="AJ1169" i="10"/>
  <c r="AV1169" i="10"/>
  <c r="AK1158" i="10"/>
  <c r="AQ1158" i="10"/>
  <c r="AM1158" i="10"/>
  <c r="AJ1158" i="10"/>
  <c r="AR1158" i="10"/>
  <c r="AU1158" i="10"/>
  <c r="AL1158" i="10"/>
  <c r="AX1158" i="10"/>
  <c r="AV1158" i="10"/>
  <c r="AO1158" i="10"/>
  <c r="AT1158" i="10"/>
  <c r="AP1158" i="10"/>
  <c r="AW1158" i="10"/>
  <c r="AT1141" i="10"/>
  <c r="AN1141" i="10"/>
  <c r="AU1141" i="10"/>
  <c r="AL1141" i="10"/>
  <c r="AO1141" i="10"/>
  <c r="AQ1141" i="10"/>
  <c r="AJ1141" i="10"/>
  <c r="AS1141" i="10"/>
  <c r="AW1141" i="10"/>
  <c r="AR1141" i="10"/>
  <c r="AV1141" i="10"/>
  <c r="AK1124" i="10"/>
  <c r="AS1124" i="10"/>
  <c r="AL1124" i="10"/>
  <c r="AX1124" i="10"/>
  <c r="AN1124" i="10"/>
  <c r="AT1063" i="10"/>
  <c r="AO1063" i="10"/>
  <c r="AU1063" i="10"/>
  <c r="AJ1063" i="10"/>
  <c r="AP1063" i="10"/>
  <c r="AX1063" i="10"/>
  <c r="AN1063" i="10"/>
  <c r="AR1063" i="10"/>
  <c r="AS1063" i="10"/>
  <c r="AL1063" i="10"/>
  <c r="AM1063" i="10"/>
  <c r="AQ1063" i="10"/>
  <c r="AK1063" i="10"/>
  <c r="AW1063" i="10"/>
  <c r="AV1063" i="10"/>
  <c r="AW1030" i="10"/>
  <c r="AX1030" i="10"/>
  <c r="AK1030" i="10"/>
  <c r="AJ1030" i="10"/>
  <c r="AV1013" i="10"/>
  <c r="AW1013" i="10"/>
  <c r="AM1013" i="10"/>
  <c r="AU1013" i="10"/>
  <c r="AL1013" i="10"/>
  <c r="AK1013" i="10"/>
  <c r="AT1013" i="10"/>
  <c r="AR1013" i="10"/>
  <c r="AO1013" i="10"/>
  <c r="AJ1013" i="10"/>
  <c r="AS1013" i="10"/>
  <c r="AX1013" i="10"/>
  <c r="AP1013" i="10"/>
  <c r="AV955" i="10"/>
  <c r="AJ955" i="10"/>
  <c r="AO955" i="10"/>
  <c r="AV851" i="10"/>
  <c r="AJ851" i="10"/>
  <c r="AR851" i="10"/>
  <c r="AM851" i="10"/>
  <c r="AU851" i="10"/>
  <c r="AK851" i="10"/>
  <c r="AP851" i="10"/>
  <c r="AQ851" i="10"/>
  <c r="AL810" i="10"/>
  <c r="AW810" i="10"/>
  <c r="AX810" i="10"/>
  <c r="AK810" i="10"/>
  <c r="AJ810" i="10"/>
  <c r="AK796" i="10"/>
  <c r="AW796" i="10"/>
  <c r="AJ796" i="10"/>
  <c r="AJ793" i="10"/>
  <c r="AK793" i="10"/>
  <c r="AW748" i="10"/>
  <c r="AX748" i="10"/>
  <c r="AK748" i="10"/>
  <c r="E127" i="45"/>
  <c r="AH127" i="45"/>
  <c r="AQ723" i="10"/>
  <c r="AJ2118" i="10"/>
  <c r="AU846" i="10"/>
  <c r="AK816" i="10"/>
  <c r="AQ2446" i="10"/>
  <c r="AJ2585" i="10"/>
  <c r="AK675" i="10"/>
  <c r="AS723" i="10"/>
  <c r="AO764" i="10"/>
  <c r="AO919" i="10"/>
  <c r="AK2634" i="10"/>
  <c r="AO2343" i="10"/>
  <c r="AW2118" i="10"/>
  <c r="AK1999" i="10"/>
  <c r="AT2245" i="10"/>
  <c r="AV1893" i="10"/>
  <c r="AP1642" i="10"/>
  <c r="AP1835" i="10"/>
  <c r="AX2342" i="10"/>
  <c r="AJ2369" i="10"/>
  <c r="AN1938" i="10"/>
  <c r="AO2080" i="10"/>
  <c r="AL2343" i="10"/>
  <c r="AW2666" i="10"/>
  <c r="AR2197" i="10"/>
  <c r="AL2394" i="10"/>
  <c r="AP2726" i="10"/>
  <c r="AX2726" i="10"/>
  <c r="AK2726" i="10"/>
  <c r="AQ2726" i="10"/>
  <c r="AO2726" i="10"/>
  <c r="AT2726" i="10"/>
  <c r="AS2726" i="10"/>
  <c r="AM2726" i="10"/>
  <c r="AV2726" i="10"/>
  <c r="AN2726" i="10"/>
  <c r="AW2726" i="10"/>
  <c r="AR2726" i="10"/>
  <c r="AL2726" i="10"/>
  <c r="AO2671" i="10"/>
  <c r="AK2671" i="10"/>
  <c r="AS2671" i="10"/>
  <c r="AP2671" i="10"/>
  <c r="AR2671" i="10"/>
  <c r="AX2671" i="10"/>
  <c r="AV2671" i="10"/>
  <c r="AU2671" i="10"/>
  <c r="AQ2671" i="10"/>
  <c r="AJ2671" i="10"/>
  <c r="AR2606" i="10"/>
  <c r="AP2606" i="10"/>
  <c r="AV2606" i="10"/>
  <c r="AO2606" i="10"/>
  <c r="AM2606" i="10"/>
  <c r="AS2606" i="10"/>
  <c r="AQ2606" i="10"/>
  <c r="AL2606" i="10"/>
  <c r="AP2569" i="10"/>
  <c r="AN2569" i="10"/>
  <c r="AT2569" i="10"/>
  <c r="AK2569" i="10"/>
  <c r="AJ2569" i="10"/>
  <c r="AX2569" i="10"/>
  <c r="AV2569" i="10"/>
  <c r="AS2569" i="10"/>
  <c r="AL2569" i="10"/>
  <c r="AQ2569" i="10"/>
  <c r="AR2569" i="10"/>
  <c r="AM2569" i="10"/>
  <c r="AW2569" i="10"/>
  <c r="AU2569" i="10"/>
  <c r="AL2514" i="10"/>
  <c r="AV2514" i="10"/>
  <c r="AU2514" i="10"/>
  <c r="AP2514" i="10"/>
  <c r="AK2514" i="10"/>
  <c r="AN2514" i="10"/>
  <c r="AM2514" i="10"/>
  <c r="AR2514" i="10"/>
  <c r="AJ2514" i="10"/>
  <c r="AO2405" i="10"/>
  <c r="AS2405" i="10"/>
  <c r="AK2405" i="10"/>
  <c r="AV2405" i="10"/>
  <c r="AS2358" i="10"/>
  <c r="AM2358" i="10"/>
  <c r="AL2358" i="10"/>
  <c r="AR2328" i="10"/>
  <c r="AU2328" i="10"/>
  <c r="AL2328" i="10"/>
  <c r="AN2328" i="10"/>
  <c r="AJ2328" i="10"/>
  <c r="AV2328" i="10"/>
  <c r="AS2328" i="10"/>
  <c r="AP2328" i="10"/>
  <c r="AW2296" i="10"/>
  <c r="AQ2296" i="10"/>
  <c r="AS2296" i="10"/>
  <c r="AT2296" i="10"/>
  <c r="AX2296" i="10"/>
  <c r="AK2296" i="10"/>
  <c r="AR2296" i="10"/>
  <c r="AN2296" i="10"/>
  <c r="AU2296" i="10"/>
  <c r="AL2296" i="10"/>
  <c r="AJ2296" i="10"/>
  <c r="AP2296" i="10"/>
  <c r="AU2260" i="10"/>
  <c r="AK2260" i="10"/>
  <c r="AW2260" i="10"/>
  <c r="AX2260" i="10"/>
  <c r="AP2260" i="10"/>
  <c r="AQ2260" i="10"/>
  <c r="AJ2260" i="10"/>
  <c r="AV2260" i="10"/>
  <c r="AR2260" i="10"/>
  <c r="AX2202" i="10"/>
  <c r="AR2202" i="10"/>
  <c r="AP2202" i="10"/>
  <c r="AQ2202" i="10"/>
  <c r="AV2202" i="10"/>
  <c r="AO2202" i="10"/>
  <c r="AU2202" i="10"/>
  <c r="AM2202" i="10"/>
  <c r="AJ2202" i="10"/>
  <c r="AT2202" i="10"/>
  <c r="AN2202" i="10"/>
  <c r="AR2108" i="10"/>
  <c r="AK2108" i="10"/>
  <c r="AU2108" i="10"/>
  <c r="AV2108" i="10"/>
  <c r="AQ2108" i="10"/>
  <c r="AO2108" i="10"/>
  <c r="AL2108" i="10"/>
  <c r="AS2108" i="10"/>
  <c r="AW2108" i="10"/>
  <c r="AT2108" i="10"/>
  <c r="AP2108" i="10"/>
  <c r="AP2074" i="10"/>
  <c r="AX2074" i="10"/>
  <c r="AO2074" i="10"/>
  <c r="AJ2074" i="10"/>
  <c r="AS2074" i="10"/>
  <c r="AT2074" i="10"/>
  <c r="AL2074" i="10"/>
  <c r="AK2074" i="10"/>
  <c r="AR2074" i="10"/>
  <c r="AN2074" i="10"/>
  <c r="AK2028" i="10"/>
  <c r="AR2028" i="10"/>
  <c r="AT2028" i="10"/>
  <c r="AU2028" i="10"/>
  <c r="AX2028" i="10"/>
  <c r="AL2028" i="10"/>
  <c r="AO2028" i="10"/>
  <c r="AN2028" i="10"/>
  <c r="AW2028" i="10"/>
  <c r="AR2005" i="10"/>
  <c r="AQ2005" i="10"/>
  <c r="AP2005" i="10"/>
  <c r="AK2005" i="10"/>
  <c r="AX2005" i="10"/>
  <c r="AW2005" i="10"/>
  <c r="AK1967" i="10"/>
  <c r="AN1967" i="10"/>
  <c r="AJ1967" i="10"/>
  <c r="AS1967" i="10"/>
  <c r="AR1967" i="10"/>
  <c r="AJ1888" i="10"/>
  <c r="AV1888" i="10"/>
  <c r="AQ1888" i="10"/>
  <c r="AN1888" i="10"/>
  <c r="AS1888" i="10"/>
  <c r="AP1888" i="10"/>
  <c r="AX1888" i="10"/>
  <c r="AL1888" i="10"/>
  <c r="AW1888" i="10"/>
  <c r="AM1888" i="10"/>
  <c r="AU1888" i="10"/>
  <c r="AT1888" i="10"/>
  <c r="AO1867" i="10"/>
  <c r="AQ1867" i="10"/>
  <c r="AT1867" i="10"/>
  <c r="AJ1867" i="10"/>
  <c r="AL1867" i="10"/>
  <c r="AS1867" i="10"/>
  <c r="AU1867" i="10"/>
  <c r="AV1867" i="10"/>
  <c r="AT1850" i="10"/>
  <c r="AJ1850" i="10"/>
  <c r="AR1850" i="10"/>
  <c r="AM1850" i="10"/>
  <c r="AL1850" i="10"/>
  <c r="AK1850" i="10"/>
  <c r="AX1850" i="10"/>
  <c r="AK1771" i="10"/>
  <c r="AS1771" i="10"/>
  <c r="AV1771" i="10"/>
  <c r="AU1771" i="10"/>
  <c r="AJ1771" i="10"/>
  <c r="AP1729" i="10"/>
  <c r="AR1729" i="10"/>
  <c r="AK1729" i="10"/>
  <c r="AL1729" i="10"/>
  <c r="AO1729" i="10"/>
  <c r="AS1729" i="10"/>
  <c r="AJ1729" i="10"/>
  <c r="AU1729" i="10"/>
  <c r="AT1704" i="10"/>
  <c r="AJ1704" i="10"/>
  <c r="AL1569" i="10"/>
  <c r="AV1569" i="10"/>
  <c r="AR1569" i="10"/>
  <c r="AT1569" i="10"/>
  <c r="AO1527" i="10"/>
  <c r="AP1527" i="10"/>
  <c r="AQ1527" i="10"/>
  <c r="AJ1527" i="10"/>
  <c r="AS1527" i="10"/>
  <c r="AN1527" i="10"/>
  <c r="AV1527" i="10"/>
  <c r="AL1506" i="10"/>
  <c r="AJ1506" i="10"/>
  <c r="AM1506" i="10"/>
  <c r="AR1506" i="10"/>
  <c r="AK1506" i="10"/>
  <c r="AN1506" i="10"/>
  <c r="AU1506" i="10"/>
  <c r="AV1506" i="10"/>
  <c r="AP1506" i="10"/>
  <c r="AS1506" i="10"/>
  <c r="AP1480" i="10"/>
  <c r="AO1480" i="10"/>
  <c r="AN1480" i="10"/>
  <c r="AJ1480" i="10"/>
  <c r="AT1401" i="10"/>
  <c r="AN1401" i="10"/>
  <c r="AM1401" i="10"/>
  <c r="AO1401" i="10"/>
  <c r="AR1401" i="10"/>
  <c r="AX1401" i="10"/>
  <c r="AU1401" i="10"/>
  <c r="AQ1401" i="10"/>
  <c r="AP1401" i="10"/>
  <c r="AJ1401" i="10"/>
  <c r="AK1401" i="10"/>
  <c r="AV1401" i="10"/>
  <c r="AU1349" i="10"/>
  <c r="AT1349" i="10"/>
  <c r="AS1349" i="10"/>
  <c r="AN1262" i="10"/>
  <c r="AU1262" i="10"/>
  <c r="AK1262" i="10"/>
  <c r="AN1246" i="10"/>
  <c r="AK1246" i="10"/>
  <c r="AL1246" i="10"/>
  <c r="AV1246" i="10"/>
  <c r="AM1246" i="10"/>
  <c r="AT1246" i="10"/>
  <c r="AW1246" i="10"/>
  <c r="AX1246" i="10"/>
  <c r="AU1246" i="10"/>
  <c r="AS1246" i="10"/>
  <c r="AP1246" i="10"/>
  <c r="AO1164" i="10"/>
  <c r="AL1164" i="10"/>
  <c r="AK1164" i="10"/>
  <c r="AW1164" i="10"/>
  <c r="AU1164" i="10"/>
  <c r="AX1164" i="10"/>
  <c r="AR1164" i="10"/>
  <c r="AQ1136" i="10"/>
  <c r="AP1136" i="10"/>
  <c r="AV1136" i="10"/>
  <c r="AK1136" i="10"/>
  <c r="AO1136" i="10"/>
  <c r="AL1136" i="10"/>
  <c r="AU1136" i="10"/>
  <c r="AN1136" i="10"/>
  <c r="AJ1136" i="10"/>
  <c r="AM1136" i="10"/>
  <c r="AS1136" i="10"/>
  <c r="AT1136" i="10"/>
  <c r="AR1136" i="10"/>
  <c r="AN1102" i="10"/>
  <c r="AW1102" i="10"/>
  <c r="AQ1102" i="10"/>
  <c r="AS1102" i="10"/>
  <c r="AO1102" i="10"/>
  <c r="AK1102" i="10"/>
  <c r="AX1102" i="10"/>
  <c r="AV1102" i="10"/>
  <c r="AP1102" i="10"/>
  <c r="AJ1102" i="10"/>
  <c r="AL1102" i="10"/>
  <c r="AT1102" i="10"/>
  <c r="AX1058" i="10"/>
  <c r="AQ1058" i="10"/>
  <c r="AM1058" i="10"/>
  <c r="AW1058" i="10"/>
  <c r="AU1058" i="10"/>
  <c r="AN1058" i="10"/>
  <c r="AR990" i="10"/>
  <c r="AN990" i="10"/>
  <c r="AK990" i="10"/>
  <c r="AJ990" i="10"/>
  <c r="AM990" i="10"/>
  <c r="AS990" i="10"/>
  <c r="AU990" i="10"/>
  <c r="AX990" i="10"/>
  <c r="AQ990" i="10"/>
  <c r="AV990" i="10"/>
  <c r="AX967" i="10"/>
  <c r="AK967" i="10"/>
  <c r="AJ967" i="10"/>
  <c r="AW967" i="10"/>
  <c r="AJ950" i="10"/>
  <c r="AK950" i="10"/>
  <c r="AX950" i="10"/>
  <c r="AW950" i="10"/>
  <c r="AK891" i="10"/>
  <c r="AJ891" i="10"/>
  <c r="AX874" i="10"/>
  <c r="AU874" i="10"/>
  <c r="AN874" i="10"/>
  <c r="AO874" i="10"/>
  <c r="AJ874" i="10"/>
  <c r="AL874" i="10"/>
  <c r="AR874" i="10"/>
  <c r="AV874" i="10"/>
  <c r="AK874" i="10"/>
  <c r="AQ874" i="10"/>
  <c r="AW874" i="10"/>
  <c r="AM874" i="10"/>
  <c r="AX829" i="10"/>
  <c r="AW829" i="10"/>
  <c r="AK829" i="10"/>
  <c r="AJ829" i="10"/>
  <c r="AW792" i="10"/>
  <c r="AX792" i="10"/>
  <c r="AJ792" i="10"/>
  <c r="AR714" i="10"/>
  <c r="AQ714" i="10"/>
  <c r="AP714" i="10"/>
  <c r="AO714" i="10"/>
  <c r="AN714" i="10"/>
  <c r="AM714" i="10"/>
  <c r="AM2574" i="10"/>
  <c r="AT2574" i="10"/>
  <c r="AL2574" i="10"/>
  <c r="AX2574" i="10"/>
  <c r="AU2574" i="10"/>
  <c r="AN2574" i="10"/>
  <c r="AP2574" i="10"/>
  <c r="AJ2574" i="10"/>
  <c r="AO2574" i="10"/>
  <c r="AV2574" i="10"/>
  <c r="AM2429" i="10"/>
  <c r="AR2429" i="10"/>
  <c r="AQ2429" i="10"/>
  <c r="AS2429" i="10"/>
  <c r="AT2429" i="10"/>
  <c r="AU2429" i="10"/>
  <c r="AU2280" i="10"/>
  <c r="AL2280" i="10"/>
  <c r="AX2280" i="10"/>
  <c r="AQ2280" i="10"/>
  <c r="AW2280" i="10"/>
  <c r="AT2280" i="10"/>
  <c r="AR2280" i="10"/>
  <c r="AS2280" i="10"/>
  <c r="AX2152" i="10"/>
  <c r="AT2152" i="10"/>
  <c r="AW2152" i="10"/>
  <c r="AK2152" i="10"/>
  <c r="AQ2152" i="10"/>
  <c r="AR2152" i="10"/>
  <c r="AN2152" i="10"/>
  <c r="AJ2152" i="10"/>
  <c r="AL2152" i="10"/>
  <c r="AV2152" i="10"/>
  <c r="AM2152" i="10"/>
  <c r="AX1647" i="10"/>
  <c r="AV1647" i="10"/>
  <c r="AU1647" i="10"/>
  <c r="AS1647" i="10"/>
  <c r="AN1647" i="10"/>
  <c r="AP1647" i="10"/>
  <c r="AQ1647" i="10"/>
  <c r="AK1647" i="10"/>
  <c r="AJ1647" i="10"/>
  <c r="AW1647" i="10"/>
  <c r="AM1002" i="10"/>
  <c r="AX1002" i="10"/>
  <c r="AR1002" i="10"/>
  <c r="AJ1002" i="10"/>
  <c r="AL1002" i="10"/>
  <c r="AN1002" i="10"/>
  <c r="AP1002" i="10"/>
  <c r="AV1002" i="10"/>
  <c r="AO1002" i="10"/>
  <c r="AT1002" i="10"/>
  <c r="AS2714" i="10"/>
  <c r="AJ2714" i="10"/>
  <c r="AW2714" i="10"/>
  <c r="E42" i="45"/>
  <c r="AW2239" i="10"/>
  <c r="AX2239" i="10"/>
  <c r="AV2069" i="10"/>
  <c r="AJ2069" i="10"/>
  <c r="AV2046" i="10"/>
  <c r="AN2046" i="10"/>
  <c r="AU2046" i="10"/>
  <c r="AJ2046" i="10"/>
  <c r="AQ2046" i="10"/>
  <c r="AJ1977" i="10"/>
  <c r="AO1977" i="10"/>
  <c r="AT1977" i="10"/>
  <c r="AD114" i="45"/>
  <c r="AE19" i="43" s="1"/>
  <c r="AW1218" i="10"/>
  <c r="AL1218" i="10"/>
  <c r="AJ1218" i="10"/>
  <c r="AR1218" i="10"/>
  <c r="AP1218" i="10"/>
  <c r="AO1218" i="10"/>
  <c r="AT1195" i="10"/>
  <c r="AR1195" i="10"/>
  <c r="AU1195" i="10"/>
  <c r="AK1195" i="10"/>
  <c r="AV1195" i="10"/>
  <c r="AL1195" i="10"/>
  <c r="AP1195" i="10"/>
  <c r="AS1195" i="10"/>
  <c r="AW1195" i="10"/>
  <c r="AN1195" i="10"/>
  <c r="AX1174" i="10"/>
  <c r="AT1174" i="10"/>
  <c r="AV1174" i="10"/>
  <c r="AS1174" i="10"/>
  <c r="AO1174" i="10"/>
  <c r="AL1174" i="10"/>
  <c r="AJ1174" i="10"/>
  <c r="AM1152" i="10"/>
  <c r="AR1152" i="10"/>
  <c r="AL1152" i="10"/>
  <c r="AP1152" i="10"/>
  <c r="AQ1152" i="10"/>
  <c r="AK1152" i="10"/>
  <c r="AV1152" i="10"/>
  <c r="AO1152" i="10"/>
  <c r="AS1152" i="10"/>
  <c r="AN1152" i="10"/>
  <c r="AU1152" i="10"/>
  <c r="AJ1152" i="10"/>
  <c r="AW1152" i="10"/>
  <c r="AX1152" i="10"/>
  <c r="AT1152" i="10"/>
  <c r="AM1129" i="10"/>
  <c r="AQ1129" i="10"/>
  <c r="AL1129" i="10"/>
  <c r="AU1129" i="10"/>
  <c r="AN1129" i="10"/>
  <c r="AX1129" i="10"/>
  <c r="AK1129" i="10"/>
  <c r="AS1129" i="10"/>
  <c r="AO1129" i="10"/>
  <c r="AV1129" i="10"/>
  <c r="AJ1129" i="10"/>
  <c r="AT1129" i="10"/>
  <c r="AR1129" i="10"/>
  <c r="AX1113" i="10"/>
  <c r="AO1113" i="10"/>
  <c r="AU1113" i="10"/>
  <c r="AK1113" i="10"/>
  <c r="AJ1113" i="10"/>
  <c r="AM1007" i="10"/>
  <c r="AW1007" i="10"/>
  <c r="AX1007" i="10"/>
  <c r="AU1007" i="10"/>
  <c r="AP1007" i="10"/>
  <c r="AO1007" i="10"/>
  <c r="AQ1007" i="10"/>
  <c r="AT1007" i="10"/>
  <c r="AS1007" i="10"/>
  <c r="AR1007" i="10"/>
  <c r="AV1007" i="10"/>
  <c r="AJ1007" i="10"/>
  <c r="AL1007" i="10"/>
  <c r="AW972" i="10"/>
  <c r="AK972" i="10"/>
  <c r="AJ972" i="10"/>
  <c r="AX972" i="10"/>
  <c r="AN961" i="10"/>
  <c r="AW961" i="10"/>
  <c r="AM961" i="10"/>
  <c r="AQ961" i="10"/>
  <c r="AO961" i="10"/>
  <c r="AV961" i="10"/>
  <c r="AL961" i="10"/>
  <c r="AJ961" i="10"/>
  <c r="AK961" i="10"/>
  <c r="AS961" i="10"/>
  <c r="AR961" i="10"/>
  <c r="AX961" i="10"/>
  <c r="AU961" i="10"/>
  <c r="AP961" i="10"/>
  <c r="AT961" i="10"/>
  <c r="AK906" i="10"/>
  <c r="AJ906" i="10"/>
  <c r="AS881" i="10"/>
  <c r="AW881" i="10"/>
  <c r="AX881" i="10"/>
  <c r="AO881" i="10"/>
  <c r="AP881" i="10"/>
  <c r="AT881" i="10"/>
  <c r="AV881" i="10"/>
  <c r="AL881" i="10"/>
  <c r="AK881" i="10"/>
  <c r="AX866" i="10"/>
  <c r="AW866" i="10"/>
  <c r="AR866" i="10"/>
  <c r="AP866" i="10"/>
  <c r="AU866" i="10"/>
  <c r="AV866" i="10"/>
  <c r="AK866" i="10"/>
  <c r="AS866" i="10"/>
  <c r="AO866" i="10"/>
  <c r="AT866" i="10"/>
  <c r="AQ856" i="10"/>
  <c r="AV856" i="10"/>
  <c r="AJ856" i="10"/>
  <c r="AX856" i="10"/>
  <c r="AR856" i="10"/>
  <c r="AK856" i="10"/>
  <c r="AP856" i="10"/>
  <c r="AM856" i="10"/>
  <c r="AS856" i="10"/>
  <c r="AX834" i="10"/>
  <c r="AW834" i="10"/>
  <c r="AJ834" i="10"/>
  <c r="AK834" i="10"/>
  <c r="AX822" i="10"/>
  <c r="AW822" i="10"/>
  <c r="AK822" i="10"/>
  <c r="AJ822" i="10"/>
  <c r="AJ805" i="10"/>
  <c r="AW805" i="10"/>
  <c r="W114" i="45"/>
  <c r="U126" i="45"/>
  <c r="U96" i="45"/>
  <c r="V17" i="43" s="1"/>
  <c r="Y96" i="45"/>
  <c r="AK754" i="10"/>
  <c r="AW754" i="10"/>
  <c r="N126" i="45"/>
  <c r="N96" i="45"/>
  <c r="AW736" i="10"/>
  <c r="G114" i="45"/>
  <c r="P105" i="45"/>
  <c r="AX736" i="10"/>
  <c r="P96" i="45"/>
  <c r="AJ736" i="10"/>
  <c r="AJ702" i="10"/>
  <c r="AK702" i="10"/>
  <c r="AX702" i="10"/>
  <c r="AS1796" i="10"/>
  <c r="AL2708" i="10"/>
  <c r="AX2666" i="10"/>
  <c r="AU723" i="10"/>
  <c r="AX714" i="10"/>
  <c r="AT2720" i="10"/>
  <c r="AR2634" i="10"/>
  <c r="AJ2697" i="10"/>
  <c r="AN2601" i="10"/>
  <c r="AK2483" i="10"/>
  <c r="AP2400" i="10"/>
  <c r="AJ2005" i="10"/>
  <c r="AS1714" i="10"/>
  <c r="AK1036" i="10"/>
  <c r="AU1893" i="10"/>
  <c r="AQ2224" i="10"/>
  <c r="AX1867" i="10"/>
  <c r="AT1835" i="10"/>
  <c r="AS1401" i="10"/>
  <c r="AP2524" i="10"/>
  <c r="AL1984" i="10"/>
  <c r="AW1984" i="10"/>
  <c r="AK1888" i="10"/>
  <c r="AW2564" i="10"/>
  <c r="AW2662" i="10"/>
  <c r="AO1888" i="10"/>
  <c r="AN1007" i="10"/>
  <c r="AV2358" i="10"/>
  <c r="AJ1058" i="10"/>
  <c r="AS1075" i="10"/>
  <c r="AP2666" i="10"/>
  <c r="AT2580" i="10"/>
  <c r="AL2580" i="10"/>
  <c r="AV2580" i="10"/>
  <c r="AQ2580" i="10"/>
  <c r="AO2580" i="10"/>
  <c r="AS2580" i="10"/>
  <c r="AO2417" i="10"/>
  <c r="AK2417" i="10"/>
  <c r="AR2417" i="10"/>
  <c r="AV2417" i="10"/>
  <c r="AN2417" i="10"/>
  <c r="AJ2417" i="10"/>
  <c r="AW2417" i="10"/>
  <c r="AM2417" i="10"/>
  <c r="AP2417" i="10"/>
  <c r="AS2417" i="10"/>
  <c r="AL2417" i="10"/>
  <c r="AU2417" i="10"/>
  <c r="AT2417" i="10"/>
  <c r="AV2285" i="10"/>
  <c r="AW2285" i="10"/>
  <c r="AS2285" i="10"/>
  <c r="AQ2285" i="10"/>
  <c r="AJ2285" i="10"/>
  <c r="AU2285" i="10"/>
  <c r="AO2041" i="10"/>
  <c r="AT2041" i="10"/>
  <c r="AK2041" i="10"/>
  <c r="AL2041" i="10"/>
  <c r="AV2041" i="10"/>
  <c r="AP2041" i="10"/>
  <c r="AM2041" i="10"/>
  <c r="AS2041" i="10"/>
  <c r="AR1796" i="10"/>
  <c r="AT1796" i="10"/>
  <c r="AW1796" i="10"/>
  <c r="AM1796" i="10"/>
  <c r="AN1796" i="10"/>
  <c r="AU1796" i="10"/>
  <c r="AN1668" i="10"/>
  <c r="AR1668" i="10"/>
  <c r="AJ1668" i="10"/>
  <c r="AT1668" i="10"/>
  <c r="AQ1668" i="10"/>
  <c r="AX996" i="10"/>
  <c r="AW996" i="10"/>
  <c r="AS996" i="10"/>
  <c r="AN996" i="10"/>
  <c r="AM996" i="10"/>
  <c r="AK996" i="10"/>
  <c r="AK1893" i="10"/>
  <c r="AV1058" i="10"/>
  <c r="AO2629" i="10"/>
  <c r="AK2629" i="10"/>
  <c r="AT2611" i="10"/>
  <c r="AK2611" i="10"/>
  <c r="AN2611" i="10"/>
  <c r="AN2590" i="10"/>
  <c r="AS2590" i="10"/>
  <c r="AS2534" i="10"/>
  <c r="AW2534" i="10"/>
  <c r="AO2508" i="10"/>
  <c r="AW2508" i="10"/>
  <c r="AN2508" i="10"/>
  <c r="AL2269" i="10"/>
  <c r="AP2269" i="10"/>
  <c r="AV2191" i="10"/>
  <c r="AT2191" i="10"/>
  <c r="AV2163" i="10"/>
  <c r="AX2163" i="10"/>
  <c r="AU2059" i="10"/>
  <c r="AQ2059" i="10"/>
  <c r="L105" i="45"/>
  <c r="M18" i="43" s="1"/>
  <c r="AW1332" i="10"/>
  <c r="AS1332" i="10"/>
  <c r="AS1306" i="10"/>
  <c r="AQ1306" i="10"/>
  <c r="AM1306" i="10"/>
  <c r="AP1306" i="10"/>
  <c r="AX1306" i="10"/>
  <c r="AU1306" i="10"/>
  <c r="AO1306" i="10"/>
  <c r="AL1306" i="10"/>
  <c r="AO1201" i="10"/>
  <c r="AU1201" i="10"/>
  <c r="AM1201" i="10"/>
  <c r="AS1201" i="10"/>
  <c r="AQ1201" i="10"/>
  <c r="AP1201" i="10"/>
  <c r="AR1201" i="10"/>
  <c r="AJ1201" i="10"/>
  <c r="AN1201" i="10"/>
  <c r="AV764" i="10"/>
  <c r="AQ919" i="10"/>
  <c r="AQ2634" i="10"/>
  <c r="AQ2697" i="10"/>
  <c r="AJ2423" i="10"/>
  <c r="AN856" i="10"/>
  <c r="AT846" i="10"/>
  <c r="AX1893" i="10"/>
  <c r="AN1867" i="10"/>
  <c r="AN1835" i="10"/>
  <c r="AW1401" i="10"/>
  <c r="AQ2358" i="10"/>
  <c r="AP1058" i="10"/>
  <c r="AM675" i="10"/>
  <c r="AN881" i="10"/>
  <c r="AW2446" i="10"/>
  <c r="AQ2118" i="10"/>
  <c r="AT851" i="10"/>
  <c r="AK770" i="10"/>
  <c r="AO1195" i="10"/>
  <c r="AM2564" i="10"/>
  <c r="AT2446" i="10"/>
  <c r="AM2524" i="10"/>
  <c r="AR1490" i="10"/>
  <c r="AN2544" i="10"/>
  <c r="AR1102" i="10"/>
  <c r="AR1989" i="10"/>
  <c r="AW2023" i="10"/>
  <c r="AO1451" i="10"/>
  <c r="AL2113" i="10"/>
  <c r="AL1401" i="10"/>
  <c r="AR1984" i="10"/>
  <c r="AX805" i="10"/>
  <c r="AU2564" i="10"/>
  <c r="AU2662" i="10"/>
  <c r="AW856" i="10"/>
  <c r="AR1888" i="10"/>
  <c r="AN2108" i="10"/>
  <c r="AU1075" i="10"/>
  <c r="AX2639" i="10"/>
  <c r="AM2639" i="10"/>
  <c r="AK2639" i="10"/>
  <c r="AN2639" i="10"/>
  <c r="AR2639" i="10"/>
  <c r="AL2639" i="10"/>
  <c r="AQ2639" i="10"/>
  <c r="AO2639" i="10"/>
  <c r="AP2639" i="10"/>
  <c r="AJ2639" i="10"/>
  <c r="AT2639" i="10"/>
  <c r="AS2639" i="10"/>
  <c r="AX2498" i="10"/>
  <c r="AT2498" i="10"/>
  <c r="AL2498" i="10"/>
  <c r="AK2498" i="10"/>
  <c r="AP2498" i="10"/>
  <c r="AO2498" i="10"/>
  <c r="AJ2400" i="10"/>
  <c r="AX2400" i="10"/>
  <c r="AT2400" i="10"/>
  <c r="AS2400" i="10"/>
  <c r="AO2400" i="10"/>
  <c r="AW2400" i="10"/>
  <c r="AQ2400" i="10"/>
  <c r="AV2400" i="10"/>
  <c r="AR2400" i="10"/>
  <c r="AM2400" i="10"/>
  <c r="AM2374" i="10"/>
  <c r="AW2374" i="10"/>
  <c r="AS2374" i="10"/>
  <c r="AK2374" i="10"/>
  <c r="AX2374" i="10"/>
  <c r="AR2374" i="10"/>
  <c r="AT2374" i="10"/>
  <c r="AO2374" i="10"/>
  <c r="AP2374" i="10"/>
  <c r="AK2348" i="10"/>
  <c r="AU2348" i="10"/>
  <c r="AQ2348" i="10"/>
  <c r="AN2348" i="10"/>
  <c r="AV2348" i="10"/>
  <c r="AX2348" i="10"/>
  <c r="AR2348" i="10"/>
  <c r="AJ2348" i="10"/>
  <c r="AW2348" i="10"/>
  <c r="AQ2302" i="10"/>
  <c r="AJ2302" i="10"/>
  <c r="AO2302" i="10"/>
  <c r="AW2302" i="10"/>
  <c r="AL2302" i="10"/>
  <c r="AJ2234" i="10"/>
  <c r="AL2234" i="10"/>
  <c r="AQ2234" i="10"/>
  <c r="AR2234" i="10"/>
  <c r="AK2234" i="10"/>
  <c r="AJ2207" i="10"/>
  <c r="AX2207" i="10"/>
  <c r="AO2207" i="10"/>
  <c r="AV1972" i="10"/>
  <c r="AX1972" i="10"/>
  <c r="AJ1972" i="10"/>
  <c r="AP1972" i="10"/>
  <c r="AK1972" i="10"/>
  <c r="AL1972" i="10"/>
  <c r="AU1972" i="10"/>
  <c r="AM1972" i="10"/>
  <c r="AR1972" i="10"/>
  <c r="AW1972" i="10"/>
  <c r="AU1919" i="10"/>
  <c r="AM1919" i="10"/>
  <c r="AX1919" i="10"/>
  <c r="AQ1919" i="10"/>
  <c r="AK1919" i="10"/>
  <c r="AS1919" i="10"/>
  <c r="AJ1919" i="10"/>
  <c r="AR1919" i="10"/>
  <c r="AP1919" i="10"/>
  <c r="AL1919" i="10"/>
  <c r="AM1893" i="10"/>
  <c r="AQ1893" i="10"/>
  <c r="AN1893" i="10"/>
  <c r="AS1893" i="10"/>
  <c r="AO1893" i="10"/>
  <c r="AP1893" i="10"/>
  <c r="AR1893" i="10"/>
  <c r="AL1893" i="10"/>
  <c r="AJ1893" i="10"/>
  <c r="AQ1872" i="10"/>
  <c r="AR1872" i="10"/>
  <c r="AK1872" i="10"/>
  <c r="AV1872" i="10"/>
  <c r="AO1872" i="10"/>
  <c r="AS1872" i="10"/>
  <c r="AW1872" i="10"/>
  <c r="AM1872" i="10"/>
  <c r="AV1835" i="10"/>
  <c r="AL1835" i="10"/>
  <c r="AR1835" i="10"/>
  <c r="AO1835" i="10"/>
  <c r="AM1835" i="10"/>
  <c r="AS1835" i="10"/>
  <c r="AX1835" i="10"/>
  <c r="AW1835" i="10"/>
  <c r="AJ1835" i="10"/>
  <c r="AR1743" i="10"/>
  <c r="AW1743" i="10"/>
  <c r="AQ1743" i="10"/>
  <c r="AP1743" i="10"/>
  <c r="AN1743" i="10"/>
  <c r="AX1743" i="10"/>
  <c r="AU1743" i="10"/>
  <c r="AS1743" i="10"/>
  <c r="AV1743" i="10"/>
  <c r="AT1743" i="10"/>
  <c r="AJ1743" i="10"/>
  <c r="AL1743" i="10"/>
  <c r="AU1673" i="10"/>
  <c r="AM1673" i="10"/>
  <c r="AJ1673" i="10"/>
  <c r="AT1673" i="10"/>
  <c r="AV1673" i="10"/>
  <c r="AP1673" i="10"/>
  <c r="AO1673" i="10"/>
  <c r="AR1673" i="10"/>
  <c r="AL1673" i="10"/>
  <c r="AK1673" i="10"/>
  <c r="AN1673" i="10"/>
  <c r="AQ1673" i="10"/>
  <c r="AL1633" i="10"/>
  <c r="AN1633" i="10"/>
  <c r="AQ1633" i="10"/>
  <c r="AS1633" i="10"/>
  <c r="AP1633" i="10"/>
  <c r="AV1633" i="10"/>
  <c r="AM1633" i="10"/>
  <c r="AJ1633" i="10"/>
  <c r="AR1633" i="10"/>
  <c r="AT1633" i="10"/>
  <c r="AT1543" i="10"/>
  <c r="AL1543" i="10"/>
  <c r="AU1543" i="10"/>
  <c r="AK1543" i="10"/>
  <c r="AP1543" i="10"/>
  <c r="AO1543" i="10"/>
  <c r="AQ1543" i="10"/>
  <c r="AR1543" i="10"/>
  <c r="AN1543" i="10"/>
  <c r="AJ1543" i="10"/>
  <c r="AN1485" i="10"/>
  <c r="AT1485" i="10"/>
  <c r="AS1485" i="10"/>
  <c r="AO1485" i="10"/>
  <c r="AL1485" i="10"/>
  <c r="AR1485" i="10"/>
  <c r="AK1485" i="10"/>
  <c r="AV1485" i="10"/>
  <c r="AJ1485" i="10"/>
  <c r="AQ1485" i="10"/>
  <c r="AN1433" i="10"/>
  <c r="AM1433" i="10"/>
  <c r="AX1433" i="10"/>
  <c r="AK1433" i="10"/>
  <c r="AS1433" i="10"/>
  <c r="AU1433" i="10"/>
  <c r="AW1433" i="10"/>
  <c r="AT1433" i="10"/>
  <c r="AJ1433" i="10"/>
  <c r="AL1433" i="10"/>
  <c r="AV1433" i="10"/>
  <c r="AQ1390" i="10"/>
  <c r="AJ1390" i="10"/>
  <c r="AX1327" i="10"/>
  <c r="AP1327" i="10"/>
  <c r="AL1327" i="10"/>
  <c r="AQ1327" i="10"/>
  <c r="AN1327" i="10"/>
  <c r="AV1327" i="10"/>
  <c r="AU1327" i="10"/>
  <c r="AK1327" i="10"/>
  <c r="AR1327" i="10"/>
  <c r="AS1327" i="10"/>
  <c r="AJ1327" i="10"/>
  <c r="AR1301" i="10"/>
  <c r="AS1301" i="10"/>
  <c r="AK1301" i="10"/>
  <c r="AW1301" i="10"/>
  <c r="AM1301" i="10"/>
  <c r="AT1301" i="10"/>
  <c r="AX1301" i="10"/>
  <c r="AQ1301" i="10"/>
  <c r="AN1301" i="10"/>
  <c r="AS1273" i="10"/>
  <c r="AL1273" i="10"/>
  <c r="AR1273" i="10"/>
  <c r="AT1273" i="10"/>
  <c r="AP1273" i="10"/>
  <c r="AQ1273" i="10"/>
  <c r="AO1273" i="10"/>
  <c r="AX1273" i="10"/>
  <c r="AJ1273" i="10"/>
  <c r="AN1273" i="10"/>
  <c r="AK1273" i="10"/>
  <c r="AM1273" i="10"/>
  <c r="AV1273" i="10"/>
  <c r="AN1147" i="10"/>
  <c r="AW1147" i="10"/>
  <c r="AP1147" i="10"/>
  <c r="AJ1147" i="10"/>
  <c r="AM1147" i="10"/>
  <c r="AU1147" i="10"/>
  <c r="AL1147" i="10"/>
  <c r="AV1147" i="10"/>
  <c r="AK1147" i="10"/>
  <c r="AT1147" i="10"/>
  <c r="AO1147" i="10"/>
  <c r="AS1147" i="10"/>
  <c r="AX1147" i="10"/>
  <c r="AM1108" i="10"/>
  <c r="AK1108" i="10"/>
  <c r="AJ1108" i="10"/>
  <c r="AS1108" i="10"/>
  <c r="AX1108" i="10"/>
  <c r="AU1108" i="10"/>
  <c r="AP1108" i="10"/>
  <c r="AX1079" i="10"/>
  <c r="AQ1079" i="10"/>
  <c r="AR1079" i="10"/>
  <c r="AS1079" i="10"/>
  <c r="AN1079" i="10"/>
  <c r="AW1079" i="10"/>
  <c r="AK1079" i="10"/>
  <c r="AO1079" i="10"/>
  <c r="AP1079" i="10"/>
  <c r="AJ1079" i="10"/>
  <c r="AM1079" i="10"/>
  <c r="AS1036" i="10"/>
  <c r="AP1036" i="10"/>
  <c r="AT1036" i="10"/>
  <c r="AL1036" i="10"/>
  <c r="AM1036" i="10"/>
  <c r="AJ1036" i="10"/>
  <c r="AU1036" i="10"/>
  <c r="AN1036" i="10"/>
  <c r="AW1036" i="10"/>
  <c r="AW925" i="10"/>
  <c r="AX925" i="10"/>
  <c r="AQ925" i="10"/>
  <c r="AP925" i="10"/>
  <c r="AM925" i="10"/>
  <c r="AO925" i="10"/>
  <c r="AR925" i="10"/>
  <c r="AX894" i="10"/>
  <c r="AS894" i="10"/>
  <c r="AT894" i="10"/>
  <c r="AM894" i="10"/>
  <c r="AO894" i="10"/>
  <c r="AR894" i="10"/>
  <c r="AK894" i="10"/>
  <c r="AW894" i="10"/>
  <c r="AU894" i="10"/>
  <c r="AK841" i="10"/>
  <c r="AQ841" i="10"/>
  <c r="AL841" i="10"/>
  <c r="AN841" i="10"/>
  <c r="AM841" i="10"/>
  <c r="AU841" i="10"/>
  <c r="AP841" i="10"/>
  <c r="AW786" i="10"/>
  <c r="AX786" i="10"/>
  <c r="AR764" i="10"/>
  <c r="W88" i="45"/>
  <c r="Y97" i="45"/>
  <c r="Y106" i="45"/>
  <c r="AQ764" i="10"/>
  <c r="AN764" i="10"/>
  <c r="AT764" i="10"/>
  <c r="AK764" i="10"/>
  <c r="AP764" i="10"/>
  <c r="AS764" i="10"/>
  <c r="C129" i="45"/>
  <c r="AS2446" i="10"/>
  <c r="AO1633" i="10"/>
  <c r="AJ2192" i="10"/>
  <c r="AR2574" i="10"/>
  <c r="AW2697" i="10"/>
  <c r="AX2697" i="10"/>
  <c r="AV2697" i="10"/>
  <c r="AR2697" i="10"/>
  <c r="AP2649" i="10"/>
  <c r="AJ2649" i="10"/>
  <c r="AR2649" i="10"/>
  <c r="AW2559" i="10"/>
  <c r="AX2559" i="10"/>
  <c r="AT1994" i="10"/>
  <c r="AL1994" i="10"/>
  <c r="C69" i="45"/>
  <c r="J4" i="53" s="1"/>
  <c r="AT1983" i="10"/>
  <c r="AQ1949" i="10"/>
  <c r="AU1949" i="10"/>
  <c r="AQ1913" i="10"/>
  <c r="AV1913" i="10"/>
  <c r="AO1913" i="10"/>
  <c r="AR1913" i="10"/>
  <c r="AL1913" i="10"/>
  <c r="AK1903" i="10"/>
  <c r="AV1903" i="10"/>
  <c r="W96" i="45"/>
  <c r="AP1860" i="10"/>
  <c r="U60" i="45"/>
  <c r="V13" i="43" s="1"/>
  <c r="Y78" i="45"/>
  <c r="Y69" i="45"/>
  <c r="AV1733" i="10"/>
  <c r="AQ1733" i="10"/>
  <c r="AM1623" i="10"/>
  <c r="AL1623" i="10"/>
  <c r="AK1623" i="10"/>
  <c r="AN1623" i="10"/>
  <c r="AQ1613" i="10"/>
  <c r="AR1613" i="10"/>
  <c r="AK1613" i="10"/>
  <c r="AU1584" i="10"/>
  <c r="AJ1584" i="10"/>
  <c r="AJ1553" i="10"/>
  <c r="AT1553" i="10"/>
  <c r="AT1415" i="10"/>
  <c r="AW1415" i="10"/>
  <c r="AV1415" i="10"/>
  <c r="AK1415" i="10"/>
  <c r="AT1411" i="10"/>
  <c r="AL1411" i="10"/>
  <c r="AS1223" i="10"/>
  <c r="AK1223" i="10"/>
  <c r="AW1223" i="10"/>
  <c r="AR1223" i="10"/>
  <c r="AO1223" i="10"/>
  <c r="AU1223" i="10"/>
  <c r="AN1223" i="10"/>
  <c r="AQ1223" i="10"/>
  <c r="AP1223" i="10"/>
  <c r="AT1223" i="10"/>
  <c r="AV1223" i="10"/>
  <c r="AW1207" i="10"/>
  <c r="AV1207" i="10"/>
  <c r="AP1207" i="10"/>
  <c r="AM1185" i="10"/>
  <c r="AP1185" i="10"/>
  <c r="AQ1185" i="10"/>
  <c r="AK1185" i="10"/>
  <c r="AV1185" i="10"/>
  <c r="AO1185" i="10"/>
  <c r="AU1185" i="10"/>
  <c r="AR1185" i="10"/>
  <c r="AX1185" i="10"/>
  <c r="AN1185" i="10"/>
  <c r="AX1118" i="10"/>
  <c r="AR1118" i="10"/>
  <c r="AQ1118" i="10"/>
  <c r="AM1118" i="10"/>
  <c r="AT1118" i="10"/>
  <c r="AP1118" i="10"/>
  <c r="AN1118" i="10"/>
  <c r="AU1118" i="10"/>
  <c r="AK1118" i="10"/>
  <c r="AW1118" i="10"/>
  <c r="AO1118" i="10"/>
  <c r="AS1118" i="10"/>
  <c r="AJ1118" i="10"/>
  <c r="AV1118" i="10"/>
  <c r="AW1084" i="10"/>
  <c r="AP1084" i="10"/>
  <c r="AS1084" i="10"/>
  <c r="AM1084" i="10"/>
  <c r="AL1084" i="10"/>
  <c r="AQ1084" i="10"/>
  <c r="AV1084" i="10"/>
  <c r="AU1084" i="10"/>
  <c r="AK1084" i="10"/>
  <c r="AR1084" i="10"/>
  <c r="AT1084" i="10"/>
  <c r="AR1041" i="10"/>
  <c r="AW1041" i="10"/>
  <c r="AN1041" i="10"/>
  <c r="AL1041" i="10"/>
  <c r="AX1041" i="10"/>
  <c r="AJ1041" i="10"/>
  <c r="AS1041" i="10"/>
  <c r="AO1041" i="10"/>
  <c r="AK1041" i="10"/>
  <c r="AV1041" i="10"/>
  <c r="AQ1041" i="10"/>
  <c r="AU1041" i="10"/>
  <c r="AX1019" i="10"/>
  <c r="AK1019" i="10"/>
  <c r="AJ1019" i="10"/>
  <c r="AW1019" i="10"/>
  <c r="AL984" i="10"/>
  <c r="AP984" i="10"/>
  <c r="AX984" i="10"/>
  <c r="AW984" i="10"/>
  <c r="AU984" i="10"/>
  <c r="AR984" i="10"/>
  <c r="AQ984" i="10"/>
  <c r="AM984" i="10"/>
  <c r="AN984" i="10"/>
  <c r="AJ984" i="10"/>
  <c r="AR1091" i="10"/>
  <c r="AJ1091" i="10"/>
  <c r="AK1091" i="10"/>
  <c r="AW901" i="10"/>
  <c r="AX901" i="10"/>
  <c r="AJ901" i="10"/>
  <c r="AK901" i="10"/>
  <c r="AW886" i="10"/>
  <c r="AX886" i="10"/>
  <c r="AK886" i="10"/>
  <c r="AW840" i="10"/>
  <c r="AJ840" i="10"/>
  <c r="AX816" i="10"/>
  <c r="AL816" i="10"/>
  <c r="AW816" i="10"/>
  <c r="AM816" i="10"/>
  <c r="AX791" i="10"/>
  <c r="AU791" i="10"/>
  <c r="AW791" i="10"/>
  <c r="AO791" i="10"/>
  <c r="AK791" i="10"/>
  <c r="AT791" i="10"/>
  <c r="AP791" i="10"/>
  <c r="AL791" i="10"/>
  <c r="AQ197" i="45" s="1"/>
  <c r="AR791" i="10"/>
  <c r="AQ791" i="10"/>
  <c r="AN791" i="10"/>
  <c r="AJ791" i="10"/>
  <c r="AM791" i="10"/>
  <c r="AS791" i="10"/>
  <c r="AV791" i="10"/>
  <c r="AX758" i="10"/>
  <c r="AJ758" i="10"/>
  <c r="AW758" i="10"/>
  <c r="AO718" i="10"/>
  <c r="AV718" i="10"/>
  <c r="AN718" i="10"/>
  <c r="AM718" i="10"/>
  <c r="AX718" i="10"/>
  <c r="AL718" i="10"/>
  <c r="AW718" i="10"/>
  <c r="AK718" i="10"/>
  <c r="AJ718" i="10"/>
  <c r="AV710" i="10"/>
  <c r="AU710" i="10"/>
  <c r="AR710" i="10"/>
  <c r="AN710" i="10"/>
  <c r="AT710" i="10"/>
  <c r="AJ710" i="10"/>
  <c r="AO710" i="10"/>
  <c r="AM710" i="10"/>
  <c r="AL710" i="10"/>
  <c r="AK710" i="10"/>
  <c r="AX710" i="10"/>
  <c r="AW710" i="10"/>
  <c r="AV675" i="10"/>
  <c r="AJ675" i="10"/>
  <c r="AU675" i="10"/>
  <c r="AT675" i="10"/>
  <c r="AR675" i="10"/>
  <c r="AS675" i="10"/>
  <c r="AQ675" i="10"/>
  <c r="AL675" i="10"/>
  <c r="AT723" i="10"/>
  <c r="AW714" i="10"/>
  <c r="AP894" i="10"/>
  <c r="AM881" i="10"/>
  <c r="AJ2004" i="10"/>
  <c r="AJ786" i="10"/>
  <c r="AO856" i="10"/>
  <c r="AK2343" i="10"/>
  <c r="AV2601" i="10"/>
  <c r="AL2400" i="10"/>
  <c r="W116" i="45"/>
  <c r="AT1984" i="10"/>
  <c r="AL2013" i="10"/>
  <c r="AX754" i="10"/>
  <c r="AT2124" i="10"/>
  <c r="AO675" i="10"/>
  <c r="AJ754" i="10"/>
  <c r="AL856" i="10"/>
  <c r="AV919" i="10"/>
  <c r="AJ894" i="10"/>
  <c r="AV894" i="10"/>
  <c r="AU2639" i="10"/>
  <c r="AJ886" i="10"/>
  <c r="AF127" i="45"/>
  <c r="AJ925" i="10"/>
  <c r="AU2726" i="10"/>
  <c r="AX1673" i="10"/>
  <c r="AJ2606" i="10"/>
  <c r="AS851" i="10"/>
  <c r="AS874" i="10"/>
  <c r="AJ1872" i="10"/>
  <c r="AK2446" i="10"/>
  <c r="AW2681" i="10"/>
  <c r="AL1878" i="10"/>
  <c r="AW1878" i="10"/>
  <c r="AK2524" i="10"/>
  <c r="AW978" i="10"/>
  <c r="AJ1195" i="10"/>
  <c r="AJ2498" i="10"/>
  <c r="AP1041" i="10"/>
  <c r="AQ1036" i="10"/>
  <c r="AT2023" i="10"/>
  <c r="AM1989" i="10"/>
  <c r="AR2023" i="10"/>
  <c r="AT1451" i="10"/>
  <c r="AK1451" i="10"/>
  <c r="AO1301" i="10"/>
  <c r="AM1984" i="10"/>
  <c r="AK2080" i="10"/>
  <c r="AU2400" i="10"/>
  <c r="AR2564" i="10"/>
  <c r="AV2456" i="10"/>
  <c r="AJ2108" i="10"/>
  <c r="AS2574" i="10"/>
  <c r="AW702" i="10"/>
  <c r="AM2580" i="10"/>
  <c r="AT2291" i="10"/>
  <c r="AN1090" i="10"/>
  <c r="AU2223" i="10"/>
  <c r="AT2223" i="10"/>
  <c r="AV2223" i="10"/>
  <c r="AN2223" i="10"/>
  <c r="AK2223" i="10"/>
  <c r="AJ2223" i="10"/>
  <c r="AM2223" i="10"/>
  <c r="AR2223" i="10"/>
  <c r="AQ2223" i="10"/>
  <c r="AS2223" i="10"/>
  <c r="AN2186" i="10"/>
  <c r="AT2186" i="10"/>
  <c r="AM2186" i="10"/>
  <c r="AU2186" i="10"/>
  <c r="AV2186" i="10"/>
  <c r="AL2186" i="10"/>
  <c r="AS2186" i="10"/>
  <c r="AW2186" i="10"/>
  <c r="AK2186" i="10"/>
  <c r="AP2186" i="10"/>
  <c r="AX2186" i="10"/>
  <c r="AT2151" i="10"/>
  <c r="AO2151" i="10"/>
  <c r="AK2151" i="10"/>
  <c r="AM2151" i="10"/>
  <c r="AQ2151" i="10"/>
  <c r="AN2151" i="10"/>
  <c r="AX2151" i="10"/>
  <c r="AV2151" i="10"/>
  <c r="AW2151" i="10"/>
  <c r="AX2117" i="10"/>
  <c r="AS2117" i="10"/>
  <c r="AN2117" i="10"/>
  <c r="AP2117" i="10"/>
  <c r="AT2117" i="10"/>
  <c r="AL2117" i="10"/>
  <c r="AV2117" i="10"/>
  <c r="AO2117" i="10"/>
  <c r="AJ2095" i="10"/>
  <c r="AT2095" i="10"/>
  <c r="AU2095" i="10"/>
  <c r="AW2095" i="10"/>
  <c r="AQ2095" i="10"/>
  <c r="AM2095" i="10"/>
  <c r="AX2095" i="10"/>
  <c r="AS2095" i="10"/>
  <c r="AP2095" i="10"/>
  <c r="AL2095" i="10"/>
  <c r="AR2095" i="10"/>
  <c r="AV2095" i="10"/>
  <c r="AK2095" i="10"/>
  <c r="AJ2040" i="10"/>
  <c r="AU2040" i="10"/>
  <c r="AW2040" i="10"/>
  <c r="AL2040" i="10"/>
  <c r="AR2040" i="10"/>
  <c r="AT2040" i="10"/>
  <c r="AP2040" i="10"/>
  <c r="AQ2040" i="10"/>
  <c r="AX2040" i="10"/>
  <c r="AM2040" i="10"/>
  <c r="AN2040" i="10"/>
  <c r="AW1966" i="10"/>
  <c r="AX1966" i="10"/>
  <c r="AK1966" i="10"/>
  <c r="AL1966" i="10"/>
  <c r="AP1966" i="10"/>
  <c r="AU1881" i="10"/>
  <c r="AT1881" i="10"/>
  <c r="AM1795" i="10"/>
  <c r="AS1795" i="10"/>
  <c r="AT1795" i="10"/>
  <c r="AR1795" i="10"/>
  <c r="AX1795" i="10"/>
  <c r="AN1795" i="10"/>
  <c r="AS1667" i="10"/>
  <c r="AU1667" i="10"/>
  <c r="AR1667" i="10"/>
  <c r="AN1667" i="10"/>
  <c r="AM1667" i="10"/>
  <c r="AK1667" i="10"/>
  <c r="AV1667" i="10"/>
  <c r="AT1667" i="10"/>
  <c r="AJ1667" i="10"/>
  <c r="AQ1593" i="10"/>
  <c r="AS1593" i="10"/>
  <c r="AO1593" i="10"/>
  <c r="AP1593" i="10"/>
  <c r="AK1593" i="10"/>
  <c r="AU1593" i="10"/>
  <c r="AV1593" i="10"/>
  <c r="AL1593" i="10"/>
  <c r="AR1593" i="10"/>
  <c r="AT1593" i="10"/>
  <c r="AN1593" i="10"/>
  <c r="AJ1593" i="10"/>
  <c r="AM1593" i="10"/>
  <c r="AM1568" i="10"/>
  <c r="AK1568" i="10"/>
  <c r="AN1568" i="10"/>
  <c r="AQ1568" i="10"/>
  <c r="AT1568" i="10"/>
  <c r="AL1568" i="10"/>
  <c r="AR1568" i="10"/>
  <c r="AU1568" i="10"/>
  <c r="AJ1568" i="10"/>
  <c r="AW1568" i="10"/>
  <c r="AP1568" i="10"/>
  <c r="AO1568" i="10"/>
  <c r="AV1568" i="10"/>
  <c r="AX1568" i="10"/>
  <c r="AV1516" i="10"/>
  <c r="AR1516" i="10"/>
  <c r="AQ1516" i="10"/>
  <c r="AS1516" i="10"/>
  <c r="AL1455" i="10"/>
  <c r="AQ1455" i="10"/>
  <c r="AP1455" i="10"/>
  <c r="AW1455" i="10"/>
  <c r="AS1455" i="10"/>
  <c r="AO1455" i="10"/>
  <c r="AN1455" i="10"/>
  <c r="AK1400" i="10"/>
  <c r="AO1400" i="10"/>
  <c r="AN1400" i="10"/>
  <c r="AR1400" i="10"/>
  <c r="AU1337" i="10"/>
  <c r="AT1337" i="10"/>
  <c r="AL1337" i="10"/>
  <c r="AW1337" i="10"/>
  <c r="AT1277" i="10"/>
  <c r="AL1277" i="10"/>
  <c r="AR1277" i="10"/>
  <c r="AV1277" i="10"/>
  <c r="AO1250" i="10"/>
  <c r="AM1250" i="10"/>
  <c r="AJ1250" i="10"/>
  <c r="AQ1250" i="10"/>
  <c r="AR1250" i="10"/>
  <c r="AS1250" i="10"/>
  <c r="AW1163" i="10"/>
  <c r="AV1163" i="10"/>
  <c r="AP1163" i="10"/>
  <c r="AT1163" i="10"/>
  <c r="AJ1163" i="10"/>
  <c r="AX1163" i="10"/>
  <c r="AQ1163" i="10"/>
  <c r="AS1163" i="10"/>
  <c r="AM1163" i="10"/>
  <c r="AR1163" i="10"/>
  <c r="AK1163" i="10"/>
  <c r="AU1163" i="10"/>
  <c r="AN1163" i="10"/>
  <c r="AL1163" i="10"/>
  <c r="AO1163" i="10"/>
  <c r="AT1135" i="10"/>
  <c r="AW1135" i="10"/>
  <c r="AK1135" i="10"/>
  <c r="AS1135" i="10"/>
  <c r="AO1135" i="10"/>
  <c r="AU1135" i="10"/>
  <c r="AP1135" i="10"/>
  <c r="AJ1135" i="10"/>
  <c r="AK1089" i="10"/>
  <c r="AQ1089" i="10"/>
  <c r="AV1089" i="10"/>
  <c r="AT1089" i="10"/>
  <c r="AN1089" i="10"/>
  <c r="AP1089" i="10"/>
  <c r="AX1089" i="10"/>
  <c r="AL1089" i="10"/>
  <c r="AS1089" i="10"/>
  <c r="AP1057" i="10"/>
  <c r="AS1057" i="10"/>
  <c r="AR1057" i="10"/>
  <c r="AV1057" i="10"/>
  <c r="AW1057" i="10"/>
  <c r="AX989" i="10"/>
  <c r="AT989" i="10"/>
  <c r="AK989" i="10"/>
  <c r="AQ989" i="10"/>
  <c r="AO989" i="10"/>
  <c r="AJ989" i="10"/>
  <c r="AN989" i="10"/>
  <c r="AW918" i="10"/>
  <c r="AN918" i="10"/>
  <c r="AV918" i="10"/>
  <c r="AX918" i="10"/>
  <c r="AJ918" i="10"/>
  <c r="AP918" i="10"/>
  <c r="AS918" i="10"/>
  <c r="AQ918" i="10"/>
  <c r="AS790" i="10"/>
  <c r="AV798" i="10"/>
  <c r="AX1881" i="10"/>
  <c r="AR1283" i="10"/>
  <c r="AL790" i="10"/>
  <c r="AJ2151" i="10"/>
  <c r="AO1966" i="10"/>
  <c r="AK1495" i="10"/>
  <c r="AS1876" i="10"/>
  <c r="AU1662" i="10"/>
  <c r="AM1887" i="10"/>
  <c r="AT1146" i="10"/>
  <c r="AS1326" i="10"/>
  <c r="AK1871" i="10"/>
  <c r="AV995" i="10"/>
  <c r="AX1046" i="10"/>
  <c r="AJ1795" i="10"/>
  <c r="AJ2117" i="10"/>
  <c r="AM1400" i="10"/>
  <c r="AJ1632" i="10"/>
  <c r="AM2112" i="10"/>
  <c r="AM2101" i="10"/>
  <c r="AS924" i="10"/>
  <c r="AM1283" i="10"/>
  <c r="AS2151" i="10"/>
  <c r="AV1966" i="10"/>
  <c r="AO798" i="10"/>
  <c r="AR1101" i="10"/>
  <c r="AR1261" i="10"/>
  <c r="AO1876" i="10"/>
  <c r="AR1662" i="10"/>
  <c r="AU1146" i="10"/>
  <c r="AQ1326" i="10"/>
  <c r="AM2145" i="10"/>
  <c r="AL2145" i="10"/>
  <c r="AW995" i="10"/>
  <c r="AS1046" i="10"/>
  <c r="AM2117" i="10"/>
  <c r="AQ1892" i="10"/>
  <c r="AV1632" i="10"/>
  <c r="AQ1834" i="10"/>
  <c r="AP2112" i="10"/>
  <c r="AT1250" i="10"/>
  <c r="AP2017" i="10"/>
  <c r="AJ1966" i="10"/>
  <c r="AV1662" i="10"/>
  <c r="AN1146" i="10"/>
  <c r="AP995" i="10"/>
  <c r="AT918" i="10"/>
  <c r="AL1283" i="10"/>
  <c r="AW2112" i="10"/>
  <c r="AP790" i="10"/>
  <c r="AU790" i="10"/>
  <c r="AJ790" i="10"/>
  <c r="AJ1212" i="10"/>
  <c r="AN1966" i="10"/>
  <c r="AU1966" i="10"/>
  <c r="AO2095" i="10"/>
  <c r="AW2090" i="10"/>
  <c r="AR1887" i="10"/>
  <c r="AW1277" i="10"/>
  <c r="AL1667" i="10"/>
  <c r="AT1943" i="10"/>
  <c r="AM2259" i="10"/>
  <c r="AO2259" i="10"/>
  <c r="AQ2259" i="10"/>
  <c r="AR2259" i="10"/>
  <c r="AL2259" i="10"/>
  <c r="AK2259" i="10"/>
  <c r="AW2259" i="10"/>
  <c r="AX2259" i="10"/>
  <c r="AT2259" i="10"/>
  <c r="AS2259" i="10"/>
  <c r="AP2259" i="10"/>
  <c r="AU2259" i="10"/>
  <c r="AJ2259" i="10"/>
  <c r="AN2259" i="10"/>
  <c r="AV2259" i="10"/>
  <c r="AK2244" i="10"/>
  <c r="AL2244" i="10"/>
  <c r="AN2244" i="10"/>
  <c r="AS2244" i="10"/>
  <c r="AO2244" i="10"/>
  <c r="AR2244" i="10"/>
  <c r="AU2244" i="10"/>
  <c r="AQ2244" i="10"/>
  <c r="AM2244" i="10"/>
  <c r="AR2228" i="10"/>
  <c r="AU2228" i="10"/>
  <c r="AJ2228" i="10"/>
  <c r="AT2228" i="10"/>
  <c r="AN2228" i="10"/>
  <c r="AM2228" i="10"/>
  <c r="AQ2228" i="10"/>
  <c r="AJ2216" i="10"/>
  <c r="AP2216" i="10"/>
  <c r="AW2216" i="10"/>
  <c r="AK2216" i="10"/>
  <c r="AS2216" i="10"/>
  <c r="AU2216" i="10"/>
  <c r="AX2216" i="10"/>
  <c r="AV2216" i="10"/>
  <c r="AL2216" i="10"/>
  <c r="AO2216" i="10"/>
  <c r="AQ2216" i="10"/>
  <c r="AR2216" i="10"/>
  <c r="AM2216" i="10"/>
  <c r="AP2206" i="10"/>
  <c r="AV2206" i="10"/>
  <c r="AR2206" i="10"/>
  <c r="AQ2206" i="10"/>
  <c r="AU2206" i="10"/>
  <c r="AW2206" i="10"/>
  <c r="AX2206" i="10"/>
  <c r="AK2206" i="10"/>
  <c r="AT2206" i="10"/>
  <c r="AS2206" i="10"/>
  <c r="AO2206" i="10"/>
  <c r="AR2170" i="10"/>
  <c r="AL2170" i="10"/>
  <c r="AQ2170" i="10"/>
  <c r="AM2170" i="10"/>
  <c r="AJ2170" i="10"/>
  <c r="AS2170" i="10"/>
  <c r="AK2170" i="10"/>
  <c r="AP2170" i="10"/>
  <c r="AW2170" i="10"/>
  <c r="AX2170" i="10"/>
  <c r="AO2170" i="10"/>
  <c r="AN2170" i="10"/>
  <c r="AU2170" i="10"/>
  <c r="AX2145" i="10"/>
  <c r="AW2145" i="10"/>
  <c r="AS2145" i="10"/>
  <c r="AP2145" i="10"/>
  <c r="AO2145" i="10"/>
  <c r="AV2145" i="10"/>
  <c r="AV2112" i="10"/>
  <c r="AO2112" i="10"/>
  <c r="AN2112" i="10"/>
  <c r="AK2112" i="10"/>
  <c r="AQ2112" i="10"/>
  <c r="AU2112" i="10"/>
  <c r="AJ2112" i="10"/>
  <c r="AR2112" i="10"/>
  <c r="AL2112" i="10"/>
  <c r="AS2112" i="10"/>
  <c r="AT2112" i="10"/>
  <c r="AK2101" i="10"/>
  <c r="AJ2101" i="10"/>
  <c r="AT2101" i="10"/>
  <c r="AW2101" i="10"/>
  <c r="AN2101" i="10"/>
  <c r="AV2101" i="10"/>
  <c r="AL2101" i="10"/>
  <c r="AU2101" i="10"/>
  <c r="AP2101" i="10"/>
  <c r="AR2101" i="10"/>
  <c r="AS2090" i="10"/>
  <c r="AM2090" i="10"/>
  <c r="AX2090" i="10"/>
  <c r="AQ2090" i="10"/>
  <c r="AU2090" i="10"/>
  <c r="AL2090" i="10"/>
  <c r="AP2090" i="10"/>
  <c r="AR2090" i="10"/>
  <c r="AK2090" i="10"/>
  <c r="AT2090" i="10"/>
  <c r="AO2079" i="10"/>
  <c r="AK2079" i="10"/>
  <c r="AS2079" i="10"/>
  <c r="AL2079" i="10"/>
  <c r="AT2079" i="10"/>
  <c r="AR2079" i="10"/>
  <c r="AX2079" i="10"/>
  <c r="AP2079" i="10"/>
  <c r="AV2079" i="10"/>
  <c r="AN2079" i="10"/>
  <c r="AM2079" i="10"/>
  <c r="AW2079" i="10"/>
  <c r="AQ2079" i="10"/>
  <c r="AR2022" i="10"/>
  <c r="AX2022" i="10"/>
  <c r="AO2022" i="10"/>
  <c r="AN2022" i="10"/>
  <c r="AW2022" i="10"/>
  <c r="AT2017" i="10"/>
  <c r="AU2017" i="10"/>
  <c r="AR2017" i="10"/>
  <c r="AQ2017" i="10"/>
  <c r="AW2017" i="10"/>
  <c r="AX2017" i="10"/>
  <c r="AK2017" i="10"/>
  <c r="AM2017" i="10"/>
  <c r="AO1998" i="10"/>
  <c r="AN1998" i="10"/>
  <c r="AT1998" i="10"/>
  <c r="AJ1998" i="10"/>
  <c r="AM1998" i="10"/>
  <c r="AL1998" i="10"/>
  <c r="AK1998" i="10"/>
  <c r="AX1998" i="10"/>
  <c r="AP1971" i="10"/>
  <c r="AU1971" i="10"/>
  <c r="AQ1971" i="10"/>
  <c r="AR1971" i="10"/>
  <c r="AL1971" i="10"/>
  <c r="AL1960" i="10"/>
  <c r="AW1960" i="10"/>
  <c r="AV1960" i="10"/>
  <c r="AS1960" i="10"/>
  <c r="AV1934" i="10"/>
  <c r="AO1934" i="10"/>
  <c r="AK1934" i="10"/>
  <c r="AW1934" i="10"/>
  <c r="AL1934" i="10"/>
  <c r="AJ1934" i="10"/>
  <c r="AX1934" i="10"/>
  <c r="AU1934" i="10"/>
  <c r="AN1934" i="10"/>
  <c r="AQ1934" i="10"/>
  <c r="AS1918" i="10"/>
  <c r="AU1918" i="10"/>
  <c r="AP1918" i="10"/>
  <c r="AR1918" i="10"/>
  <c r="AO1918" i="10"/>
  <c r="AT1918" i="10"/>
  <c r="AN1918" i="10"/>
  <c r="AV1918" i="10"/>
  <c r="AK1918" i="10"/>
  <c r="AX1918" i="10"/>
  <c r="AW1918" i="10"/>
  <c r="AO1892" i="10"/>
  <c r="AU1892" i="10"/>
  <c r="AT1892" i="10"/>
  <c r="AL1892" i="10"/>
  <c r="AN1892" i="10"/>
  <c r="AV1892" i="10"/>
  <c r="AX1892" i="10"/>
  <c r="AP1892" i="10"/>
  <c r="AW1892" i="10"/>
  <c r="AR1892" i="10"/>
  <c r="AK1876" i="10"/>
  <c r="AR1876" i="10"/>
  <c r="AP1876" i="10"/>
  <c r="AU1876" i="10"/>
  <c r="AX1876" i="10"/>
  <c r="AL1876" i="10"/>
  <c r="AT1871" i="10"/>
  <c r="AP1871" i="10"/>
  <c r="AV1871" i="10"/>
  <c r="AX1871" i="10"/>
  <c r="AO1871" i="10"/>
  <c r="AW1871" i="10"/>
  <c r="AT1866" i="10"/>
  <c r="AS1866" i="10"/>
  <c r="AU1866" i="10"/>
  <c r="AJ1866" i="10"/>
  <c r="AK1866" i="10"/>
  <c r="AX1866" i="10"/>
  <c r="AO1866" i="10"/>
  <c r="AL1866" i="10"/>
  <c r="AN1866" i="10"/>
  <c r="AW1866" i="10"/>
  <c r="AM1834" i="10"/>
  <c r="AT1834" i="10"/>
  <c r="AV1834" i="10"/>
  <c r="AN1834" i="10"/>
  <c r="AL1834" i="10"/>
  <c r="AS1834" i="10"/>
  <c r="AR1834" i="10"/>
  <c r="AO1834" i="10"/>
  <c r="AX1834" i="10"/>
  <c r="AW1834" i="10"/>
  <c r="AV1820" i="10"/>
  <c r="AR1820" i="10"/>
  <c r="AW1820" i="10"/>
  <c r="AQ1820" i="10"/>
  <c r="AM1820" i="10"/>
  <c r="AN1820" i="10"/>
  <c r="AS1820" i="10"/>
  <c r="AO1820" i="10"/>
  <c r="AU1820" i="10"/>
  <c r="AV1775" i="10"/>
  <c r="AK1775" i="10"/>
  <c r="AS1775" i="10"/>
  <c r="AW1775" i="10"/>
  <c r="AM1775" i="10"/>
  <c r="AN1775" i="10"/>
  <c r="AQ1775" i="10"/>
  <c r="AJ1775" i="10"/>
  <c r="AO1775" i="10"/>
  <c r="AP1752" i="10"/>
  <c r="AO1752" i="10"/>
  <c r="AS1752" i="10"/>
  <c r="AT1752" i="10"/>
  <c r="AN1752" i="10"/>
  <c r="AM1737" i="10"/>
  <c r="AL1737" i="10"/>
  <c r="AV1737" i="10"/>
  <c r="AR1737" i="10"/>
  <c r="AO1737" i="10"/>
  <c r="AN1737" i="10"/>
  <c r="AX1737" i="10"/>
  <c r="AQ1737" i="10"/>
  <c r="AK1728" i="10"/>
  <c r="AL1728" i="10"/>
  <c r="AW1728" i="10"/>
  <c r="AV1728" i="10"/>
  <c r="AR1728" i="10"/>
  <c r="AX1728" i="10"/>
  <c r="AO1728" i="10"/>
  <c r="AQ1728" i="10"/>
  <c r="AP1728" i="10"/>
  <c r="AU1728" i="10"/>
  <c r="AJ1728" i="10"/>
  <c r="AT1728" i="10"/>
  <c r="AP1687" i="10"/>
  <c r="AM1687" i="10"/>
  <c r="AN1687" i="10"/>
  <c r="AR1687" i="10"/>
  <c r="AP1682" i="10"/>
  <c r="AS1682" i="10"/>
  <c r="AJ1682" i="10"/>
  <c r="AL1682" i="10"/>
  <c r="AN1682" i="10"/>
  <c r="AT1682" i="10"/>
  <c r="AR1682" i="10"/>
  <c r="AK1682" i="10"/>
  <c r="AM1682" i="10"/>
  <c r="AQ1682" i="10"/>
  <c r="AU1682" i="10"/>
  <c r="AO1682" i="10"/>
  <c r="AV1682" i="10"/>
  <c r="AO1677" i="10"/>
  <c r="AS1677" i="10"/>
  <c r="AP1677" i="10"/>
  <c r="AL1677" i="10"/>
  <c r="AT1662" i="10"/>
  <c r="AQ1662" i="10"/>
  <c r="AO1662" i="10"/>
  <c r="AX1662" i="10"/>
  <c r="AN1662" i="10"/>
  <c r="AT1637" i="10"/>
  <c r="AJ1637" i="10"/>
  <c r="AQ1579" i="10"/>
  <c r="AU1579" i="10"/>
  <c r="AR1579" i="10"/>
  <c r="AT1579" i="10"/>
  <c r="AM1579" i="10"/>
  <c r="AV1579" i="10"/>
  <c r="AS1526" i="10"/>
  <c r="AP1526" i="10"/>
  <c r="AJ1526" i="10"/>
  <c r="AT1526" i="10"/>
  <c r="AU1521" i="10"/>
  <c r="AW1521" i="10"/>
  <c r="AK1521" i="10"/>
  <c r="AK1501" i="10"/>
  <c r="AS1501" i="10"/>
  <c r="AP1501" i="10"/>
  <c r="AQ1501" i="10"/>
  <c r="AT1501" i="10"/>
  <c r="AR1501" i="10"/>
  <c r="AJ1501" i="10"/>
  <c r="AW1495" i="10"/>
  <c r="AR1495" i="10"/>
  <c r="AQ1495" i="10"/>
  <c r="AN1495" i="10"/>
  <c r="AP1495" i="10"/>
  <c r="AS1495" i="10"/>
  <c r="AT1479" i="10"/>
  <c r="AV1479" i="10"/>
  <c r="AR1479" i="10"/>
  <c r="AK1479" i="10"/>
  <c r="AQ1469" i="10"/>
  <c r="AL1469" i="10"/>
  <c r="AT1469" i="10"/>
  <c r="AN1469" i="10"/>
  <c r="AP1469" i="10"/>
  <c r="AU1464" i="10"/>
  <c r="AX1464" i="10"/>
  <c r="AO1464" i="10"/>
  <c r="AQ1464" i="10"/>
  <c r="AV1464" i="10"/>
  <c r="AS1464" i="10"/>
  <c r="AT1464" i="10"/>
  <c r="AL1464" i="10"/>
  <c r="AU1450" i="10"/>
  <c r="AP1450" i="10"/>
  <c r="AK1450" i="10"/>
  <c r="AT1450" i="10"/>
  <c r="AL1450" i="10"/>
  <c r="AK1389" i="10"/>
  <c r="AX1389" i="10"/>
  <c r="AJ1389" i="10"/>
  <c r="AL1389" i="10"/>
  <c r="AS1348" i="10"/>
  <c r="AX1348" i="10"/>
  <c r="AT1348" i="10"/>
  <c r="AJ1348" i="10"/>
  <c r="AQ1348" i="10"/>
  <c r="AL1348" i="10"/>
  <c r="AX1326" i="10"/>
  <c r="AP1326" i="10"/>
  <c r="AJ1326" i="10"/>
  <c r="AL1326" i="10"/>
  <c r="AU1326" i="10"/>
  <c r="AR1326" i="10"/>
  <c r="AS1315" i="10"/>
  <c r="AT1315" i="10"/>
  <c r="AW1315" i="10"/>
  <c r="AO1315" i="10"/>
  <c r="AL1315" i="10"/>
  <c r="AM1315" i="10"/>
  <c r="AX1315" i="10"/>
  <c r="AN1315" i="10"/>
  <c r="AK1315" i="10"/>
  <c r="AV1315" i="10"/>
  <c r="AS1310" i="10"/>
  <c r="AX1310" i="10"/>
  <c r="AL1310" i="10"/>
  <c r="AU1310" i="10"/>
  <c r="AK1310" i="10"/>
  <c r="AN1310" i="10"/>
  <c r="AP1283" i="10"/>
  <c r="AW1283" i="10"/>
  <c r="AK1283" i="10"/>
  <c r="AQ1283" i="10"/>
  <c r="AS1283" i="10"/>
  <c r="AN1272" i="10"/>
  <c r="AJ1272" i="10"/>
  <c r="AN1261" i="10"/>
  <c r="AK1261" i="10"/>
  <c r="AT1261" i="10"/>
  <c r="AU1261" i="10"/>
  <c r="AJ1261" i="10"/>
  <c r="AM1261" i="10"/>
  <c r="AU1245" i="10"/>
  <c r="AJ1245" i="10"/>
  <c r="AW1245" i="10"/>
  <c r="AL1245" i="10"/>
  <c r="AJ1146" i="10"/>
  <c r="AP1146" i="10"/>
  <c r="AK1146" i="10"/>
  <c r="AS1146" i="10"/>
  <c r="AP1107" i="10"/>
  <c r="AQ1107" i="10"/>
  <c r="AO1107" i="10"/>
  <c r="AX1107" i="10"/>
  <c r="AU1107" i="10"/>
  <c r="AJ1107" i="10"/>
  <c r="AK1107" i="10"/>
  <c r="AV1107" i="10"/>
  <c r="AX1095" i="10"/>
  <c r="AT1095" i="10"/>
  <c r="AJ1095" i="10"/>
  <c r="AP1095" i="10"/>
  <c r="AK1095" i="10"/>
  <c r="AL1095" i="10"/>
  <c r="AN1095" i="10"/>
  <c r="AO1095" i="10"/>
  <c r="AW1095" i="10"/>
  <c r="AS1095" i="10"/>
  <c r="AV1046" i="10"/>
  <c r="AL1046" i="10"/>
  <c r="AT1046" i="10"/>
  <c r="AN1046" i="10"/>
  <c r="AJ1046" i="10"/>
  <c r="AU1046" i="10"/>
  <c r="AO1035" i="10"/>
  <c r="AX1035" i="10"/>
  <c r="AW1035" i="10"/>
  <c r="AP1035" i="10"/>
  <c r="AQ1035" i="10"/>
  <c r="AM1035" i="10"/>
  <c r="AK1035" i="10"/>
  <c r="AS1035" i="10"/>
  <c r="AR1035" i="10"/>
  <c r="AL1035" i="10"/>
  <c r="AN1035" i="10"/>
  <c r="AJ1035" i="10"/>
  <c r="AV1035" i="10"/>
  <c r="AK995" i="10"/>
  <c r="AQ995" i="10"/>
  <c r="AO995" i="10"/>
  <c r="AT995" i="10"/>
  <c r="AJ995" i="10"/>
  <c r="AX995" i="10"/>
  <c r="AJ943" i="10"/>
  <c r="AK943" i="10"/>
  <c r="AW943" i="10"/>
  <c r="AX943" i="10"/>
  <c r="AW924" i="10"/>
  <c r="AP924" i="10"/>
  <c r="AK924" i="10"/>
  <c r="AN924" i="10"/>
  <c r="AK828" i="10"/>
  <c r="AX828" i="10"/>
  <c r="AJ828" i="10"/>
  <c r="AP798" i="10"/>
  <c r="AX798" i="10"/>
  <c r="AK798" i="10"/>
  <c r="AU798" i="10"/>
  <c r="AX735" i="10"/>
  <c r="AW735" i="10"/>
  <c r="AK735" i="10"/>
  <c r="AR1046" i="10"/>
  <c r="AL1795" i="10"/>
  <c r="AW2117" i="10"/>
  <c r="AQ798" i="10"/>
  <c r="AR790" i="10"/>
  <c r="AR798" i="10"/>
  <c r="AS1881" i="10"/>
  <c r="AO1881" i="10"/>
  <c r="AV790" i="10"/>
  <c r="AR918" i="10"/>
  <c r="AJ1820" i="10"/>
  <c r="AP2022" i="10"/>
  <c r="AR924" i="10"/>
  <c r="AK1579" i="10"/>
  <c r="AW1876" i="10"/>
  <c r="AM1966" i="10"/>
  <c r="AM1876" i="10"/>
  <c r="AO1261" i="10"/>
  <c r="AK1960" i="10"/>
  <c r="AK1662" i="10"/>
  <c r="AN2095" i="10"/>
  <c r="AO2090" i="10"/>
  <c r="AJ1687" i="10"/>
  <c r="AX1277" i="10"/>
  <c r="AR1337" i="10"/>
  <c r="AO1146" i="10"/>
  <c r="AV1326" i="10"/>
  <c r="AX1971" i="10"/>
  <c r="AM1677" i="10"/>
  <c r="AR2145" i="10"/>
  <c r="AS995" i="10"/>
  <c r="AM1107" i="10"/>
  <c r="AR1310" i="10"/>
  <c r="U15" i="45"/>
  <c r="W107" i="45"/>
  <c r="AS1469" i="10"/>
  <c r="AN1389" i="10"/>
  <c r="AP1834" i="10"/>
  <c r="AV1095" i="10"/>
  <c r="AQ1095" i="10"/>
  <c r="AR2186" i="10"/>
  <c r="AV2170" i="10"/>
  <c r="AS1568" i="10"/>
  <c r="AL2233" i="10"/>
  <c r="AP2233" i="10"/>
  <c r="AM2233" i="10"/>
  <c r="AT2233" i="10"/>
  <c r="AO2233" i="10"/>
  <c r="AN2233" i="10"/>
  <c r="AV2233" i="10"/>
  <c r="AQ2233" i="10"/>
  <c r="AU2233" i="10"/>
  <c r="AK2233" i="10"/>
  <c r="AS2233" i="10"/>
  <c r="AX2233" i="10"/>
  <c r="AR2233" i="10"/>
  <c r="AR2211" i="10"/>
  <c r="AV2211" i="10"/>
  <c r="AN2211" i="10"/>
  <c r="AO2211" i="10"/>
  <c r="AL2211" i="10"/>
  <c r="AW2211" i="10"/>
  <c r="AU2211" i="10"/>
  <c r="AJ2211" i="10"/>
  <c r="AU2130" i="10"/>
  <c r="AJ2130" i="10"/>
  <c r="AN2130" i="10"/>
  <c r="AX2130" i="10"/>
  <c r="AR2130" i="10"/>
  <c r="AV2130" i="10"/>
  <c r="AT2130" i="10"/>
  <c r="AP2130" i="10"/>
  <c r="AM2130" i="10"/>
  <c r="AL2130" i="10"/>
  <c r="AQ2130" i="10"/>
  <c r="AK2130" i="10"/>
  <c r="AW2130" i="10"/>
  <c r="AR2011" i="10"/>
  <c r="AT2011" i="10"/>
  <c r="AN2011" i="10"/>
  <c r="AU2011" i="10"/>
  <c r="AP2011" i="10"/>
  <c r="AM2011" i="10"/>
  <c r="AL2011" i="10"/>
  <c r="AR1976" i="10"/>
  <c r="AN1976" i="10"/>
  <c r="AM1976" i="10"/>
  <c r="AJ1976" i="10"/>
  <c r="AP1976" i="10"/>
  <c r="AU1976" i="10"/>
  <c r="AV1976" i="10"/>
  <c r="AO1976" i="10"/>
  <c r="AR1943" i="10"/>
  <c r="AW1943" i="10"/>
  <c r="AS1943" i="10"/>
  <c r="AN1943" i="10"/>
  <c r="AV1943" i="10"/>
  <c r="AX1943" i="10"/>
  <c r="AL1943" i="10"/>
  <c r="AP1943" i="10"/>
  <c r="AO1887" i="10"/>
  <c r="AV1887" i="10"/>
  <c r="AX1887" i="10"/>
  <c r="AX1824" i="10"/>
  <c r="AU1824" i="10"/>
  <c r="AS1824" i="10"/>
  <c r="AP1824" i="10"/>
  <c r="AL1824" i="10"/>
  <c r="AK1824" i="10"/>
  <c r="AT1824" i="10"/>
  <c r="AJ1824" i="10"/>
  <c r="AQ1824" i="10"/>
  <c r="AN1824" i="10"/>
  <c r="AM1824" i="10"/>
  <c r="AV1824" i="10"/>
  <c r="AR1824" i="10"/>
  <c r="AW1824" i="10"/>
  <c r="AT1800" i="10"/>
  <c r="AR1800" i="10"/>
  <c r="AL1800" i="10"/>
  <c r="AJ1800" i="10"/>
  <c r="AK1742" i="10"/>
  <c r="AL1742" i="10"/>
  <c r="AM1742" i="10"/>
  <c r="AN1742" i="10"/>
  <c r="AT1742" i="10"/>
  <c r="AV1742" i="10"/>
  <c r="AQ1742" i="10"/>
  <c r="AW1742" i="10"/>
  <c r="AR1742" i="10"/>
  <c r="AU1742" i="10"/>
  <c r="AO1742" i="10"/>
  <c r="AX1742" i="10"/>
  <c r="AP1742" i="10"/>
  <c r="AL1672" i="10"/>
  <c r="AP1672" i="10"/>
  <c r="AN1672" i="10"/>
  <c r="AU1672" i="10"/>
  <c r="AJ1672" i="10"/>
  <c r="AX1672" i="10"/>
  <c r="AO1632" i="10"/>
  <c r="AN1632" i="10"/>
  <c r="AM1632" i="10"/>
  <c r="AK1632" i="10"/>
  <c r="AL1632" i="10"/>
  <c r="AU1632" i="10"/>
  <c r="AS1632" i="10"/>
  <c r="AS1505" i="10"/>
  <c r="AK1505" i="10"/>
  <c r="AO1505" i="10"/>
  <c r="AR1505" i="10"/>
  <c r="AM1505" i="10"/>
  <c r="AX1484" i="10"/>
  <c r="AQ1484" i="10"/>
  <c r="AW1484" i="10"/>
  <c r="AT1484" i="10"/>
  <c r="AS1240" i="10"/>
  <c r="AV1240" i="10"/>
  <c r="AO1240" i="10"/>
  <c r="AU1240" i="10"/>
  <c r="AW1240" i="10"/>
  <c r="AJ1179" i="10"/>
  <c r="AK1179" i="10"/>
  <c r="AV1179" i="10"/>
  <c r="AX1179" i="10"/>
  <c r="AW1179" i="10"/>
  <c r="AM1179" i="10"/>
  <c r="AO1179" i="10"/>
  <c r="AR1179" i="10"/>
  <c r="AP1179" i="10"/>
  <c r="AQ1179" i="10"/>
  <c r="AS1179" i="10"/>
  <c r="AL1179" i="10"/>
  <c r="AT1179" i="10"/>
  <c r="AW1051" i="10"/>
  <c r="AP1051" i="10"/>
  <c r="AR1051" i="10"/>
  <c r="AU1051" i="10"/>
  <c r="AL1051" i="10"/>
  <c r="AT1051" i="10"/>
  <c r="AN1051" i="10"/>
  <c r="AV1051" i="10"/>
  <c r="AM1051" i="10"/>
  <c r="AQ1051" i="10"/>
  <c r="AO1051" i="10"/>
  <c r="AW937" i="10"/>
  <c r="AK937" i="10"/>
  <c r="AJ937" i="10"/>
  <c r="AM798" i="10"/>
  <c r="AS798" i="10"/>
  <c r="AM1881" i="10"/>
  <c r="AJ1881" i="10"/>
  <c r="AW2233" i="10"/>
  <c r="W128" i="45"/>
  <c r="AW1662" i="10"/>
  <c r="AT1820" i="10"/>
  <c r="AJ2022" i="10"/>
  <c r="AL1579" i="10"/>
  <c r="AR1966" i="10"/>
  <c r="AQ1876" i="10"/>
  <c r="AV1876" i="10"/>
  <c r="AX1261" i="10"/>
  <c r="AO1960" i="10"/>
  <c r="AM1662" i="10"/>
  <c r="AX837" i="10"/>
  <c r="AJ1918" i="10"/>
  <c r="AJ2090" i="10"/>
  <c r="AL2206" i="10"/>
  <c r="AN1887" i="10"/>
  <c r="AJ1277" i="10"/>
  <c r="AP1337" i="10"/>
  <c r="AJ1971" i="10"/>
  <c r="AL1871" i="10"/>
  <c r="AK2145" i="10"/>
  <c r="AW828" i="10"/>
  <c r="AU2117" i="10"/>
  <c r="AW989" i="10"/>
  <c r="AR995" i="10"/>
  <c r="AT1107" i="10"/>
  <c r="AV2228" i="10"/>
  <c r="AM1310" i="10"/>
  <c r="AN1464" i="10"/>
  <c r="AV1795" i="10"/>
  <c r="AU1469" i="10"/>
  <c r="AO2228" i="10"/>
  <c r="AR1677" i="10"/>
  <c r="AJ1469" i="10"/>
  <c r="AL2223" i="10"/>
  <c r="AU2022" i="10"/>
  <c r="AK1834" i="10"/>
  <c r="AJ1943" i="10"/>
  <c r="AU1179" i="10"/>
  <c r="AR1934" i="10"/>
  <c r="AW2011" i="10"/>
  <c r="AL1976" i="10"/>
  <c r="AJ2011" i="10"/>
  <c r="P33" i="45"/>
  <c r="AK2686" i="10"/>
  <c r="AJ2534" i="10"/>
  <c r="AJ2191" i="10"/>
  <c r="AK1924" i="10"/>
  <c r="AK2069" i="10"/>
  <c r="L88" i="45"/>
  <c r="N16" i="43" s="1"/>
  <c r="AF114" i="45"/>
  <c r="AV1762" i="10"/>
  <c r="AQ1563" i="10"/>
  <c r="AK1766" i="10"/>
  <c r="AM1898" i="10"/>
  <c r="AR1384" i="10"/>
  <c r="AV2317" i="10"/>
  <c r="AO1584" i="10"/>
  <c r="AU2269" i="10"/>
  <c r="AO2559" i="10"/>
  <c r="AO2217" i="10"/>
  <c r="AP2107" i="10"/>
  <c r="AV1860" i="10"/>
  <c r="AT2264" i="10"/>
  <c r="AV2363" i="10"/>
  <c r="AR1332" i="10"/>
  <c r="AQ1652" i="10"/>
  <c r="AQ2544" i="10"/>
  <c r="AN1613" i="10"/>
  <c r="AR1762" i="10"/>
  <c r="AU1766" i="10"/>
  <c r="AT1613" i="10"/>
  <c r="AO1384" i="10"/>
  <c r="AW2086" i="10"/>
  <c r="AV1384" i="10"/>
  <c r="AQ2317" i="10"/>
  <c r="AV2217" i="10"/>
  <c r="AQ1584" i="10"/>
  <c r="AQ1623" i="10"/>
  <c r="AM2107" i="10"/>
  <c r="AM2191" i="10"/>
  <c r="AL1860" i="10"/>
  <c r="AO1949" i="10"/>
  <c r="AM2264" i="10"/>
  <c r="C33" i="45"/>
  <c r="F4" i="53" s="1"/>
  <c r="N7" i="45"/>
  <c r="AT2483" i="10"/>
  <c r="AL1961" i="10"/>
  <c r="AQ2611" i="10"/>
  <c r="AP1781" i="10"/>
  <c r="AO1553" i="10"/>
  <c r="AP1553" i="10"/>
  <c r="AJ1652" i="10"/>
  <c r="AR1537" i="10"/>
  <c r="AL1989" i="10"/>
  <c r="AO1613" i="10"/>
  <c r="AN2697" i="10"/>
  <c r="AN2702" i="10"/>
  <c r="AO1623" i="10"/>
  <c r="AP2012" i="10"/>
  <c r="AW1977" i="10"/>
  <c r="AM2059" i="10"/>
  <c r="AD80" i="45"/>
  <c r="AG15" i="43" s="1"/>
  <c r="Y60" i="45"/>
  <c r="E25" i="45"/>
  <c r="AM2534" i="10"/>
  <c r="AT2702" i="10"/>
  <c r="AV2611" i="10"/>
  <c r="AJ2611" i="10"/>
  <c r="AK1618" i="10"/>
  <c r="AQ1553" i="10"/>
  <c r="AU1989" i="10"/>
  <c r="AJ1537" i="10"/>
  <c r="AT1989" i="10"/>
  <c r="AP2702" i="10"/>
  <c r="AM2158" i="10"/>
  <c r="AR2012" i="10"/>
  <c r="AL2059" i="10"/>
  <c r="AW2181" i="10"/>
  <c r="L236" i="45"/>
  <c r="AU2708" i="10"/>
  <c r="AQ2708" i="10"/>
  <c r="AS2708" i="10"/>
  <c r="AX2686" i="10"/>
  <c r="AO2686" i="10"/>
  <c r="AN2686" i="10"/>
  <c r="AJ2686" i="10"/>
  <c r="AT2686" i="10"/>
  <c r="AR2686" i="10"/>
  <c r="AW2676" i="10"/>
  <c r="AT2676" i="10"/>
  <c r="AK2676" i="10"/>
  <c r="AU2676" i="10"/>
  <c r="AV2676" i="10"/>
  <c r="AO2676" i="10"/>
  <c r="AS2676" i="10"/>
  <c r="AW2649" i="10"/>
  <c r="AQ2649" i="10"/>
  <c r="AU2649" i="10"/>
  <c r="AK2649" i="10"/>
  <c r="AT2649" i="10"/>
  <c r="AL2649" i="10"/>
  <c r="AS2649" i="10"/>
  <c r="AX2649" i="10"/>
  <c r="AO2649" i="10"/>
  <c r="AV2629" i="10"/>
  <c r="AN2629" i="10"/>
  <c r="AT2624" i="10"/>
  <c r="AS2624" i="10"/>
  <c r="AL2624" i="10"/>
  <c r="AM2624" i="10"/>
  <c r="AO2624" i="10"/>
  <c r="AR2624" i="10"/>
  <c r="AN2624" i="10"/>
  <c r="AP2624" i="10"/>
  <c r="AJ2624" i="10"/>
  <c r="AQ2624" i="10"/>
  <c r="AK2624" i="10"/>
  <c r="AS2611" i="10"/>
  <c r="AO2611" i="10"/>
  <c r="AR2611" i="10"/>
  <c r="AM2611" i="10"/>
  <c r="AU2611" i="10"/>
  <c r="AP2590" i="10"/>
  <c r="AU2590" i="10"/>
  <c r="AQ2590" i="10"/>
  <c r="AO2590" i="10"/>
  <c r="AT2590" i="10"/>
  <c r="AW2590" i="10"/>
  <c r="AR2590" i="10"/>
  <c r="AK2590" i="10"/>
  <c r="AX2590" i="10"/>
  <c r="AL2590" i="10"/>
  <c r="AM2554" i="10"/>
  <c r="AO2554" i="10"/>
  <c r="AL2554" i="10"/>
  <c r="AT2554" i="10"/>
  <c r="AQ2554" i="10"/>
  <c r="AN2554" i="10"/>
  <c r="AU2554" i="10"/>
  <c r="AK2554" i="10"/>
  <c r="AS2554" i="10"/>
  <c r="AW2554" i="10"/>
  <c r="AV2554" i="10"/>
  <c r="AR2554" i="10"/>
  <c r="AX2554" i="10"/>
  <c r="AN2529" i="10"/>
  <c r="AR2529" i="10"/>
  <c r="AV2529" i="10"/>
  <c r="AP2529" i="10"/>
  <c r="AT2529" i="10"/>
  <c r="AQ2519" i="10"/>
  <c r="AM2519" i="10"/>
  <c r="AT2519" i="10"/>
  <c r="AR2519" i="10"/>
  <c r="AK2519" i="10"/>
  <c r="AL2519" i="10"/>
  <c r="AV2519" i="10"/>
  <c r="AN2519" i="10"/>
  <c r="AX2519" i="10"/>
  <c r="AU2519" i="10"/>
  <c r="AO2519" i="10"/>
  <c r="AW2519" i="10"/>
  <c r="AP2519" i="10"/>
  <c r="AT2508" i="10"/>
  <c r="AL2508" i="10"/>
  <c r="AQ2508" i="10"/>
  <c r="AP2508" i="10"/>
  <c r="AR2508" i="10"/>
  <c r="AS2508" i="10"/>
  <c r="AX2508" i="10"/>
  <c r="AK2508" i="10"/>
  <c r="AJ2508" i="10"/>
  <c r="AU2508" i="10"/>
  <c r="AV2508" i="10"/>
  <c r="AM2508" i="10"/>
  <c r="AO2483" i="10"/>
  <c r="AN2483" i="10"/>
  <c r="AW2483" i="10"/>
  <c r="AS2483" i="10"/>
  <c r="AM2483" i="10"/>
  <c r="AV2483" i="10"/>
  <c r="AT2466" i="10"/>
  <c r="AS2466" i="10"/>
  <c r="AR2466" i="10"/>
  <c r="AN2466" i="10"/>
  <c r="AO2466" i="10"/>
  <c r="AU2466" i="10"/>
  <c r="AP2466" i="10"/>
  <c r="AL2466" i="10"/>
  <c r="AV2466" i="10"/>
  <c r="AM2466" i="10"/>
  <c r="AX2466" i="10"/>
  <c r="AW2466" i="10"/>
  <c r="AQ2466" i="10"/>
  <c r="AT2435" i="10"/>
  <c r="AV2435" i="10"/>
  <c r="AS2435" i="10"/>
  <c r="AW2435" i="10"/>
  <c r="AL2435" i="10"/>
  <c r="AX2435" i="10"/>
  <c r="AR2435" i="10"/>
  <c r="AJ2435" i="10"/>
  <c r="AP2435" i="10"/>
  <c r="AM2435" i="10"/>
  <c r="AU2435" i="10"/>
  <c r="AO2435" i="10"/>
  <c r="AW2395" i="10"/>
  <c r="AP2395" i="10"/>
  <c r="AU2395" i="10"/>
  <c r="AT2395" i="10"/>
  <c r="AS2395" i="10"/>
  <c r="AK2395" i="10"/>
  <c r="AX2395" i="10"/>
  <c r="AO2363" i="10"/>
  <c r="AQ2363" i="10"/>
  <c r="AS2363" i="10"/>
  <c r="AW2363" i="10"/>
  <c r="AK2363" i="10"/>
  <c r="AT2363" i="10"/>
  <c r="AR2363" i="10"/>
  <c r="AU2363" i="10"/>
  <c r="AN2363" i="10"/>
  <c r="AP2363" i="10"/>
  <c r="AM2363" i="10"/>
  <c r="AL2322" i="10"/>
  <c r="AP2322" i="10"/>
  <c r="AR2322" i="10"/>
  <c r="AU2322" i="10"/>
  <c r="AO2322" i="10"/>
  <c r="AX2322" i="10"/>
  <c r="AQ2322" i="10"/>
  <c r="AK2322" i="10"/>
  <c r="AN2322" i="10"/>
  <c r="AJ2322" i="10"/>
  <c r="AW2322" i="10"/>
  <c r="AV2274" i="10"/>
  <c r="AO2274" i="10"/>
  <c r="AW2274" i="10"/>
  <c r="W25" i="45"/>
  <c r="W34" i="45"/>
  <c r="AT2274" i="10"/>
  <c r="AU2274" i="10"/>
  <c r="U16" i="45"/>
  <c r="W8" i="43" s="1"/>
  <c r="AR2274" i="10"/>
  <c r="AS2274" i="10"/>
  <c r="AX2274" i="10"/>
  <c r="AM2274" i="10"/>
  <c r="AQ2274" i="10"/>
  <c r="AX2264" i="10"/>
  <c r="AJ2264" i="10"/>
  <c r="AS2264" i="10"/>
  <c r="AL2264" i="10"/>
  <c r="AW2264" i="10"/>
  <c r="AN2264" i="10"/>
  <c r="AR2264" i="10"/>
  <c r="P43" i="45"/>
  <c r="N34" i="45"/>
  <c r="E43" i="45"/>
  <c r="AV2264" i="10"/>
  <c r="AU2264" i="10"/>
  <c r="N52" i="45"/>
  <c r="AQ2264" i="10"/>
  <c r="P7" i="45"/>
  <c r="C25" i="45"/>
  <c r="D9" i="43" s="1"/>
  <c r="AK2264" i="10"/>
  <c r="AP2264" i="10"/>
  <c r="AS2239" i="10"/>
  <c r="AM2239" i="10"/>
  <c r="AO2239" i="10"/>
  <c r="AK2239" i="10"/>
  <c r="AU2239" i="10"/>
  <c r="AQ2239" i="10"/>
  <c r="AR2239" i="10"/>
  <c r="AL2239" i="10"/>
  <c r="AP2239" i="10"/>
  <c r="Y51" i="45"/>
  <c r="E24" i="45"/>
  <c r="U24" i="45"/>
  <c r="E33" i="45"/>
  <c r="G6" i="45"/>
  <c r="AT2239" i="10"/>
  <c r="Y33" i="45"/>
  <c r="W15" i="45"/>
  <c r="N33" i="45"/>
  <c r="G51" i="45"/>
  <c r="AJ2239" i="10"/>
  <c r="C51" i="45"/>
  <c r="C12" i="43" s="1"/>
  <c r="AN2217" i="10"/>
  <c r="AS2217" i="10"/>
  <c r="AJ2217" i="10"/>
  <c r="AP2217" i="10"/>
  <c r="AQ2217" i="10"/>
  <c r="AU2217" i="10"/>
  <c r="AR2217" i="10"/>
  <c r="AK2217" i="10"/>
  <c r="AT2217" i="10"/>
  <c r="AW2217" i="10"/>
  <c r="AL2217" i="10"/>
  <c r="AX2217" i="10"/>
  <c r="AV2158" i="10"/>
  <c r="AL2158" i="10"/>
  <c r="AK2158" i="10"/>
  <c r="AQ2158" i="10"/>
  <c r="AJ2158" i="10"/>
  <c r="AW2158" i="10"/>
  <c r="AO2158" i="10"/>
  <c r="AP2158" i="10"/>
  <c r="AT2158" i="10"/>
  <c r="AX2158" i="10"/>
  <c r="AU2158" i="10"/>
  <c r="AN2158" i="10"/>
  <c r="AS2140" i="10"/>
  <c r="AU2140" i="10"/>
  <c r="AO2140" i="10"/>
  <c r="AT2140" i="10"/>
  <c r="AW2140" i="10"/>
  <c r="AM2140" i="10"/>
  <c r="AK2140" i="10"/>
  <c r="AV2140" i="10"/>
  <c r="AJ2140" i="10"/>
  <c r="AQ2140" i="10"/>
  <c r="AW2124" i="10"/>
  <c r="AV2124" i="10"/>
  <c r="AL2124" i="10"/>
  <c r="AP2124" i="10"/>
  <c r="AS2124" i="10"/>
  <c r="AX2124" i="10"/>
  <c r="AO2124" i="10"/>
  <c r="AU2124" i="10"/>
  <c r="AK2124" i="10"/>
  <c r="AM2086" i="10"/>
  <c r="AN2086" i="10"/>
  <c r="AP2086" i="10"/>
  <c r="AV2086" i="10"/>
  <c r="AS2086" i="10"/>
  <c r="AX2086" i="10"/>
  <c r="AL2086" i="10"/>
  <c r="AJ2086" i="10"/>
  <c r="AK2086" i="10"/>
  <c r="AQ2086" i="10"/>
  <c r="AT2086" i="10"/>
  <c r="AO2086" i="10"/>
  <c r="AU2086" i="10"/>
  <c r="AS2064" i="10"/>
  <c r="AT2064" i="10"/>
  <c r="AX2064" i="10"/>
  <c r="AW2064" i="10"/>
  <c r="AU2064" i="10"/>
  <c r="AQ2064" i="10"/>
  <c r="AK2064" i="10"/>
  <c r="AL2064" i="10"/>
  <c r="AL2051" i="10"/>
  <c r="AX2051" i="10"/>
  <c r="AM2051" i="10"/>
  <c r="AT2051" i="10"/>
  <c r="AS2004" i="10"/>
  <c r="AW2004" i="10"/>
  <c r="AK2004" i="10"/>
  <c r="AL2004" i="10"/>
  <c r="AR1994" i="10"/>
  <c r="AP1994" i="10"/>
  <c r="AV1994" i="10"/>
  <c r="AK1994" i="10"/>
  <c r="AQ1994" i="10"/>
  <c r="AW1994" i="10"/>
  <c r="AM1994" i="10"/>
  <c r="AS1994" i="10"/>
  <c r="AJ1994" i="10"/>
  <c r="AX1994" i="10"/>
  <c r="AO1994" i="10"/>
  <c r="AU1994" i="10"/>
  <c r="AL1983" i="10"/>
  <c r="AV1983" i="10"/>
  <c r="AR1983" i="10"/>
  <c r="AO1983" i="10"/>
  <c r="AX1983" i="10"/>
  <c r="AM1983" i="10"/>
  <c r="AP1983" i="10"/>
  <c r="AJ1983" i="10"/>
  <c r="AQ1983" i="10"/>
  <c r="P69" i="45"/>
  <c r="AS1983" i="10"/>
  <c r="L60" i="45"/>
  <c r="M13" i="43" s="1"/>
  <c r="AN1983" i="10"/>
  <c r="AK1983" i="10"/>
  <c r="AW1983" i="10"/>
  <c r="AL1954" i="10"/>
  <c r="AJ1954" i="10"/>
  <c r="AT1954" i="10"/>
  <c r="AP1954" i="10"/>
  <c r="AO1954" i="10"/>
  <c r="AS1954" i="10"/>
  <c r="AK1954" i="10"/>
  <c r="AM1954" i="10"/>
  <c r="AN1954" i="10"/>
  <c r="AX1954" i="10"/>
  <c r="AW1954" i="10"/>
  <c r="AV1954" i="10"/>
  <c r="AO1944" i="10"/>
  <c r="AP1944" i="10"/>
  <c r="AS1944" i="10"/>
  <c r="AK1944" i="10"/>
  <c r="AN1944" i="10"/>
  <c r="AT1924" i="10"/>
  <c r="AN1924" i="10"/>
  <c r="AL1924" i="10"/>
  <c r="AM1924" i="10"/>
  <c r="AQ1924" i="10"/>
  <c r="AW1924" i="10"/>
  <c r="AU1924" i="10"/>
  <c r="AR1924" i="10"/>
  <c r="AX1924" i="10"/>
  <c r="AO1924" i="10"/>
  <c r="AV1924" i="10"/>
  <c r="AO1898" i="10"/>
  <c r="AR1898" i="10"/>
  <c r="AQ1898" i="10"/>
  <c r="AV1898" i="10"/>
  <c r="AX1898" i="10"/>
  <c r="AP1898" i="10"/>
  <c r="C70" i="45"/>
  <c r="D14" i="43" s="1"/>
  <c r="AL1898" i="10"/>
  <c r="U61" i="45"/>
  <c r="W13" i="43" s="1"/>
  <c r="AS1898" i="10"/>
  <c r="AJ1898" i="10"/>
  <c r="AQ1860" i="10"/>
  <c r="AN1860" i="10"/>
  <c r="AR1860" i="10"/>
  <c r="AT1860" i="10"/>
  <c r="AW1860" i="10"/>
  <c r="AS1860" i="10"/>
  <c r="AK1860" i="10"/>
  <c r="AO1860" i="10"/>
  <c r="U69" i="45"/>
  <c r="V14" i="43" s="1"/>
  <c r="AU1860" i="10"/>
  <c r="AJ1860" i="10"/>
  <c r="AX1829" i="10"/>
  <c r="AL1829" i="10"/>
  <c r="AR1829" i="10"/>
  <c r="AS1829" i="10"/>
  <c r="AT1829" i="10"/>
  <c r="AJ1829" i="10"/>
  <c r="AK1829" i="10"/>
  <c r="AU1829" i="10"/>
  <c r="AP1829" i="10"/>
  <c r="AQ1829" i="10"/>
  <c r="AO1829" i="10"/>
  <c r="AW1829" i="10"/>
  <c r="AW1791" i="10"/>
  <c r="AM1791" i="10"/>
  <c r="AS1791" i="10"/>
  <c r="AJ1791" i="10"/>
  <c r="AK1791" i="10"/>
  <c r="AV1791" i="10"/>
  <c r="AX1791" i="10"/>
  <c r="AR1791" i="10"/>
  <c r="N80" i="45"/>
  <c r="AF80" i="45"/>
  <c r="U80" i="45"/>
  <c r="X15" i="43" s="1"/>
  <c r="L80" i="45"/>
  <c r="O15" i="43" s="1"/>
  <c r="AV1781" i="10"/>
  <c r="AL1781" i="10"/>
  <c r="AX1781" i="10"/>
  <c r="AW1781" i="10"/>
  <c r="AK1781" i="10"/>
  <c r="AO1781" i="10"/>
  <c r="AM1781" i="10"/>
  <c r="AT1762" i="10"/>
  <c r="AQ1762" i="10"/>
  <c r="AW1762" i="10"/>
  <c r="U79" i="45"/>
  <c r="W15" i="43" s="1"/>
  <c r="AN1762" i="10"/>
  <c r="AO1762" i="10"/>
  <c r="AP1762" i="10"/>
  <c r="AU1762" i="10"/>
  <c r="AL1762" i="10"/>
  <c r="AV1757" i="10"/>
  <c r="AP1757" i="10"/>
  <c r="AR1757" i="10"/>
  <c r="AT1757" i="10"/>
  <c r="AS1757" i="10"/>
  <c r="AM1757" i="10"/>
  <c r="AN1757" i="10"/>
  <c r="AW1757" i="10"/>
  <c r="AK1757" i="10"/>
  <c r="AF78" i="45"/>
  <c r="AX1757" i="10"/>
  <c r="AJ1757" i="10"/>
  <c r="AW1733" i="10"/>
  <c r="AO1733" i="10"/>
  <c r="AM1733" i="10"/>
  <c r="AN1733" i="10"/>
  <c r="AS1733" i="10"/>
  <c r="AR1733" i="10"/>
  <c r="AP1733" i="10"/>
  <c r="AU1733" i="10"/>
  <c r="AL1733" i="10"/>
  <c r="AT1733" i="10"/>
  <c r="AX1733" i="10"/>
  <c r="AN1709" i="10"/>
  <c r="AR1709" i="10"/>
  <c r="AU1709" i="10"/>
  <c r="AT1709" i="10"/>
  <c r="AK1709" i="10"/>
  <c r="AP1709" i="10"/>
  <c r="AQ1698" i="10"/>
  <c r="AT1698" i="10"/>
  <c r="AN1698" i="10"/>
  <c r="AL1698" i="10"/>
  <c r="AS1698" i="10"/>
  <c r="AV1698" i="10"/>
  <c r="AM1698" i="10"/>
  <c r="AS1657" i="10"/>
  <c r="AV1657" i="10"/>
  <c r="AR1657" i="10"/>
  <c r="AM1657" i="10"/>
  <c r="AU1657" i="10"/>
  <c r="AJ1657" i="10"/>
  <c r="AQ1657" i="10"/>
  <c r="AX1623" i="10"/>
  <c r="AS1623" i="10"/>
  <c r="AP1623" i="10"/>
  <c r="AW1623" i="10"/>
  <c r="AV1623" i="10"/>
  <c r="AT1623" i="10"/>
  <c r="AJ1623" i="10"/>
  <c r="AR1623" i="10"/>
  <c r="AL1613" i="10"/>
  <c r="AP1613" i="10"/>
  <c r="AV1613" i="10"/>
  <c r="AJ1613" i="10"/>
  <c r="AX1613" i="10"/>
  <c r="AW1613" i="10"/>
  <c r="AM1613" i="10"/>
  <c r="AQ1603" i="10"/>
  <c r="AJ1603" i="10"/>
  <c r="AL1603" i="10"/>
  <c r="AS1603" i="10"/>
  <c r="AK1603" i="10"/>
  <c r="AU1548" i="10"/>
  <c r="AV1548" i="10"/>
  <c r="AR1548" i="10"/>
  <c r="AS1548" i="10"/>
  <c r="AM1548" i="10"/>
  <c r="AK1537" i="10"/>
  <c r="AO1537" i="10"/>
  <c r="AT1537" i="10"/>
  <c r="AS1537" i="10"/>
  <c r="AP1537" i="10"/>
  <c r="AV1537" i="10"/>
  <c r="AU1537" i="10"/>
  <c r="AN1537" i="10"/>
  <c r="AW1537" i="10"/>
  <c r="AK1460" i="10"/>
  <c r="AP1460" i="10"/>
  <c r="AU1460" i="10"/>
  <c r="AL1460" i="10"/>
  <c r="AS1460" i="10"/>
  <c r="AO1460" i="10"/>
  <c r="AQ1460" i="10"/>
  <c r="AM1445" i="10"/>
  <c r="AN1445" i="10"/>
  <c r="AW1445" i="10"/>
  <c r="AX1437" i="10"/>
  <c r="AN1437" i="10"/>
  <c r="AR1437" i="10"/>
  <c r="AJ1437" i="10"/>
  <c r="AO1437" i="10"/>
  <c r="AL1437" i="10"/>
  <c r="AM1427" i="10"/>
  <c r="AT1427" i="10"/>
  <c r="AR1427" i="10"/>
  <c r="AO1415" i="10"/>
  <c r="AU1415" i="10"/>
  <c r="AP1415" i="10"/>
  <c r="AX1411" i="10"/>
  <c r="AU1411" i="10"/>
  <c r="AX1406" i="10"/>
  <c r="AS1406" i="10"/>
  <c r="AJ1406" i="10"/>
  <c r="AU1384" i="10"/>
  <c r="AQ1384" i="10"/>
  <c r="AK1384" i="10"/>
  <c r="AM1384" i="10"/>
  <c r="AW1378" i="10"/>
  <c r="AO1378" i="10"/>
  <c r="AQ1378" i="10"/>
  <c r="AS1378" i="10"/>
  <c r="N114" i="45"/>
  <c r="AX1378" i="10"/>
  <c r="AN1378" i="10"/>
  <c r="AT1378" i="10"/>
  <c r="AL1378" i="10"/>
  <c r="AR1378" i="10"/>
  <c r="AS1372" i="10"/>
  <c r="AP1372" i="10"/>
  <c r="AX1372" i="10"/>
  <c r="AJ1372" i="10"/>
  <c r="AS1366" i="10"/>
  <c r="AW1366" i="10"/>
  <c r="AN1366" i="10"/>
  <c r="AR1366" i="10"/>
  <c r="AX1366" i="10"/>
  <c r="AJ1366" i="10"/>
  <c r="AT1360" i="10"/>
  <c r="AU1360" i="10"/>
  <c r="AF97" i="45"/>
  <c r="AN1360" i="10"/>
  <c r="AJ1360" i="10"/>
  <c r="AH115" i="45"/>
  <c r="AS1360" i="10"/>
  <c r="AW1360" i="10"/>
  <c r="AD115" i="45"/>
  <c r="AF19" i="43" s="1"/>
  <c r="AD88" i="45"/>
  <c r="AF16" i="43" s="1"/>
  <c r="AS1354" i="10"/>
  <c r="AW1354" i="10"/>
  <c r="AM1343" i="10"/>
  <c r="AQ1343" i="10"/>
  <c r="AV1343" i="10"/>
  <c r="AO1332" i="10"/>
  <c r="AX1332" i="10"/>
  <c r="AT1332" i="10"/>
  <c r="AJ1332" i="10"/>
  <c r="AK1332" i="10"/>
  <c r="Y88" i="45"/>
  <c r="W115" i="45"/>
  <c r="AJ1289" i="10"/>
  <c r="AV1289" i="10"/>
  <c r="AS1289" i="10"/>
  <c r="AS1267" i="10"/>
  <c r="AK1267" i="10"/>
  <c r="N106" i="45"/>
  <c r="AQ1267" i="10"/>
  <c r="P106" i="45"/>
  <c r="C106" i="45"/>
  <c r="D18" i="43" s="1"/>
  <c r="G126" i="45"/>
  <c r="E128" i="45"/>
  <c r="AQ1415" i="10"/>
  <c r="P79" i="45"/>
  <c r="Y115" i="45"/>
  <c r="N128" i="45"/>
  <c r="AP2629" i="10"/>
  <c r="AV1306" i="10"/>
  <c r="AK1411" i="10"/>
  <c r="AR2306" i="10"/>
  <c r="AV2269" i="10"/>
  <c r="AR1698" i="10"/>
  <c r="AP2681" i="10"/>
  <c r="AQ2676" i="10"/>
  <c r="C24" i="45"/>
  <c r="C9" i="43" s="1"/>
  <c r="U87" i="45"/>
  <c r="V16" i="43" s="1"/>
  <c r="AL2534" i="10"/>
  <c r="U43" i="45"/>
  <c r="W11" i="43" s="1"/>
  <c r="W87" i="45"/>
  <c r="AU2686" i="10"/>
  <c r="N42" i="45"/>
  <c r="L7" i="45"/>
  <c r="N7" i="43" s="1"/>
  <c r="N43" i="45"/>
  <c r="AX2483" i="10"/>
  <c r="E6" i="45"/>
  <c r="E115" i="45"/>
  <c r="AS2519" i="10"/>
  <c r="AM2702" i="10"/>
  <c r="AP2611" i="10"/>
  <c r="AN2708" i="10"/>
  <c r="U25" i="45"/>
  <c r="W9" i="43" s="1"/>
  <c r="AN1791" i="10"/>
  <c r="AU1613" i="10"/>
  <c r="AM2124" i="10"/>
  <c r="AU1354" i="10"/>
  <c r="AO1343" i="10"/>
  <c r="AP2140" i="10"/>
  <c r="AV2590" i="10"/>
  <c r="AJ2554" i="10"/>
  <c r="AX1860" i="10"/>
  <c r="AM2595" i="10"/>
  <c r="AU1406" i="10"/>
  <c r="AS2158" i="10"/>
  <c r="AL2611" i="10"/>
  <c r="AR2004" i="10"/>
  <c r="AT1657" i="10"/>
  <c r="AM2714" i="10"/>
  <c r="AO2714" i="10"/>
  <c r="AK2714" i="10"/>
  <c r="AT2714" i="10"/>
  <c r="AP2714" i="10"/>
  <c r="AL2714" i="10"/>
  <c r="AV2714" i="10"/>
  <c r="AQ2714" i="10"/>
  <c r="AU2714" i="10"/>
  <c r="AQ2702" i="10"/>
  <c r="AV2702" i="10"/>
  <c r="AK2702" i="10"/>
  <c r="AS2702" i="10"/>
  <c r="AU2702" i="10"/>
  <c r="AX2702" i="10"/>
  <c r="AO2702" i="10"/>
  <c r="AL2681" i="10"/>
  <c r="AN2681" i="10"/>
  <c r="AU2654" i="10"/>
  <c r="AM2654" i="10"/>
  <c r="AV2654" i="10"/>
  <c r="AN2654" i="10"/>
  <c r="AL2654" i="10"/>
  <c r="AO2654" i="10"/>
  <c r="AU2595" i="10"/>
  <c r="AS2595" i="10"/>
  <c r="AJ2595" i="10"/>
  <c r="AX2595" i="10"/>
  <c r="AK2595" i="10"/>
  <c r="AW2595" i="10"/>
  <c r="AN2595" i="10"/>
  <c r="AR2595" i="10"/>
  <c r="AQ2595" i="10"/>
  <c r="AK2559" i="10"/>
  <c r="AT2559" i="10"/>
  <c r="AL2559" i="10"/>
  <c r="AQ2559" i="10"/>
  <c r="AV2559" i="10"/>
  <c r="AS2559" i="10"/>
  <c r="AU2559" i="10"/>
  <c r="AR2559" i="10"/>
  <c r="AM2559" i="10"/>
  <c r="AM2544" i="10"/>
  <c r="AT2544" i="10"/>
  <c r="AU2544" i="10"/>
  <c r="AW2544" i="10"/>
  <c r="AK2544" i="10"/>
  <c r="AS2544" i="10"/>
  <c r="AR2544" i="10"/>
  <c r="AV2544" i="10"/>
  <c r="AL2544" i="10"/>
  <c r="AP2544" i="10"/>
  <c r="AO2544" i="10"/>
  <c r="AX2544" i="10"/>
  <c r="AO2534" i="10"/>
  <c r="AV2534" i="10"/>
  <c r="AX2534" i="10"/>
  <c r="AR2534" i="10"/>
  <c r="AN2488" i="10"/>
  <c r="AT2488" i="10"/>
  <c r="AS2488" i="10"/>
  <c r="AQ2488" i="10"/>
  <c r="AX2488" i="10"/>
  <c r="AR2488" i="10"/>
  <c r="AK2488" i="10"/>
  <c r="AU2488" i="10"/>
  <c r="AO2488" i="10"/>
  <c r="AL2477" i="10"/>
  <c r="AQ2477" i="10"/>
  <c r="AM2477" i="10"/>
  <c r="AK2472" i="10"/>
  <c r="AN2472" i="10"/>
  <c r="AU2472" i="10"/>
  <c r="AW2472" i="10"/>
  <c r="AM2472" i="10"/>
  <c r="AR2472" i="10"/>
  <c r="AJ2472" i="10"/>
  <c r="AV2472" i="10"/>
  <c r="AQ2472" i="10"/>
  <c r="AP2472" i="10"/>
  <c r="AX2472" i="10"/>
  <c r="AO2472" i="10"/>
  <c r="AX2461" i="10"/>
  <c r="AP2461" i="10"/>
  <c r="AM2461" i="10"/>
  <c r="AK2461" i="10"/>
  <c r="AU2461" i="10"/>
  <c r="AJ2461" i="10"/>
  <c r="AT2461" i="10"/>
  <c r="AS2461" i="10"/>
  <c r="AQ2461" i="10"/>
  <c r="AO2461" i="10"/>
  <c r="AV2461" i="10"/>
  <c r="AN2461" i="10"/>
  <c r="AL2461" i="10"/>
  <c r="AO2410" i="10"/>
  <c r="AN2410" i="10"/>
  <c r="AS2317" i="10"/>
  <c r="AU2317" i="10"/>
  <c r="AJ2317" i="10"/>
  <c r="AK2317" i="10"/>
  <c r="AW2317" i="10"/>
  <c r="AM2317" i="10"/>
  <c r="AX2317" i="10"/>
  <c r="AN2317" i="10"/>
  <c r="AP2317" i="10"/>
  <c r="AT2317" i="10"/>
  <c r="AX2269" i="10"/>
  <c r="AN2269" i="10"/>
  <c r="AW2269" i="10"/>
  <c r="AQ2269" i="10"/>
  <c r="AR2269" i="10"/>
  <c r="AT2269" i="10"/>
  <c r="AW2250" i="10"/>
  <c r="AT2250" i="10"/>
  <c r="AS2250" i="10"/>
  <c r="AP2250" i="10"/>
  <c r="AK2250" i="10"/>
  <c r="AO2250" i="10"/>
  <c r="AX2250" i="10"/>
  <c r="AU2250" i="10"/>
  <c r="AU2212" i="10"/>
  <c r="AO2212" i="10"/>
  <c r="AR2212" i="10"/>
  <c r="AL2212" i="10"/>
  <c r="AK2212" i="10"/>
  <c r="AQ2212" i="10"/>
  <c r="AX2212" i="10"/>
  <c r="AT2212" i="10"/>
  <c r="AN2212" i="10"/>
  <c r="AV2212" i="10"/>
  <c r="AM2212" i="10"/>
  <c r="AS2212" i="10"/>
  <c r="AU2191" i="10"/>
  <c r="AQ2191" i="10"/>
  <c r="AK2191" i="10"/>
  <c r="AW2191" i="10"/>
  <c r="AS2191" i="10"/>
  <c r="AN2191" i="10"/>
  <c r="AO2191" i="10"/>
  <c r="AL2191" i="10"/>
  <c r="AX2191" i="10"/>
  <c r="AN2181" i="10"/>
  <c r="AM2181" i="10"/>
  <c r="AJ2181" i="10"/>
  <c r="AK2181" i="10"/>
  <c r="AT2181" i="10"/>
  <c r="AL2181" i="10"/>
  <c r="AV2181" i="10"/>
  <c r="AU2181" i="10"/>
  <c r="AX2181" i="10"/>
  <c r="AP2181" i="10"/>
  <c r="AO2181" i="10"/>
  <c r="AO2163" i="10"/>
  <c r="AT2163" i="10"/>
  <c r="AR2163" i="10"/>
  <c r="AQ2163" i="10"/>
  <c r="AU2163" i="10"/>
  <c r="AN2163" i="10"/>
  <c r="AW2163" i="10"/>
  <c r="AS2163" i="10"/>
  <c r="AL2163" i="10"/>
  <c r="AM2163" i="10"/>
  <c r="AW2135" i="10"/>
  <c r="AX2135" i="10"/>
  <c r="AM2135" i="10"/>
  <c r="AP2135" i="10"/>
  <c r="AR2135" i="10"/>
  <c r="AO2135" i="10"/>
  <c r="AT2135" i="10"/>
  <c r="AN2135" i="10"/>
  <c r="AL2135" i="10"/>
  <c r="AK2135" i="10"/>
  <c r="AS2135" i="10"/>
  <c r="AJ2135" i="10"/>
  <c r="AU2135" i="10"/>
  <c r="AK2107" i="10"/>
  <c r="AO2107" i="10"/>
  <c r="AW2107" i="10"/>
  <c r="AN2107" i="10"/>
  <c r="AQ2107" i="10"/>
  <c r="AJ2107" i="10"/>
  <c r="AX2107" i="10"/>
  <c r="AS2107" i="10"/>
  <c r="AV2107" i="10"/>
  <c r="AU2107" i="10"/>
  <c r="AR2069" i="10"/>
  <c r="AT2069" i="10"/>
  <c r="AP2069" i="10"/>
  <c r="AM2069" i="10"/>
  <c r="AO2069" i="10"/>
  <c r="AJ2059" i="10"/>
  <c r="AP2059" i="10"/>
  <c r="AK2059" i="10"/>
  <c r="AR2059" i="10"/>
  <c r="AS2059" i="10"/>
  <c r="AO2059" i="10"/>
  <c r="AT2059" i="10"/>
  <c r="AV2059" i="10"/>
  <c r="AW2059" i="10"/>
  <c r="AX2059" i="10"/>
  <c r="AL2046" i="10"/>
  <c r="AO2046" i="10"/>
  <c r="AS2046" i="10"/>
  <c r="AT2046" i="10"/>
  <c r="AW2046" i="10"/>
  <c r="AX2046" i="10"/>
  <c r="AP2046" i="10"/>
  <c r="AK2046" i="10"/>
  <c r="AR2046" i="10"/>
  <c r="AP2033" i="10"/>
  <c r="AM2033" i="10"/>
  <c r="AK2033" i="10"/>
  <c r="AS2033" i="10"/>
  <c r="AL2033" i="10"/>
  <c r="AN2033" i="10"/>
  <c r="AJ2033" i="10"/>
  <c r="AU2033" i="10"/>
  <c r="AX2033" i="10"/>
  <c r="AQ2033" i="10"/>
  <c r="AV2033" i="10"/>
  <c r="AO2033" i="10"/>
  <c r="AT2033" i="10"/>
  <c r="AW2033" i="10"/>
  <c r="AU2012" i="10"/>
  <c r="AS2012" i="10"/>
  <c r="AK2012" i="10"/>
  <c r="AO2012" i="10"/>
  <c r="AJ2012" i="10"/>
  <c r="AQ2012" i="10"/>
  <c r="AM2012" i="10"/>
  <c r="AT2012" i="10"/>
  <c r="AL2012" i="10"/>
  <c r="AW2012" i="10"/>
  <c r="AO1989" i="10"/>
  <c r="AP1989" i="10"/>
  <c r="AK1989" i="10"/>
  <c r="AV1989" i="10"/>
  <c r="AQ1989" i="10"/>
  <c r="AX1989" i="10"/>
  <c r="AW1989" i="10"/>
  <c r="AJ1989" i="10"/>
  <c r="AX1977" i="10"/>
  <c r="AK1977" i="10"/>
  <c r="AP1977" i="10"/>
  <c r="AR1977" i="10"/>
  <c r="AL1977" i="10"/>
  <c r="AM1977" i="10"/>
  <c r="AS1977" i="10"/>
  <c r="AV1977" i="10"/>
  <c r="AU1977" i="10"/>
  <c r="AN1977" i="10"/>
  <c r="AQ1977" i="10"/>
  <c r="AL1949" i="10"/>
  <c r="AR1949" i="10"/>
  <c r="AP1949" i="10"/>
  <c r="AS1949" i="10"/>
  <c r="AJ1949" i="10"/>
  <c r="AT1949" i="10"/>
  <c r="AM1949" i="10"/>
  <c r="AN1949" i="10"/>
  <c r="AV1949" i="10"/>
  <c r="AW1949" i="10"/>
  <c r="AN1913" i="10"/>
  <c r="AU1913" i="10"/>
  <c r="AX1903" i="10"/>
  <c r="AQ1903" i="10"/>
  <c r="AJ1903" i="10"/>
  <c r="AM1903" i="10"/>
  <c r="AL1903" i="10"/>
  <c r="AP1903" i="10"/>
  <c r="AU1903" i="10"/>
  <c r="AS1903" i="10"/>
  <c r="P61" i="45"/>
  <c r="AO1903" i="10"/>
  <c r="AT1903" i="10"/>
  <c r="N61" i="45"/>
  <c r="AN1903" i="10"/>
  <c r="AW1855" i="10"/>
  <c r="AK1855" i="10"/>
  <c r="AO1855" i="10"/>
  <c r="AU1855" i="10"/>
  <c r="AR1855" i="10"/>
  <c r="AL1855" i="10"/>
  <c r="AS1811" i="10"/>
  <c r="AK1811" i="10"/>
  <c r="AO1811" i="10"/>
  <c r="AW1811" i="10"/>
  <c r="AX1811" i="10"/>
  <c r="AV1811" i="10"/>
  <c r="AT1811" i="10"/>
  <c r="AR1811" i="10"/>
  <c r="AN1811" i="10"/>
  <c r="AP1811" i="10"/>
  <c r="AD79" i="45"/>
  <c r="AF15" i="43" s="1"/>
  <c r="AM1811" i="10"/>
  <c r="AU1811" i="10"/>
  <c r="AT1806" i="10"/>
  <c r="AL1806" i="10"/>
  <c r="AW1806" i="10"/>
  <c r="AX1806" i="10"/>
  <c r="AQ1806" i="10"/>
  <c r="AP1806" i="10"/>
  <c r="AJ1806" i="10"/>
  <c r="AM1806" i="10"/>
  <c r="AU1806" i="10"/>
  <c r="AK1806" i="10"/>
  <c r="AO1806" i="10"/>
  <c r="AS1806" i="10"/>
  <c r="AV1806" i="10"/>
  <c r="AX1786" i="10"/>
  <c r="AW1786" i="10"/>
  <c r="AR1786" i="10"/>
  <c r="AT1786" i="10"/>
  <c r="AP1786" i="10"/>
  <c r="AM1786" i="10"/>
  <c r="AJ1786" i="10"/>
  <c r="AS1766" i="10"/>
  <c r="AN1766" i="10"/>
  <c r="AQ1766" i="10"/>
  <c r="AM1766" i="10"/>
  <c r="AW1766" i="10"/>
  <c r="AL1766" i="10"/>
  <c r="AJ1724" i="10"/>
  <c r="AV1724" i="10"/>
  <c r="AM1724" i="10"/>
  <c r="AO1724" i="10"/>
  <c r="AS1724" i="10"/>
  <c r="AL1724" i="10"/>
  <c r="AL1693" i="10"/>
  <c r="AM1693" i="10"/>
  <c r="AN1693" i="10"/>
  <c r="AL1652" i="10"/>
  <c r="AV1652" i="10"/>
  <c r="AR1652" i="10"/>
  <c r="AS1652" i="10"/>
  <c r="AN1652" i="10"/>
  <c r="AT1652" i="10"/>
  <c r="AO1628" i="10"/>
  <c r="AM1628" i="10"/>
  <c r="AV1628" i="10"/>
  <c r="AL1628" i="10"/>
  <c r="AT1628" i="10"/>
  <c r="AR1628" i="10"/>
  <c r="AN1628" i="10"/>
  <c r="AJ1628" i="10"/>
  <c r="AQ1628" i="10"/>
  <c r="AO1618" i="10"/>
  <c r="AN1618" i="10"/>
  <c r="AL1618" i="10"/>
  <c r="AX1618" i="10"/>
  <c r="AU1618" i="10"/>
  <c r="AP1618" i="10"/>
  <c r="AW1618" i="10"/>
  <c r="AS1618" i="10"/>
  <c r="E98" i="45"/>
  <c r="G116" i="45"/>
  <c r="AU1598" i="10"/>
  <c r="AS1598" i="10"/>
  <c r="AK1598" i="10"/>
  <c r="AP1598" i="10"/>
  <c r="AX1598" i="10"/>
  <c r="AW1598" i="10"/>
  <c r="AJ1598" i="10"/>
  <c r="AR1584" i="10"/>
  <c r="AT1584" i="10"/>
  <c r="AM1584" i="10"/>
  <c r="AS1584" i="10"/>
  <c r="AP1584" i="10"/>
  <c r="AV1584" i="10"/>
  <c r="AL1584" i="10"/>
  <c r="AN1574" i="10"/>
  <c r="AV1574" i="10"/>
  <c r="AT1574" i="10"/>
  <c r="AM1574" i="10"/>
  <c r="AS1574" i="10"/>
  <c r="AP1574" i="10"/>
  <c r="AW1574" i="10"/>
  <c r="AU1574" i="10"/>
  <c r="AQ1574" i="10"/>
  <c r="AO1574" i="10"/>
  <c r="AK1574" i="10"/>
  <c r="AR1574" i="10"/>
  <c r="AK1563" i="10"/>
  <c r="AP1563" i="10"/>
  <c r="AJ1563" i="10"/>
  <c r="AR1563" i="10"/>
  <c r="AO1563" i="10"/>
  <c r="AW1563" i="10"/>
  <c r="AS1563" i="10"/>
  <c r="AL1563" i="10"/>
  <c r="AN1553" i="10"/>
  <c r="AV1553" i="10"/>
  <c r="AU1553" i="10"/>
  <c r="AK1553" i="10"/>
  <c r="AM1553" i="10"/>
  <c r="AP1532" i="10"/>
  <c r="AT1532" i="10"/>
  <c r="AR1511" i="10"/>
  <c r="AJ1511" i="10"/>
  <c r="AV1490" i="10"/>
  <c r="AL1490" i="10"/>
  <c r="AJ1490" i="10"/>
  <c r="W126" i="45"/>
  <c r="AJ1411" i="10"/>
  <c r="AJ2629" i="10"/>
  <c r="AS2269" i="10"/>
  <c r="AJ1698" i="10"/>
  <c r="AL2629" i="10"/>
  <c r="AP1913" i="10"/>
  <c r="AR1903" i="10"/>
  <c r="AV2649" i="10"/>
  <c r="AJ1913" i="10"/>
  <c r="AR2654" i="10"/>
  <c r="AM2681" i="10"/>
  <c r="AS2654" i="10"/>
  <c r="N16" i="45"/>
  <c r="AN1306" i="10"/>
  <c r="AR1411" i="10"/>
  <c r="AW1267" i="10"/>
  <c r="AM1603" i="10"/>
  <c r="AU1698" i="10"/>
  <c r="AW2654" i="10"/>
  <c r="AM2676" i="10"/>
  <c r="AX2681" i="10"/>
  <c r="AK2654" i="10"/>
  <c r="AQ2681" i="10"/>
  <c r="G52" i="45"/>
  <c r="G33" i="45"/>
  <c r="G16" i="45"/>
  <c r="E87" i="45"/>
  <c r="W79" i="45"/>
  <c r="U97" i="45"/>
  <c r="W17" i="43" s="1"/>
  <c r="L69" i="45"/>
  <c r="AV2686" i="10"/>
  <c r="L25" i="45"/>
  <c r="N9" i="43" s="1"/>
  <c r="L61" i="45"/>
  <c r="N13" i="43" s="1"/>
  <c r="AR2483" i="10"/>
  <c r="AU2534" i="10"/>
  <c r="N15" i="45"/>
  <c r="C7" i="45"/>
  <c r="AJ2519" i="10"/>
  <c r="AX1574" i="10"/>
  <c r="AJ1733" i="10"/>
  <c r="AO2708" i="10"/>
  <c r="AR1553" i="10"/>
  <c r="AU1791" i="10"/>
  <c r="AN1989" i="10"/>
  <c r="AV1460" i="10"/>
  <c r="AR2124" i="10"/>
  <c r="AU1343" i="10"/>
  <c r="AS1628" i="10"/>
  <c r="AL2140" i="10"/>
  <c r="AP2274" i="10"/>
  <c r="AM2590" i="10"/>
  <c r="AN1806" i="10"/>
  <c r="AJ2363" i="10"/>
  <c r="AU1623" i="10"/>
  <c r="AM1860" i="10"/>
  <c r="AR2107" i="10"/>
  <c r="AM2269" i="10"/>
  <c r="AM1406" i="10"/>
  <c r="AV2135" i="10"/>
  <c r="AO2269" i="10"/>
  <c r="AP2163" i="10"/>
  <c r="AL2595" i="10"/>
  <c r="AM2488" i="10"/>
  <c r="AO1766" i="10"/>
  <c r="AT2472" i="10"/>
  <c r="AQ2181" i="10"/>
  <c r="AN2239" i="10"/>
  <c r="AM2046" i="10"/>
  <c r="AR1693" i="10"/>
  <c r="AO2004" i="10"/>
  <c r="C126" i="45"/>
  <c r="L126" i="45"/>
  <c r="Y127" i="45"/>
  <c r="AR2250" i="10"/>
  <c r="AM1415" i="10"/>
  <c r="L24" i="45"/>
  <c r="AS1415" i="10"/>
  <c r="AT1306" i="10"/>
  <c r="AQ1411" i="10"/>
  <c r="AM2697" i="10"/>
  <c r="AP2697" i="10"/>
  <c r="AJ2488" i="10"/>
  <c r="AX1603" i="10"/>
  <c r="AL2676" i="10"/>
  <c r="AX2654" i="10"/>
  <c r="AT2681" i="10"/>
  <c r="AP2534" i="10"/>
  <c r="Y43" i="45"/>
  <c r="N78" i="45"/>
  <c r="G96" i="45"/>
  <c r="AW2686" i="10"/>
  <c r="C114" i="45"/>
  <c r="C19" i="43" s="1"/>
  <c r="AQ2483" i="10"/>
  <c r="AN2534" i="10"/>
  <c r="E88" i="45"/>
  <c r="N79" i="45"/>
  <c r="AJ1574" i="10"/>
  <c r="AJ2708" i="10"/>
  <c r="L106" i="45"/>
  <c r="N18" i="43" s="1"/>
  <c r="AT1791" i="10"/>
  <c r="AT1460" i="10"/>
  <c r="AN1563" i="10"/>
  <c r="AR1343" i="10"/>
  <c r="AK1628" i="10"/>
  <c r="AU1628" i="10"/>
  <c r="AX2140" i="10"/>
  <c r="AL2274" i="10"/>
  <c r="AJ2590" i="10"/>
  <c r="AQ1811" i="10"/>
  <c r="AJ2064" i="10"/>
  <c r="AT2107" i="10"/>
  <c r="AP1855" i="10"/>
  <c r="AN1406" i="10"/>
  <c r="AQ2135" i="10"/>
  <c r="AW2212" i="10"/>
  <c r="AJ2269" i="10"/>
  <c r="AK2163" i="10"/>
  <c r="AL2488" i="10"/>
  <c r="AL1532" i="10"/>
  <c r="AX1766" i="10"/>
  <c r="AS2472" i="10"/>
  <c r="AS2181" i="10"/>
  <c r="AV2239" i="10"/>
  <c r="AT2697" i="10"/>
  <c r="AV2488" i="10"/>
  <c r="AQ2654" i="10"/>
  <c r="AS2629" i="10"/>
  <c r="AU2629" i="10"/>
  <c r="AR2676" i="10"/>
  <c r="AM2629" i="10"/>
  <c r="AT2654" i="10"/>
  <c r="AK2681" i="10"/>
  <c r="L96" i="45"/>
  <c r="M17" i="43" s="1"/>
  <c r="U106" i="45"/>
  <c r="W69" i="45"/>
  <c r="U114" i="45"/>
  <c r="O11" i="53" s="1"/>
  <c r="G88" i="45"/>
  <c r="E96" i="45"/>
  <c r="W106" i="45"/>
  <c r="N6" i="45"/>
  <c r="AS2686" i="10"/>
  <c r="C105" i="45"/>
  <c r="N4" i="53" s="1"/>
  <c r="G97" i="45"/>
  <c r="AT2534" i="10"/>
  <c r="Y79" i="45"/>
  <c r="AJ2051" i="10"/>
  <c r="AN2059" i="10"/>
  <c r="AR2191" i="10"/>
  <c r="AO2595" i="10"/>
  <c r="AL1791" i="10"/>
  <c r="AU1563" i="10"/>
  <c r="AU1898" i="10"/>
  <c r="AJ1460" i="10"/>
  <c r="AR1460" i="10"/>
  <c r="AP1343" i="10"/>
  <c r="AP1628" i="10"/>
  <c r="AN2274" i="10"/>
  <c r="AL1811" i="10"/>
  <c r="AO2064" i="10"/>
  <c r="AJ2466" i="10"/>
  <c r="AJ2477" i="10"/>
  <c r="AS1855" i="10"/>
  <c r="AJ2212" i="10"/>
  <c r="AK2269" i="10"/>
  <c r="AJ2163" i="10"/>
  <c r="AT2322" i="10"/>
  <c r="AP2488" i="10"/>
  <c r="AX2012" i="10"/>
  <c r="AL2250" i="10"/>
  <c r="AP1766" i="10"/>
  <c r="AW1903" i="10"/>
  <c r="AL2472" i="10"/>
  <c r="AU1983" i="10"/>
  <c r="AK1949" i="10"/>
  <c r="AD127" i="45"/>
  <c r="AN2124" i="10"/>
  <c r="U127" i="45"/>
  <c r="AJ2250" i="10"/>
  <c r="AW1306" i="10"/>
  <c r="AK1306" i="10"/>
  <c r="AR1415" i="10"/>
  <c r="AR2714" i="10"/>
  <c r="AS2697" i="10"/>
  <c r="P128" i="45"/>
  <c r="AJ1855" i="10"/>
  <c r="AK2697" i="10"/>
  <c r="AT1913" i="10"/>
  <c r="AP2676" i="10"/>
  <c r="AU2681" i="10"/>
  <c r="W61" i="45"/>
  <c r="L6" i="45"/>
  <c r="M7" i="43" s="1"/>
  <c r="BN2" i="45"/>
  <c r="Y61" i="45"/>
  <c r="U105" i="45"/>
  <c r="N11" i="53" s="1"/>
  <c r="E106" i="45"/>
  <c r="E105" i="45"/>
  <c r="E78" i="45"/>
  <c r="U88" i="45"/>
  <c r="W16" i="43" s="1"/>
  <c r="W105" i="45"/>
  <c r="AL2686" i="10"/>
  <c r="P52" i="45"/>
  <c r="P16" i="45"/>
  <c r="AK2534" i="10"/>
  <c r="U70" i="45"/>
  <c r="W14" i="43" s="1"/>
  <c r="AV2595" i="10"/>
  <c r="AP1924" i="10"/>
  <c r="AX1762" i="10"/>
  <c r="AQ1791" i="10"/>
  <c r="AT1563" i="10"/>
  <c r="AT1766" i="10"/>
  <c r="AT1898" i="10"/>
  <c r="AN1460" i="10"/>
  <c r="AQ1437" i="10"/>
  <c r="AJ1378" i="10"/>
  <c r="AK2274" i="10"/>
  <c r="AQ1709" i="10"/>
  <c r="AJ1811" i="10"/>
  <c r="AK2466" i="10"/>
  <c r="AN1994" i="10"/>
  <c r="AM2322" i="10"/>
  <c r="AR2461" i="10"/>
  <c r="AW2488" i="10"/>
  <c r="AN2250" i="10"/>
  <c r="AN2676" i="10"/>
  <c r="AP1724" i="10"/>
  <c r="AR1806" i="10"/>
  <c r="AX1949" i="10"/>
  <c r="W127" i="45"/>
  <c r="AN2559" i="10"/>
  <c r="G127" i="45"/>
  <c r="Y126" i="45"/>
  <c r="AJ2124" i="10"/>
  <c r="AX1415" i="10"/>
  <c r="AF126" i="45"/>
  <c r="AJ1306" i="10"/>
  <c r="AJ1415" i="10"/>
  <c r="AN2714" i="10"/>
  <c r="AJ1427" i="10"/>
  <c r="AM1855" i="10"/>
  <c r="AU2697" i="10"/>
  <c r="AP2654" i="10"/>
  <c r="AQ2629" i="10"/>
  <c r="AR2629" i="10"/>
  <c r="AR2681" i="10"/>
  <c r="Y52" i="45"/>
  <c r="P42" i="45"/>
  <c r="C61" i="45"/>
  <c r="D13" i="43" s="1"/>
  <c r="N115" i="45"/>
  <c r="C16" i="45"/>
  <c r="D8" i="43" s="1"/>
  <c r="W97" i="45"/>
  <c r="Y114" i="45"/>
  <c r="C52" i="45"/>
  <c r="D12" i="43" s="1"/>
  <c r="AQ2686" i="10"/>
  <c r="AQ2534" i="10"/>
  <c r="AU2624" i="10"/>
  <c r="AP2191" i="10"/>
  <c r="AP2595" i="10"/>
  <c r="AJ1924" i="10"/>
  <c r="AX2069" i="10"/>
  <c r="AM1762" i="10"/>
  <c r="AS1762" i="10"/>
  <c r="AV1563" i="10"/>
  <c r="AV1766" i="10"/>
  <c r="AN1898" i="10"/>
  <c r="AU1366" i="10"/>
  <c r="AW1384" i="10"/>
  <c r="AJ2274" i="10"/>
  <c r="AJ1709" i="10"/>
  <c r="AP1698" i="10"/>
  <c r="AP2559" i="10"/>
  <c r="AS2322" i="10"/>
  <c r="AV2250" i="10"/>
  <c r="AK1698" i="10"/>
  <c r="AK2435" i="10"/>
  <c r="AX2363" i="10"/>
  <c r="AV2322" i="10"/>
  <c r="AL1574" i="10"/>
  <c r="AR1724" i="10"/>
  <c r="AQ2720" i="10"/>
  <c r="AL2720" i="10"/>
  <c r="AK2720" i="10"/>
  <c r="AL2671" i="10"/>
  <c r="AT2671" i="10"/>
  <c r="AM2671" i="10"/>
  <c r="AW2671" i="10"/>
  <c r="AN2671" i="10"/>
  <c r="AN2666" i="10"/>
  <c r="AJ2666" i="10"/>
  <c r="AW2639" i="10"/>
  <c r="AV2639" i="10"/>
  <c r="AW2634" i="10"/>
  <c r="AX2634" i="10"/>
  <c r="AN2634" i="10"/>
  <c r="AT2620" i="10"/>
  <c r="AR2620" i="10"/>
  <c r="AL2620" i="10"/>
  <c r="AK2620" i="10"/>
  <c r="AN2606" i="10"/>
  <c r="AU2606" i="10"/>
  <c r="AW2580" i="10"/>
  <c r="AN2580" i="10"/>
  <c r="AW2574" i="10"/>
  <c r="AQ2574" i="10"/>
  <c r="AK2574" i="10"/>
  <c r="AT2524" i="10"/>
  <c r="AQ2524" i="10"/>
  <c r="AO2514" i="10"/>
  <c r="AX2514" i="10"/>
  <c r="AT2514" i="10"/>
  <c r="AW2514" i="10"/>
  <c r="AS2514" i="10"/>
  <c r="AQ2514" i="10"/>
  <c r="AK2503" i="10"/>
  <c r="AS2503" i="10"/>
  <c r="AW2503" i="10"/>
  <c r="AS2498" i="10"/>
  <c r="AV2498" i="10"/>
  <c r="AM2498" i="10"/>
  <c r="AN2498" i="10"/>
  <c r="AQ2498" i="10"/>
  <c r="AR2498" i="10"/>
  <c r="AW2498" i="10"/>
  <c r="AN2493" i="10"/>
  <c r="AX2493" i="10"/>
  <c r="AU2493" i="10"/>
  <c r="AO2478" i="10"/>
  <c r="AP2478" i="10"/>
  <c r="AQ2478" i="10"/>
  <c r="AU2478" i="10"/>
  <c r="AP2429" i="10"/>
  <c r="AO2429" i="10"/>
  <c r="AN2429" i="10"/>
  <c r="AL2429" i="10"/>
  <c r="AV2429" i="10"/>
  <c r="AK2429" i="10"/>
  <c r="AT2423" i="10"/>
  <c r="AN2423" i="10"/>
  <c r="AU2423" i="10"/>
  <c r="AM2423" i="10"/>
  <c r="AX2417" i="10"/>
  <c r="AQ2417" i="10"/>
  <c r="AU2411" i="10"/>
  <c r="AL2411" i="10"/>
  <c r="AR2411" i="10"/>
  <c r="AM2411" i="10"/>
  <c r="AW2411" i="10"/>
  <c r="AJ2405" i="10"/>
  <c r="AL2405" i="10"/>
  <c r="AU2405" i="10"/>
  <c r="AQ2405" i="10"/>
  <c r="AP2405" i="10"/>
  <c r="AN2405" i="10"/>
  <c r="AX2405" i="10"/>
  <c r="AV2374" i="10"/>
  <c r="AQ2374" i="10"/>
  <c r="AN2374" i="10"/>
  <c r="AU2374" i="10"/>
  <c r="AJ2358" i="10"/>
  <c r="AP2358" i="10"/>
  <c r="AN2358" i="10"/>
  <c r="AO2358" i="10"/>
  <c r="AU2352" i="10"/>
  <c r="AT2352" i="10"/>
  <c r="AX2352" i="10"/>
  <c r="AM2352" i="10"/>
  <c r="AR2352" i="10"/>
  <c r="AQ2352" i="10"/>
  <c r="AK2352" i="10"/>
  <c r="AW2352" i="10"/>
  <c r="AT2348" i="10"/>
  <c r="AO2348" i="10"/>
  <c r="AM2348" i="10"/>
  <c r="AP2348" i="10"/>
  <c r="AX2343" i="10"/>
  <c r="AS2343" i="10"/>
  <c r="AV2343" i="10"/>
  <c r="AW2343" i="10"/>
  <c r="AN2333" i="10"/>
  <c r="AM2333" i="10"/>
  <c r="AM2328" i="10"/>
  <c r="AK2328" i="10"/>
  <c r="AO2328" i="10"/>
  <c r="AQ2328" i="10"/>
  <c r="AW2328" i="10"/>
  <c r="AX2328" i="10"/>
  <c r="AT2328" i="10"/>
  <c r="AL2312" i="10"/>
  <c r="AM2312" i="10"/>
  <c r="AU2312" i="10"/>
  <c r="AO2312" i="10"/>
  <c r="AV2302" i="10"/>
  <c r="AP2302" i="10"/>
  <c r="AK2302" i="10"/>
  <c r="AS2302" i="10"/>
  <c r="AR2302" i="10"/>
  <c r="AT2302" i="10"/>
  <c r="AX2302" i="10"/>
  <c r="AM2302" i="10"/>
  <c r="AU2302" i="10"/>
  <c r="AM2296" i="10"/>
  <c r="AV2296" i="10"/>
  <c r="AO2296" i="10"/>
  <c r="AK2280" i="10"/>
  <c r="AM2280" i="10"/>
  <c r="AO2280" i="10"/>
  <c r="AP2280" i="10"/>
  <c r="AV2280" i="10"/>
  <c r="AN2280" i="10"/>
  <c r="AL2255" i="10"/>
  <c r="AW2255" i="10"/>
  <c r="AP2255" i="10"/>
  <c r="AU2255" i="10"/>
  <c r="AN2255" i="10"/>
  <c r="AV2255" i="10"/>
  <c r="AQ2255" i="10"/>
  <c r="AT2234" i="10"/>
  <c r="AU2234" i="10"/>
  <c r="AO2234" i="10"/>
  <c r="AX2234" i="10"/>
  <c r="AW2234" i="10"/>
  <c r="AT2207" i="10"/>
  <c r="AM2207" i="10"/>
  <c r="AK2202" i="10"/>
  <c r="AL2202" i="10"/>
  <c r="AS2202" i="10"/>
  <c r="AW2202" i="10"/>
  <c r="AT2197" i="10"/>
  <c r="AM2197" i="10"/>
  <c r="AU2197" i="10"/>
  <c r="AS2197" i="10"/>
  <c r="AQ2197" i="10"/>
  <c r="AN2197" i="10"/>
  <c r="AN2176" i="10"/>
  <c r="AM2176" i="10"/>
  <c r="AT2176" i="10"/>
  <c r="AP2176" i="10"/>
  <c r="AK2176" i="10"/>
  <c r="AQ2176" i="10"/>
  <c r="AS2176" i="10"/>
  <c r="AS2152" i="10"/>
  <c r="AP2152" i="10"/>
  <c r="AO2152" i="10"/>
  <c r="AU2152" i="10"/>
  <c r="AK2118" i="10"/>
  <c r="AO2118" i="10"/>
  <c r="AL2118" i="10"/>
  <c r="AN2118" i="10"/>
  <c r="AT2118" i="10"/>
  <c r="AL2096" i="10"/>
  <c r="AO2096" i="10"/>
  <c r="AN2096" i="10"/>
  <c r="AT2096" i="10"/>
  <c r="AL2091" i="10"/>
  <c r="AV2091" i="10"/>
  <c r="AW2091" i="10"/>
  <c r="AX2091" i="10"/>
  <c r="AS2091" i="10"/>
  <c r="AU2091" i="10"/>
  <c r="AT2091" i="10"/>
  <c r="AR2091" i="10"/>
  <c r="AQ2091" i="10"/>
  <c r="AP2091" i="10"/>
  <c r="AO2091" i="10"/>
  <c r="AM2074" i="10"/>
  <c r="AW2074" i="10"/>
  <c r="AV2074" i="10"/>
  <c r="AU2666" i="10"/>
  <c r="AT2596" i="10"/>
  <c r="AQ2596" i="10"/>
  <c r="AU2256" i="10"/>
  <c r="AO2256" i="10"/>
  <c r="AW2203" i="10"/>
  <c r="AX2203" i="10"/>
  <c r="AL2203" i="10"/>
  <c r="AP2177" i="10"/>
  <c r="AT2177" i="10"/>
  <c r="AO2052" i="10"/>
  <c r="AV2052" i="10"/>
  <c r="AN2052" i="10"/>
  <c r="AM2052" i="10"/>
  <c r="AQ2052" i="10"/>
  <c r="AX2041" i="10"/>
  <c r="AN2041" i="10"/>
  <c r="AQ2041" i="10"/>
  <c r="AM1999" i="10"/>
  <c r="AO1999" i="10"/>
  <c r="AT1972" i="10"/>
  <c r="AQ1972" i="10"/>
  <c r="AN1972" i="10"/>
  <c r="AP1967" i="10"/>
  <c r="AW1967" i="10"/>
  <c r="AU1967" i="10"/>
  <c r="AP1929" i="10"/>
  <c r="AW1929" i="10"/>
  <c r="AO1929" i="10"/>
  <c r="AT1919" i="10"/>
  <c r="AV1919" i="10"/>
  <c r="AW1919" i="10"/>
  <c r="AW1845" i="10"/>
  <c r="AQ1845" i="10"/>
  <c r="AO1845" i="10"/>
  <c r="AP1845" i="10"/>
  <c r="AN1845" i="10"/>
  <c r="AU1845" i="10"/>
  <c r="AL1845" i="10"/>
  <c r="AO1840" i="10"/>
  <c r="AP1840" i="10"/>
  <c r="AK1840" i="10"/>
  <c r="AW1801" i="10"/>
  <c r="AJ1801" i="10"/>
  <c r="AR1801" i="10"/>
  <c r="AX1796" i="10"/>
  <c r="AQ1796" i="10"/>
  <c r="AK1796" i="10"/>
  <c r="AV1796" i="10"/>
  <c r="AL1796" i="10"/>
  <c r="AP1796" i="10"/>
  <c r="AJ1796" i="10"/>
  <c r="AR1771" i="10"/>
  <c r="AQ1771" i="10"/>
  <c r="AP1771" i="10"/>
  <c r="AX1771" i="10"/>
  <c r="AL1771" i="10"/>
  <c r="AW1748" i="10"/>
  <c r="AM1748" i="10"/>
  <c r="AT1748" i="10"/>
  <c r="AS1748" i="10"/>
  <c r="AK1743" i="10"/>
  <c r="AM1743" i="10"/>
  <c r="AW1729" i="10"/>
  <c r="AN1729" i="10"/>
  <c r="AX1729" i="10"/>
  <c r="AM1729" i="10"/>
  <c r="AM1704" i="10"/>
  <c r="AV1704" i="10"/>
  <c r="AN1704" i="10"/>
  <c r="AK1704" i="10"/>
  <c r="AU1704" i="10"/>
  <c r="AQ1683" i="10"/>
  <c r="AR1683" i="10"/>
  <c r="AV1668" i="10"/>
  <c r="AO1668" i="10"/>
  <c r="AM1668" i="10"/>
  <c r="AS1569" i="10"/>
  <c r="AU1569" i="10"/>
  <c r="AN1569" i="10"/>
  <c r="AO1569" i="10"/>
  <c r="AQ1569" i="10"/>
  <c r="AS1558" i="10"/>
  <c r="AO1558" i="10"/>
  <c r="AV1558" i="10"/>
  <c r="AM1543" i="10"/>
  <c r="AS1543" i="10"/>
  <c r="AR1527" i="10"/>
  <c r="AT1527" i="10"/>
  <c r="AL1527" i="10"/>
  <c r="AK1527" i="10"/>
  <c r="AU1500" i="10"/>
  <c r="AM1500" i="10"/>
  <c r="AO1496" i="10"/>
  <c r="AN1496" i="10"/>
  <c r="AL1496" i="10"/>
  <c r="AU1496" i="10"/>
  <c r="AR1496" i="10"/>
  <c r="AK1496" i="10"/>
  <c r="AT1496" i="10"/>
  <c r="AM1496" i="10"/>
  <c r="AW1485" i="10"/>
  <c r="AP1485" i="10"/>
  <c r="AR1480" i="10"/>
  <c r="AQ1480" i="10"/>
  <c r="AL1480" i="10"/>
  <c r="AQ1422" i="10"/>
  <c r="AT1422" i="10"/>
  <c r="AM1395" i="10"/>
  <c r="AU1395" i="10"/>
  <c r="AX1395" i="10"/>
  <c r="AU1390" i="10"/>
  <c r="AR1390" i="10"/>
  <c r="AN1390" i="10"/>
  <c r="AW1349" i="10"/>
  <c r="AR1349" i="10"/>
  <c r="AL1349" i="10"/>
  <c r="AV1349" i="10"/>
  <c r="AW1338" i="10"/>
  <c r="AQ1338" i="10"/>
  <c r="AP1338" i="10"/>
  <c r="AW1278" i="10"/>
  <c r="AN1278" i="10"/>
  <c r="AO1278" i="10"/>
  <c r="AL1278" i="10"/>
  <c r="AU1273" i="10"/>
  <c r="AW1273" i="10"/>
  <c r="AS1262" i="10"/>
  <c r="AJ1262" i="10"/>
  <c r="AW1262" i="10"/>
  <c r="AM1262" i="10"/>
  <c r="AX1262" i="10"/>
  <c r="AO1213" i="10"/>
  <c r="AP1213" i="10"/>
  <c r="AT1164" i="10"/>
  <c r="AP1164" i="10"/>
  <c r="AQ1164" i="10"/>
  <c r="AJ1164" i="10"/>
  <c r="AV1164" i="10"/>
  <c r="AM1164" i="10"/>
  <c r="AN1164" i="10"/>
  <c r="AX1136" i="10"/>
  <c r="AW1136" i="10"/>
  <c r="AW1108" i="10"/>
  <c r="AL1108" i="10"/>
  <c r="AR1108" i="10"/>
  <c r="AO1108" i="10"/>
  <c r="AT1108" i="10"/>
  <c r="AO1090" i="10"/>
  <c r="AU1090" i="10"/>
  <c r="AT1079" i="10"/>
  <c r="AU1079" i="10"/>
  <c r="AL1079" i="10"/>
  <c r="AL1058" i="10"/>
  <c r="AT1058" i="10"/>
  <c r="AU1052" i="10"/>
  <c r="AL1052" i="10"/>
  <c r="AR1052" i="10"/>
  <c r="AV1052" i="10"/>
  <c r="AS1052" i="10"/>
  <c r="AK1002" i="10"/>
  <c r="AU1002" i="10"/>
  <c r="AO996" i="10"/>
  <c r="AQ996" i="10"/>
  <c r="AW990" i="10"/>
  <c r="AL990" i="10"/>
  <c r="AJ944" i="10"/>
  <c r="AW944" i="10"/>
  <c r="AT938" i="10"/>
  <c r="AM938" i="10"/>
  <c r="AR2041" i="10"/>
  <c r="AV1801" i="10"/>
  <c r="AP1999" i="10"/>
  <c r="AM1527" i="10"/>
  <c r="AV1776" i="10"/>
  <c r="AV1500" i="10"/>
  <c r="AJ2028" i="10"/>
  <c r="AX1278" i="10"/>
  <c r="AV1338" i="10"/>
  <c r="AU1527" i="10"/>
  <c r="AT1771" i="10"/>
  <c r="AN1840" i="10"/>
  <c r="AL2052" i="10"/>
  <c r="AP1867" i="10"/>
  <c r="AQ1349" i="10"/>
  <c r="AS1164" i="10"/>
  <c r="AL1872" i="10"/>
  <c r="AU1485" i="10"/>
  <c r="AL1668" i="10"/>
  <c r="AO1771" i="10"/>
  <c r="AU1840" i="10"/>
  <c r="AS2052" i="10"/>
  <c r="AP1496" i="10"/>
  <c r="AT1872" i="10"/>
  <c r="AT1480" i="10"/>
  <c r="AP1668" i="10"/>
  <c r="AN1108" i="10"/>
  <c r="AX1480" i="10"/>
  <c r="AV1999" i="10"/>
  <c r="AN1558" i="10"/>
  <c r="AW1771" i="10"/>
  <c r="AQ1840" i="10"/>
  <c r="AX2052" i="10"/>
  <c r="AK1776" i="10"/>
  <c r="AS1496" i="10"/>
  <c r="AS1390" i="10"/>
  <c r="AX1967" i="10"/>
  <c r="AV1967" i="10"/>
  <c r="AU1668" i="10"/>
  <c r="AM1090" i="10"/>
  <c r="AW2041" i="10"/>
  <c r="AS1668" i="10"/>
  <c r="AJ2041" i="10"/>
  <c r="AK1801" i="10"/>
  <c r="AW1999" i="10"/>
  <c r="AP1433" i="10"/>
  <c r="AO1500" i="10"/>
  <c r="AT1647" i="10"/>
  <c r="AQ2028" i="10"/>
  <c r="AK1835" i="10"/>
  <c r="AT1558" i="10"/>
  <c r="AV1278" i="10"/>
  <c r="AM1771" i="10"/>
  <c r="AV1840" i="10"/>
  <c r="AW2052" i="10"/>
  <c r="AT1776" i="10"/>
  <c r="AV1496" i="10"/>
  <c r="AS2005" i="10"/>
  <c r="AX2329" i="10"/>
  <c r="AM1485" i="10"/>
  <c r="AM1235" i="10"/>
  <c r="AK1668" i="10"/>
  <c r="AP2052" i="10"/>
  <c r="AT1801" i="10"/>
  <c r="AT1999" i="10"/>
  <c r="AS1395" i="10"/>
  <c r="AM1647" i="10"/>
  <c r="AQ1500" i="10"/>
  <c r="AR1647" i="10"/>
  <c r="AS2028" i="10"/>
  <c r="AK1558" i="10"/>
  <c r="AU1278" i="10"/>
  <c r="AN1771" i="10"/>
  <c r="AW1840" i="10"/>
  <c r="AU2052" i="10"/>
  <c r="AQ1776" i="10"/>
  <c r="AM1569" i="10"/>
  <c r="AR1929" i="10"/>
  <c r="AM1480" i="10"/>
  <c r="AX1485" i="10"/>
  <c r="AP1909" i="10"/>
  <c r="AM1909" i="10"/>
  <c r="AJ1836" i="10"/>
  <c r="AS1836" i="10"/>
  <c r="AT1836" i="10"/>
  <c r="AQ1797" i="10"/>
  <c r="AR1797" i="10"/>
  <c r="AL1797" i="10"/>
  <c r="AS1767" i="10"/>
  <c r="AV1767" i="10"/>
  <c r="AM2725" i="10"/>
  <c r="AK2725" i="10"/>
  <c r="AU2725" i="10"/>
  <c r="AQ2725" i="10"/>
  <c r="AO2725" i="10"/>
  <c r="AM2549" i="10"/>
  <c r="AW2549" i="10"/>
  <c r="AK2549" i="10"/>
  <c r="AU2549" i="10"/>
  <c r="AP2440" i="10"/>
  <c r="AQ2440" i="10"/>
  <c r="AW2440" i="10"/>
  <c r="AV2440" i="10"/>
  <c r="AS2434" i="10"/>
  <c r="AW2434" i="10"/>
  <c r="AQ2434" i="10"/>
  <c r="AR2434" i="10"/>
  <c r="AJ2416" i="10"/>
  <c r="AV2416" i="10"/>
  <c r="AS2416" i="10"/>
  <c r="AP2416" i="10"/>
  <c r="AK2416" i="10"/>
  <c r="AT2311" i="10"/>
  <c r="AX2311" i="10"/>
  <c r="AT2290" i="10"/>
  <c r="AW2290" i="10"/>
  <c r="AM2290" i="10"/>
  <c r="AP2211" i="10"/>
  <c r="AS2211" i="10"/>
  <c r="AK2211" i="10"/>
  <c r="AX2211" i="10"/>
  <c r="AT2211" i="10"/>
  <c r="AM2206" i="10"/>
  <c r="AN2206" i="10"/>
  <c r="AU2151" i="10"/>
  <c r="AR2151" i="10"/>
  <c r="AQ2101" i="10"/>
  <c r="AO2101" i="10"/>
  <c r="AS2101" i="10"/>
  <c r="AO2040" i="10"/>
  <c r="AV2040" i="10"/>
  <c r="AK2011" i="10"/>
  <c r="AQ2011" i="10"/>
  <c r="AS2011" i="10"/>
  <c r="AM1971" i="10"/>
  <c r="AO1971" i="10"/>
  <c r="AS1971" i="10"/>
  <c r="AV1971" i="10"/>
  <c r="AN1960" i="10"/>
  <c r="AQ1960" i="10"/>
  <c r="AQ1918" i="10"/>
  <c r="AM1918" i="10"/>
  <c r="AX1800" i="10"/>
  <c r="AM1800" i="10"/>
  <c r="AN1800" i="10"/>
  <c r="AK1800" i="10"/>
  <c r="AU1775" i="10"/>
  <c r="AP1775" i="10"/>
  <c r="AT1775" i="10"/>
  <c r="AR1752" i="10"/>
  <c r="AU1752" i="10"/>
  <c r="AQ1752" i="10"/>
  <c r="AV1752" i="10"/>
  <c r="AM1728" i="10"/>
  <c r="AS1728" i="10"/>
  <c r="AT1687" i="10"/>
  <c r="AQ1687" i="10"/>
  <c r="AN1637" i="10"/>
  <c r="AK1637" i="10"/>
  <c r="AM1637" i="10"/>
  <c r="AV1637" i="10"/>
  <c r="AU1272" i="10"/>
  <c r="AQ1272" i="10"/>
  <c r="AM1135" i="10"/>
  <c r="AN1135" i="10"/>
  <c r="AK1101" i="10"/>
  <c r="AO1101" i="10"/>
  <c r="AK1051" i="10"/>
  <c r="AS1051" i="10"/>
  <c r="AJ1051" i="10"/>
  <c r="AX1051" i="10"/>
  <c r="AU1035" i="10"/>
  <c r="AT1035" i="10"/>
  <c r="AU2054" i="10"/>
  <c r="AO2549" i="10"/>
  <c r="AP2725" i="10"/>
  <c r="AL2416" i="10"/>
  <c r="AV2434" i="10"/>
  <c r="AS2440" i="10"/>
  <c r="AK1836" i="10"/>
  <c r="AT2170" i="10"/>
  <c r="AT1887" i="10"/>
  <c r="AP2151" i="10"/>
  <c r="AM2211" i="10"/>
  <c r="AV2244" i="10"/>
  <c r="AW2244" i="10"/>
  <c r="AK1990" i="10"/>
  <c r="AJ562" i="10"/>
  <c r="AX548" i="10"/>
  <c r="AW548" i="10"/>
  <c r="AM548" i="10"/>
  <c r="AL548" i="10"/>
  <c r="AK548" i="10"/>
  <c r="AJ548" i="10"/>
  <c r="AX547" i="10"/>
  <c r="AW547" i="10"/>
  <c r="AK547" i="10"/>
  <c r="AJ547" i="10"/>
  <c r="AX549" i="10"/>
  <c r="AW549" i="10"/>
  <c r="AK549" i="10"/>
  <c r="AJ549" i="10"/>
  <c r="AX550" i="10"/>
  <c r="AW550" i="10"/>
  <c r="AK550" i="10"/>
  <c r="AJ550" i="10"/>
  <c r="AX551" i="10"/>
  <c r="AW551" i="10"/>
  <c r="AK551" i="10"/>
  <c r="AJ551" i="10"/>
  <c r="AX552" i="10"/>
  <c r="AW552" i="10"/>
  <c r="AK552" i="10"/>
  <c r="AJ552" i="10"/>
  <c r="AX553" i="10"/>
  <c r="AW553" i="10"/>
  <c r="AK553" i="10"/>
  <c r="AJ553" i="10"/>
  <c r="U6" i="45"/>
  <c r="V7" i="43" s="1"/>
  <c r="AX554" i="10"/>
  <c r="AW554" i="10"/>
  <c r="AK554" i="10"/>
  <c r="AJ554" i="10"/>
  <c r="AP2085" i="10"/>
  <c r="AN2730" i="10"/>
  <c r="AK2730" i="10"/>
  <c r="AV2730" i="10"/>
  <c r="AS2730" i="10"/>
  <c r="AT2730" i="10"/>
  <c r="AQ2730" i="10"/>
  <c r="AO2730" i="10"/>
  <c r="AP2730" i="10"/>
  <c r="AM2730" i="10"/>
  <c r="AL2730" i="10"/>
  <c r="AJ2730" i="10"/>
  <c r="AU2730" i="10"/>
  <c r="AM2713" i="10"/>
  <c r="AX2713" i="10"/>
  <c r="AK2713" i="10"/>
  <c r="AJ2713" i="10"/>
  <c r="AT2713" i="10"/>
  <c r="AR2713" i="10"/>
  <c r="AW2713" i="10"/>
  <c r="AN2713" i="10"/>
  <c r="AQ2713" i="10"/>
  <c r="AP2713" i="10"/>
  <c r="AV2713" i="10"/>
  <c r="AS2713" i="10"/>
  <c r="AL2713" i="10"/>
  <c r="AO2713" i="10"/>
  <c r="AU2713" i="10"/>
  <c r="AK2707" i="10"/>
  <c r="AP2707" i="10"/>
  <c r="AR2707" i="10"/>
  <c r="AL2707" i="10"/>
  <c r="AW2707" i="10"/>
  <c r="AO2707" i="10"/>
  <c r="AX2707" i="10"/>
  <c r="AJ2707" i="10"/>
  <c r="AV2707" i="10"/>
  <c r="AQ2707" i="10"/>
  <c r="AS2707" i="10"/>
  <c r="AU2707" i="10"/>
  <c r="AT2707" i="10"/>
  <c r="AM2707" i="10"/>
  <c r="AN2707" i="10"/>
  <c r="AQ2701" i="10"/>
  <c r="AM2701" i="10"/>
  <c r="AV2701" i="10"/>
  <c r="AL2701" i="10"/>
  <c r="AT2701" i="10"/>
  <c r="AW2701" i="10"/>
  <c r="AN2701" i="10"/>
  <c r="AP2701" i="10"/>
  <c r="AO2701" i="10"/>
  <c r="AS2696" i="10"/>
  <c r="AP2696" i="10"/>
  <c r="AT2680" i="10"/>
  <c r="AN2680" i="10"/>
  <c r="AM2680" i="10"/>
  <c r="AW2680" i="10"/>
  <c r="AO2680" i="10"/>
  <c r="AK2680" i="10"/>
  <c r="AX2680" i="10"/>
  <c r="AV2680" i="10"/>
  <c r="AS2680" i="10"/>
  <c r="AV2675" i="10"/>
  <c r="AR2675" i="10"/>
  <c r="AQ2675" i="10"/>
  <c r="AX2675" i="10"/>
  <c r="AS2675" i="10"/>
  <c r="AU2675" i="10"/>
  <c r="AO2675" i="10"/>
  <c r="AN2675" i="10"/>
  <c r="AT2675" i="10"/>
  <c r="AW2675" i="10"/>
  <c r="AM2675" i="10"/>
  <c r="AP2675" i="10"/>
  <c r="AK2675" i="10"/>
  <c r="AR2653" i="10"/>
  <c r="AU2653" i="10"/>
  <c r="AX2653" i="10"/>
  <c r="AS2653" i="10"/>
  <c r="AT2653" i="10"/>
  <c r="AV2653" i="10"/>
  <c r="AJ2653" i="10"/>
  <c r="AK2653" i="10"/>
  <c r="AX2648" i="10"/>
  <c r="AR2648" i="10"/>
  <c r="AN2648" i="10"/>
  <c r="AU2648" i="10"/>
  <c r="AP2648" i="10"/>
  <c r="AT2648" i="10"/>
  <c r="AW2648" i="10"/>
  <c r="AS2648" i="10"/>
  <c r="AV2648" i="10"/>
  <c r="AM2648" i="10"/>
  <c r="AW2638" i="10"/>
  <c r="AT2638" i="10"/>
  <c r="AL2638" i="10"/>
  <c r="AX2638" i="10"/>
  <c r="AK2638" i="10"/>
  <c r="AV2638" i="10"/>
  <c r="AU2638" i="10"/>
  <c r="AP2638" i="10"/>
  <c r="AR2638" i="10"/>
  <c r="AN2638" i="10"/>
  <c r="AN2628" i="10"/>
  <c r="AU2628" i="10"/>
  <c r="AO2628" i="10"/>
  <c r="AR2628" i="10"/>
  <c r="AJ2628" i="10"/>
  <c r="AQ2628" i="10"/>
  <c r="AM2628" i="10"/>
  <c r="AW2628" i="10"/>
  <c r="AS2628" i="10"/>
  <c r="AT2623" i="10"/>
  <c r="AV2623" i="10"/>
  <c r="AS2623" i="10"/>
  <c r="AQ2623" i="10"/>
  <c r="AK2623" i="10"/>
  <c r="AU2623" i="10"/>
  <c r="AP2623" i="10"/>
  <c r="AR2623" i="10"/>
  <c r="AL2623" i="10"/>
  <c r="AO2623" i="10"/>
  <c r="AM2623" i="10"/>
  <c r="AS2619" i="10"/>
  <c r="AV2619" i="10"/>
  <c r="AK2619" i="10"/>
  <c r="AM2619" i="10"/>
  <c r="AT2619" i="10"/>
  <c r="AP2619" i="10"/>
  <c r="AL2619" i="10"/>
  <c r="AN2619" i="10"/>
  <c r="AO2619" i="10"/>
  <c r="AQ2619" i="10"/>
  <c r="AX2619" i="10"/>
  <c r="AL2610" i="10"/>
  <c r="AN2610" i="10"/>
  <c r="AT2610" i="10"/>
  <c r="AK2610" i="10"/>
  <c r="AQ2610" i="10"/>
  <c r="AW2610" i="10"/>
  <c r="AV2610" i="10"/>
  <c r="AM2610" i="10"/>
  <c r="AS2610" i="10"/>
  <c r="AR2610" i="10"/>
  <c r="AP2610" i="10"/>
  <c r="AP2594" i="10"/>
  <c r="AO2594" i="10"/>
  <c r="AL2594" i="10"/>
  <c r="AQ2594" i="10"/>
  <c r="AU2594" i="10"/>
  <c r="AW2594" i="10"/>
  <c r="AR2594" i="10"/>
  <c r="AT2594" i="10"/>
  <c r="AX2594" i="10"/>
  <c r="AK2594" i="10"/>
  <c r="AV2589" i="10"/>
  <c r="AU2589" i="10"/>
  <c r="AN2589" i="10"/>
  <c r="AK2589" i="10"/>
  <c r="AO2589" i="10"/>
  <c r="AM2589" i="10"/>
  <c r="AT2543" i="10"/>
  <c r="AW2543" i="10"/>
  <c r="AL2543" i="10"/>
  <c r="AU2543" i="10"/>
  <c r="AP2543" i="10"/>
  <c r="AO2543" i="10"/>
  <c r="AR2543" i="10"/>
  <c r="AQ2543" i="10"/>
  <c r="AV2543" i="10"/>
  <c r="AN2543" i="10"/>
  <c r="AO2538" i="10"/>
  <c r="AM2538" i="10"/>
  <c r="AW2538" i="10"/>
  <c r="AT2538" i="10"/>
  <c r="AV2538" i="10"/>
  <c r="AO2523" i="10"/>
  <c r="AN2523" i="10"/>
  <c r="AJ2523" i="10"/>
  <c r="AV2523" i="10"/>
  <c r="AQ2523" i="10"/>
  <c r="AU2523" i="10"/>
  <c r="AT2523" i="10"/>
  <c r="AS2523" i="10"/>
  <c r="AK2523" i="10"/>
  <c r="AP2523" i="10"/>
  <c r="AL2523" i="10"/>
  <c r="AX2523" i="10"/>
  <c r="AR2523" i="10"/>
  <c r="AW2523" i="10"/>
  <c r="AM2523" i="10"/>
  <c r="AN2518" i="10"/>
  <c r="AK2518" i="10"/>
  <c r="AM2518" i="10"/>
  <c r="AR2518" i="10"/>
  <c r="AS2518" i="10"/>
  <c r="AU2518" i="10"/>
  <c r="AQ2518" i="10"/>
  <c r="AX2518" i="10"/>
  <c r="AV2518" i="10"/>
  <c r="AW2518" i="10"/>
  <c r="AL2518" i="10"/>
  <c r="AT2518" i="10"/>
  <c r="AP2518" i="10"/>
  <c r="AO2518" i="10"/>
  <c r="AJ2518" i="10"/>
  <c r="AS2492" i="10"/>
  <c r="AX2492" i="10"/>
  <c r="AM2492" i="10"/>
  <c r="AN2492" i="10"/>
  <c r="AV2492" i="10"/>
  <c r="AO2492" i="10"/>
  <c r="AK2492" i="10"/>
  <c r="AW2492" i="10"/>
  <c r="AT2492" i="10"/>
  <c r="AL2492" i="10"/>
  <c r="AQ2492" i="10"/>
  <c r="AM2482" i="10"/>
  <c r="AK2482" i="10"/>
  <c r="AX2482" i="10"/>
  <c r="AQ2482" i="10"/>
  <c r="AO2482" i="10"/>
  <c r="AS2482" i="10"/>
  <c r="AJ2482" i="10"/>
  <c r="AP2482" i="10"/>
  <c r="AW2482" i="10"/>
  <c r="AU2482" i="10"/>
  <c r="AL2482" i="10"/>
  <c r="AT2482" i="10"/>
  <c r="AO2471" i="10"/>
  <c r="AS2471" i="10"/>
  <c r="AL2471" i="10"/>
  <c r="AJ2471" i="10"/>
  <c r="AK2471" i="10"/>
  <c r="AN2471" i="10"/>
  <c r="AT2471" i="10"/>
  <c r="AR2471" i="10"/>
  <c r="AX2471" i="10"/>
  <c r="AV2471" i="10"/>
  <c r="AU2471" i="10"/>
  <c r="AQ2471" i="10"/>
  <c r="AM2471" i="10"/>
  <c r="AP2471" i="10"/>
  <c r="AW2471" i="10"/>
  <c r="AS2445" i="10"/>
  <c r="AW2445" i="10"/>
  <c r="AK2445" i="10"/>
  <c r="AL2445" i="10"/>
  <c r="AV2445" i="10"/>
  <c r="AX2445" i="10"/>
  <c r="AO2433" i="10"/>
  <c r="AK2433" i="10"/>
  <c r="AP2433" i="10"/>
  <c r="AQ2433" i="10"/>
  <c r="AS2433" i="10"/>
  <c r="AX2433" i="10"/>
  <c r="AT2433" i="10"/>
  <c r="AN2433" i="10"/>
  <c r="AJ2433" i="10"/>
  <c r="AL2433" i="10"/>
  <c r="AV2433" i="10"/>
  <c r="AR2433" i="10"/>
  <c r="AM2433" i="10"/>
  <c r="AX2427" i="10"/>
  <c r="AT2427" i="10"/>
  <c r="AS2427" i="10"/>
  <c r="AK2427" i="10"/>
  <c r="AP2427" i="10"/>
  <c r="AW2427" i="10"/>
  <c r="AL2427" i="10"/>
  <c r="AO2427" i="10"/>
  <c r="AU2427" i="10"/>
  <c r="AQ2427" i="10"/>
  <c r="AM2427" i="10"/>
  <c r="AJ2427" i="10"/>
  <c r="AV2427" i="10"/>
  <c r="AK2409" i="10"/>
  <c r="AN2409" i="10"/>
  <c r="AL2409" i="10"/>
  <c r="AU2409" i="10"/>
  <c r="AQ2409" i="10"/>
  <c r="AS2409" i="10"/>
  <c r="AW2399" i="10"/>
  <c r="AV2399" i="10"/>
  <c r="AO2399" i="10"/>
  <c r="AK2388" i="10"/>
  <c r="AS2388" i="10"/>
  <c r="AV2388" i="10"/>
  <c r="AW2388" i="10"/>
  <c r="AU2388" i="10"/>
  <c r="AX2388" i="10"/>
  <c r="AM2388" i="10"/>
  <c r="AQ2388" i="10"/>
  <c r="AN2388" i="10"/>
  <c r="AR2388" i="10"/>
  <c r="AL2388" i="10"/>
  <c r="AO2388" i="10"/>
  <c r="AP2388" i="10"/>
  <c r="AJ2388" i="10"/>
  <c r="AT2388" i="10"/>
  <c r="AK2383" i="10"/>
  <c r="AJ2383" i="10"/>
  <c r="AX2383" i="10"/>
  <c r="AN2383" i="10"/>
  <c r="AM2383" i="10"/>
  <c r="AL2383" i="10"/>
  <c r="AS2383" i="10"/>
  <c r="AT2383" i="10"/>
  <c r="AV2383" i="10"/>
  <c r="AW2383" i="10"/>
  <c r="AU2383" i="10"/>
  <c r="AO2383" i="10"/>
  <c r="AQ2383" i="10"/>
  <c r="AS2373" i="10"/>
  <c r="AM2373" i="10"/>
  <c r="AJ2373" i="10"/>
  <c r="AP2373" i="10"/>
  <c r="AW2362" i="10"/>
  <c r="AL2362" i="10"/>
  <c r="AS2362" i="10"/>
  <c r="AV2362" i="10"/>
  <c r="AK2362" i="10"/>
  <c r="AU2362" i="10"/>
  <c r="AN2362" i="10"/>
  <c r="AQ2362" i="10"/>
  <c r="AR2362" i="10"/>
  <c r="AO2362" i="10"/>
  <c r="AP2362" i="10"/>
  <c r="AT2362" i="10"/>
  <c r="AJ2362" i="10"/>
  <c r="AX2362" i="10"/>
  <c r="AM2362" i="10"/>
  <c r="AQ2357" i="10"/>
  <c r="AJ2357" i="10"/>
  <c r="AK2357" i="10"/>
  <c r="AX2357" i="10"/>
  <c r="AR2357" i="10"/>
  <c r="AS2357" i="10"/>
  <c r="AN2357" i="10"/>
  <c r="AT2357" i="10"/>
  <c r="AU2357" i="10"/>
  <c r="AM2357" i="10"/>
  <c r="AW2357" i="10"/>
  <c r="AP2357" i="10"/>
  <c r="AL2357" i="10"/>
  <c r="AO2357" i="10"/>
  <c r="AM2351" i="10"/>
  <c r="AS2351" i="10"/>
  <c r="AU2351" i="10"/>
  <c r="AK2351" i="10"/>
  <c r="AL2351" i="10"/>
  <c r="AT2351" i="10"/>
  <c r="AO2351" i="10"/>
  <c r="AV2351" i="10"/>
  <c r="AR2351" i="10"/>
  <c r="AN2351" i="10"/>
  <c r="AW2351" i="10"/>
  <c r="AR2347" i="10"/>
  <c r="AN2347" i="10"/>
  <c r="AQ2347" i="10"/>
  <c r="AV2347" i="10"/>
  <c r="AL2347" i="10"/>
  <c r="AK2347" i="10"/>
  <c r="AS2347" i="10"/>
  <c r="AJ2347" i="10"/>
  <c r="AX2347" i="10"/>
  <c r="AP2347" i="10"/>
  <c r="AU2347" i="10"/>
  <c r="AT2347" i="10"/>
  <c r="AO2347" i="10"/>
  <c r="AP2337" i="10"/>
  <c r="AR2337" i="10"/>
  <c r="AS2337" i="10"/>
  <c r="AK2337" i="10"/>
  <c r="AW2337" i="10"/>
  <c r="AL2337" i="10"/>
  <c r="AV2337" i="10"/>
  <c r="AX2337" i="10"/>
  <c r="AJ2337" i="10"/>
  <c r="AN2337" i="10"/>
  <c r="AO2337" i="10"/>
  <c r="AU2337" i="10"/>
  <c r="AU2321" i="10"/>
  <c r="AO2321" i="10"/>
  <c r="AR2321" i="10"/>
  <c r="AN2321" i="10"/>
  <c r="AK2321" i="10"/>
  <c r="AM2321" i="10"/>
  <c r="AW2321" i="10"/>
  <c r="AP2321" i="10"/>
  <c r="AS2321" i="10"/>
  <c r="AV2321" i="10"/>
  <c r="AQ2321" i="10"/>
  <c r="AT2321" i="10"/>
  <c r="AL2321" i="10"/>
  <c r="AX2321" i="10"/>
  <c r="AX2316" i="10"/>
  <c r="AK2316" i="10"/>
  <c r="AL2316" i="10"/>
  <c r="AP2316" i="10"/>
  <c r="AS2316" i="10"/>
  <c r="AR2316" i="10"/>
  <c r="AV2316" i="10"/>
  <c r="AT2316" i="10"/>
  <c r="AW2316" i="10"/>
  <c r="AO2316" i="10"/>
  <c r="AN2316" i="10"/>
  <c r="AJ2316" i="10"/>
  <c r="AQ2316" i="10"/>
  <c r="AM2284" i="10"/>
  <c r="AK2284" i="10"/>
  <c r="AN2284" i="10"/>
  <c r="AL2284" i="10"/>
  <c r="AT2284" i="10"/>
  <c r="AQ2284" i="10"/>
  <c r="AW2284" i="10"/>
  <c r="AS2284" i="10"/>
  <c r="AU2284" i="10"/>
  <c r="AV2284" i="10"/>
  <c r="AR2284" i="10"/>
  <c r="AJ2284" i="10"/>
  <c r="AR2279" i="10"/>
  <c r="AM2279" i="10"/>
  <c r="AP2279" i="10"/>
  <c r="AL2279" i="10"/>
  <c r="AU2279" i="10"/>
  <c r="AS2279" i="10"/>
  <c r="AJ2279" i="10"/>
  <c r="AK2279" i="10"/>
  <c r="AN2279" i="10"/>
  <c r="AO2279" i="10"/>
  <c r="AV2279" i="10"/>
  <c r="AX2279" i="10"/>
  <c r="AT2279" i="10"/>
  <c r="AW2279" i="10"/>
  <c r="AQ2279" i="10"/>
  <c r="AK2273" i="10"/>
  <c r="AN2273" i="10"/>
  <c r="AV2273" i="10"/>
  <c r="AR2273" i="10"/>
  <c r="AM2273" i="10"/>
  <c r="AT2273" i="10"/>
  <c r="AO2273" i="10"/>
  <c r="AX2273" i="10"/>
  <c r="AL2273" i="10"/>
  <c r="AU2273" i="10"/>
  <c r="AJ2273" i="10"/>
  <c r="AP2273" i="10"/>
  <c r="AN2268" i="10"/>
  <c r="AO2268" i="10"/>
  <c r="AV2254" i="10"/>
  <c r="AL2254" i="10"/>
  <c r="AU2254" i="10"/>
  <c r="AN2254" i="10"/>
  <c r="AP2254" i="10"/>
  <c r="AX2254" i="10"/>
  <c r="AR2254" i="10"/>
  <c r="AT2254" i="10"/>
  <c r="AO2254" i="10"/>
  <c r="AM2254" i="10"/>
  <c r="AQ2254" i="10"/>
  <c r="AJ2254" i="10"/>
  <c r="AS2254" i="10"/>
  <c r="AW2254" i="10"/>
  <c r="AN2243" i="10"/>
  <c r="AX2243" i="10"/>
  <c r="AK2243" i="10"/>
  <c r="AS2243" i="10"/>
  <c r="AU2243" i="10"/>
  <c r="AJ2243" i="10"/>
  <c r="AP2243" i="10"/>
  <c r="AM2243" i="10"/>
  <c r="AR2243" i="10"/>
  <c r="AW2243" i="10"/>
  <c r="AT2243" i="10"/>
  <c r="AQ2243" i="10"/>
  <c r="AV2243" i="10"/>
  <c r="AO2243" i="10"/>
  <c r="AL2243" i="10"/>
  <c r="AP2201" i="10"/>
  <c r="AU2201" i="10"/>
  <c r="AQ2201" i="10"/>
  <c r="AV2201" i="10"/>
  <c r="AX2201" i="10"/>
  <c r="AR2201" i="10"/>
  <c r="AL2201" i="10"/>
  <c r="AW2201" i="10"/>
  <c r="AS2201" i="10"/>
  <c r="AN2201" i="10"/>
  <c r="AM2201" i="10"/>
  <c r="AT2201" i="10"/>
  <c r="AO2201" i="10"/>
  <c r="AS2196" i="10"/>
  <c r="AP2196" i="10"/>
  <c r="AK2196" i="10"/>
  <c r="AJ2196" i="10"/>
  <c r="AR2196" i="10"/>
  <c r="AO2196" i="10"/>
  <c r="AX2196" i="10"/>
  <c r="AQ2196" i="10"/>
  <c r="AN2196" i="10"/>
  <c r="AL2196" i="10"/>
  <c r="AU2196" i="10"/>
  <c r="AW2196" i="10"/>
  <c r="AT2196" i="10"/>
  <c r="AT2190" i="10"/>
  <c r="AP2190" i="10"/>
  <c r="AL2190" i="10"/>
  <c r="AU2190" i="10"/>
  <c r="AQ2190" i="10"/>
  <c r="AM2190" i="10"/>
  <c r="AO2190" i="10"/>
  <c r="AX2190" i="10"/>
  <c r="AJ2190" i="10"/>
  <c r="AK2190" i="10"/>
  <c r="AN2190" i="10"/>
  <c r="AR2190" i="10"/>
  <c r="AW2190" i="10"/>
  <c r="AS2190" i="10"/>
  <c r="AN2180" i="10"/>
  <c r="AS2180" i="10"/>
  <c r="AW2180" i="10"/>
  <c r="AT2180" i="10"/>
  <c r="AP2180" i="10"/>
  <c r="AK2180" i="10"/>
  <c r="AX2180" i="10"/>
  <c r="AV2180" i="10"/>
  <c r="AQ2180" i="10"/>
  <c r="AR2180" i="10"/>
  <c r="AO2180" i="10"/>
  <c r="AM2180" i="10"/>
  <c r="AU2180" i="10"/>
  <c r="AU2175" i="10"/>
  <c r="AM2175" i="10"/>
  <c r="AV2175" i="10"/>
  <c r="AK2175" i="10"/>
  <c r="AP2175" i="10"/>
  <c r="AT2175" i="10"/>
  <c r="AS2175" i="10"/>
  <c r="AQ2175" i="10"/>
  <c r="AR2175" i="10"/>
  <c r="AN2175" i="10"/>
  <c r="AX2175" i="10"/>
  <c r="AJ2175" i="10"/>
  <c r="AX2144" i="10"/>
  <c r="AL2144" i="10"/>
  <c r="AQ2144" i="10"/>
  <c r="AR2144" i="10"/>
  <c r="AW2144" i="10"/>
  <c r="AS2144" i="10"/>
  <c r="AU2144" i="10"/>
  <c r="AO2144" i="10"/>
  <c r="AT2144" i="10"/>
  <c r="AN2144" i="10"/>
  <c r="AM2144" i="10"/>
  <c r="AU2139" i="10"/>
  <c r="AW2139" i="10"/>
  <c r="AS2139" i="10"/>
  <c r="AR2139" i="10"/>
  <c r="AP2139" i="10"/>
  <c r="AV2139" i="10"/>
  <c r="AT2139" i="10"/>
  <c r="AN2139" i="10"/>
  <c r="AX2139" i="10"/>
  <c r="AM2139" i="10"/>
  <c r="AJ2139" i="10"/>
  <c r="AK2139" i="10"/>
  <c r="AL2139" i="10"/>
  <c r="AO2139" i="10"/>
  <c r="AQ2139" i="10"/>
  <c r="AU2100" i="10"/>
  <c r="AR2100" i="10"/>
  <c r="AN2100" i="10"/>
  <c r="AP2100" i="10"/>
  <c r="AM2100" i="10"/>
  <c r="AJ2100" i="10"/>
  <c r="AS2085" i="10"/>
  <c r="AV2085" i="10"/>
  <c r="AT2085" i="10"/>
  <c r="AM2085" i="10"/>
  <c r="AR2085" i="10"/>
  <c r="AN2085" i="10"/>
  <c r="AW2085" i="10"/>
  <c r="AO2085" i="10"/>
  <c r="AX2085" i="10"/>
  <c r="AL2085" i="10"/>
  <c r="AU2085" i="10"/>
  <c r="AL2073" i="10"/>
  <c r="AU2073" i="10"/>
  <c r="AV2073" i="10"/>
  <c r="AS2073" i="10"/>
  <c r="AT2073" i="10"/>
  <c r="AP2073" i="10"/>
  <c r="AK2073" i="10"/>
  <c r="AW2073" i="10"/>
  <c r="AJ2073" i="10"/>
  <c r="AN2073" i="10"/>
  <c r="AR2073" i="10"/>
  <c r="AX2073" i="10"/>
  <c r="AK2063" i="10"/>
  <c r="AW2063" i="10"/>
  <c r="AT2063" i="10"/>
  <c r="AO2063" i="10"/>
  <c r="AQ2058" i="10"/>
  <c r="AM2058" i="10"/>
  <c r="AP2058" i="10"/>
  <c r="AJ2058" i="10"/>
  <c r="AN2058" i="10"/>
  <c r="AT2058" i="10"/>
  <c r="AX2058" i="10"/>
  <c r="AO2058" i="10"/>
  <c r="AK2058" i="10"/>
  <c r="AU2058" i="10"/>
  <c r="AL2058" i="10"/>
  <c r="AR2058" i="10"/>
  <c r="AS2058" i="10"/>
  <c r="AW2058" i="10"/>
  <c r="AV2050" i="10"/>
  <c r="AO2050" i="10"/>
  <c r="AL2050" i="10"/>
  <c r="AL2032" i="10"/>
  <c r="AT2032" i="10"/>
  <c r="AM2032" i="10"/>
  <c r="AW2032" i="10"/>
  <c r="AS2032" i="10"/>
  <c r="AO2032" i="10"/>
  <c r="AQ2032" i="10"/>
  <c r="AU2032" i="10"/>
  <c r="AV2032" i="10"/>
  <c r="AX2032" i="10"/>
  <c r="AR2032" i="10"/>
  <c r="AJ2032" i="10"/>
  <c r="AN2032" i="10"/>
  <c r="AP2032" i="10"/>
  <c r="AK2032" i="10"/>
  <c r="AK2027" i="10"/>
  <c r="AV2027" i="10"/>
  <c r="AX2027" i="10"/>
  <c r="AW2027" i="10"/>
  <c r="AP2027" i="10"/>
  <c r="AL2027" i="10"/>
  <c r="AJ2027" i="10"/>
  <c r="AR2027" i="10"/>
  <c r="AO2027" i="10"/>
  <c r="AN2027" i="10"/>
  <c r="AQ2027" i="10"/>
  <c r="AO1993" i="10"/>
  <c r="AW1993" i="10"/>
  <c r="AP1993" i="10"/>
  <c r="AS1993" i="10"/>
  <c r="AV1993" i="10"/>
  <c r="AP1988" i="10"/>
  <c r="AJ1988" i="10"/>
  <c r="AW1988" i="10"/>
  <c r="AU1988" i="10"/>
  <c r="AQ1988" i="10"/>
  <c r="AN1988" i="10"/>
  <c r="AL1988" i="10"/>
  <c r="AR1988" i="10"/>
  <c r="AO1988" i="10"/>
  <c r="AX1988" i="10"/>
  <c r="AM1988" i="10"/>
  <c r="AT1988" i="10"/>
  <c r="AK1988" i="10"/>
  <c r="AP1982" i="10"/>
  <c r="AU1982" i="10"/>
  <c r="AL1982" i="10"/>
  <c r="AN1982" i="10"/>
  <c r="AO1982" i="10"/>
  <c r="AX1982" i="10"/>
  <c r="AW1982" i="10"/>
  <c r="AV1982" i="10"/>
  <c r="AQ1982" i="10"/>
  <c r="AJ1982" i="10"/>
  <c r="AR1982" i="10"/>
  <c r="AK1982" i="10"/>
  <c r="AT1982" i="10"/>
  <c r="AM1982" i="10"/>
  <c r="AS1982" i="10"/>
  <c r="AP1959" i="10"/>
  <c r="AN1959" i="10"/>
  <c r="AS1959" i="10"/>
  <c r="AU1959" i="10"/>
  <c r="AR1959" i="10"/>
  <c r="AX1959" i="10"/>
  <c r="AK1959" i="10"/>
  <c r="AM1959" i="10"/>
  <c r="AJ1959" i="10"/>
  <c r="AW1959" i="10"/>
  <c r="AO1959" i="10"/>
  <c r="AV1959" i="10"/>
  <c r="AQ1959" i="10"/>
  <c r="AT1959" i="10"/>
  <c r="AL1959" i="10"/>
  <c r="AW1948" i="10"/>
  <c r="AS1948" i="10"/>
  <c r="AP1948" i="10"/>
  <c r="AQ1948" i="10"/>
  <c r="AU1948" i="10"/>
  <c r="AR1948" i="10"/>
  <c r="AL1948" i="10"/>
  <c r="AO1948" i="10"/>
  <c r="AJ1948" i="10"/>
  <c r="AM1948" i="10"/>
  <c r="AT1948" i="10"/>
  <c r="AN1948" i="10"/>
  <c r="AV1948" i="10"/>
  <c r="AX1948" i="10"/>
  <c r="AK1948" i="10"/>
  <c r="AM1937" i="10"/>
  <c r="AN1937" i="10"/>
  <c r="AJ1937" i="10"/>
  <c r="AL1937" i="10"/>
  <c r="AT1937" i="10"/>
  <c r="AK1937" i="10"/>
  <c r="AU1937" i="10"/>
  <c r="AO1937" i="10"/>
  <c r="AW1937" i="10"/>
  <c r="AV1937" i="10"/>
  <c r="AP1937" i="10"/>
  <c r="AS1937" i="10"/>
  <c r="AQ1937" i="10"/>
  <c r="AR1937" i="10"/>
  <c r="AX1937" i="10"/>
  <c r="AJ1928" i="10"/>
  <c r="AP1928" i="10"/>
  <c r="AS1928" i="10"/>
  <c r="AR1928" i="10"/>
  <c r="AX1928" i="10"/>
  <c r="AM1928" i="10"/>
  <c r="AW1928" i="10"/>
  <c r="AT1923" i="10"/>
  <c r="AM1923" i="10"/>
  <c r="AK1923" i="10"/>
  <c r="AL1923" i="10"/>
  <c r="AN1923" i="10"/>
  <c r="AX1923" i="10"/>
  <c r="AR1923" i="10"/>
  <c r="AP1923" i="10"/>
  <c r="AV1923" i="10"/>
  <c r="AS1923" i="10"/>
  <c r="AO1923" i="10"/>
  <c r="AW1923" i="10"/>
  <c r="AQ1923" i="10"/>
  <c r="AJ1923" i="10"/>
  <c r="AU1923" i="10"/>
  <c r="AT1912" i="10"/>
  <c r="AO1912" i="10"/>
  <c r="AS1912" i="10"/>
  <c r="AW1912" i="10"/>
  <c r="AU1912" i="10"/>
  <c r="AP1912" i="10"/>
  <c r="AQ1912" i="10"/>
  <c r="AL1912" i="10"/>
  <c r="AN1912" i="10"/>
  <c r="AK1912" i="10"/>
  <c r="AV1912" i="10"/>
  <c r="AL1907" i="10"/>
  <c r="AV1907" i="10"/>
  <c r="AM1907" i="10"/>
  <c r="AT1907" i="10"/>
  <c r="AU1907" i="10"/>
  <c r="AW1907" i="10"/>
  <c r="AR1907" i="10"/>
  <c r="AX1907" i="10"/>
  <c r="AO1907" i="10"/>
  <c r="AQ1907" i="10"/>
  <c r="AP1907" i="10"/>
  <c r="AJ1907" i="10"/>
  <c r="AK1907" i="10"/>
  <c r="AS1907" i="10"/>
  <c r="AH78" i="45"/>
  <c r="AN1907" i="10"/>
  <c r="AU1897" i="10"/>
  <c r="AM1897" i="10"/>
  <c r="AV1897" i="10"/>
  <c r="AP1897" i="10"/>
  <c r="AS1897" i="10"/>
  <c r="AT1897" i="10"/>
  <c r="AO1897" i="10"/>
  <c r="C60" i="45"/>
  <c r="C13" i="43" s="1"/>
  <c r="AQ1897" i="10"/>
  <c r="AL1897" i="10"/>
  <c r="AJ1897" i="10"/>
  <c r="AL1854" i="10"/>
  <c r="AV1854" i="10"/>
  <c r="AO1849" i="10"/>
  <c r="AM1849" i="10"/>
  <c r="AT1849" i="10"/>
  <c r="AX1849" i="10"/>
  <c r="AP1849" i="10"/>
  <c r="AW1849" i="10"/>
  <c r="AN1849" i="10"/>
  <c r="AK1849" i="10"/>
  <c r="AS1849" i="10"/>
  <c r="AL1849" i="10"/>
  <c r="AR1849" i="10"/>
  <c r="AV1849" i="10"/>
  <c r="AQ1849" i="10"/>
  <c r="AU1844" i="10"/>
  <c r="AR1844" i="10"/>
  <c r="AN1844" i="10"/>
  <c r="AK1844" i="10"/>
  <c r="AT1844" i="10"/>
  <c r="AV1844" i="10"/>
  <c r="AM1844" i="10"/>
  <c r="AJ1844" i="10"/>
  <c r="AO1844" i="10"/>
  <c r="AX1844" i="10"/>
  <c r="AQ1844" i="10"/>
  <c r="AL1844" i="10"/>
  <c r="AX1839" i="10"/>
  <c r="AP1839" i="10"/>
  <c r="AK1839" i="10"/>
  <c r="AL1839" i="10"/>
  <c r="AN1839" i="10"/>
  <c r="AT1839" i="10"/>
  <c r="AR1839" i="10"/>
  <c r="AM1839" i="10"/>
  <c r="AW1839" i="10"/>
  <c r="AV1839" i="10"/>
  <c r="AV1815" i="10"/>
  <c r="AN1815" i="10"/>
  <c r="AT1810" i="10"/>
  <c r="AV1810" i="10"/>
  <c r="AW1810" i="10"/>
  <c r="AM1810" i="10"/>
  <c r="AK1810" i="10"/>
  <c r="AP1810" i="10"/>
  <c r="AR1810" i="10"/>
  <c r="AS1810" i="10"/>
  <c r="AX1810" i="10"/>
  <c r="AQ1785" i="10"/>
  <c r="AP1785" i="10"/>
  <c r="AR1785" i="10"/>
  <c r="AX1785" i="10"/>
  <c r="AO1785" i="10"/>
  <c r="AM1785" i="10"/>
  <c r="AL1780" i="10"/>
  <c r="AT1780" i="10"/>
  <c r="AV1780" i="10"/>
  <c r="AS1780" i="10"/>
  <c r="AW1780" i="10"/>
  <c r="AP1780" i="10"/>
  <c r="AO1780" i="10"/>
  <c r="AM1780" i="10"/>
  <c r="AR1780" i="10"/>
  <c r="AK1780" i="10"/>
  <c r="AX1780" i="10"/>
  <c r="AQ1780" i="10"/>
  <c r="AU1780" i="10"/>
  <c r="AJ1780" i="10"/>
  <c r="AN1780" i="10"/>
  <c r="AL1770" i="10"/>
  <c r="AR1770" i="10"/>
  <c r="AQ1770" i="10"/>
  <c r="AN1761" i="10"/>
  <c r="AO1761" i="10"/>
  <c r="AO1756" i="10"/>
  <c r="AP1756" i="10"/>
  <c r="AN1756" i="10"/>
  <c r="AQ1756" i="10"/>
  <c r="AR1756" i="10"/>
  <c r="AW1756" i="10"/>
  <c r="AL1756" i="10"/>
  <c r="AV1756" i="10"/>
  <c r="AS1756" i="10"/>
  <c r="AM1756" i="10"/>
  <c r="AK1756" i="10"/>
  <c r="AU1756" i="10"/>
  <c r="AF79" i="45"/>
  <c r="AX1756" i="10"/>
  <c r="AP1718" i="10"/>
  <c r="AM1718" i="10"/>
  <c r="AN1718" i="10"/>
  <c r="AS1718" i="10"/>
  <c r="AO1718" i="10"/>
  <c r="AU1718" i="10"/>
  <c r="AK1718" i="10"/>
  <c r="AJ1718" i="10"/>
  <c r="AL1718" i="10"/>
  <c r="AR1718" i="10"/>
  <c r="AM1713" i="10"/>
  <c r="AQ1713" i="10"/>
  <c r="AT1713" i="10"/>
  <c r="AP1713" i="10"/>
  <c r="AL1713" i="10"/>
  <c r="AV1713" i="10"/>
  <c r="AU1713" i="10"/>
  <c r="AS1713" i="10"/>
  <c r="AO1713" i="10"/>
  <c r="AR1713" i="10"/>
  <c r="AK1713" i="10"/>
  <c r="AN1713" i="10"/>
  <c r="AO1703" i="10"/>
  <c r="AQ1703" i="10"/>
  <c r="AK1703" i="10"/>
  <c r="AU1703" i="10"/>
  <c r="AV1703" i="10"/>
  <c r="AS1703" i="10"/>
  <c r="AN1703" i="10"/>
  <c r="AJ1703" i="10"/>
  <c r="AT1703" i="10"/>
  <c r="AQ1697" i="10"/>
  <c r="AN1697" i="10"/>
  <c r="AJ1697" i="10"/>
  <c r="AV1697" i="10"/>
  <c r="AO1697" i="10"/>
  <c r="AS1697" i="10"/>
  <c r="AR1697" i="10"/>
  <c r="AK1697" i="10"/>
  <c r="AM1697" i="10"/>
  <c r="AT1692" i="10"/>
  <c r="AS1692" i="10"/>
  <c r="AM1692" i="10"/>
  <c r="AP1692" i="10"/>
  <c r="AQ1692" i="10"/>
  <c r="AV1692" i="10"/>
  <c r="AR1692" i="10"/>
  <c r="AL1692" i="10"/>
  <c r="AJ1692" i="10"/>
  <c r="AT1651" i="10"/>
  <c r="AP1651" i="10"/>
  <c r="AX1651" i="10"/>
  <c r="AM1651" i="10"/>
  <c r="AR1651" i="10"/>
  <c r="AU1651" i="10"/>
  <c r="AK1651" i="10"/>
  <c r="AV1651" i="10"/>
  <c r="AQ1651" i="10"/>
  <c r="AO1651" i="10"/>
  <c r="AJ1651" i="10"/>
  <c r="AN1651" i="10"/>
  <c r="AS1651" i="10"/>
  <c r="AW1651" i="10"/>
  <c r="AL1651" i="10"/>
  <c r="AS1646" i="10"/>
  <c r="AM1646" i="10"/>
  <c r="AJ1646" i="10"/>
  <c r="AN1646" i="10"/>
  <c r="AW1646" i="10"/>
  <c r="AX1646" i="10"/>
  <c r="AT1646" i="10"/>
  <c r="AQ1646" i="10"/>
  <c r="AR1646" i="10"/>
  <c r="AP1646" i="10"/>
  <c r="AO1646" i="10"/>
  <c r="AR1641" i="10"/>
  <c r="AL1641" i="10"/>
  <c r="AN1641" i="10"/>
  <c r="AP1641" i="10"/>
  <c r="AT1641" i="10"/>
  <c r="AV1641" i="10"/>
  <c r="AM1641" i="10"/>
  <c r="AU1641" i="10"/>
  <c r="AJ1641" i="10"/>
  <c r="AO1641" i="10"/>
  <c r="AN1622" i="10"/>
  <c r="AQ1622" i="10"/>
  <c r="AP1622" i="10"/>
  <c r="AU1622" i="10"/>
  <c r="AS1622" i="10"/>
  <c r="AR1622" i="10"/>
  <c r="AT1622" i="10"/>
  <c r="AO1622" i="10"/>
  <c r="AJ1622" i="10"/>
  <c r="AX1622" i="10"/>
  <c r="AQ1617" i="10"/>
  <c r="AJ1617" i="10"/>
  <c r="AP1617" i="10"/>
  <c r="AT1617" i="10"/>
  <c r="AM1617" i="10"/>
  <c r="AO1617" i="10"/>
  <c r="AV1617" i="10"/>
  <c r="AL1617" i="10"/>
  <c r="AS1617" i="10"/>
  <c r="AN1617" i="10"/>
  <c r="AQ1612" i="10"/>
  <c r="AS1612" i="10"/>
  <c r="AL1612" i="10"/>
  <c r="AW1612" i="10"/>
  <c r="AM1612" i="10"/>
  <c r="AO1612" i="10"/>
  <c r="AJ1612" i="10"/>
  <c r="AP1612" i="10"/>
  <c r="AR1607" i="10"/>
  <c r="AJ1607" i="10"/>
  <c r="AU1607" i="10"/>
  <c r="AQ1607" i="10"/>
  <c r="AT1607" i="10"/>
  <c r="AS1607" i="10"/>
  <c r="AK1607" i="10"/>
  <c r="AO1607" i="10"/>
  <c r="AP1607" i="10"/>
  <c r="AM1588" i="10"/>
  <c r="AO1588" i="10"/>
  <c r="AP1588" i="10"/>
  <c r="AL1588" i="10"/>
  <c r="AS1588" i="10"/>
  <c r="AW1588" i="10"/>
  <c r="AR1588" i="10"/>
  <c r="AX1588" i="10"/>
  <c r="AQ1588" i="10"/>
  <c r="AV1588" i="10"/>
  <c r="AK1588" i="10"/>
  <c r="AN1588" i="10"/>
  <c r="AT1557" i="10"/>
  <c r="AS1557" i="10"/>
  <c r="AQ1552" i="10"/>
  <c r="AO1552" i="10"/>
  <c r="AS1552" i="10"/>
  <c r="AK1552" i="10"/>
  <c r="AJ1552" i="10"/>
  <c r="AX1552" i="10"/>
  <c r="AS1542" i="10"/>
  <c r="AT1542" i="10"/>
  <c r="AL1542" i="10"/>
  <c r="AW1542" i="10"/>
  <c r="AM1542" i="10"/>
  <c r="AU1542" i="10"/>
  <c r="AR1542" i="10"/>
  <c r="AV1542" i="10"/>
  <c r="AN1536" i="10"/>
  <c r="AQ1536" i="10"/>
  <c r="AT1510" i="10"/>
  <c r="AR1510" i="10"/>
  <c r="AM1510" i="10"/>
  <c r="AJ1510" i="10"/>
  <c r="AL1510" i="10"/>
  <c r="AO1510" i="10"/>
  <c r="AU1510" i="10"/>
  <c r="AQ1510" i="10"/>
  <c r="AV1510" i="10"/>
  <c r="AP1510" i="10"/>
  <c r="AW1489" i="10"/>
  <c r="AX1489" i="10"/>
  <c r="AN1489" i="10"/>
  <c r="AT1489" i="10"/>
  <c r="AL1489" i="10"/>
  <c r="AJ1489" i="10"/>
  <c r="AQ1474" i="10"/>
  <c r="AJ1474" i="10"/>
  <c r="AO1474" i="10"/>
  <c r="AS1474" i="10"/>
  <c r="AR1474" i="10"/>
  <c r="AJ1432" i="10"/>
  <c r="AP1432" i="10"/>
  <c r="AW1421" i="10"/>
  <c r="AU1421" i="10"/>
  <c r="AX1421" i="10"/>
  <c r="AP1421" i="10"/>
  <c r="AV1421" i="10"/>
  <c r="AQ1421" i="10"/>
  <c r="AR1421" i="10"/>
  <c r="AJ1421" i="10"/>
  <c r="AJ1410" i="10"/>
  <c r="AN1410" i="10"/>
  <c r="AT1410" i="10"/>
  <c r="AR1410" i="10"/>
  <c r="AX1410" i="10"/>
  <c r="AQ1410" i="10"/>
  <c r="AM1410" i="10"/>
  <c r="AU1410" i="10"/>
  <c r="AL1410" i="10"/>
  <c r="AP1410" i="10"/>
  <c r="AK1410" i="10"/>
  <c r="AW1410" i="10"/>
  <c r="AL1405" i="10"/>
  <c r="AX1405" i="10"/>
  <c r="AK1405" i="10"/>
  <c r="AS1405" i="10"/>
  <c r="AU1405" i="10"/>
  <c r="AR1405" i="10"/>
  <c r="AO1405" i="10"/>
  <c r="AV1405" i="10"/>
  <c r="AQ1405" i="10"/>
  <c r="AT1405" i="10"/>
  <c r="AJ1405" i="10"/>
  <c r="AW1405" i="10"/>
  <c r="AL1394" i="10"/>
  <c r="AK1394" i="10"/>
  <c r="AJ1394" i="10"/>
  <c r="AW1394" i="10"/>
  <c r="AV1394" i="10"/>
  <c r="AU1394" i="10"/>
  <c r="AM1394" i="10"/>
  <c r="AX1394" i="10"/>
  <c r="AS1394" i="10"/>
  <c r="AN1377" i="10"/>
  <c r="AM1377" i="10"/>
  <c r="AR1359" i="10"/>
  <c r="AJ1359" i="10"/>
  <c r="AM1320" i="10"/>
  <c r="AQ1320" i="10"/>
  <c r="AV1320" i="10"/>
  <c r="AL1320" i="10"/>
  <c r="AO1320" i="10"/>
  <c r="AW1320" i="10"/>
  <c r="AK1320" i="10"/>
  <c r="AN1320" i="10"/>
  <c r="AM1266" i="10"/>
  <c r="AW1266" i="10"/>
  <c r="AQ1266" i="10"/>
  <c r="AX1266" i="10"/>
  <c r="AN1266" i="10"/>
  <c r="AV1266" i="10"/>
  <c r="AO1266" i="10"/>
  <c r="AS1255" i="10"/>
  <c r="AK1255" i="10"/>
  <c r="AN1255" i="10"/>
  <c r="AT1255" i="10"/>
  <c r="AV1255" i="10"/>
  <c r="AL1255" i="10"/>
  <c r="AU1255" i="10"/>
  <c r="AO1234" i="10"/>
  <c r="AJ1234" i="10"/>
  <c r="AR1206" i="10"/>
  <c r="AL1206" i="10"/>
  <c r="AK1206" i="10"/>
  <c r="AX1206" i="10"/>
  <c r="AW1206" i="10"/>
  <c r="AP1206" i="10"/>
  <c r="AO1206" i="10"/>
  <c r="AN1206" i="10"/>
  <c r="AJ1200" i="10"/>
  <c r="AN1200" i="10"/>
  <c r="AX1194" i="10"/>
  <c r="AR1194" i="10"/>
  <c r="AW1194" i="10"/>
  <c r="AU1194" i="10"/>
  <c r="AQ1194" i="10"/>
  <c r="AP1194" i="10"/>
  <c r="AT1194" i="10"/>
  <c r="AO1194" i="10"/>
  <c r="AJ1189" i="10"/>
  <c r="AK1189" i="10"/>
  <c r="AJ1184" i="10"/>
  <c r="AM1184" i="10"/>
  <c r="AO1173" i="10"/>
  <c r="AW1173" i="10"/>
  <c r="AQ1173" i="10"/>
  <c r="AT1173" i="10"/>
  <c r="AM1173" i="10"/>
  <c r="AM1168" i="10"/>
  <c r="AJ1168" i="10"/>
  <c r="AX1168" i="10"/>
  <c r="AO1157" i="10"/>
  <c r="AJ1157" i="10"/>
  <c r="AP1140" i="10"/>
  <c r="AO1140" i="10"/>
  <c r="AW1140" i="10"/>
  <c r="AK1140" i="10"/>
  <c r="AQ1140" i="10"/>
  <c r="AN1140" i="10"/>
  <c r="AX1140" i="10"/>
  <c r="AM1140" i="10"/>
  <c r="AR1140" i="10"/>
  <c r="AV1140" i="10"/>
  <c r="AL1140" i="10"/>
  <c r="AW1112" i="10"/>
  <c r="AJ1112" i="10"/>
  <c r="AX1112" i="10"/>
  <c r="AU1112" i="10"/>
  <c r="AN1112" i="10"/>
  <c r="AJ1078" i="10"/>
  <c r="AW1078" i="10"/>
  <c r="AJ1068" i="10"/>
  <c r="AW1068" i="10"/>
  <c r="AX1018" i="10"/>
  <c r="AW1018" i="10"/>
  <c r="AK1018" i="10"/>
  <c r="AS1012" i="10"/>
  <c r="AR1012" i="10"/>
  <c r="AU1012" i="10"/>
  <c r="AM1012" i="10"/>
  <c r="AN1012" i="10"/>
  <c r="AT1012" i="10"/>
  <c r="AW1012" i="10"/>
  <c r="AO1012" i="10"/>
  <c r="AJ1012" i="10"/>
  <c r="AL1012" i="10"/>
  <c r="AX1012" i="10"/>
  <c r="AV1012" i="10"/>
  <c r="AW983" i="10"/>
  <c r="AV983" i="10"/>
  <c r="AJ983" i="10"/>
  <c r="AS983" i="10"/>
  <c r="AU983" i="10"/>
  <c r="AQ983" i="10"/>
  <c r="AK983" i="10"/>
  <c r="AM983" i="10"/>
  <c r="AP983" i="10"/>
  <c r="AO983" i="10"/>
  <c r="AN983" i="10"/>
  <c r="AT983" i="10"/>
  <c r="AX983" i="10"/>
  <c r="AK977" i="10"/>
  <c r="AM977" i="10"/>
  <c r="AR977" i="10"/>
  <c r="AP977" i="10"/>
  <c r="AJ977" i="10"/>
  <c r="AV977" i="10"/>
  <c r="AW977" i="10"/>
  <c r="AO977" i="10"/>
  <c r="AL977" i="10"/>
  <c r="AX977" i="10"/>
  <c r="AS977" i="10"/>
  <c r="AN977" i="10"/>
  <c r="AQ977" i="10"/>
  <c r="AU977" i="10"/>
  <c r="AT977" i="10"/>
  <c r="AW966" i="10"/>
  <c r="AJ966" i="10"/>
  <c r="AK966" i="10"/>
  <c r="AX966" i="10"/>
  <c r="AV960" i="10"/>
  <c r="AX960" i="10"/>
  <c r="AO960" i="10"/>
  <c r="AU960" i="10"/>
  <c r="AQ960" i="10"/>
  <c r="AT960" i="10"/>
  <c r="AL960" i="10"/>
  <c r="AM960" i="10"/>
  <c r="AK960" i="10"/>
  <c r="AS960" i="10"/>
  <c r="AW960" i="10"/>
  <c r="AP960" i="10"/>
  <c r="AR960" i="10"/>
  <c r="AV949" i="10"/>
  <c r="AS949" i="10"/>
  <c r="AK949" i="10"/>
  <c r="AT949" i="10"/>
  <c r="AN949" i="10"/>
  <c r="AM949" i="10"/>
  <c r="AX949" i="10"/>
  <c r="AR949" i="10"/>
  <c r="AU949" i="10"/>
  <c r="AQ949" i="10"/>
  <c r="AJ949" i="10"/>
  <c r="AW949" i="10"/>
  <c r="AP949" i="10"/>
  <c r="AV930" i="10"/>
  <c r="AK930" i="10"/>
  <c r="AS930" i="10"/>
  <c r="AW930" i="10"/>
  <c r="AP930" i="10"/>
  <c r="AN930" i="10"/>
  <c r="AM930" i="10"/>
  <c r="AU930" i="10"/>
  <c r="AR930" i="10"/>
  <c r="AQ930" i="10"/>
  <c r="AJ930" i="10"/>
  <c r="AX930" i="10"/>
  <c r="AO930" i="10"/>
  <c r="AL930" i="10"/>
  <c r="AT930" i="10"/>
  <c r="AW910" i="10"/>
  <c r="AO910" i="10"/>
  <c r="AX910" i="10"/>
  <c r="AU905" i="10"/>
  <c r="AP905" i="10"/>
  <c r="AT905" i="10"/>
  <c r="AW892" i="10"/>
  <c r="AK892" i="10"/>
  <c r="AX892" i="10"/>
  <c r="AR885" i="10"/>
  <c r="AW885" i="10"/>
  <c r="AX885" i="10"/>
  <c r="AW873" i="10"/>
  <c r="AX873" i="10"/>
  <c r="AV865" i="10"/>
  <c r="AU865" i="10"/>
  <c r="AV855" i="10"/>
  <c r="AS855" i="10"/>
  <c r="AW855" i="10"/>
  <c r="AX855" i="10"/>
  <c r="AL855" i="10"/>
  <c r="AR855" i="10"/>
  <c r="AR850" i="10"/>
  <c r="AW850" i="10"/>
  <c r="AX850" i="10"/>
  <c r="AU850" i="10"/>
  <c r="AW839" i="10"/>
  <c r="AX839" i="10"/>
  <c r="AK839" i="10"/>
  <c r="Y116" i="45"/>
  <c r="U116" i="45"/>
  <c r="X18" i="43" s="1"/>
  <c r="U107" i="45"/>
  <c r="U89" i="45"/>
  <c r="X16" i="43" s="1"/>
  <c r="W98" i="45"/>
  <c r="Y98" i="45"/>
  <c r="AX833" i="10"/>
  <c r="Y89" i="45"/>
  <c r="AX821" i="10"/>
  <c r="AW821" i="10"/>
  <c r="AJ812" i="10"/>
  <c r="AX812" i="10"/>
  <c r="AX804" i="10"/>
  <c r="AW804" i="10"/>
  <c r="AJ784" i="10"/>
  <c r="AX784" i="10"/>
  <c r="AW784" i="10"/>
  <c r="AJ857" i="10"/>
  <c r="AP857" i="10"/>
  <c r="AX769" i="10"/>
  <c r="AJ769" i="10"/>
  <c r="AW769" i="10"/>
  <c r="AD105" i="45"/>
  <c r="AK747" i="10"/>
  <c r="AW747" i="10"/>
  <c r="AX747" i="10"/>
  <c r="G105" i="45"/>
  <c r="AX741" i="10"/>
  <c r="AW741" i="10"/>
  <c r="AK741" i="10"/>
  <c r="AF99" i="45"/>
  <c r="AX734" i="10"/>
  <c r="AW734" i="10"/>
  <c r="W99" i="45"/>
  <c r="AO117" i="45"/>
  <c r="W108" i="45"/>
  <c r="AH90" i="45"/>
  <c r="Y108" i="45"/>
  <c r="P117" i="45"/>
  <c r="AF117" i="45"/>
  <c r="AH108" i="45"/>
  <c r="AF90" i="45"/>
  <c r="E99" i="45"/>
  <c r="E90" i="45"/>
  <c r="AH117" i="45"/>
  <c r="E117" i="45"/>
  <c r="AF108" i="45"/>
  <c r="AD117" i="45"/>
  <c r="G108" i="45"/>
  <c r="G129" i="45"/>
  <c r="AX731" i="10"/>
  <c r="AW731" i="10"/>
  <c r="AX689" i="10"/>
  <c r="AW689" i="10"/>
  <c r="AK689" i="10"/>
  <c r="AJ689" i="10"/>
  <c r="AX686" i="10"/>
  <c r="AK686" i="10"/>
  <c r="AJ686" i="10"/>
  <c r="AW686" i="10"/>
  <c r="AS682" i="10"/>
  <c r="AR682" i="10"/>
  <c r="AQ682" i="10"/>
  <c r="AP682" i="10"/>
  <c r="AO682" i="10"/>
  <c r="AN682" i="10"/>
  <c r="AM682" i="10"/>
  <c r="AU682" i="10"/>
  <c r="AT682" i="10"/>
  <c r="AJ682" i="10"/>
  <c r="AX682" i="10"/>
  <c r="AL682" i="10"/>
  <c r="AK682" i="10"/>
  <c r="AW682" i="10"/>
  <c r="AV682" i="10"/>
  <c r="C89" i="45"/>
  <c r="C98" i="45"/>
  <c r="E17" i="43" s="1"/>
  <c r="C107" i="45"/>
  <c r="E18" i="43" s="1"/>
  <c r="AV2724" i="10"/>
  <c r="AP2724" i="10"/>
  <c r="AM2724" i="10"/>
  <c r="AV2718" i="10"/>
  <c r="AX2718" i="10"/>
  <c r="AS2718" i="10"/>
  <c r="AJ2718" i="10"/>
  <c r="AO2718" i="10"/>
  <c r="AM2690" i="10"/>
  <c r="AO2690" i="10"/>
  <c r="AK2690" i="10"/>
  <c r="AP2690" i="10"/>
  <c r="AX2690" i="10"/>
  <c r="AJ2690" i="10"/>
  <c r="AT2685" i="10"/>
  <c r="AN2685" i="10"/>
  <c r="AV2685" i="10"/>
  <c r="AS2685" i="10"/>
  <c r="AU2685" i="10"/>
  <c r="AL2685" i="10"/>
  <c r="AW2685" i="10"/>
  <c r="AW2669" i="10"/>
  <c r="AT2669" i="10"/>
  <c r="AM2669" i="10"/>
  <c r="AS2669" i="10"/>
  <c r="AQ2669" i="10"/>
  <c r="AK2669" i="10"/>
  <c r="AL2669" i="10"/>
  <c r="AP2454" i="10"/>
  <c r="AK2454" i="10"/>
  <c r="AT2454" i="10"/>
  <c r="AU2454" i="10"/>
  <c r="AL2454" i="10"/>
  <c r="AN2454" i="10"/>
  <c r="AW2454" i="10"/>
  <c r="AQ2454" i="10"/>
  <c r="AO2454" i="10"/>
  <c r="AX2454" i="10"/>
  <c r="AM2454" i="10"/>
  <c r="AR2454" i="10"/>
  <c r="AO2656" i="10"/>
  <c r="AW2656" i="10"/>
  <c r="AK2656" i="10"/>
  <c r="AU2656" i="10"/>
  <c r="AQ2656" i="10"/>
  <c r="AR2656" i="10"/>
  <c r="AN2656" i="10"/>
  <c r="AW2599" i="10"/>
  <c r="AX2599" i="10"/>
  <c r="AV2599" i="10"/>
  <c r="AP2599" i="10"/>
  <c r="AM2599" i="10"/>
  <c r="AL2599" i="10"/>
  <c r="AK2599" i="10"/>
  <c r="AR2599" i="10"/>
  <c r="AQ2599" i="10"/>
  <c r="AS2599" i="10"/>
  <c r="AU2599" i="10"/>
  <c r="AP2583" i="10"/>
  <c r="AQ2583" i="10"/>
  <c r="AL2583" i="10"/>
  <c r="AM2583" i="10"/>
  <c r="AK2583" i="10"/>
  <c r="AN2583" i="10"/>
  <c r="AJ2583" i="10"/>
  <c r="AS2583" i="10"/>
  <c r="AQ2578" i="10"/>
  <c r="AN2578" i="10"/>
  <c r="AO2578" i="10"/>
  <c r="AS2578" i="10"/>
  <c r="AJ2578" i="10"/>
  <c r="AR2578" i="10"/>
  <c r="AP2578" i="10"/>
  <c r="AT2578" i="10"/>
  <c r="AW2578" i="10"/>
  <c r="AX2578" i="10"/>
  <c r="AM2578" i="10"/>
  <c r="AK2578" i="10"/>
  <c r="AX2567" i="10"/>
  <c r="AO2567" i="10"/>
  <c r="AR2567" i="10"/>
  <c r="AS2567" i="10"/>
  <c r="AQ2567" i="10"/>
  <c r="AK2567" i="10"/>
  <c r="AT2567" i="10"/>
  <c r="AP2567" i="10"/>
  <c r="AJ2567" i="10"/>
  <c r="AN2567" i="10"/>
  <c r="AJ2562" i="10"/>
  <c r="AN2562" i="10"/>
  <c r="AW2562" i="10"/>
  <c r="AO2562" i="10"/>
  <c r="AW2558" i="10"/>
  <c r="AV2558" i="10"/>
  <c r="AM2558" i="10"/>
  <c r="AS2558" i="10"/>
  <c r="AQ2558" i="10"/>
  <c r="AT2558" i="10"/>
  <c r="AP2558" i="10"/>
  <c r="AK2558" i="10"/>
  <c r="AR2558" i="10"/>
  <c r="AU2558" i="10"/>
  <c r="AO2558" i="10"/>
  <c r="AJ2558" i="10"/>
  <c r="AL2558" i="10"/>
  <c r="AS2553" i="10"/>
  <c r="AN2553" i="10"/>
  <c r="AR2553" i="10"/>
  <c r="AU2553" i="10"/>
  <c r="AV2553" i="10"/>
  <c r="AS2548" i="10"/>
  <c r="AT2548" i="10"/>
  <c r="AW2548" i="10"/>
  <c r="AL2548" i="10"/>
  <c r="AN2548" i="10"/>
  <c r="AK2548" i="10"/>
  <c r="AP2548" i="10"/>
  <c r="AU2548" i="10"/>
  <c r="AV2548" i="10"/>
  <c r="AO2548" i="10"/>
  <c r="AJ2548" i="10"/>
  <c r="AM2548" i="10"/>
  <c r="AR2548" i="10"/>
  <c r="AX2548" i="10"/>
  <c r="AQ2548" i="10"/>
  <c r="AN2533" i="10"/>
  <c r="AQ2533" i="10"/>
  <c r="AR2533" i="10"/>
  <c r="AV2533" i="10"/>
  <c r="AP2533" i="10"/>
  <c r="AJ2533" i="10"/>
  <c r="AX2533" i="10"/>
  <c r="AR2528" i="10"/>
  <c r="AP2528" i="10"/>
  <c r="AX2528" i="10"/>
  <c r="AS2528" i="10"/>
  <c r="AV2528" i="10"/>
  <c r="AK2528" i="10"/>
  <c r="AM2528" i="10"/>
  <c r="AJ2528" i="10"/>
  <c r="AK2512" i="10"/>
  <c r="AS2512" i="10"/>
  <c r="AV2512" i="10"/>
  <c r="AT2512" i="10"/>
  <c r="AN2512" i="10"/>
  <c r="AR2512" i="10"/>
  <c r="AP2512" i="10"/>
  <c r="AW2512" i="10"/>
  <c r="AM2512" i="10"/>
  <c r="AX2512" i="10"/>
  <c r="AO2512" i="10"/>
  <c r="AU2512" i="10"/>
  <c r="AQ2512" i="10"/>
  <c r="AS2476" i="10"/>
  <c r="AW2476" i="10"/>
  <c r="AO2476" i="10"/>
  <c r="AQ2476" i="10"/>
  <c r="AV2476" i="10"/>
  <c r="AN2476" i="10"/>
  <c r="AK2476" i="10"/>
  <c r="AL2476" i="10"/>
  <c r="AP2476" i="10"/>
  <c r="AM2465" i="10"/>
  <c r="AP2465" i="10"/>
  <c r="AS2465" i="10"/>
  <c r="AO2465" i="10"/>
  <c r="AN2465" i="10"/>
  <c r="AK2465" i="10"/>
  <c r="AV2465" i="10"/>
  <c r="AQ2465" i="10"/>
  <c r="AU2465" i="10"/>
  <c r="AL2465" i="10"/>
  <c r="AT2465" i="10"/>
  <c r="AW2465" i="10"/>
  <c r="AV2449" i="10"/>
  <c r="AU2449" i="10"/>
  <c r="AP2449" i="10"/>
  <c r="AK2449" i="10"/>
  <c r="AM2449" i="10"/>
  <c r="AT2449" i="10"/>
  <c r="AQ2449" i="10"/>
  <c r="AS2449" i="10"/>
  <c r="AX2449" i="10"/>
  <c r="AL2449" i="10"/>
  <c r="AR2449" i="10"/>
  <c r="AO2449" i="10"/>
  <c r="AJ2449" i="10"/>
  <c r="AN2449" i="10"/>
  <c r="AW2449" i="10"/>
  <c r="AV2432" i="10"/>
  <c r="AT2432" i="10"/>
  <c r="AK2432" i="10"/>
  <c r="AP2432" i="10"/>
  <c r="AN2432" i="10"/>
  <c r="AU2432" i="10"/>
  <c r="AM2432" i="10"/>
  <c r="AR2432" i="10"/>
  <c r="AQ2432" i="10"/>
  <c r="AO2432" i="10"/>
  <c r="AL2432" i="10"/>
  <c r="AX2432" i="10"/>
  <c r="AR2421" i="10"/>
  <c r="AU2421" i="10"/>
  <c r="AV2421" i="10"/>
  <c r="AK2421" i="10"/>
  <c r="AT2421" i="10"/>
  <c r="AJ2421" i="10"/>
  <c r="AS2421" i="10"/>
  <c r="AQ2421" i="10"/>
  <c r="AM2421" i="10"/>
  <c r="AP2421" i="10"/>
  <c r="AO2421" i="10"/>
  <c r="AL2421" i="10"/>
  <c r="AV2415" i="10"/>
  <c r="AK2415" i="10"/>
  <c r="AX2415" i="10"/>
  <c r="AQ2415" i="10"/>
  <c r="AL2415" i="10"/>
  <c r="AT2415" i="10"/>
  <c r="AN2415" i="10"/>
  <c r="AM2415" i="10"/>
  <c r="AU2415" i="10"/>
  <c r="AO2415" i="10"/>
  <c r="AS2415" i="10"/>
  <c r="AW2415" i="10"/>
  <c r="AP2415" i="10"/>
  <c r="AJ2415" i="10"/>
  <c r="AR2415" i="10"/>
  <c r="AR2393" i="10"/>
  <c r="AX2393" i="10"/>
  <c r="AT2393" i="10"/>
  <c r="AV2393" i="10"/>
  <c r="AP2393" i="10"/>
  <c r="AM2393" i="10"/>
  <c r="AQ2393" i="10"/>
  <c r="AL2393" i="10"/>
  <c r="AW2393" i="10"/>
  <c r="AS2393" i="10"/>
  <c r="AU2393" i="10"/>
  <c r="AU2356" i="10"/>
  <c r="AK2356" i="10"/>
  <c r="AL2356" i="10"/>
  <c r="AR2356" i="10"/>
  <c r="AO2356" i="10"/>
  <c r="AN2356" i="10"/>
  <c r="AT2356" i="10"/>
  <c r="AS2356" i="10"/>
  <c r="AW2356" i="10"/>
  <c r="AJ2356" i="10"/>
  <c r="AX2356" i="10"/>
  <c r="AM2356" i="10"/>
  <c r="AV2356" i="10"/>
  <c r="AQ2356" i="10"/>
  <c r="AP2356" i="10"/>
  <c r="AS2346" i="10"/>
  <c r="AM2346" i="10"/>
  <c r="AR2346" i="10"/>
  <c r="AT2346" i="10"/>
  <c r="AN2346" i="10"/>
  <c r="AL2346" i="10"/>
  <c r="AP2346" i="10"/>
  <c r="AV2346" i="10"/>
  <c r="AU2346" i="10"/>
  <c r="AQ2346" i="10"/>
  <c r="AK2346" i="10"/>
  <c r="AJ2346" i="10"/>
  <c r="AX2346" i="10"/>
  <c r="AN2331" i="10"/>
  <c r="AS2331" i="10"/>
  <c r="AM2331" i="10"/>
  <c r="AQ2331" i="10"/>
  <c r="AV2331" i="10"/>
  <c r="AW2331" i="10"/>
  <c r="AP2331" i="10"/>
  <c r="AX2331" i="10"/>
  <c r="AU2331" i="10"/>
  <c r="AN2315" i="10"/>
  <c r="AL2315" i="10"/>
  <c r="AV2315" i="10"/>
  <c r="AS2315" i="10"/>
  <c r="AU2315" i="10"/>
  <c r="AR2315" i="10"/>
  <c r="AM2315" i="10"/>
  <c r="AW2315" i="10"/>
  <c r="AT2315" i="10"/>
  <c r="AX2315" i="10"/>
  <c r="AQ2315" i="10"/>
  <c r="AK2315" i="10"/>
  <c r="AJ2315" i="10"/>
  <c r="AP2315" i="10"/>
  <c r="AO2315" i="10"/>
  <c r="AP2310" i="10"/>
  <c r="AV2310" i="10"/>
  <c r="AX2310" i="10"/>
  <c r="AK2310" i="10"/>
  <c r="AS2310" i="10"/>
  <c r="AM2310" i="10"/>
  <c r="AO2310" i="10"/>
  <c r="AU2310" i="10"/>
  <c r="AW2310" i="10"/>
  <c r="AQ2310" i="10"/>
  <c r="AN2310" i="10"/>
  <c r="AR2310" i="10"/>
  <c r="AJ2310" i="10"/>
  <c r="AW2305" i="10"/>
  <c r="AS2305" i="10"/>
  <c r="AV2305" i="10"/>
  <c r="AL2305" i="10"/>
  <c r="AN2305" i="10"/>
  <c r="AU2305" i="10"/>
  <c r="AT2305" i="10"/>
  <c r="AP2305" i="10"/>
  <c r="AX2305" i="10"/>
  <c r="AM2305" i="10"/>
  <c r="AR2305" i="10"/>
  <c r="AK2305" i="10"/>
  <c r="AO2305" i="10"/>
  <c r="AU2300" i="10"/>
  <c r="AX2300" i="10"/>
  <c r="AO2300" i="10"/>
  <c r="AW2300" i="10"/>
  <c r="AP2300" i="10"/>
  <c r="AQ2300" i="10"/>
  <c r="AS2300" i="10"/>
  <c r="AR2300" i="10"/>
  <c r="Y42" i="45"/>
  <c r="AT2300" i="10"/>
  <c r="AN2300" i="10"/>
  <c r="AM2300" i="10"/>
  <c r="W33" i="45"/>
  <c r="W51" i="45"/>
  <c r="Y6" i="45"/>
  <c r="W42" i="45"/>
  <c r="Y24" i="45"/>
  <c r="U51" i="45"/>
  <c r="V12" i="43" s="1"/>
  <c r="W6" i="45"/>
  <c r="W24" i="45"/>
  <c r="Y15" i="45"/>
  <c r="U33" i="45"/>
  <c r="V10" i="43" s="1"/>
  <c r="U42" i="45"/>
  <c r="AP2294" i="10"/>
  <c r="AM2294" i="10"/>
  <c r="AV2294" i="10"/>
  <c r="AO2294" i="10"/>
  <c r="AX2294" i="10"/>
  <c r="AW2294" i="10"/>
  <c r="AS2294" i="10"/>
  <c r="AQ2294" i="10"/>
  <c r="AR2294" i="10"/>
  <c r="AN2294" i="10"/>
  <c r="AK2294" i="10"/>
  <c r="AU2294" i="10"/>
  <c r="AP2289" i="10"/>
  <c r="AN2289" i="10"/>
  <c r="AV2289" i="10"/>
  <c r="AS2289" i="10"/>
  <c r="AW2289" i="10"/>
  <c r="AL2289" i="10"/>
  <c r="AU2289" i="10"/>
  <c r="AX2289" i="10"/>
  <c r="AR2289" i="10"/>
  <c r="AT2289" i="10"/>
  <c r="AK2289" i="10"/>
  <c r="AJ2289" i="10"/>
  <c r="AO2289" i="10"/>
  <c r="AQ2289" i="10"/>
  <c r="AU2283" i="10"/>
  <c r="AM2283" i="10"/>
  <c r="AJ2283" i="10"/>
  <c r="AQ2283" i="10"/>
  <c r="AR2283" i="10"/>
  <c r="AO2283" i="10"/>
  <c r="AT2283" i="10"/>
  <c r="AX2283" i="10"/>
  <c r="AV2283" i="10"/>
  <c r="AS2283" i="10"/>
  <c r="AK2283" i="10"/>
  <c r="AL2283" i="10"/>
  <c r="AW2283" i="10"/>
  <c r="AP2283" i="10"/>
  <c r="AN2283" i="10"/>
  <c r="AN2263" i="10"/>
  <c r="AM2263" i="10"/>
  <c r="AX2263" i="10"/>
  <c r="AK2263" i="10"/>
  <c r="AW2263" i="10"/>
  <c r="AS2263" i="10"/>
  <c r="AQ2263" i="10"/>
  <c r="AU2263" i="10"/>
  <c r="AV2263" i="10"/>
  <c r="AO2263" i="10"/>
  <c r="AT2263" i="10"/>
  <c r="AL2263" i="10"/>
  <c r="AP2263" i="10"/>
  <c r="AJ2263" i="10"/>
  <c r="AR2263" i="10"/>
  <c r="AT2258" i="10"/>
  <c r="AX2258" i="10"/>
  <c r="AQ2258" i="10"/>
  <c r="AN2258" i="10"/>
  <c r="AK2258" i="10"/>
  <c r="AR2258" i="10"/>
  <c r="AP2258" i="10"/>
  <c r="AU2258" i="10"/>
  <c r="AL2258" i="10"/>
  <c r="AW2258" i="10"/>
  <c r="AS2258" i="10"/>
  <c r="AQ2249" i="10"/>
  <c r="AV2249" i="10"/>
  <c r="AO2249" i="10"/>
  <c r="AK2249" i="10"/>
  <c r="AJ2249" i="10"/>
  <c r="AW2249" i="10"/>
  <c r="AM2249" i="10"/>
  <c r="AP2249" i="10"/>
  <c r="AU2249" i="10"/>
  <c r="AN2249" i="10"/>
  <c r="AR2249" i="10"/>
  <c r="AT2249" i="10"/>
  <c r="AL2249" i="10"/>
  <c r="AX2238" i="10"/>
  <c r="AK2238" i="10"/>
  <c r="AV2238" i="10"/>
  <c r="AU2238" i="10"/>
  <c r="AW2238" i="10"/>
  <c r="AT2238" i="10"/>
  <c r="AL2238" i="10"/>
  <c r="AQ2238" i="10"/>
  <c r="AR2238" i="10"/>
  <c r="AJ2238" i="10"/>
  <c r="AN2238" i="10"/>
  <c r="AO2238" i="10"/>
  <c r="AM2238" i="10"/>
  <c r="AW2222" i="10"/>
  <c r="AS2222" i="10"/>
  <c r="AV2222" i="10"/>
  <c r="AK2222" i="10"/>
  <c r="AU2222" i="10"/>
  <c r="AO2222" i="10"/>
  <c r="AL2222" i="10"/>
  <c r="AJ2222" i="10"/>
  <c r="AR2222" i="10"/>
  <c r="AN2222" i="10"/>
  <c r="AT2222" i="10"/>
  <c r="AM2222" i="10"/>
  <c r="AW2215" i="10"/>
  <c r="AX2215" i="10"/>
  <c r="AQ2215" i="10"/>
  <c r="AJ2215" i="10"/>
  <c r="AU2215" i="10"/>
  <c r="AO2215" i="10"/>
  <c r="AT2215" i="10"/>
  <c r="AR2215" i="10"/>
  <c r="AM2215" i="10"/>
  <c r="AS2215" i="10"/>
  <c r="AO2210" i="10"/>
  <c r="AS2210" i="10"/>
  <c r="AK2210" i="10"/>
  <c r="AV2210" i="10"/>
  <c r="AX2210" i="10"/>
  <c r="AW2210" i="10"/>
  <c r="AU2210" i="10"/>
  <c r="AN2210" i="10"/>
  <c r="AM2210" i="10"/>
  <c r="AP2210" i="10"/>
  <c r="AL2210" i="10"/>
  <c r="AR2210" i="10"/>
  <c r="AQ2210" i="10"/>
  <c r="AT2210" i="10"/>
  <c r="AQ2205" i="10"/>
  <c r="AW2205" i="10"/>
  <c r="AU2205" i="10"/>
  <c r="AM2205" i="10"/>
  <c r="AX2205" i="10"/>
  <c r="AJ2205" i="10"/>
  <c r="AK2205" i="10"/>
  <c r="AN2205" i="10"/>
  <c r="AS2205" i="10"/>
  <c r="AV2205" i="10"/>
  <c r="AL2205" i="10"/>
  <c r="AT2205" i="10"/>
  <c r="AX2185" i="10"/>
  <c r="AO2185" i="10"/>
  <c r="AS2185" i="10"/>
  <c r="AQ2185" i="10"/>
  <c r="AT2185" i="10"/>
  <c r="AJ2185" i="10"/>
  <c r="AN2185" i="10"/>
  <c r="AR2185" i="10"/>
  <c r="AM2185" i="10"/>
  <c r="AL2185" i="10"/>
  <c r="AU2185" i="10"/>
  <c r="AW2185" i="10"/>
  <c r="AP2185" i="10"/>
  <c r="AV2185" i="10"/>
  <c r="AU2161" i="10"/>
  <c r="AX2161" i="10"/>
  <c r="AN2161" i="10"/>
  <c r="AT2161" i="10"/>
  <c r="AV2161" i="10"/>
  <c r="AS2161" i="10"/>
  <c r="AO2161" i="10"/>
  <c r="AQ2161" i="10"/>
  <c r="AL2161" i="10"/>
  <c r="AK2161" i="10"/>
  <c r="AW2161" i="10"/>
  <c r="AR2161" i="10"/>
  <c r="AJ2161" i="10"/>
  <c r="AM2161" i="10"/>
  <c r="AP2161" i="10"/>
  <c r="AV2156" i="10"/>
  <c r="AN2156" i="10"/>
  <c r="AT2156" i="10"/>
  <c r="AK2156" i="10"/>
  <c r="AM2156" i="10"/>
  <c r="AO2156" i="10"/>
  <c r="AL2156" i="10"/>
  <c r="AP2156" i="10"/>
  <c r="AQ2156" i="10"/>
  <c r="AW2156" i="10"/>
  <c r="AR2156" i="10"/>
  <c r="AU2156" i="10"/>
  <c r="AS2156" i="10"/>
  <c r="AX2156" i="10"/>
  <c r="AU2150" i="10"/>
  <c r="AX2150" i="10"/>
  <c r="AK2150" i="10"/>
  <c r="AJ2150" i="10"/>
  <c r="AV2150" i="10"/>
  <c r="AL2150" i="10"/>
  <c r="AN2150" i="10"/>
  <c r="AP2150" i="10"/>
  <c r="AO2150" i="10"/>
  <c r="AT2150" i="10"/>
  <c r="AS2150" i="10"/>
  <c r="AR2150" i="10"/>
  <c r="AQ2150" i="10"/>
  <c r="AW2150" i="10"/>
  <c r="AM2150" i="10"/>
  <c r="AQ2134" i="10"/>
  <c r="AX2134" i="10"/>
  <c r="AM2134" i="10"/>
  <c r="AU2134" i="10"/>
  <c r="AO2134" i="10"/>
  <c r="AV2129" i="10"/>
  <c r="AJ2129" i="10"/>
  <c r="AW2129" i="10"/>
  <c r="AQ2129" i="10"/>
  <c r="AK2129" i="10"/>
  <c r="AP2129" i="10"/>
  <c r="AM2129" i="10"/>
  <c r="AU2129" i="10"/>
  <c r="AX2129" i="10"/>
  <c r="AS2123" i="10"/>
  <c r="AR2123" i="10"/>
  <c r="AP2123" i="10"/>
  <c r="AU2123" i="10"/>
  <c r="AL2116" i="10"/>
  <c r="AT2116" i="10"/>
  <c r="AV2116" i="10"/>
  <c r="AR2116" i="10"/>
  <c r="AP2116" i="10"/>
  <c r="AX2116" i="10"/>
  <c r="AS2116" i="10"/>
  <c r="AK2116" i="10"/>
  <c r="AW2116" i="10"/>
  <c r="AQ2116" i="10"/>
  <c r="AO2116" i="10"/>
  <c r="AM2116" i="10"/>
  <c r="AN2116" i="10"/>
  <c r="AJ2116" i="10"/>
  <c r="AU2116" i="10"/>
  <c r="AN2111" i="10"/>
  <c r="AW2111" i="10"/>
  <c r="AO2111" i="10"/>
  <c r="AU2111" i="10"/>
  <c r="AR2111" i="10"/>
  <c r="AS2111" i="10"/>
  <c r="AT2111" i="10"/>
  <c r="AX2111" i="10"/>
  <c r="AQ2111" i="10"/>
  <c r="AK2111" i="10"/>
  <c r="AV2111" i="10"/>
  <c r="AM2111" i="10"/>
  <c r="AJ2111" i="10"/>
  <c r="AL2111" i="10"/>
  <c r="AL2106" i="10"/>
  <c r="AO2106" i="10"/>
  <c r="AW2106" i="10"/>
  <c r="AQ2106" i="10"/>
  <c r="AV2106" i="10"/>
  <c r="AN2106" i="10"/>
  <c r="AM2106" i="10"/>
  <c r="AX2078" i="10"/>
  <c r="AR2078" i="10"/>
  <c r="AU2078" i="10"/>
  <c r="AO2078" i="10"/>
  <c r="AL2078" i="10"/>
  <c r="AT2078" i="10"/>
  <c r="AV2078" i="10"/>
  <c r="AK2078" i="10"/>
  <c r="AQ2078" i="10"/>
  <c r="AN2078" i="10"/>
  <c r="AW2078" i="10"/>
  <c r="AJ2078" i="10"/>
  <c r="AQ2068" i="10"/>
  <c r="AU2068" i="10"/>
  <c r="AM2068" i="10"/>
  <c r="AV2068" i="10"/>
  <c r="AN2068" i="10"/>
  <c r="AK2068" i="10"/>
  <c r="AP2068" i="10"/>
  <c r="AW2068" i="10"/>
  <c r="AX2068" i="10"/>
  <c r="AS2068" i="10"/>
  <c r="AT2068" i="10"/>
  <c r="AR2068" i="10"/>
  <c r="AO2068" i="10"/>
  <c r="AJ2068" i="10"/>
  <c r="AL2068" i="10"/>
  <c r="AS2045" i="10"/>
  <c r="AN2045" i="10"/>
  <c r="AX2045" i="10"/>
  <c r="AJ2045" i="10"/>
  <c r="AK2039" i="10"/>
  <c r="AQ2039" i="10"/>
  <c r="AO2039" i="10"/>
  <c r="AM2039" i="10"/>
  <c r="AR2039" i="10"/>
  <c r="AR2010" i="10"/>
  <c r="AT2010" i="10"/>
  <c r="AW2010" i="10"/>
  <c r="AK2010" i="10"/>
  <c r="AJ2010" i="10"/>
  <c r="AX2003" i="10"/>
  <c r="AK2003" i="10"/>
  <c r="AS2003" i="10"/>
  <c r="AV2003" i="10"/>
  <c r="AV1975" i="10"/>
  <c r="AT1975" i="10"/>
  <c r="AK1975" i="10"/>
  <c r="AU1975" i="10"/>
  <c r="AR1975" i="10"/>
  <c r="AO1970" i="10"/>
  <c r="AS1970" i="10"/>
  <c r="AX1953" i="10"/>
  <c r="AL1953" i="10"/>
  <c r="AJ1953" i="10"/>
  <c r="AS1953" i="10"/>
  <c r="AM1942" i="10"/>
  <c r="AU1942" i="10"/>
  <c r="AQ1942" i="10"/>
  <c r="AJ1942" i="10"/>
  <c r="AW1942" i="10"/>
  <c r="AL1942" i="10"/>
  <c r="AP1942" i="10"/>
  <c r="AT1942" i="10"/>
  <c r="AV1942" i="10"/>
  <c r="AX1942" i="10"/>
  <c r="AN1942" i="10"/>
  <c r="AS1942" i="10"/>
  <c r="AK1942" i="10"/>
  <c r="AR1942" i="10"/>
  <c r="AO1942" i="10"/>
  <c r="W60" i="45"/>
  <c r="AX1902" i="10"/>
  <c r="AK1902" i="10"/>
  <c r="AQ1902" i="10"/>
  <c r="AL1902" i="10"/>
  <c r="AO1902" i="10"/>
  <c r="AR1902" i="10"/>
  <c r="AW1891" i="10"/>
  <c r="AO1891" i="10"/>
  <c r="AS1891" i="10"/>
  <c r="AR1891" i="10"/>
  <c r="AK1891" i="10"/>
  <c r="AX1891" i="10"/>
  <c r="AN1891" i="10"/>
  <c r="AM1891" i="10"/>
  <c r="AU1891" i="10"/>
  <c r="AT1891" i="10"/>
  <c r="AL1891" i="10"/>
  <c r="AV1891" i="10"/>
  <c r="AP1891" i="10"/>
  <c r="AM1870" i="10"/>
  <c r="AX1870" i="10"/>
  <c r="AT1870" i="10"/>
  <c r="AV1870" i="10"/>
  <c r="AL1870" i="10"/>
  <c r="AW1870" i="10"/>
  <c r="AO1870" i="10"/>
  <c r="AK1870" i="10"/>
  <c r="AH79" i="45"/>
  <c r="AU1870" i="10"/>
  <c r="AN1870" i="10"/>
  <c r="AQ1870" i="10"/>
  <c r="AP1870" i="10"/>
  <c r="AR1870" i="10"/>
  <c r="AS1870" i="10"/>
  <c r="AR1865" i="10"/>
  <c r="AU1865" i="10"/>
  <c r="AQ1865" i="10"/>
  <c r="AS1865" i="10"/>
  <c r="AW1865" i="10"/>
  <c r="N70" i="45"/>
  <c r="AN1828" i="10"/>
  <c r="AT1828" i="10"/>
  <c r="AK1828" i="10"/>
  <c r="AQ1828" i="10"/>
  <c r="AV1828" i="10"/>
  <c r="AL1828" i="10"/>
  <c r="AS1828" i="10"/>
  <c r="AU1828" i="10"/>
  <c r="AO1828" i="10"/>
  <c r="AP1828" i="10"/>
  <c r="AT1819" i="10"/>
  <c r="AQ1819" i="10"/>
  <c r="AS1819" i="10"/>
  <c r="AV1819" i="10"/>
  <c r="AJ1819" i="10"/>
  <c r="AP1819" i="10"/>
  <c r="AU1805" i="10"/>
  <c r="AM1805" i="10"/>
  <c r="AS1805" i="10"/>
  <c r="AL1805" i="10"/>
  <c r="AN1805" i="10"/>
  <c r="AV1805" i="10"/>
  <c r="AP1805" i="10"/>
  <c r="AK1805" i="10"/>
  <c r="AT1805" i="10"/>
  <c r="AW1805" i="10"/>
  <c r="AO1805" i="10"/>
  <c r="AU1790" i="10"/>
  <c r="AR1790" i="10"/>
  <c r="AO1790" i="10"/>
  <c r="AP1790" i="10"/>
  <c r="AK1790" i="10"/>
  <c r="AN1790" i="10"/>
  <c r="AT1790" i="10"/>
  <c r="AQ1790" i="10"/>
  <c r="AL1790" i="10"/>
  <c r="AV1790" i="10"/>
  <c r="AM1790" i="10"/>
  <c r="AS1790" i="10"/>
  <c r="AX1790" i="10"/>
  <c r="AW1790" i="10"/>
  <c r="AU1774" i="10"/>
  <c r="AN1774" i="10"/>
  <c r="AJ1741" i="10"/>
  <c r="AW1741" i="10"/>
  <c r="AO1741" i="10"/>
  <c r="AP1741" i="10"/>
  <c r="AV1741" i="10"/>
  <c r="AL1732" i="10"/>
  <c r="AW1732" i="10"/>
  <c r="AQ1732" i="10"/>
  <c r="AM1732" i="10"/>
  <c r="AP1732" i="10"/>
  <c r="AX1732" i="10"/>
  <c r="AT1732" i="10"/>
  <c r="AJ1732" i="10"/>
  <c r="AR1732" i="10"/>
  <c r="AN1732" i="10"/>
  <c r="AS1732" i="10"/>
  <c r="AU1732" i="10"/>
  <c r="AO1732" i="10"/>
  <c r="AQ1723" i="10"/>
  <c r="AV1723" i="10"/>
  <c r="AK1723" i="10"/>
  <c r="AO1723" i="10"/>
  <c r="AP1723" i="10"/>
  <c r="AU1723" i="10"/>
  <c r="AM1723" i="10"/>
  <c r="AT1723" i="10"/>
  <c r="AJ1723" i="10"/>
  <c r="AR1723" i="10"/>
  <c r="AO1708" i="10"/>
  <c r="AT1708" i="10"/>
  <c r="AJ1708" i="10"/>
  <c r="AK1708" i="10"/>
  <c r="AM1686" i="10"/>
  <c r="AN1686" i="10"/>
  <c r="AV1686" i="10"/>
  <c r="AT1686" i="10"/>
  <c r="AK1686" i="10"/>
  <c r="AQ1686" i="10"/>
  <c r="AS1686" i="10"/>
  <c r="AO1686" i="10"/>
  <c r="AP1686" i="10"/>
  <c r="AL1686" i="10"/>
  <c r="AJ1686" i="10"/>
  <c r="AU1686" i="10"/>
  <c r="AU1681" i="10"/>
  <c r="AO1681" i="10"/>
  <c r="AV1681" i="10"/>
  <c r="AN1681" i="10"/>
  <c r="AL1681" i="10"/>
  <c r="AT1681" i="10"/>
  <c r="AR1681" i="10"/>
  <c r="AK1681" i="10"/>
  <c r="AP1681" i="10"/>
  <c r="AQ1666" i="10"/>
  <c r="AO1666" i="10"/>
  <c r="AV1666" i="10"/>
  <c r="AJ1666" i="10"/>
  <c r="AS1666" i="10"/>
  <c r="AK1666" i="10"/>
  <c r="AU1666" i="10"/>
  <c r="AT1666" i="10"/>
  <c r="AP1666" i="10"/>
  <c r="AM1666" i="10"/>
  <c r="AN1666" i="10"/>
  <c r="AL1666" i="10"/>
  <c r="AR1666" i="10"/>
  <c r="AR1661" i="10"/>
  <c r="AN1661" i="10"/>
  <c r="AK1656" i="10"/>
  <c r="AM1656" i="10"/>
  <c r="AU1656" i="10"/>
  <c r="AS1656" i="10"/>
  <c r="AT1656" i="10"/>
  <c r="AP1636" i="10"/>
  <c r="AR1636" i="10"/>
  <c r="AL1636" i="10"/>
  <c r="AK1636" i="10"/>
  <c r="AN1636" i="10"/>
  <c r="AT1636" i="10"/>
  <c r="AV1636" i="10"/>
  <c r="AU1636" i="10"/>
  <c r="AJ1636" i="10"/>
  <c r="AM1636" i="10"/>
  <c r="AM1627" i="10"/>
  <c r="AL1627" i="10"/>
  <c r="AS1627" i="10"/>
  <c r="AP1627" i="10"/>
  <c r="AJ1627" i="10"/>
  <c r="AK1627" i="10"/>
  <c r="AU1627" i="10"/>
  <c r="AQ1627" i="10"/>
  <c r="AX1602" i="10"/>
  <c r="AN1602" i="10"/>
  <c r="AO1602" i="10"/>
  <c r="AM1602" i="10"/>
  <c r="AK1602" i="10"/>
  <c r="AL1602" i="10"/>
  <c r="AV1602" i="10"/>
  <c r="AS1602" i="10"/>
  <c r="AS1597" i="10"/>
  <c r="AU1597" i="10"/>
  <c r="AX1597" i="10"/>
  <c r="AJ1583" i="10"/>
  <c r="AO1583" i="10"/>
  <c r="AM1583" i="10"/>
  <c r="AQ1583" i="10"/>
  <c r="AR1583" i="10"/>
  <c r="AS1578" i="10"/>
  <c r="AO1578" i="10"/>
  <c r="AR1578" i="10"/>
  <c r="AL1578" i="10"/>
  <c r="AV1578" i="10"/>
  <c r="AN1578" i="10"/>
  <c r="AT1578" i="10"/>
  <c r="AM1578" i="10"/>
  <c r="AU1578" i="10"/>
  <c r="AP1578" i="10"/>
  <c r="AP1573" i="10"/>
  <c r="AT1573" i="10"/>
  <c r="AO1573" i="10"/>
  <c r="AL1573" i="10"/>
  <c r="AQ1573" i="10"/>
  <c r="AP1567" i="10"/>
  <c r="AR1567" i="10"/>
  <c r="AJ1567" i="10"/>
  <c r="AU1567" i="10"/>
  <c r="AS1547" i="10"/>
  <c r="AV1547" i="10"/>
  <c r="AO1547" i="10"/>
  <c r="AT1547" i="10"/>
  <c r="AN1547" i="10"/>
  <c r="AM1547" i="10"/>
  <c r="AP1547" i="10"/>
  <c r="AK1547" i="10"/>
  <c r="AQ1547" i="10"/>
  <c r="AL1547" i="10"/>
  <c r="AX1547" i="10"/>
  <c r="AR1547" i="10"/>
  <c r="AU1547" i="10"/>
  <c r="AM1520" i="10"/>
  <c r="AL1520" i="10"/>
  <c r="AR1520" i="10"/>
  <c r="AT1520" i="10"/>
  <c r="AQ1520" i="10"/>
  <c r="AP1520" i="10"/>
  <c r="AS1520" i="10"/>
  <c r="AV1520" i="10"/>
  <c r="AO1520" i="10"/>
  <c r="AN1520" i="10"/>
  <c r="AV1499" i="10"/>
  <c r="AM1499" i="10"/>
  <c r="AT1499" i="10"/>
  <c r="AS1483" i="10"/>
  <c r="AM1483" i="10"/>
  <c r="AR1483" i="10"/>
  <c r="AL1483" i="10"/>
  <c r="AN1483" i="10"/>
  <c r="AV1483" i="10"/>
  <c r="AK1483" i="10"/>
  <c r="AT1483" i="10"/>
  <c r="AP1483" i="10"/>
  <c r="AU1483" i="10"/>
  <c r="AO1483" i="10"/>
  <c r="AJ1483" i="10"/>
  <c r="AN1468" i="10"/>
  <c r="AO1468" i="10"/>
  <c r="AL1468" i="10"/>
  <c r="AX1468" i="10"/>
  <c r="AV1468" i="10"/>
  <c r="AQ1468" i="10"/>
  <c r="AR1468" i="10"/>
  <c r="AS1468" i="10"/>
  <c r="AP1468" i="10"/>
  <c r="AL1436" i="10"/>
  <c r="AM1436" i="10"/>
  <c r="AU1436" i="10"/>
  <c r="AK1436" i="10"/>
  <c r="AJ1426" i="10"/>
  <c r="AK1426" i="10"/>
  <c r="AS1426" i="10"/>
  <c r="AQ1426" i="10"/>
  <c r="AP1426" i="10"/>
  <c r="AO1426" i="10"/>
  <c r="AP1414" i="10"/>
  <c r="AU1414" i="10"/>
  <c r="AL1414" i="10"/>
  <c r="AQ1414" i="10"/>
  <c r="AT1414" i="10"/>
  <c r="AN1414" i="10"/>
  <c r="AX1414" i="10"/>
  <c r="AK1414" i="10"/>
  <c r="AV1414" i="10"/>
  <c r="AR1414" i="10"/>
  <c r="AX1399" i="10"/>
  <c r="AW1399" i="10"/>
  <c r="AR1399" i="10"/>
  <c r="AK1399" i="10"/>
  <c r="AL1399" i="10"/>
  <c r="AN1399" i="10"/>
  <c r="AM1399" i="10"/>
  <c r="AK1383" i="10"/>
  <c r="AR1383" i="10"/>
  <c r="AW1383" i="10"/>
  <c r="AJ1383" i="10"/>
  <c r="AL1347" i="10"/>
  <c r="AV1347" i="10"/>
  <c r="AU1347" i="10"/>
  <c r="AJ1347" i="10"/>
  <c r="AX1336" i="10"/>
  <c r="AQ1336" i="10"/>
  <c r="AP1336" i="10"/>
  <c r="AV1325" i="10"/>
  <c r="AK1325" i="10"/>
  <c r="AP1325" i="10"/>
  <c r="AQ1325" i="10"/>
  <c r="AR1325" i="10"/>
  <c r="AS1325" i="10"/>
  <c r="AL1325" i="10"/>
  <c r="AU1325" i="10"/>
  <c r="AN1325" i="10"/>
  <c r="AT1325" i="10"/>
  <c r="AX1325" i="10"/>
  <c r="AM1325" i="10"/>
  <c r="AJ1325" i="10"/>
  <c r="AV1314" i="10"/>
  <c r="AQ1314" i="10"/>
  <c r="AW1305" i="10"/>
  <c r="AO1305" i="10"/>
  <c r="AN1305" i="10"/>
  <c r="AL1305" i="10"/>
  <c r="AL1299" i="10"/>
  <c r="AS1299" i="10"/>
  <c r="AO1299" i="10"/>
  <c r="AJ1299" i="10"/>
  <c r="AN1299" i="10"/>
  <c r="AK1299" i="10"/>
  <c r="AW1299" i="10"/>
  <c r="AV1299" i="10"/>
  <c r="AX1299" i="10"/>
  <c r="AP1299" i="10"/>
  <c r="AQ1299" i="10"/>
  <c r="AR1299" i="10"/>
  <c r="AT1299" i="10"/>
  <c r="AM1276" i="10"/>
  <c r="AS1276" i="10"/>
  <c r="AT1276" i="10"/>
  <c r="AJ1276" i="10"/>
  <c r="AS1249" i="10"/>
  <c r="AO1249" i="10"/>
  <c r="AN1249" i="10"/>
  <c r="AQ1249" i="10"/>
  <c r="AP1249" i="10"/>
  <c r="AM1249" i="10"/>
  <c r="AT1249" i="10"/>
  <c r="AR1249" i="10"/>
  <c r="AU1249" i="10"/>
  <c r="AV1249" i="10"/>
  <c r="AL1249" i="10"/>
  <c r="AW1249" i="10"/>
  <c r="AX1249" i="10"/>
  <c r="AK1249" i="10"/>
  <c r="AJ1249" i="10"/>
  <c r="AV1239" i="10"/>
  <c r="AJ1239" i="10"/>
  <c r="AQ1239" i="10"/>
  <c r="AL1239" i="10"/>
  <c r="AT1239" i="10"/>
  <c r="AO1239" i="10"/>
  <c r="AN1239" i="10"/>
  <c r="AK1239" i="10"/>
  <c r="AU1239" i="10"/>
  <c r="AR1239" i="10"/>
  <c r="AS1239" i="10"/>
  <c r="AP1239" i="10"/>
  <c r="AM1239" i="10"/>
  <c r="AQ1211" i="10"/>
  <c r="AN1211" i="10"/>
  <c r="AT1211" i="10"/>
  <c r="AM1211" i="10"/>
  <c r="AW1211" i="10"/>
  <c r="AL1211" i="10"/>
  <c r="AU1211" i="10"/>
  <c r="AX1211" i="10"/>
  <c r="AR1211" i="10"/>
  <c r="AK1211" i="10"/>
  <c r="AO1211" i="10"/>
  <c r="AS1211" i="10"/>
  <c r="AP1211" i="10"/>
  <c r="AJ1211" i="10"/>
  <c r="AV1211" i="10"/>
  <c r="AT1178" i="10"/>
  <c r="AV1178" i="10"/>
  <c r="AX1178" i="10"/>
  <c r="AU1178" i="10"/>
  <c r="AJ1178" i="10"/>
  <c r="AQ1178" i="10"/>
  <c r="AN1178" i="10"/>
  <c r="AK1178" i="10"/>
  <c r="AO1178" i="10"/>
  <c r="AL1178" i="10"/>
  <c r="AS1178" i="10"/>
  <c r="AW1178" i="10"/>
  <c r="AP1178" i="10"/>
  <c r="AQ1162" i="10"/>
  <c r="AJ1162" i="10"/>
  <c r="AK1162" i="10"/>
  <c r="AL1162" i="10"/>
  <c r="AN1162" i="10"/>
  <c r="AM1162" i="10"/>
  <c r="AU1162" i="10"/>
  <c r="AR1162" i="10"/>
  <c r="AV1162" i="10"/>
  <c r="AW1162" i="10"/>
  <c r="AP1162" i="10"/>
  <c r="AT1162" i="10"/>
  <c r="AO1162" i="10"/>
  <c r="AS1162" i="10"/>
  <c r="AS1145" i="10"/>
  <c r="AR1145" i="10"/>
  <c r="AK1145" i="10"/>
  <c r="AU1145" i="10"/>
  <c r="AQ1145" i="10"/>
  <c r="AM1145" i="10"/>
  <c r="AL1145" i="10"/>
  <c r="AT1145" i="10"/>
  <c r="AV1145" i="10"/>
  <c r="AP1145" i="10"/>
  <c r="AO1145" i="10"/>
  <c r="AN1145" i="10"/>
  <c r="AX1134" i="10"/>
  <c r="AN1134" i="10"/>
  <c r="AL1134" i="10"/>
  <c r="AJ1134" i="10"/>
  <c r="AO1128" i="10"/>
  <c r="AK1128" i="10"/>
  <c r="AR1128" i="10"/>
  <c r="AN1128" i="10"/>
  <c r="AT1128" i="10"/>
  <c r="AU1128" i="10"/>
  <c r="AQ1128" i="10"/>
  <c r="AS1128" i="10"/>
  <c r="AP1128" i="10"/>
  <c r="AX1128" i="10"/>
  <c r="AW1128" i="10"/>
  <c r="AJ1128" i="10"/>
  <c r="AM1128" i="10"/>
  <c r="AQ1117" i="10"/>
  <c r="AP1117" i="10"/>
  <c r="AR1117" i="10"/>
  <c r="AW1117" i="10"/>
  <c r="AS1117" i="10"/>
  <c r="AK1117" i="10"/>
  <c r="AJ1117" i="10"/>
  <c r="AL1117" i="10"/>
  <c r="AX1117" i="10"/>
  <c r="AU1117" i="10"/>
  <c r="AM1117" i="10"/>
  <c r="AO1117" i="10"/>
  <c r="AN1117" i="10"/>
  <c r="AM1106" i="10"/>
  <c r="AU1106" i="10"/>
  <c r="AS1106" i="10"/>
  <c r="AV1106" i="10"/>
  <c r="AT1106" i="10"/>
  <c r="AN1106" i="10"/>
  <c r="AO1106" i="10"/>
  <c r="AR1106" i="10"/>
  <c r="AJ1106" i="10"/>
  <c r="AQ1106" i="10"/>
  <c r="AK1106" i="10"/>
  <c r="AP1106" i="10"/>
  <c r="AW1106" i="10"/>
  <c r="AL1106" i="10"/>
  <c r="AX1106" i="10"/>
  <c r="AK1100" i="10"/>
  <c r="AW1100" i="10"/>
  <c r="AL1100" i="10"/>
  <c r="AN1100" i="10"/>
  <c r="AS1100" i="10"/>
  <c r="AR1100" i="10"/>
  <c r="AM1100" i="10"/>
  <c r="AV1100" i="10"/>
  <c r="AU1100" i="10"/>
  <c r="AX1100" i="10"/>
  <c r="AQ1100" i="10"/>
  <c r="AO1100" i="10"/>
  <c r="AJ1100" i="10"/>
  <c r="AP1100" i="10"/>
  <c r="AT1100" i="10"/>
  <c r="AX1088" i="10"/>
  <c r="AM1088" i="10"/>
  <c r="AP1088" i="10"/>
  <c r="AV1088" i="10"/>
  <c r="AK1088" i="10"/>
  <c r="AQ1088" i="10"/>
  <c r="AS1088" i="10"/>
  <c r="AN1088" i="10"/>
  <c r="AW1088" i="10"/>
  <c r="AR1088" i="10"/>
  <c r="AT1088" i="10"/>
  <c r="AO1088" i="10"/>
  <c r="AM1073" i="10"/>
  <c r="AW1073" i="10"/>
  <c r="AU1062" i="10"/>
  <c r="AL1062" i="10"/>
  <c r="AW1062" i="10"/>
  <c r="AM1062" i="10"/>
  <c r="AP1062" i="10"/>
  <c r="AM1056" i="10"/>
  <c r="AS1056" i="10"/>
  <c r="AN1056" i="10"/>
  <c r="AT1056" i="10"/>
  <c r="AK1056" i="10"/>
  <c r="AX1056" i="10"/>
  <c r="AR1056" i="10"/>
  <c r="AJ1056" i="10"/>
  <c r="AP1056" i="10"/>
  <c r="AQ1056" i="10"/>
  <c r="AL1056" i="10"/>
  <c r="AW1056" i="10"/>
  <c r="AU1056" i="10"/>
  <c r="AV1056" i="10"/>
  <c r="AO1056" i="10"/>
  <c r="AS1045" i="10"/>
  <c r="AO1045" i="10"/>
  <c r="AL1045" i="10"/>
  <c r="AP1045" i="10"/>
  <c r="AT1045" i="10"/>
  <c r="AV1045" i="10"/>
  <c r="AW1045" i="10"/>
  <c r="AX1045" i="10"/>
  <c r="AM1045" i="10"/>
  <c r="AN1045" i="10"/>
  <c r="AR1045" i="10"/>
  <c r="AK1045" i="10"/>
  <c r="AK1034" i="10"/>
  <c r="AU1034" i="10"/>
  <c r="AR1034" i="10"/>
  <c r="AT1034" i="10"/>
  <c r="AK1023" i="10"/>
  <c r="AJ1023" i="10"/>
  <c r="AX1023" i="10"/>
  <c r="AW1023" i="10"/>
  <c r="AX1006" i="10"/>
  <c r="AP1006" i="10"/>
  <c r="AS1006" i="10"/>
  <c r="AT1006" i="10"/>
  <c r="AQ1006" i="10"/>
  <c r="AM1006" i="10"/>
  <c r="AR1006" i="10"/>
  <c r="AK1006" i="10"/>
  <c r="AW1006" i="10"/>
  <c r="AO1006" i="10"/>
  <c r="AN1006" i="10"/>
  <c r="AV1006" i="10"/>
  <c r="AL1006" i="10"/>
  <c r="AJ1006" i="10"/>
  <c r="AV1000" i="10"/>
  <c r="AN1000" i="10"/>
  <c r="AW1000" i="10"/>
  <c r="AX1000" i="10"/>
  <c r="AO1000" i="10"/>
  <c r="AR1000" i="10"/>
  <c r="AL1000" i="10"/>
  <c r="AS1000" i="10"/>
  <c r="AQ1000" i="10"/>
  <c r="AJ1000" i="10"/>
  <c r="AP1000" i="10"/>
  <c r="AT994" i="10"/>
  <c r="AS994" i="10"/>
  <c r="AX994" i="10"/>
  <c r="AP994" i="10"/>
  <c r="AQ994" i="10"/>
  <c r="AW994" i="10"/>
  <c r="AV994" i="10"/>
  <c r="AO994" i="10"/>
  <c r="AL994" i="10"/>
  <c r="AK994" i="10"/>
  <c r="AJ994" i="10"/>
  <c r="AR994" i="10"/>
  <c r="AN994" i="10"/>
  <c r="AM994" i="10"/>
  <c r="AU994" i="10"/>
  <c r="AW988" i="10"/>
  <c r="AX988" i="10"/>
  <c r="AK988" i="10"/>
  <c r="AK954" i="10"/>
  <c r="AW954" i="10"/>
  <c r="AJ954" i="10"/>
  <c r="AX954" i="10"/>
  <c r="AR942" i="10"/>
  <c r="AK942" i="10"/>
  <c r="AM942" i="10"/>
  <c r="AN942" i="10"/>
  <c r="AU942" i="10"/>
  <c r="AV942" i="10"/>
  <c r="AT942" i="10"/>
  <c r="AS942" i="10"/>
  <c r="AL942" i="10"/>
  <c r="AQ942" i="10"/>
  <c r="AP942" i="10"/>
  <c r="AO942" i="10"/>
  <c r="AJ942" i="10"/>
  <c r="AW942" i="10"/>
  <c r="AX923" i="10"/>
  <c r="AW923" i="10"/>
  <c r="AT923" i="10"/>
  <c r="AU923" i="10"/>
  <c r="AX917" i="10"/>
  <c r="AP917" i="10"/>
  <c r="AW917" i="10"/>
  <c r="AJ889" i="10"/>
  <c r="AW889" i="10"/>
  <c r="AX889" i="10"/>
  <c r="AW871" i="10"/>
  <c r="AL871" i="10"/>
  <c r="AX871" i="10"/>
  <c r="AW860" i="10"/>
  <c r="AX860" i="10"/>
  <c r="AJ860" i="10"/>
  <c r="AM860" i="10"/>
  <c r="AO860" i="10"/>
  <c r="AW845" i="10"/>
  <c r="AX845" i="10"/>
  <c r="AJ845" i="10"/>
  <c r="AP845" i="10"/>
  <c r="AX832" i="10"/>
  <c r="AK832" i="10"/>
  <c r="AQ107" i="45"/>
  <c r="E116" i="45"/>
  <c r="AW832" i="10"/>
  <c r="N98" i="45"/>
  <c r="U98" i="45"/>
  <c r="X17" i="43" s="1"/>
  <c r="L98" i="45"/>
  <c r="O17" i="43" s="1"/>
  <c r="G98" i="45"/>
  <c r="N89" i="45"/>
  <c r="P107" i="45"/>
  <c r="G107" i="45"/>
  <c r="P116" i="45"/>
  <c r="L116" i="45"/>
  <c r="O19" i="43" s="1"/>
  <c r="G89" i="45"/>
  <c r="P89" i="45"/>
  <c r="N116" i="45"/>
  <c r="AK774" i="10"/>
  <c r="AX774" i="10"/>
  <c r="AJ774" i="10"/>
  <c r="AW774" i="10"/>
  <c r="Y87" i="45"/>
  <c r="AW915" i="10"/>
  <c r="AP915" i="10"/>
  <c r="AS915" i="10"/>
  <c r="AU915" i="10"/>
  <c r="AJ915" i="10"/>
  <c r="AT915" i="10"/>
  <c r="AX762" i="10"/>
  <c r="AD97" i="45"/>
  <c r="AF17" i="43" s="1"/>
  <c r="AF106" i="45"/>
  <c r="AW762" i="10"/>
  <c r="AH106" i="45"/>
  <c r="AF115" i="45"/>
  <c r="AF88" i="45"/>
  <c r="AK709" i="10"/>
  <c r="AX709" i="10"/>
  <c r="AW709" i="10"/>
  <c r="AX704" i="10"/>
  <c r="AW704" i="10"/>
  <c r="AK704" i="10"/>
  <c r="AJ704" i="10"/>
  <c r="AL588" i="10"/>
  <c r="C109" i="45"/>
  <c r="G18" i="43" s="1"/>
  <c r="C100" i="45"/>
  <c r="G17" i="43" s="1"/>
  <c r="C118" i="45"/>
  <c r="G19" i="43" s="1"/>
  <c r="C91" i="45"/>
  <c r="C117" i="45"/>
  <c r="F19" i="43" s="1"/>
  <c r="C108" i="45"/>
  <c r="C90" i="45"/>
  <c r="C99" i="45"/>
  <c r="F17" i="43" s="1"/>
  <c r="AJ2351" i="10"/>
  <c r="AR1819" i="10"/>
  <c r="AM1828" i="10"/>
  <c r="AX2063" i="10"/>
  <c r="AL1723" i="10"/>
  <c r="AQ2351" i="10"/>
  <c r="AS2027" i="10"/>
  <c r="AO2010" i="10"/>
  <c r="AP2111" i="10"/>
  <c r="AJ1891" i="10"/>
  <c r="AO1636" i="10"/>
  <c r="AP1844" i="10"/>
  <c r="AQ1636" i="10"/>
  <c r="AM2196" i="10"/>
  <c r="AR1627" i="10"/>
  <c r="AS2273" i="10"/>
  <c r="AO2258" i="10"/>
  <c r="AP2205" i="10"/>
  <c r="AU2492" i="10"/>
  <c r="AO2346" i="10"/>
  <c r="AX1713" i="10"/>
  <c r="AV2196" i="10"/>
  <c r="AT1588" i="10"/>
  <c r="AM2337" i="10"/>
  <c r="AM2347" i="10"/>
  <c r="AL1607" i="10"/>
  <c r="AS2432" i="10"/>
  <c r="AO2393" i="10"/>
  <c r="AO2599" i="10"/>
  <c r="AT2476" i="10"/>
  <c r="AR1805" i="10"/>
  <c r="AR2383" i="10"/>
  <c r="AW2347" i="10"/>
  <c r="AQ2305" i="10"/>
  <c r="AU2701" i="10"/>
  <c r="AM1607" i="10"/>
  <c r="AJ1790" i="10"/>
  <c r="AS1988" i="10"/>
  <c r="AV2594" i="10"/>
  <c r="AN2393" i="10"/>
  <c r="AT2599" i="10"/>
  <c r="AL2718" i="10"/>
  <c r="AR2476" i="10"/>
  <c r="AP2284" i="10"/>
  <c r="AX1805" i="10"/>
  <c r="AR1617" i="10"/>
  <c r="AJ2305" i="10"/>
  <c r="AR2701" i="10"/>
  <c r="AV1988" i="10"/>
  <c r="AN2594" i="10"/>
  <c r="G69" i="45"/>
  <c r="AO2420" i="10"/>
  <c r="AR2372" i="10"/>
  <c r="AW2072" i="10"/>
  <c r="AX2189" i="10"/>
  <c r="AU2248" i="10"/>
  <c r="AS2184" i="10"/>
  <c r="AS2077" i="10"/>
  <c r="AQ2372" i="10"/>
  <c r="AT2532" i="10"/>
  <c r="AX2267" i="10"/>
  <c r="AL2272" i="10"/>
  <c r="AQ2155" i="10"/>
  <c r="AR2458" i="10"/>
  <c r="AL2067" i="10"/>
  <c r="AR2350" i="10"/>
  <c r="AR2717" i="10"/>
  <c r="AX2237" i="10"/>
  <c r="AN2598" i="10"/>
  <c r="AP2598" i="10"/>
  <c r="AJ2184" i="10"/>
  <c r="AP2267" i="10"/>
  <c r="AJ2420" i="10"/>
  <c r="AJ2527" i="10"/>
  <c r="AW2537" i="10"/>
  <c r="AJ2426" i="10"/>
  <c r="AR1987" i="10"/>
  <c r="AR2143" i="10"/>
  <c r="AX2278" i="10"/>
  <c r="AW2320" i="10"/>
  <c r="AT2382" i="10"/>
  <c r="AN2458" i="10"/>
  <c r="AK2443" i="10"/>
  <c r="AQ2557" i="10"/>
  <c r="AX2121" i="10"/>
  <c r="AU2304" i="10"/>
  <c r="AR2426" i="10"/>
  <c r="AN2622" i="10"/>
  <c r="AO2470" i="10"/>
  <c r="AN2517" i="10"/>
  <c r="AW2057" i="10"/>
  <c r="AP2309" i="10"/>
  <c r="AO2067" i="10"/>
  <c r="AO2288" i="10"/>
  <c r="AP2288" i="10"/>
  <c r="AQ2355" i="10"/>
  <c r="AV2262" i="10"/>
  <c r="AK2679" i="10"/>
  <c r="AX1957" i="10"/>
  <c r="AN2009" i="10"/>
  <c r="AM2420" i="10"/>
  <c r="AK2072" i="10"/>
  <c r="AQ2072" i="10"/>
  <c r="AM2189" i="10"/>
  <c r="AQ2248" i="10"/>
  <c r="AK2184" i="10"/>
  <c r="AN2443" i="10"/>
  <c r="AV2077" i="10"/>
  <c r="AS2532" i="10"/>
  <c r="AM2267" i="10"/>
  <c r="AT2689" i="10"/>
  <c r="AQ2272" i="10"/>
  <c r="AS2278" i="10"/>
  <c r="AM2458" i="10"/>
  <c r="AN2717" i="10"/>
  <c r="AJ2717" i="10"/>
  <c r="AW2237" i="10"/>
  <c r="AX2598" i="10"/>
  <c r="AL2598" i="10"/>
  <c r="AM2660" i="10"/>
  <c r="AW2527" i="10"/>
  <c r="AJ2557" i="10"/>
  <c r="AM2527" i="10"/>
  <c r="AL1987" i="10"/>
  <c r="AX2143" i="10"/>
  <c r="AW2278" i="10"/>
  <c r="AT2486" i="10"/>
  <c r="AO2443" i="10"/>
  <c r="AS2527" i="10"/>
  <c r="AL2557" i="10"/>
  <c r="AT2121" i="10"/>
  <c r="AT2304" i="10"/>
  <c r="AU2426" i="10"/>
  <c r="AL2622" i="10"/>
  <c r="AW2470" i="10"/>
  <c r="AP2517" i="10"/>
  <c r="AS2057" i="10"/>
  <c r="AW2309" i="10"/>
  <c r="AS2475" i="10"/>
  <c r="AN2660" i="10"/>
  <c r="AX2426" i="10"/>
  <c r="AU2288" i="10"/>
  <c r="AT2355" i="10"/>
  <c r="AK2262" i="10"/>
  <c r="AS2679" i="10"/>
  <c r="AK2009" i="10"/>
  <c r="AS2420" i="10"/>
  <c r="AW2557" i="10"/>
  <c r="AO2072" i="10"/>
  <c r="AK2189" i="10"/>
  <c r="AP2248" i="10"/>
  <c r="AT2184" i="10"/>
  <c r="AT2443" i="10"/>
  <c r="AX2077" i="10"/>
  <c r="AN2221" i="10"/>
  <c r="AV2372" i="10"/>
  <c r="AU2267" i="10"/>
  <c r="AL2689" i="10"/>
  <c r="AX2272" i="10"/>
  <c r="AQ2320" i="10"/>
  <c r="AI19" i="43"/>
  <c r="U7" i="45"/>
  <c r="W7" i="43" s="1"/>
  <c r="AO2155" i="10"/>
  <c r="AJ2200" i="10"/>
  <c r="AS2577" i="10"/>
  <c r="AQ2717" i="10"/>
  <c r="AS2237" i="10"/>
  <c r="AK2598" i="10"/>
  <c r="AK2355" i="10"/>
  <c r="AJ2679" i="10"/>
  <c r="AL2420" i="10"/>
  <c r="AM2184" i="10"/>
  <c r="AO2527" i="10"/>
  <c r="AR2267" i="10"/>
  <c r="AK2557" i="10"/>
  <c r="AJ2057" i="10"/>
  <c r="AK1987" i="10"/>
  <c r="AN2278" i="10"/>
  <c r="AJ2448" i="10"/>
  <c r="AP2486" i="10"/>
  <c r="AQ2443" i="10"/>
  <c r="AT2527" i="10"/>
  <c r="AM2557" i="10"/>
  <c r="AS2121" i="10"/>
  <c r="AL2304" i="10"/>
  <c r="AP2426" i="10"/>
  <c r="AT2622" i="10"/>
  <c r="AN2470" i="10"/>
  <c r="AQ2517" i="10"/>
  <c r="AV2304" i="10"/>
  <c r="AU2057" i="10"/>
  <c r="AX2309" i="10"/>
  <c r="AX2475" i="10"/>
  <c r="AX2660" i="10"/>
  <c r="AT2288" i="10"/>
  <c r="AN2355" i="10"/>
  <c r="AU2262" i="10"/>
  <c r="AN2679" i="10"/>
  <c r="AQ2031" i="10"/>
  <c r="AL2448" i="10"/>
  <c r="AU2420" i="10"/>
  <c r="AN2072" i="10"/>
  <c r="AV2189" i="10"/>
  <c r="AW2248" i="10"/>
  <c r="AP2184" i="10"/>
  <c r="AM2443" i="10"/>
  <c r="AM2077" i="10"/>
  <c r="AJ2221" i="10"/>
  <c r="AU2372" i="10"/>
  <c r="AO2267" i="10"/>
  <c r="AP2272" i="10"/>
  <c r="AK2320" i="10"/>
  <c r="AK2155" i="10"/>
  <c r="AM105" i="45"/>
  <c r="AJ1987" i="10"/>
  <c r="AX2067" i="10"/>
  <c r="AM2350" i="10"/>
  <c r="AP2717" i="10"/>
  <c r="AQ2237" i="10"/>
  <c r="AS2598" i="10"/>
  <c r="AJ2355" i="10"/>
  <c r="AV2679" i="10"/>
  <c r="AJ2660" i="10"/>
  <c r="AO2679" i="10"/>
  <c r="AT2420" i="10"/>
  <c r="AN2189" i="10"/>
  <c r="AW1947" i="10"/>
  <c r="AL2267" i="10"/>
  <c r="AQ2057" i="10"/>
  <c r="AQ2350" i="10"/>
  <c r="AK2143" i="10"/>
  <c r="AU1987" i="10"/>
  <c r="AJ2278" i="10"/>
  <c r="AQ2448" i="10"/>
  <c r="AV2443" i="10"/>
  <c r="AN2527" i="10"/>
  <c r="AS2557" i="10"/>
  <c r="AR2470" i="10"/>
  <c r="AQ2679" i="10"/>
  <c r="AM2121" i="10"/>
  <c r="AJ2304" i="10"/>
  <c r="AO2426" i="10"/>
  <c r="AM2622" i="10"/>
  <c r="AS2470" i="10"/>
  <c r="AU2517" i="10"/>
  <c r="AM2057" i="10"/>
  <c r="AT2309" i="10"/>
  <c r="AO2475" i="10"/>
  <c r="AU2660" i="10"/>
  <c r="AX2288" i="10"/>
  <c r="AX2355" i="10"/>
  <c r="AR2262" i="10"/>
  <c r="AW2679" i="10"/>
  <c r="AR2031" i="10"/>
  <c r="AL2009" i="10"/>
  <c r="AT2267" i="10"/>
  <c r="AR2420" i="10"/>
  <c r="AL2072" i="10"/>
  <c r="AR2189" i="10"/>
  <c r="AL2248" i="10"/>
  <c r="AQ2184" i="10"/>
  <c r="AW2077" i="10"/>
  <c r="AO2221" i="10"/>
  <c r="AW2372" i="10"/>
  <c r="AK2267" i="10"/>
  <c r="C43" i="45"/>
  <c r="D11" i="43" s="1"/>
  <c r="P60" i="45"/>
  <c r="AL2155" i="10"/>
  <c r="AT2350" i="10"/>
  <c r="AK2717" i="10"/>
  <c r="AO2237" i="10"/>
  <c r="AV2598" i="10"/>
  <c r="AP2420" i="10"/>
  <c r="AT2660" i="10"/>
  <c r="AJ2189" i="10"/>
  <c r="AJ2267" i="10"/>
  <c r="AL2057" i="10"/>
  <c r="AM2278" i="10"/>
  <c r="AK2458" i="10"/>
  <c r="AQ1987" i="10"/>
  <c r="AL2278" i="10"/>
  <c r="AO2320" i="10"/>
  <c r="AN2448" i="10"/>
  <c r="AR2443" i="10"/>
  <c r="AL2527" i="10"/>
  <c r="AU2557" i="10"/>
  <c r="AS2517" i="10"/>
  <c r="AN2121" i="10"/>
  <c r="AK2426" i="10"/>
  <c r="AR2622" i="10"/>
  <c r="AV2470" i="10"/>
  <c r="AV2517" i="10"/>
  <c r="AV2057" i="10"/>
  <c r="AR2309" i="10"/>
  <c r="AQ2475" i="10"/>
  <c r="AV2660" i="10"/>
  <c r="AS2288" i="10"/>
  <c r="AS2355" i="10"/>
  <c r="AM2262" i="10"/>
  <c r="AM2679" i="10"/>
  <c r="AP2031" i="10"/>
  <c r="AQ2009" i="10"/>
  <c r="AK2700" i="10"/>
  <c r="AN2420" i="10"/>
  <c r="AU2537" i="10"/>
  <c r="AM2072" i="10"/>
  <c r="AT2189" i="10"/>
  <c r="AN2248" i="10"/>
  <c r="AR2077" i="10"/>
  <c r="AT2221" i="10"/>
  <c r="AN2372" i="10"/>
  <c r="AW2267" i="10"/>
  <c r="AU2382" i="10"/>
  <c r="AK561" i="10"/>
  <c r="U115" i="45"/>
  <c r="AW2155" i="10"/>
  <c r="AS2350" i="10"/>
  <c r="AL2717" i="10"/>
  <c r="AN2237" i="10"/>
  <c r="AJ2598" i="10"/>
  <c r="AM2486" i="10"/>
  <c r="AP2527" i="10"/>
  <c r="AW2458" i="10"/>
  <c r="AV2320" i="10"/>
  <c r="AT1987" i="10"/>
  <c r="AP2143" i="10"/>
  <c r="AU2278" i="10"/>
  <c r="AU2320" i="10"/>
  <c r="AJ2443" i="10"/>
  <c r="AR2527" i="10"/>
  <c r="AP2121" i="10"/>
  <c r="AV2426" i="10"/>
  <c r="AP2470" i="10"/>
  <c r="AM2517" i="10"/>
  <c r="AX2057" i="10"/>
  <c r="AV2309" i="10"/>
  <c r="AL2475" i="10"/>
  <c r="AO2660" i="10"/>
  <c r="AK2288" i="10"/>
  <c r="AV2355" i="10"/>
  <c r="AQ2262" i="10"/>
  <c r="AQ2002" i="10"/>
  <c r="AO2002" i="10"/>
  <c r="AL2031" i="10"/>
  <c r="AT2009" i="10"/>
  <c r="AQ2700" i="10"/>
  <c r="AL2537" i="10"/>
  <c r="AP2072" i="10"/>
  <c r="AW2189" i="10"/>
  <c r="AX2248" i="10"/>
  <c r="AT2077" i="10"/>
  <c r="AN2077" i="10"/>
  <c r="AQ2221" i="10"/>
  <c r="AK2372" i="10"/>
  <c r="AO1974" i="10"/>
  <c r="AO2272" i="10"/>
  <c r="AN2155" i="10"/>
  <c r="AX2350" i="10"/>
  <c r="AV2717" i="10"/>
  <c r="AL2237" i="10"/>
  <c r="AT2598" i="10"/>
  <c r="AV2267" i="10"/>
  <c r="AX2486" i="10"/>
  <c r="AL2143" i="10"/>
  <c r="AM1987" i="10"/>
  <c r="AU2143" i="10"/>
  <c r="AO2278" i="10"/>
  <c r="AM2320" i="10"/>
  <c r="AP2443" i="10"/>
  <c r="AV2527" i="10"/>
  <c r="AW2121" i="10"/>
  <c r="AR2304" i="10"/>
  <c r="AN2426" i="10"/>
  <c r="AW2067" i="10"/>
  <c r="AJ2517" i="10"/>
  <c r="AL2262" i="10"/>
  <c r="P25" i="45"/>
  <c r="AK2057" i="10"/>
  <c r="AS2309" i="10"/>
  <c r="AM2475" i="10"/>
  <c r="AS2660" i="10"/>
  <c r="AW2288" i="10"/>
  <c r="AL2355" i="10"/>
  <c r="AT2002" i="10"/>
  <c r="AV2031" i="10"/>
  <c r="AT2552" i="10"/>
  <c r="AM2009" i="10"/>
  <c r="AK2537" i="10"/>
  <c r="AT2072" i="10"/>
  <c r="AX2372" i="10"/>
  <c r="AL2189" i="10"/>
  <c r="AV2248" i="10"/>
  <c r="AX2184" i="10"/>
  <c r="AU2221" i="10"/>
  <c r="AS2372" i="10"/>
  <c r="AL1974" i="10"/>
  <c r="AR2272" i="10"/>
  <c r="AV2155" i="10"/>
  <c r="AL2350" i="10"/>
  <c r="AW2717" i="10"/>
  <c r="AM2717" i="10"/>
  <c r="AK2237" i="10"/>
  <c r="AU2598" i="10"/>
  <c r="AL2660" i="10"/>
  <c r="AK2552" i="10"/>
  <c r="AL2486" i="10"/>
  <c r="AT2320" i="10"/>
  <c r="AO1987" i="10"/>
  <c r="AQ2143" i="10"/>
  <c r="AT2278" i="10"/>
  <c r="AS2320" i="10"/>
  <c r="AS2382" i="10"/>
  <c r="AS2458" i="10"/>
  <c r="AN2557" i="10"/>
  <c r="AW2304" i="10"/>
  <c r="AL2121" i="10"/>
  <c r="AP2304" i="10"/>
  <c r="AV2067" i="10"/>
  <c r="AM2470" i="10"/>
  <c r="AX2517" i="10"/>
  <c r="AT2262" i="10"/>
  <c r="AK2067" i="10"/>
  <c r="AN2057" i="10"/>
  <c r="AM2309" i="10"/>
  <c r="AW2475" i="10"/>
  <c r="AW2660" i="10"/>
  <c r="AO2304" i="10"/>
  <c r="AQ2288" i="10"/>
  <c r="AU2355" i="10"/>
  <c r="AK2031" i="10"/>
  <c r="AJ2552" i="10"/>
  <c r="AP2009" i="10"/>
  <c r="AO2077" i="10"/>
  <c r="AV2072" i="10"/>
  <c r="AS2248" i="10"/>
  <c r="AO2248" i="10"/>
  <c r="AL2184" i="10"/>
  <c r="AK2221" i="10"/>
  <c r="AT2372" i="10"/>
  <c r="AS2448" i="10"/>
  <c r="AU2272" i="10"/>
  <c r="AS2304" i="10"/>
  <c r="L52" i="45"/>
  <c r="N12" i="43" s="1"/>
  <c r="AU2350" i="10"/>
  <c r="AS2717" i="10"/>
  <c r="AV2237" i="10"/>
  <c r="AP2237" i="10"/>
  <c r="AO2598" i="10"/>
  <c r="AQ2527" i="10"/>
  <c r="AK2382" i="10"/>
  <c r="AO2143" i="10"/>
  <c r="AP2320" i="10"/>
  <c r="AP1987" i="10"/>
  <c r="AN2143" i="10"/>
  <c r="AQ2278" i="10"/>
  <c r="AN2320" i="10"/>
  <c r="AP2382" i="10"/>
  <c r="AV2458" i="10"/>
  <c r="AW2184" i="10"/>
  <c r="AL2443" i="10"/>
  <c r="AP2557" i="10"/>
  <c r="AU2121" i="10"/>
  <c r="AK2304" i="10"/>
  <c r="AK2622" i="10"/>
  <c r="AU2067" i="10"/>
  <c r="AU2470" i="10"/>
  <c r="AL2517" i="10"/>
  <c r="AR2057" i="10"/>
  <c r="AO2309" i="10"/>
  <c r="AP2475" i="10"/>
  <c r="AN2288" i="10"/>
  <c r="AR2355" i="10"/>
  <c r="AW2262" i="10"/>
  <c r="AK2517" i="10"/>
  <c r="AN2723" i="10"/>
  <c r="AS1957" i="10"/>
  <c r="AT2031" i="10"/>
  <c r="AU2009" i="10"/>
  <c r="AX2420" i="10"/>
  <c r="AX2072" i="10"/>
  <c r="AM2248" i="10"/>
  <c r="AK2248" i="10"/>
  <c r="AV2184" i="10"/>
  <c r="AO2372" i="10"/>
  <c r="AL2532" i="10"/>
  <c r="AP2448" i="10"/>
  <c r="AX2566" i="10"/>
  <c r="AN2272" i="10"/>
  <c r="AN2304" i="10"/>
  <c r="AW1016" i="10"/>
  <c r="AK563" i="10"/>
  <c r="AU2458" i="10"/>
  <c r="AO2350" i="10"/>
  <c r="AL2382" i="10"/>
  <c r="AV2143" i="10"/>
  <c r="AV2278" i="10"/>
  <c r="AN2382" i="10"/>
  <c r="AQ2458" i="10"/>
  <c r="AU2184" i="10"/>
  <c r="AO2121" i="10"/>
  <c r="AQ2622" i="10"/>
  <c r="AP2067" i="10"/>
  <c r="AQ2470" i="10"/>
  <c r="AU2309" i="10"/>
  <c r="AQ2420" i="10"/>
  <c r="AO2189" i="10"/>
  <c r="AT2248" i="10"/>
  <c r="AO2184" i="10"/>
  <c r="AX555" i="10"/>
  <c r="AW555" i="10"/>
  <c r="AK555" i="10"/>
  <c r="AJ555" i="10"/>
  <c r="AX558" i="10"/>
  <c r="AW558" i="10"/>
  <c r="AK558" i="10"/>
  <c r="AJ558" i="10"/>
  <c r="AX557" i="10"/>
  <c r="AW557" i="10"/>
  <c r="AV557" i="10"/>
  <c r="AU557" i="10"/>
  <c r="AT557" i="10"/>
  <c r="AS557" i="10"/>
  <c r="AR557" i="10"/>
  <c r="AQ557" i="10"/>
  <c r="AP557" i="10"/>
  <c r="AO557" i="10"/>
  <c r="AN557" i="10"/>
  <c r="AM557" i="10"/>
  <c r="AL557" i="10"/>
  <c r="AK557" i="10"/>
  <c r="AJ557" i="10"/>
  <c r="AX556" i="10"/>
  <c r="AW556" i="10"/>
  <c r="AK556" i="10"/>
  <c r="AJ556" i="10"/>
  <c r="AD89" i="45"/>
  <c r="AG16" i="43" s="1"/>
  <c r="AO114" i="45"/>
  <c r="AM1267" i="10"/>
  <c r="AR1207" i="10"/>
  <c r="AP1354" i="10"/>
  <c r="AQ1532" i="10"/>
  <c r="AM1289" i="10"/>
  <c r="AS1337" i="10"/>
  <c r="AQ1332" i="10"/>
  <c r="AN1348" i="10"/>
  <c r="AL1366" i="10"/>
  <c r="AP1384" i="10"/>
  <c r="AK1437" i="10"/>
  <c r="AO1445" i="10"/>
  <c r="AM1223" i="10"/>
  <c r="AL1479" i="10"/>
  <c r="AM1511" i="10"/>
  <c r="AW1272" i="10"/>
  <c r="AV1526" i="10"/>
  <c r="AT1267" i="10"/>
  <c r="AL1201" i="10"/>
  <c r="AO1372" i="10"/>
  <c r="AU1378" i="10"/>
  <c r="AV1354" i="10"/>
  <c r="AX1343" i="10"/>
  <c r="AK1372" i="10"/>
  <c r="AS1384" i="10"/>
  <c r="AX1495" i="10"/>
  <c r="AU1206" i="10"/>
  <c r="AV1206" i="10"/>
  <c r="AO1479" i="10"/>
  <c r="AP1479" i="10"/>
  <c r="AN1479" i="10"/>
  <c r="AW1553" i="10"/>
  <c r="AJ1229" i="10"/>
  <c r="AT1320" i="10"/>
  <c r="AP1240" i="10"/>
  <c r="AX1320" i="10"/>
  <c r="AV1406" i="10"/>
  <c r="AP1474" i="10"/>
  <c r="AP1489" i="10"/>
  <c r="AS1421" i="10"/>
  <c r="AM1516" i="10"/>
  <c r="AW1552" i="10"/>
  <c r="AN1548" i="10"/>
  <c r="AM1326" i="10"/>
  <c r="L89" i="45"/>
  <c r="O16" i="43" s="1"/>
  <c r="AN1516" i="10"/>
  <c r="AJ1521" i="10"/>
  <c r="AU1277" i="10"/>
  <c r="AX1207" i="10"/>
  <c r="AO1354" i="10"/>
  <c r="AV1501" i="10"/>
  <c r="AQ1505" i="10"/>
  <c r="AU1532" i="10"/>
  <c r="AM1450" i="10"/>
  <c r="AN1450" i="10"/>
  <c r="AT1400" i="10"/>
  <c r="AW1289" i="10"/>
  <c r="AX1337" i="10"/>
  <c r="AP1360" i="10"/>
  <c r="AL1332" i="10"/>
  <c r="AQ1366" i="10"/>
  <c r="AS1343" i="10"/>
  <c r="AN1384" i="10"/>
  <c r="AW1437" i="10"/>
  <c r="AP1212" i="10"/>
  <c r="AK1445" i="10"/>
  <c r="AL1229" i="10"/>
  <c r="AV1272" i="10"/>
  <c r="AL1526" i="10"/>
  <c r="AR1267" i="10"/>
  <c r="AT1201" i="10"/>
  <c r="AO1289" i="10"/>
  <c r="AH236" i="45"/>
  <c r="AO236" i="45"/>
  <c r="AR1469" i="10"/>
  <c r="AH88" i="45"/>
  <c r="AX1384" i="10"/>
  <c r="AU1501" i="10"/>
  <c r="AV1389" i="10"/>
  <c r="AS1437" i="10"/>
  <c r="AM1354" i="10"/>
  <c r="AW1343" i="10"/>
  <c r="AW1372" i="10"/>
  <c r="AJ1384" i="10"/>
  <c r="AL1495" i="10"/>
  <c r="AT1206" i="10"/>
  <c r="AM1206" i="10"/>
  <c r="AX1553" i="10"/>
  <c r="AX1229" i="10"/>
  <c r="AQ1255" i="10"/>
  <c r="AR1255" i="10"/>
  <c r="AN1240" i="10"/>
  <c r="AO1406" i="10"/>
  <c r="AW1474" i="10"/>
  <c r="AU1489" i="10"/>
  <c r="AP1552" i="10"/>
  <c r="AM1421" i="10"/>
  <c r="AP1516" i="10"/>
  <c r="AK1548" i="10"/>
  <c r="AO1326" i="10"/>
  <c r="AF89" i="45"/>
  <c r="AX1267" i="10"/>
  <c r="AN1354" i="10"/>
  <c r="AK1277" i="10"/>
  <c r="AK1207" i="10"/>
  <c r="AR1354" i="10"/>
  <c r="AN1505" i="10"/>
  <c r="AM1532" i="10"/>
  <c r="AW1450" i="10"/>
  <c r="AJ1450" i="10"/>
  <c r="AW1400" i="10"/>
  <c r="AQ1289" i="10"/>
  <c r="AO1337" i="10"/>
  <c r="AS1212" i="10"/>
  <c r="AV1348" i="10"/>
  <c r="AT1366" i="10"/>
  <c r="AW1217" i="10"/>
  <c r="AL1343" i="10"/>
  <c r="AL1384" i="10"/>
  <c r="AT1437" i="10"/>
  <c r="AT1212" i="10"/>
  <c r="AR1445" i="10"/>
  <c r="AV1229" i="10"/>
  <c r="AQ1479" i="10"/>
  <c r="AL1267" i="10"/>
  <c r="AM1557" i="10"/>
  <c r="AN1526" i="10"/>
  <c r="AV1267" i="10"/>
  <c r="AN1289" i="10"/>
  <c r="AK1469" i="10"/>
  <c r="AN1532" i="10"/>
  <c r="AV1360" i="10"/>
  <c r="AJ1343" i="10"/>
  <c r="AK1378" i="10"/>
  <c r="AW1389" i="10"/>
  <c r="AV1495" i="10"/>
  <c r="AQ1206" i="10"/>
  <c r="AJ1206" i="10"/>
  <c r="AK1371" i="10"/>
  <c r="AO1255" i="10"/>
  <c r="AN1415" i="10"/>
  <c r="AS1411" i="10"/>
  <c r="AV1411" i="10"/>
  <c r="AP1320" i="10"/>
  <c r="AK1240" i="10"/>
  <c r="AQ1240" i="10"/>
  <c r="AR1406" i="10"/>
  <c r="AN1474" i="10"/>
  <c r="AM1489" i="10"/>
  <c r="AN1421" i="10"/>
  <c r="AM1484" i="10"/>
  <c r="AO1516" i="10"/>
  <c r="AQ1548" i="10"/>
  <c r="AN1326" i="10"/>
  <c r="AK1200" i="10"/>
  <c r="N107" i="45"/>
  <c r="AJ1267" i="10"/>
  <c r="AS1277" i="10"/>
  <c r="AJ1207" i="10"/>
  <c r="AK1354" i="10"/>
  <c r="AJ1505" i="10"/>
  <c r="AQ1450" i="10"/>
  <c r="AQ1537" i="10"/>
  <c r="AU1332" i="10"/>
  <c r="AL1400" i="10"/>
  <c r="AU1289" i="10"/>
  <c r="AV1337" i="10"/>
  <c r="AW1348" i="10"/>
  <c r="AP1366" i="10"/>
  <c r="AP1217" i="10"/>
  <c r="AM1337" i="10"/>
  <c r="AT1343" i="10"/>
  <c r="AP1437" i="10"/>
  <c r="AK1300" i="10"/>
  <c r="AX1557" i="10"/>
  <c r="AP1267" i="10"/>
  <c r="AO1469" i="10"/>
  <c r="AF96" i="45"/>
  <c r="AP1400" i="10"/>
  <c r="AJ1532" i="10"/>
  <c r="AP1378" i="10"/>
  <c r="AX1354" i="10"/>
  <c r="AR1360" i="10"/>
  <c r="AM1378" i="10"/>
  <c r="AP1389" i="10"/>
  <c r="AT1495" i="10"/>
  <c r="E89" i="45"/>
  <c r="AS1206" i="10"/>
  <c r="AU1479" i="10"/>
  <c r="AW1479" i="10"/>
  <c r="AU1250" i="10"/>
  <c r="AU1320" i="10"/>
  <c r="AU1474" i="10"/>
  <c r="AL1240" i="10"/>
  <c r="AR1240" i="10"/>
  <c r="AT1406" i="10"/>
  <c r="AT1474" i="10"/>
  <c r="AW1261" i="10"/>
  <c r="AR1489" i="10"/>
  <c r="AL1421" i="10"/>
  <c r="AV1484" i="10"/>
  <c r="AT1516" i="10"/>
  <c r="AW1548" i="10"/>
  <c r="AQ1200" i="10"/>
  <c r="AN1277" i="10"/>
  <c r="AN1207" i="10"/>
  <c r="AT1354" i="10"/>
  <c r="AV1505" i="10"/>
  <c r="AR1532" i="10"/>
  <c r="AX1450" i="10"/>
  <c r="AO1360" i="10"/>
  <c r="AS1400" i="10"/>
  <c r="AR1289" i="10"/>
  <c r="AK1343" i="10"/>
  <c r="AK1337" i="10"/>
  <c r="AU1222" i="10"/>
  <c r="AV1218" i="10"/>
  <c r="AQ1218" i="10"/>
  <c r="AR1348" i="10"/>
  <c r="AO1366" i="10"/>
  <c r="AN1343" i="10"/>
  <c r="AU1437" i="10"/>
  <c r="AL1300" i="10"/>
  <c r="AV1557" i="10"/>
  <c r="AU1267" i="10"/>
  <c r="AU1495" i="10"/>
  <c r="AD106" i="45"/>
  <c r="AD87" i="45"/>
  <c r="L18" i="53" s="1"/>
  <c r="Y105" i="45"/>
  <c r="AJ1400" i="10"/>
  <c r="AM1360" i="10"/>
  <c r="AO1283" i="10"/>
  <c r="AP1394" i="10"/>
  <c r="AV1283" i="10"/>
  <c r="AX1360" i="10"/>
  <c r="AV1378" i="10"/>
  <c r="AM1389" i="10"/>
  <c r="AO1495" i="10"/>
  <c r="AX1201" i="10"/>
  <c r="AP1411" i="10"/>
  <c r="AO1245" i="10"/>
  <c r="AW1406" i="10"/>
  <c r="AT1245" i="10"/>
  <c r="AT1240" i="10"/>
  <c r="AJ1240" i="10"/>
  <c r="AK1406" i="10"/>
  <c r="AL1261" i="10"/>
  <c r="AV1489" i="10"/>
  <c r="P98" i="45"/>
  <c r="AU1484" i="10"/>
  <c r="AK1421" i="10"/>
  <c r="AN1484" i="10"/>
  <c r="AX1548" i="10"/>
  <c r="AO1200" i="10"/>
  <c r="AN1212" i="10"/>
  <c r="AO1277" i="10"/>
  <c r="AT1207" i="10"/>
  <c r="AM1207" i="10"/>
  <c r="AL1354" i="10"/>
  <c r="AP1505" i="10"/>
  <c r="AV1532" i="10"/>
  <c r="AV1234" i="10"/>
  <c r="AO1450" i="10"/>
  <c r="AM1437" i="10"/>
  <c r="AU1218" i="10"/>
  <c r="AK1360" i="10"/>
  <c r="AU1400" i="10"/>
  <c r="AX1289" i="10"/>
  <c r="AQ1337" i="10"/>
  <c r="AL1222" i="10"/>
  <c r="AM1348" i="10"/>
  <c r="AV1366" i="10"/>
  <c r="AS1490" i="10"/>
  <c r="AN1372" i="10"/>
  <c r="AX1300" i="10"/>
  <c r="AN1557" i="10"/>
  <c r="AQ1427" i="10"/>
  <c r="AJ1548" i="10"/>
  <c r="AQ1207" i="10"/>
  <c r="AO1207" i="10"/>
  <c r="AQ1354" i="10"/>
  <c r="AO1532" i="10"/>
  <c r="AT1394" i="10"/>
  <c r="AQ1400" i="10"/>
  <c r="AK1289" i="10"/>
  <c r="AM1332" i="10"/>
  <c r="AP1348" i="10"/>
  <c r="AK1366" i="10"/>
  <c r="AK1490" i="10"/>
  <c r="AM1372" i="10"/>
  <c r="AN1300" i="10"/>
  <c r="AK1218" i="10"/>
  <c r="AX1256" i="10"/>
  <c r="AQ1557" i="10"/>
  <c r="AO1557" i="10"/>
  <c r="AV1427" i="10"/>
  <c r="AL1553" i="10"/>
  <c r="AW1201" i="10"/>
  <c r="AV1250" i="10"/>
  <c r="AP1250" i="10"/>
  <c r="AQ1406" i="10"/>
  <c r="AM1240" i="10"/>
  <c r="AX1245" i="10"/>
  <c r="AP1261" i="10"/>
  <c r="AH116" i="45"/>
  <c r="AT1421" i="10"/>
  <c r="AR1484" i="10"/>
  <c r="AU1552" i="10"/>
  <c r="AP1548" i="10"/>
  <c r="Y107" i="45"/>
  <c r="AV1200" i="10"/>
  <c r="AN1432" i="10"/>
  <c r="AQ1277" i="10"/>
  <c r="AS1207" i="10"/>
  <c r="AU1505" i="10"/>
  <c r="AS1532" i="10"/>
  <c r="AR1450" i="10"/>
  <c r="AX1400" i="10"/>
  <c r="AP1289" i="10"/>
  <c r="AN1218" i="10"/>
  <c r="AX1455" i="10"/>
  <c r="AP1332" i="10"/>
  <c r="AK1348" i="10"/>
  <c r="AM1366" i="10"/>
  <c r="AP1490" i="10"/>
  <c r="AL1372" i="10"/>
  <c r="AM1300" i="10"/>
  <c r="AX1218" i="10"/>
  <c r="AS1256" i="10"/>
  <c r="AJ1256" i="10"/>
  <c r="AL1557" i="10"/>
  <c r="AK1557" i="10"/>
  <c r="AN1427" i="10"/>
  <c r="AS1553" i="10"/>
  <c r="AK1201" i="10"/>
  <c r="AL1250" i="10"/>
  <c r="AN1250" i="10"/>
  <c r="AP1406" i="10"/>
  <c r="AS1261" i="10"/>
  <c r="AL1516" i="10"/>
  <c r="AF107" i="45"/>
  <c r="AP1484" i="10"/>
  <c r="AR1552" i="10"/>
  <c r="AL1548" i="10"/>
  <c r="AL1200" i="10"/>
  <c r="AO1432" i="10"/>
  <c r="AM1277" i="10"/>
  <c r="AL1207" i="10"/>
  <c r="AO1389" i="10"/>
  <c r="AT1505" i="10"/>
  <c r="AK1532" i="10"/>
  <c r="AS1450" i="10"/>
  <c r="AV1400" i="10"/>
  <c r="AV1455" i="10"/>
  <c r="AV1332" i="10"/>
  <c r="AU1348" i="10"/>
  <c r="AQ1490" i="10"/>
  <c r="AR1372" i="10"/>
  <c r="AS1300" i="10"/>
  <c r="AX1250" i="10"/>
  <c r="AU1256" i="10"/>
  <c r="AR1557" i="10"/>
  <c r="AW1331" i="10"/>
  <c r="AJ1557" i="10"/>
  <c r="AU1557" i="10"/>
  <c r="AV1256" i="10"/>
  <c r="AO1562" i="10"/>
  <c r="AO1267" i="10"/>
  <c r="AL1406" i="10"/>
  <c r="AO1484" i="10"/>
  <c r="AN1552" i="10"/>
  <c r="AO1548" i="10"/>
  <c r="AT1548" i="10"/>
  <c r="AM1432" i="10"/>
  <c r="AU1207" i="10"/>
  <c r="AL1505" i="10"/>
  <c r="AV1450" i="10"/>
  <c r="AN1332" i="10"/>
  <c r="AO1348" i="10"/>
  <c r="AX1283" i="10"/>
  <c r="AU1490" i="10"/>
  <c r="AX1223" i="10"/>
  <c r="AP1464" i="10"/>
  <c r="AK1250" i="10"/>
  <c r="AN1267" i="10"/>
  <c r="AM1490" i="10"/>
  <c r="AX560" i="10"/>
  <c r="AX559" i="10"/>
  <c r="AW559" i="10"/>
  <c r="AV559" i="10"/>
  <c r="AU559" i="10"/>
  <c r="AT559" i="10"/>
  <c r="AS559" i="10"/>
  <c r="AR559" i="10"/>
  <c r="AQ559" i="10"/>
  <c r="AP559" i="10"/>
  <c r="AO559" i="10"/>
  <c r="AN559" i="10"/>
  <c r="AM559" i="10"/>
  <c r="AL559" i="10"/>
  <c r="AK559" i="10"/>
  <c r="AJ559" i="10"/>
  <c r="AW561" i="10"/>
  <c r="AX561" i="10"/>
  <c r="AW562" i="10"/>
  <c r="AX562" i="10"/>
  <c r="AW563" i="10"/>
  <c r="AX563" i="10"/>
  <c r="AX564" i="10"/>
  <c r="AW564" i="10"/>
  <c r="AK564" i="10"/>
  <c r="AJ564" i="10"/>
  <c r="AX565" i="10"/>
  <c r="AW565" i="10"/>
  <c r="AK565" i="10"/>
  <c r="AJ565" i="10"/>
  <c r="AX566" i="10"/>
  <c r="AW566" i="10"/>
  <c r="AK566" i="10"/>
  <c r="AJ566" i="10"/>
  <c r="AX567" i="10"/>
  <c r="AW567" i="10"/>
  <c r="AK567" i="10"/>
  <c r="AJ567" i="10"/>
  <c r="AX568" i="10"/>
  <c r="AW568" i="10"/>
  <c r="AK568" i="10"/>
  <c r="AJ568" i="10"/>
  <c r="AX569" i="10"/>
  <c r="AW569" i="10"/>
  <c r="AV569" i="10"/>
  <c r="AU569" i="10"/>
  <c r="AT569" i="10"/>
  <c r="AS569" i="10"/>
  <c r="AR569" i="10"/>
  <c r="AQ569" i="10"/>
  <c r="AP569" i="10"/>
  <c r="AO569" i="10"/>
  <c r="AN569" i="10"/>
  <c r="AM569" i="10"/>
  <c r="AL569" i="10"/>
  <c r="AK569" i="10"/>
  <c r="AJ569" i="10"/>
  <c r="AX570" i="10"/>
  <c r="AW570" i="10"/>
  <c r="AK570" i="10"/>
  <c r="AJ570" i="10"/>
  <c r="AX571" i="10"/>
  <c r="AW571" i="10"/>
  <c r="AK571" i="10"/>
  <c r="AJ571" i="10"/>
  <c r="AX572" i="10"/>
  <c r="AW572" i="10"/>
  <c r="AK572" i="10"/>
  <c r="AJ572" i="10"/>
  <c r="AX573" i="10"/>
  <c r="AW573" i="10"/>
  <c r="AK573" i="10"/>
  <c r="AJ573" i="10"/>
  <c r="AX574" i="10"/>
  <c r="AW574" i="10"/>
  <c r="AK574" i="10"/>
  <c r="AJ574" i="10"/>
  <c r="AX575" i="10"/>
  <c r="AW575" i="10"/>
  <c r="AK575" i="10"/>
  <c r="AJ575" i="10"/>
  <c r="AX576" i="10"/>
  <c r="AW576" i="10"/>
  <c r="AK576" i="10"/>
  <c r="AJ576" i="10"/>
  <c r="AX577" i="10"/>
  <c r="AW577" i="10"/>
  <c r="AK577" i="10"/>
  <c r="AJ577" i="10"/>
  <c r="AX578" i="10"/>
  <c r="AW578" i="10"/>
  <c r="AK578" i="10"/>
  <c r="AJ578" i="10"/>
  <c r="AX579" i="10"/>
  <c r="AW579" i="10"/>
  <c r="AK579" i="10"/>
  <c r="AJ579" i="10"/>
  <c r="AX580" i="10"/>
  <c r="AW580" i="10"/>
  <c r="AK580" i="10"/>
  <c r="AJ580" i="10"/>
  <c r="AX581" i="10"/>
  <c r="AW581" i="10"/>
  <c r="AV581" i="10"/>
  <c r="AU581" i="10"/>
  <c r="AT581" i="10"/>
  <c r="AS581" i="10"/>
  <c r="AR581" i="10"/>
  <c r="AQ581" i="10"/>
  <c r="AP581" i="10"/>
  <c r="AO581" i="10"/>
  <c r="AN581" i="10"/>
  <c r="AM581" i="10"/>
  <c r="AL581" i="10"/>
  <c r="AK581" i="10"/>
  <c r="AJ581" i="10"/>
  <c r="AD236" i="45"/>
  <c r="AO1744" i="10"/>
  <c r="AV1782" i="10"/>
  <c r="AW2103" i="10"/>
  <c r="AS1609" i="10"/>
  <c r="AK1486" i="10"/>
  <c r="AM1945" i="10"/>
  <c r="AK1604" i="10"/>
  <c r="AV1491" i="10"/>
  <c r="AV2198" i="10"/>
  <c r="AL2047" i="10"/>
  <c r="AK2499" i="10"/>
  <c r="AX2054" i="10"/>
  <c r="AW2109" i="10"/>
  <c r="AK2251" i="10"/>
  <c r="AM2455" i="10"/>
  <c r="AM1554" i="10"/>
  <c r="AS1715" i="10"/>
  <c r="AK1763" i="10"/>
  <c r="AL2024" i="10"/>
  <c r="AO2087" i="10"/>
  <c r="AS2114" i="10"/>
  <c r="AP2286" i="10"/>
  <c r="AV2193" i="10"/>
  <c r="AQ2424" i="10"/>
  <c r="AU1609" i="10"/>
  <c r="AQ1767" i="10"/>
  <c r="AU1836" i="10"/>
  <c r="AN1990" i="10"/>
  <c r="AQ2177" i="10"/>
  <c r="AN2234" i="10"/>
  <c r="AN2256" i="10"/>
  <c r="AL2260" i="10"/>
  <c r="AQ1344" i="10"/>
  <c r="AW1614" i="10"/>
  <c r="AQ1720" i="10"/>
  <c r="AK1797" i="10"/>
  <c r="AT1491" i="10"/>
  <c r="AQ1559" i="10"/>
  <c r="AM1967" i="10"/>
  <c r="AS1929" i="10"/>
  <c r="AO1619" i="10"/>
  <c r="AX1909" i="10"/>
  <c r="AL2359" i="10"/>
  <c r="AV2666" i="10"/>
  <c r="AW2405" i="10"/>
  <c r="AS1412" i="10"/>
  <c r="AR2405" i="10"/>
  <c r="AQ1967" i="10"/>
  <c r="AL1967" i="10"/>
  <c r="AR2203" i="10"/>
  <c r="AP1683" i="10"/>
  <c r="AX1417" i="10"/>
  <c r="AS1984" i="10"/>
  <c r="AW1491" i="10"/>
  <c r="AV2029" i="10"/>
  <c r="AV2024" i="10"/>
  <c r="AW2087" i="10"/>
  <c r="AW2114" i="10"/>
  <c r="AT2640" i="10"/>
  <c r="AT2193" i="10"/>
  <c r="AX2424" i="10"/>
  <c r="AX1609" i="10"/>
  <c r="AR1767" i="10"/>
  <c r="AL1836" i="10"/>
  <c r="AU1990" i="10"/>
  <c r="AU2177" i="10"/>
  <c r="AT2256" i="10"/>
  <c r="AR1344" i="10"/>
  <c r="AT1434" i="10"/>
  <c r="AU1720" i="10"/>
  <c r="AP1797" i="10"/>
  <c r="AQ1604" i="10"/>
  <c r="AN1559" i="10"/>
  <c r="AV2424" i="10"/>
  <c r="AN1909" i="10"/>
  <c r="AP2203" i="10"/>
  <c r="AL1417" i="10"/>
  <c r="AW1945" i="10"/>
  <c r="AX1797" i="10"/>
  <c r="AJ1491" i="10"/>
  <c r="AK2198" i="10"/>
  <c r="AT2047" i="10"/>
  <c r="AS2054" i="10"/>
  <c r="AQ2251" i="10"/>
  <c r="AV1554" i="10"/>
  <c r="AU1715" i="10"/>
  <c r="AX1763" i="10"/>
  <c r="AO2281" i="10"/>
  <c r="AT2286" i="10"/>
  <c r="AT2024" i="10"/>
  <c r="AU2087" i="10"/>
  <c r="AV2114" i="10"/>
  <c r="AO2620" i="10"/>
  <c r="AW2177" i="10"/>
  <c r="AW2193" i="10"/>
  <c r="AU2503" i="10"/>
  <c r="AL2424" i="10"/>
  <c r="AU1767" i="10"/>
  <c r="AO1836" i="10"/>
  <c r="AQ1990" i="10"/>
  <c r="AL2177" i="10"/>
  <c r="AM2234" i="10"/>
  <c r="AL2256" i="10"/>
  <c r="AU2358" i="10"/>
  <c r="AW1380" i="10"/>
  <c r="AU1434" i="10"/>
  <c r="AK1614" i="10"/>
  <c r="AQ1658" i="10"/>
  <c r="AL1909" i="10"/>
  <c r="AT1967" i="10"/>
  <c r="AO2005" i="10"/>
  <c r="AU2096" i="10"/>
  <c r="AO2291" i="10"/>
  <c r="AL2159" i="10"/>
  <c r="AS2060" i="10"/>
  <c r="AQ2203" i="10"/>
  <c r="AU1412" i="10"/>
  <c r="AV1729" i="10"/>
  <c r="AV1543" i="10"/>
  <c r="AR1704" i="10"/>
  <c r="AR1609" i="10"/>
  <c r="AQ1729" i="10"/>
  <c r="AX1945" i="10"/>
  <c r="AL1339" i="10"/>
  <c r="AV2499" i="10"/>
  <c r="AL1491" i="10"/>
  <c r="AQ2198" i="10"/>
  <c r="AO2047" i="10"/>
  <c r="AV2054" i="10"/>
  <c r="AW2251" i="10"/>
  <c r="AL1767" i="10"/>
  <c r="AS1554" i="10"/>
  <c r="AN1715" i="10"/>
  <c r="AT1763" i="10"/>
  <c r="AR2281" i="10"/>
  <c r="AX2024" i="10"/>
  <c r="AS2024" i="10"/>
  <c r="AK2087" i="10"/>
  <c r="AS2087" i="10"/>
  <c r="AX2114" i="10"/>
  <c r="AP2620" i="10"/>
  <c r="AX2193" i="10"/>
  <c r="AX2503" i="10"/>
  <c r="AN1767" i="10"/>
  <c r="AP2424" i="10"/>
  <c r="AT2119" i="10"/>
  <c r="AT1767" i="10"/>
  <c r="AQ1836" i="10"/>
  <c r="AO1990" i="10"/>
  <c r="AL1990" i="10"/>
  <c r="AV2177" i="10"/>
  <c r="AP2256" i="10"/>
  <c r="AT2358" i="10"/>
  <c r="AS1344" i="10"/>
  <c r="AX1380" i="10"/>
  <c r="AS1614" i="10"/>
  <c r="AO2286" i="10"/>
  <c r="AR2291" i="10"/>
  <c r="AW2478" i="10"/>
  <c r="AW1909" i="10"/>
  <c r="AO1873" i="10"/>
  <c r="AK2666" i="10"/>
  <c r="AX2429" i="10"/>
  <c r="AT2405" i="10"/>
  <c r="AK1412" i="10"/>
  <c r="AT2005" i="10"/>
  <c r="AM2096" i="10"/>
  <c r="AL2291" i="10"/>
  <c r="AL2060" i="10"/>
  <c r="AO1704" i="10"/>
  <c r="AP1609" i="10"/>
  <c r="AM1471" i="10"/>
  <c r="AP2213" i="10"/>
  <c r="AP1782" i="10"/>
  <c r="AR1782" i="10"/>
  <c r="AM2024" i="10"/>
  <c r="AO1945" i="10"/>
  <c r="AN1797" i="10"/>
  <c r="AQ1491" i="10"/>
  <c r="AR2198" i="10"/>
  <c r="AO1609" i="10"/>
  <c r="AX2047" i="10"/>
  <c r="AM2054" i="10"/>
  <c r="AU1604" i="10"/>
  <c r="AU2251" i="10"/>
  <c r="AP1554" i="10"/>
  <c r="AW1763" i="10"/>
  <c r="AL2281" i="10"/>
  <c r="AR2024" i="10"/>
  <c r="AT2087" i="10"/>
  <c r="AM2087" i="10"/>
  <c r="AO2114" i="10"/>
  <c r="AM2620" i="10"/>
  <c r="AU2193" i="10"/>
  <c r="AO2406" i="10"/>
  <c r="AL2503" i="10"/>
  <c r="AO2424" i="10"/>
  <c r="AV2119" i="10"/>
  <c r="AV1836" i="10"/>
  <c r="AS1990" i="10"/>
  <c r="AM1990" i="10"/>
  <c r="AO2177" i="10"/>
  <c r="AS2256" i="10"/>
  <c r="AR2256" i="10"/>
  <c r="AW2358" i="10"/>
  <c r="AM1344" i="10"/>
  <c r="AV1380" i="10"/>
  <c r="AT1614" i="10"/>
  <c r="AN2286" i="10"/>
  <c r="AP2153" i="10"/>
  <c r="AK2291" i="10"/>
  <c r="AV1909" i="10"/>
  <c r="AR1873" i="10"/>
  <c r="AL2153" i="10"/>
  <c r="AL2666" i="10"/>
  <c r="AW1412" i="10"/>
  <c r="AL1412" i="10"/>
  <c r="AP2096" i="10"/>
  <c r="AW2291" i="10"/>
  <c r="AN2060" i="10"/>
  <c r="AN1979" i="10"/>
  <c r="AM1782" i="10"/>
  <c r="AL1945" i="10"/>
  <c r="AK2225" i="10"/>
  <c r="AN1491" i="10"/>
  <c r="AM2198" i="10"/>
  <c r="AP2047" i="10"/>
  <c r="AR2054" i="10"/>
  <c r="AL2286" i="10"/>
  <c r="AK1715" i="10"/>
  <c r="AR1763" i="10"/>
  <c r="AX2281" i="10"/>
  <c r="AR2119" i="10"/>
  <c r="AN2087" i="10"/>
  <c r="AJ2087" i="10"/>
  <c r="AM2114" i="10"/>
  <c r="AS2620" i="10"/>
  <c r="AT2198" i="10"/>
  <c r="AM2193" i="10"/>
  <c r="AN2424" i="10"/>
  <c r="AP2119" i="10"/>
  <c r="AM1836" i="10"/>
  <c r="AX1990" i="10"/>
  <c r="AJ1990" i="10"/>
  <c r="AN2177" i="10"/>
  <c r="AQ2256" i="10"/>
  <c r="AX2358" i="10"/>
  <c r="AP1344" i="10"/>
  <c r="AM1380" i="10"/>
  <c r="AO1614" i="10"/>
  <c r="AU1797" i="10"/>
  <c r="AJ2286" i="10"/>
  <c r="AM2203" i="10"/>
  <c r="AK1417" i="10"/>
  <c r="AK2096" i="10"/>
  <c r="AV2291" i="10"/>
  <c r="AT1533" i="10"/>
  <c r="AL1929" i="10"/>
  <c r="AU1417" i="10"/>
  <c r="AL1979" i="10"/>
  <c r="AS1396" i="10"/>
  <c r="AU1782" i="10"/>
  <c r="AS1945" i="10"/>
  <c r="AT1604" i="10"/>
  <c r="AU2225" i="10"/>
  <c r="AX1491" i="10"/>
  <c r="AU2198" i="10"/>
  <c r="AU2047" i="10"/>
  <c r="AN2054" i="10"/>
  <c r="AV1715" i="10"/>
  <c r="AL1763" i="10"/>
  <c r="AM2494" i="10"/>
  <c r="AR1423" i="10"/>
  <c r="AV2087" i="10"/>
  <c r="AR2114" i="10"/>
  <c r="AX1836" i="10"/>
  <c r="AR1990" i="10"/>
  <c r="AJ2177" i="10"/>
  <c r="AX2256" i="10"/>
  <c r="AK1344" i="10"/>
  <c r="AN1614" i="10"/>
  <c r="AS1797" i="10"/>
  <c r="AV2203" i="10"/>
  <c r="AR1619" i="10"/>
  <c r="AS1972" i="10"/>
  <c r="AQ2074" i="10"/>
  <c r="AT1909" i="10"/>
  <c r="AO1417" i="10"/>
  <c r="AL1604" i="10"/>
  <c r="AO1967" i="10"/>
  <c r="AO1919" i="10"/>
  <c r="AN1850" i="10"/>
  <c r="AS2096" i="10"/>
  <c r="AP2291" i="10"/>
  <c r="AR1417" i="10"/>
  <c r="AL1704" i="10"/>
  <c r="AU1979" i="10"/>
  <c r="AM1558" i="10"/>
  <c r="AU1471" i="10"/>
  <c r="AL1782" i="10"/>
  <c r="AW1486" i="10"/>
  <c r="AR1945" i="10"/>
  <c r="AX1604" i="10"/>
  <c r="AW2225" i="10"/>
  <c r="AS1491" i="10"/>
  <c r="AW2198" i="10"/>
  <c r="AX2177" i="10"/>
  <c r="AM2047" i="10"/>
  <c r="AK2054" i="10"/>
  <c r="AS2575" i="10"/>
  <c r="AT1715" i="10"/>
  <c r="AS1763" i="10"/>
  <c r="AU2494" i="10"/>
  <c r="AX2087" i="10"/>
  <c r="AK2114" i="10"/>
  <c r="AK2385" i="10"/>
  <c r="AV2620" i="10"/>
  <c r="AM2720" i="10"/>
  <c r="AK1609" i="10"/>
  <c r="AP1836" i="10"/>
  <c r="AV1990" i="10"/>
  <c r="AK2177" i="10"/>
  <c r="AW2256" i="10"/>
  <c r="AN2260" i="10"/>
  <c r="AK2358" i="10"/>
  <c r="AO1344" i="10"/>
  <c r="AL1614" i="10"/>
  <c r="AT1797" i="10"/>
  <c r="AM1559" i="10"/>
  <c r="AQ2207" i="10"/>
  <c r="AO1972" i="10"/>
  <c r="AU2074" i="10"/>
  <c r="AU1909" i="10"/>
  <c r="AR1604" i="10"/>
  <c r="AX2291" i="10"/>
  <c r="AR2096" i="10"/>
  <c r="AN1919" i="10"/>
  <c r="AN2291" i="10"/>
  <c r="AX2096" i="10"/>
  <c r="AT1929" i="10"/>
  <c r="AM1417" i="10"/>
  <c r="AQ1704" i="10"/>
  <c r="AQ1979" i="10"/>
  <c r="AS1782" i="10"/>
  <c r="AM1486" i="10"/>
  <c r="AP1604" i="10"/>
  <c r="AU1491" i="10"/>
  <c r="AR2494" i="10"/>
  <c r="AS2286" i="10"/>
  <c r="AR2047" i="10"/>
  <c r="AP2054" i="10"/>
  <c r="AT2251" i="10"/>
  <c r="AT1554" i="10"/>
  <c r="AP1715" i="10"/>
  <c r="AP1763" i="10"/>
  <c r="AQ2087" i="10"/>
  <c r="AU2114" i="10"/>
  <c r="AQ2620" i="10"/>
  <c r="AK2575" i="10"/>
  <c r="AP2720" i="10"/>
  <c r="AV1609" i="10"/>
  <c r="AW1836" i="10"/>
  <c r="AW1990" i="10"/>
  <c r="AR2177" i="10"/>
  <c r="AM2256" i="10"/>
  <c r="AR2358" i="10"/>
  <c r="AW1344" i="10"/>
  <c r="AM1614" i="10"/>
  <c r="AM1797" i="10"/>
  <c r="AV1559" i="10"/>
  <c r="AV1963" i="10"/>
  <c r="AX1452" i="10"/>
  <c r="AR2255" i="10"/>
  <c r="AX2539" i="10"/>
  <c r="AQ2666" i="10"/>
  <c r="AM2405" i="10"/>
  <c r="AT2153" i="10"/>
  <c r="AL1533" i="10"/>
  <c r="AP2207" i="10"/>
  <c r="AS1963" i="10"/>
  <c r="AQ1417" i="10"/>
  <c r="AS1704" i="10"/>
  <c r="AT1979" i="10"/>
  <c r="AL2352" i="10"/>
  <c r="AP1704" i="10"/>
  <c r="AT1729" i="10"/>
  <c r="AU1968" i="10"/>
  <c r="AQ2499" i="10"/>
  <c r="AM2251" i="10"/>
  <c r="AP2455" i="10"/>
  <c r="AU1554" i="10"/>
  <c r="AU1763" i="10"/>
  <c r="AX2286" i="10"/>
  <c r="AN2114" i="10"/>
  <c r="AL1434" i="10"/>
  <c r="AP1423" i="10"/>
  <c r="AL2575" i="10"/>
  <c r="AR2720" i="10"/>
  <c r="AT1609" i="10"/>
  <c r="AR1836" i="10"/>
  <c r="AS2177" i="10"/>
  <c r="AP1614" i="10"/>
  <c r="AW1797" i="10"/>
  <c r="AU1559" i="10"/>
  <c r="AU1963" i="10"/>
  <c r="AN2153" i="10"/>
  <c r="AL2539" i="10"/>
  <c r="AM2478" i="10"/>
  <c r="AL1112" i="10"/>
  <c r="AS1234" i="10"/>
  <c r="AV1217" i="10"/>
  <c r="AS1320" i="10"/>
  <c r="AX924" i="10"/>
  <c r="AP1536" i="10"/>
  <c r="AO1536" i="10"/>
  <c r="AR1536" i="10"/>
  <c r="AW1536" i="10"/>
  <c r="AM1536" i="10"/>
  <c r="AT1536" i="10"/>
  <c r="AS1536" i="10"/>
  <c r="AV1536" i="10"/>
  <c r="AL1536" i="10"/>
  <c r="AX1536" i="10"/>
  <c r="AM1474" i="10"/>
  <c r="AX1474" i="10"/>
  <c r="AV1474" i="10"/>
  <c r="AL1474" i="10"/>
  <c r="AK1474" i="10"/>
  <c r="AR1459" i="10"/>
  <c r="AU1459" i="10"/>
  <c r="AK1459" i="10"/>
  <c r="AJ1459" i="10"/>
  <c r="AV1459" i="10"/>
  <c r="AO1459" i="10"/>
  <c r="AP1459" i="10"/>
  <c r="AL1459" i="10"/>
  <c r="AM1459" i="10"/>
  <c r="AJ1444" i="10"/>
  <c r="AS1444" i="10"/>
  <c r="AQ1444" i="10"/>
  <c r="AV1444" i="10"/>
  <c r="AU1444" i="10"/>
  <c r="AK1432" i="10"/>
  <c r="AW1432" i="10"/>
  <c r="AR1432" i="10"/>
  <c r="AX1432" i="10"/>
  <c r="AQ1432" i="10"/>
  <c r="AT1432" i="10"/>
  <c r="AS1432" i="10"/>
  <c r="AV1432" i="10"/>
  <c r="AR1394" i="10"/>
  <c r="AO1394" i="10"/>
  <c r="AS1377" i="10"/>
  <c r="AT1377" i="10"/>
  <c r="AV1377" i="10"/>
  <c r="AR1377" i="10"/>
  <c r="AP1377" i="10"/>
  <c r="AU1377" i="10"/>
  <c r="AL1377" i="10"/>
  <c r="AW1377" i="10"/>
  <c r="AO1377" i="10"/>
  <c r="AQ1377" i="10"/>
  <c r="AX1377" i="10"/>
  <c r="AX1371" i="10"/>
  <c r="AW1371" i="10"/>
  <c r="AJ1371" i="10"/>
  <c r="AT1371" i="10"/>
  <c r="AP1371" i="10"/>
  <c r="AS1371" i="10"/>
  <c r="AQ1371" i="10"/>
  <c r="AV1371" i="10"/>
  <c r="AU1365" i="10"/>
  <c r="AN1365" i="10"/>
  <c r="AV1365" i="10"/>
  <c r="AW1365" i="10"/>
  <c r="AK1365" i="10"/>
  <c r="AP1365" i="10"/>
  <c r="AM1359" i="10"/>
  <c r="AV1359" i="10"/>
  <c r="AP1359" i="10"/>
  <c r="AT1359" i="10"/>
  <c r="AX1359" i="10"/>
  <c r="AO1359" i="10"/>
  <c r="AU1359" i="10"/>
  <c r="AL1359" i="10"/>
  <c r="AQ1359" i="10"/>
  <c r="AK1359" i="10"/>
  <c r="AS1359" i="10"/>
  <c r="AN1353" i="10"/>
  <c r="AR1353" i="10"/>
  <c r="AU1353" i="10"/>
  <c r="AS1353" i="10"/>
  <c r="AM1353" i="10"/>
  <c r="AQ1353" i="10"/>
  <c r="AW1353" i="10"/>
  <c r="AL1353" i="10"/>
  <c r="AO1353" i="10"/>
  <c r="AP1353" i="10"/>
  <c r="AJ1353" i="10"/>
  <c r="AT1353" i="10"/>
  <c r="AV1353" i="10"/>
  <c r="AM1331" i="10"/>
  <c r="AX1331" i="10"/>
  <c r="AN1331" i="10"/>
  <c r="AT1331" i="10"/>
  <c r="AR1331" i="10"/>
  <c r="AK1331" i="10"/>
  <c r="AS1331" i="10"/>
  <c r="AO1331" i="10"/>
  <c r="AK1294" i="10"/>
  <c r="AO1294" i="10"/>
  <c r="AR1294" i="10"/>
  <c r="AS1294" i="10"/>
  <c r="AM1294" i="10"/>
  <c r="AW1294" i="10"/>
  <c r="AT1294" i="10"/>
  <c r="AU1294" i="10"/>
  <c r="AJ1294" i="10"/>
  <c r="AX1294" i="10"/>
  <c r="AX1288" i="10"/>
  <c r="AR1288" i="10"/>
  <c r="AV1288" i="10"/>
  <c r="AS1288" i="10"/>
  <c r="AQ1288" i="10"/>
  <c r="AO1288" i="10"/>
  <c r="AU1288" i="10"/>
  <c r="AP1288" i="10"/>
  <c r="AR1266" i="10"/>
  <c r="AL1266" i="10"/>
  <c r="AU1266" i="10"/>
  <c r="AT1266" i="10"/>
  <c r="AS1266" i="10"/>
  <c r="AK1266" i="10"/>
  <c r="AL1234" i="10"/>
  <c r="AK1234" i="10"/>
  <c r="AN1234" i="10"/>
  <c r="AX1234" i="10"/>
  <c r="AR1234" i="10"/>
  <c r="AW1234" i="10"/>
  <c r="AU1234" i="10"/>
  <c r="AN1228" i="10"/>
  <c r="AP1228" i="10"/>
  <c r="AR1228" i="10"/>
  <c r="AM1228" i="10"/>
  <c r="AU1228" i="10"/>
  <c r="AN1222" i="10"/>
  <c r="AW1222" i="10"/>
  <c r="AK1222" i="10"/>
  <c r="AX1222" i="10"/>
  <c r="AV1222" i="10"/>
  <c r="AO1217" i="10"/>
  <c r="AL1217" i="10"/>
  <c r="AM1217" i="10"/>
  <c r="AP1200" i="10"/>
  <c r="AR1200" i="10"/>
  <c r="AT1200" i="10"/>
  <c r="AX1200" i="10"/>
  <c r="AS1200" i="10"/>
  <c r="AQ1189" i="10"/>
  <c r="AN1189" i="10"/>
  <c r="AS1189" i="10"/>
  <c r="AJ1173" i="10"/>
  <c r="AK1173" i="10"/>
  <c r="AX1173" i="10"/>
  <c r="AR1173" i="10"/>
  <c r="AL1168" i="10"/>
  <c r="AW1168" i="10"/>
  <c r="AT1168" i="10"/>
  <c r="AQ1168" i="10"/>
  <c r="AS1168" i="10"/>
  <c r="AU1157" i="10"/>
  <c r="AM1157" i="10"/>
  <c r="AV1157" i="10"/>
  <c r="AK1157" i="10"/>
  <c r="AN1157" i="10"/>
  <c r="AS1157" i="10"/>
  <c r="AX1157" i="10"/>
  <c r="AL1157" i="10"/>
  <c r="AR1112" i="10"/>
  <c r="AS1112" i="10"/>
  <c r="AM1112" i="10"/>
  <c r="AK1112" i="10"/>
  <c r="AV1112" i="10"/>
  <c r="AT1112" i="10"/>
  <c r="AR1074" i="10"/>
  <c r="AV1074" i="10"/>
  <c r="AJ1040" i="10"/>
  <c r="AW1040" i="10"/>
  <c r="AK1040" i="10"/>
  <c r="AK1024" i="10"/>
  <c r="AJ1024" i="10"/>
  <c r="AX1024" i="10"/>
  <c r="AM943" i="10"/>
  <c r="AL943" i="10"/>
  <c r="AW893" i="10"/>
  <c r="AK893" i="10"/>
  <c r="AX893" i="10"/>
  <c r="AW890" i="10"/>
  <c r="AX890" i="10"/>
  <c r="AX880" i="10"/>
  <c r="AK880" i="10"/>
  <c r="AW880" i="10"/>
  <c r="E107" i="45"/>
  <c r="C116" i="45"/>
  <c r="E19" i="43" s="1"/>
  <c r="AH107" i="45"/>
  <c r="AW790" i="10"/>
  <c r="AM790" i="10"/>
  <c r="AX790" i="10"/>
  <c r="AJ694" i="10"/>
  <c r="AX694" i="10"/>
  <c r="AU694" i="10"/>
  <c r="AS694" i="10"/>
  <c r="AR694" i="10"/>
  <c r="AQ694" i="10"/>
  <c r="AP694" i="10"/>
  <c r="AL694" i="10"/>
  <c r="AM1444" i="10"/>
  <c r="AU1432" i="10"/>
  <c r="AK1353" i="10"/>
  <c r="AL2045" i="10"/>
  <c r="AO2045" i="10"/>
  <c r="AM2045" i="10"/>
  <c r="AP2045" i="10"/>
  <c r="AR2045" i="10"/>
  <c r="AV2045" i="10"/>
  <c r="AU2045" i="10"/>
  <c r="AN2039" i="10"/>
  <c r="AX2039" i="10"/>
  <c r="AU2039" i="10"/>
  <c r="AL2039" i="10"/>
  <c r="AP2039" i="10"/>
  <c r="AS2039" i="10"/>
  <c r="AT2039" i="10"/>
  <c r="AW2039" i="10"/>
  <c r="AV2039" i="10"/>
  <c r="AJ2039" i="10"/>
  <c r="AN2010" i="10"/>
  <c r="AM2010" i="10"/>
  <c r="AX2010" i="10"/>
  <c r="AL2010" i="10"/>
  <c r="AU2010" i="10"/>
  <c r="AQ2010" i="10"/>
  <c r="AP2010" i="10"/>
  <c r="AS2010" i="10"/>
  <c r="AV2010" i="10"/>
  <c r="AL2003" i="10"/>
  <c r="AT2003" i="10"/>
  <c r="AU2003" i="10"/>
  <c r="AR2003" i="10"/>
  <c r="AQ2003" i="10"/>
  <c r="AM2003" i="10"/>
  <c r="AO2003" i="10"/>
  <c r="AO1975" i="10"/>
  <c r="AS1975" i="10"/>
  <c r="AQ1975" i="10"/>
  <c r="AW1975" i="10"/>
  <c r="AN1975" i="10"/>
  <c r="AX1975" i="10"/>
  <c r="AP1975" i="10"/>
  <c r="AM1975" i="10"/>
  <c r="AJ1975" i="10"/>
  <c r="AL1975" i="10"/>
  <c r="AR1970" i="10"/>
  <c r="AM1970" i="10"/>
  <c r="AL1970" i="10"/>
  <c r="AP1933" i="10"/>
  <c r="AR1933" i="10"/>
  <c r="AU1933" i="10"/>
  <c r="AX1933" i="10"/>
  <c r="AL1933" i="10"/>
  <c r="AV1933" i="10"/>
  <c r="AW1933" i="10"/>
  <c r="AL1865" i="10"/>
  <c r="AO1865" i="10"/>
  <c r="AT1865" i="10"/>
  <c r="AX1865" i="10"/>
  <c r="AV1865" i="10"/>
  <c r="AP1865" i="10"/>
  <c r="AN1865" i="10"/>
  <c r="AX1859" i="10"/>
  <c r="AP1859" i="10"/>
  <c r="AN1859" i="10"/>
  <c r="AV1859" i="10"/>
  <c r="AJ1859" i="10"/>
  <c r="AR1859" i="10"/>
  <c r="AK1819" i="10"/>
  <c r="AN1819" i="10"/>
  <c r="AO1819" i="10"/>
  <c r="AW1819" i="10"/>
  <c r="AU1819" i="10"/>
  <c r="AX1819" i="10"/>
  <c r="AM1819" i="10"/>
  <c r="AP1774" i="10"/>
  <c r="AS1774" i="10"/>
  <c r="AO1774" i="10"/>
  <c r="AK1741" i="10"/>
  <c r="AM1741" i="10"/>
  <c r="AQ1741" i="10"/>
  <c r="AX1741" i="10"/>
  <c r="AL1741" i="10"/>
  <c r="AU1741" i="10"/>
  <c r="AT1741" i="10"/>
  <c r="AS1741" i="10"/>
  <c r="AR1741" i="10"/>
  <c r="AN1741" i="10"/>
  <c r="AQ1708" i="10"/>
  <c r="AL1708" i="10"/>
  <c r="AS1708" i="10"/>
  <c r="AM1708" i="10"/>
  <c r="AU1708" i="10"/>
  <c r="AN1708" i="10"/>
  <c r="AR1708" i="10"/>
  <c r="AV1708" i="10"/>
  <c r="AP1708" i="10"/>
  <c r="AM1661" i="10"/>
  <c r="AP1661" i="10"/>
  <c r="AQ1661" i="10"/>
  <c r="AL1661" i="10"/>
  <c r="AT1661" i="10"/>
  <c r="AV1661" i="10"/>
  <c r="AO1661" i="10"/>
  <c r="AQ1656" i="10"/>
  <c r="AO1656" i="10"/>
  <c r="AL1656" i="10"/>
  <c r="AJ1656" i="10"/>
  <c r="AR1656" i="10"/>
  <c r="AP1656" i="10"/>
  <c r="AT1627" i="10"/>
  <c r="AV1627" i="10"/>
  <c r="AO1627" i="10"/>
  <c r="AN1627" i="10"/>
  <c r="AR1602" i="10"/>
  <c r="AQ1602" i="10"/>
  <c r="AT1597" i="10"/>
  <c r="AL1597" i="10"/>
  <c r="AK1597" i="10"/>
  <c r="AS1583" i="10"/>
  <c r="AP1583" i="10"/>
  <c r="AN1583" i="10"/>
  <c r="AK1583" i="10"/>
  <c r="AL1583" i="10"/>
  <c r="AU1583" i="10"/>
  <c r="AT1583" i="10"/>
  <c r="AV1583" i="10"/>
  <c r="AR1573" i="10"/>
  <c r="AJ1573" i="10"/>
  <c r="AS1573" i="10"/>
  <c r="AK1573" i="10"/>
  <c r="AM1573" i="10"/>
  <c r="AV1573" i="10"/>
  <c r="AU1573" i="10"/>
  <c r="AN1573" i="10"/>
  <c r="AQ1567" i="10"/>
  <c r="AK1567" i="10"/>
  <c r="AT1567" i="10"/>
  <c r="AO1567" i="10"/>
  <c r="AM1567" i="10"/>
  <c r="AL1567" i="10"/>
  <c r="AN1567" i="10"/>
  <c r="AV1567" i="10"/>
  <c r="AS1567" i="10"/>
  <c r="AX1040" i="10"/>
  <c r="AP1222" i="10"/>
  <c r="AS1228" i="10"/>
  <c r="AK1444" i="10"/>
  <c r="AS1459" i="10"/>
  <c r="AX1353" i="10"/>
  <c r="AJ2444" i="10"/>
  <c r="AP2444" i="10"/>
  <c r="AW2444" i="10"/>
  <c r="AL2444" i="10"/>
  <c r="AT2444" i="10"/>
  <c r="AP2403" i="10"/>
  <c r="AU2403" i="10"/>
  <c r="AS2403" i="10"/>
  <c r="AN2403" i="10"/>
  <c r="AT2403" i="10"/>
  <c r="AO2403" i="10"/>
  <c r="AV2403" i="10"/>
  <c r="AW2403" i="10"/>
  <c r="AL2403" i="10"/>
  <c r="AR2398" i="10"/>
  <c r="AU2398" i="10"/>
  <c r="AP2398" i="10"/>
  <c r="AV2398" i="10"/>
  <c r="AS2398" i="10"/>
  <c r="AW2398" i="10"/>
  <c r="AN2398" i="10"/>
  <c r="AL2398" i="10"/>
  <c r="AT2398" i="10"/>
  <c r="AK2398" i="10"/>
  <c r="AP2367" i="10"/>
  <c r="AL2367" i="10"/>
  <c r="AV2367" i="10"/>
  <c r="AS2367" i="10"/>
  <c r="AW2367" i="10"/>
  <c r="AL2336" i="10"/>
  <c r="AR2336" i="10"/>
  <c r="AX2336" i="10"/>
  <c r="AJ2336" i="10"/>
  <c r="AT2336" i="10"/>
  <c r="AO2336" i="10"/>
  <c r="AQ2336" i="10"/>
  <c r="AT2242" i="10"/>
  <c r="AQ2242" i="10"/>
  <c r="AX2242" i="10"/>
  <c r="AK2242" i="10"/>
  <c r="AO2242" i="10"/>
  <c r="AS2242" i="10"/>
  <c r="AV2242" i="10"/>
  <c r="AM2242" i="10"/>
  <c r="AN2242" i="10"/>
  <c r="AW2227" i="10"/>
  <c r="AX2227" i="10"/>
  <c r="AN2179" i="10"/>
  <c r="AR2179" i="10"/>
  <c r="AM2179" i="10"/>
  <c r="AV2179" i="10"/>
  <c r="AL2169" i="10"/>
  <c r="AW2169" i="10"/>
  <c r="AX2169" i="10"/>
  <c r="AS2169" i="10"/>
  <c r="AO2169" i="10"/>
  <c r="AR2169" i="10"/>
  <c r="AP2138" i="10"/>
  <c r="AN2138" i="10"/>
  <c r="AX2138" i="10"/>
  <c r="AR2099" i="10"/>
  <c r="AJ2099" i="10"/>
  <c r="AU2099" i="10"/>
  <c r="AW2099" i="10"/>
  <c r="AO2099" i="10"/>
  <c r="AM2099" i="10"/>
  <c r="AP2099" i="10"/>
  <c r="AX2099" i="10"/>
  <c r="AV2099" i="10"/>
  <c r="AQ2099" i="10"/>
  <c r="AT2094" i="10"/>
  <c r="AM2094" i="10"/>
  <c r="AK2061" i="10"/>
  <c r="AQ2061" i="10"/>
  <c r="AW2061" i="10"/>
  <c r="AX2061" i="10"/>
  <c r="AV2061" i="10"/>
  <c r="AM2061" i="10"/>
  <c r="AU2723" i="10"/>
  <c r="AK2723" i="10"/>
  <c r="AS2723" i="10"/>
  <c r="AM2723" i="10"/>
  <c r="AW2689" i="10"/>
  <c r="AP2689" i="10"/>
  <c r="AU2689" i="10"/>
  <c r="AK2689" i="10"/>
  <c r="AM2689" i="10"/>
  <c r="AS2689" i="10"/>
  <c r="AN2689" i="10"/>
  <c r="AQ2689" i="10"/>
  <c r="AP2679" i="10"/>
  <c r="AR2679" i="10"/>
  <c r="AL2679" i="10"/>
  <c r="AT2679" i="10"/>
  <c r="AQ2660" i="10"/>
  <c r="AP2660" i="10"/>
  <c r="AW2566" i="10"/>
  <c r="AP2566" i="10"/>
  <c r="AV2566" i="10"/>
  <c r="AX2557" i="10"/>
  <c r="AR2557" i="10"/>
  <c r="AW2552" i="10"/>
  <c r="AU2552" i="10"/>
  <c r="AO2552" i="10"/>
  <c r="AV2552" i="10"/>
  <c r="AX2552" i="10"/>
  <c r="AP2537" i="10"/>
  <c r="AT2537" i="10"/>
  <c r="AX2537" i="10"/>
  <c r="AM2537" i="10"/>
  <c r="AN2537" i="10"/>
  <c r="AV2537" i="10"/>
  <c r="AO2537" i="10"/>
  <c r="AQ2537" i="10"/>
  <c r="AK2532" i="10"/>
  <c r="AU2532" i="10"/>
  <c r="AN2532" i="10"/>
  <c r="AQ2532" i="10"/>
  <c r="AO2532" i="10"/>
  <c r="AR2532" i="10"/>
  <c r="AV2532" i="10"/>
  <c r="AM2532" i="10"/>
  <c r="AQ2486" i="10"/>
  <c r="AW2486" i="10"/>
  <c r="AR2486" i="10"/>
  <c r="AV2475" i="10"/>
  <c r="AN2475" i="10"/>
  <c r="AT2475" i="10"/>
  <c r="AN1294" i="10"/>
  <c r="AT1459" i="10"/>
  <c r="AL1432" i="10"/>
  <c r="AN1359" i="10"/>
  <c r="AN1173" i="10"/>
  <c r="AM1288" i="10"/>
  <c r="AO1444" i="10"/>
  <c r="AV1294" i="10"/>
  <c r="AN1459" i="10"/>
  <c r="AW1359" i="10"/>
  <c r="AQ1294" i="10"/>
  <c r="AJ1365" i="10"/>
  <c r="AX2685" i="10"/>
  <c r="AW2567" i="10"/>
  <c r="AV2357" i="10"/>
  <c r="AX2476" i="10"/>
  <c r="AM1960" i="10"/>
  <c r="AN2528" i="10"/>
  <c r="AP1800" i="10"/>
  <c r="AS1998" i="10"/>
  <c r="AQ1445" i="10"/>
  <c r="AT2705" i="10"/>
  <c r="AP2445" i="10"/>
  <c r="AV2711" i="10"/>
  <c r="AO2533" i="10"/>
  <c r="AV2190" i="10"/>
  <c r="AX2382" i="10"/>
  <c r="AK1752" i="10"/>
  <c r="AN1728" i="10"/>
  <c r="AM1672" i="10"/>
  <c r="AN1971" i="10"/>
  <c r="AU2533" i="10"/>
  <c r="AW1672" i="10"/>
  <c r="AM2533" i="10"/>
  <c r="AS1427" i="10"/>
  <c r="AU1637" i="10"/>
  <c r="AJ607" i="10"/>
  <c r="AJ587" i="10"/>
  <c r="AV2656" i="10"/>
  <c r="AO2685" i="10"/>
  <c r="AU2567" i="10"/>
  <c r="AT2553" i="10"/>
  <c r="AX1960" i="10"/>
  <c r="AO1800" i="10"/>
  <c r="AR1998" i="10"/>
  <c r="AT1445" i="10"/>
  <c r="AU2690" i="10"/>
  <c r="AK1737" i="10"/>
  <c r="AM2705" i="10"/>
  <c r="AO2445" i="10"/>
  <c r="AX2711" i="10"/>
  <c r="AS1742" i="10"/>
  <c r="AX1752" i="10"/>
  <c r="AP2144" i="10"/>
  <c r="AK1881" i="10"/>
  <c r="AW1971" i="10"/>
  <c r="AS1637" i="10"/>
  <c r="AL1958" i="10"/>
  <c r="AV2567" i="10"/>
  <c r="AO2553" i="10"/>
  <c r="AL2690" i="10"/>
  <c r="AT2445" i="10"/>
  <c r="AW2273" i="10"/>
  <c r="AM1752" i="10"/>
  <c r="AL2578" i="10"/>
  <c r="AW1881" i="10"/>
  <c r="AT1971" i="10"/>
  <c r="AP1637" i="10"/>
  <c r="AT2656" i="10"/>
  <c r="AQ2685" i="10"/>
  <c r="AQ2553" i="10"/>
  <c r="AL2567" i="10"/>
  <c r="AL2553" i="10"/>
  <c r="AU1960" i="10"/>
  <c r="AU2528" i="10"/>
  <c r="AQ1800" i="10"/>
  <c r="AW1998" i="10"/>
  <c r="AU1445" i="10"/>
  <c r="AT2690" i="10"/>
  <c r="AO1687" i="10"/>
  <c r="AW1737" i="10"/>
  <c r="AR2445" i="10"/>
  <c r="AN2711" i="10"/>
  <c r="AQ1667" i="10"/>
  <c r="AK2040" i="10"/>
  <c r="AW1976" i="10"/>
  <c r="AQ2273" i="10"/>
  <c r="AK1976" i="10"/>
  <c r="AW1490" i="10"/>
  <c r="AS1672" i="10"/>
  <c r="AS2100" i="10"/>
  <c r="AQ1637" i="10"/>
  <c r="AV1958" i="10"/>
  <c r="AL1360" i="10"/>
  <c r="AS2656" i="10"/>
  <c r="AM2685" i="10"/>
  <c r="AM2567" i="10"/>
  <c r="AM2553" i="10"/>
  <c r="AT2528" i="10"/>
  <c r="AU1800" i="10"/>
  <c r="AQ1998" i="10"/>
  <c r="AL1445" i="10"/>
  <c r="AV2690" i="10"/>
  <c r="AK1687" i="10"/>
  <c r="AT1737" i="10"/>
  <c r="AQ2445" i="10"/>
  <c r="AT2711" i="10"/>
  <c r="AP1887" i="10"/>
  <c r="AO1637" i="10"/>
  <c r="AM1958" i="10"/>
  <c r="AQ1360" i="10"/>
  <c r="AP2656" i="10"/>
  <c r="AP2685" i="10"/>
  <c r="AW2553" i="10"/>
  <c r="AW2528" i="10"/>
  <c r="AS1800" i="10"/>
  <c r="AV1998" i="10"/>
  <c r="AQ2690" i="10"/>
  <c r="AU1687" i="10"/>
  <c r="AU1737" i="10"/>
  <c r="AJ2445" i="10"/>
  <c r="AS2040" i="10"/>
  <c r="AS1887" i="10"/>
  <c r="AL1637" i="10"/>
  <c r="AM2656" i="10"/>
  <c r="AQ2528" i="10"/>
  <c r="AV1800" i="10"/>
  <c r="AU1998" i="10"/>
  <c r="AX1445" i="10"/>
  <c r="AW2690" i="10"/>
  <c r="AS1737" i="10"/>
  <c r="AX2399" i="10"/>
  <c r="AS2705" i="10"/>
  <c r="AL2711" i="10"/>
  <c r="AU1887" i="10"/>
  <c r="AP1997" i="10"/>
  <c r="AW2582" i="10"/>
  <c r="AV2578" i="10"/>
  <c r="AW1427" i="10"/>
  <c r="AR1637" i="10"/>
  <c r="AP1958" i="10"/>
  <c r="AL2528" i="10"/>
  <c r="AW1800" i="10"/>
  <c r="AP1998" i="10"/>
  <c r="AR2690" i="10"/>
  <c r="AX2705" i="10"/>
  <c r="AL1752" i="10"/>
  <c r="AX2011" i="10"/>
  <c r="AQ2582" i="10"/>
  <c r="AS1997" i="10"/>
  <c r="AK1672" i="10"/>
  <c r="AU2578" i="10"/>
  <c r="AK2144" i="10"/>
  <c r="AW2640" i="10"/>
  <c r="AT2667" i="10"/>
  <c r="AM2575" i="10"/>
  <c r="AN2596" i="10"/>
  <c r="AL2043" i="10"/>
  <c r="AR2349" i="10"/>
  <c r="AO2230" i="10"/>
  <c r="AR2354" i="10"/>
  <c r="AM1952" i="10"/>
  <c r="AV1916" i="10"/>
  <c r="AM2401" i="10"/>
  <c r="AL2230" i="10"/>
  <c r="AS1910" i="10"/>
  <c r="AM2226" i="10"/>
  <c r="AM1644" i="10"/>
  <c r="AS1969" i="10"/>
  <c r="AO2499" i="10"/>
  <c r="AQ2455" i="10"/>
  <c r="AT2276" i="10"/>
  <c r="AL2640" i="10"/>
  <c r="AW2276" i="10"/>
  <c r="AO2037" i="10"/>
  <c r="AL2104" i="10"/>
  <c r="AU2575" i="10"/>
  <c r="AL1827" i="10"/>
  <c r="AT1890" i="10"/>
  <c r="AL2596" i="10"/>
  <c r="AT2043" i="10"/>
  <c r="AU2230" i="10"/>
  <c r="AJ2354" i="10"/>
  <c r="AV1798" i="10"/>
  <c r="AW2391" i="10"/>
  <c r="AQ1952" i="10"/>
  <c r="AM2447" i="10"/>
  <c r="AN2230" i="10"/>
  <c r="AM1398" i="10"/>
  <c r="AK1910" i="10"/>
  <c r="AX2226" i="10"/>
  <c r="AV1596" i="10"/>
  <c r="AV1969" i="10"/>
  <c r="AL1596" i="10"/>
  <c r="AU2276" i="10"/>
  <c r="AP2640" i="10"/>
  <c r="AS2037" i="10"/>
  <c r="AN1750" i="10"/>
  <c r="AT2037" i="10"/>
  <c r="AQ2104" i="10"/>
  <c r="AT2575" i="10"/>
  <c r="AU1591" i="10"/>
  <c r="AT1827" i="10"/>
  <c r="AJ1890" i="10"/>
  <c r="AS2596" i="10"/>
  <c r="AQ2043" i="10"/>
  <c r="AN1798" i="10"/>
  <c r="AV1952" i="10"/>
  <c r="AU2447" i="10"/>
  <c r="AV2324" i="10"/>
  <c r="AO1398" i="10"/>
  <c r="AT1910" i="10"/>
  <c r="AT2226" i="10"/>
  <c r="AT1969" i="10"/>
  <c r="AN1969" i="10"/>
  <c r="AJ614" i="10"/>
  <c r="AR2499" i="10"/>
  <c r="AQ2220" i="10"/>
  <c r="AO2455" i="10"/>
  <c r="AT2494" i="10"/>
  <c r="AN2276" i="10"/>
  <c r="AK2640" i="10"/>
  <c r="AM1750" i="10"/>
  <c r="AW2037" i="10"/>
  <c r="AX2104" i="10"/>
  <c r="AV2575" i="10"/>
  <c r="AX1827" i="10"/>
  <c r="AK1890" i="10"/>
  <c r="AR2596" i="10"/>
  <c r="AX2043" i="10"/>
  <c r="AT1335" i="10"/>
  <c r="AM1798" i="10"/>
  <c r="AT1398" i="10"/>
  <c r="AW1735" i="10"/>
  <c r="AS2412" i="10"/>
  <c r="AU1778" i="10"/>
  <c r="AW2226" i="10"/>
  <c r="AQ1519" i="10"/>
  <c r="AN1596" i="10"/>
  <c r="AW1952" i="10"/>
  <c r="AK1387" i="10"/>
  <c r="AM2499" i="10"/>
  <c r="AU2220" i="10"/>
  <c r="AV2455" i="10"/>
  <c r="AL2494" i="10"/>
  <c r="AL2276" i="10"/>
  <c r="AV2640" i="10"/>
  <c r="AS1750" i="10"/>
  <c r="AP2037" i="10"/>
  <c r="AR2104" i="10"/>
  <c r="AX2575" i="10"/>
  <c r="AP1827" i="10"/>
  <c r="AL1890" i="10"/>
  <c r="AK2596" i="10"/>
  <c r="AU2043" i="10"/>
  <c r="AM2303" i="10"/>
  <c r="AT1798" i="10"/>
  <c r="AS2727" i="10"/>
  <c r="AO1530" i="10"/>
  <c r="AW1398" i="10"/>
  <c r="AK1685" i="10"/>
  <c r="AR1735" i="10"/>
  <c r="AK2226" i="10"/>
  <c r="AR1596" i="10"/>
  <c r="AS1952" i="10"/>
  <c r="AU2499" i="10"/>
  <c r="AK2220" i="10"/>
  <c r="AN2455" i="10"/>
  <c r="AQ2494" i="10"/>
  <c r="AK1750" i="10"/>
  <c r="AQ2037" i="10"/>
  <c r="AW2575" i="10"/>
  <c r="AV1827" i="10"/>
  <c r="AP1890" i="10"/>
  <c r="AP2344" i="10"/>
  <c r="AV2596" i="10"/>
  <c r="AV2043" i="10"/>
  <c r="AL2349" i="10"/>
  <c r="AQ1798" i="10"/>
  <c r="AL1798" i="10"/>
  <c r="AL2727" i="10"/>
  <c r="AR1398" i="10"/>
  <c r="AV1685" i="10"/>
  <c r="AX2401" i="10"/>
  <c r="AQ2226" i="10"/>
  <c r="AU1519" i="10"/>
  <c r="AO2640" i="10"/>
  <c r="AO2575" i="10"/>
  <c r="AW2344" i="10"/>
  <c r="AX2596" i="10"/>
  <c r="AQ2349" i="10"/>
  <c r="AL2303" i="10"/>
  <c r="AS2066" i="10"/>
  <c r="AX1916" i="10"/>
  <c r="AW2401" i="10"/>
  <c r="AU2226" i="10"/>
  <c r="AS1596" i="10"/>
  <c r="AS2220" i="10"/>
  <c r="AT2455" i="10"/>
  <c r="AP2494" i="10"/>
  <c r="AR2640" i="10"/>
  <c r="AL1750" i="10"/>
  <c r="AJ2037" i="10"/>
  <c r="AV2104" i="10"/>
  <c r="AQ2575" i="10"/>
  <c r="AS1827" i="10"/>
  <c r="AV1890" i="10"/>
  <c r="AX2344" i="10"/>
  <c r="AP2596" i="10"/>
  <c r="AS2349" i="10"/>
  <c r="AT2066" i="10"/>
  <c r="AV1635" i="10"/>
  <c r="AM1842" i="10"/>
  <c r="AR1952" i="10"/>
  <c r="AK2354" i="10"/>
  <c r="AV2401" i="10"/>
  <c r="AV2226" i="10"/>
  <c r="AP1398" i="10"/>
  <c r="AS2354" i="10"/>
  <c r="AU2324" i="10"/>
  <c r="AR2220" i="10"/>
  <c r="AK2455" i="10"/>
  <c r="AN2494" i="10"/>
  <c r="AO2276" i="10"/>
  <c r="AX2640" i="10"/>
  <c r="AT1750" i="10"/>
  <c r="AU2037" i="10"/>
  <c r="AP2104" i="10"/>
  <c r="AR2575" i="10"/>
  <c r="AM1827" i="10"/>
  <c r="AX1890" i="10"/>
  <c r="AM2596" i="10"/>
  <c r="AO2043" i="10"/>
  <c r="AO2349" i="10"/>
  <c r="AN1832" i="10"/>
  <c r="AK1635" i="10"/>
  <c r="AP1952" i="10"/>
  <c r="AV2354" i="10"/>
  <c r="AO2401" i="10"/>
  <c r="AN1398" i="10"/>
  <c r="AS2499" i="10"/>
  <c r="AM2220" i="10"/>
  <c r="AL2455" i="10"/>
  <c r="AS2494" i="10"/>
  <c r="AU1980" i="10"/>
  <c r="AM2276" i="10"/>
  <c r="AQ2640" i="10"/>
  <c r="AW1750" i="10"/>
  <c r="AL2037" i="10"/>
  <c r="AK2104" i="10"/>
  <c r="AO2667" i="10"/>
  <c r="AN2575" i="10"/>
  <c r="AJ1827" i="10"/>
  <c r="AO1890" i="10"/>
  <c r="AO2596" i="10"/>
  <c r="AW2043" i="10"/>
  <c r="AN2349" i="10"/>
  <c r="AS2226" i="10"/>
  <c r="AX2324" i="10"/>
  <c r="AP1644" i="10"/>
  <c r="AP1346" i="10"/>
  <c r="AO1952" i="10"/>
  <c r="AM1335" i="10"/>
  <c r="AM2230" i="10"/>
  <c r="AP2401" i="10"/>
  <c r="AV2230" i="10"/>
  <c r="AX1398" i="10"/>
  <c r="AP1798" i="10"/>
  <c r="AU1596" i="10"/>
  <c r="AT1596" i="10"/>
  <c r="AX2499" i="10"/>
  <c r="AJ2455" i="10"/>
  <c r="AX2276" i="10"/>
  <c r="AU2640" i="10"/>
  <c r="AS2104" i="10"/>
  <c r="AP2667" i="10"/>
  <c r="AU1890" i="10"/>
  <c r="AU2596" i="10"/>
  <c r="AO2226" i="10"/>
  <c r="AT2324" i="10"/>
  <c r="AX1798" i="10"/>
  <c r="AU1644" i="10"/>
  <c r="AW2292" i="10"/>
  <c r="AS1798" i="10"/>
  <c r="AK1596" i="10"/>
  <c r="AQ1969" i="10"/>
  <c r="AM1596" i="10"/>
  <c r="AX582" i="10"/>
  <c r="AW582" i="10"/>
  <c r="AK582" i="10"/>
  <c r="AJ582" i="10"/>
  <c r="AX583" i="10"/>
  <c r="AW583" i="10"/>
  <c r="AK583" i="10"/>
  <c r="AJ583" i="10"/>
  <c r="AX584" i="10"/>
  <c r="AW584" i="10"/>
  <c r="AV584" i="10"/>
  <c r="AU584" i="10"/>
  <c r="AT584" i="10"/>
  <c r="AS584" i="10"/>
  <c r="AR584" i="10"/>
  <c r="AQ584" i="10"/>
  <c r="AP584" i="10"/>
  <c r="AO584" i="10"/>
  <c r="AN584" i="10"/>
  <c r="AM584" i="10"/>
  <c r="AL584" i="10"/>
  <c r="AK584" i="10"/>
  <c r="AJ584" i="10"/>
  <c r="AX585" i="10"/>
  <c r="AW585" i="10"/>
  <c r="AV585" i="10"/>
  <c r="AU585" i="10"/>
  <c r="AT585" i="10"/>
  <c r="AS585" i="10"/>
  <c r="AR585" i="10"/>
  <c r="AQ585" i="10"/>
  <c r="AP585" i="10"/>
  <c r="AO585" i="10"/>
  <c r="AN585" i="10"/>
  <c r="AM585" i="10"/>
  <c r="AL585" i="10"/>
  <c r="AK585" i="10"/>
  <c r="AJ585" i="10"/>
  <c r="AT955" i="10"/>
  <c r="AR955" i="10"/>
  <c r="AM106" i="45"/>
  <c r="AP955" i="10"/>
  <c r="AS955" i="10"/>
  <c r="AM955" i="10"/>
  <c r="AL955" i="10"/>
  <c r="AW955" i="10"/>
  <c r="AK931" i="10"/>
  <c r="AU931" i="10"/>
  <c r="AP931" i="10"/>
  <c r="AV931" i="10"/>
  <c r="AJ931" i="10"/>
  <c r="AN1091" i="10"/>
  <c r="AS1091" i="10"/>
  <c r="AT1091" i="10"/>
  <c r="AQ1091" i="10"/>
  <c r="AL1091" i="10"/>
  <c r="AM1091" i="10"/>
  <c r="AX862" i="10"/>
  <c r="AW862" i="10"/>
  <c r="AQ711" i="10"/>
  <c r="AR711" i="10"/>
  <c r="AN711" i="10"/>
  <c r="AS711" i="10"/>
  <c r="AP691" i="10"/>
  <c r="AO691" i="10"/>
  <c r="AN691" i="10"/>
  <c r="AM691" i="10"/>
  <c r="AK691" i="10"/>
  <c r="AW691" i="10"/>
  <c r="AV691" i="10"/>
  <c r="AT691" i="10"/>
  <c r="AS691" i="10"/>
  <c r="AS679" i="10"/>
  <c r="AU679" i="10"/>
  <c r="AU955" i="10"/>
  <c r="AS1896" i="10"/>
  <c r="AM1896" i="10"/>
  <c r="AK1880" i="10"/>
  <c r="AQ1880" i="10"/>
  <c r="AL1880" i="10"/>
  <c r="AS1880" i="10"/>
  <c r="AX1880" i="10"/>
  <c r="AU1880" i="10"/>
  <c r="AW1880" i="10"/>
  <c r="AO1880" i="10"/>
  <c r="AN1880" i="10"/>
  <c r="AP1853" i="10"/>
  <c r="AJ1853" i="10"/>
  <c r="AU1853" i="10"/>
  <c r="AX1853" i="10"/>
  <c r="AL1853" i="10"/>
  <c r="AT1853" i="10"/>
  <c r="AW1853" i="10"/>
  <c r="AK1853" i="10"/>
  <c r="AQ1853" i="10"/>
  <c r="AL1843" i="10"/>
  <c r="AW1843" i="10"/>
  <c r="AU1843" i="10"/>
  <c r="AT1843" i="10"/>
  <c r="AV1843" i="10"/>
  <c r="AO1843" i="10"/>
  <c r="AS1843" i="10"/>
  <c r="AN1843" i="10"/>
  <c r="AO1833" i="10"/>
  <c r="AX1833" i="10"/>
  <c r="AW1833" i="10"/>
  <c r="AL1823" i="10"/>
  <c r="AR1823" i="10"/>
  <c r="AN1823" i="10"/>
  <c r="AW1823" i="10"/>
  <c r="AU1799" i="10"/>
  <c r="AW1799" i="10"/>
  <c r="AX1799" i="10"/>
  <c r="AV1784" i="10"/>
  <c r="AQ1784" i="10"/>
  <c r="AO1784" i="10"/>
  <c r="AU1784" i="10"/>
  <c r="AW1784" i="10"/>
  <c r="AT1784" i="10"/>
  <c r="AP1779" i="10"/>
  <c r="AX1779" i="10"/>
  <c r="AQ1779" i="10"/>
  <c r="AL1779" i="10"/>
  <c r="AW1779" i="10"/>
  <c r="AO1779" i="10"/>
  <c r="AS1779" i="10"/>
  <c r="AM1779" i="10"/>
  <c r="AN1779" i="10"/>
  <c r="AL1751" i="10"/>
  <c r="AR1751" i="10"/>
  <c r="AS1751" i="10"/>
  <c r="AO1751" i="10"/>
  <c r="AU1751" i="10"/>
  <c r="AT1751" i="10"/>
  <c r="AM1751" i="10"/>
  <c r="AW1751" i="10"/>
  <c r="AL1736" i="10"/>
  <c r="AU1736" i="10"/>
  <c r="AO1727" i="10"/>
  <c r="AW1727" i="10"/>
  <c r="AP1727" i="10"/>
  <c r="AV1717" i="10"/>
  <c r="AQ1717" i="10"/>
  <c r="AO1712" i="10"/>
  <c r="AT1712" i="10"/>
  <c r="AR1712" i="10"/>
  <c r="AV1712" i="10"/>
  <c r="AK1702" i="10"/>
  <c r="AP1702" i="10"/>
  <c r="AQ1702" i="10"/>
  <c r="AN1702" i="10"/>
  <c r="AU1702" i="10"/>
  <c r="AT1702" i="10"/>
  <c r="AO1702" i="10"/>
  <c r="AV1702" i="10"/>
  <c r="AS1702" i="10"/>
  <c r="AL1702" i="10"/>
  <c r="AR1702" i="10"/>
  <c r="AJ1702" i="10"/>
  <c r="AL1696" i="10"/>
  <c r="AO1696" i="10"/>
  <c r="AQ1696" i="10"/>
  <c r="AN1696" i="10"/>
  <c r="AJ1696" i="10"/>
  <c r="AT1696" i="10"/>
  <c r="AM1696" i="10"/>
  <c r="AM1645" i="10"/>
  <c r="AK1645" i="10"/>
  <c r="AK1631" i="10"/>
  <c r="AS1631" i="10"/>
  <c r="AR1616" i="10"/>
  <c r="AT1616" i="10"/>
  <c r="AQ1616" i="10"/>
  <c r="AR1587" i="10"/>
  <c r="AS1587" i="10"/>
  <c r="AL1587" i="10"/>
  <c r="AM1587" i="10"/>
  <c r="AT1587" i="10"/>
  <c r="AP1587" i="10"/>
  <c r="AN1587" i="10"/>
  <c r="AV1587" i="10"/>
  <c r="AJ1587" i="10"/>
  <c r="AV1550" i="10"/>
  <c r="AO1550" i="10"/>
  <c r="AT1550" i="10"/>
  <c r="AL1550" i="10"/>
  <c r="AK1550" i="10"/>
  <c r="AU1531" i="10"/>
  <c r="AT1531" i="10"/>
  <c r="AO1531" i="10"/>
  <c r="AK1531" i="10"/>
  <c r="AS1531" i="10"/>
  <c r="AW1499" i="10"/>
  <c r="AO1499" i="10"/>
  <c r="AU1499" i="10"/>
  <c r="AL1499" i="10"/>
  <c r="AX1499" i="10"/>
  <c r="AP1499" i="10"/>
  <c r="AR1499" i="10"/>
  <c r="AN1499" i="10"/>
  <c r="AS1499" i="10"/>
  <c r="AK1499" i="10"/>
  <c r="AN1494" i="10"/>
  <c r="AM1494" i="10"/>
  <c r="AO1494" i="10"/>
  <c r="AX1494" i="10"/>
  <c r="AV1494" i="10"/>
  <c r="AW1468" i="10"/>
  <c r="AT1468" i="10"/>
  <c r="AM1468" i="10"/>
  <c r="AJ1468" i="10"/>
  <c r="AU1468" i="10"/>
  <c r="AK1468" i="10"/>
  <c r="AM1443" i="10"/>
  <c r="AR1443" i="10"/>
  <c r="AN1443" i="10"/>
  <c r="AU1443" i="10"/>
  <c r="AW1443" i="10"/>
  <c r="AR1436" i="10"/>
  <c r="AP1436" i="10"/>
  <c r="AS1436" i="10"/>
  <c r="AX1436" i="10"/>
  <c r="AN1436" i="10"/>
  <c r="AJ1436" i="10"/>
  <c r="AV1436" i="10"/>
  <c r="AN1426" i="10"/>
  <c r="AL1426" i="10"/>
  <c r="AU1426" i="10"/>
  <c r="AV1426" i="10"/>
  <c r="AP1399" i="10"/>
  <c r="AO1399" i="10"/>
  <c r="AV1399" i="10"/>
  <c r="AQ1399" i="10"/>
  <c r="AS1399" i="10"/>
  <c r="AU1399" i="10"/>
  <c r="AT1399" i="10"/>
  <c r="AX1388" i="10"/>
  <c r="AK1388" i="10"/>
  <c r="AU1388" i="10"/>
  <c r="AS1388" i="10"/>
  <c r="AL1388" i="10"/>
  <c r="AP1388" i="10"/>
  <c r="AJ1388" i="10"/>
  <c r="AT1388" i="10"/>
  <c r="AM1388" i="10"/>
  <c r="AW1388" i="10"/>
  <c r="AN1388" i="10"/>
  <c r="AQ1388" i="10"/>
  <c r="AV1388" i="10"/>
  <c r="AO1388" i="10"/>
  <c r="AS1383" i="10"/>
  <c r="AU1383" i="10"/>
  <c r="AX1383" i="10"/>
  <c r="AP1347" i="10"/>
  <c r="AM1347" i="10"/>
  <c r="AO1347" i="10"/>
  <c r="AS1347" i="10"/>
  <c r="AN1347" i="10"/>
  <c r="AW1347" i="10"/>
  <c r="AL1342" i="10"/>
  <c r="AP1342" i="10"/>
  <c r="AM1342" i="10"/>
  <c r="AR1342" i="10"/>
  <c r="AN1342" i="10"/>
  <c r="AT1342" i="10"/>
  <c r="AS1342" i="10"/>
  <c r="AV1336" i="10"/>
  <c r="AT1336" i="10"/>
  <c r="AN1336" i="10"/>
  <c r="AS1336" i="10"/>
  <c r="AR1336" i="10"/>
  <c r="AM1336" i="10"/>
  <c r="AW1336" i="10"/>
  <c r="AP1305" i="10"/>
  <c r="AU1305" i="10"/>
  <c r="AJ1305" i="10"/>
  <c r="AM1305" i="10"/>
  <c r="AR1305" i="10"/>
  <c r="AT1305" i="10"/>
  <c r="AW1282" i="10"/>
  <c r="AP1282" i="10"/>
  <c r="AX1282" i="10"/>
  <c r="AQ1282" i="10"/>
  <c r="AS1282" i="10"/>
  <c r="AQ1276" i="10"/>
  <c r="AO1276" i="10"/>
  <c r="AP1276" i="10"/>
  <c r="AW1276" i="10"/>
  <c r="AR1276" i="10"/>
  <c r="AX1276" i="10"/>
  <c r="AL1276" i="10"/>
  <c r="AV1276" i="10"/>
  <c r="AU1276" i="10"/>
  <c r="AX1255" i="10"/>
  <c r="AW1255" i="10"/>
  <c r="AM1234" i="10"/>
  <c r="AT1234" i="10"/>
  <c r="AQ1234" i="10"/>
  <c r="AP1234" i="10"/>
  <c r="AK1228" i="10"/>
  <c r="AL1228" i="10"/>
  <c r="AT1228" i="10"/>
  <c r="AJ1228" i="10"/>
  <c r="AQ1228" i="10"/>
  <c r="AW1228" i="10"/>
  <c r="AX1228" i="10"/>
  <c r="AO1228" i="10"/>
  <c r="AV1228" i="10"/>
  <c r="AS1222" i="10"/>
  <c r="AM1222" i="10"/>
  <c r="AO1222" i="10"/>
  <c r="AQ1222" i="10"/>
  <c r="AU1217" i="10"/>
  <c r="AQ1217" i="10"/>
  <c r="AJ1217" i="10"/>
  <c r="AK1217" i="10"/>
  <c r="AT1217" i="10"/>
  <c r="AS1217" i="10"/>
  <c r="AX1217" i="10"/>
  <c r="AR1217" i="10"/>
  <c r="AW1200" i="10"/>
  <c r="AU1200" i="10"/>
  <c r="AM1200" i="10"/>
  <c r="AV1189" i="10"/>
  <c r="AT1189" i="10"/>
  <c r="AU1189" i="10"/>
  <c r="AW1189" i="10"/>
  <c r="AX1189" i="10"/>
  <c r="AL1189" i="10"/>
  <c r="AM1189" i="10"/>
  <c r="AR1189" i="10"/>
  <c r="AO1189" i="10"/>
  <c r="AP1189" i="10"/>
  <c r="AV1184" i="10"/>
  <c r="AW1184" i="10"/>
  <c r="AQ1184" i="10"/>
  <c r="AR1184" i="10"/>
  <c r="AL1184" i="10"/>
  <c r="AU1184" i="10"/>
  <c r="AS1173" i="10"/>
  <c r="AL1173" i="10"/>
  <c r="AP1173" i="10"/>
  <c r="AN1168" i="10"/>
  <c r="AK1168" i="10"/>
  <c r="AV1168" i="10"/>
  <c r="AU1168" i="10"/>
  <c r="AO1168" i="10"/>
  <c r="AR1168" i="10"/>
  <c r="AP1168" i="10"/>
  <c r="AQ1157" i="10"/>
  <c r="AW1157" i="10"/>
  <c r="AT1157" i="10"/>
  <c r="AT1151" i="10"/>
  <c r="AV1151" i="10"/>
  <c r="AS1151" i="10"/>
  <c r="AM1151" i="10"/>
  <c r="AQ1151" i="10"/>
  <c r="AS1140" i="10"/>
  <c r="AT1140" i="10"/>
  <c r="AX1123" i="10"/>
  <c r="AJ1123" i="10"/>
  <c r="AV1123" i="10"/>
  <c r="AO1123" i="10"/>
  <c r="AK1123" i="10"/>
  <c r="AQ1112" i="10"/>
  <c r="AP1112" i="10"/>
  <c r="AK1083" i="10"/>
  <c r="AR1083" i="10"/>
  <c r="AW1083" i="10"/>
  <c r="AL1083" i="10"/>
  <c r="AS1083" i="10"/>
  <c r="AV1083" i="10"/>
  <c r="AT1083" i="10"/>
  <c r="AM1083" i="10"/>
  <c r="AO1083" i="10"/>
  <c r="AQ1083" i="10"/>
  <c r="AN1083" i="10"/>
  <c r="AV1078" i="10"/>
  <c r="AU1078" i="10"/>
  <c r="AP1078" i="10"/>
  <c r="AX1078" i="10"/>
  <c r="AN1078" i="10"/>
  <c r="AL1078" i="10"/>
  <c r="AQ1078" i="10"/>
  <c r="AK1078" i="10"/>
  <c r="AO1078" i="10"/>
  <c r="AT1078" i="10"/>
  <c r="AS1078" i="10"/>
  <c r="AR1078" i="10"/>
  <c r="AM1078" i="10"/>
  <c r="AQ1074" i="10"/>
  <c r="AP1074" i="10"/>
  <c r="AX1074" i="10"/>
  <c r="AL1074" i="10"/>
  <c r="AO1074" i="10"/>
  <c r="AM1074" i="10"/>
  <c r="AR1068" i="10"/>
  <c r="AT1068" i="10"/>
  <c r="AV1068" i="10"/>
  <c r="AU1068" i="10"/>
  <c r="AK1029" i="10"/>
  <c r="AW1029" i="10"/>
  <c r="AX1029" i="10"/>
  <c r="AM1001" i="10"/>
  <c r="AV1001" i="10"/>
  <c r="AQ1001" i="10"/>
  <c r="AT1001" i="10"/>
  <c r="AW1001" i="10"/>
  <c r="AX955" i="10"/>
  <c r="AN955" i="10"/>
  <c r="AX2710" i="10"/>
  <c r="AP2710" i="10"/>
  <c r="AM2710" i="10"/>
  <c r="AS2710" i="10"/>
  <c r="AJ2704" i="10"/>
  <c r="AW2704" i="10"/>
  <c r="AN2704" i="10"/>
  <c r="AS2693" i="10"/>
  <c r="AX2693" i="10"/>
  <c r="AT2693" i="10"/>
  <c r="AV2693" i="10"/>
  <c r="AM2693" i="10"/>
  <c r="AW2693" i="10"/>
  <c r="AO2693" i="10"/>
  <c r="AV2672" i="10"/>
  <c r="AU2672" i="10"/>
  <c r="AU2663" i="10"/>
  <c r="AX2663" i="10"/>
  <c r="AM2663" i="10"/>
  <c r="AO2663" i="10"/>
  <c r="AL2645" i="10"/>
  <c r="AX2645" i="10"/>
  <c r="AK2645" i="10"/>
  <c r="AW2635" i="10"/>
  <c r="AO2635" i="10"/>
  <c r="AV2635" i="10"/>
  <c r="AT2607" i="10"/>
  <c r="AO2607" i="10"/>
  <c r="AQ2586" i="10"/>
  <c r="AW2586" i="10"/>
  <c r="AU2586" i="10"/>
  <c r="AX2586" i="10"/>
  <c r="AK2586" i="10"/>
  <c r="AV2565" i="10"/>
  <c r="AU2565" i="10"/>
  <c r="AQ2565" i="10"/>
  <c r="AL2565" i="10"/>
  <c r="AT2565" i="10"/>
  <c r="AX2565" i="10"/>
  <c r="AO2565" i="10"/>
  <c r="AW2546" i="10"/>
  <c r="AO2546" i="10"/>
  <c r="AL2546" i="10"/>
  <c r="AK2510" i="10"/>
  <c r="AR2510" i="10"/>
  <c r="AU2510" i="10"/>
  <c r="AP2510" i="10"/>
  <c r="AW2510" i="10"/>
  <c r="AV2510" i="10"/>
  <c r="AT2510" i="10"/>
  <c r="AS2510" i="10"/>
  <c r="AO2510" i="10"/>
  <c r="AX2510" i="10"/>
  <c r="AU2485" i="10"/>
  <c r="AR2485" i="10"/>
  <c r="AM2485" i="10"/>
  <c r="AK2485" i="10"/>
  <c r="AL2485" i="10"/>
  <c r="AT2485" i="10"/>
  <c r="AN2485" i="10"/>
  <c r="AX2485" i="10"/>
  <c r="AP2485" i="10"/>
  <c r="AV2485" i="10"/>
  <c r="AJ2485" i="10"/>
  <c r="AL2386" i="10"/>
  <c r="AR2386" i="10"/>
  <c r="AO2386" i="10"/>
  <c r="AV2381" i="10"/>
  <c r="AW2381" i="10"/>
  <c r="AL2381" i="10"/>
  <c r="AJ2381" i="10"/>
  <c r="AQ2381" i="10"/>
  <c r="AL2360" i="10"/>
  <c r="AX2360" i="10"/>
  <c r="AN2360" i="10"/>
  <c r="AW2335" i="10"/>
  <c r="AN2335" i="10"/>
  <c r="AR2319" i="10"/>
  <c r="AM2319" i="10"/>
  <c r="AT2319" i="10"/>
  <c r="AP2319" i="10"/>
  <c r="AX2319" i="10"/>
  <c r="AW2319" i="10"/>
  <c r="AL2319" i="10"/>
  <c r="AQ2319" i="10"/>
  <c r="AK2319" i="10"/>
  <c r="AM2298" i="10"/>
  <c r="AX2298" i="10"/>
  <c r="AU2298" i="10"/>
  <c r="AP2298" i="10"/>
  <c r="AS2277" i="10"/>
  <c r="AP2277" i="10"/>
  <c r="AN2277" i="10"/>
  <c r="AL2277" i="10"/>
  <c r="AO2271" i="10"/>
  <c r="AK2271" i="10"/>
  <c r="AU2271" i="10"/>
  <c r="AN2271" i="10"/>
  <c r="AX2271" i="10"/>
  <c r="AK2214" i="10"/>
  <c r="AL2214" i="10"/>
  <c r="AX2214" i="10"/>
  <c r="AT2214" i="10"/>
  <c r="AS2214" i="10"/>
  <c r="AO2214" i="10"/>
  <c r="AW2214" i="10"/>
  <c r="AX2194" i="10"/>
  <c r="AM2194" i="10"/>
  <c r="AL2194" i="10"/>
  <c r="AO2173" i="10"/>
  <c r="AW2173" i="10"/>
  <c r="AK2173" i="10"/>
  <c r="AT2168" i="10"/>
  <c r="AQ2168" i="10"/>
  <c r="AS2168" i="10"/>
  <c r="AV2168" i="10"/>
  <c r="AO2168" i="10"/>
  <c r="AP2168" i="10"/>
  <c r="AR2168" i="10"/>
  <c r="AJ2168" i="10"/>
  <c r="AN2168" i="10"/>
  <c r="AM2168" i="10"/>
  <c r="AX2168" i="10"/>
  <c r="AT2160" i="10"/>
  <c r="AS2160" i="10"/>
  <c r="AL2160" i="10"/>
  <c r="AK2149" i="10"/>
  <c r="AV2149" i="10"/>
  <c r="AO2149" i="10"/>
  <c r="AX2137" i="10"/>
  <c r="AV2137" i="10"/>
  <c r="AJ2137" i="10"/>
  <c r="AU2137" i="10"/>
  <c r="AW2137" i="10"/>
  <c r="AO2120" i="10"/>
  <c r="AP2120" i="10"/>
  <c r="AM2110" i="10"/>
  <c r="AT2110" i="10"/>
  <c r="AR2110" i="10"/>
  <c r="AW2110" i="10"/>
  <c r="AN2110" i="10"/>
  <c r="AP2110" i="10"/>
  <c r="AX2110" i="10"/>
  <c r="AV2110" i="10"/>
  <c r="AU2110" i="10"/>
  <c r="AV2105" i="10"/>
  <c r="AS2105" i="10"/>
  <c r="AL2105" i="10"/>
  <c r="AK2105" i="10"/>
  <c r="AJ2105" i="10"/>
  <c r="AT2105" i="10"/>
  <c r="AM2105" i="10"/>
  <c r="AQ2105" i="10"/>
  <c r="AN2105" i="10"/>
  <c r="AR2105" i="10"/>
  <c r="AW2105" i="10"/>
  <c r="AK2088" i="10"/>
  <c r="AT2088" i="10"/>
  <c r="AV2088" i="10"/>
  <c r="AL2088" i="10"/>
  <c r="AN2088" i="10"/>
  <c r="AU2088" i="10"/>
  <c r="AM2088" i="10"/>
  <c r="AS2088" i="10"/>
  <c r="AX2088" i="10"/>
  <c r="AO2083" i="10"/>
  <c r="AM2083" i="10"/>
  <c r="AQ2083" i="10"/>
  <c r="AK2083" i="10"/>
  <c r="AJ2076" i="10"/>
  <c r="AQ2076" i="10"/>
  <c r="AO2076" i="10"/>
  <c r="AK2076" i="10"/>
  <c r="AU2031" i="10"/>
  <c r="AW2031" i="10"/>
  <c r="AX2031" i="10"/>
  <c r="AX2009" i="10"/>
  <c r="AV2009" i="10"/>
  <c r="AS2009" i="10"/>
  <c r="AO2009" i="10"/>
  <c r="AU2002" i="10"/>
  <c r="AP2002" i="10"/>
  <c r="AV2002" i="10"/>
  <c r="AW2002" i="10"/>
  <c r="AM2002" i="10"/>
  <c r="AX2002" i="10"/>
  <c r="AK2002" i="10"/>
  <c r="AL2002" i="10"/>
  <c r="AS1974" i="10"/>
  <c r="AU1974" i="10"/>
  <c r="AN1974" i="10"/>
  <c r="AM1974" i="10"/>
  <c r="AW1974" i="10"/>
  <c r="AL1957" i="10"/>
  <c r="AW1957" i="10"/>
  <c r="AU1957" i="10"/>
  <c r="AK1957" i="10"/>
  <c r="AT1957" i="10"/>
  <c r="AP1957" i="10"/>
  <c r="AO1957" i="10"/>
  <c r="AR1957" i="10"/>
  <c r="AM1957" i="10"/>
  <c r="AQ1957" i="10"/>
  <c r="AP1947" i="10"/>
  <c r="AR1947" i="10"/>
  <c r="AU1947" i="10"/>
  <c r="AQ1947" i="10"/>
  <c r="AT1947" i="10"/>
  <c r="AV1947" i="10"/>
  <c r="AN1947" i="10"/>
  <c r="AL1947" i="10"/>
  <c r="AM1947" i="10"/>
  <c r="AN1936" i="10"/>
  <c r="AM1936" i="10"/>
  <c r="AR1936" i="10"/>
  <c r="AW1936" i="10"/>
  <c r="AT1927" i="10"/>
  <c r="AV1927" i="10"/>
  <c r="AN1927" i="10"/>
  <c r="AS1927" i="10"/>
  <c r="AK1927" i="10"/>
  <c r="AP1927" i="10"/>
  <c r="AQ1927" i="10"/>
  <c r="AM1927" i="10"/>
  <c r="AK955" i="10"/>
  <c r="AS1799" i="10"/>
  <c r="AQ955" i="10"/>
  <c r="AR1550" i="10"/>
  <c r="AM587" i="10"/>
  <c r="AN588" i="10"/>
  <c r="AK587" i="10"/>
  <c r="AK588" i="10"/>
  <c r="W236" i="45"/>
  <c r="AW587" i="10"/>
  <c r="AV587" i="10"/>
  <c r="AU587" i="10"/>
  <c r="AW588" i="10"/>
  <c r="AT587" i="10"/>
  <c r="AU588" i="10"/>
  <c r="AS587" i="10"/>
  <c r="AT588" i="10"/>
  <c r="AP587" i="10"/>
  <c r="AR588" i="10"/>
  <c r="AN587" i="10"/>
  <c r="AQ588" i="10"/>
  <c r="AO587" i="10"/>
  <c r="AV588" i="10"/>
  <c r="AJ588" i="10"/>
  <c r="AQ617" i="10"/>
  <c r="AT666" i="10"/>
  <c r="AX587" i="10"/>
  <c r="AL587" i="10"/>
  <c r="AS588" i="10"/>
  <c r="AX819" i="10"/>
  <c r="AP588" i="10"/>
  <c r="AO588" i="10"/>
  <c r="AU1812" i="10"/>
  <c r="AR587" i="10"/>
  <c r="AM588" i="10"/>
  <c r="AX588" i="10"/>
  <c r="AX586" i="10"/>
  <c r="AW586" i="10"/>
  <c r="AV586" i="10"/>
  <c r="AU586" i="10"/>
  <c r="AT586" i="10"/>
  <c r="AS586" i="10"/>
  <c r="AR586" i="10"/>
  <c r="AQ586" i="10"/>
  <c r="AP586" i="10"/>
  <c r="AO586" i="10"/>
  <c r="AN586" i="10"/>
  <c r="AM586" i="10"/>
  <c r="AL586" i="10"/>
  <c r="AK586" i="10"/>
  <c r="AJ586" i="10"/>
  <c r="AX589" i="10"/>
  <c r="AW589" i="10"/>
  <c r="AK589" i="10"/>
  <c r="AJ589" i="10"/>
  <c r="AX590" i="10"/>
  <c r="AW590" i="10"/>
  <c r="AK590" i="10"/>
  <c r="AJ590" i="10"/>
  <c r="AX591" i="10"/>
  <c r="AW591" i="10"/>
  <c r="AK591" i="10"/>
  <c r="AJ591" i="10"/>
  <c r="AX592" i="10"/>
  <c r="AW592" i="10"/>
  <c r="AV592" i="10"/>
  <c r="AU592" i="10"/>
  <c r="AT592" i="10"/>
  <c r="AS592" i="10"/>
  <c r="AR592" i="10"/>
  <c r="AQ592" i="10"/>
  <c r="AP592" i="10"/>
  <c r="AO592" i="10"/>
  <c r="AN592" i="10"/>
  <c r="AM592" i="10"/>
  <c r="AL592" i="10"/>
  <c r="AK592" i="10"/>
  <c r="AJ592" i="10"/>
  <c r="AX593" i="10"/>
  <c r="AW593" i="10"/>
  <c r="AM593" i="10"/>
  <c r="AL593" i="10"/>
  <c r="AK593" i="10"/>
  <c r="AJ593" i="10"/>
  <c r="AX594" i="10"/>
  <c r="AW594" i="10"/>
  <c r="AV594" i="10"/>
  <c r="AU594" i="10"/>
  <c r="AT594" i="10"/>
  <c r="AS594" i="10"/>
  <c r="AR594" i="10"/>
  <c r="AQ594" i="10"/>
  <c r="AP594" i="10"/>
  <c r="AO594" i="10"/>
  <c r="AN594" i="10"/>
  <c r="AM594" i="10"/>
  <c r="AL594" i="10"/>
  <c r="AK594" i="10"/>
  <c r="AJ594" i="10"/>
  <c r="AX596" i="10"/>
  <c r="AW596" i="10"/>
  <c r="AV596" i="10"/>
  <c r="AU596" i="10"/>
  <c r="AT596" i="10"/>
  <c r="AS596" i="10"/>
  <c r="AR596" i="10"/>
  <c r="AQ596" i="10"/>
  <c r="AP596" i="10"/>
  <c r="AO596" i="10"/>
  <c r="AN596" i="10"/>
  <c r="AM596" i="10"/>
  <c r="AL596" i="10"/>
  <c r="AK596" i="10"/>
  <c r="AJ596" i="10"/>
  <c r="AX597" i="10"/>
  <c r="AW597" i="10"/>
  <c r="AV597" i="10"/>
  <c r="AU597" i="10"/>
  <c r="AT597" i="10"/>
  <c r="AS597" i="10"/>
  <c r="AR597" i="10"/>
  <c r="AQ597" i="10"/>
  <c r="AP597" i="10"/>
  <c r="AO597" i="10"/>
  <c r="AN597" i="10"/>
  <c r="AM597" i="10"/>
  <c r="AL597" i="10"/>
  <c r="AK597" i="10"/>
  <c r="AJ597" i="10"/>
  <c r="AX598" i="10"/>
  <c r="AW598" i="10"/>
  <c r="AK598" i="10"/>
  <c r="AJ598" i="10"/>
  <c r="AX599" i="10"/>
  <c r="AW599" i="10"/>
  <c r="AK599" i="10"/>
  <c r="AJ599" i="10"/>
  <c r="AX600" i="10"/>
  <c r="AW600" i="10"/>
  <c r="AM600" i="10"/>
  <c r="AL600" i="10"/>
  <c r="AK600" i="10"/>
  <c r="AJ600" i="10"/>
  <c r="P236" i="45"/>
  <c r="E245" i="45"/>
  <c r="G245" i="45"/>
  <c r="AS671" i="10"/>
  <c r="AN628" i="10"/>
  <c r="AN671" i="10"/>
  <c r="N236" i="45"/>
  <c r="AU1088" i="10"/>
  <c r="AF236" i="45"/>
  <c r="AQ236" i="45"/>
  <c r="AX628" i="10"/>
  <c r="Y236" i="45"/>
  <c r="AU628" i="10"/>
  <c r="AQ628" i="10"/>
  <c r="AK615" i="10"/>
  <c r="AP628" i="10"/>
  <c r="AS628" i="10"/>
  <c r="AS617" i="10"/>
  <c r="AK617" i="10"/>
  <c r="AV666" i="10"/>
  <c r="AR628" i="10"/>
  <c r="AR617" i="10"/>
  <c r="AJ617" i="10"/>
  <c r="U236" i="45"/>
  <c r="AJ666" i="10"/>
  <c r="AX617" i="10"/>
  <c r="AP617" i="10"/>
  <c r="AO628" i="10"/>
  <c r="AW617" i="10"/>
  <c r="AO617" i="10"/>
  <c r="AW2096" i="10"/>
  <c r="AV617" i="10"/>
  <c r="AN617" i="10"/>
  <c r="AV628" i="10"/>
  <c r="AK628" i="10"/>
  <c r="AU617" i="10"/>
  <c r="AM617" i="10"/>
  <c r="AK616" i="10"/>
  <c r="AT617" i="10"/>
  <c r="AX601" i="10"/>
  <c r="AW601" i="10"/>
  <c r="AM601" i="10"/>
  <c r="AL601" i="10"/>
  <c r="AK601" i="10"/>
  <c r="AJ601" i="10"/>
  <c r="AX602" i="10"/>
  <c r="AW602" i="10"/>
  <c r="AK602" i="10"/>
  <c r="AJ602" i="10"/>
  <c r="AX603" i="10"/>
  <c r="AW603" i="10"/>
  <c r="AK603" i="10"/>
  <c r="AJ603" i="10"/>
  <c r="AX604" i="10"/>
  <c r="AW604" i="10"/>
  <c r="AK604" i="10"/>
  <c r="AJ604" i="10"/>
  <c r="AX605" i="10"/>
  <c r="AW605" i="10"/>
  <c r="AV605" i="10"/>
  <c r="AU605" i="10"/>
  <c r="AT605" i="10"/>
  <c r="AS605" i="10"/>
  <c r="AR605" i="10"/>
  <c r="AQ605" i="10"/>
  <c r="AP605" i="10"/>
  <c r="AO605" i="10"/>
  <c r="AN605" i="10"/>
  <c r="AM605" i="10"/>
  <c r="AL605" i="10"/>
  <c r="AK605" i="10"/>
  <c r="AJ605" i="10"/>
  <c r="AX606" i="10"/>
  <c r="AW606" i="10"/>
  <c r="AV606" i="10"/>
  <c r="AU606" i="10"/>
  <c r="AT606" i="10"/>
  <c r="AS606" i="10"/>
  <c r="AR606" i="10"/>
  <c r="AQ606" i="10"/>
  <c r="AP606" i="10"/>
  <c r="AO606" i="10"/>
  <c r="AN606" i="10"/>
  <c r="AM606" i="10"/>
  <c r="AL606" i="10"/>
  <c r="AK606" i="10"/>
  <c r="AJ606" i="10"/>
  <c r="AW607" i="10"/>
  <c r="AX607" i="10"/>
  <c r="AX608" i="10"/>
  <c r="AW608" i="10"/>
  <c r="AV608" i="10"/>
  <c r="AU608" i="10"/>
  <c r="AT608" i="10"/>
  <c r="AS608" i="10"/>
  <c r="AR608" i="10"/>
  <c r="AQ608" i="10"/>
  <c r="AP608" i="10"/>
  <c r="AO608" i="10"/>
  <c r="AN608" i="10"/>
  <c r="AM608" i="10"/>
  <c r="AL608" i="10"/>
  <c r="AK608" i="10"/>
  <c r="AJ608" i="10"/>
  <c r="AX609" i="10"/>
  <c r="AW609" i="10"/>
  <c r="AV609" i="10"/>
  <c r="AU609" i="10"/>
  <c r="AT609" i="10"/>
  <c r="AS609" i="10"/>
  <c r="AR609" i="10"/>
  <c r="AQ609" i="10"/>
  <c r="AP609" i="10"/>
  <c r="AO609" i="10"/>
  <c r="AN609" i="10"/>
  <c r="AM609" i="10"/>
  <c r="AL609" i="10"/>
  <c r="AK609" i="10"/>
  <c r="AJ609" i="10"/>
  <c r="AX610" i="10"/>
  <c r="AW610" i="10"/>
  <c r="AV610" i="10"/>
  <c r="AU610" i="10"/>
  <c r="AT610" i="10"/>
  <c r="AS610" i="10"/>
  <c r="AR610" i="10"/>
  <c r="AQ610" i="10"/>
  <c r="AP610" i="10"/>
  <c r="AO610" i="10"/>
  <c r="AN610" i="10"/>
  <c r="AM610" i="10"/>
  <c r="AL610" i="10"/>
  <c r="AK610" i="10"/>
  <c r="AJ610" i="10"/>
  <c r="AX611" i="10"/>
  <c r="AW611" i="10"/>
  <c r="AV611" i="10"/>
  <c r="AU611" i="10"/>
  <c r="AT611" i="10"/>
  <c r="AS611" i="10"/>
  <c r="AR611" i="10"/>
  <c r="AQ611" i="10"/>
  <c r="AP611" i="10"/>
  <c r="AO611" i="10"/>
  <c r="AN611" i="10"/>
  <c r="AM611" i="10"/>
  <c r="AL611" i="10"/>
  <c r="AK611" i="10"/>
  <c r="AJ611" i="10"/>
  <c r="AX612" i="10"/>
  <c r="AW612" i="10"/>
  <c r="AV612" i="10"/>
  <c r="AU612" i="10"/>
  <c r="AT612" i="10"/>
  <c r="AS612" i="10"/>
  <c r="AR612" i="10"/>
  <c r="AQ612" i="10"/>
  <c r="AP612" i="10"/>
  <c r="AO612" i="10"/>
  <c r="AN612" i="10"/>
  <c r="AM612" i="10"/>
  <c r="AL612" i="10"/>
  <c r="AK612" i="10"/>
  <c r="AJ612" i="10"/>
  <c r="AX613" i="10"/>
  <c r="AW613" i="10"/>
  <c r="AV613" i="10"/>
  <c r="AU613" i="10"/>
  <c r="AT613" i="10"/>
  <c r="AS613" i="10"/>
  <c r="AR613" i="10"/>
  <c r="AQ613" i="10"/>
  <c r="AP613" i="10"/>
  <c r="AO613" i="10"/>
  <c r="AN613" i="10"/>
  <c r="AM613" i="10"/>
  <c r="AL613" i="10"/>
  <c r="AK613" i="10"/>
  <c r="AJ613" i="10"/>
  <c r="AW616" i="10"/>
  <c r="AX616" i="10"/>
  <c r="AW615" i="10"/>
  <c r="AX615" i="10"/>
  <c r="AW614" i="10"/>
  <c r="AX614" i="10"/>
  <c r="AX618" i="10"/>
  <c r="AW618" i="10"/>
  <c r="AV618" i="10"/>
  <c r="AU618" i="10"/>
  <c r="AT618" i="10"/>
  <c r="AS618" i="10"/>
  <c r="AR618" i="10"/>
  <c r="AQ618" i="10"/>
  <c r="AP618" i="10"/>
  <c r="AO618" i="10"/>
  <c r="AN618" i="10"/>
  <c r="AM618" i="10"/>
  <c r="AL618" i="10"/>
  <c r="AK618" i="10"/>
  <c r="AJ618" i="10"/>
  <c r="AX619" i="10"/>
  <c r="AW619" i="10"/>
  <c r="AV619" i="10"/>
  <c r="AU619" i="10"/>
  <c r="AT619" i="10"/>
  <c r="AS619" i="10"/>
  <c r="AR619" i="10"/>
  <c r="AQ619" i="10"/>
  <c r="AP619" i="10"/>
  <c r="AO619" i="10"/>
  <c r="AN619" i="10"/>
  <c r="AM619" i="10"/>
  <c r="AL619" i="10"/>
  <c r="AK619" i="10"/>
  <c r="AJ619" i="10"/>
  <c r="AX620" i="10"/>
  <c r="AW620" i="10"/>
  <c r="AK620" i="10"/>
  <c r="AJ620" i="10"/>
  <c r="AX621" i="10"/>
  <c r="AW621" i="10"/>
  <c r="AK621" i="10"/>
  <c r="AJ621" i="10"/>
  <c r="AX622" i="10"/>
  <c r="AW622" i="10"/>
  <c r="AK622" i="10"/>
  <c r="AJ622" i="10"/>
  <c r="AX623" i="10"/>
  <c r="AW623" i="10"/>
  <c r="AV623" i="10"/>
  <c r="AU623" i="10"/>
  <c r="AT623" i="10"/>
  <c r="AS623" i="10"/>
  <c r="AR623" i="10"/>
  <c r="AQ623" i="10"/>
  <c r="AP623" i="10"/>
  <c r="AO623" i="10"/>
  <c r="AN623" i="10"/>
  <c r="AM623" i="10"/>
  <c r="AL623" i="10"/>
  <c r="AK623" i="10"/>
  <c r="AJ623" i="10"/>
  <c r="AU2453" i="10"/>
  <c r="AM2453" i="10"/>
  <c r="AP2453" i="10"/>
  <c r="AO2430" i="10"/>
  <c r="AW2430" i="10"/>
  <c r="AW1089" i="10"/>
  <c r="AO1089" i="10"/>
  <c r="AK948" i="10"/>
  <c r="AW948" i="10"/>
  <c r="AX948" i="10"/>
  <c r="AL1188" i="10"/>
  <c r="AO1328" i="10"/>
  <c r="AS2385" i="10"/>
  <c r="AM2406" i="10"/>
  <c r="AX1328" i="10"/>
  <c r="AW2477" i="10"/>
  <c r="AP2477" i="10"/>
  <c r="AP1427" i="10"/>
  <c r="AX1427" i="10"/>
  <c r="AL1427" i="10"/>
  <c r="AU1427" i="10"/>
  <c r="AK1427" i="10"/>
  <c r="AQ1232" i="10"/>
  <c r="AW1232" i="10"/>
  <c r="AN1232" i="10"/>
  <c r="AM1232" i="10"/>
  <c r="AT1232" i="10"/>
  <c r="AK1232" i="10"/>
  <c r="AP1232" i="10"/>
  <c r="AU1232" i="10"/>
  <c r="AV1232" i="10"/>
  <c r="AJ1057" i="10"/>
  <c r="AO1057" i="10"/>
  <c r="AL1057" i="10"/>
  <c r="AU1091" i="10"/>
  <c r="AV1091" i="10"/>
  <c r="AO1091" i="10"/>
  <c r="AX1091" i="10"/>
  <c r="AP1091" i="10"/>
  <c r="AW1091" i="10"/>
  <c r="AR1328" i="10"/>
  <c r="AQ2385" i="10"/>
  <c r="AV2406" i="10"/>
  <c r="AN1724" i="10"/>
  <c r="AU1724" i="10"/>
  <c r="AK1724" i="10"/>
  <c r="AQ1724" i="10"/>
  <c r="AP1699" i="10"/>
  <c r="AN1699" i="10"/>
  <c r="AS1699" i="10"/>
  <c r="AJ738" i="10"/>
  <c r="AW738" i="10"/>
  <c r="AO106" i="45"/>
  <c r="AS1188" i="10"/>
  <c r="AS1328" i="10"/>
  <c r="AO2385" i="10"/>
  <c r="AT2453" i="10"/>
  <c r="AJ2199" i="10"/>
  <c r="AW2199" i="10"/>
  <c r="AW2148" i="10"/>
  <c r="AS2148" i="10"/>
  <c r="AU2148" i="10"/>
  <c r="AP2083" i="10"/>
  <c r="AS2083" i="10"/>
  <c r="AR2083" i="10"/>
  <c r="AU2083" i="10"/>
  <c r="AL2083" i="10"/>
  <c r="AQ2049" i="10"/>
  <c r="AN2049" i="10"/>
  <c r="AL2049" i="10"/>
  <c r="AO2016" i="10"/>
  <c r="AV2016" i="10"/>
  <c r="AO1371" i="10"/>
  <c r="AU1371" i="10"/>
  <c r="AN1371" i="10"/>
  <c r="AR1371" i="10"/>
  <c r="AV1099" i="10"/>
  <c r="AO1099" i="10"/>
  <c r="AN1099" i="10"/>
  <c r="AS1099" i="10"/>
  <c r="AT1099" i="10"/>
  <c r="AW1099" i="10"/>
  <c r="AU1099" i="10"/>
  <c r="AR1099" i="10"/>
  <c r="AS1002" i="10"/>
  <c r="AQ1002" i="10"/>
  <c r="AW1002" i="10"/>
  <c r="AU1188" i="10"/>
  <c r="AU1328" i="10"/>
  <c r="AV2385" i="10"/>
  <c r="AM1361" i="10"/>
  <c r="AT2406" i="10"/>
  <c r="AM2716" i="10"/>
  <c r="AL2716" i="10"/>
  <c r="AN2716" i="10"/>
  <c r="AN2626" i="10"/>
  <c r="AQ2626" i="10"/>
  <c r="AO2566" i="10"/>
  <c r="AR2566" i="10"/>
  <c r="AV2311" i="10"/>
  <c r="AP2311" i="10"/>
  <c r="AR2311" i="10"/>
  <c r="AO2311" i="10"/>
  <c r="AP2219" i="10"/>
  <c r="AU2219" i="10"/>
  <c r="AK1831" i="10"/>
  <c r="AX1831" i="10"/>
  <c r="AQ1540" i="10"/>
  <c r="AK1540" i="10"/>
  <c r="AL1540" i="10"/>
  <c r="AO1477" i="10"/>
  <c r="AX1477" i="10"/>
  <c r="AO1436" i="10"/>
  <c r="AQ1436" i="10"/>
  <c r="AS1176" i="10"/>
  <c r="AM1176" i="10"/>
  <c r="AO1121" i="10"/>
  <c r="AW1121" i="10"/>
  <c r="AK1121" i="10"/>
  <c r="AU1121" i="10"/>
  <c r="AU1045" i="10"/>
  <c r="AQ1045" i="10"/>
  <c r="AL1034" i="10"/>
  <c r="AN1034" i="10"/>
  <c r="AV1034" i="10"/>
  <c r="AJ1034" i="10"/>
  <c r="AM1034" i="10"/>
  <c r="AW1034" i="10"/>
  <c r="AX1034" i="10"/>
  <c r="AP1012" i="10"/>
  <c r="AK1012" i="10"/>
  <c r="AQ105" i="45"/>
  <c r="AQ1188" i="10"/>
  <c r="AK1328" i="10"/>
  <c r="AN2385" i="10"/>
  <c r="AN1361" i="10"/>
  <c r="AW2311" i="10"/>
  <c r="AL2406" i="10"/>
  <c r="AW1393" i="10"/>
  <c r="AU1393" i="10"/>
  <c r="AX1393" i="10"/>
  <c r="AW1230" i="10"/>
  <c r="AM1230" i="10"/>
  <c r="AU1098" i="10"/>
  <c r="AP1098" i="10"/>
  <c r="AS1098" i="10"/>
  <c r="AK1098" i="10"/>
  <c r="AM1098" i="10"/>
  <c r="AR691" i="10"/>
  <c r="AQ691" i="10"/>
  <c r="AL691" i="10"/>
  <c r="AJ691" i="10"/>
  <c r="AX691" i="10"/>
  <c r="AK1188" i="10"/>
  <c r="AM1328" i="10"/>
  <c r="AM2385" i="10"/>
  <c r="AX2048" i="10"/>
  <c r="AU2048" i="10"/>
  <c r="AT2048" i="10"/>
  <c r="AU2025" i="10"/>
  <c r="AK2025" i="10"/>
  <c r="AN2025" i="10"/>
  <c r="AX1947" i="10"/>
  <c r="AO1947" i="10"/>
  <c r="AL1697" i="10"/>
  <c r="AT1697" i="10"/>
  <c r="AU1697" i="10"/>
  <c r="AP1697" i="10"/>
  <c r="AV1687" i="10"/>
  <c r="AL1687" i="10"/>
  <c r="AQ1580" i="10"/>
  <c r="AS1580" i="10"/>
  <c r="AU1539" i="10"/>
  <c r="AK1539" i="10"/>
  <c r="AM1466" i="10"/>
  <c r="AU1466" i="10"/>
  <c r="AR1466" i="10"/>
  <c r="AO1466" i="10"/>
  <c r="AK1466" i="10"/>
  <c r="AS1466" i="10"/>
  <c r="AV1466" i="10"/>
  <c r="AQ1457" i="10"/>
  <c r="AL1457" i="10"/>
  <c r="AV1457" i="10"/>
  <c r="AX1447" i="10"/>
  <c r="AW1447" i="10"/>
  <c r="AK1347" i="10"/>
  <c r="AT1347" i="10"/>
  <c r="AR1347" i="10"/>
  <c r="AQ1347" i="10"/>
  <c r="AX1347" i="10"/>
  <c r="AL1336" i="10"/>
  <c r="AK1336" i="10"/>
  <c r="AO1336" i="10"/>
  <c r="AU1336" i="10"/>
  <c r="AJ1336" i="10"/>
  <c r="AR1262" i="10"/>
  <c r="AV1262" i="10"/>
  <c r="AO1262" i="10"/>
  <c r="AP1262" i="10"/>
  <c r="AL1262" i="10"/>
  <c r="AQ1262" i="10"/>
  <c r="AT1262" i="10"/>
  <c r="AP1131" i="10"/>
  <c r="AV1131" i="10"/>
  <c r="AN1131" i="10"/>
  <c r="AJ770" i="10"/>
  <c r="AX770" i="10"/>
  <c r="AW770" i="10"/>
  <c r="AJ1188" i="10"/>
  <c r="AQ1328" i="10"/>
  <c r="AT2385" i="10"/>
  <c r="AS2608" i="10"/>
  <c r="AU1350" i="10"/>
  <c r="AM2626" i="10"/>
  <c r="AT2430" i="10"/>
  <c r="AP1508" i="10"/>
  <c r="AT1699" i="10"/>
  <c r="AQ2453" i="10"/>
  <c r="AQ1012" i="10"/>
  <c r="AR1121" i="10"/>
  <c r="AL2207" i="10"/>
  <c r="AU2207" i="10"/>
  <c r="AW2207" i="10"/>
  <c r="AO1647" i="10"/>
  <c r="AL1647" i="10"/>
  <c r="AP1549" i="10"/>
  <c r="AL1549" i="10"/>
  <c r="AS1549" i="10"/>
  <c r="AT1153" i="10"/>
  <c r="AS1153" i="10"/>
  <c r="AX1109" i="10"/>
  <c r="AO1109" i="10"/>
  <c r="AR1109" i="10"/>
  <c r="AM1350" i="10"/>
  <c r="AP1188" i="10"/>
  <c r="AL1328" i="10"/>
  <c r="AP2385" i="10"/>
  <c r="AU2626" i="10"/>
  <c r="AN1508" i="10"/>
  <c r="AP2430" i="10"/>
  <c r="AL1508" i="10"/>
  <c r="AL1121" i="10"/>
  <c r="AR2504" i="10"/>
  <c r="AP2504" i="10"/>
  <c r="AW2504" i="10"/>
  <c r="AQ2000" i="10"/>
  <c r="AV2000" i="10"/>
  <c r="AK1782" i="10"/>
  <c r="AQ1782" i="10"/>
  <c r="AP1667" i="10"/>
  <c r="AO1667" i="10"/>
  <c r="AL1657" i="10"/>
  <c r="AP1657" i="10"/>
  <c r="AO1657" i="10"/>
  <c r="AK1657" i="10"/>
  <c r="AP1569" i="10"/>
  <c r="AK1569" i="10"/>
  <c r="AR1538" i="10"/>
  <c r="AJ1538" i="10"/>
  <c r="AL1538" i="10"/>
  <c r="AM1538" i="10"/>
  <c r="AW1538" i="10"/>
  <c r="AJ1517" i="10"/>
  <c r="AU1517" i="10"/>
  <c r="AO965" i="10"/>
  <c r="AL965" i="10"/>
  <c r="AP1328" i="10"/>
  <c r="AW1328" i="10"/>
  <c r="AN1831" i="10"/>
  <c r="AK1733" i="10"/>
  <c r="AT1724" i="10"/>
  <c r="AK2311" i="10"/>
  <c r="AL1699" i="10"/>
  <c r="AV1540" i="10"/>
  <c r="AX2716" i="10"/>
  <c r="AK2430" i="10"/>
  <c r="AO1540" i="10"/>
  <c r="AX1900" i="10"/>
  <c r="AL1371" i="10"/>
  <c r="AQ1034" i="10"/>
  <c r="AP2238" i="10"/>
  <c r="AS2238" i="10"/>
  <c r="AW2069" i="10"/>
  <c r="AQ2069" i="10"/>
  <c r="AS2069" i="10"/>
  <c r="AN2069" i="10"/>
  <c r="AU2069" i="10"/>
  <c r="AL2069" i="10"/>
  <c r="AT1792" i="10"/>
  <c r="AP1792" i="10"/>
  <c r="AW1792" i="10"/>
  <c r="AK1721" i="10"/>
  <c r="AQ1721" i="10"/>
  <c r="AM1721" i="10"/>
  <c r="AO1293" i="10"/>
  <c r="AV1293" i="10"/>
  <c r="AL1293" i="10"/>
  <c r="AN1293" i="10"/>
  <c r="AL1032" i="10"/>
  <c r="AQ1032" i="10"/>
  <c r="AV1032" i="10"/>
  <c r="AM1032" i="10"/>
  <c r="AO1032" i="10"/>
  <c r="AJ1021" i="10"/>
  <c r="AX1021" i="10"/>
  <c r="AJ1328" i="10"/>
  <c r="AM2311" i="10"/>
  <c r="AK1749" i="10"/>
  <c r="AR1749" i="10"/>
  <c r="AU1749" i="10"/>
  <c r="AM1749" i="10"/>
  <c r="AN1749" i="10"/>
  <c r="AO1402" i="10"/>
  <c r="AW1402" i="10"/>
  <c r="AK1271" i="10"/>
  <c r="AT1271" i="10"/>
  <c r="AV1271" i="10"/>
  <c r="AU1271" i="10"/>
  <c r="AN1184" i="10"/>
  <c r="AX1184" i="10"/>
  <c r="AO1184" i="10"/>
  <c r="AT1009" i="10"/>
  <c r="AX1009" i="10"/>
  <c r="AN1188" i="10"/>
  <c r="AV1361" i="10"/>
  <c r="AV1350" i="10"/>
  <c r="AU2605" i="10"/>
  <c r="AJ2605" i="10"/>
  <c r="AN2605" i="10"/>
  <c r="AT2605" i="10"/>
  <c r="AQ2473" i="10"/>
  <c r="AW2473" i="10"/>
  <c r="AW2462" i="10"/>
  <c r="AX2462" i="10"/>
  <c r="AL1720" i="10"/>
  <c r="AT1720" i="10"/>
  <c r="AW1260" i="10"/>
  <c r="AQ1260" i="10"/>
  <c r="AL1227" i="10"/>
  <c r="AM1227" i="10"/>
  <c r="AX1227" i="10"/>
  <c r="AW1216" i="10"/>
  <c r="AR1216" i="10"/>
  <c r="AO1216" i="10"/>
  <c r="AJ1084" i="10"/>
  <c r="AX1084" i="10"/>
  <c r="AV1031" i="10"/>
  <c r="AQ1031" i="10"/>
  <c r="AQ115" i="45"/>
  <c r="AR1361" i="10"/>
  <c r="AL1350" i="10"/>
  <c r="AQ1976" i="10"/>
  <c r="AS1976" i="10"/>
  <c r="AS1894" i="10"/>
  <c r="AN1894" i="10"/>
  <c r="AV1884" i="10"/>
  <c r="AL1884" i="10"/>
  <c r="E80" i="45"/>
  <c r="W80" i="45"/>
  <c r="C80" i="45"/>
  <c r="AN1781" i="10"/>
  <c r="G80" i="45"/>
  <c r="AS1781" i="10"/>
  <c r="AJ1445" i="10"/>
  <c r="AV1445" i="10"/>
  <c r="AS1445" i="10"/>
  <c r="AP1445" i="10"/>
  <c r="AX1303" i="10"/>
  <c r="AS1303" i="10"/>
  <c r="AO1303" i="10"/>
  <c r="AV1128" i="10"/>
  <c r="AL1128" i="10"/>
  <c r="AP1052" i="10"/>
  <c r="AX1052" i="10"/>
  <c r="AK1052" i="10"/>
  <c r="AO1052" i="10"/>
  <c r="AT1052" i="10"/>
  <c r="AN1052" i="10"/>
  <c r="AJ1052" i="10"/>
  <c r="AQ1052" i="10"/>
  <c r="AV2453" i="10"/>
  <c r="AP1361" i="10"/>
  <c r="AP1670" i="10"/>
  <c r="AX1350" i="10"/>
  <c r="AM2543" i="10"/>
  <c r="AX2543" i="10"/>
  <c r="AS2543" i="10"/>
  <c r="AR2390" i="10"/>
  <c r="AU2390" i="10"/>
  <c r="AS2390" i="10"/>
  <c r="AL1626" i="10"/>
  <c r="AS1626" i="10"/>
  <c r="AO1577" i="10"/>
  <c r="AM1577" i="10"/>
  <c r="AN1577" i="10"/>
  <c r="AP1577" i="10"/>
  <c r="AV1577" i="10"/>
  <c r="AW1483" i="10"/>
  <c r="AX1483" i="10"/>
  <c r="AO1355" i="10"/>
  <c r="AT1355" i="10"/>
  <c r="AX1139" i="10"/>
  <c r="AR1139" i="10"/>
  <c r="AT1139" i="10"/>
  <c r="AV1139" i="10"/>
  <c r="AN1139" i="10"/>
  <c r="AS1139" i="10"/>
  <c r="AP1083" i="10"/>
  <c r="AJ1083" i="10"/>
  <c r="AU1083" i="10"/>
  <c r="AX1083" i="10"/>
  <c r="AJ1074" i="10"/>
  <c r="AS1074" i="10"/>
  <c r="AN1074" i="10"/>
  <c r="AQ1690" i="10"/>
  <c r="AS2453" i="10"/>
  <c r="AQ1361" i="10"/>
  <c r="AT1670" i="10"/>
  <c r="AW1350" i="10"/>
  <c r="L43" i="45"/>
  <c r="N11" i="43" s="1"/>
  <c r="AU2194" i="10"/>
  <c r="AK2194" i="10"/>
  <c r="AL2077" i="10"/>
  <c r="AQ2077" i="10"/>
  <c r="AW2045" i="10"/>
  <c r="AT2045" i="10"/>
  <c r="AQ2045" i="10"/>
  <c r="AK2045" i="10"/>
  <c r="AP1934" i="10"/>
  <c r="AM1934" i="10"/>
  <c r="AU1827" i="10"/>
  <c r="AQ1827" i="10"/>
  <c r="AN1827" i="10"/>
  <c r="AM1809" i="10"/>
  <c r="AS1809" i="10"/>
  <c r="AR1809" i="10"/>
  <c r="AV1809" i="10"/>
  <c r="AN1809" i="10"/>
  <c r="AO1073" i="10"/>
  <c r="AT1073" i="10"/>
  <c r="AM690" i="10"/>
  <c r="AS690" i="10"/>
  <c r="AO690" i="10"/>
  <c r="AW680" i="10"/>
  <c r="AK680" i="10"/>
  <c r="AR1690" i="10"/>
  <c r="AL2453" i="10"/>
  <c r="AW1361" i="10"/>
  <c r="AV1328" i="10"/>
  <c r="AR1670" i="10"/>
  <c r="AO1350" i="10"/>
  <c r="AO2453" i="10"/>
  <c r="AN2482" i="10"/>
  <c r="AV2482" i="10"/>
  <c r="AT2213" i="10"/>
  <c r="AM2213" i="10"/>
  <c r="AO1997" i="10"/>
  <c r="AU1997" i="10"/>
  <c r="AV1997" i="10"/>
  <c r="AT1997" i="10"/>
  <c r="AN1997" i="10"/>
  <c r="AM1365" i="10"/>
  <c r="AT1365" i="10"/>
  <c r="AO1365" i="10"/>
  <c r="AS1365" i="10"/>
  <c r="AL1365" i="10"/>
  <c r="AR1365" i="10"/>
  <c r="AQ1365" i="10"/>
  <c r="AX1365" i="10"/>
  <c r="AK1311" i="10"/>
  <c r="AP1311" i="10"/>
  <c r="AR1149" i="10"/>
  <c r="AL1149" i="10"/>
  <c r="AN1149" i="10"/>
  <c r="AM1149" i="10"/>
  <c r="AK1094" i="10"/>
  <c r="AP1094" i="10"/>
  <c r="AV1094" i="10"/>
  <c r="AM1094" i="10"/>
  <c r="AN1094" i="10"/>
  <c r="AQ1094" i="10"/>
  <c r="AR1082" i="10"/>
  <c r="AX1082" i="10"/>
  <c r="AN1082" i="10"/>
  <c r="AP1082" i="10"/>
  <c r="AV1082" i="10"/>
  <c r="AK1082" i="10"/>
  <c r="AT1082" i="10"/>
  <c r="AL1082" i="10"/>
  <c r="AO105" i="45"/>
  <c r="AP1690" i="10"/>
  <c r="AK2453" i="10"/>
  <c r="AT1361" i="10"/>
  <c r="AQ1670" i="10"/>
  <c r="AK1350" i="10"/>
  <c r="AO2528" i="10"/>
  <c r="AP1868" i="10"/>
  <c r="AK2324" i="10"/>
  <c r="AW1436" i="10"/>
  <c r="AP1034" i="10"/>
  <c r="AM2445" i="10"/>
  <c r="AN2445" i="10"/>
  <c r="AU2445" i="10"/>
  <c r="AM2031" i="10"/>
  <c r="AN2031" i="10"/>
  <c r="AS2031" i="10"/>
  <c r="AM1138" i="10"/>
  <c r="AQ1138" i="10"/>
  <c r="AT984" i="10"/>
  <c r="AK984" i="10"/>
  <c r="AO984" i="10"/>
  <c r="AV984" i="10"/>
  <c r="AL1690" i="10"/>
  <c r="AJ2453" i="10"/>
  <c r="AL1361" i="10"/>
  <c r="AN1670" i="10"/>
  <c r="AT1350" i="10"/>
  <c r="AK2566" i="10"/>
  <c r="AS1868" i="10"/>
  <c r="AP1832" i="10"/>
  <c r="AW980" i="10"/>
  <c r="AQ1383" i="10"/>
  <c r="AT1436" i="10"/>
  <c r="AS1034" i="10"/>
  <c r="AM2592" i="10"/>
  <c r="AL2592" i="10"/>
  <c r="AV2234" i="10"/>
  <c r="AP2234" i="10"/>
  <c r="AS2234" i="10"/>
  <c r="AU2203" i="10"/>
  <c r="AT2203" i="10"/>
  <c r="AK2203" i="10"/>
  <c r="AV2075" i="10"/>
  <c r="AP2075" i="10"/>
  <c r="AX2075" i="10"/>
  <c r="AS2075" i="10"/>
  <c r="AW2075" i="10"/>
  <c r="AO1634" i="10"/>
  <c r="AU1634" i="10"/>
  <c r="AO1534" i="10"/>
  <c r="AN1534" i="10"/>
  <c r="AO1453" i="10"/>
  <c r="AM1453" i="10"/>
  <c r="AW1431" i="10"/>
  <c r="AM1431" i="10"/>
  <c r="AS1160" i="10"/>
  <c r="AT1160" i="10"/>
  <c r="AX687" i="10"/>
  <c r="AW687" i="10"/>
  <c r="AS1690" i="10"/>
  <c r="AR2453" i="10"/>
  <c r="AU1361" i="10"/>
  <c r="AM1670" i="10"/>
  <c r="AN1350" i="10"/>
  <c r="AX2406" i="10"/>
  <c r="AX980" i="10"/>
  <c r="AL2541" i="10"/>
  <c r="AP2541" i="10"/>
  <c r="AO2030" i="10"/>
  <c r="AS2030" i="10"/>
  <c r="AP2030" i="10"/>
  <c r="AX2030" i="10"/>
  <c r="AW1060" i="10"/>
  <c r="AO1060" i="10"/>
  <c r="AS1060" i="10"/>
  <c r="AR1017" i="10"/>
  <c r="AS1017" i="10"/>
  <c r="AO1017" i="10"/>
  <c r="AJ742" i="10"/>
  <c r="AX742" i="10"/>
  <c r="AW742" i="10"/>
  <c r="AK729" i="10"/>
  <c r="AW729" i="10"/>
  <c r="AS710" i="10"/>
  <c r="AP710" i="10"/>
  <c r="AQ710" i="10"/>
  <c r="AU1690" i="10"/>
  <c r="AT1188" i="10"/>
  <c r="AK1361" i="10"/>
  <c r="AO1670" i="10"/>
  <c r="AR1350" i="10"/>
  <c r="AU2385" i="10"/>
  <c r="AW2406" i="10"/>
  <c r="AU1339" i="10"/>
  <c r="AT980" i="10"/>
  <c r="AO1034" i="10"/>
  <c r="AP2244" i="10"/>
  <c r="AX2244" i="10"/>
  <c r="AT2244" i="10"/>
  <c r="AU1902" i="10"/>
  <c r="AM1902" i="10"/>
  <c r="AS1902" i="10"/>
  <c r="AP1902" i="10"/>
  <c r="AV1902" i="10"/>
  <c r="AN1375" i="10"/>
  <c r="AP1375" i="10"/>
  <c r="AO1256" i="10"/>
  <c r="AR1256" i="10"/>
  <c r="AN1256" i="10"/>
  <c r="AQ1256" i="10"/>
  <c r="AP1256" i="10"/>
  <c r="AW1256" i="10"/>
  <c r="AK1256" i="10"/>
  <c r="AT1256" i="10"/>
  <c r="AM1256" i="10"/>
  <c r="AL1071" i="10"/>
  <c r="AW1071" i="10"/>
  <c r="AV1071" i="10"/>
  <c r="AR1071" i="10"/>
  <c r="AU1071" i="10"/>
  <c r="AM1071" i="10"/>
  <c r="AO1071" i="10"/>
  <c r="AN694" i="10"/>
  <c r="AM694" i="10"/>
  <c r="AW694" i="10"/>
  <c r="AV694" i="10"/>
  <c r="AT694" i="10"/>
  <c r="AN1690" i="10"/>
  <c r="AM1188" i="10"/>
  <c r="AX1361" i="10"/>
  <c r="AS1670" i="10"/>
  <c r="AX1339" i="10"/>
  <c r="AQ1350" i="10"/>
  <c r="AL2385" i="10"/>
  <c r="AK2406" i="10"/>
  <c r="AT1339" i="10"/>
  <c r="AX2430" i="10"/>
  <c r="AN980" i="10"/>
  <c r="AU1089" i="10"/>
  <c r="AM2666" i="10"/>
  <c r="AS2666" i="10"/>
  <c r="AS1921" i="10"/>
  <c r="AL1921" i="10"/>
  <c r="AP1921" i="10"/>
  <c r="AT1921" i="10"/>
  <c r="AO1910" i="10"/>
  <c r="AN1910" i="10"/>
  <c r="AU1910" i="10"/>
  <c r="AX1910" i="10"/>
  <c r="AP1910" i="10"/>
  <c r="AT1777" i="10"/>
  <c r="AO1777" i="10"/>
  <c r="AU1652" i="10"/>
  <c r="AK1652" i="10"/>
  <c r="AV1603" i="10"/>
  <c r="AO1603" i="10"/>
  <c r="AP1603" i="10"/>
  <c r="AU1603" i="10"/>
  <c r="AR1603" i="10"/>
  <c r="AT1603" i="10"/>
  <c r="AN1603" i="10"/>
  <c r="AN1584" i="10"/>
  <c r="AK1584" i="10"/>
  <c r="AP1408" i="10"/>
  <c r="AK1408" i="10"/>
  <c r="AW2385" i="10"/>
  <c r="AS2406" i="10"/>
  <c r="AS1339" i="10"/>
  <c r="AS2430" i="10"/>
  <c r="AW2314" i="10"/>
  <c r="AT2314" i="10"/>
  <c r="AK1670" i="10"/>
  <c r="AJ2385" i="10"/>
  <c r="AP2406" i="10"/>
  <c r="AT2566" i="10"/>
  <c r="AT1328" i="10"/>
  <c r="AV1339" i="10"/>
  <c r="AN2430" i="10"/>
  <c r="AM1089" i="10"/>
  <c r="AR2482" i="10"/>
  <c r="AN1216" i="10"/>
  <c r="AV2005" i="10"/>
  <c r="AU2005" i="10"/>
  <c r="AL2005" i="10"/>
  <c r="AN2005" i="10"/>
  <c r="AM2005" i="10"/>
  <c r="AK1661" i="10"/>
  <c r="AU1661" i="10"/>
  <c r="AS1661" i="10"/>
  <c r="AK1612" i="10"/>
  <c r="AT1612" i="10"/>
  <c r="AN1612" i="10"/>
  <c r="AU1612" i="10"/>
  <c r="AV1612" i="10"/>
  <c r="AR1612" i="10"/>
  <c r="AQ1511" i="10"/>
  <c r="AU1511" i="10"/>
  <c r="AT1490" i="10"/>
  <c r="AX1490" i="10"/>
  <c r="AN1490" i="10"/>
  <c r="AX1298" i="10"/>
  <c r="AW1298" i="10"/>
  <c r="AT1298" i="10"/>
  <c r="AU1298" i="10"/>
  <c r="AP1298" i="10"/>
  <c r="AS1298" i="10"/>
  <c r="AN1298" i="10"/>
  <c r="AQ1146" i="10"/>
  <c r="AR1146" i="10"/>
  <c r="AL1037" i="10"/>
  <c r="AN1037" i="10"/>
  <c r="AN1199" i="10"/>
  <c r="AR2430" i="10"/>
  <c r="AX2385" i="10"/>
  <c r="AJ2430" i="10"/>
  <c r="AJ1089" i="10"/>
  <c r="AS2529" i="10"/>
  <c r="AL2529" i="10"/>
  <c r="AL2430" i="10"/>
  <c r="AU2354" i="10"/>
  <c r="AT2354" i="10"/>
  <c r="AN2354" i="10"/>
  <c r="AQ2354" i="10"/>
  <c r="AL2354" i="10"/>
  <c r="AM2354" i="10"/>
  <c r="AO2354" i="10"/>
  <c r="AP2354" i="10"/>
  <c r="AR1909" i="10"/>
  <c r="AO1909" i="10"/>
  <c r="AS1909" i="10"/>
  <c r="AT1900" i="10"/>
  <c r="AV1900" i="10"/>
  <c r="AL1900" i="10"/>
  <c r="AR1900" i="10"/>
  <c r="AP1900" i="10"/>
  <c r="AQ1843" i="10"/>
  <c r="AP1843" i="10"/>
  <c r="AK1843" i="10"/>
  <c r="AR1843" i="10"/>
  <c r="AL1776" i="10"/>
  <c r="AX1776" i="10"/>
  <c r="AO1776" i="10"/>
  <c r="AV1552" i="10"/>
  <c r="AT1552" i="10"/>
  <c r="AM1552" i="10"/>
  <c r="AX1521" i="10"/>
  <c r="AM1521" i="10"/>
  <c r="AN1521" i="10"/>
  <c r="AS1479" i="10"/>
  <c r="AJ1479" i="10"/>
  <c r="AX1479" i="10"/>
  <c r="AM1479" i="10"/>
  <c r="AU1308" i="10"/>
  <c r="AK1308" i="10"/>
  <c r="AW1308" i="10"/>
  <c r="AL1308" i="10"/>
  <c r="AN1308" i="10"/>
  <c r="AR1308" i="10"/>
  <c r="AT1308" i="10"/>
  <c r="AK1069" i="10"/>
  <c r="AN1069" i="10"/>
  <c r="AP1069" i="10"/>
  <c r="AV1079" i="10"/>
  <c r="AM671" i="10"/>
  <c r="AW628" i="10"/>
  <c r="AJ671" i="10"/>
  <c r="AR2584" i="10"/>
  <c r="AM2584" i="10"/>
  <c r="AN2584" i="10"/>
  <c r="AP2051" i="10"/>
  <c r="AV2051" i="10"/>
  <c r="AN2051" i="10"/>
  <c r="AS2051" i="10"/>
  <c r="AO2051" i="10"/>
  <c r="AP1995" i="10"/>
  <c r="AX1995" i="10"/>
  <c r="AK1995" i="10"/>
  <c r="AU1995" i="10"/>
  <c r="AQ1995" i="10"/>
  <c r="AV1995" i="10"/>
  <c r="AN1995" i="10"/>
  <c r="AS1962" i="10"/>
  <c r="AM1962" i="10"/>
  <c r="AK1962" i="10"/>
  <c r="AN1962" i="10"/>
  <c r="AW1962" i="10"/>
  <c r="AX1941" i="10"/>
  <c r="AM1941" i="10"/>
  <c r="AM1932" i="10"/>
  <c r="AK1932" i="10"/>
  <c r="AT1684" i="10"/>
  <c r="AS1684" i="10"/>
  <c r="AV1684" i="10"/>
  <c r="AL1684" i="10"/>
  <c r="AV1665" i="10"/>
  <c r="AN1665" i="10"/>
  <c r="AS1665" i="10"/>
  <c r="AW1665" i="10"/>
  <c r="AT1665" i="10"/>
  <c r="AN1606" i="10"/>
  <c r="AO1606" i="10"/>
  <c r="AU1606" i="10"/>
  <c r="AL1606" i="10"/>
  <c r="AK1606" i="10"/>
  <c r="AP1606" i="10"/>
  <c r="AW1403" i="10"/>
  <c r="AT1403" i="10"/>
  <c r="AL1403" i="10"/>
  <c r="AK1403" i="10"/>
  <c r="AU1403" i="10"/>
  <c r="AX1403" i="10"/>
  <c r="AM1403" i="10"/>
  <c r="AO1403" i="10"/>
  <c r="AR1403" i="10"/>
  <c r="AX1212" i="10"/>
  <c r="AU1212" i="10"/>
  <c r="AW1212" i="10"/>
  <c r="AJ759" i="10"/>
  <c r="AX759" i="10"/>
  <c r="AW759" i="10"/>
  <c r="AR1597" i="10"/>
  <c r="AL976" i="10"/>
  <c r="AK1455" i="10"/>
  <c r="AL2275" i="10"/>
  <c r="AP2628" i="10"/>
  <c r="AM1212" i="10"/>
  <c r="AS2106" i="10"/>
  <c r="AP2106" i="10"/>
  <c r="AR2106" i="10"/>
  <c r="AT2106" i="10"/>
  <c r="AJ2106" i="10"/>
  <c r="AK2106" i="10"/>
  <c r="AU2106" i="10"/>
  <c r="AX2106" i="10"/>
  <c r="AN2017" i="10"/>
  <c r="AV2017" i="10"/>
  <c r="AT2004" i="10"/>
  <c r="AV2004" i="10"/>
  <c r="AX2004" i="10"/>
  <c r="AU2004" i="10"/>
  <c r="AQ2004" i="10"/>
  <c r="AP2004" i="10"/>
  <c r="AM2004" i="10"/>
  <c r="AR1921" i="10"/>
  <c r="AN1921" i="10"/>
  <c r="AX1921" i="10"/>
  <c r="AU1921" i="10"/>
  <c r="AO1921" i="10"/>
  <c r="AT1285" i="10"/>
  <c r="AP1285" i="10"/>
  <c r="AO1285" i="10"/>
  <c r="AS1062" i="10"/>
  <c r="AT1062" i="10"/>
  <c r="AN1062" i="10"/>
  <c r="AK1062" i="10"/>
  <c r="AX1062" i="10"/>
  <c r="AV1062" i="10"/>
  <c r="AQ1062" i="10"/>
  <c r="AP2562" i="10"/>
  <c r="AR2562" i="10"/>
  <c r="AS2562" i="10"/>
  <c r="AU2562" i="10"/>
  <c r="AT2562" i="10"/>
  <c r="AK2562" i="10"/>
  <c r="AX2562" i="10"/>
  <c r="AV2562" i="10"/>
  <c r="AR2050" i="10"/>
  <c r="AW2050" i="10"/>
  <c r="AQ2050" i="10"/>
  <c r="AK2050" i="10"/>
  <c r="AS2050" i="10"/>
  <c r="AK1961" i="10"/>
  <c r="AS1961" i="10"/>
  <c r="AW1961" i="10"/>
  <c r="AU1961" i="10"/>
  <c r="AM1961" i="10"/>
  <c r="AX1961" i="10"/>
  <c r="AN1961" i="10"/>
  <c r="AR1961" i="10"/>
  <c r="AX1931" i="10"/>
  <c r="AP1931" i="10"/>
  <c r="AV1931" i="10"/>
  <c r="AW1931" i="10"/>
  <c r="AK1931" i="10"/>
  <c r="AL1931" i="10"/>
  <c r="AQ1931" i="10"/>
  <c r="AS1931" i="10"/>
  <c r="AJ1254" i="10"/>
  <c r="AW1254" i="10"/>
  <c r="AX1254" i="10"/>
  <c r="AU1254" i="10"/>
  <c r="AM1254" i="10"/>
  <c r="AU1104" i="10"/>
  <c r="AV1104" i="10"/>
  <c r="AN1104" i="10"/>
  <c r="AW964" i="10"/>
  <c r="AS964" i="10"/>
  <c r="AK964" i="10"/>
  <c r="AV964" i="10"/>
  <c r="AU964" i="10"/>
  <c r="AX964" i="10"/>
  <c r="AQ1597" i="10"/>
  <c r="AT976" i="10"/>
  <c r="AL2138" i="10"/>
  <c r="AU2275" i="10"/>
  <c r="AX1020" i="10"/>
  <c r="AP2050" i="10"/>
  <c r="AU1755" i="10"/>
  <c r="AN1755" i="10"/>
  <c r="AJ1693" i="10"/>
  <c r="AK1693" i="10"/>
  <c r="AU1693" i="10"/>
  <c r="AT1693" i="10"/>
  <c r="AS1693" i="10"/>
  <c r="AV1693" i="10"/>
  <c r="AQ1693" i="10"/>
  <c r="AP1693" i="10"/>
  <c r="AO1693" i="10"/>
  <c r="AO1325" i="10"/>
  <c r="AW1325" i="10"/>
  <c r="AM1296" i="10"/>
  <c r="AO1296" i="10"/>
  <c r="AW1296" i="10"/>
  <c r="AS1296" i="10"/>
  <c r="AQ1284" i="10"/>
  <c r="AT1284" i="10"/>
  <c r="AR1284" i="10"/>
  <c r="AM1284" i="10"/>
  <c r="AX1284" i="10"/>
  <c r="AV1284" i="10"/>
  <c r="AP1284" i="10"/>
  <c r="AM1274" i="10"/>
  <c r="AJ1274" i="10"/>
  <c r="AP1264" i="10"/>
  <c r="AJ1264" i="10"/>
  <c r="AN1264" i="10"/>
  <c r="AK1264" i="10"/>
  <c r="AM1264" i="10"/>
  <c r="AV1264" i="10"/>
  <c r="AL1264" i="10"/>
  <c r="AS1264" i="10"/>
  <c r="AW1264" i="10"/>
  <c r="AX1264" i="10"/>
  <c r="AQ1072" i="10"/>
  <c r="AS1072" i="10"/>
  <c r="AW1072" i="10"/>
  <c r="AX877" i="10"/>
  <c r="AJ877" i="10"/>
  <c r="AW877" i="10"/>
  <c r="AQ2084" i="10"/>
  <c r="AP1597" i="10"/>
  <c r="AS976" i="10"/>
  <c r="AS2138" i="10"/>
  <c r="AK2275" i="10"/>
  <c r="AW1020" i="10"/>
  <c r="AS2584" i="10"/>
  <c r="AT2050" i="10"/>
  <c r="AN2698" i="10"/>
  <c r="AR2698" i="10"/>
  <c r="AW2698" i="10"/>
  <c r="AK2698" i="10"/>
  <c r="AQ2698" i="10"/>
  <c r="AX2698" i="10"/>
  <c r="AT2698" i="10"/>
  <c r="AO2698" i="10"/>
  <c r="AU2698" i="10"/>
  <c r="AV2621" i="10"/>
  <c r="AP2621" i="10"/>
  <c r="AM2613" i="10"/>
  <c r="AU2613" i="10"/>
  <c r="AW2613" i="10"/>
  <c r="AV2613" i="10"/>
  <c r="AR2148" i="10"/>
  <c r="AV2148" i="10"/>
  <c r="AN2148" i="10"/>
  <c r="AV2115" i="10"/>
  <c r="AS2115" i="10"/>
  <c r="AU2115" i="10"/>
  <c r="AT2115" i="10"/>
  <c r="AW2115" i="10"/>
  <c r="AQ1380" i="10"/>
  <c r="AN1380" i="10"/>
  <c r="AP1380" i="10"/>
  <c r="AL1380" i="10"/>
  <c r="AU1380" i="10"/>
  <c r="AT1380" i="10"/>
  <c r="AO1380" i="10"/>
  <c r="AW1125" i="10"/>
  <c r="AV1125" i="10"/>
  <c r="AU1103" i="10"/>
  <c r="AM1103" i="10"/>
  <c r="AX1103" i="10"/>
  <c r="AN1103" i="10"/>
  <c r="AQ1103" i="10"/>
  <c r="AO1103" i="10"/>
  <c r="AS1103" i="10"/>
  <c r="AV1103" i="10"/>
  <c r="AK1103" i="10"/>
  <c r="AW1103" i="10"/>
  <c r="AL996" i="10"/>
  <c r="AP996" i="10"/>
  <c r="AR996" i="10"/>
  <c r="AV996" i="10"/>
  <c r="AU996" i="10"/>
  <c r="AK662" i="10"/>
  <c r="AL662" i="10"/>
  <c r="AM662" i="10"/>
  <c r="AO662" i="10"/>
  <c r="AP662" i="10"/>
  <c r="AR662" i="10"/>
  <c r="AS662" i="10"/>
  <c r="AU662" i="10"/>
  <c r="AJ662" i="10"/>
  <c r="AV976" i="10"/>
  <c r="AX2484" i="10"/>
  <c r="AM1597" i="10"/>
  <c r="AP976" i="10"/>
  <c r="AU2138" i="10"/>
  <c r="AV2275" i="10"/>
  <c r="AJ1020" i="10"/>
  <c r="AR2285" i="10"/>
  <c r="AU1665" i="10"/>
  <c r="AW2584" i="10"/>
  <c r="AN2667" i="10"/>
  <c r="AR2667" i="10"/>
  <c r="AX2667" i="10"/>
  <c r="AK2667" i="10"/>
  <c r="AM2667" i="10"/>
  <c r="AN2287" i="10"/>
  <c r="AU2287" i="10"/>
  <c r="AS2249" i="10"/>
  <c r="AX2249" i="10"/>
  <c r="AO2147" i="10"/>
  <c r="AV2147" i="10"/>
  <c r="AP2147" i="10"/>
  <c r="AM2147" i="10"/>
  <c r="AT2147" i="10"/>
  <c r="AQ2147" i="10"/>
  <c r="AW2147" i="10"/>
  <c r="AR2147" i="10"/>
  <c r="AU2147" i="10"/>
  <c r="AM1735" i="10"/>
  <c r="AL1735" i="10"/>
  <c r="AT1735" i="10"/>
  <c r="AX1735" i="10"/>
  <c r="AO1735" i="10"/>
  <c r="AS1735" i="10"/>
  <c r="AM1716" i="10"/>
  <c r="AR1716" i="10"/>
  <c r="AN1716" i="10"/>
  <c r="AL1716" i="10"/>
  <c r="AK1716" i="10"/>
  <c r="AV1716" i="10"/>
  <c r="AO1716" i="10"/>
  <c r="AP1716" i="10"/>
  <c r="AT1716" i="10"/>
  <c r="AU1716" i="10"/>
  <c r="AK1692" i="10"/>
  <c r="AO1692" i="10"/>
  <c r="AU1692" i="10"/>
  <c r="AN1692" i="10"/>
  <c r="AR1634" i="10"/>
  <c r="AQ1634" i="10"/>
  <c r="AT1634" i="10"/>
  <c r="AM1634" i="10"/>
  <c r="AN1634" i="10"/>
  <c r="AP1634" i="10"/>
  <c r="AS1634" i="10"/>
  <c r="AV1634" i="10"/>
  <c r="AL1634" i="10"/>
  <c r="AX1444" i="10"/>
  <c r="AR1444" i="10"/>
  <c r="AP1444" i="10"/>
  <c r="AT1444" i="10"/>
  <c r="AW1444" i="10"/>
  <c r="AN1444" i="10"/>
  <c r="AK1390" i="10"/>
  <c r="AT1390" i="10"/>
  <c r="AL1390" i="10"/>
  <c r="AO1390" i="10"/>
  <c r="AW1390" i="10"/>
  <c r="AM1390" i="10"/>
  <c r="AX1390" i="10"/>
  <c r="AP1390" i="10"/>
  <c r="AN1324" i="10"/>
  <c r="AO1324" i="10"/>
  <c r="AV1324" i="10"/>
  <c r="AJ1324" i="10"/>
  <c r="AQ1324" i="10"/>
  <c r="AR1135" i="10"/>
  <c r="AL1135" i="10"/>
  <c r="AQ1135" i="10"/>
  <c r="AU1080" i="10"/>
  <c r="AL1080" i="10"/>
  <c r="AX1080" i="10"/>
  <c r="AK1080" i="10"/>
  <c r="AQ1080" i="10"/>
  <c r="AV1080" i="10"/>
  <c r="AP1080" i="10"/>
  <c r="AW1080" i="10"/>
  <c r="AT1080" i="10"/>
  <c r="AK2138" i="10"/>
  <c r="AP2285" i="10"/>
  <c r="AL1665" i="10"/>
  <c r="AO2584" i="10"/>
  <c r="AO1254" i="10"/>
  <c r="AX2532" i="10"/>
  <c r="AW2532" i="10"/>
  <c r="AU2082" i="10"/>
  <c r="AW2082" i="10"/>
  <c r="AV2082" i="10"/>
  <c r="AQ2082" i="10"/>
  <c r="AT2082" i="10"/>
  <c r="AV1981" i="10"/>
  <c r="AL1981" i="10"/>
  <c r="AR1981" i="10"/>
  <c r="AS1981" i="10"/>
  <c r="AX1767" i="10"/>
  <c r="AK1767" i="10"/>
  <c r="AW1767" i="10"/>
  <c r="AP1767" i="10"/>
  <c r="AO1767" i="10"/>
  <c r="AL1663" i="10"/>
  <c r="AK1663" i="10"/>
  <c r="AM1663" i="10"/>
  <c r="AU1663" i="10"/>
  <c r="AO1663" i="10"/>
  <c r="AP1663" i="10"/>
  <c r="AM1411" i="10"/>
  <c r="AO1411" i="10"/>
  <c r="AW1411" i="10"/>
  <c r="AV1357" i="10"/>
  <c r="AT1357" i="10"/>
  <c r="AN1357" i="10"/>
  <c r="AW1124" i="10"/>
  <c r="AP1124" i="10"/>
  <c r="AM1124" i="10"/>
  <c r="AO1124" i="10"/>
  <c r="AV1124" i="10"/>
  <c r="AT1124" i="10"/>
  <c r="AQ1124" i="10"/>
  <c r="AR1124" i="10"/>
  <c r="AJ1124" i="10"/>
  <c r="AU1124" i="10"/>
  <c r="AV1113" i="10"/>
  <c r="AL1113" i="10"/>
  <c r="AM1113" i="10"/>
  <c r="AT1113" i="10"/>
  <c r="AW1113" i="10"/>
  <c r="AP1113" i="10"/>
  <c r="AQ1113" i="10"/>
  <c r="AR1113" i="10"/>
  <c r="AN1113" i="10"/>
  <c r="AS1113" i="10"/>
  <c r="AN1060" i="10"/>
  <c r="AQ1060" i="10"/>
  <c r="AV1060" i="10"/>
  <c r="AR1060" i="10"/>
  <c r="AX1060" i="10"/>
  <c r="AU1060" i="10"/>
  <c r="AJ1060" i="10"/>
  <c r="AL1060" i="10"/>
  <c r="AP1060" i="10"/>
  <c r="AK1060" i="10"/>
  <c r="AT1060" i="10"/>
  <c r="L16" i="45"/>
  <c r="AW2484" i="10"/>
  <c r="AJ1597" i="10"/>
  <c r="AQ2728" i="10"/>
  <c r="AQ1665" i="10"/>
  <c r="AV2138" i="10"/>
  <c r="AK2580" i="10"/>
  <c r="AX1932" i="10"/>
  <c r="AK2584" i="10"/>
  <c r="AQ1831" i="10"/>
  <c r="AR1665" i="10"/>
  <c r="AX2524" i="10"/>
  <c r="AS2307" i="10"/>
  <c r="AW2307" i="10"/>
  <c r="AR2307" i="10"/>
  <c r="AS2146" i="10"/>
  <c r="AK2146" i="10"/>
  <c r="AR2146" i="10"/>
  <c r="AV2146" i="10"/>
  <c r="AW2146" i="10"/>
  <c r="AL2103" i="10"/>
  <c r="AT2103" i="10"/>
  <c r="AQ2103" i="10"/>
  <c r="AO2103" i="10"/>
  <c r="AM2092" i="10"/>
  <c r="AS2092" i="10"/>
  <c r="AR2092" i="10"/>
  <c r="AO2092" i="10"/>
  <c r="AX2025" i="10"/>
  <c r="AO2025" i="10"/>
  <c r="AV2025" i="10"/>
  <c r="AT2025" i="10"/>
  <c r="AM2025" i="10"/>
  <c r="AS2025" i="10"/>
  <c r="AS1786" i="10"/>
  <c r="AV1786" i="10"/>
  <c r="AO1786" i="10"/>
  <c r="AK1786" i="10"/>
  <c r="AU1786" i="10"/>
  <c r="AL1786" i="10"/>
  <c r="AQ1786" i="10"/>
  <c r="AN1786" i="10"/>
  <c r="AP1492" i="10"/>
  <c r="AV1492" i="10"/>
  <c r="AR1492" i="10"/>
  <c r="AU1134" i="10"/>
  <c r="AP1134" i="10"/>
  <c r="AV1134" i="10"/>
  <c r="AK1134" i="10"/>
  <c r="AQ1090" i="10"/>
  <c r="AP1090" i="10"/>
  <c r="AT1070" i="10"/>
  <c r="AO1070" i="10"/>
  <c r="AR1645" i="10"/>
  <c r="AO116" i="45"/>
  <c r="AU2050" i="10"/>
  <c r="AV2728" i="10"/>
  <c r="AQ2138" i="10"/>
  <c r="AR1212" i="10"/>
  <c r="AP2580" i="10"/>
  <c r="AW1898" i="10"/>
  <c r="AS1831" i="10"/>
  <c r="AP1665" i="10"/>
  <c r="AP2601" i="10"/>
  <c r="AU2601" i="10"/>
  <c r="AK2368" i="10"/>
  <c r="AR2368" i="10"/>
  <c r="AM2368" i="10"/>
  <c r="AL2368" i="10"/>
  <c r="AT2368" i="10"/>
  <c r="AV2368" i="10"/>
  <c r="AP2368" i="10"/>
  <c r="AQ2368" i="10"/>
  <c r="AO2368" i="10"/>
  <c r="AX2368" i="10"/>
  <c r="AS2348" i="10"/>
  <c r="AL2348" i="10"/>
  <c r="AU2286" i="10"/>
  <c r="AV2286" i="10"/>
  <c r="AQ2286" i="10"/>
  <c r="AK2286" i="10"/>
  <c r="AR2286" i="10"/>
  <c r="AW2286" i="10"/>
  <c r="AK2197" i="10"/>
  <c r="AO2197" i="10"/>
  <c r="AL2042" i="10"/>
  <c r="AM2042" i="10"/>
  <c r="AO2042" i="10"/>
  <c r="AP2042" i="10"/>
  <c r="AL1832" i="10"/>
  <c r="AM1832" i="10"/>
  <c r="AX1832" i="10"/>
  <c r="AT1832" i="10"/>
  <c r="AW1744" i="10"/>
  <c r="AS1744" i="10"/>
  <c r="AP1734" i="10"/>
  <c r="AU1734" i="10"/>
  <c r="AR1734" i="10"/>
  <c r="AO1734" i="10"/>
  <c r="AS1706" i="10"/>
  <c r="AN1706" i="10"/>
  <c r="AM1706" i="10"/>
  <c r="AR1706" i="10"/>
  <c r="AL1706" i="10"/>
  <c r="AV1706" i="10"/>
  <c r="AR1513" i="10"/>
  <c r="AT1513" i="10"/>
  <c r="AP1513" i="10"/>
  <c r="AU1513" i="10"/>
  <c r="AK1513" i="10"/>
  <c r="AO1513" i="10"/>
  <c r="AV1410" i="10"/>
  <c r="AS1410" i="10"/>
  <c r="AT1166" i="10"/>
  <c r="AS1166" i="10"/>
  <c r="AT1123" i="10"/>
  <c r="AQ1123" i="10"/>
  <c r="AL1123" i="10"/>
  <c r="AP1123" i="10"/>
  <c r="AN1123" i="10"/>
  <c r="AR1123" i="10"/>
  <c r="AU1123" i="10"/>
  <c r="AW1123" i="10"/>
  <c r="AM1123" i="10"/>
  <c r="AS1101" i="10"/>
  <c r="AQ1101" i="10"/>
  <c r="AM1101" i="10"/>
  <c r="AN1101" i="10"/>
  <c r="AJ1101" i="10"/>
  <c r="AX1101" i="10"/>
  <c r="AP1101" i="10"/>
  <c r="AL1101" i="10"/>
  <c r="AT1101" i="10"/>
  <c r="AU1101" i="10"/>
  <c r="AW1101" i="10"/>
  <c r="AF98" i="45"/>
  <c r="AO2728" i="10"/>
  <c r="AR2583" i="10"/>
  <c r="AU2580" i="10"/>
  <c r="AW2051" i="10"/>
  <c r="AM1665" i="10"/>
  <c r="AL1104" i="10"/>
  <c r="AQ964" i="10"/>
  <c r="AN2215" i="10"/>
  <c r="AP2215" i="10"/>
  <c r="AL2215" i="10"/>
  <c r="AV2215" i="10"/>
  <c r="AK2215" i="10"/>
  <c r="AO2024" i="10"/>
  <c r="AU2024" i="10"/>
  <c r="AS2001" i="10"/>
  <c r="AL2001" i="10"/>
  <c r="AP2001" i="10"/>
  <c r="AV1822" i="10"/>
  <c r="AU1822" i="10"/>
  <c r="AK1785" i="10"/>
  <c r="AT1785" i="10"/>
  <c r="AL1785" i="10"/>
  <c r="AU1785" i="10"/>
  <c r="AW1785" i="10"/>
  <c r="AK1671" i="10"/>
  <c r="AV1671" i="10"/>
  <c r="AS1533" i="10"/>
  <c r="AP1533" i="10"/>
  <c r="AK1533" i="10"/>
  <c r="AU1533" i="10"/>
  <c r="AJ1533" i="10"/>
  <c r="AR1533" i="10"/>
  <c r="AN1533" i="10"/>
  <c r="AM1533" i="10"/>
  <c r="AQ1533" i="10"/>
  <c r="AV1533" i="10"/>
  <c r="AT1176" i="10"/>
  <c r="AN1176" i="10"/>
  <c r="AS1155" i="10"/>
  <c r="AQ1155" i="10"/>
  <c r="AK1665" i="10"/>
  <c r="AX2285" i="10"/>
  <c r="AM2285" i="10"/>
  <c r="AT2285" i="10"/>
  <c r="AW2034" i="10"/>
  <c r="AO2034" i="10"/>
  <c r="AS2034" i="10"/>
  <c r="AU1831" i="10"/>
  <c r="AJ1831" i="10"/>
  <c r="AO1831" i="10"/>
  <c r="AL1831" i="10"/>
  <c r="AM1831" i="10"/>
  <c r="AT1831" i="10"/>
  <c r="AP1831" i="10"/>
  <c r="AR993" i="10"/>
  <c r="AW993" i="10"/>
  <c r="AK971" i="10"/>
  <c r="AJ971" i="10"/>
  <c r="AX971" i="10"/>
  <c r="AW971" i="10"/>
  <c r="AU2051" i="10"/>
  <c r="AR2367" i="10"/>
  <c r="AU2367" i="10"/>
  <c r="AX2367" i="10"/>
  <c r="AM2367" i="10"/>
  <c r="AN2367" i="10"/>
  <c r="AO2367" i="10"/>
  <c r="AQ2367" i="10"/>
  <c r="AK2367" i="10"/>
  <c r="AM2316" i="10"/>
  <c r="AU2316" i="10"/>
  <c r="AL1803" i="10"/>
  <c r="AS1803" i="10"/>
  <c r="AO1803" i="10"/>
  <c r="AW1803" i="10"/>
  <c r="AX1803" i="10"/>
  <c r="AK1803" i="10"/>
  <c r="AP1803" i="10"/>
  <c r="AT1803" i="10"/>
  <c r="AV1803" i="10"/>
  <c r="AM1229" i="10"/>
  <c r="AU1229" i="10"/>
  <c r="AQ1229" i="10"/>
  <c r="AR1229" i="10"/>
  <c r="AN1229" i="10"/>
  <c r="AT1229" i="10"/>
  <c r="AP1229" i="10"/>
  <c r="AK1229" i="10"/>
  <c r="AO1229" i="10"/>
  <c r="AS1229" i="10"/>
  <c r="AS1218" i="10"/>
  <c r="AT1218" i="10"/>
  <c r="AP1047" i="10"/>
  <c r="AQ1047" i="10"/>
  <c r="AT1047" i="10"/>
  <c r="AV1047" i="10"/>
  <c r="AX1047" i="10"/>
  <c r="AO1047" i="10"/>
  <c r="AM1047" i="10"/>
  <c r="AJ1047" i="10"/>
  <c r="AL1047" i="10"/>
  <c r="AW1047" i="10"/>
  <c r="AW1831" i="10"/>
  <c r="AQ2051" i="10"/>
  <c r="AN2050" i="10"/>
  <c r="AO2647" i="10"/>
  <c r="AN2647" i="10"/>
  <c r="AT2647" i="10"/>
  <c r="AK2647" i="10"/>
  <c r="AW2100" i="10"/>
  <c r="AX2100" i="10"/>
  <c r="AV2100" i="10"/>
  <c r="AT2100" i="10"/>
  <c r="AQ1887" i="10"/>
  <c r="AL1887" i="10"/>
  <c r="AK1887" i="10"/>
  <c r="AT1511" i="10"/>
  <c r="AV1511" i="10"/>
  <c r="AN1511" i="10"/>
  <c r="AK1511" i="10"/>
  <c r="AW1511" i="10"/>
  <c r="AS1511" i="10"/>
  <c r="AP1511" i="10"/>
  <c r="AO1511" i="10"/>
  <c r="AL1511" i="10"/>
  <c r="AT1430" i="10"/>
  <c r="AL1430" i="10"/>
  <c r="AX1430" i="10"/>
  <c r="AX1154" i="10"/>
  <c r="AU1154" i="10"/>
  <c r="AM2336" i="10"/>
  <c r="AV2336" i="10"/>
  <c r="AK2336" i="10"/>
  <c r="AP2174" i="10"/>
  <c r="AO2174" i="10"/>
  <c r="AX2174" i="10"/>
  <c r="AR2174" i="10"/>
  <c r="AL2134" i="10"/>
  <c r="AJ2134" i="10"/>
  <c r="AV2134" i="10"/>
  <c r="AW2134" i="10"/>
  <c r="AP2134" i="10"/>
  <c r="AN2134" i="10"/>
  <c r="AT2134" i="10"/>
  <c r="AR2134" i="10"/>
  <c r="AK2134" i="10"/>
  <c r="AS2134" i="10"/>
  <c r="AV2123" i="10"/>
  <c r="AO2123" i="10"/>
  <c r="AL2123" i="10"/>
  <c r="AQ2123" i="10"/>
  <c r="AT2123" i="10"/>
  <c r="AP2078" i="10"/>
  <c r="AM2078" i="10"/>
  <c r="AS2078" i="10"/>
  <c r="AW1916" i="10"/>
  <c r="AO1916" i="10"/>
  <c r="AL1906" i="10"/>
  <c r="AP1906" i="10"/>
  <c r="AK1906" i="10"/>
  <c r="AX1906" i="10"/>
  <c r="AS1906" i="10"/>
  <c r="AW1906" i="10"/>
  <c r="AV1906" i="10"/>
  <c r="AT1906" i="10"/>
  <c r="AL1562" i="10"/>
  <c r="AP1562" i="10"/>
  <c r="AL1521" i="10"/>
  <c r="AS1521" i="10"/>
  <c r="AT1521" i="10"/>
  <c r="AP1521" i="10"/>
  <c r="AV1521" i="10"/>
  <c r="AQ1521" i="10"/>
  <c r="AO1521" i="10"/>
  <c r="AW1185" i="10"/>
  <c r="AS1185" i="10"/>
  <c r="AW1174" i="10"/>
  <c r="AP1174" i="10"/>
  <c r="AR1174" i="10"/>
  <c r="AK1174" i="10"/>
  <c r="AN1174" i="10"/>
  <c r="AM1174" i="10"/>
  <c r="AU1174" i="10"/>
  <c r="AU1087" i="10"/>
  <c r="AJ1087" i="10"/>
  <c r="AM1087" i="10"/>
  <c r="AK1087" i="10"/>
  <c r="AQ1087" i="10"/>
  <c r="AN1087" i="10"/>
  <c r="AL1087" i="10"/>
  <c r="AR1087" i="10"/>
  <c r="AJ798" i="10"/>
  <c r="AW798" i="10"/>
  <c r="AX793" i="10"/>
  <c r="AW793" i="10"/>
  <c r="AW743" i="10"/>
  <c r="AV743" i="10"/>
  <c r="AQ116" i="45"/>
  <c r="AO107" i="45"/>
  <c r="AK2051" i="10"/>
  <c r="AS1403" i="10"/>
  <c r="AN2397" i="10"/>
  <c r="AV2397" i="10"/>
  <c r="AP2397" i="10"/>
  <c r="AQ2397" i="10"/>
  <c r="AN2386" i="10"/>
  <c r="AT2386" i="10"/>
  <c r="AP2386" i="10"/>
  <c r="AQ2386" i="10"/>
  <c r="AK2386" i="10"/>
  <c r="AU2386" i="10"/>
  <c r="AM2386" i="10"/>
  <c r="AX2386" i="10"/>
  <c r="AS2386" i="10"/>
  <c r="AL2099" i="10"/>
  <c r="AS2099" i="10"/>
  <c r="AK2099" i="10"/>
  <c r="AS1926" i="10"/>
  <c r="AR1926" i="10"/>
  <c r="AT1926" i="10"/>
  <c r="AU1886" i="10"/>
  <c r="AW1886" i="10"/>
  <c r="AV1886" i="10"/>
  <c r="AK1886" i="10"/>
  <c r="AO1270" i="10"/>
  <c r="AN1270" i="10"/>
  <c r="AK1077" i="10"/>
  <c r="AT1077" i="10"/>
  <c r="AV1077" i="10"/>
  <c r="AR1077" i="10"/>
  <c r="AU1077" i="10"/>
  <c r="AW764" i="10"/>
  <c r="AX764" i="10"/>
  <c r="AD107" i="45"/>
  <c r="AX2050" i="10"/>
  <c r="AW2583" i="10"/>
  <c r="AQ2073" i="10"/>
  <c r="AR2580" i="10"/>
  <c r="AK2648" i="10"/>
  <c r="AK1254" i="10"/>
  <c r="AW2497" i="10"/>
  <c r="AO2497" i="10"/>
  <c r="AN2477" i="10"/>
  <c r="AO2477" i="10"/>
  <c r="AR2477" i="10"/>
  <c r="AT2477" i="10"/>
  <c r="AX2477" i="10"/>
  <c r="AS2477" i="10"/>
  <c r="AK2477" i="10"/>
  <c r="AV2477" i="10"/>
  <c r="AU2477" i="10"/>
  <c r="AR1954" i="10"/>
  <c r="AQ1954" i="10"/>
  <c r="AU1954" i="10"/>
  <c r="AJ1712" i="10"/>
  <c r="AU1712" i="10"/>
  <c r="AQ1712" i="10"/>
  <c r="AK1712" i="10"/>
  <c r="AL1712" i="10"/>
  <c r="AS1712" i="10"/>
  <c r="AP1712" i="10"/>
  <c r="AM1712" i="10"/>
  <c r="AM1591" i="10"/>
  <c r="AV1591" i="10"/>
  <c r="AS1572" i="10"/>
  <c r="AT1572" i="10"/>
  <c r="AR1572" i="10"/>
  <c r="AM1572" i="10"/>
  <c r="AU1572" i="10"/>
  <c r="AN1572" i="10"/>
  <c r="AV1572" i="10"/>
  <c r="AP1572" i="10"/>
  <c r="AQ1572" i="10"/>
  <c r="AX1550" i="10"/>
  <c r="AS1550" i="10"/>
  <c r="AU1550" i="10"/>
  <c r="AM1550" i="10"/>
  <c r="AP1550" i="10"/>
  <c r="AN1550" i="10"/>
  <c r="AQ1550" i="10"/>
  <c r="AJ1531" i="10"/>
  <c r="AL1531" i="10"/>
  <c r="AQ1531" i="10"/>
  <c r="AW1531" i="10"/>
  <c r="AV1531" i="10"/>
  <c r="AM1531" i="10"/>
  <c r="AN1531" i="10"/>
  <c r="AP1531" i="10"/>
  <c r="AN1194" i="10"/>
  <c r="AK1194" i="10"/>
  <c r="AL1194" i="10"/>
  <c r="AS1194" i="10"/>
  <c r="AM1194" i="10"/>
  <c r="AN679" i="10"/>
  <c r="AM679" i="10"/>
  <c r="AK679" i="10"/>
  <c r="AJ679" i="10"/>
  <c r="AN1731" i="10"/>
  <c r="AU1731" i="10"/>
  <c r="AL1731" i="10"/>
  <c r="AO1731" i="10"/>
  <c r="AQ1731" i="10"/>
  <c r="AR1731" i="10"/>
  <c r="AP1731" i="10"/>
  <c r="AK1731" i="10"/>
  <c r="AS1731" i="10"/>
  <c r="AN1600" i="10"/>
  <c r="AU1600" i="10"/>
  <c r="AT1600" i="10"/>
  <c r="AS1600" i="10"/>
  <c r="AL1600" i="10"/>
  <c r="AK1600" i="10"/>
  <c r="AQ1600" i="10"/>
  <c r="AL1541" i="10"/>
  <c r="AP1541" i="10"/>
  <c r="AV1541" i="10"/>
  <c r="AS1541" i="10"/>
  <c r="AM1119" i="10"/>
  <c r="AU1119" i="10"/>
  <c r="AW857" i="10"/>
  <c r="AX857" i="10"/>
  <c r="AD116" i="45"/>
  <c r="AX2580" i="10"/>
  <c r="AQ2648" i="10"/>
  <c r="AT2628" i="10"/>
  <c r="AQ2324" i="10"/>
  <c r="AJ2324" i="10"/>
  <c r="AW2324" i="10"/>
  <c r="AR2324" i="10"/>
  <c r="AO2324" i="10"/>
  <c r="AP2324" i="10"/>
  <c r="AL2324" i="10"/>
  <c r="AT2272" i="10"/>
  <c r="AV2272" i="10"/>
  <c r="AW2272" i="10"/>
  <c r="AS2272" i="10"/>
  <c r="AJ2272" i="10"/>
  <c r="AQ1810" i="10"/>
  <c r="AO1810" i="10"/>
  <c r="AJ1810" i="10"/>
  <c r="AN1810" i="10"/>
  <c r="AM1619" i="10"/>
  <c r="AQ1619" i="10"/>
  <c r="AU1619" i="10"/>
  <c r="AV1619" i="10"/>
  <c r="AK1619" i="10"/>
  <c r="AP1373" i="10"/>
  <c r="AQ1373" i="10"/>
  <c r="AM1373" i="10"/>
  <c r="AM1341" i="10"/>
  <c r="AU1341" i="10"/>
  <c r="AW1300" i="10"/>
  <c r="AJ1300" i="10"/>
  <c r="AU1300" i="10"/>
  <c r="AR1300" i="10"/>
  <c r="AQ1300" i="10"/>
  <c r="AT1300" i="10"/>
  <c r="AO1300" i="10"/>
  <c r="AP1300" i="10"/>
  <c r="AT1289" i="10"/>
  <c r="AL1289" i="10"/>
  <c r="AN1269" i="10"/>
  <c r="AQ1269" i="10"/>
  <c r="AV1269" i="10"/>
  <c r="AK1237" i="10"/>
  <c r="AX1237" i="10"/>
  <c r="AN1237" i="10"/>
  <c r="AV1237" i="10"/>
  <c r="AL1237" i="10"/>
  <c r="AX1226" i="10"/>
  <c r="AW1226" i="10"/>
  <c r="AM1226" i="10"/>
  <c r="AT1226" i="10"/>
  <c r="AS1226" i="10"/>
  <c r="AQ1226" i="10"/>
  <c r="AU1226" i="10"/>
  <c r="AK1226" i="10"/>
  <c r="AP1226" i="10"/>
  <c r="AV1226" i="10"/>
  <c r="AP1215" i="10"/>
  <c r="AO1215" i="10"/>
  <c r="AO915" i="10"/>
  <c r="AX915" i="10"/>
  <c r="AK753" i="10"/>
  <c r="AH97" i="45"/>
  <c r="AW753" i="10"/>
  <c r="AQ106" i="45"/>
  <c r="AM107" i="45"/>
  <c r="AT2275" i="10"/>
  <c r="AL1775" i="10"/>
  <c r="AV2628" i="10"/>
  <c r="AO1962" i="10"/>
  <c r="AP1403" i="10"/>
  <c r="AL964" i="10"/>
  <c r="AT1931" i="10"/>
  <c r="AV2303" i="10"/>
  <c r="AN2303" i="10"/>
  <c r="AO2303" i="10"/>
  <c r="AU2303" i="10"/>
  <c r="AX2303" i="10"/>
  <c r="AP2303" i="10"/>
  <c r="AT1953" i="10"/>
  <c r="AN1953" i="10"/>
  <c r="AQ1247" i="10"/>
  <c r="AW1247" i="10"/>
  <c r="AO1247" i="10"/>
  <c r="AM1247" i="10"/>
  <c r="AP1247" i="10"/>
  <c r="AT1247" i="10"/>
  <c r="AQ842" i="10"/>
  <c r="AW842" i="10"/>
  <c r="AK830" i="10"/>
  <c r="AW830" i="10"/>
  <c r="AX830" i="10"/>
  <c r="AW808" i="10"/>
  <c r="AX808" i="10"/>
  <c r="AM2546" i="10"/>
  <c r="AN2546" i="10"/>
  <c r="AQ2546" i="10"/>
  <c r="AP2546" i="10"/>
  <c r="AM2536" i="10"/>
  <c r="AV2536" i="10"/>
  <c r="AN2536" i="10"/>
  <c r="AV2395" i="10"/>
  <c r="AL2395" i="10"/>
  <c r="AN2395" i="10"/>
  <c r="AM2395" i="10"/>
  <c r="AJ2323" i="10"/>
  <c r="AS2323" i="10"/>
  <c r="AT2323" i="10"/>
  <c r="AR2323" i="10"/>
  <c r="AK2323" i="10"/>
  <c r="AW1987" i="10"/>
  <c r="AV1987" i="10"/>
  <c r="AQ1974" i="10"/>
  <c r="AT1974" i="10"/>
  <c r="AP1974" i="10"/>
  <c r="AK1974" i="10"/>
  <c r="AP1863" i="10"/>
  <c r="AN1863" i="10"/>
  <c r="AT1372" i="10"/>
  <c r="AQ1372" i="10"/>
  <c r="AU1372" i="10"/>
  <c r="AK882" i="10"/>
  <c r="AX882" i="10"/>
  <c r="AW882" i="10"/>
  <c r="AM2073" i="10"/>
  <c r="AQ1212" i="10"/>
  <c r="AM2709" i="10"/>
  <c r="AS1932" i="10"/>
  <c r="AL1212" i="10"/>
  <c r="AS1995" i="10"/>
  <c r="AX2333" i="10"/>
  <c r="AU2333" i="10"/>
  <c r="AL2333" i="10"/>
  <c r="AS2008" i="10"/>
  <c r="AM2008" i="10"/>
  <c r="AX2008" i="10"/>
  <c r="AV1618" i="10"/>
  <c r="AR1618" i="10"/>
  <c r="AQ1618" i="10"/>
  <c r="AM1618" i="10"/>
  <c r="AT1618" i="10"/>
  <c r="AW900" i="10"/>
  <c r="AK900" i="10"/>
  <c r="AX900" i="10"/>
  <c r="AX891" i="10"/>
  <c r="AW891" i="10"/>
  <c r="AO841" i="10"/>
  <c r="AX841" i="10"/>
  <c r="AW841" i="10"/>
  <c r="AU817" i="10"/>
  <c r="AX817" i="10"/>
  <c r="AT1615" i="10"/>
  <c r="AO1597" i="10"/>
  <c r="AM976" i="10"/>
  <c r="AO2073" i="10"/>
  <c r="AD99" i="45"/>
  <c r="AH17" i="43" s="1"/>
  <c r="AW2275" i="10"/>
  <c r="AX2709" i="10"/>
  <c r="AX1775" i="10"/>
  <c r="AQ1932" i="10"/>
  <c r="AK2628" i="10"/>
  <c r="AK1212" i="10"/>
  <c r="AM2562" i="10"/>
  <c r="AT1995" i="10"/>
  <c r="AV1962" i="10"/>
  <c r="AX809" i="10"/>
  <c r="AV2373" i="10"/>
  <c r="AW2373" i="10"/>
  <c r="AW2029" i="10"/>
  <c r="AM2029" i="10"/>
  <c r="AQ2029" i="10"/>
  <c r="AL2029" i="10"/>
  <c r="AT2029" i="10"/>
  <c r="AS2029" i="10"/>
  <c r="AX2029" i="10"/>
  <c r="AP2029" i="10"/>
  <c r="AU1996" i="10"/>
  <c r="AT1996" i="10"/>
  <c r="AP1862" i="10"/>
  <c r="AX1862" i="10"/>
  <c r="AR1862" i="10"/>
  <c r="AW1862" i="10"/>
  <c r="AK1862" i="10"/>
  <c r="AK1549" i="10"/>
  <c r="AU1549" i="10"/>
  <c r="AQ1549" i="10"/>
  <c r="AT1549" i="10"/>
  <c r="AU1203" i="10"/>
  <c r="AR1203" i="10"/>
  <c r="AP1203" i="10"/>
  <c r="AV1203" i="10"/>
  <c r="AL1203" i="10"/>
  <c r="AO1203" i="10"/>
  <c r="AT1203" i="10"/>
  <c r="AW1203" i="10"/>
  <c r="AQ1203" i="10"/>
  <c r="AX1203" i="10"/>
  <c r="AK1203" i="10"/>
  <c r="AX851" i="10"/>
  <c r="AL851" i="10"/>
  <c r="AW851" i="10"/>
  <c r="AK2709" i="10"/>
  <c r="AL2562" i="10"/>
  <c r="AT2448" i="10"/>
  <c r="AU2448" i="10"/>
  <c r="AM2448" i="10"/>
  <c r="AO2448" i="10"/>
  <c r="AR2448" i="10"/>
  <c r="AW2448" i="10"/>
  <c r="AK2448" i="10"/>
  <c r="AX2448" i="10"/>
  <c r="AS2018" i="10"/>
  <c r="AV2018" i="10"/>
  <c r="AP2018" i="10"/>
  <c r="AW2018" i="10"/>
  <c r="AX2018" i="10"/>
  <c r="AL2006" i="10"/>
  <c r="AT2006" i="10"/>
  <c r="AP1973" i="10"/>
  <c r="AO1973" i="10"/>
  <c r="AK1973" i="10"/>
  <c r="AS1973" i="10"/>
  <c r="AV1973" i="10"/>
  <c r="AM1383" i="10"/>
  <c r="AT1383" i="10"/>
  <c r="AO1383" i="10"/>
  <c r="AP1383" i="10"/>
  <c r="AV1383" i="10"/>
  <c r="AL1383" i="10"/>
  <c r="AN1383" i="10"/>
  <c r="AQ999" i="10"/>
  <c r="AV999" i="10"/>
  <c r="AW899" i="10"/>
  <c r="AX899" i="10"/>
  <c r="AS2084" i="10"/>
  <c r="AS2524" i="10"/>
  <c r="AQ1615" i="10"/>
  <c r="AF116" i="45"/>
  <c r="AN1597" i="10"/>
  <c r="AW976" i="10"/>
  <c r="AP1645" i="10"/>
  <c r="U108" i="45"/>
  <c r="AR1775" i="10"/>
  <c r="AP1932" i="10"/>
  <c r="AO2285" i="10"/>
  <c r="AM1867" i="10"/>
  <c r="AO1212" i="10"/>
  <c r="AQ2562" i="10"/>
  <c r="AR2730" i="10"/>
  <c r="AM1218" i="10"/>
  <c r="AW2386" i="10"/>
  <c r="AX1973" i="10"/>
  <c r="AQ1513" i="10"/>
  <c r="AO1931" i="10"/>
  <c r="AM2064" i="10"/>
  <c r="AN2064" i="10"/>
  <c r="AV2064" i="10"/>
  <c r="AP2064" i="10"/>
  <c r="AR2064" i="10"/>
  <c r="AW1985" i="10"/>
  <c r="AT1985" i="10"/>
  <c r="AS1985" i="10"/>
  <c r="AL1922" i="10"/>
  <c r="AT1922" i="10"/>
  <c r="AS1922" i="10"/>
  <c r="AX1922" i="10"/>
  <c r="AN1656" i="10"/>
  <c r="AV1656" i="10"/>
  <c r="AJ1588" i="10"/>
  <c r="AU1588" i="10"/>
  <c r="AX1349" i="10"/>
  <c r="AJ1349" i="10"/>
  <c r="AM1349" i="10"/>
  <c r="AO1349" i="10"/>
  <c r="AK1349" i="10"/>
  <c r="AP1349" i="10"/>
  <c r="AN1349" i="10"/>
  <c r="AM1245" i="10"/>
  <c r="AV1245" i="10"/>
  <c r="AJ1031" i="10"/>
  <c r="AR1031" i="10"/>
  <c r="AP1031" i="10"/>
  <c r="AW1031" i="10"/>
  <c r="AK1031" i="10"/>
  <c r="AS1031" i="10"/>
  <c r="AN1031" i="10"/>
  <c r="AL1031" i="10"/>
  <c r="AT1031" i="10"/>
  <c r="AM1031" i="10"/>
  <c r="AO1031" i="10"/>
  <c r="AO693" i="10"/>
  <c r="AR666" i="10"/>
  <c r="AM628" i="10"/>
  <c r="AP693" i="10"/>
  <c r="AX683" i="10"/>
  <c r="AT671" i="10"/>
  <c r="AM666" i="10"/>
  <c r="AL628" i="10"/>
  <c r="AQ693" i="10"/>
  <c r="AT683" i="10"/>
  <c r="AR693" i="10"/>
  <c r="AR683" i="10"/>
  <c r="AS693" i="10"/>
  <c r="AQ683" i="10"/>
  <c r="AT693" i="10"/>
  <c r="AT1321" i="10"/>
  <c r="AO683" i="10"/>
  <c r="AU693" i="10"/>
  <c r="AL683" i="10"/>
  <c r="AV693" i="10"/>
  <c r="AK683" i="10"/>
  <c r="AW693" i="10"/>
  <c r="AL2179" i="10"/>
  <c r="AJ683" i="10"/>
  <c r="AX693" i="10"/>
  <c r="AJ687" i="10"/>
  <c r="AT628" i="10"/>
  <c r="AJ693" i="10"/>
  <c r="AU1899" i="10"/>
  <c r="AM1899" i="10"/>
  <c r="AM1879" i="10"/>
  <c r="AU1879" i="10"/>
  <c r="AR1879" i="10"/>
  <c r="AW1879" i="10"/>
  <c r="AQ1650" i="10"/>
  <c r="AU1650" i="10"/>
  <c r="AP1650" i="10"/>
  <c r="AV1650" i="10"/>
  <c r="AL1650" i="10"/>
  <c r="AK1438" i="10"/>
  <c r="AT1438" i="10"/>
  <c r="AO1899" i="10"/>
  <c r="AU1314" i="10"/>
  <c r="AU1438" i="10"/>
  <c r="AW1815" i="10"/>
  <c r="AT2268" i="10"/>
  <c r="AO1295" i="10"/>
  <c r="AK1458" i="10"/>
  <c r="AK2410" i="10"/>
  <c r="AO1314" i="10"/>
  <c r="AM1438" i="10"/>
  <c r="AW2526" i="10"/>
  <c r="AR1868" i="10"/>
  <c r="AV1659" i="10"/>
  <c r="AK1659" i="10"/>
  <c r="AT1659" i="10"/>
  <c r="AM1659" i="10"/>
  <c r="AL1659" i="10"/>
  <c r="AS1659" i="10"/>
  <c r="AV1322" i="10"/>
  <c r="AU1322" i="10"/>
  <c r="AQ1322" i="10"/>
  <c r="AK1322" i="10"/>
  <c r="AP1322" i="10"/>
  <c r="AR1322" i="10"/>
  <c r="AS1322" i="10"/>
  <c r="AU1085" i="10"/>
  <c r="AS1085" i="10"/>
  <c r="AR1085" i="10"/>
  <c r="AK1085" i="10"/>
  <c r="AN1085" i="10"/>
  <c r="AW1085" i="10"/>
  <c r="AX1085" i="10"/>
  <c r="AW825" i="10"/>
  <c r="AJ825" i="10"/>
  <c r="AR679" i="10"/>
  <c r="AQ679" i="10"/>
  <c r="AP679" i="10"/>
  <c r="AO679" i="10"/>
  <c r="AL679" i="10"/>
  <c r="AX679" i="10"/>
  <c r="AW679" i="10"/>
  <c r="AV679" i="10"/>
  <c r="AT679" i="10"/>
  <c r="AN1899" i="10"/>
  <c r="AN1314" i="10"/>
  <c r="AK1815" i="10"/>
  <c r="AM2268" i="10"/>
  <c r="AL1458" i="10"/>
  <c r="AQ2410" i="10"/>
  <c r="AW1438" i="10"/>
  <c r="AM2708" i="10"/>
  <c r="AX2584" i="10"/>
  <c r="AU2584" i="10"/>
  <c r="AR2409" i="10"/>
  <c r="AX2409" i="10"/>
  <c r="AW2409" i="10"/>
  <c r="AR1877" i="10"/>
  <c r="AK1877" i="10"/>
  <c r="AS1877" i="10"/>
  <c r="AR1842" i="10"/>
  <c r="AP1842" i="10"/>
  <c r="AT1677" i="10"/>
  <c r="AK1677" i="10"/>
  <c r="AX1065" i="10"/>
  <c r="AK1065" i="10"/>
  <c r="AQ1065" i="10"/>
  <c r="AU1065" i="10"/>
  <c r="AT1065" i="10"/>
  <c r="AW867" i="10"/>
  <c r="AR867" i="10"/>
  <c r="L114" i="45"/>
  <c r="G25" i="45"/>
  <c r="AL1879" i="10"/>
  <c r="AW1899" i="10"/>
  <c r="AM1314" i="10"/>
  <c r="AO1815" i="10"/>
  <c r="AV2268" i="10"/>
  <c r="AR2410" i="10"/>
  <c r="AX1458" i="10"/>
  <c r="AJ2410" i="10"/>
  <c r="AO1438" i="10"/>
  <c r="AQ2584" i="10"/>
  <c r="AN2653" i="10"/>
  <c r="AW2718" i="10"/>
  <c r="AL2563" i="10"/>
  <c r="AW2563" i="10"/>
  <c r="AN2421" i="10"/>
  <c r="AX2421" i="10"/>
  <c r="AV1718" i="10"/>
  <c r="AQ1718" i="10"/>
  <c r="AT1718" i="10"/>
  <c r="AS1709" i="10"/>
  <c r="AM1709" i="10"/>
  <c r="AV1709" i="10"/>
  <c r="AL1709" i="10"/>
  <c r="AO1709" i="10"/>
  <c r="AS1555" i="10"/>
  <c r="AP1555" i="10"/>
  <c r="AK1555" i="10"/>
  <c r="AN1555" i="10"/>
  <c r="AT1555" i="10"/>
  <c r="AU1524" i="10"/>
  <c r="AN1524" i="10"/>
  <c r="AT1282" i="10"/>
  <c r="AR1282" i="10"/>
  <c r="AN1282" i="10"/>
  <c r="AU1282" i="10"/>
  <c r="AK1282" i="10"/>
  <c r="AM1282" i="10"/>
  <c r="AV1282" i="10"/>
  <c r="AX1272" i="10"/>
  <c r="AP1272" i="10"/>
  <c r="AS1272" i="10"/>
  <c r="AT1272" i="10"/>
  <c r="AL1272" i="10"/>
  <c r="AK1272" i="10"/>
  <c r="AM1272" i="10"/>
  <c r="AO1272" i="10"/>
  <c r="AT1117" i="10"/>
  <c r="AV1117" i="10"/>
  <c r="AW846" i="10"/>
  <c r="AX846" i="10"/>
  <c r="AF105" i="45"/>
  <c r="AF87" i="45"/>
  <c r="AL1438" i="10"/>
  <c r="AK1899" i="10"/>
  <c r="AW1314" i="10"/>
  <c r="AQ1815" i="10"/>
  <c r="AQ2268" i="10"/>
  <c r="AR1458" i="10"/>
  <c r="AQ1438" i="10"/>
  <c r="AM2653" i="10"/>
  <c r="AT1868" i="10"/>
  <c r="AJ2584" i="10"/>
  <c r="AN1535" i="10"/>
  <c r="AX2307" i="10"/>
  <c r="AU2307" i="10"/>
  <c r="AL2307" i="10"/>
  <c r="AV2307" i="10"/>
  <c r="AO2148" i="10"/>
  <c r="AQ2148" i="10"/>
  <c r="AX2148" i="10"/>
  <c r="AK2148" i="10"/>
  <c r="AP2148" i="10"/>
  <c r="AL2148" i="10"/>
  <c r="AT2148" i="10"/>
  <c r="AU1926" i="10"/>
  <c r="AW1926" i="10"/>
  <c r="AL1926" i="10"/>
  <c r="AN1916" i="10"/>
  <c r="AK1916" i="10"/>
  <c r="AR1916" i="10"/>
  <c r="AP1916" i="10"/>
  <c r="AU1916" i="10"/>
  <c r="AU1685" i="10"/>
  <c r="AQ1685" i="10"/>
  <c r="AM1685" i="10"/>
  <c r="AO1084" i="10"/>
  <c r="AN1084" i="10"/>
  <c r="AJ1054" i="10"/>
  <c r="AQ1054" i="10"/>
  <c r="AS1054" i="10"/>
  <c r="AL1054" i="10"/>
  <c r="AM1054" i="10"/>
  <c r="AV1054" i="10"/>
  <c r="AK1054" i="10"/>
  <c r="AT1054" i="10"/>
  <c r="AN1054" i="10"/>
  <c r="AL949" i="10"/>
  <c r="AO949" i="10"/>
  <c r="L115" i="45"/>
  <c r="N19" i="43" s="1"/>
  <c r="AR1899" i="10"/>
  <c r="AR2708" i="10"/>
  <c r="AH87" i="45"/>
  <c r="N105" i="45"/>
  <c r="AD96" i="45"/>
  <c r="W52" i="45"/>
  <c r="AO1190" i="10"/>
  <c r="AX1314" i="10"/>
  <c r="AM1622" i="10"/>
  <c r="AP2268" i="10"/>
  <c r="AN1458" i="10"/>
  <c r="AP1294" i="10"/>
  <c r="AP1438" i="10"/>
  <c r="AL2221" i="10"/>
  <c r="AO2653" i="10"/>
  <c r="AW875" i="10"/>
  <c r="AL1868" i="10"/>
  <c r="AN1890" i="10"/>
  <c r="AU2718" i="10"/>
  <c r="AL2535" i="10"/>
  <c r="AK1926" i="10"/>
  <c r="AX2453" i="10"/>
  <c r="AW2453" i="10"/>
  <c r="AN2453" i="10"/>
  <c r="AQ2337" i="10"/>
  <c r="AT2337" i="10"/>
  <c r="AV1974" i="10"/>
  <c r="AX1974" i="10"/>
  <c r="AR1906" i="10"/>
  <c r="AQ1906" i="10"/>
  <c r="AV1727" i="10"/>
  <c r="AQ1727" i="10"/>
  <c r="AS1727" i="10"/>
  <c r="AU1727" i="10"/>
  <c r="AN1727" i="10"/>
  <c r="AT1727" i="10"/>
  <c r="AM1727" i="10"/>
  <c r="AL1727" i="10"/>
  <c r="AX1727" i="10"/>
  <c r="AK1727" i="10"/>
  <c r="AN1717" i="10"/>
  <c r="AR1648" i="10"/>
  <c r="AV1648" i="10"/>
  <c r="AK1648" i="10"/>
  <c r="AQ1648" i="10"/>
  <c r="AW1494" i="10"/>
  <c r="AP1494" i="10"/>
  <c r="AS1494" i="10"/>
  <c r="AU1494" i="10"/>
  <c r="AR1494" i="10"/>
  <c r="AL1494" i="10"/>
  <c r="AX1475" i="10"/>
  <c r="AN1475" i="10"/>
  <c r="AU1331" i="10"/>
  <c r="AP1331" i="10"/>
  <c r="AJ1331" i="10"/>
  <c r="AL1331" i="10"/>
  <c r="AV1331" i="10"/>
  <c r="AQ1312" i="10"/>
  <c r="AV1312" i="10"/>
  <c r="AO1312" i="10"/>
  <c r="AX1312" i="10"/>
  <c r="AT1312" i="10"/>
  <c r="AU1312" i="10"/>
  <c r="AO990" i="10"/>
  <c r="AT990" i="10"/>
  <c r="G79" i="45"/>
  <c r="P24" i="45"/>
  <c r="AM876" i="10"/>
  <c r="AH105" i="45"/>
  <c r="AT1190" i="10"/>
  <c r="AW1190" i="10"/>
  <c r="AQ1190" i="10"/>
  <c r="AR1314" i="10"/>
  <c r="AT1295" i="10"/>
  <c r="AJ2268" i="10"/>
  <c r="AQ1458" i="10"/>
  <c r="AN1438" i="10"/>
  <c r="AK1314" i="10"/>
  <c r="AM2409" i="10"/>
  <c r="AM2535" i="10"/>
  <c r="AV2727" i="10"/>
  <c r="AN2727" i="10"/>
  <c r="AM2727" i="10"/>
  <c r="AO2486" i="10"/>
  <c r="AS2486" i="10"/>
  <c r="AT1944" i="10"/>
  <c r="AX1944" i="10"/>
  <c r="AR1944" i="10"/>
  <c r="AM1944" i="10"/>
  <c r="AU1850" i="10"/>
  <c r="AW1850" i="10"/>
  <c r="AU1342" i="10"/>
  <c r="AJ1342" i="10"/>
  <c r="AQ1342" i="10"/>
  <c r="AK1342" i="10"/>
  <c r="AV1342" i="10"/>
  <c r="AO1342" i="10"/>
  <c r="AK1001" i="10"/>
  <c r="AS1001" i="10"/>
  <c r="AR1001" i="10"/>
  <c r="AP1001" i="10"/>
  <c r="AX865" i="10"/>
  <c r="AW865" i="10"/>
  <c r="AV1190" i="10"/>
  <c r="AP1190" i="10"/>
  <c r="AJ1314" i="10"/>
  <c r="AM1295" i="10"/>
  <c r="AT2457" i="10"/>
  <c r="AU2268" i="10"/>
  <c r="AR1438" i="10"/>
  <c r="AO2409" i="10"/>
  <c r="AM1995" i="10"/>
  <c r="AW1995" i="10"/>
  <c r="AR1953" i="10"/>
  <c r="AW1953" i="10"/>
  <c r="AQ1953" i="10"/>
  <c r="AM1953" i="10"/>
  <c r="AV1953" i="10"/>
  <c r="AO1953" i="10"/>
  <c r="AP1953" i="10"/>
  <c r="AK1953" i="10"/>
  <c r="AV1735" i="10"/>
  <c r="AQ1735" i="10"/>
  <c r="AN1735" i="10"/>
  <c r="AU1735" i="10"/>
  <c r="AM1126" i="10"/>
  <c r="AO1126" i="10"/>
  <c r="AK1126" i="10"/>
  <c r="AW1126" i="10"/>
  <c r="AN1105" i="10"/>
  <c r="AM1105" i="10"/>
  <c r="AX864" i="10"/>
  <c r="AW864" i="10"/>
  <c r="E61" i="45"/>
  <c r="G42" i="45"/>
  <c r="W16" i="45"/>
  <c r="N87" i="45"/>
  <c r="AV1458" i="10"/>
  <c r="C79" i="45"/>
  <c r="D15" i="43" s="1"/>
  <c r="AN1190" i="10"/>
  <c r="AS1295" i="10"/>
  <c r="AL2457" i="10"/>
  <c r="AK1622" i="10"/>
  <c r="AW2268" i="10"/>
  <c r="AV2699" i="10"/>
  <c r="AX1438" i="10"/>
  <c r="AS2221" i="10"/>
  <c r="AP2653" i="10"/>
  <c r="AK1868" i="10"/>
  <c r="AV2207" i="10"/>
  <c r="AK2727" i="10"/>
  <c r="AV2409" i="10"/>
  <c r="AW1944" i="10"/>
  <c r="AM1926" i="10"/>
  <c r="AM1065" i="10"/>
  <c r="AP1659" i="10"/>
  <c r="AK2103" i="10"/>
  <c r="AV2103" i="10"/>
  <c r="AS2103" i="10"/>
  <c r="AT2092" i="10"/>
  <c r="AN2092" i="10"/>
  <c r="AW2092" i="10"/>
  <c r="AK2092" i="10"/>
  <c r="AP2092" i="10"/>
  <c r="AX1503" i="10"/>
  <c r="AV1503" i="10"/>
  <c r="AM1146" i="10"/>
  <c r="AW1146" i="10"/>
  <c r="AX1146" i="10"/>
  <c r="AK1074" i="10"/>
  <c r="AT1074" i="10"/>
  <c r="AU1074" i="10"/>
  <c r="AW1074" i="10"/>
  <c r="L33" i="45"/>
  <c r="C42" i="45"/>
  <c r="C115" i="45"/>
  <c r="N24" i="45"/>
  <c r="AW1458" i="10"/>
  <c r="G61" i="45"/>
  <c r="AU1190" i="10"/>
  <c r="AO2507" i="10"/>
  <c r="AR1295" i="10"/>
  <c r="AR2457" i="10"/>
  <c r="AS2268" i="10"/>
  <c r="AS1438" i="10"/>
  <c r="AL2653" i="10"/>
  <c r="AW1868" i="10"/>
  <c r="AS1065" i="10"/>
  <c r="AP2409" i="10"/>
  <c r="AL1065" i="10"/>
  <c r="AS2638" i="10"/>
  <c r="AQ2638" i="10"/>
  <c r="AK1744" i="10"/>
  <c r="AL1744" i="10"/>
  <c r="AN1744" i="10"/>
  <c r="AV1744" i="10"/>
  <c r="AQ1394" i="10"/>
  <c r="AN1394" i="10"/>
  <c r="AT1270" i="10"/>
  <c r="AX1270" i="10"/>
  <c r="AV1135" i="10"/>
  <c r="AX1135" i="10"/>
  <c r="AV1073" i="10"/>
  <c r="AR1073" i="10"/>
  <c r="AN1073" i="10"/>
  <c r="AU1073" i="10"/>
  <c r="AX1073" i="10"/>
  <c r="AL1073" i="10"/>
  <c r="AQ1073" i="10"/>
  <c r="AS1073" i="10"/>
  <c r="L42" i="45"/>
  <c r="L87" i="45"/>
  <c r="E60" i="45"/>
  <c r="AJ1458" i="10"/>
  <c r="P88" i="45"/>
  <c r="AR1190" i="10"/>
  <c r="AT2718" i="10"/>
  <c r="AK1295" i="10"/>
  <c r="AV2457" i="10"/>
  <c r="AR1546" i="10"/>
  <c r="AR2268" i="10"/>
  <c r="AM2699" i="10"/>
  <c r="AJ1438" i="10"/>
  <c r="AX1868" i="10"/>
  <c r="AS2207" i="10"/>
  <c r="AN1065" i="10"/>
  <c r="AK2535" i="10"/>
  <c r="AU1944" i="10"/>
  <c r="AL1944" i="10"/>
  <c r="AN2307" i="10"/>
  <c r="AN1001" i="10"/>
  <c r="AU1001" i="10"/>
  <c r="AO1065" i="10"/>
  <c r="AO1659" i="10"/>
  <c r="AV2081" i="10"/>
  <c r="AP2081" i="10"/>
  <c r="AQ2081" i="10"/>
  <c r="AW2081" i="10"/>
  <c r="AK2081" i="10"/>
  <c r="AT2081" i="10"/>
  <c r="AU2016" i="10"/>
  <c r="AR2016" i="10"/>
  <c r="AX1734" i="10"/>
  <c r="AQ1734" i="10"/>
  <c r="AT1562" i="10"/>
  <c r="AN1562" i="10"/>
  <c r="AU1562" i="10"/>
  <c r="AX1562" i="10"/>
  <c r="AV1562" i="10"/>
  <c r="AQ1562" i="10"/>
  <c r="AR1562" i="10"/>
  <c r="AS1562" i="10"/>
  <c r="AM1562" i="10"/>
  <c r="AX1532" i="10"/>
  <c r="AW1532" i="10"/>
  <c r="AO1290" i="10"/>
  <c r="AP1290" i="10"/>
  <c r="AP1156" i="10"/>
  <c r="AK1156" i="10"/>
  <c r="AW1156" i="10"/>
  <c r="AX1156" i="10"/>
  <c r="AW1145" i="10"/>
  <c r="AX1145" i="10"/>
  <c r="AH89" i="45"/>
  <c r="AO2719" i="10"/>
  <c r="P97" i="45"/>
  <c r="U52" i="45"/>
  <c r="N60" i="45"/>
  <c r="C87" i="45"/>
  <c r="G60" i="45"/>
  <c r="E69" i="45"/>
  <c r="Y16" i="45"/>
  <c r="G24" i="45"/>
  <c r="AV1719" i="10"/>
  <c r="AM1719" i="10"/>
  <c r="AX2200" i="10"/>
  <c r="AM1190" i="10"/>
  <c r="AL1190" i="10"/>
  <c r="AP1295" i="10"/>
  <c r="AW2457" i="10"/>
  <c r="AL2699" i="10"/>
  <c r="AO1868" i="10"/>
  <c r="AP1065" i="10"/>
  <c r="AQ1944" i="10"/>
  <c r="AQ2535" i="10"/>
  <c r="AV1944" i="10"/>
  <c r="AT1650" i="10"/>
  <c r="AN1879" i="10"/>
  <c r="AW1065" i="10"/>
  <c r="AX2637" i="10"/>
  <c r="AL2637" i="10"/>
  <c r="AU2637" i="10"/>
  <c r="AQ2060" i="10"/>
  <c r="AR2060" i="10"/>
  <c r="AV2060" i="10"/>
  <c r="AK2060" i="10"/>
  <c r="AT2060" i="10"/>
  <c r="AL1993" i="10"/>
  <c r="AU1993" i="10"/>
  <c r="AN1993" i="10"/>
  <c r="AM1993" i="10"/>
  <c r="AQ1993" i="10"/>
  <c r="AK1572" i="10"/>
  <c r="AP1176" i="10"/>
  <c r="AW1176" i="10"/>
  <c r="AU1176" i="10"/>
  <c r="AK1176" i="10"/>
  <c r="AQ1134" i="10"/>
  <c r="AM1134" i="10"/>
  <c r="AT1134" i="10"/>
  <c r="AW1134" i="10"/>
  <c r="AO1134" i="10"/>
  <c r="AS1134" i="10"/>
  <c r="AR1134" i="10"/>
  <c r="AX820" i="10"/>
  <c r="AW820" i="10"/>
  <c r="AX1190" i="10"/>
  <c r="AQ1295" i="10"/>
  <c r="AN2457" i="10"/>
  <c r="AQ2507" i="10"/>
  <c r="AW876" i="10"/>
  <c r="AP2718" i="10"/>
  <c r="AV2535" i="10"/>
  <c r="AR2718" i="10"/>
  <c r="AN1650" i="10"/>
  <c r="AX1879" i="10"/>
  <c r="AR1065" i="10"/>
  <c r="AR1774" i="10"/>
  <c r="AQ1774" i="10"/>
  <c r="AL1774" i="10"/>
  <c r="AK1774" i="10"/>
  <c r="AT1774" i="10"/>
  <c r="AN1403" i="10"/>
  <c r="AQ1403" i="10"/>
  <c r="AR1393" i="10"/>
  <c r="AQ1393" i="10"/>
  <c r="AL1393" i="10"/>
  <c r="AO1393" i="10"/>
  <c r="AJ1393" i="10"/>
  <c r="AN1393" i="10"/>
  <c r="AT1393" i="10"/>
  <c r="AM1393" i="10"/>
  <c r="AP1393" i="10"/>
  <c r="AM1195" i="10"/>
  <c r="AX1195" i="10"/>
  <c r="AQ1195" i="10"/>
  <c r="C78" i="45"/>
  <c r="AK1879" i="10"/>
  <c r="AP1719" i="10"/>
  <c r="AJ1879" i="10"/>
  <c r="AL2200" i="10"/>
  <c r="AJ1190" i="10"/>
  <c r="AV1295" i="10"/>
  <c r="AU2457" i="10"/>
  <c r="AS2699" i="10"/>
  <c r="AU1868" i="10"/>
  <c r="AQ1842" i="10"/>
  <c r="AP1631" i="10"/>
  <c r="AX2507" i="10"/>
  <c r="AT2535" i="10"/>
  <c r="AT2526" i="10"/>
  <c r="AW2507" i="10"/>
  <c r="AM2718" i="10"/>
  <c r="AM1650" i="10"/>
  <c r="AT1879" i="10"/>
  <c r="AS2189" i="10"/>
  <c r="AN2452" i="10"/>
  <c r="AT2452" i="10"/>
  <c r="AX2123" i="10"/>
  <c r="AK2123" i="10"/>
  <c r="AM2123" i="10"/>
  <c r="AW2123" i="10"/>
  <c r="AK2100" i="10"/>
  <c r="AL2100" i="10"/>
  <c r="AQ2100" i="10"/>
  <c r="AO2100" i="10"/>
  <c r="AJ1144" i="10"/>
  <c r="AX1144" i="10"/>
  <c r="AT1144" i="10"/>
  <c r="AQ1144" i="10"/>
  <c r="AU1144" i="10"/>
  <c r="AR1144" i="10"/>
  <c r="AU1719" i="10"/>
  <c r="AV1879" i="10"/>
  <c r="AU2200" i="10"/>
  <c r="AN1295" i="10"/>
  <c r="AM2457" i="10"/>
  <c r="AO115" i="45"/>
  <c r="AW2410" i="10"/>
  <c r="AV1622" i="10"/>
  <c r="AT2699" i="10"/>
  <c r="AL1622" i="10"/>
  <c r="AN1868" i="10"/>
  <c r="AV2486" i="10"/>
  <c r="AR2507" i="10"/>
  <c r="AP2535" i="10"/>
  <c r="AX2526" i="10"/>
  <c r="AN2207" i="10"/>
  <c r="AV2507" i="10"/>
  <c r="AN2718" i="10"/>
  <c r="AP1879" i="10"/>
  <c r="AR1650" i="10"/>
  <c r="AS1879" i="10"/>
  <c r="AP1085" i="10"/>
  <c r="AU2189" i="10"/>
  <c r="AN1659" i="10"/>
  <c r="AU2724" i="10"/>
  <c r="AO2724" i="10"/>
  <c r="AV1598" i="10"/>
  <c r="AR1598" i="10"/>
  <c r="AM1598" i="10"/>
  <c r="AL1598" i="10"/>
  <c r="AQ1598" i="10"/>
  <c r="AN1598" i="10"/>
  <c r="AO1598" i="10"/>
  <c r="AT1598" i="10"/>
  <c r="AP1443" i="10"/>
  <c r="AQ1443" i="10"/>
  <c r="AL1443" i="10"/>
  <c r="AS1443" i="10"/>
  <c r="AT1443" i="10"/>
  <c r="AX1443" i="10"/>
  <c r="AO1443" i="10"/>
  <c r="AP1422" i="10"/>
  <c r="AX1422" i="10"/>
  <c r="AK1422" i="10"/>
  <c r="AL1422" i="10"/>
  <c r="AN1422" i="10"/>
  <c r="AR1422" i="10"/>
  <c r="AV1422" i="10"/>
  <c r="AM1422" i="10"/>
  <c r="AW1422" i="10"/>
  <c r="AT1412" i="10"/>
  <c r="AM1412" i="10"/>
  <c r="AP1412" i="10"/>
  <c r="AX1412" i="10"/>
  <c r="AN1412" i="10"/>
  <c r="AV1412" i="10"/>
  <c r="AO1412" i="10"/>
  <c r="AW1327" i="10"/>
  <c r="AT1327" i="10"/>
  <c r="AO1327" i="10"/>
  <c r="AM1327" i="10"/>
  <c r="AJ1194" i="10"/>
  <c r="AV1194" i="10"/>
  <c r="AL1185" i="10"/>
  <c r="AJ1185" i="10"/>
  <c r="AK944" i="10"/>
  <c r="AX944" i="10"/>
  <c r="AX789" i="10"/>
  <c r="AW789" i="10"/>
  <c r="AL690" i="10"/>
  <c r="AK690" i="10"/>
  <c r="AJ690" i="10"/>
  <c r="AX690" i="10"/>
  <c r="AW690" i="10"/>
  <c r="AV690" i="10"/>
  <c r="AU690" i="10"/>
  <c r="AT690" i="10"/>
  <c r="AR690" i="10"/>
  <c r="AQ690" i="10"/>
  <c r="AP690" i="10"/>
  <c r="AN690" i="10"/>
  <c r="AO1719" i="10"/>
  <c r="AT2200" i="10"/>
  <c r="AU1295" i="10"/>
  <c r="AS2457" i="10"/>
  <c r="AM2410" i="10"/>
  <c r="AM1868" i="10"/>
  <c r="AU2486" i="10"/>
  <c r="AR1535" i="10"/>
  <c r="AR2535" i="10"/>
  <c r="AQ2526" i="10"/>
  <c r="AK2207" i="10"/>
  <c r="AT2507" i="10"/>
  <c r="AR1272" i="10"/>
  <c r="AS1650" i="10"/>
  <c r="AO1085" i="10"/>
  <c r="AM1774" i="10"/>
  <c r="AV1961" i="10"/>
  <c r="AT1961" i="10"/>
  <c r="C15" i="45"/>
  <c r="N51" i="45"/>
  <c r="G106" i="45"/>
  <c r="G78" i="45"/>
  <c r="W70" i="45"/>
  <c r="C34" i="45"/>
  <c r="D10" i="43" s="1"/>
  <c r="E79" i="45"/>
  <c r="E70" i="45"/>
  <c r="AU1815" i="10"/>
  <c r="AO1879" i="10"/>
  <c r="AR1719" i="10"/>
  <c r="E15" i="45"/>
  <c r="AK1719" i="10"/>
  <c r="AR2200" i="10"/>
  <c r="AX1295" i="10"/>
  <c r="AK2457" i="10"/>
  <c r="AX2410" i="10"/>
  <c r="AQ1868" i="10"/>
  <c r="AW868" i="10"/>
  <c r="AS2535" i="10"/>
  <c r="AN2507" i="10"/>
  <c r="AO1650" i="10"/>
  <c r="AK1616" i="10"/>
  <c r="AP1616" i="10"/>
  <c r="AV1616" i="10"/>
  <c r="AN1616" i="10"/>
  <c r="AS1616" i="10"/>
  <c r="AL1570" i="10"/>
  <c r="AV1570" i="10"/>
  <c r="AO1369" i="10"/>
  <c r="AV1369" i="10"/>
  <c r="L97" i="45"/>
  <c r="N17" i="43" s="1"/>
  <c r="AT1719" i="10"/>
  <c r="E34" i="45"/>
  <c r="AH96" i="45"/>
  <c r="AJ1719" i="10"/>
  <c r="AX1650" i="10"/>
  <c r="AW2200" i="10"/>
  <c r="AJ1295" i="10"/>
  <c r="AQ2457" i="10"/>
  <c r="AV1438" i="10"/>
  <c r="AP2410" i="10"/>
  <c r="AQ2719" i="10"/>
  <c r="AW1322" i="10"/>
  <c r="AK1650" i="10"/>
  <c r="AW1774" i="10"/>
  <c r="AV1393" i="10"/>
  <c r="AO1555" i="10"/>
  <c r="AQ2426" i="10"/>
  <c r="AW2426" i="10"/>
  <c r="AV1480" i="10"/>
  <c r="AK1480" i="10"/>
  <c r="AS1480" i="10"/>
  <c r="AU1480" i="10"/>
  <c r="AS1184" i="10"/>
  <c r="AK1184" i="10"/>
  <c r="AT1184" i="10"/>
  <c r="AP1184" i="10"/>
  <c r="AV1173" i="10"/>
  <c r="AU1173" i="10"/>
  <c r="AS2200" i="10"/>
  <c r="AS1190" i="10"/>
  <c r="AW1295" i="10"/>
  <c r="AX2457" i="10"/>
  <c r="AV2410" i="10"/>
  <c r="AN2719" i="10"/>
  <c r="AQ2435" i="10"/>
  <c r="AP2708" i="10"/>
  <c r="AU2153" i="10"/>
  <c r="AR2153" i="10"/>
  <c r="AP1799" i="10"/>
  <c r="AO1799" i="10"/>
  <c r="AL1799" i="10"/>
  <c r="AT1799" i="10"/>
  <c r="AS1204" i="10"/>
  <c r="AK1204" i="10"/>
  <c r="AX911" i="10"/>
  <c r="AW911" i="10"/>
  <c r="N88" i="45"/>
  <c r="N97" i="45"/>
  <c r="AW1650" i="10"/>
  <c r="AK2200" i="10"/>
  <c r="AT1815" i="10"/>
  <c r="AP2457" i="10"/>
  <c r="AP1815" i="10"/>
  <c r="AU2410" i="10"/>
  <c r="AT2719" i="10"/>
  <c r="AL2584" i="10"/>
  <c r="AP2507" i="10"/>
  <c r="AW2535" i="10"/>
  <c r="AP2436" i="10"/>
  <c r="AQ2436" i="10"/>
  <c r="AX2222" i="10"/>
  <c r="AQ2222" i="10"/>
  <c r="AP2222" i="10"/>
  <c r="AT1855" i="10"/>
  <c r="AQ1855" i="10"/>
  <c r="AN1855" i="10"/>
  <c r="AV1855" i="10"/>
  <c r="AV2200" i="10"/>
  <c r="AQ2200" i="10"/>
  <c r="AW2555" i="10"/>
  <c r="C96" i="45"/>
  <c r="AV876" i="10"/>
  <c r="AM1815" i="10"/>
  <c r="AP1314" i="10"/>
  <c r="AL1815" i="10"/>
  <c r="AT2410" i="10"/>
  <c r="AT2708" i="10"/>
  <c r="AS2690" i="10"/>
  <c r="AN2690" i="10"/>
  <c r="AU1488" i="10"/>
  <c r="AW1488" i="10"/>
  <c r="AM1488" i="10"/>
  <c r="AN1488" i="10"/>
  <c r="AU1430" i="10"/>
  <c r="AK1430" i="10"/>
  <c r="AS1245" i="10"/>
  <c r="AR1245" i="10"/>
  <c r="AK1245" i="10"/>
  <c r="AP1245" i="10"/>
  <c r="AL1068" i="10"/>
  <c r="AM1068" i="10"/>
  <c r="AN1068" i="10"/>
  <c r="AS1068" i="10"/>
  <c r="AO1068" i="10"/>
  <c r="AP1068" i="10"/>
  <c r="AQ1068" i="10"/>
  <c r="AX1068" i="10"/>
  <c r="AK1068" i="10"/>
  <c r="AH114" i="45"/>
  <c r="AO2200" i="10"/>
  <c r="AP2200" i="10"/>
  <c r="AX2555" i="10"/>
  <c r="AT876" i="10"/>
  <c r="AX2268" i="10"/>
  <c r="AT1314" i="10"/>
  <c r="AR1815" i="10"/>
  <c r="AU1458" i="10"/>
  <c r="AS2410" i="10"/>
  <c r="AW2708" i="10"/>
  <c r="AQ2653" i="10"/>
  <c r="AW2653" i="10"/>
  <c r="AX1517" i="10"/>
  <c r="AT1517" i="10"/>
  <c r="AL1517" i="10"/>
  <c r="AM1517" i="10"/>
  <c r="AV1517" i="10"/>
  <c r="AS1517" i="10"/>
  <c r="AK1517" i="10"/>
  <c r="AO1517" i="10"/>
  <c r="AN1517" i="10"/>
  <c r="AN2200" i="10"/>
  <c r="AR2555" i="10"/>
  <c r="AS876" i="10"/>
  <c r="AK2268" i="10"/>
  <c r="AL1314" i="10"/>
  <c r="AX1815" i="10"/>
  <c r="AL2268" i="10"/>
  <c r="AS1458" i="10"/>
  <c r="AL2410" i="10"/>
  <c r="AV2584" i="10"/>
  <c r="AT1842" i="10"/>
  <c r="AX2708" i="10"/>
  <c r="AT2230" i="10"/>
  <c r="AP2230" i="10"/>
  <c r="AQ2230" i="10"/>
  <c r="AK1641" i="10"/>
  <c r="AQ1641" i="10"/>
  <c r="AS1641" i="10"/>
  <c r="AX1057" i="10"/>
  <c r="AT1057" i="10"/>
  <c r="AN1057" i="10"/>
  <c r="AM1057" i="10"/>
  <c r="AU1057" i="10"/>
  <c r="AK1057" i="10"/>
  <c r="AQ1057" i="10"/>
  <c r="Y25" i="45"/>
  <c r="AO876" i="10"/>
  <c r="AK2718" i="10"/>
  <c r="AS1314" i="10"/>
  <c r="AS1815" i="10"/>
  <c r="AP1458" i="10"/>
  <c r="AP2584" i="10"/>
  <c r="AK2708" i="10"/>
  <c r="AT1185" i="10"/>
  <c r="AK2546" i="10"/>
  <c r="AX2546" i="10"/>
  <c r="AS2546" i="10"/>
  <c r="AU2546" i="10"/>
  <c r="AS1853" i="10"/>
  <c r="AN1853" i="10"/>
  <c r="AL1586" i="10"/>
  <c r="AQ1586" i="10"/>
  <c r="AR1526" i="10"/>
  <c r="AQ1526" i="10"/>
  <c r="AM1526" i="10"/>
  <c r="AU1526" i="10"/>
  <c r="AO1526" i="10"/>
  <c r="AJ876" i="10"/>
  <c r="AO1062" i="10"/>
  <c r="AX824" i="10"/>
  <c r="AQ1174" i="10"/>
  <c r="AW947" i="10"/>
  <c r="AX662" i="10"/>
  <c r="AW662" i="10"/>
  <c r="AV662" i="10"/>
  <c r="AW666" i="10"/>
  <c r="AT662" i="10"/>
  <c r="AR671" i="10"/>
  <c r="AS666" i="10"/>
  <c r="AQ662" i="10"/>
  <c r="AK671" i="10"/>
  <c r="AK666" i="10"/>
  <c r="AN662" i="10"/>
  <c r="AX625" i="10"/>
  <c r="AW625" i="10"/>
  <c r="AV625" i="10"/>
  <c r="AU625" i="10"/>
  <c r="AT625" i="10"/>
  <c r="AS625" i="10"/>
  <c r="AR625" i="10"/>
  <c r="AQ625" i="10"/>
  <c r="AP625" i="10"/>
  <c r="AO625" i="10"/>
  <c r="AN625" i="10"/>
  <c r="AM625" i="10"/>
  <c r="AL625" i="10"/>
  <c r="AK625" i="10"/>
  <c r="AJ625" i="10"/>
  <c r="AX624" i="10"/>
  <c r="AW624" i="10"/>
  <c r="AK624" i="10"/>
  <c r="AJ624" i="10"/>
  <c r="AX626" i="10"/>
  <c r="AW626" i="10"/>
  <c r="AK626" i="10"/>
  <c r="AJ626" i="10"/>
  <c r="AX627" i="10"/>
  <c r="AW627" i="10"/>
  <c r="AV627" i="10"/>
  <c r="AU627" i="10"/>
  <c r="AT627" i="10"/>
  <c r="AS627" i="10"/>
  <c r="AR627" i="10"/>
  <c r="AQ627" i="10"/>
  <c r="AP627" i="10"/>
  <c r="AO627" i="10"/>
  <c r="AN627" i="10"/>
  <c r="AM627" i="10"/>
  <c r="AL627" i="10"/>
  <c r="AK627" i="10"/>
  <c r="AJ627" i="10"/>
  <c r="AX629" i="10"/>
  <c r="AW629" i="10"/>
  <c r="AV629" i="10"/>
  <c r="AU629" i="10"/>
  <c r="AT629" i="10"/>
  <c r="AS629" i="10"/>
  <c r="AR629" i="10"/>
  <c r="AQ629" i="10"/>
  <c r="AP629" i="10"/>
  <c r="AO629" i="10"/>
  <c r="AN629" i="10"/>
  <c r="AM629" i="10"/>
  <c r="AL629" i="10"/>
  <c r="AK629" i="10"/>
  <c r="AJ629" i="10"/>
  <c r="AX631" i="10"/>
  <c r="AW631" i="10"/>
  <c r="AV631" i="10"/>
  <c r="AU631" i="10"/>
  <c r="AT631" i="10"/>
  <c r="AS631" i="10"/>
  <c r="AR631" i="10"/>
  <c r="AQ631" i="10"/>
  <c r="AP631" i="10"/>
  <c r="AO631" i="10"/>
  <c r="AN631" i="10"/>
  <c r="AM631" i="10"/>
  <c r="AL631" i="10"/>
  <c r="AK631" i="10"/>
  <c r="AJ631" i="10"/>
  <c r="AX630" i="10"/>
  <c r="AW630" i="10"/>
  <c r="AV630" i="10"/>
  <c r="AU630" i="10"/>
  <c r="AT630" i="10"/>
  <c r="AS630" i="10"/>
  <c r="AR630" i="10"/>
  <c r="AQ630" i="10"/>
  <c r="AP630" i="10"/>
  <c r="AO630" i="10"/>
  <c r="AN630" i="10"/>
  <c r="AM630" i="10"/>
  <c r="AL630" i="10"/>
  <c r="AK630" i="10"/>
  <c r="AJ630" i="10"/>
  <c r="AX632" i="10"/>
  <c r="AW632" i="10"/>
  <c r="AK632" i="10"/>
  <c r="AJ632" i="10"/>
  <c r="AX634" i="10"/>
  <c r="AW634" i="10"/>
  <c r="AV634" i="10"/>
  <c r="AU634" i="10"/>
  <c r="AT634" i="10"/>
  <c r="AS634" i="10"/>
  <c r="AR634" i="10"/>
  <c r="AQ634" i="10"/>
  <c r="AP634" i="10"/>
  <c r="AO634" i="10"/>
  <c r="AN634" i="10"/>
  <c r="AM634" i="10"/>
  <c r="AL634" i="10"/>
  <c r="AK634" i="10"/>
  <c r="AJ634" i="10"/>
  <c r="AX635" i="10"/>
  <c r="AW635" i="10"/>
  <c r="AV635" i="10"/>
  <c r="AU635" i="10"/>
  <c r="AT635" i="10"/>
  <c r="AS635" i="10"/>
  <c r="AR635" i="10"/>
  <c r="AQ635" i="10"/>
  <c r="AP635" i="10"/>
  <c r="AO635" i="10"/>
  <c r="AN635" i="10"/>
  <c r="AM635" i="10"/>
  <c r="AL635" i="10"/>
  <c r="AK635" i="10"/>
  <c r="AJ635" i="10"/>
  <c r="AX636" i="10"/>
  <c r="AW636" i="10"/>
  <c r="AV636" i="10"/>
  <c r="AU636" i="10"/>
  <c r="AT636" i="10"/>
  <c r="AS636" i="10"/>
  <c r="AR636" i="10"/>
  <c r="AQ636" i="10"/>
  <c r="AP636" i="10"/>
  <c r="AO636" i="10"/>
  <c r="AN636" i="10"/>
  <c r="AM636" i="10"/>
  <c r="AL636" i="10"/>
  <c r="AK636" i="10"/>
  <c r="AJ636" i="10"/>
  <c r="AX637" i="10"/>
  <c r="AW637" i="10"/>
  <c r="AV637" i="10"/>
  <c r="AU637" i="10"/>
  <c r="AT637" i="10"/>
  <c r="AS637" i="10"/>
  <c r="AR637" i="10"/>
  <c r="AQ637" i="10"/>
  <c r="AP637" i="10"/>
  <c r="AO637" i="10"/>
  <c r="AN637" i="10"/>
  <c r="AM637" i="10"/>
  <c r="AL637" i="10"/>
  <c r="AK637" i="10"/>
  <c r="AJ637" i="10"/>
  <c r="AX638" i="10"/>
  <c r="AW638" i="10"/>
  <c r="AV638" i="10"/>
  <c r="AU638" i="10"/>
  <c r="AT638" i="10"/>
  <c r="AS638" i="10"/>
  <c r="AR638" i="10"/>
  <c r="AQ638" i="10"/>
  <c r="AP638" i="10"/>
  <c r="AO638" i="10"/>
  <c r="AN638" i="10"/>
  <c r="AM638" i="10"/>
  <c r="AL638" i="10"/>
  <c r="AK638" i="10"/>
  <c r="AJ638" i="10"/>
  <c r="AV639" i="10"/>
  <c r="AU639" i="10"/>
  <c r="AT639" i="10"/>
  <c r="AS639" i="10"/>
  <c r="AR639" i="10"/>
  <c r="AQ639" i="10"/>
  <c r="AP639" i="10"/>
  <c r="AO639" i="10"/>
  <c r="AN639" i="10"/>
  <c r="AM639" i="10"/>
  <c r="AL639" i="10"/>
  <c r="AK639" i="10"/>
  <c r="AJ639" i="10"/>
  <c r="AX640" i="10"/>
  <c r="AW640" i="10"/>
  <c r="AV640" i="10"/>
  <c r="AU640" i="10"/>
  <c r="AT640" i="10"/>
  <c r="AS640" i="10"/>
  <c r="AR640" i="10"/>
  <c r="AQ640" i="10"/>
  <c r="AP640" i="10"/>
  <c r="AO640" i="10"/>
  <c r="AN640" i="10"/>
  <c r="AM640" i="10"/>
  <c r="AL640" i="10"/>
  <c r="AK640" i="10"/>
  <c r="AJ640" i="10"/>
  <c r="Y2693" i="10"/>
  <c r="Y2586" i="10"/>
  <c r="Y2565" i="10"/>
  <c r="Y2561" i="10"/>
  <c r="Y2551" i="10"/>
  <c r="Y2228" i="10"/>
  <c r="Y2002" i="10"/>
  <c r="Y1730" i="10"/>
  <c r="Y1686" i="10"/>
  <c r="Y1408" i="10"/>
  <c r="AX641" i="10"/>
  <c r="AW641" i="10"/>
  <c r="AV641" i="10"/>
  <c r="AU641" i="10"/>
  <c r="AT641" i="10"/>
  <c r="AS641" i="10"/>
  <c r="AR641" i="10"/>
  <c r="AQ641" i="10"/>
  <c r="AP641" i="10"/>
  <c r="AO641" i="10"/>
  <c r="AN641" i="10"/>
  <c r="AM641" i="10"/>
  <c r="AL641" i="10"/>
  <c r="AK641" i="10"/>
  <c r="AJ641" i="10"/>
  <c r="E114" i="45"/>
  <c r="G70" i="45"/>
  <c r="Y70" i="45"/>
  <c r="Y1126" i="10"/>
  <c r="G115" i="45"/>
  <c r="P115" i="45"/>
  <c r="AL2306" i="10"/>
  <c r="AX2306" i="10"/>
  <c r="AV2306" i="10"/>
  <c r="AO2306" i="10"/>
  <c r="AK2306" i="10"/>
  <c r="AT2306" i="10"/>
  <c r="AO2434" i="10"/>
  <c r="AM2434" i="10"/>
  <c r="AJ2434" i="10"/>
  <c r="AT2434" i="10"/>
  <c r="AO2344" i="10"/>
  <c r="AV2344" i="10"/>
  <c r="AQ2344" i="10"/>
  <c r="AU2344" i="10"/>
  <c r="AR1897" i="10"/>
  <c r="AX1897" i="10"/>
  <c r="AN1897" i="10"/>
  <c r="AW1897" i="10"/>
  <c r="AK1897" i="10"/>
  <c r="AN1339" i="10"/>
  <c r="AK1339" i="10"/>
  <c r="AM1339" i="10"/>
  <c r="AJ1339" i="10"/>
  <c r="AQ1339" i="10"/>
  <c r="AR1339" i="10"/>
  <c r="AO1339" i="10"/>
  <c r="AW1339" i="10"/>
  <c r="AQ2306" i="10"/>
  <c r="AU2306" i="10"/>
  <c r="AS1913" i="10"/>
  <c r="AK1913" i="10"/>
  <c r="AV1242" i="10"/>
  <c r="AW1242" i="10"/>
  <c r="AJ1242" i="10"/>
  <c r="AQ1242" i="10"/>
  <c r="AN1242" i="10"/>
  <c r="AP1242" i="10"/>
  <c r="AK1242" i="10"/>
  <c r="AO1242" i="10"/>
  <c r="AR1242" i="10"/>
  <c r="AX1242" i="10"/>
  <c r="AS1242" i="10"/>
  <c r="AM1242" i="10"/>
  <c r="AT1242" i="10"/>
  <c r="W117" i="45"/>
  <c r="AD108" i="45"/>
  <c r="AM2306" i="10"/>
  <c r="AM2552" i="10"/>
  <c r="AR2552" i="10"/>
  <c r="AQ2552" i="10"/>
  <c r="AL2552" i="10"/>
  <c r="AN2552" i="10"/>
  <c r="AS2552" i="10"/>
  <c r="AS2306" i="10"/>
  <c r="AL2504" i="10"/>
  <c r="AX2504" i="10"/>
  <c r="AT2504" i="10"/>
  <c r="AO2504" i="10"/>
  <c r="AK2504" i="10"/>
  <c r="AV2504" i="10"/>
  <c r="AU2504" i="10"/>
  <c r="AQ2504" i="10"/>
  <c r="AS2504" i="10"/>
  <c r="AK2235" i="10"/>
  <c r="AQ2235" i="10"/>
  <c r="AP2306" i="10"/>
  <c r="AO1850" i="10"/>
  <c r="AV1850" i="10"/>
  <c r="AQ1850" i="10"/>
  <c r="AP1850" i="10"/>
  <c r="AS1850" i="10"/>
  <c r="AP1770" i="10"/>
  <c r="AV1770" i="10"/>
  <c r="AU1770" i="10"/>
  <c r="AN1770" i="10"/>
  <c r="AT1770" i="10"/>
  <c r="AO1770" i="10"/>
  <c r="AM1770" i="10"/>
  <c r="AW1770" i="10"/>
  <c r="AK1770" i="10"/>
  <c r="AS1770" i="10"/>
  <c r="AN1151" i="10"/>
  <c r="AR1151" i="10"/>
  <c r="AW1151" i="10"/>
  <c r="AU1151" i="10"/>
  <c r="AL1151" i="10"/>
  <c r="AP1151" i="10"/>
  <c r="AX1151" i="10"/>
  <c r="AO1151" i="10"/>
  <c r="AN2306" i="10"/>
  <c r="AS1778" i="10"/>
  <c r="AP1778" i="10"/>
  <c r="AQ1778" i="10"/>
  <c r="AN1778" i="10"/>
  <c r="AO1778" i="10"/>
  <c r="AW1379" i="10"/>
  <c r="AL1379" i="10"/>
  <c r="AX1379" i="10"/>
  <c r="AV1379" i="10"/>
  <c r="AW2306" i="10"/>
  <c r="AK1859" i="10"/>
  <c r="AU1859" i="10"/>
  <c r="AO1859" i="10"/>
  <c r="AS1859" i="10"/>
  <c r="AQ1859" i="10"/>
  <c r="AN1259" i="10"/>
  <c r="AP1259" i="10"/>
  <c r="AN931" i="10"/>
  <c r="AW931" i="10"/>
  <c r="AT931" i="10"/>
  <c r="AR931" i="10"/>
  <c r="AQ931" i="10"/>
  <c r="AO931" i="10"/>
  <c r="AX931" i="10"/>
  <c r="AL931" i="10"/>
  <c r="AQ114" i="45"/>
  <c r="AM931" i="10"/>
  <c r="AS931" i="10"/>
  <c r="AW1169" i="10"/>
  <c r="AT1169" i="10"/>
  <c r="AR1169" i="10"/>
  <c r="AU1169" i="10"/>
  <c r="AK1169" i="10"/>
  <c r="AL1268" i="10"/>
  <c r="AT1268" i="10"/>
  <c r="AV2194" i="10"/>
  <c r="AW2194" i="10"/>
  <c r="AS2194" i="10"/>
  <c r="AN2194" i="10"/>
  <c r="AR2194" i="10"/>
  <c r="AP2194" i="10"/>
  <c r="AT2194" i="10"/>
  <c r="AK1519" i="10"/>
  <c r="AL1519" i="10"/>
  <c r="AW1519" i="10"/>
  <c r="AX1519" i="10"/>
  <c r="AM1519" i="10"/>
  <c r="AO1519" i="10"/>
  <c r="AR1519" i="10"/>
  <c r="AS1519" i="10"/>
  <c r="AR1178" i="10"/>
  <c r="AM1178" i="10"/>
  <c r="AN1956" i="10"/>
  <c r="AS1956" i="10"/>
  <c r="AU1956" i="10"/>
  <c r="AP1956" i="10"/>
  <c r="AL1956" i="10"/>
  <c r="AT1956" i="10"/>
  <c r="AR1956" i="10"/>
  <c r="AO1956" i="10"/>
  <c r="AV1956" i="10"/>
  <c r="X2674" i="10"/>
  <c r="Y2674" i="10" s="1"/>
  <c r="AQ2529" i="10"/>
  <c r="AK2529" i="10"/>
  <c r="AO2529" i="10"/>
  <c r="AX2529" i="10"/>
  <c r="AW2529" i="10"/>
  <c r="AM2529" i="10"/>
  <c r="AU2529" i="10"/>
  <c r="AS1196" i="10"/>
  <c r="AK1196" i="10"/>
  <c r="AT1196" i="10"/>
  <c r="AP980" i="10"/>
  <c r="AQ980" i="10"/>
  <c r="AU980" i="10"/>
  <c r="AR980" i="10"/>
  <c r="AL980" i="10"/>
  <c r="AM980" i="10"/>
  <c r="AV980" i="10"/>
  <c r="AS980" i="10"/>
  <c r="P51" i="45"/>
  <c r="AO2194" i="10"/>
  <c r="AN1519" i="10"/>
  <c r="AV2171" i="10"/>
  <c r="AP2171" i="10"/>
  <c r="AR1116" i="10"/>
  <c r="AS1116" i="10"/>
  <c r="AR2536" i="10"/>
  <c r="AU2536" i="10"/>
  <c r="AS2536" i="10"/>
  <c r="AK2536" i="10"/>
  <c r="AX2536" i="10"/>
  <c r="AU1470" i="10"/>
  <c r="AX1470" i="10"/>
  <c r="AP1470" i="10"/>
  <c r="AM2169" i="10"/>
  <c r="AL2478" i="10"/>
  <c r="AL2115" i="10"/>
  <c r="AQ2373" i="10"/>
  <c r="AS1648" i="10"/>
  <c r="AO1176" i="10"/>
  <c r="AL1153" i="10"/>
  <c r="AK2109" i="10"/>
  <c r="AQ2290" i="10"/>
  <c r="AK2169" i="10"/>
  <c r="AX2478" i="10"/>
  <c r="AL2213" i="10"/>
  <c r="AN2115" i="10"/>
  <c r="AO2373" i="10"/>
  <c r="AJ1592" i="10"/>
  <c r="AS929" i="10"/>
  <c r="AT2169" i="10"/>
  <c r="AS2478" i="10"/>
  <c r="AV2478" i="10"/>
  <c r="AK2213" i="10"/>
  <c r="AR2115" i="10"/>
  <c r="AU2373" i="10"/>
  <c r="AO1221" i="10"/>
  <c r="AS2290" i="10"/>
  <c r="AW2020" i="10"/>
  <c r="AP2115" i="10"/>
  <c r="AX2373" i="10"/>
  <c r="AN1648" i="10"/>
  <c r="AK1221" i="10"/>
  <c r="AX1820" i="10"/>
  <c r="AW2461" i="10"/>
  <c r="AM2424" i="10"/>
  <c r="AR2265" i="10"/>
  <c r="AK2185" i="10"/>
  <c r="AM2028" i="10"/>
  <c r="AO1757" i="10"/>
  <c r="AJ1648" i="10"/>
  <c r="AQ1592" i="10"/>
  <c r="AV1451" i="10"/>
  <c r="AL2020" i="10"/>
  <c r="AN2373" i="10"/>
  <c r="AM2020" i="10"/>
  <c r="AL2373" i="10"/>
  <c r="AV2028" i="10"/>
  <c r="AU1757" i="10"/>
  <c r="AT2478" i="10"/>
  <c r="AN2558" i="10"/>
  <c r="AK1936" i="10"/>
  <c r="AN2499" i="10"/>
  <c r="AP2028" i="10"/>
  <c r="AR2373" i="10"/>
  <c r="AV2153" i="10"/>
  <c r="AL1757" i="10"/>
  <c r="AV1592" i="10"/>
  <c r="AV1085" i="10"/>
  <c r="AR1221" i="10"/>
  <c r="AT2539" i="10"/>
  <c r="AQ1757" i="10"/>
  <c r="AK2183" i="10"/>
  <c r="AL2564" i="10"/>
  <c r="AK2373" i="10"/>
  <c r="AN2302" i="10"/>
  <c r="AX2213" i="10"/>
  <c r="AQ2115" i="10"/>
  <c r="AM2588" i="10"/>
  <c r="AT2424" i="10"/>
  <c r="AX2153" i="10"/>
  <c r="AK1969" i="10"/>
  <c r="AV2663" i="10"/>
  <c r="AU2041" i="10"/>
  <c r="AQ1672" i="10"/>
  <c r="AQ2153" i="10"/>
  <c r="AM2265" i="10"/>
  <c r="AO1969" i="10"/>
  <c r="AX2558" i="10"/>
  <c r="AU2424" i="10"/>
  <c r="AL2588" i="10"/>
  <c r="AQ2169" i="10"/>
  <c r="AO1672" i="10"/>
  <c r="AX2115" i="10"/>
  <c r="AT1672" i="10"/>
  <c r="AK2663" i="10"/>
  <c r="AS2153" i="10"/>
  <c r="AU1969" i="10"/>
  <c r="AQ1085" i="10"/>
  <c r="AN2588" i="10"/>
  <c r="AV2169" i="10"/>
  <c r="AV1672" i="10"/>
  <c r="AM2153" i="10"/>
  <c r="AM2115" i="10"/>
  <c r="AR1672" i="10"/>
  <c r="AW2153" i="10"/>
  <c r="AM1969" i="10"/>
  <c r="AP683" i="10"/>
  <c r="AX671" i="10"/>
  <c r="AW671" i="10"/>
  <c r="AN683" i="10"/>
  <c r="AV671" i="10"/>
  <c r="AM683" i="10"/>
  <c r="AU671" i="10"/>
  <c r="AK652" i="10"/>
  <c r="AQ671" i="10"/>
  <c r="AP671" i="10"/>
  <c r="AO671" i="10"/>
  <c r="AX666" i="10"/>
  <c r="AK660" i="10"/>
  <c r="AK692" i="10"/>
  <c r="AU666" i="10"/>
  <c r="AQ666" i="10"/>
  <c r="AW683" i="10"/>
  <c r="AP666" i="10"/>
  <c r="AV683" i="10"/>
  <c r="AK670" i="10"/>
  <c r="AO666" i="10"/>
  <c r="AU683" i="10"/>
  <c r="AN666" i="10"/>
  <c r="AX642" i="10"/>
  <c r="AW642" i="10"/>
  <c r="AV642" i="10"/>
  <c r="AU642" i="10"/>
  <c r="AT642" i="10"/>
  <c r="AS642" i="10"/>
  <c r="AR642" i="10"/>
  <c r="AQ642" i="10"/>
  <c r="AP642" i="10"/>
  <c r="AO642" i="10"/>
  <c r="AN642" i="10"/>
  <c r="AM642" i="10"/>
  <c r="AL642" i="10"/>
  <c r="AK642" i="10"/>
  <c r="AJ642" i="10"/>
  <c r="AX643" i="10"/>
  <c r="AW643" i="10"/>
  <c r="AV643" i="10"/>
  <c r="AU643" i="10"/>
  <c r="AT643" i="10"/>
  <c r="AS643" i="10"/>
  <c r="AR643" i="10"/>
  <c r="AQ643" i="10"/>
  <c r="AP643" i="10"/>
  <c r="AO643" i="10"/>
  <c r="AN643" i="10"/>
  <c r="AM643" i="10"/>
  <c r="AL643" i="10"/>
  <c r="AK643" i="10"/>
  <c r="AJ643" i="10"/>
  <c r="AX644" i="10"/>
  <c r="AW644" i="10"/>
  <c r="AV644" i="10"/>
  <c r="AU644" i="10"/>
  <c r="AT644" i="10"/>
  <c r="AS644" i="10"/>
  <c r="AR644" i="10"/>
  <c r="AQ644" i="10"/>
  <c r="AP644" i="10"/>
  <c r="AO644" i="10"/>
  <c r="AN644" i="10"/>
  <c r="AM644" i="10"/>
  <c r="AL644" i="10"/>
  <c r="AK644" i="10"/>
  <c r="AJ644" i="10"/>
  <c r="AX645" i="10"/>
  <c r="AW645" i="10"/>
  <c r="AK645" i="10"/>
  <c r="AJ645" i="10"/>
  <c r="AX646" i="10"/>
  <c r="AW646" i="10"/>
  <c r="AV646" i="10"/>
  <c r="AU646" i="10"/>
  <c r="AT646" i="10"/>
  <c r="AS646" i="10"/>
  <c r="AR646" i="10"/>
  <c r="AQ646" i="10"/>
  <c r="AP646" i="10"/>
  <c r="AO646" i="10"/>
  <c r="AN646" i="10"/>
  <c r="AM646" i="10"/>
  <c r="AL646" i="10"/>
  <c r="AK646" i="10"/>
  <c r="AJ646" i="10"/>
  <c r="AX647" i="10"/>
  <c r="AW647" i="10"/>
  <c r="AK647" i="10"/>
  <c r="AJ647" i="10"/>
  <c r="AX648" i="10"/>
  <c r="AW648" i="10"/>
  <c r="AV648" i="10"/>
  <c r="AU648" i="10"/>
  <c r="AT648" i="10"/>
  <c r="AS648" i="10"/>
  <c r="AR648" i="10"/>
  <c r="AQ648" i="10"/>
  <c r="AP648" i="10"/>
  <c r="AO648" i="10"/>
  <c r="AN648" i="10"/>
  <c r="AM648" i="10"/>
  <c r="AL648" i="10"/>
  <c r="AK648" i="10"/>
  <c r="AJ648" i="10"/>
  <c r="AX649" i="10"/>
  <c r="AW649" i="10"/>
  <c r="AK649" i="10"/>
  <c r="AJ649" i="10"/>
  <c r="AX650" i="10"/>
  <c r="AW650" i="10"/>
  <c r="AV650" i="10"/>
  <c r="AU650" i="10"/>
  <c r="AT650" i="10"/>
  <c r="AS650" i="10"/>
  <c r="AR650" i="10"/>
  <c r="AQ650" i="10"/>
  <c r="AP650" i="10"/>
  <c r="AO650" i="10"/>
  <c r="AN650" i="10"/>
  <c r="AM650" i="10"/>
  <c r="AL650" i="10"/>
  <c r="AK650" i="10"/>
  <c r="AJ650" i="10"/>
  <c r="AX651" i="10"/>
  <c r="AW651" i="10"/>
  <c r="AK651" i="10"/>
  <c r="AJ651" i="10"/>
  <c r="AW652" i="10"/>
  <c r="AX652" i="10"/>
  <c r="AX653" i="10"/>
  <c r="AW653" i="10"/>
  <c r="AV653" i="10"/>
  <c r="AU653" i="10"/>
  <c r="AT653" i="10"/>
  <c r="AS653" i="10"/>
  <c r="AR653" i="10"/>
  <c r="AQ653" i="10"/>
  <c r="AP653" i="10"/>
  <c r="AO653" i="10"/>
  <c r="AN653" i="10"/>
  <c r="AM653" i="10"/>
  <c r="AL653" i="10"/>
  <c r="AK653" i="10"/>
  <c r="AJ653" i="10"/>
  <c r="AX654" i="10"/>
  <c r="AW654" i="10"/>
  <c r="AV654" i="10"/>
  <c r="AU654" i="10"/>
  <c r="AT654" i="10"/>
  <c r="AS654" i="10"/>
  <c r="AR654" i="10"/>
  <c r="AQ654" i="10"/>
  <c r="AP654" i="10"/>
  <c r="AO654" i="10"/>
  <c r="AN654" i="10"/>
  <c r="AM654" i="10"/>
  <c r="AL654" i="10"/>
  <c r="AK654" i="10"/>
  <c r="AJ654" i="10"/>
  <c r="AX655" i="10"/>
  <c r="AW655" i="10"/>
  <c r="AK655" i="10"/>
  <c r="AJ655" i="10"/>
  <c r="AX656" i="10"/>
  <c r="AW656" i="10"/>
  <c r="AV656" i="10"/>
  <c r="AU656" i="10"/>
  <c r="AT656" i="10"/>
  <c r="AS656" i="10"/>
  <c r="AR656" i="10"/>
  <c r="AQ656" i="10"/>
  <c r="AP656" i="10"/>
  <c r="AO656" i="10"/>
  <c r="AN656" i="10"/>
  <c r="AM656" i="10"/>
  <c r="AL656" i="10"/>
  <c r="AK656" i="10"/>
  <c r="AJ656" i="10"/>
  <c r="AX657" i="10"/>
  <c r="AW657" i="10"/>
  <c r="AV657" i="10"/>
  <c r="AU657" i="10"/>
  <c r="AT657" i="10"/>
  <c r="AS657" i="10"/>
  <c r="AR657" i="10"/>
  <c r="AQ657" i="10"/>
  <c r="AP657" i="10"/>
  <c r="AO657" i="10"/>
  <c r="AN657" i="10"/>
  <c r="AM657" i="10"/>
  <c r="AL657" i="10"/>
  <c r="AK657" i="10"/>
  <c r="AJ657" i="10"/>
  <c r="AX658" i="10"/>
  <c r="AW658" i="10"/>
  <c r="AV658" i="10"/>
  <c r="AU658" i="10"/>
  <c r="AT658" i="10"/>
  <c r="AS658" i="10"/>
  <c r="AR658" i="10"/>
  <c r="AQ658" i="10"/>
  <c r="AP658" i="10"/>
  <c r="AO658" i="10"/>
  <c r="AN658" i="10"/>
  <c r="AM658" i="10"/>
  <c r="AL658" i="10"/>
  <c r="AK658" i="10"/>
  <c r="AJ658" i="10"/>
  <c r="AX659" i="10"/>
  <c r="AW659" i="10"/>
  <c r="AK659" i="10"/>
  <c r="AJ659" i="10"/>
  <c r="AW660" i="10"/>
  <c r="AX660" i="10"/>
  <c r="AX661" i="10"/>
  <c r="AW661" i="10"/>
  <c r="AK661" i="10"/>
  <c r="AJ661" i="10"/>
  <c r="AX663" i="10"/>
  <c r="AW663" i="10"/>
  <c r="AV663" i="10"/>
  <c r="AU663" i="10"/>
  <c r="AT663" i="10"/>
  <c r="AS663" i="10"/>
  <c r="AR663" i="10"/>
  <c r="AQ663" i="10"/>
  <c r="AP663" i="10"/>
  <c r="AO663" i="10"/>
  <c r="AN663" i="10"/>
  <c r="AM663" i="10"/>
  <c r="AL663" i="10"/>
  <c r="AK663" i="10"/>
  <c r="AJ663" i="10"/>
  <c r="AX664" i="10"/>
  <c r="AW664" i="10"/>
  <c r="AV664" i="10"/>
  <c r="AU664" i="10"/>
  <c r="AT664" i="10"/>
  <c r="AS664" i="10"/>
  <c r="AR664" i="10"/>
  <c r="AQ664" i="10"/>
  <c r="AP664" i="10"/>
  <c r="AO664" i="10"/>
  <c r="AN664" i="10"/>
  <c r="AM664" i="10"/>
  <c r="AL664" i="10"/>
  <c r="AK664" i="10"/>
  <c r="AJ664" i="10"/>
  <c r="AX665" i="10"/>
  <c r="AW665" i="10"/>
  <c r="AK665" i="10"/>
  <c r="AJ665" i="10"/>
  <c r="AX667" i="10"/>
  <c r="AW667" i="10"/>
  <c r="AV667" i="10"/>
  <c r="AU667" i="10"/>
  <c r="AT667" i="10"/>
  <c r="AS667" i="10"/>
  <c r="AR667" i="10"/>
  <c r="AQ667" i="10"/>
  <c r="AP667" i="10"/>
  <c r="AO667" i="10"/>
  <c r="AN667" i="10"/>
  <c r="AM667" i="10"/>
  <c r="AL667" i="10"/>
  <c r="AK667" i="10"/>
  <c r="AJ667" i="10"/>
  <c r="P200" i="45"/>
  <c r="N200" i="45"/>
  <c r="L223" i="45"/>
  <c r="L200" i="45"/>
  <c r="P223" i="45"/>
  <c r="AX668" i="10"/>
  <c r="AW668" i="10"/>
  <c r="AV668" i="10"/>
  <c r="AU668" i="10"/>
  <c r="AT668" i="10"/>
  <c r="AS668" i="10"/>
  <c r="AR668" i="10"/>
  <c r="AQ668" i="10"/>
  <c r="AP668" i="10"/>
  <c r="AO668" i="10"/>
  <c r="AN668" i="10"/>
  <c r="AM668" i="10"/>
  <c r="AL668" i="10"/>
  <c r="AK668" i="10"/>
  <c r="AJ668" i="10"/>
  <c r="AX669" i="10"/>
  <c r="AW669" i="10"/>
  <c r="AK669" i="10"/>
  <c r="AJ669" i="10"/>
  <c r="G158" i="45" l="1"/>
  <c r="L158" i="45"/>
  <c r="AQ158" i="45"/>
  <c r="AO158" i="45"/>
  <c r="AD158" i="45"/>
  <c r="C158" i="45"/>
  <c r="AH158" i="45"/>
  <c r="E158" i="45"/>
  <c r="N158" i="45"/>
  <c r="P158" i="45"/>
  <c r="Y158" i="45"/>
  <c r="U158" i="45"/>
  <c r="W158" i="45"/>
  <c r="AF158" i="45"/>
  <c r="AM158" i="45"/>
  <c r="E236" i="45"/>
  <c r="G236" i="45"/>
  <c r="G234" i="45"/>
  <c r="C232" i="45"/>
  <c r="E234" i="45"/>
  <c r="C235" i="45"/>
  <c r="G16" i="43"/>
  <c r="C236" i="45"/>
  <c r="E16" i="43"/>
  <c r="C234" i="45"/>
  <c r="E235" i="45"/>
  <c r="G233" i="45"/>
  <c r="E233" i="45"/>
  <c r="E232" i="45"/>
  <c r="G235" i="45"/>
  <c r="D16" i="43"/>
  <c r="C233" i="45"/>
  <c r="Y1689" i="10"/>
  <c r="P87" i="45"/>
  <c r="P86" i="45" s="1"/>
  <c r="Q87" i="45" s="1"/>
  <c r="C14" i="43"/>
  <c r="AM197" i="45"/>
  <c r="AO235" i="45"/>
  <c r="AD136" i="45"/>
  <c r="AE139" i="45" s="1"/>
  <c r="AQ196" i="45"/>
  <c r="AM136" i="45"/>
  <c r="AN138" i="45" s="1"/>
  <c r="C136" i="45"/>
  <c r="D137" i="45" s="1"/>
  <c r="AH136" i="45"/>
  <c r="AI140" i="45" s="1"/>
  <c r="E136" i="45"/>
  <c r="F139" i="45" s="1"/>
  <c r="G136" i="45"/>
  <c r="H138" i="45" s="1"/>
  <c r="AF136" i="45"/>
  <c r="AH223" i="45"/>
  <c r="AO223" i="45"/>
  <c r="AM223" i="45"/>
  <c r="AD223" i="45"/>
  <c r="AQ223" i="45"/>
  <c r="AF223" i="45"/>
  <c r="AO200" i="45"/>
  <c r="AM200" i="45"/>
  <c r="AF200" i="45"/>
  <c r="AD200" i="45"/>
  <c r="AH200" i="45"/>
  <c r="AQ200" i="45"/>
  <c r="AQ221" i="45"/>
  <c r="AO136" i="45"/>
  <c r="AQ136" i="45"/>
  <c r="N136" i="45"/>
  <c r="L136" i="45"/>
  <c r="P136" i="45"/>
  <c r="U136" i="45"/>
  <c r="W136" i="45"/>
  <c r="Y136" i="45"/>
  <c r="D7" i="43"/>
  <c r="C7" i="43"/>
  <c r="AM196" i="45"/>
  <c r="AO196" i="45"/>
  <c r="AO197" i="45"/>
  <c r="C10" i="43"/>
  <c r="AF221" i="45"/>
  <c r="AM221" i="45"/>
  <c r="M25" i="53"/>
  <c r="M12" i="43"/>
  <c r="P59" i="45"/>
  <c r="Q63" i="45" s="1"/>
  <c r="Y32" i="45"/>
  <c r="Z34" i="45" s="1"/>
  <c r="AQ235" i="45"/>
  <c r="K18" i="53"/>
  <c r="M11" i="53"/>
  <c r="H11" i="53"/>
  <c r="AO125" i="45"/>
  <c r="U41" i="45"/>
  <c r="V45" i="45" s="1"/>
  <c r="C11" i="53"/>
  <c r="N5" i="45"/>
  <c r="O7" i="45" s="1"/>
  <c r="O18" i="53"/>
  <c r="V15" i="43"/>
  <c r="AM199" i="45"/>
  <c r="AQ125" i="45"/>
  <c r="P68" i="45"/>
  <c r="Q69" i="45" s="1"/>
  <c r="Y19" i="43"/>
  <c r="E50" i="45"/>
  <c r="F53" i="45" s="1"/>
  <c r="V18" i="43"/>
  <c r="AM125" i="45"/>
  <c r="AM235" i="45"/>
  <c r="P77" i="45"/>
  <c r="Q78" i="45" s="1"/>
  <c r="I25" i="53"/>
  <c r="W5" i="45"/>
  <c r="X10" i="45" s="1"/>
  <c r="AD125" i="45"/>
  <c r="AE126" i="45" s="1"/>
  <c r="E125" i="45"/>
  <c r="F130" i="45" s="1"/>
  <c r="AO198" i="45"/>
  <c r="AM198" i="45"/>
  <c r="AF199" i="45"/>
  <c r="N223" i="45"/>
  <c r="AO199" i="45"/>
  <c r="AQ199" i="45"/>
  <c r="E41" i="45"/>
  <c r="N41" i="45"/>
  <c r="O45" i="45" s="1"/>
  <c r="L5" i="45"/>
  <c r="M8" i="45" s="1"/>
  <c r="Y113" i="45"/>
  <c r="Z116" i="45" s="1"/>
  <c r="Y125" i="45"/>
  <c r="Z126" i="45" s="1"/>
  <c r="W125" i="45"/>
  <c r="X126" i="45" s="1"/>
  <c r="N32" i="45"/>
  <c r="O33" i="45" s="1"/>
  <c r="Y59" i="45"/>
  <c r="Z63" i="45" s="1"/>
  <c r="Y77" i="45"/>
  <c r="Z81" i="45" s="1"/>
  <c r="N125" i="45"/>
  <c r="O130" i="45" s="1"/>
  <c r="AH198" i="45"/>
  <c r="L125" i="45"/>
  <c r="M130" i="45" s="1"/>
  <c r="AF77" i="45"/>
  <c r="AG82" i="45" s="1"/>
  <c r="W104" i="45"/>
  <c r="X108" i="45" s="1"/>
  <c r="Y86" i="45"/>
  <c r="Z89" i="45" s="1"/>
  <c r="Y95" i="45"/>
  <c r="Z96" i="45" s="1"/>
  <c r="AD198" i="45"/>
  <c r="AD221" i="45"/>
  <c r="L104" i="45"/>
  <c r="M109" i="45" s="1"/>
  <c r="C25" i="53"/>
  <c r="U5" i="45"/>
  <c r="V6" i="45" s="1"/>
  <c r="N25" i="53"/>
  <c r="E86" i="45"/>
  <c r="F88" i="45" s="1"/>
  <c r="P104" i="45"/>
  <c r="Q109" i="45" s="1"/>
  <c r="N235" i="45"/>
  <c r="AO221" i="45"/>
  <c r="AH235" i="45"/>
  <c r="P41" i="45"/>
  <c r="Q44" i="45" s="1"/>
  <c r="E95" i="45"/>
  <c r="F96" i="45" s="1"/>
  <c r="E5" i="45"/>
  <c r="F6" i="45" s="1"/>
  <c r="Y50" i="45"/>
  <c r="Z52" i="45" s="1"/>
  <c r="W86" i="45"/>
  <c r="X87" i="45" s="1"/>
  <c r="AH221" i="45"/>
  <c r="U125" i="45"/>
  <c r="V126" i="45" s="1"/>
  <c r="P32" i="45"/>
  <c r="Q37" i="45" s="1"/>
  <c r="P125" i="45"/>
  <c r="Q126" i="45" s="1"/>
  <c r="G32" i="45"/>
  <c r="H37" i="45" s="1"/>
  <c r="F11" i="53"/>
  <c r="W59" i="45"/>
  <c r="X62" i="45" s="1"/>
  <c r="L68" i="45"/>
  <c r="M73" i="45" s="1"/>
  <c r="AH125" i="45"/>
  <c r="AI129" i="45" s="1"/>
  <c r="Y235" i="45"/>
  <c r="G50" i="45"/>
  <c r="H53" i="45" s="1"/>
  <c r="I4" i="53"/>
  <c r="AF113" i="45"/>
  <c r="AG115" i="45" s="1"/>
  <c r="U32" i="45"/>
  <c r="V36" i="45" s="1"/>
  <c r="G104" i="45"/>
  <c r="H108" i="45" s="1"/>
  <c r="C125" i="45"/>
  <c r="D126" i="45" s="1"/>
  <c r="G95" i="45"/>
  <c r="H97" i="45" s="1"/>
  <c r="E244" i="45"/>
  <c r="N77" i="45"/>
  <c r="O80" i="45" s="1"/>
  <c r="E4" i="53"/>
  <c r="W68" i="45"/>
  <c r="X73" i="45" s="1"/>
  <c r="AM232" i="45"/>
  <c r="C5" i="45"/>
  <c r="D9" i="45" s="1"/>
  <c r="U235" i="45"/>
  <c r="AO232" i="45"/>
  <c r="L235" i="45"/>
  <c r="U232" i="45"/>
  <c r="U68" i="45"/>
  <c r="V72" i="45" s="1"/>
  <c r="AF104" i="45"/>
  <c r="AG107" i="45" s="1"/>
  <c r="C4" i="53"/>
  <c r="U95" i="45"/>
  <c r="M10" i="53" s="1"/>
  <c r="O4" i="53"/>
  <c r="AF125" i="45"/>
  <c r="AG126" i="45" s="1"/>
  <c r="L23" i="45"/>
  <c r="E24" i="53" s="1"/>
  <c r="AD77" i="45"/>
  <c r="AE78" i="45" s="1"/>
  <c r="J11" i="53"/>
  <c r="E104" i="45"/>
  <c r="F107" i="45" s="1"/>
  <c r="I11" i="53"/>
  <c r="Y41" i="45"/>
  <c r="Z43" i="45" s="1"/>
  <c r="O18" i="43"/>
  <c r="AF235" i="45"/>
  <c r="C50" i="45"/>
  <c r="D55" i="45" s="1"/>
  <c r="U59" i="45"/>
  <c r="V63" i="45" s="1"/>
  <c r="N234" i="45"/>
  <c r="G86" i="45"/>
  <c r="H87" i="45" s="1"/>
  <c r="G125" i="45"/>
  <c r="H130" i="45" s="1"/>
  <c r="L14" i="45"/>
  <c r="D24" i="53" s="1"/>
  <c r="AF198" i="45"/>
  <c r="N113" i="45"/>
  <c r="O115" i="45" s="1"/>
  <c r="AF18" i="43"/>
  <c r="AD113" i="45"/>
  <c r="AE116" i="45" s="1"/>
  <c r="AF233" i="45"/>
  <c r="G120" i="45"/>
  <c r="G121" i="45" s="1"/>
  <c r="U77" i="45"/>
  <c r="V81" i="45" s="1"/>
  <c r="U14" i="45"/>
  <c r="V16" i="45" s="1"/>
  <c r="L77" i="45"/>
  <c r="M78" i="45" s="1"/>
  <c r="E23" i="45"/>
  <c r="F45" i="45" s="1"/>
  <c r="P235" i="45"/>
  <c r="P5" i="45"/>
  <c r="Q6" i="45" s="1"/>
  <c r="F18" i="43"/>
  <c r="P221" i="45"/>
  <c r="C245" i="45"/>
  <c r="W23" i="45"/>
  <c r="X26" i="45" s="1"/>
  <c r="D25" i="53"/>
  <c r="C59" i="45"/>
  <c r="D61" i="45" s="1"/>
  <c r="L50" i="45"/>
  <c r="M52" i="45" s="1"/>
  <c r="L11" i="53"/>
  <c r="W113" i="45"/>
  <c r="X114" i="45" s="1"/>
  <c r="G41" i="45"/>
  <c r="H42" i="45" s="1"/>
  <c r="V19" i="43"/>
  <c r="H4" i="53"/>
  <c r="W41" i="45"/>
  <c r="X45" i="45" s="1"/>
  <c r="M15" i="43"/>
  <c r="L198" i="45"/>
  <c r="N68" i="45"/>
  <c r="O69" i="45" s="1"/>
  <c r="C68" i="45"/>
  <c r="D71" i="45" s="1"/>
  <c r="AH113" i="45"/>
  <c r="AI117" i="45" s="1"/>
  <c r="L59" i="45"/>
  <c r="M61" i="45" s="1"/>
  <c r="G5" i="45"/>
  <c r="D11" i="53"/>
  <c r="V8" i="43"/>
  <c r="P198" i="45"/>
  <c r="AD232" i="45"/>
  <c r="C23" i="45"/>
  <c r="U23" i="45"/>
  <c r="E11" i="53"/>
  <c r="V9" i="43"/>
  <c r="N104" i="45"/>
  <c r="O108" i="45" s="1"/>
  <c r="J25" i="53"/>
  <c r="M14" i="43"/>
  <c r="Y234" i="45"/>
  <c r="E25" i="53"/>
  <c r="M9" i="43"/>
  <c r="AD233" i="45"/>
  <c r="N221" i="45"/>
  <c r="C104" i="45"/>
  <c r="D107" i="45" s="1"/>
  <c r="AE16" i="43"/>
  <c r="C18" i="43"/>
  <c r="N14" i="45"/>
  <c r="N95" i="45"/>
  <c r="O98" i="45" s="1"/>
  <c r="AH77" i="45"/>
  <c r="AI80" i="45" s="1"/>
  <c r="W95" i="45"/>
  <c r="X99" i="45" s="1"/>
  <c r="Y5" i="45"/>
  <c r="G244" i="45"/>
  <c r="C244" i="45"/>
  <c r="U86" i="45"/>
  <c r="V89" i="45" s="1"/>
  <c r="AH18" i="43"/>
  <c r="AH19" i="43"/>
  <c r="F16" i="43"/>
  <c r="X19" i="43"/>
  <c r="G11" i="53"/>
  <c r="V11" i="43"/>
  <c r="AQ234" i="45"/>
  <c r="Y232" i="45"/>
  <c r="U234" i="45"/>
  <c r="W232" i="45"/>
  <c r="P95" i="45"/>
  <c r="Q97" i="45" s="1"/>
  <c r="AD86" i="45"/>
  <c r="AE87" i="45" s="1"/>
  <c r="W234" i="45"/>
  <c r="W32" i="45"/>
  <c r="X34" i="45" s="1"/>
  <c r="AE18" i="43"/>
  <c r="N18" i="53"/>
  <c r="P234" i="45"/>
  <c r="P113" i="45"/>
  <c r="Q116" i="45" s="1"/>
  <c r="AD199" i="45"/>
  <c r="AH199" i="45"/>
  <c r="E243" i="45"/>
  <c r="Y104" i="45"/>
  <c r="Z108" i="45" s="1"/>
  <c r="W18" i="43"/>
  <c r="W19" i="43"/>
  <c r="AH233" i="45"/>
  <c r="U113" i="45"/>
  <c r="L234" i="45"/>
  <c r="N198" i="45"/>
  <c r="Y196" i="45"/>
  <c r="E198" i="45"/>
  <c r="W196" i="45"/>
  <c r="G243" i="45"/>
  <c r="AM147" i="45"/>
  <c r="AO147" i="45"/>
  <c r="AH234" i="45"/>
  <c r="AH104" i="45"/>
  <c r="AI109" i="45" s="1"/>
  <c r="L221" i="45"/>
  <c r="U104" i="45"/>
  <c r="V107" i="45" s="1"/>
  <c r="N50" i="45"/>
  <c r="O55" i="45" s="1"/>
  <c r="AM233" i="45"/>
  <c r="Y198" i="45"/>
  <c r="U198" i="45"/>
  <c r="W77" i="45"/>
  <c r="X78" i="45" s="1"/>
  <c r="G198" i="45"/>
  <c r="W198" i="45"/>
  <c r="AQ147" i="45"/>
  <c r="AM220" i="45"/>
  <c r="L232" i="45"/>
  <c r="AF220" i="45"/>
  <c r="AO104" i="45"/>
  <c r="AD197" i="45"/>
  <c r="AH220" i="45"/>
  <c r="Y219" i="45"/>
  <c r="E221" i="45"/>
  <c r="AO113" i="45"/>
  <c r="AP114" i="45" s="1"/>
  <c r="AQ233" i="45"/>
  <c r="U196" i="45"/>
  <c r="P219" i="45"/>
  <c r="AO220" i="45"/>
  <c r="AD220" i="45"/>
  <c r="AH197" i="45"/>
  <c r="P199" i="45"/>
  <c r="E222" i="45"/>
  <c r="N219" i="45"/>
  <c r="N233" i="45"/>
  <c r="AF197" i="45"/>
  <c r="AD234" i="45"/>
  <c r="AM113" i="45"/>
  <c r="AN115" i="45" s="1"/>
  <c r="E15" i="43"/>
  <c r="C243" i="45"/>
  <c r="W221" i="45"/>
  <c r="U221" i="45"/>
  <c r="Y221" i="45"/>
  <c r="N232" i="45"/>
  <c r="AH95" i="45"/>
  <c r="AI96" i="45" s="1"/>
  <c r="AQ220" i="45"/>
  <c r="AF234" i="45"/>
  <c r="AF95" i="45"/>
  <c r="AG98" i="45" s="1"/>
  <c r="E68" i="45"/>
  <c r="AG19" i="43"/>
  <c r="AG18" i="43"/>
  <c r="AM234" i="45"/>
  <c r="AM104" i="45"/>
  <c r="G221" i="45"/>
  <c r="AO234" i="45"/>
  <c r="N8" i="43"/>
  <c r="AQ104" i="45"/>
  <c r="D4" i="53"/>
  <c r="C14" i="45"/>
  <c r="N86" i="45"/>
  <c r="W50" i="45"/>
  <c r="X52" i="45" s="1"/>
  <c r="C32" i="45"/>
  <c r="D33" i="45" s="1"/>
  <c r="G23" i="45"/>
  <c r="W233" i="45"/>
  <c r="W14" i="45"/>
  <c r="AE17" i="43"/>
  <c r="AD95" i="45"/>
  <c r="AE96" i="45" s="1"/>
  <c r="M18" i="53"/>
  <c r="Y14" i="45"/>
  <c r="Z16" i="45" s="1"/>
  <c r="C17" i="43"/>
  <c r="C95" i="45"/>
  <c r="M4" i="53"/>
  <c r="AH86" i="45"/>
  <c r="AH232" i="45"/>
  <c r="G59" i="45"/>
  <c r="L4" i="53"/>
  <c r="C16" i="43"/>
  <c r="C86" i="45"/>
  <c r="N23" i="45"/>
  <c r="N59" i="45"/>
  <c r="D19" i="43"/>
  <c r="C113" i="45"/>
  <c r="W12" i="43"/>
  <c r="U50" i="45"/>
  <c r="V52" i="45" s="1"/>
  <c r="U233" i="45"/>
  <c r="C41" i="45"/>
  <c r="D42" i="45" s="1"/>
  <c r="G4" i="53"/>
  <c r="C11" i="43"/>
  <c r="M10" i="43"/>
  <c r="F25" i="53"/>
  <c r="L32" i="45"/>
  <c r="P23" i="45"/>
  <c r="Q24" i="45" s="1"/>
  <c r="L95" i="45"/>
  <c r="L233" i="45"/>
  <c r="E32" i="45"/>
  <c r="F34" i="45" s="1"/>
  <c r="E14" i="45"/>
  <c r="AF86" i="45"/>
  <c r="AF232" i="45"/>
  <c r="E59" i="45"/>
  <c r="F61" i="45" s="1"/>
  <c r="L25" i="53"/>
  <c r="L86" i="45"/>
  <c r="M16" i="43"/>
  <c r="G25" i="53"/>
  <c r="M11" i="43"/>
  <c r="L41" i="45"/>
  <c r="M42" i="45" s="1"/>
  <c r="E77" i="45"/>
  <c r="C8" i="43"/>
  <c r="M19" i="43"/>
  <c r="L113" i="45"/>
  <c r="O25" i="53"/>
  <c r="AO233" i="45"/>
  <c r="Y23" i="45"/>
  <c r="Z25" i="45" s="1"/>
  <c r="G77" i="45"/>
  <c r="H78" i="45" s="1"/>
  <c r="K4" i="53"/>
  <c r="C15" i="43"/>
  <c r="C77" i="45"/>
  <c r="L219" i="45"/>
  <c r="G199" i="45"/>
  <c r="AF222" i="45"/>
  <c r="AO222" i="45"/>
  <c r="AQ222" i="45"/>
  <c r="AM222" i="45"/>
  <c r="AD222" i="45"/>
  <c r="AH222" i="45"/>
  <c r="AD196" i="45"/>
  <c r="P222" i="45"/>
  <c r="G222" i="45"/>
  <c r="L196" i="45"/>
  <c r="N196" i="45"/>
  <c r="N197" i="45"/>
  <c r="L197" i="45"/>
  <c r="P197" i="45"/>
  <c r="Y220" i="45"/>
  <c r="W220" i="45"/>
  <c r="Y197" i="45"/>
  <c r="C197" i="45"/>
  <c r="E197" i="45"/>
  <c r="G220" i="45"/>
  <c r="G196" i="45"/>
  <c r="AH196" i="45"/>
  <c r="E220" i="45"/>
  <c r="L220" i="45"/>
  <c r="P220" i="45"/>
  <c r="E219" i="45"/>
  <c r="P50" i="45"/>
  <c r="Q51" i="45" s="1"/>
  <c r="E120" i="45"/>
  <c r="E247" i="45" s="1"/>
  <c r="E113" i="45"/>
  <c r="F114" i="45" s="1"/>
  <c r="E121" i="45"/>
  <c r="E122" i="45" s="1"/>
  <c r="G197" i="45"/>
  <c r="G113" i="45"/>
  <c r="C196" i="45"/>
  <c r="N220" i="45"/>
  <c r="C219" i="45"/>
  <c r="Y233" i="45"/>
  <c r="Y68" i="45"/>
  <c r="Z70" i="45" s="1"/>
  <c r="U220" i="45"/>
  <c r="G219" i="45"/>
  <c r="P196" i="45"/>
  <c r="AH219" i="45"/>
  <c r="AD219" i="45"/>
  <c r="AQ219" i="45"/>
  <c r="AO219" i="45"/>
  <c r="AM219" i="45"/>
  <c r="C199" i="45"/>
  <c r="U197" i="45"/>
  <c r="AF219" i="45"/>
  <c r="AQ113" i="45"/>
  <c r="AR114" i="45" s="1"/>
  <c r="AR113" i="45" s="1"/>
  <c r="AQ232" i="45"/>
  <c r="E196" i="45"/>
  <c r="AD104" i="45"/>
  <c r="AE108" i="45" s="1"/>
  <c r="AD235" i="45"/>
  <c r="W219" i="45"/>
  <c r="W235" i="45"/>
  <c r="U219" i="45"/>
  <c r="W197" i="45"/>
  <c r="AF196" i="45"/>
  <c r="C220" i="45"/>
  <c r="G15" i="45"/>
  <c r="G232" i="45" s="1"/>
  <c r="P15" i="45"/>
  <c r="G68" i="45"/>
  <c r="P233" i="45"/>
  <c r="C222" i="45"/>
  <c r="L199" i="45"/>
  <c r="E199" i="45"/>
  <c r="Y199" i="45"/>
  <c r="U199" i="45"/>
  <c r="W199" i="45"/>
  <c r="L222" i="45"/>
  <c r="Y222" i="45"/>
  <c r="U222" i="45"/>
  <c r="W222" i="45"/>
  <c r="N199" i="45"/>
  <c r="N222" i="45"/>
  <c r="F20" i="43"/>
  <c r="Z20" i="43"/>
  <c r="G20" i="43"/>
  <c r="AE20" i="43"/>
  <c r="AD147" i="45"/>
  <c r="AF147" i="45"/>
  <c r="AH147" i="45"/>
  <c r="E147" i="45"/>
  <c r="G147" i="45"/>
  <c r="C20" i="43"/>
  <c r="C147" i="45"/>
  <c r="AI20" i="43"/>
  <c r="M20" i="43"/>
  <c r="L147" i="45"/>
  <c r="N147" i="45"/>
  <c r="P147" i="45"/>
  <c r="Y20" i="43"/>
  <c r="AH20" i="43"/>
  <c r="X20" i="43"/>
  <c r="E20" i="43"/>
  <c r="D20" i="43"/>
  <c r="V20" i="43"/>
  <c r="U147" i="45"/>
  <c r="W147" i="45"/>
  <c r="Y147" i="45"/>
  <c r="AG20" i="43"/>
  <c r="C223" i="45"/>
  <c r="W223" i="45"/>
  <c r="Y223" i="45"/>
  <c r="U223" i="45"/>
  <c r="W200" i="45"/>
  <c r="U200" i="45"/>
  <c r="Y200" i="45"/>
  <c r="G200" i="45"/>
  <c r="E200" i="45"/>
  <c r="C221" i="45"/>
  <c r="E223" i="45"/>
  <c r="G223" i="45"/>
  <c r="C198" i="45"/>
  <c r="C200" i="45"/>
  <c r="AN160" i="45" l="1"/>
  <c r="AN161" i="45"/>
  <c r="AN162" i="45"/>
  <c r="AN163" i="45"/>
  <c r="AN159" i="45"/>
  <c r="V163" i="45"/>
  <c r="V162" i="45"/>
  <c r="V159" i="45"/>
  <c r="V160" i="45"/>
  <c r="V161" i="45"/>
  <c r="D163" i="45"/>
  <c r="D159" i="45"/>
  <c r="D162" i="45"/>
  <c r="D161" i="45"/>
  <c r="D160" i="45"/>
  <c r="AE163" i="45"/>
  <c r="AE162" i="45"/>
  <c r="AE159" i="45"/>
  <c r="AE160" i="45"/>
  <c r="AE161" i="45"/>
  <c r="M160" i="45"/>
  <c r="M161" i="45"/>
  <c r="M162" i="45"/>
  <c r="M163" i="45"/>
  <c r="M159" i="45"/>
  <c r="Z163" i="45"/>
  <c r="Z162" i="45"/>
  <c r="Z159" i="45"/>
  <c r="Z160" i="45"/>
  <c r="Z161" i="45"/>
  <c r="Q160" i="45"/>
  <c r="Q161" i="45"/>
  <c r="Q162" i="45"/>
  <c r="Q163" i="45"/>
  <c r="Q159" i="45"/>
  <c r="AR160" i="45"/>
  <c r="AR161" i="45"/>
  <c r="AR162" i="45"/>
  <c r="AR163" i="45"/>
  <c r="AR159" i="45"/>
  <c r="H163" i="45"/>
  <c r="H159" i="45"/>
  <c r="H162" i="45"/>
  <c r="H161" i="45"/>
  <c r="H160" i="45"/>
  <c r="AG163" i="45"/>
  <c r="AG162" i="45"/>
  <c r="AG159" i="45"/>
  <c r="AG160" i="45"/>
  <c r="AG161" i="45"/>
  <c r="X163" i="45"/>
  <c r="X162" i="45"/>
  <c r="X159" i="45"/>
  <c r="X160" i="45"/>
  <c r="X161" i="45"/>
  <c r="O160" i="45"/>
  <c r="O161" i="45"/>
  <c r="O162" i="45"/>
  <c r="O163" i="45"/>
  <c r="O159" i="45"/>
  <c r="F163" i="45"/>
  <c r="F159" i="45"/>
  <c r="F162" i="45"/>
  <c r="F161" i="45"/>
  <c r="F160" i="45"/>
  <c r="AP160" i="45"/>
  <c r="AP161" i="45"/>
  <c r="AP162" i="45"/>
  <c r="AP163" i="45"/>
  <c r="AP159" i="45"/>
  <c r="AI159" i="45"/>
  <c r="AI160" i="45"/>
  <c r="AI161" i="45"/>
  <c r="AI162" i="45"/>
  <c r="AI163" i="45"/>
  <c r="AP148" i="45"/>
  <c r="AE80" i="45"/>
  <c r="Z37" i="45"/>
  <c r="X118" i="45"/>
  <c r="V80" i="45"/>
  <c r="Q106" i="45"/>
  <c r="AN139" i="45"/>
  <c r="D140" i="45"/>
  <c r="AE140" i="45"/>
  <c r="AE138" i="45"/>
  <c r="AE137" i="45"/>
  <c r="AE141" i="45"/>
  <c r="AN141" i="45"/>
  <c r="AQ195" i="45"/>
  <c r="D141" i="45"/>
  <c r="AN137" i="45"/>
  <c r="AN140" i="45"/>
  <c r="D138" i="45"/>
  <c r="AI138" i="45"/>
  <c r="H139" i="45"/>
  <c r="D139" i="45"/>
  <c r="AI137" i="45"/>
  <c r="AI141" i="45"/>
  <c r="AI139" i="45"/>
  <c r="AG137" i="45"/>
  <c r="AG141" i="45"/>
  <c r="AG140" i="45"/>
  <c r="AG139" i="45"/>
  <c r="AG138" i="45"/>
  <c r="H137" i="45"/>
  <c r="H141" i="45"/>
  <c r="H140" i="45"/>
  <c r="F137" i="45"/>
  <c r="F140" i="45"/>
  <c r="F138" i="45"/>
  <c r="F141" i="45"/>
  <c r="O138" i="45"/>
  <c r="O139" i="45"/>
  <c r="O140" i="45"/>
  <c r="O141" i="45"/>
  <c r="O137" i="45"/>
  <c r="F90" i="45"/>
  <c r="H105" i="45"/>
  <c r="F87" i="45"/>
  <c r="AR138" i="45"/>
  <c r="AR139" i="45"/>
  <c r="AR140" i="45"/>
  <c r="AR141" i="45"/>
  <c r="AR137" i="45"/>
  <c r="AP138" i="45"/>
  <c r="AP139" i="45"/>
  <c r="AP140" i="45"/>
  <c r="AP141" i="45"/>
  <c r="AP137" i="45"/>
  <c r="AN127" i="45"/>
  <c r="AN128" i="45"/>
  <c r="AN129" i="45"/>
  <c r="AN130" i="45"/>
  <c r="AN126" i="45"/>
  <c r="AR127" i="45"/>
  <c r="AR128" i="45"/>
  <c r="AR129" i="45"/>
  <c r="AR130" i="45"/>
  <c r="AR126" i="45"/>
  <c r="AP127" i="45"/>
  <c r="AP128" i="45"/>
  <c r="AP129" i="45"/>
  <c r="AP130" i="45"/>
  <c r="AP126" i="45"/>
  <c r="Z137" i="45"/>
  <c r="Z141" i="45"/>
  <c r="Z140" i="45"/>
  <c r="Z139" i="45"/>
  <c r="Z138" i="45"/>
  <c r="X137" i="45"/>
  <c r="X141" i="45"/>
  <c r="X140" i="45"/>
  <c r="X139" i="45"/>
  <c r="X138" i="45"/>
  <c r="V137" i="45"/>
  <c r="V141" i="45"/>
  <c r="V140" i="45"/>
  <c r="V139" i="45"/>
  <c r="V138" i="45"/>
  <c r="M138" i="45"/>
  <c r="M139" i="45"/>
  <c r="M140" i="45"/>
  <c r="M141" i="45"/>
  <c r="M137" i="45"/>
  <c r="Z152" i="45"/>
  <c r="Z151" i="45"/>
  <c r="Z150" i="45"/>
  <c r="Z149" i="45"/>
  <c r="X152" i="45"/>
  <c r="X151" i="45"/>
  <c r="X150" i="45"/>
  <c r="X149" i="45"/>
  <c r="V152" i="45"/>
  <c r="V151" i="45"/>
  <c r="V150" i="45"/>
  <c r="V149" i="45"/>
  <c r="Q149" i="45"/>
  <c r="Q150" i="45"/>
  <c r="Q151" i="45"/>
  <c r="Q152" i="45"/>
  <c r="O149" i="45"/>
  <c r="O150" i="45"/>
  <c r="O151" i="45"/>
  <c r="O152" i="45"/>
  <c r="M149" i="45"/>
  <c r="M150" i="45"/>
  <c r="M151" i="45"/>
  <c r="M152" i="45"/>
  <c r="D152" i="45"/>
  <c r="D151" i="45"/>
  <c r="D150" i="45"/>
  <c r="D149" i="45"/>
  <c r="H152" i="45"/>
  <c r="H151" i="45"/>
  <c r="H150" i="45"/>
  <c r="H149" i="45"/>
  <c r="F152" i="45"/>
  <c r="F151" i="45"/>
  <c r="F150" i="45"/>
  <c r="F149" i="45"/>
  <c r="AI152" i="45"/>
  <c r="AI151" i="45"/>
  <c r="AI150" i="45"/>
  <c r="AI149" i="45"/>
  <c r="AG152" i="45"/>
  <c r="AG151" i="45"/>
  <c r="AG150" i="45"/>
  <c r="AG149" i="45"/>
  <c r="AE152" i="45"/>
  <c r="AE151" i="45"/>
  <c r="AE150" i="45"/>
  <c r="AE149" i="45"/>
  <c r="AR149" i="45"/>
  <c r="AR150" i="45"/>
  <c r="AR151" i="45"/>
  <c r="AR152" i="45"/>
  <c r="AP149" i="45"/>
  <c r="AP150" i="45"/>
  <c r="AP151" i="45"/>
  <c r="AP152" i="45"/>
  <c r="AN149" i="45"/>
  <c r="AN150" i="45"/>
  <c r="AN151" i="45"/>
  <c r="AN152" i="45"/>
  <c r="Q138" i="45"/>
  <c r="Q139" i="45"/>
  <c r="Q140" i="45"/>
  <c r="Q141" i="45"/>
  <c r="Q137" i="45"/>
  <c r="D148" i="45"/>
  <c r="AR148" i="45"/>
  <c r="V82" i="45"/>
  <c r="AE130" i="45"/>
  <c r="Z128" i="45"/>
  <c r="C231" i="45"/>
  <c r="D245" i="45" s="1"/>
  <c r="F44" i="45"/>
  <c r="Q33" i="45"/>
  <c r="E231" i="45"/>
  <c r="F232" i="45" s="1"/>
  <c r="H91" i="45"/>
  <c r="F129" i="45"/>
  <c r="M129" i="45"/>
  <c r="Q36" i="45"/>
  <c r="M126" i="45"/>
  <c r="M127" i="45"/>
  <c r="H106" i="45"/>
  <c r="M6" i="45"/>
  <c r="Q81" i="45"/>
  <c r="Q62" i="45"/>
  <c r="Q82" i="45"/>
  <c r="Q60" i="45"/>
  <c r="M12" i="53"/>
  <c r="H36" i="45"/>
  <c r="Q61" i="45"/>
  <c r="D128" i="45"/>
  <c r="O8" i="45"/>
  <c r="M128" i="45"/>
  <c r="Q64" i="45"/>
  <c r="O6" i="45"/>
  <c r="O10" i="45"/>
  <c r="O9" i="45"/>
  <c r="Q34" i="45"/>
  <c r="Q108" i="45"/>
  <c r="F46" i="45"/>
  <c r="D130" i="45"/>
  <c r="Q72" i="45"/>
  <c r="Z114" i="45"/>
  <c r="Z118" i="45"/>
  <c r="F42" i="45"/>
  <c r="Z117" i="45"/>
  <c r="X7" i="45"/>
  <c r="Z36" i="45"/>
  <c r="F43" i="45"/>
  <c r="F89" i="45"/>
  <c r="F91" i="45"/>
  <c r="Z35" i="45"/>
  <c r="Z33" i="45"/>
  <c r="X8" i="45"/>
  <c r="X9" i="45"/>
  <c r="H109" i="45"/>
  <c r="Z115" i="45"/>
  <c r="H98" i="45"/>
  <c r="X6" i="45"/>
  <c r="H107" i="45"/>
  <c r="Q35" i="45"/>
  <c r="H34" i="45"/>
  <c r="AE81" i="45"/>
  <c r="X117" i="45"/>
  <c r="AE79" i="45"/>
  <c r="V42" i="45"/>
  <c r="AM195" i="45"/>
  <c r="AE82" i="45"/>
  <c r="X116" i="45"/>
  <c r="K17" i="53"/>
  <c r="K19" i="53" s="1"/>
  <c r="AR109" i="45"/>
  <c r="Q70" i="45"/>
  <c r="V46" i="45"/>
  <c r="V43" i="45"/>
  <c r="AI114" i="45"/>
  <c r="Q71" i="45"/>
  <c r="AI115" i="45"/>
  <c r="M25" i="45"/>
  <c r="Z60" i="45"/>
  <c r="AI118" i="45"/>
  <c r="V44" i="45"/>
  <c r="G10" i="53"/>
  <c r="G12" i="53" s="1"/>
  <c r="F51" i="45"/>
  <c r="Z99" i="45"/>
  <c r="F54" i="45"/>
  <c r="Z97" i="45"/>
  <c r="X115" i="45"/>
  <c r="Q107" i="45"/>
  <c r="F26" i="45"/>
  <c r="Z130" i="45"/>
  <c r="Z98" i="45"/>
  <c r="F52" i="45"/>
  <c r="AE127" i="45"/>
  <c r="F24" i="45"/>
  <c r="Z129" i="45"/>
  <c r="AE128" i="45"/>
  <c r="H46" i="45"/>
  <c r="F27" i="45"/>
  <c r="F55" i="45"/>
  <c r="O37" i="45"/>
  <c r="Q73" i="45"/>
  <c r="H43" i="45"/>
  <c r="Q130" i="45"/>
  <c r="Q128" i="45"/>
  <c r="O35" i="45"/>
  <c r="Z90" i="45"/>
  <c r="AG80" i="45"/>
  <c r="X106" i="45"/>
  <c r="AE129" i="45"/>
  <c r="Z127" i="45"/>
  <c r="X105" i="45"/>
  <c r="F128" i="45"/>
  <c r="F108" i="45"/>
  <c r="H99" i="45"/>
  <c r="Q105" i="45"/>
  <c r="AI116" i="45"/>
  <c r="F126" i="45"/>
  <c r="D129" i="45"/>
  <c r="H96" i="45"/>
  <c r="X128" i="45"/>
  <c r="X129" i="45"/>
  <c r="H100" i="45"/>
  <c r="Q129" i="45"/>
  <c r="D127" i="45"/>
  <c r="X130" i="45"/>
  <c r="F127" i="45"/>
  <c r="V129" i="45"/>
  <c r="Q79" i="45"/>
  <c r="V60" i="45"/>
  <c r="V130" i="45"/>
  <c r="O43" i="45"/>
  <c r="M27" i="45"/>
  <c r="Q43" i="45"/>
  <c r="J24" i="53"/>
  <c r="J26" i="53" s="1"/>
  <c r="M9" i="45"/>
  <c r="Q80" i="45"/>
  <c r="V127" i="45"/>
  <c r="O42" i="45"/>
  <c r="O36" i="45"/>
  <c r="V34" i="45"/>
  <c r="X107" i="45"/>
  <c r="M70" i="45"/>
  <c r="V35" i="45"/>
  <c r="C24" i="53"/>
  <c r="C26" i="53" s="1"/>
  <c r="M71" i="45"/>
  <c r="M7" i="45"/>
  <c r="M10" i="45"/>
  <c r="V128" i="45"/>
  <c r="AO195" i="45"/>
  <c r="AG127" i="45"/>
  <c r="O44" i="45"/>
  <c r="O46" i="45"/>
  <c r="Z64" i="45"/>
  <c r="AP105" i="45"/>
  <c r="F28" i="45"/>
  <c r="Z62" i="45"/>
  <c r="O118" i="45"/>
  <c r="Z78" i="45"/>
  <c r="Z61" i="45"/>
  <c r="Z80" i="45"/>
  <c r="Z88" i="45"/>
  <c r="O34" i="45"/>
  <c r="M72" i="45"/>
  <c r="Q46" i="45"/>
  <c r="Z82" i="45"/>
  <c r="Z100" i="45"/>
  <c r="Q96" i="45"/>
  <c r="O126" i="45"/>
  <c r="M64" i="45"/>
  <c r="V100" i="45"/>
  <c r="O129" i="45"/>
  <c r="Z79" i="45"/>
  <c r="V96" i="45"/>
  <c r="F25" i="45"/>
  <c r="X97" i="45"/>
  <c r="Q99" i="45"/>
  <c r="Q100" i="45"/>
  <c r="O127" i="45"/>
  <c r="O128" i="45"/>
  <c r="Q98" i="45"/>
  <c r="H44" i="45"/>
  <c r="F109" i="45"/>
  <c r="AI128" i="45"/>
  <c r="O116" i="45"/>
  <c r="M60" i="45"/>
  <c r="C3" i="53"/>
  <c r="C5" i="53" s="1"/>
  <c r="Z87" i="45"/>
  <c r="Z91" i="45"/>
  <c r="D10" i="45"/>
  <c r="V33" i="45"/>
  <c r="F97" i="45"/>
  <c r="V37" i="45"/>
  <c r="F10" i="53"/>
  <c r="F12" i="53" s="1"/>
  <c r="X109" i="45"/>
  <c r="X61" i="45"/>
  <c r="AI127" i="45"/>
  <c r="F100" i="45"/>
  <c r="M69" i="45"/>
  <c r="X127" i="45"/>
  <c r="D7" i="45"/>
  <c r="AG114" i="45"/>
  <c r="F9" i="45"/>
  <c r="V8" i="45"/>
  <c r="O114" i="45"/>
  <c r="H3" i="53"/>
  <c r="H5" i="53" s="1"/>
  <c r="AG117" i="45"/>
  <c r="D54" i="45"/>
  <c r="AG129" i="45"/>
  <c r="X100" i="45"/>
  <c r="AG128" i="45"/>
  <c r="D51" i="45"/>
  <c r="AG130" i="45"/>
  <c r="O117" i="45"/>
  <c r="D26" i="53"/>
  <c r="J10" i="53"/>
  <c r="J12" i="53" s="1"/>
  <c r="X90" i="45"/>
  <c r="N24" i="53"/>
  <c r="N26" i="53" s="1"/>
  <c r="J3" i="53"/>
  <c r="J5" i="53" s="1"/>
  <c r="H45" i="45"/>
  <c r="F8" i="45"/>
  <c r="H129" i="45"/>
  <c r="V10" i="45"/>
  <c r="H51" i="45"/>
  <c r="E26" i="53"/>
  <c r="Q45" i="45"/>
  <c r="Q42" i="45"/>
  <c r="M105" i="45"/>
  <c r="D69" i="45"/>
  <c r="V70" i="45"/>
  <c r="X89" i="45"/>
  <c r="AG106" i="45"/>
  <c r="Z54" i="45"/>
  <c r="AE90" i="45"/>
  <c r="F98" i="45"/>
  <c r="Z45" i="45"/>
  <c r="AG118" i="45"/>
  <c r="M108" i="45"/>
  <c r="D73" i="45"/>
  <c r="M107" i="45"/>
  <c r="M106" i="45"/>
  <c r="D72" i="45"/>
  <c r="M82" i="45"/>
  <c r="X91" i="45"/>
  <c r="F10" i="45"/>
  <c r="AP107" i="45"/>
  <c r="M26" i="45"/>
  <c r="M51" i="45"/>
  <c r="H89" i="45"/>
  <c r="Z51" i="45"/>
  <c r="M53" i="45"/>
  <c r="D8" i="45"/>
  <c r="Z42" i="45"/>
  <c r="H52" i="45"/>
  <c r="K24" i="53"/>
  <c r="K26" i="53" s="1"/>
  <c r="H55" i="45"/>
  <c r="M81" i="45"/>
  <c r="F17" i="45"/>
  <c r="AI126" i="45"/>
  <c r="H33" i="45"/>
  <c r="AG79" i="45"/>
  <c r="H54" i="45"/>
  <c r="D70" i="45"/>
  <c r="V9" i="45"/>
  <c r="X88" i="45"/>
  <c r="Z55" i="45"/>
  <c r="F7" i="45"/>
  <c r="M28" i="45"/>
  <c r="H35" i="45"/>
  <c r="D6" i="45"/>
  <c r="AE89" i="45"/>
  <c r="AI130" i="45"/>
  <c r="X64" i="45"/>
  <c r="X63" i="45"/>
  <c r="Q127" i="45"/>
  <c r="AG116" i="45"/>
  <c r="Z53" i="45"/>
  <c r="C10" i="53"/>
  <c r="C12" i="53" s="1"/>
  <c r="F19" i="45"/>
  <c r="F18" i="45"/>
  <c r="M24" i="45"/>
  <c r="F99" i="45"/>
  <c r="V7" i="45"/>
  <c r="X60" i="45"/>
  <c r="AG81" i="45"/>
  <c r="AG78" i="45"/>
  <c r="O79" i="45"/>
  <c r="M18" i="45"/>
  <c r="X69" i="45"/>
  <c r="G247" i="45"/>
  <c r="G242" i="45" s="1"/>
  <c r="Q117" i="45"/>
  <c r="Z44" i="45"/>
  <c r="D64" i="45"/>
  <c r="AE118" i="45"/>
  <c r="X72" i="45"/>
  <c r="V97" i="45"/>
  <c r="AG108" i="45"/>
  <c r="X71" i="45"/>
  <c r="X25" i="45"/>
  <c r="D63" i="45"/>
  <c r="V69" i="45"/>
  <c r="H90" i="45"/>
  <c r="F105" i="45"/>
  <c r="O70" i="45"/>
  <c r="AD231" i="45"/>
  <c r="AE232" i="45" s="1"/>
  <c r="Q114" i="45"/>
  <c r="Z46" i="45"/>
  <c r="AP106" i="45"/>
  <c r="AP108" i="45"/>
  <c r="D62" i="45"/>
  <c r="AG105" i="45"/>
  <c r="O17" i="53"/>
  <c r="O19" i="53" s="1"/>
  <c r="X70" i="45"/>
  <c r="D60" i="45"/>
  <c r="V71" i="45"/>
  <c r="K10" i="53"/>
  <c r="K12" i="53" s="1"/>
  <c r="V90" i="45"/>
  <c r="M16" i="45"/>
  <c r="X96" i="45"/>
  <c r="V91" i="45"/>
  <c r="V98" i="45"/>
  <c r="O78" i="45"/>
  <c r="H126" i="45"/>
  <c r="O81" i="45"/>
  <c r="V78" i="45"/>
  <c r="H128" i="45"/>
  <c r="H127" i="45"/>
  <c r="I3" i="53"/>
  <c r="I5" i="53" s="1"/>
  <c r="H88" i="45"/>
  <c r="V73" i="45"/>
  <c r="V79" i="45"/>
  <c r="D34" i="45"/>
  <c r="AI108" i="45"/>
  <c r="V99" i="45"/>
  <c r="AG109" i="45"/>
  <c r="AP109" i="45"/>
  <c r="X98" i="45"/>
  <c r="F106" i="45"/>
  <c r="O82" i="45"/>
  <c r="V64" i="45"/>
  <c r="M54" i="45"/>
  <c r="X24" i="45"/>
  <c r="AI81" i="45"/>
  <c r="M62" i="45"/>
  <c r="M63" i="45"/>
  <c r="I24" i="53"/>
  <c r="I26" i="53" s="1"/>
  <c r="M19" i="45"/>
  <c r="I10" i="53"/>
  <c r="I12" i="53" s="1"/>
  <c r="M55" i="45"/>
  <c r="O71" i="45"/>
  <c r="Q10" i="45"/>
  <c r="Q8" i="45"/>
  <c r="Q9" i="45"/>
  <c r="D52" i="45"/>
  <c r="Q115" i="45"/>
  <c r="H24" i="53"/>
  <c r="H26" i="53" s="1"/>
  <c r="AR105" i="45"/>
  <c r="M15" i="45"/>
  <c r="D109" i="45"/>
  <c r="X46" i="45"/>
  <c r="O72" i="45"/>
  <c r="X43" i="45"/>
  <c r="X28" i="45"/>
  <c r="H19" i="45"/>
  <c r="H18" i="45"/>
  <c r="H7" i="45"/>
  <c r="H8" i="45"/>
  <c r="H6" i="45"/>
  <c r="H10" i="45"/>
  <c r="H9" i="45"/>
  <c r="H17" i="45"/>
  <c r="Q118" i="45"/>
  <c r="AR107" i="45"/>
  <c r="M17" i="45"/>
  <c r="AE114" i="45"/>
  <c r="L17" i="53"/>
  <c r="L19" i="53" s="1"/>
  <c r="AE88" i="45"/>
  <c r="O73" i="45"/>
  <c r="X44" i="45"/>
  <c r="O107" i="45"/>
  <c r="AE115" i="45"/>
  <c r="C242" i="45"/>
  <c r="M79" i="45"/>
  <c r="AI106" i="45"/>
  <c r="AE117" i="45"/>
  <c r="V61" i="45"/>
  <c r="X27" i="45"/>
  <c r="V17" i="45"/>
  <c r="V15" i="45"/>
  <c r="V18" i="45"/>
  <c r="D10" i="53"/>
  <c r="D12" i="53" s="1"/>
  <c r="V19" i="45"/>
  <c r="D53" i="45"/>
  <c r="M80" i="45"/>
  <c r="AI105" i="45"/>
  <c r="V62" i="45"/>
  <c r="X42" i="45"/>
  <c r="Q7" i="45"/>
  <c r="L10" i="53"/>
  <c r="L12" i="53" s="1"/>
  <c r="V88" i="45"/>
  <c r="AI78" i="45"/>
  <c r="O106" i="45"/>
  <c r="AE91" i="45"/>
  <c r="O16" i="45"/>
  <c r="O15" i="45"/>
  <c r="O18" i="45"/>
  <c r="O19" i="45"/>
  <c r="O17" i="45"/>
  <c r="E10" i="53"/>
  <c r="E12" i="53" s="1"/>
  <c r="V24" i="45"/>
  <c r="V26" i="45"/>
  <c r="V28" i="45"/>
  <c r="V25" i="45"/>
  <c r="V27" i="45"/>
  <c r="AH218" i="45"/>
  <c r="AR222" i="45" s="1"/>
  <c r="V87" i="45"/>
  <c r="O96" i="45"/>
  <c r="O105" i="45"/>
  <c r="D105" i="45"/>
  <c r="AI82" i="45"/>
  <c r="D27" i="45"/>
  <c r="E3" i="53"/>
  <c r="E5" i="53" s="1"/>
  <c r="D25" i="45"/>
  <c r="D28" i="45"/>
  <c r="D26" i="45"/>
  <c r="D24" i="45"/>
  <c r="O109" i="45"/>
  <c r="O100" i="45"/>
  <c r="AI79" i="45"/>
  <c r="D106" i="45"/>
  <c r="O97" i="45"/>
  <c r="O99" i="45"/>
  <c r="AR106" i="45"/>
  <c r="N3" i="53"/>
  <c r="N5" i="53" s="1"/>
  <c r="D108" i="45"/>
  <c r="AR108" i="45"/>
  <c r="Z7" i="45"/>
  <c r="Z6" i="45"/>
  <c r="Z107" i="45"/>
  <c r="AH231" i="45"/>
  <c r="AR234" i="45" s="1"/>
  <c r="Z109" i="45"/>
  <c r="X33" i="45"/>
  <c r="X35" i="45"/>
  <c r="X36" i="45"/>
  <c r="X37" i="45"/>
  <c r="D35" i="45"/>
  <c r="AF195" i="45"/>
  <c r="AP197" i="45" s="1"/>
  <c r="Z9" i="45"/>
  <c r="Z106" i="45"/>
  <c r="Z105" i="45"/>
  <c r="Z8" i="45"/>
  <c r="Z10" i="45"/>
  <c r="V114" i="45"/>
  <c r="V118" i="45"/>
  <c r="V116" i="45"/>
  <c r="AP117" i="45"/>
  <c r="V117" i="45"/>
  <c r="V115" i="45"/>
  <c r="O54" i="45"/>
  <c r="O53" i="45"/>
  <c r="O52" i="45"/>
  <c r="O51" i="45"/>
  <c r="N231" i="45"/>
  <c r="O236" i="45" s="1"/>
  <c r="AI107" i="45"/>
  <c r="AM218" i="45"/>
  <c r="D37" i="45"/>
  <c r="D36" i="45"/>
  <c r="AH195" i="45"/>
  <c r="AI200" i="45" s="1"/>
  <c r="V109" i="45"/>
  <c r="V106" i="45"/>
  <c r="N10" i="53"/>
  <c r="N12" i="53" s="1"/>
  <c r="L231" i="45"/>
  <c r="M235" i="45" s="1"/>
  <c r="AN148" i="45"/>
  <c r="V105" i="45"/>
  <c r="V108" i="45"/>
  <c r="F70" i="45"/>
  <c r="AF218" i="45"/>
  <c r="AG220" i="45" s="1"/>
  <c r="AD195" i="45"/>
  <c r="AN200" i="45" s="1"/>
  <c r="F73" i="45"/>
  <c r="X82" i="45"/>
  <c r="X79" i="45"/>
  <c r="X80" i="45"/>
  <c r="X81" i="45"/>
  <c r="AD218" i="45"/>
  <c r="AE219" i="45" s="1"/>
  <c r="AO218" i="45"/>
  <c r="AQ218" i="45"/>
  <c r="G195" i="45"/>
  <c r="H200" i="45" s="1"/>
  <c r="F3" i="53"/>
  <c r="F5" i="53" s="1"/>
  <c r="AP116" i="45"/>
  <c r="AP115" i="45"/>
  <c r="AP118" i="45"/>
  <c r="E218" i="45"/>
  <c r="F220" i="45" s="1"/>
  <c r="P195" i="45"/>
  <c r="Q200" i="45" s="1"/>
  <c r="Q88" i="45"/>
  <c r="F71" i="45"/>
  <c r="Q91" i="45"/>
  <c r="Q89" i="45"/>
  <c r="Q90" i="45"/>
  <c r="AI98" i="45"/>
  <c r="AI97" i="45"/>
  <c r="N218" i="45"/>
  <c r="O222" i="45" s="1"/>
  <c r="G218" i="45"/>
  <c r="H219" i="45" s="1"/>
  <c r="P218" i="45"/>
  <c r="Q223" i="45" s="1"/>
  <c r="AI99" i="45"/>
  <c r="AI100" i="45"/>
  <c r="AN117" i="45"/>
  <c r="AN114" i="45"/>
  <c r="AN118" i="45"/>
  <c r="AN116" i="45"/>
  <c r="O10" i="53"/>
  <c r="O12" i="53" s="1"/>
  <c r="F69" i="45"/>
  <c r="F72" i="45"/>
  <c r="AG96" i="45"/>
  <c r="AG97" i="45"/>
  <c r="AG99" i="45"/>
  <c r="AG100" i="45"/>
  <c r="AM231" i="45"/>
  <c r="AN234" i="45" s="1"/>
  <c r="F24" i="53"/>
  <c r="F26" i="53" s="1"/>
  <c r="M37" i="45"/>
  <c r="M36" i="45"/>
  <c r="M35" i="45"/>
  <c r="M34" i="45"/>
  <c r="O24" i="45"/>
  <c r="O27" i="45"/>
  <c r="O28" i="45"/>
  <c r="O26" i="45"/>
  <c r="O25" i="45"/>
  <c r="M46" i="45"/>
  <c r="G24" i="53"/>
  <c r="G26" i="53" s="1"/>
  <c r="M44" i="45"/>
  <c r="M43" i="45"/>
  <c r="M45" i="45"/>
  <c r="F35" i="45"/>
  <c r="F33" i="45"/>
  <c r="F37" i="45"/>
  <c r="F36" i="45"/>
  <c r="M33" i="45"/>
  <c r="X55" i="45"/>
  <c r="X54" i="45"/>
  <c r="X53" i="45"/>
  <c r="X51" i="45"/>
  <c r="Z24" i="45"/>
  <c r="Z26" i="45"/>
  <c r="Z27" i="45"/>
  <c r="Z28" i="45"/>
  <c r="D88" i="45"/>
  <c r="D90" i="45"/>
  <c r="D89" i="45"/>
  <c r="D91" i="45"/>
  <c r="L3" i="53"/>
  <c r="L5" i="53" s="1"/>
  <c r="O90" i="45"/>
  <c r="O91" i="45"/>
  <c r="O88" i="45"/>
  <c r="O87" i="45"/>
  <c r="O89" i="45"/>
  <c r="L218" i="45"/>
  <c r="M220" i="45" s="1"/>
  <c r="AO231" i="45"/>
  <c r="D87" i="45"/>
  <c r="D19" i="45"/>
  <c r="D15" i="45"/>
  <c r="D16" i="45"/>
  <c r="D17" i="45"/>
  <c r="D3" i="53"/>
  <c r="D5" i="53" s="1"/>
  <c r="D18" i="45"/>
  <c r="M118" i="45"/>
  <c r="M116" i="45"/>
  <c r="M114" i="45"/>
  <c r="O24" i="53"/>
  <c r="O26" i="53" s="1"/>
  <c r="M117" i="45"/>
  <c r="M90" i="45"/>
  <c r="M88" i="45"/>
  <c r="M91" i="45"/>
  <c r="L24" i="53"/>
  <c r="L26" i="53" s="1"/>
  <c r="M89" i="45"/>
  <c r="M87" i="45"/>
  <c r="L195" i="45"/>
  <c r="M199" i="45" s="1"/>
  <c r="D45" i="45"/>
  <c r="G3" i="53"/>
  <c r="G5" i="53" s="1"/>
  <c r="D44" i="45"/>
  <c r="D46" i="45"/>
  <c r="D43" i="45"/>
  <c r="Y195" i="45"/>
  <c r="Z199" i="45" s="1"/>
  <c r="U231" i="45"/>
  <c r="V233" i="45" s="1"/>
  <c r="V55" i="45"/>
  <c r="H10" i="53"/>
  <c r="H12" i="53" s="1"/>
  <c r="V51" i="45"/>
  <c r="V54" i="45"/>
  <c r="V53" i="45"/>
  <c r="Z19" i="45"/>
  <c r="Z17" i="45"/>
  <c r="Z15" i="45"/>
  <c r="Z18" i="45"/>
  <c r="H60" i="45"/>
  <c r="H62" i="45"/>
  <c r="H64" i="45"/>
  <c r="H63" i="45"/>
  <c r="M99" i="45"/>
  <c r="M96" i="45"/>
  <c r="M24" i="53"/>
  <c r="M26" i="53" s="1"/>
  <c r="M100" i="45"/>
  <c r="M98" i="45"/>
  <c r="M97" i="45"/>
  <c r="M17" i="53"/>
  <c r="M19" i="53" s="1"/>
  <c r="AE100" i="45"/>
  <c r="AE97" i="45"/>
  <c r="AE98" i="45"/>
  <c r="AE99" i="45"/>
  <c r="F81" i="45"/>
  <c r="F82" i="45"/>
  <c r="F80" i="45"/>
  <c r="F78" i="45"/>
  <c r="AI90" i="45"/>
  <c r="AI88" i="45"/>
  <c r="AI91" i="45"/>
  <c r="AI89" i="45"/>
  <c r="F79" i="45"/>
  <c r="F62" i="45"/>
  <c r="F63" i="45"/>
  <c r="F64" i="45"/>
  <c r="F60" i="45"/>
  <c r="AI87" i="45"/>
  <c r="X18" i="45"/>
  <c r="X19" i="45"/>
  <c r="X17" i="45"/>
  <c r="X15" i="45"/>
  <c r="H61" i="45"/>
  <c r="X16" i="45"/>
  <c r="AF231" i="45"/>
  <c r="AG232" i="45" s="1"/>
  <c r="M115" i="45"/>
  <c r="D81" i="45"/>
  <c r="D80" i="45"/>
  <c r="K3" i="53"/>
  <c r="K5" i="53" s="1"/>
  <c r="D78" i="45"/>
  <c r="D79" i="45"/>
  <c r="D82" i="45"/>
  <c r="AG89" i="45"/>
  <c r="AG88" i="45"/>
  <c r="AG90" i="45"/>
  <c r="AG91" i="45"/>
  <c r="AG87" i="45"/>
  <c r="O3" i="53"/>
  <c r="O5" i="53" s="1"/>
  <c r="D114" i="45"/>
  <c r="D115" i="45"/>
  <c r="D118" i="45"/>
  <c r="D116" i="45"/>
  <c r="D117" i="45"/>
  <c r="H26" i="45"/>
  <c r="H28" i="45"/>
  <c r="H27" i="45"/>
  <c r="H24" i="45"/>
  <c r="H25" i="45"/>
  <c r="F15" i="45"/>
  <c r="F16" i="45"/>
  <c r="Q26" i="45"/>
  <c r="Q25" i="45"/>
  <c r="Q28" i="45"/>
  <c r="Q27" i="45"/>
  <c r="O60" i="45"/>
  <c r="O64" i="45"/>
  <c r="O62" i="45"/>
  <c r="O63" i="45"/>
  <c r="O61" i="45"/>
  <c r="H80" i="45"/>
  <c r="H82" i="45"/>
  <c r="H81" i="45"/>
  <c r="H79" i="45"/>
  <c r="D96" i="45"/>
  <c r="D100" i="45"/>
  <c r="D99" i="45"/>
  <c r="D98" i="45"/>
  <c r="M3" i="53"/>
  <c r="M5" i="53" s="1"/>
  <c r="D97" i="45"/>
  <c r="W218" i="45"/>
  <c r="X222" i="45" s="1"/>
  <c r="AQ231" i="45"/>
  <c r="G14" i="45"/>
  <c r="H16" i="45" s="1"/>
  <c r="W195" i="45"/>
  <c r="X197" i="45" s="1"/>
  <c r="AR117" i="45"/>
  <c r="AR115" i="45"/>
  <c r="AR116" i="45"/>
  <c r="AR118" i="45"/>
  <c r="H116" i="45"/>
  <c r="H114" i="45"/>
  <c r="H117" i="45"/>
  <c r="H118" i="45"/>
  <c r="Y218" i="45"/>
  <c r="Z220" i="45" s="1"/>
  <c r="W231" i="45"/>
  <c r="H115" i="45"/>
  <c r="F115" i="45"/>
  <c r="F117" i="45"/>
  <c r="F118" i="45"/>
  <c r="F116" i="45"/>
  <c r="E242" i="45"/>
  <c r="Q52" i="45"/>
  <c r="Q54" i="45"/>
  <c r="Q53" i="45"/>
  <c r="Q55" i="45"/>
  <c r="P232" i="45"/>
  <c r="P14" i="45"/>
  <c r="C218" i="45"/>
  <c r="D223" i="45" s="1"/>
  <c r="N195" i="45"/>
  <c r="H72" i="45"/>
  <c r="H69" i="45"/>
  <c r="H73" i="45"/>
  <c r="H71" i="45"/>
  <c r="Z72" i="45"/>
  <c r="Z69" i="45"/>
  <c r="Z73" i="45"/>
  <c r="Z71" i="45"/>
  <c r="H70" i="45"/>
  <c r="AE106" i="45"/>
  <c r="AN108" i="45"/>
  <c r="AN106" i="45"/>
  <c r="AN107" i="45"/>
  <c r="AN109" i="45"/>
  <c r="AN105" i="45"/>
  <c r="AE109" i="45"/>
  <c r="N17" i="53"/>
  <c r="N19" i="53" s="1"/>
  <c r="AE105" i="45"/>
  <c r="AE107" i="45"/>
  <c r="Y231" i="45"/>
  <c r="AE148" i="45"/>
  <c r="X148" i="45"/>
  <c r="AI148" i="45"/>
  <c r="F148" i="45"/>
  <c r="V148" i="45"/>
  <c r="O148" i="45"/>
  <c r="M148" i="45"/>
  <c r="Z148" i="45"/>
  <c r="Q148" i="45"/>
  <c r="H148" i="45"/>
  <c r="AG148" i="45"/>
  <c r="E195" i="45"/>
  <c r="F200" i="45" s="1"/>
  <c r="U195" i="45"/>
  <c r="U218" i="45"/>
  <c r="V223" i="45" s="1"/>
  <c r="C195" i="45"/>
  <c r="D199" i="45" s="1"/>
  <c r="AN158" i="45" l="1"/>
  <c r="AP158" i="45"/>
  <c r="AR158" i="45"/>
  <c r="AE158" i="45"/>
  <c r="AG158" i="45"/>
  <c r="AI158" i="45"/>
  <c r="F158" i="45"/>
  <c r="H158" i="45"/>
  <c r="D158" i="45"/>
  <c r="M158" i="45"/>
  <c r="O158" i="45"/>
  <c r="Q158" i="45"/>
  <c r="V158" i="45"/>
  <c r="X158" i="45"/>
  <c r="Z158" i="45"/>
  <c r="AN136" i="45"/>
  <c r="AR136" i="45"/>
  <c r="M136" i="45"/>
  <c r="AP136" i="45"/>
  <c r="Q136" i="45"/>
  <c r="O136" i="45"/>
  <c r="AE136" i="45"/>
  <c r="AG136" i="45"/>
  <c r="AI136" i="45"/>
  <c r="F136" i="45"/>
  <c r="H136" i="45"/>
  <c r="D136" i="45"/>
  <c r="V136" i="45"/>
  <c r="X136" i="45"/>
  <c r="Z136" i="45"/>
  <c r="AN113" i="45"/>
  <c r="AP113" i="45"/>
  <c r="AN125" i="45"/>
  <c r="AP125" i="45"/>
  <c r="AR125" i="45"/>
  <c r="Z32" i="45"/>
  <c r="Q32" i="45"/>
  <c r="H104" i="45"/>
  <c r="Q59" i="45"/>
  <c r="M125" i="45"/>
  <c r="O5" i="45"/>
  <c r="F41" i="45"/>
  <c r="Z113" i="45"/>
  <c r="F86" i="45"/>
  <c r="AP147" i="45"/>
  <c r="M5" i="45"/>
  <c r="V41" i="45"/>
  <c r="AE77" i="45"/>
  <c r="X5" i="45"/>
  <c r="X113" i="45"/>
  <c r="AI113" i="45"/>
  <c r="Q77" i="45"/>
  <c r="Q95" i="45"/>
  <c r="H95" i="45"/>
  <c r="F125" i="45"/>
  <c r="F50" i="45"/>
  <c r="AE125" i="45"/>
  <c r="Q68" i="45"/>
  <c r="Z95" i="45"/>
  <c r="Z125" i="45"/>
  <c r="O32" i="45"/>
  <c r="D125" i="45"/>
  <c r="Q125" i="45"/>
  <c r="Q104" i="45"/>
  <c r="AR147" i="45"/>
  <c r="X104" i="45"/>
  <c r="V32" i="45"/>
  <c r="Z59" i="45"/>
  <c r="V125" i="45"/>
  <c r="O41" i="45"/>
  <c r="X125" i="45"/>
  <c r="Z77" i="45"/>
  <c r="M68" i="45"/>
  <c r="F23" i="45"/>
  <c r="Z86" i="45"/>
  <c r="O125" i="45"/>
  <c r="AG125" i="45"/>
  <c r="F5" i="45"/>
  <c r="H41" i="45"/>
  <c r="X86" i="45"/>
  <c r="M104" i="45"/>
  <c r="O113" i="45"/>
  <c r="D68" i="45"/>
  <c r="AG113" i="45"/>
  <c r="F95" i="45"/>
  <c r="D5" i="45"/>
  <c r="V95" i="45"/>
  <c r="M59" i="45"/>
  <c r="X59" i="45"/>
  <c r="M23" i="45"/>
  <c r="D59" i="45"/>
  <c r="V5" i="45"/>
  <c r="Q41" i="45"/>
  <c r="V77" i="45"/>
  <c r="F104" i="45"/>
  <c r="Z41" i="45"/>
  <c r="H32" i="45"/>
  <c r="AI125" i="45"/>
  <c r="Z50" i="45"/>
  <c r="H50" i="45"/>
  <c r="X23" i="45"/>
  <c r="V68" i="45"/>
  <c r="X95" i="45"/>
  <c r="AP104" i="45"/>
  <c r="X68" i="45"/>
  <c r="AG77" i="45"/>
  <c r="H86" i="45"/>
  <c r="AG104" i="45"/>
  <c r="AI197" i="45"/>
  <c r="V59" i="45"/>
  <c r="AE235" i="45"/>
  <c r="AE86" i="45"/>
  <c r="X41" i="45"/>
  <c r="O77" i="45"/>
  <c r="H125" i="45"/>
  <c r="Q113" i="45"/>
  <c r="O68" i="45"/>
  <c r="AE233" i="45"/>
  <c r="M77" i="45"/>
  <c r="M50" i="45"/>
  <c r="O95" i="45"/>
  <c r="V86" i="45"/>
  <c r="D50" i="45"/>
  <c r="AE236" i="45"/>
  <c r="M14" i="45"/>
  <c r="AE234" i="45"/>
  <c r="AG197" i="45"/>
  <c r="AR104" i="45"/>
  <c r="AE113" i="45"/>
  <c r="AI104" i="45"/>
  <c r="D104" i="45"/>
  <c r="AI221" i="45"/>
  <c r="H5" i="45"/>
  <c r="AP196" i="45"/>
  <c r="AI219" i="45"/>
  <c r="V14" i="45"/>
  <c r="V23" i="45"/>
  <c r="Q5" i="45"/>
  <c r="AR221" i="45"/>
  <c r="AG196" i="45"/>
  <c r="AR219" i="45"/>
  <c r="AG198" i="45"/>
  <c r="AR220" i="45"/>
  <c r="AP199" i="45"/>
  <c r="AP200" i="45"/>
  <c r="AI220" i="45"/>
  <c r="AR223" i="45"/>
  <c r="AI77" i="45"/>
  <c r="O104" i="45"/>
  <c r="AP198" i="45"/>
  <c r="AG199" i="45"/>
  <c r="AG200" i="45"/>
  <c r="AI223" i="45"/>
  <c r="AI222" i="45"/>
  <c r="AI233" i="45"/>
  <c r="AI196" i="45"/>
  <c r="AR233" i="45"/>
  <c r="O14" i="45"/>
  <c r="AR197" i="45"/>
  <c r="D23" i="45"/>
  <c r="AR232" i="45"/>
  <c r="AI235" i="45"/>
  <c r="AR235" i="45"/>
  <c r="AR236" i="45"/>
  <c r="AI234" i="45"/>
  <c r="AI236" i="45"/>
  <c r="O233" i="45"/>
  <c r="AI232" i="45"/>
  <c r="O50" i="45"/>
  <c r="Z5" i="45"/>
  <c r="X32" i="45"/>
  <c r="Z104" i="45"/>
  <c r="V113" i="45"/>
  <c r="M236" i="45"/>
  <c r="AP219" i="45"/>
  <c r="O234" i="45"/>
  <c r="O232" i="45"/>
  <c r="O235" i="45"/>
  <c r="AP220" i="45"/>
  <c r="AP222" i="45"/>
  <c r="M233" i="45"/>
  <c r="AN199" i="45"/>
  <c r="D32" i="45"/>
  <c r="M232" i="45"/>
  <c r="M234" i="45"/>
  <c r="AE200" i="45"/>
  <c r="V104" i="45"/>
  <c r="AN219" i="45"/>
  <c r="AE223" i="45"/>
  <c r="AN223" i="45"/>
  <c r="AN222" i="45"/>
  <c r="AN147" i="45"/>
  <c r="AI199" i="45"/>
  <c r="AR200" i="45"/>
  <c r="AR198" i="45"/>
  <c r="AI198" i="45"/>
  <c r="AR196" i="45"/>
  <c r="H220" i="45"/>
  <c r="AR199" i="45"/>
  <c r="AN220" i="45"/>
  <c r="F219" i="45"/>
  <c r="F221" i="45"/>
  <c r="AE221" i="45"/>
  <c r="AE199" i="45"/>
  <c r="AG221" i="45"/>
  <c r="AP223" i="45"/>
  <c r="AG223" i="45"/>
  <c r="AP221" i="45"/>
  <c r="AG222" i="45"/>
  <c r="AG219" i="45"/>
  <c r="X77" i="45"/>
  <c r="AN197" i="45"/>
  <c r="H222" i="45"/>
  <c r="H221" i="45"/>
  <c r="AE198" i="45"/>
  <c r="AE197" i="45"/>
  <c r="AE196" i="45"/>
  <c r="F222" i="45"/>
  <c r="AN198" i="45"/>
  <c r="F223" i="45"/>
  <c r="AN196" i="45"/>
  <c r="AN221" i="45"/>
  <c r="AE220" i="45"/>
  <c r="M198" i="45"/>
  <c r="AE222" i="45"/>
  <c r="H197" i="45"/>
  <c r="H198" i="45"/>
  <c r="H196" i="45"/>
  <c r="H199" i="45"/>
  <c r="O220" i="45"/>
  <c r="Q198" i="45"/>
  <c r="Q197" i="45"/>
  <c r="Z197" i="45"/>
  <c r="Q199" i="45"/>
  <c r="O221" i="45"/>
  <c r="D246" i="45"/>
  <c r="Z196" i="45"/>
  <c r="O219" i="45"/>
  <c r="Q196" i="45"/>
  <c r="Z198" i="45"/>
  <c r="M196" i="45"/>
  <c r="F14" i="45"/>
  <c r="X50" i="45"/>
  <c r="M41" i="45"/>
  <c r="F59" i="45"/>
  <c r="D247" i="45"/>
  <c r="Q86" i="45"/>
  <c r="D243" i="45"/>
  <c r="D244" i="45"/>
  <c r="D232" i="45"/>
  <c r="D233" i="45"/>
  <c r="D234" i="45"/>
  <c r="D235" i="45"/>
  <c r="D236" i="45"/>
  <c r="Q219" i="45"/>
  <c r="AI95" i="45"/>
  <c r="AI86" i="45"/>
  <c r="X196" i="45"/>
  <c r="O223" i="45"/>
  <c r="X198" i="45"/>
  <c r="Q221" i="45"/>
  <c r="H223" i="45"/>
  <c r="Q220" i="45"/>
  <c r="Q222" i="45"/>
  <c r="F68" i="45"/>
  <c r="M200" i="45"/>
  <c r="M197" i="45"/>
  <c r="AE95" i="45"/>
  <c r="Q23" i="45"/>
  <c r="AG95" i="45"/>
  <c r="AN232" i="45"/>
  <c r="AN236" i="45"/>
  <c r="AN233" i="45"/>
  <c r="AN235" i="45"/>
  <c r="M219" i="45"/>
  <c r="X223" i="45"/>
  <c r="M222" i="45"/>
  <c r="M223" i="45"/>
  <c r="M221" i="45"/>
  <c r="X221" i="45"/>
  <c r="Z200" i="45"/>
  <c r="Z14" i="45"/>
  <c r="H77" i="45"/>
  <c r="AG86" i="45"/>
  <c r="D41" i="45"/>
  <c r="Z222" i="45"/>
  <c r="F77" i="45"/>
  <c r="D86" i="45"/>
  <c r="H59" i="45"/>
  <c r="AP233" i="45"/>
  <c r="H23" i="45"/>
  <c r="M86" i="45"/>
  <c r="Z223" i="45"/>
  <c r="Z221" i="45"/>
  <c r="V236" i="45"/>
  <c r="V234" i="45"/>
  <c r="V235" i="45"/>
  <c r="V232" i="45"/>
  <c r="O59" i="45"/>
  <c r="O23" i="45"/>
  <c r="M95" i="45"/>
  <c r="Z219" i="45"/>
  <c r="O86" i="45"/>
  <c r="V50" i="45"/>
  <c r="M113" i="45"/>
  <c r="AG234" i="45"/>
  <c r="AP232" i="45"/>
  <c r="AG233" i="45"/>
  <c r="AG236" i="45"/>
  <c r="AP235" i="45"/>
  <c r="AP236" i="45"/>
  <c r="AG235" i="45"/>
  <c r="AP234" i="45"/>
  <c r="M32" i="45"/>
  <c r="D95" i="45"/>
  <c r="F32" i="45"/>
  <c r="X220" i="45"/>
  <c r="X14" i="45"/>
  <c r="X219" i="45"/>
  <c r="D113" i="45"/>
  <c r="D77" i="45"/>
  <c r="D14" i="45"/>
  <c r="Z23" i="45"/>
  <c r="H15" i="45"/>
  <c r="H14" i="45" s="1"/>
  <c r="H68" i="45"/>
  <c r="Q50" i="45"/>
  <c r="F113" i="45"/>
  <c r="Z236" i="45"/>
  <c r="Z232" i="45"/>
  <c r="Z234" i="45"/>
  <c r="Z235" i="45"/>
  <c r="AE104" i="45"/>
  <c r="O197" i="45"/>
  <c r="O200" i="45"/>
  <c r="AN104" i="45"/>
  <c r="D222" i="45"/>
  <c r="G231" i="45"/>
  <c r="H232" i="45" s="1"/>
  <c r="D221" i="45"/>
  <c r="O199" i="45"/>
  <c r="F235" i="45"/>
  <c r="F243" i="45"/>
  <c r="F246" i="45"/>
  <c r="F245" i="45"/>
  <c r="F244" i="45"/>
  <c r="F236" i="45"/>
  <c r="F234" i="45"/>
  <c r="F233" i="45"/>
  <c r="F247" i="45"/>
  <c r="O198" i="45"/>
  <c r="D220" i="45"/>
  <c r="D219" i="45"/>
  <c r="O196" i="45"/>
  <c r="X199" i="45"/>
  <c r="Z68" i="45"/>
  <c r="Q17" i="45"/>
  <c r="Q19" i="45"/>
  <c r="Q18" i="45"/>
  <c r="Q16" i="45"/>
  <c r="P231" i="45"/>
  <c r="Q232" i="45" s="1"/>
  <c r="X200" i="45"/>
  <c r="Q15" i="45"/>
  <c r="X236" i="45"/>
  <c r="X234" i="45"/>
  <c r="X233" i="45"/>
  <c r="X232" i="45"/>
  <c r="X235" i="45"/>
  <c r="H113" i="45"/>
  <c r="Z233" i="45"/>
  <c r="AE147" i="45"/>
  <c r="F147" i="45"/>
  <c r="AI147" i="45"/>
  <c r="X147" i="45"/>
  <c r="D147" i="45"/>
  <c r="M147" i="45"/>
  <c r="Q147" i="45"/>
  <c r="Z147" i="45"/>
  <c r="AG147" i="45"/>
  <c r="H147" i="45"/>
  <c r="O147" i="45"/>
  <c r="V147" i="45"/>
  <c r="V196" i="45"/>
  <c r="V197" i="45"/>
  <c r="V199" i="45"/>
  <c r="V198" i="45"/>
  <c r="D196" i="45"/>
  <c r="V221" i="45"/>
  <c r="V222" i="45"/>
  <c r="V219" i="45"/>
  <c r="V220" i="45"/>
  <c r="D200" i="45"/>
  <c r="D197" i="45"/>
  <c r="D198" i="45"/>
  <c r="V200" i="45"/>
  <c r="F196" i="45"/>
  <c r="F199" i="45"/>
  <c r="F198" i="45"/>
  <c r="F197" i="45"/>
  <c r="AN231" i="45" l="1"/>
  <c r="AI218" i="45"/>
  <c r="AP195" i="45"/>
  <c r="AE231" i="45"/>
  <c r="AG195" i="45"/>
  <c r="AR218" i="45"/>
  <c r="AI231" i="45"/>
  <c r="AR231" i="45"/>
  <c r="O231" i="45"/>
  <c r="M231" i="45"/>
  <c r="AI195" i="45"/>
  <c r="AN218" i="45"/>
  <c r="AR195" i="45"/>
  <c r="AP218" i="45"/>
  <c r="F218" i="45"/>
  <c r="AG218" i="45"/>
  <c r="AN195" i="45"/>
  <c r="AE218" i="45"/>
  <c r="AE195" i="45"/>
  <c r="H218" i="45"/>
  <c r="H195" i="45"/>
  <c r="Q195" i="45"/>
  <c r="O218" i="45"/>
  <c r="Z195" i="45"/>
  <c r="D242" i="45"/>
  <c r="D231" i="45"/>
  <c r="M195" i="45"/>
  <c r="M218" i="45"/>
  <c r="Q218" i="45"/>
  <c r="AP231" i="45"/>
  <c r="AG231" i="45"/>
  <c r="X218" i="45"/>
  <c r="V231" i="45"/>
  <c r="Z218" i="45"/>
  <c r="O195" i="45"/>
  <c r="F231" i="45"/>
  <c r="D218" i="45"/>
  <c r="X195" i="45"/>
  <c r="H243" i="45"/>
  <c r="H236" i="45"/>
  <c r="H245" i="45"/>
  <c r="H234" i="45"/>
  <c r="H246" i="45"/>
  <c r="H235" i="45"/>
  <c r="H244" i="45"/>
  <c r="H247" i="45"/>
  <c r="H233" i="45"/>
  <c r="Z231" i="45"/>
  <c r="X231" i="45"/>
  <c r="Q14" i="45"/>
  <c r="F242" i="45"/>
  <c r="Q233" i="45"/>
  <c r="Q236" i="45"/>
  <c r="Q235" i="45"/>
  <c r="Q234" i="45"/>
  <c r="F195" i="45"/>
  <c r="D195" i="45"/>
  <c r="V218" i="45"/>
  <c r="V195" i="45"/>
  <c r="H231" i="45" l="1"/>
  <c r="Q231" i="45"/>
  <c r="H242"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tc={C4F57766-ADD5-4E20-850F-813BD52CD5F6}</author>
    <author>tc={D8E17F4E-DE7C-6246-BC70-70165C358B4F}</author>
  </authors>
  <commentList>
    <comment ref="P114" authorId="0" shapeId="0" xr:uid="{C4F57766-ADD5-4E20-850F-813BD52CD5F6}">
      <text>
        <t>[Threaded comment]
Your version of Excel allows you to read this threaded comment; however, any edits to it will get removed if the file is opened in a newer version of Excel. Learn more: https://go.microsoft.com/fwlink/?linkid=870924
Comment:
    @Tomas Fernandez Dejé Carlos Martínez por alcance de propuesta, orientado principalmente a diseño de conducciones</t>
      </text>
    </comment>
    <comment ref="T823" authorId="1" shapeId="0" xr:uid="{D8E17F4E-DE7C-6246-BC70-70165C358B4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@Tomas Fernandez Hola, tengo anotado que Matías Muñoz debe trabajar en esta propuesta, pero figura como ganada, por favor aclarar. @David Ceron
Reply:
    @Christian Ihle puede que estés confundiendo. Efectivamente esa oferta se realizó en noviembre 2023 y se ganó, siendo la OS34 del proyecto SH-0265.
Reply:
    @Christian Ihle Es la O-1990, puede que no este en este listado por que llego el mismo viernes, actualizare esta planilla
Reply:
    Ok, gracias 
Reply:
    Así fue David.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60"/>
        </ext>
      </extLst>
    </bk>
    <bk>
      <extLst>
        <ext uri="{3e2802c4-a4d2-4d8b-9148-e3be6c30e623}">
          <xlrd:rvb i="135"/>
        </ext>
      </extLst>
    </bk>
    <bk>
      <extLst>
        <ext uri="{3e2802c4-a4d2-4d8b-9148-e3be6c30e623}">
          <xlrd:rvb i="205"/>
        </ext>
      </extLst>
    </bk>
    <bk>
      <extLst>
        <ext uri="{3e2802c4-a4d2-4d8b-9148-e3be6c30e623}">
          <xlrd:rvb i="273"/>
        </ext>
      </extLst>
    </bk>
    <bk>
      <extLst>
        <ext uri="{3e2802c4-a4d2-4d8b-9148-e3be6c30e623}">
          <xlrd:rvb i="336"/>
        </ext>
      </extLst>
    </bk>
    <bk>
      <extLst>
        <ext uri="{3e2802c4-a4d2-4d8b-9148-e3be6c30e623}">
          <xlrd:rvb i="389"/>
        </ext>
      </extLst>
    </bk>
    <bk>
      <extLst>
        <ext uri="{3e2802c4-a4d2-4d8b-9148-e3be6c30e623}">
          <xlrd:rvb i="457"/>
        </ext>
      </extLst>
    </bk>
    <bk>
      <extLst>
        <ext uri="{3e2802c4-a4d2-4d8b-9148-e3be6c30e623}">
          <xlrd:rvb i="518"/>
        </ext>
      </extLst>
    </bk>
    <bk>
      <extLst>
        <ext uri="{3e2802c4-a4d2-4d8b-9148-e3be6c30e623}">
          <xlrd:rvb i="571"/>
        </ext>
      </extLst>
    </bk>
    <bk>
      <extLst>
        <ext uri="{3e2802c4-a4d2-4d8b-9148-e3be6c30e623}">
          <xlrd:rvb i="580"/>
        </ext>
      </extLst>
    </bk>
    <bk>
      <extLst>
        <ext uri="{3e2802c4-a4d2-4d8b-9148-e3be6c30e623}">
          <xlrd:rvb i="647"/>
        </ext>
      </extLst>
    </bk>
    <bk>
      <extLst>
        <ext uri="{3e2802c4-a4d2-4d8b-9148-e3be6c30e623}">
          <xlrd:rvb i="723"/>
        </ext>
      </extLst>
    </bk>
    <bk>
      <extLst>
        <ext uri="{3e2802c4-a4d2-4d8b-9148-e3be6c30e623}">
          <xlrd:rvb i="802"/>
        </ext>
      </extLst>
    </bk>
    <bk>
      <extLst>
        <ext uri="{3e2802c4-a4d2-4d8b-9148-e3be6c30e623}">
          <xlrd:rvb i="863"/>
        </ext>
      </extLst>
    </bk>
    <bk>
      <extLst>
        <ext uri="{3e2802c4-a4d2-4d8b-9148-e3be6c30e623}">
          <xlrd:rvb i="915"/>
        </ext>
      </extLst>
    </bk>
    <bk>
      <extLst>
        <ext uri="{3e2802c4-a4d2-4d8b-9148-e3be6c30e623}">
          <xlrd:rvb i="977"/>
        </ext>
      </extLst>
    </bk>
    <bk>
      <extLst>
        <ext uri="{3e2802c4-a4d2-4d8b-9148-e3be6c30e623}">
          <xlrd:rvb i="1029"/>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<sst xmlns="http://schemas.openxmlformats.org/spreadsheetml/2006/main" count="34003" uniqueCount="9503">
  <si>
    <t>Año</t>
  </si>
  <si>
    <t>(Todas)</t>
  </si>
  <si>
    <t>Estado</t>
  </si>
  <si>
    <t>PG</t>
  </si>
  <si>
    <t>Etiquetas de fila</t>
  </si>
  <si>
    <t>Suma de Monto (M$)</t>
  </si>
  <si>
    <t xml:space="preserve">Suma de Horas Lic (hh) </t>
  </si>
  <si>
    <t>ACOTEC</t>
  </si>
  <si>
    <t>AF</t>
  </si>
  <si>
    <t>OS</t>
  </si>
  <si>
    <t>ALQUIMIA CONCEPTOS</t>
  </si>
  <si>
    <t>IB</t>
  </si>
  <si>
    <t>IC</t>
  </si>
  <si>
    <t>ID</t>
  </si>
  <si>
    <t>IP</t>
  </si>
  <si>
    <t>Amec</t>
  </si>
  <si>
    <t>AT</t>
  </si>
  <si>
    <t>Anglo American</t>
  </si>
  <si>
    <t>RE</t>
  </si>
  <si>
    <t>(en blanco)</t>
  </si>
  <si>
    <t>Apires Holding</t>
  </si>
  <si>
    <t>AR</t>
  </si>
  <si>
    <t>AQUARA S.A.</t>
  </si>
  <si>
    <t>ARCADIS</t>
  </si>
  <si>
    <t>TP</t>
  </si>
  <si>
    <t>AP</t>
  </si>
  <si>
    <t>CA</t>
  </si>
  <si>
    <t>IB/ID</t>
  </si>
  <si>
    <t>CC</t>
  </si>
  <si>
    <t>IC/IB/ID</t>
  </si>
  <si>
    <t>ED</t>
  </si>
  <si>
    <t>AO</t>
  </si>
  <si>
    <t>ASISTEP</t>
  </si>
  <si>
    <t>PEM</t>
  </si>
  <si>
    <t>Atacama Kozan</t>
  </si>
  <si>
    <t>Ausenco Brasil</t>
  </si>
  <si>
    <t>AUSENCO Chile</t>
  </si>
  <si>
    <t>BAS Concesionaria</t>
  </si>
  <si>
    <t>BHP BILLITON</t>
  </si>
  <si>
    <t>CANDELARIA</t>
  </si>
  <si>
    <t>CAP Mineria</t>
  </si>
  <si>
    <t>CASERONES</t>
  </si>
  <si>
    <t>IG</t>
  </si>
  <si>
    <t>IB/IC</t>
  </si>
  <si>
    <t>ED/ID</t>
  </si>
  <si>
    <t>ITO</t>
  </si>
  <si>
    <t>CAUSSE S.A.</t>
  </si>
  <si>
    <t>CDM SMITH</t>
  </si>
  <si>
    <t>BENCH</t>
  </si>
  <si>
    <t xml:space="preserve">CDM Smith </t>
  </si>
  <si>
    <t>CEMIN</t>
  </si>
  <si>
    <t>Centinela</t>
  </si>
  <si>
    <t>Chinalco</t>
  </si>
  <si>
    <t>Codelco</t>
  </si>
  <si>
    <t>Codelco ANDINA</t>
  </si>
  <si>
    <t>Codelco CHUQUI</t>
  </si>
  <si>
    <t>Codelco DMH</t>
  </si>
  <si>
    <t>Codelco SALVADOR</t>
  </si>
  <si>
    <t>Codelco TENIENTE</t>
  </si>
  <si>
    <t>COLLAHUASI</t>
  </si>
  <si>
    <t>Conpax</t>
  </si>
  <si>
    <t>Consorcio</t>
  </si>
  <si>
    <t>COPRIM</t>
  </si>
  <si>
    <t>CRU Strategies</t>
  </si>
  <si>
    <t>EP</t>
  </si>
  <si>
    <t>El Soldado</t>
  </si>
  <si>
    <t>Empírica Consultores</t>
  </si>
  <si>
    <t>ENAMI</t>
  </si>
  <si>
    <t>Foster Wheeler Chile</t>
  </si>
  <si>
    <t>GLEMANS</t>
  </si>
  <si>
    <t>Hamburgo - RA ingenieros</t>
  </si>
  <si>
    <t>HATCH</t>
  </si>
  <si>
    <t>IEG Ltda</t>
  </si>
  <si>
    <t>IMSPatagonia</t>
  </si>
  <si>
    <t>INCOLUR</t>
  </si>
  <si>
    <t>Industria y Minería</t>
  </si>
  <si>
    <t>JEJ</t>
  </si>
  <si>
    <t>JRI Ingeniería</t>
  </si>
  <si>
    <t>JRQ</t>
  </si>
  <si>
    <t>KDM Energía</t>
  </si>
  <si>
    <t>Knight Piésold Consulting</t>
  </si>
  <si>
    <t>LAS BAMBAS</t>
  </si>
  <si>
    <t>Lyon Engenharia</t>
  </si>
  <si>
    <t>Minera Valle Central</t>
  </si>
  <si>
    <t>NT</t>
  </si>
  <si>
    <t>MMG</t>
  </si>
  <si>
    <t>MOPE</t>
  </si>
  <si>
    <t>MVC</t>
  </si>
  <si>
    <t>Nutram S.A.</t>
  </si>
  <si>
    <t>PELAMBRES</t>
  </si>
  <si>
    <t>CT</t>
  </si>
  <si>
    <t>Propipe</t>
  </si>
  <si>
    <t>PSEI</t>
  </si>
  <si>
    <t>PSI</t>
  </si>
  <si>
    <t>PSI Brasil</t>
  </si>
  <si>
    <t>PSI China</t>
  </si>
  <si>
    <t>Pucobre</t>
  </si>
  <si>
    <t>R&amp;Q Ingeniería</t>
  </si>
  <si>
    <t>RyQ</t>
  </si>
  <si>
    <t>SEDGMAN</t>
  </si>
  <si>
    <t>Sierra Gorda</t>
  </si>
  <si>
    <t>SNC Lavalin</t>
  </si>
  <si>
    <t>AD</t>
  </si>
  <si>
    <t xml:space="preserve">SNC LAVALIN </t>
  </si>
  <si>
    <t>SODEXO</t>
  </si>
  <si>
    <t>SONACOL</t>
  </si>
  <si>
    <t>SQM</t>
  </si>
  <si>
    <t>Subterra</t>
  </si>
  <si>
    <t>TECK</t>
  </si>
  <si>
    <t>TetraTech</t>
  </si>
  <si>
    <t>Universidad de Chile</t>
  </si>
  <si>
    <t>Universidade Federal de Minas Gerais</t>
  </si>
  <si>
    <t>Vale Brasil</t>
  </si>
  <si>
    <t>INT</t>
  </si>
  <si>
    <t>VP Codelco</t>
  </si>
  <si>
    <t>Zaldivar</t>
  </si>
  <si>
    <t>Zanaga Iron Ore Company</t>
  </si>
  <si>
    <t>Total general</t>
  </si>
  <si>
    <t>LISTADO DE PROPUESTAS AL</t>
  </si>
  <si>
    <t>TIPO DE NEGOCIACIÓN</t>
  </si>
  <si>
    <t>ND</t>
  </si>
  <si>
    <t>Negociación Directa</t>
  </si>
  <si>
    <t>m2</t>
  </si>
  <si>
    <t>LM</t>
  </si>
  <si>
    <t>Licitación Múltiple</t>
  </si>
  <si>
    <t>AC</t>
  </si>
  <si>
    <t>Apoyo Contratos</t>
  </si>
  <si>
    <t>Hoy</t>
  </si>
  <si>
    <t>TIPO DE SERVICIO</t>
  </si>
  <si>
    <t>LC</t>
  </si>
  <si>
    <t>Licitación Contrato Abierto</t>
  </si>
  <si>
    <t>Año anterior</t>
  </si>
  <si>
    <t>IP/IC</t>
  </si>
  <si>
    <t>Proyecto T: Ingeniería de Perfil / Conceptual (Prefactibilidad)</t>
  </si>
  <si>
    <t>N/A</t>
  </si>
  <si>
    <t>No Aplica</t>
  </si>
  <si>
    <t>Dias</t>
  </si>
  <si>
    <t>IB/ID/CO</t>
  </si>
  <si>
    <t>Proyecto P: Ingeniería Básica / de Detalle / de Contraparte</t>
  </si>
  <si>
    <t>ÁMBITO</t>
  </si>
  <si>
    <t>Proyecto D: Comisiones de Confianza, Auditoría, Estudio Estratégico, Diagnóstico, Benchmarking y Bases</t>
  </si>
  <si>
    <t>NAC</t>
  </si>
  <si>
    <t>Nacional</t>
  </si>
  <si>
    <t>EP(CM/C)</t>
  </si>
  <si>
    <t>Proyecto P: Ingeniería de Detalle, Adquisición y (Adm. Construcción / Construcción)</t>
  </si>
  <si>
    <t>Internacional</t>
  </si>
  <si>
    <t>Proyecto P: Adquisiciones</t>
  </si>
  <si>
    <t>ESTADO</t>
  </si>
  <si>
    <t>Proyecto F: Contratos Abiertos. Contrato Marco y Servicio de Asesoría</t>
  </si>
  <si>
    <t>PDS</t>
  </si>
  <si>
    <t>Por Definir Situación</t>
  </si>
  <si>
    <t>IT/AO/AC</t>
  </si>
  <si>
    <t>Proyecto S: Ingeniería de Terreno / Apoyo a Operaciones, Manual de Op. y Mant. y PEM / Adm. Construcción</t>
  </si>
  <si>
    <t>En Preparación</t>
  </si>
  <si>
    <t>Proyecto G: Transferencia de Profesionales</t>
  </si>
  <si>
    <t>NL</t>
  </si>
  <si>
    <t>Propuesta No Licitada</t>
  </si>
  <si>
    <t>Proyecto C: Capacitación a Terceros. Cursos, Seminarios, Talleres y Manuales</t>
  </si>
  <si>
    <t>DP</t>
  </si>
  <si>
    <t>Decisión del Cliente Pendiente</t>
  </si>
  <si>
    <t>VD</t>
  </si>
  <si>
    <t>Proyecto Q: Venta de Dragas y Elementos Relacionados</t>
  </si>
  <si>
    <t>Propuesta Ganada</t>
  </si>
  <si>
    <t>PR</t>
  </si>
  <si>
    <t>Precalificación, Inscripción y Registro. REGIC, SICEP</t>
  </si>
  <si>
    <t>PP</t>
  </si>
  <si>
    <t>Propuesta Perdida</t>
  </si>
  <si>
    <t>Otros Servicios</t>
  </si>
  <si>
    <t>PD</t>
  </si>
  <si>
    <t>Propuesta Declarada Desierta</t>
  </si>
  <si>
    <t>Número Proyecto</t>
  </si>
  <si>
    <t xml:space="preserve">Numero </t>
  </si>
  <si>
    <t>Código Prop.</t>
  </si>
  <si>
    <t>Fecha Recep.</t>
  </si>
  <si>
    <t>Cliente</t>
  </si>
  <si>
    <t>Cliente Final</t>
  </si>
  <si>
    <t>Contacto</t>
  </si>
  <si>
    <t>Email</t>
  </si>
  <si>
    <t>Título</t>
  </si>
  <si>
    <t>Tipo Serv.</t>
  </si>
  <si>
    <t>Tipo Licitación</t>
  </si>
  <si>
    <t>Ámbito</t>
  </si>
  <si>
    <t>País</t>
  </si>
  <si>
    <t>Fecha Entrega</t>
  </si>
  <si>
    <t>Líder Técnico</t>
  </si>
  <si>
    <t>Unidad de Negocio (antigua)</t>
  </si>
  <si>
    <t>Unidad de Negocio (Nueva)</t>
  </si>
  <si>
    <t>Comentario</t>
  </si>
  <si>
    <t>Probabilidad</t>
  </si>
  <si>
    <t>Fecha Estado</t>
  </si>
  <si>
    <t>Horas Lic (hh)</t>
  </si>
  <si>
    <t>Monto (M$)</t>
  </si>
  <si>
    <t>Tarifa Promedio</t>
  </si>
  <si>
    <t>Razón propuesta perdida</t>
  </si>
  <si>
    <t>Comentarios propuesta perdida o ganada</t>
  </si>
  <si>
    <t>Código Proy.</t>
  </si>
  <si>
    <t>Fecha de Inicio</t>
  </si>
  <si>
    <t>Duración Servicio</t>
  </si>
  <si>
    <t>Coord.</t>
  </si>
  <si>
    <r>
      <t>Seguimiento</t>
    </r>
    <r>
      <rPr>
        <sz val="10"/>
        <color indexed="12"/>
        <rFont val="Arial"/>
        <family val="2"/>
      </rPr>
      <t xml:space="preserve"> (Consultar)</t>
    </r>
  </si>
  <si>
    <t>A</t>
  </si>
  <si>
    <t>B</t>
  </si>
  <si>
    <t>C</t>
  </si>
  <si>
    <t>D</t>
  </si>
  <si>
    <t>E</t>
  </si>
  <si>
    <t>F</t>
  </si>
  <si>
    <t>G</t>
  </si>
  <si>
    <t>H</t>
  </si>
  <si>
    <t>O-2699</t>
  </si>
  <si>
    <t>DRT</t>
  </si>
  <si>
    <t>ARIBA</t>
  </si>
  <si>
    <t>CM Planificación Minera Largo Plazo</t>
  </si>
  <si>
    <t>CM</t>
  </si>
  <si>
    <t>TBD</t>
  </si>
  <si>
    <t>O-2698</t>
  </si>
  <si>
    <t>Vale</t>
  </si>
  <si>
    <t>Cassio Dayrell</t>
  </si>
  <si>
    <t>cassio.dayrell@vale.com</t>
  </si>
  <si>
    <t>ID Sistema de Selagem Rejeitoduto Lama - VGR-01 - VALE</t>
  </si>
  <si>
    <t>Gustavo Assis</t>
  </si>
  <si>
    <t xml:space="preserve">TA </t>
  </si>
  <si>
    <t>RELAVES</t>
  </si>
  <si>
    <t>O-2697</t>
  </si>
  <si>
    <t>Aguas CAP</t>
  </si>
  <si>
    <t>Claudia Castillo</t>
  </si>
  <si>
    <t>ccastilloc@aguascap.cl</t>
  </si>
  <si>
    <t>Proyecto Sistema de Impulsión y Transporte de Salmuera</t>
  </si>
  <si>
    <t>PRE</t>
  </si>
  <si>
    <t>David Cerón</t>
  </si>
  <si>
    <t>PI</t>
  </si>
  <si>
    <t>PIPELINES</t>
  </si>
  <si>
    <t>O-2696</t>
  </si>
  <si>
    <t>Erick Brito</t>
  </si>
  <si>
    <t>eric.brito@vale.com</t>
  </si>
  <si>
    <t>Reavaliação do Traçado da Tubulação de Rejeito - Mina de Fábrica</t>
  </si>
  <si>
    <t>O-2695</t>
  </si>
  <si>
    <t xml:space="preserve">Wender Araujo </t>
  </si>
  <si>
    <t>c0711007@vale.com</t>
  </si>
  <si>
    <t>Revisão dos documentos do sistema de bombeamento das bombas do ES2058 VGR</t>
  </si>
  <si>
    <t>José Muñoz</t>
  </si>
  <si>
    <t xml:space="preserve">PI  </t>
  </si>
  <si>
    <t>O-2694</t>
  </si>
  <si>
    <t xml:space="preserve">Besalco </t>
  </si>
  <si>
    <t xml:space="preserve">AngloAmerican </t>
  </si>
  <si>
    <t>Flavio Letelier</t>
  </si>
  <si>
    <t>flavio.letelier@besalco.cl</t>
  </si>
  <si>
    <t xml:space="preserve">Apoyo Ingeniería Refinoducto Definitivo Los Bronces </t>
  </si>
  <si>
    <t>O-2693</t>
  </si>
  <si>
    <t>ID Projeto Detalhado para Sistema de Captação Barragem Maravilhas II Mina do Pico</t>
  </si>
  <si>
    <t>O-2692</t>
  </si>
  <si>
    <t>IB Fase 2 Otimização Circuito 0,15mm de VGR1</t>
  </si>
  <si>
    <t>O-2691</t>
  </si>
  <si>
    <t>DET</t>
  </si>
  <si>
    <t>CM Ingeniería y Estudios Multidisciplinarios GPRO - DET</t>
  </si>
  <si>
    <t>O-2690</t>
  </si>
  <si>
    <t>Minera Zaldívar</t>
  </si>
  <si>
    <t>Ariba</t>
  </si>
  <si>
    <t xml:space="preserve">ID Losas y Topes Neumáticos Prefabricadas Chancador Primario </t>
  </si>
  <si>
    <t>Luis Ilabarca</t>
  </si>
  <si>
    <t>OT</t>
  </si>
  <si>
    <t>INFRA</t>
  </si>
  <si>
    <t>O-2689</t>
  </si>
  <si>
    <t>BHP</t>
  </si>
  <si>
    <t>Escondida</t>
  </si>
  <si>
    <t>Rita Gomes</t>
  </si>
  <si>
    <t>rita.gomes4@bhp.com</t>
  </si>
  <si>
    <t>Servicio de Gestión Integral de Proyectos Minera Escondida</t>
  </si>
  <si>
    <t>-</t>
  </si>
  <si>
    <t>O-2688</t>
  </si>
  <si>
    <t>Proforma</t>
  </si>
  <si>
    <t>Spence</t>
  </si>
  <si>
    <t>Dylan Vargas</t>
  </si>
  <si>
    <t>dvaras@proforma.cl</t>
  </si>
  <si>
    <t>Cursos Transporte Hidráulico de Relaves y Agua Operaciones Minera Spence</t>
  </si>
  <si>
    <t>Pablo Vásquez</t>
  </si>
  <si>
    <t>CO</t>
  </si>
  <si>
    <t>O-2687</t>
  </si>
  <si>
    <t>SGSCM</t>
  </si>
  <si>
    <t>Félix Lastra</t>
  </si>
  <si>
    <t>Felix.Lastra@sgscm.cl</t>
  </si>
  <si>
    <t>Ingeniería de Detalles Implementación de Peinetas en Berma 11</t>
  </si>
  <si>
    <t>Fernando Calle</t>
  </si>
  <si>
    <t>SH-0271
ODT-34</t>
  </si>
  <si>
    <t>O-2686</t>
  </si>
  <si>
    <t>IB Mejoramiento Confiabilidad Sistema Eléctrico Planta Chancado Primario Colón</t>
  </si>
  <si>
    <t>Vicente Salinas</t>
  </si>
  <si>
    <t>O-2685</t>
  </si>
  <si>
    <t>DMH</t>
  </si>
  <si>
    <t>Asistencia Técnica Proyectos Cierre Faenas</t>
  </si>
  <si>
    <t>René Lagas</t>
  </si>
  <si>
    <t>SH-0352 ODS033</t>
  </si>
  <si>
    <t>O-2684</t>
  </si>
  <si>
    <t>arthur.pinto@vale.com</t>
  </si>
  <si>
    <t xml:space="preserve">IB/ID Derivação Adutora Itabirito para Cava Andaime - VGR </t>
  </si>
  <si>
    <t>Leandro Souza</t>
  </si>
  <si>
    <t>O-2683</t>
  </si>
  <si>
    <t>Gabriela Pardo</t>
  </si>
  <si>
    <t xml:space="preserve">gpardo@aguascap.cl </t>
  </si>
  <si>
    <t>Ingeniería Implementación Planta de Filtrado</t>
  </si>
  <si>
    <t>Carolina Bohn</t>
  </si>
  <si>
    <t>O-2682</t>
  </si>
  <si>
    <t>Constanza Alcayaga</t>
  </si>
  <si>
    <t>calcayaga.oti@mineracentinela.cl</t>
  </si>
  <si>
    <t>Cursos de Aguas y Relaves</t>
  </si>
  <si>
    <t>O-2681</t>
  </si>
  <si>
    <t>IMECPRO</t>
  </si>
  <si>
    <t>Oxiquim</t>
  </si>
  <si>
    <t>Pablo Matus</t>
  </si>
  <si>
    <t>pablo.matus@imecpro.cl</t>
  </si>
  <si>
    <t>Diseño Ingeniería Tacos en Productivo</t>
  </si>
  <si>
    <t>IN</t>
  </si>
  <si>
    <t>I+D</t>
  </si>
  <si>
    <t>O-2680</t>
  </si>
  <si>
    <t>DAND</t>
  </si>
  <si>
    <t>IF Mejoramiento Condiciones Ambientales Sistema de Chancado</t>
  </si>
  <si>
    <t>IF</t>
  </si>
  <si>
    <t>BP</t>
  </si>
  <si>
    <t>O-2679</t>
  </si>
  <si>
    <t>Arthur Fogaça</t>
  </si>
  <si>
    <t>ED Diagnóstico Rejeitoduto Forquilha IV - Mina de Fábrica</t>
  </si>
  <si>
    <t>O-2678</t>
  </si>
  <si>
    <t xml:space="preserve">Wagner Santos </t>
  </si>
  <si>
    <t xml:space="preserve">wagner.souza.santos@vale.com </t>
  </si>
  <si>
    <t xml:space="preserve">Modelagem chutes Carajás </t>
  </si>
  <si>
    <t>O-2677</t>
  </si>
  <si>
    <t xml:space="preserve">As Built de Tubulações de Agua Carajás </t>
  </si>
  <si>
    <t>O-2676</t>
  </si>
  <si>
    <t>Martín Baliellas</t>
  </si>
  <si>
    <t>e_mbaliellas@aguascap.cl</t>
  </si>
  <si>
    <t>Actualización Capex Ingeniería Santo Domingo - Adicionales</t>
  </si>
  <si>
    <t>SH-0468 ODS1</t>
  </si>
  <si>
    <t>O-2675</t>
  </si>
  <si>
    <t>Caserones</t>
  </si>
  <si>
    <t>Nelson Carvajal Rodríguez</t>
  </si>
  <si>
    <t>nelson.carvajal@lundinmining.com</t>
  </si>
  <si>
    <t>Ingeniería de Detalles Aumento Parque 7G a 8G</t>
  </si>
  <si>
    <t>Vicente Salinas/Paulo Olivares</t>
  </si>
  <si>
    <t>O-2674</t>
  </si>
  <si>
    <t xml:space="preserve">Samuel Pinto </t>
  </si>
  <si>
    <t xml:space="preserve">CO Adutora Onça e Periquito </t>
  </si>
  <si>
    <t>O-2673</t>
  </si>
  <si>
    <t>Alex Vargas</t>
  </si>
  <si>
    <t>avarg017@contratistas.codelco.cl</t>
  </si>
  <si>
    <t>Inspección Operacional Sistema de Conducción de Pulpa - DET</t>
  </si>
  <si>
    <t>O-2672</t>
  </si>
  <si>
    <t>GHD</t>
  </si>
  <si>
    <t>Candelaria</t>
  </si>
  <si>
    <t>Francisco Aranda</t>
  </si>
  <si>
    <t>Francisco.Aranda@ghd.com</t>
  </si>
  <si>
    <t>Inspección Estructural</t>
  </si>
  <si>
    <t>Luís Ilabarca</t>
  </si>
  <si>
    <t>OTHERS</t>
  </si>
  <si>
    <t>O-2671</t>
  </si>
  <si>
    <t>Capstone Copper</t>
  </si>
  <si>
    <t>Mantoverde</t>
  </si>
  <si>
    <t>Nilson Saldías</t>
  </si>
  <si>
    <t>nilson.saldias@capstonecopper.com</t>
  </si>
  <si>
    <t>Empalizada Madera o Metálica</t>
  </si>
  <si>
    <t>SH-0409 ODS1</t>
  </si>
  <si>
    <t>O-2670</t>
  </si>
  <si>
    <t>Intasol</t>
  </si>
  <si>
    <t>Milton Miranda</t>
  </si>
  <si>
    <t>milton@intasol.co.za</t>
  </si>
  <si>
    <t>Revisión Ingeniería Repulpeo Tranques Pérez Caldera</t>
  </si>
  <si>
    <t>Hugo Andrade</t>
  </si>
  <si>
    <t>O-2669</t>
  </si>
  <si>
    <t>Rodrigo López</t>
  </si>
  <si>
    <t>rodrigo.a.lopez2@bhp.com</t>
  </si>
  <si>
    <t>Impermeabilización Celda 11 Etapa 2- Instrumentación</t>
  </si>
  <si>
    <t>Cristian López</t>
  </si>
  <si>
    <t>Se realizará ODS1 con alcance de ODS2 incluido.</t>
  </si>
  <si>
    <t>SH-0466
ODS02</t>
  </si>
  <si>
    <t>O-2668</t>
  </si>
  <si>
    <t>Austral Gold</t>
  </si>
  <si>
    <t>Martin Arnaez</t>
  </si>
  <si>
    <t>martin.arnaez@australgold.com</t>
  </si>
  <si>
    <t>Ampliación Planta Casposo</t>
  </si>
  <si>
    <t>Patricia Lara</t>
  </si>
  <si>
    <t>PLANTA</t>
  </si>
  <si>
    <t>Preliminar</t>
  </si>
  <si>
    <t>O-2667</t>
  </si>
  <si>
    <t>Mejoramiento Layout Ingreso Caserones</t>
  </si>
  <si>
    <t>Paulo Olivares</t>
  </si>
  <si>
    <t>O-2666</t>
  </si>
  <si>
    <t>Trade Off Ampliación Planta Procesos Procesamiento Dique de Cola</t>
  </si>
  <si>
    <t>O-2665</t>
  </si>
  <si>
    <t>Cynthia Zamorano</t>
  </si>
  <si>
    <t>cynthia.zamorano@bhp.com</t>
  </si>
  <si>
    <t>Servicio de Comisionamiento Proyecto LSTS-WP05</t>
  </si>
  <si>
    <t>COM</t>
  </si>
  <si>
    <t>g</t>
  </si>
  <si>
    <t>O-2664</t>
  </si>
  <si>
    <t>Reparación Hormigón Planta Concentradora</t>
  </si>
  <si>
    <t>O-2663</t>
  </si>
  <si>
    <t>AngloAmerican</t>
  </si>
  <si>
    <t>AngloAmerican Los Bronces</t>
  </si>
  <si>
    <t>Miguel Fiol</t>
  </si>
  <si>
    <t>miguel.fiol@angloamerican.com</t>
  </si>
  <si>
    <t>Análisis Pruebas Flotación de Sedimentos Embalse Los Bronces</t>
  </si>
  <si>
    <t>O-2662</t>
  </si>
  <si>
    <t>Asesoría Relaves Spence SNCT</t>
  </si>
  <si>
    <t>AE</t>
  </si>
  <si>
    <t>Pedro Valencia</t>
  </si>
  <si>
    <t>O-2661</t>
  </si>
  <si>
    <t>Contrato Marco Ingenierías Intermedias</t>
  </si>
  <si>
    <t>BP-PI-TA</t>
  </si>
  <si>
    <t>O-2660</t>
  </si>
  <si>
    <t>Ingeniería de Estudios Complementarios para el Desarrollo del Negocio de Andina Post Ramsay</t>
  </si>
  <si>
    <t>O-2659</t>
  </si>
  <si>
    <t>Juan González</t>
  </si>
  <si>
    <t>juan.r.gonzalez1@bhp.com</t>
  </si>
  <si>
    <t>Budgetaria Comisionamiento Proyecto SCPY Ripios Disposal (SCPY-RD)</t>
  </si>
  <si>
    <t xml:space="preserve">David Cerón  </t>
  </si>
  <si>
    <t>Botadero de Ripios</t>
  </si>
  <si>
    <t>O-2658</t>
  </si>
  <si>
    <t>BHP Supplier</t>
  </si>
  <si>
    <t>supplierportal.bhp.com</t>
  </si>
  <si>
    <t>Ingeniería de Detalles Impermeabilización de Celda 11 - Etapa 2 - ODS01 - SH-0466</t>
  </si>
  <si>
    <t>SH-0466
ODS01</t>
  </si>
  <si>
    <t>O-2657</t>
  </si>
  <si>
    <t>Metaproject</t>
  </si>
  <si>
    <t>Fabian Chacana Moreira</t>
  </si>
  <si>
    <t>fchacana@metaprojectgroup.com</t>
  </si>
  <si>
    <t>Proceso de Segmentación y Precalificación de Proveedores y Contratistas</t>
  </si>
  <si>
    <t>Tomás Fernández</t>
  </si>
  <si>
    <t>O-2656</t>
  </si>
  <si>
    <t>Ingeniería Conceptual y Detalle – Operación de Sistema de Transporte de Relaves de Etapas Próximas de Crecimiento</t>
  </si>
  <si>
    <t>En Rev. 1</t>
  </si>
  <si>
    <t>SH-0271
ODT-33</t>
  </si>
  <si>
    <t>O-2655</t>
  </si>
  <si>
    <t>Ingeniería Detalle - Conexión líneas 800mm y 900mm en Cruceta Principal</t>
  </si>
  <si>
    <t>SH-0271
ODT-32</t>
  </si>
  <si>
    <t>O-2654</t>
  </si>
  <si>
    <t>Ingeniería Conceptual y Detalle - Instalación de Placas Orificio para Operación Bombeada y Conexión Estanque de Relaves a Línea de HDPE 800mm</t>
  </si>
  <si>
    <t>SH-0271
ODT-31</t>
  </si>
  <si>
    <t>O-2653</t>
  </si>
  <si>
    <t>Marcos Madrid</t>
  </si>
  <si>
    <t>marcos.madrid@bhp.com</t>
  </si>
  <si>
    <t>Modificación al Listado de Entregables y Actividades por requerimientos del desarrollo de la ingeniería</t>
  </si>
  <si>
    <t>SH-0368 (NOC 11)</t>
  </si>
  <si>
    <t>O-2652</t>
  </si>
  <si>
    <t xml:space="preserve"> Ingeniería Conceptual Incorporación de 4to Chancador de Pebbles</t>
  </si>
  <si>
    <t>O-2651</t>
  </si>
  <si>
    <t xml:space="preserve"> Ingeniería Conceptual Incorporación de dos Celdas Columnares en Planta de Flotación</t>
  </si>
  <si>
    <t>O-2650</t>
  </si>
  <si>
    <t>Contrato Marco Servicios de Ingeniería Proyectos Agua</t>
  </si>
  <si>
    <t>O-2649</t>
  </si>
  <si>
    <t>Minera San Gerónimo</t>
  </si>
  <si>
    <t>Jaime Araya</t>
  </si>
  <si>
    <t>jaime.araya@cmsg.cl</t>
  </si>
  <si>
    <t>Contrato Marco Servicios de Ingeniería - Minera San Gerónimo</t>
  </si>
  <si>
    <t>Waldo Bustos</t>
  </si>
  <si>
    <t>O-2648</t>
  </si>
  <si>
    <t>Balance Hidroquímico</t>
  </si>
  <si>
    <t>Pamela Alhucema</t>
  </si>
  <si>
    <t>O-2647</t>
  </si>
  <si>
    <t>VP Relaves</t>
  </si>
  <si>
    <t>Gonzalo Caro</t>
  </si>
  <si>
    <t>Contrato Boutique Vicepresidencia Relaves</t>
  </si>
  <si>
    <t>O-2646</t>
  </si>
  <si>
    <t>DSAL</t>
  </si>
  <si>
    <t>Virgilio Saavedra Flores</t>
  </si>
  <si>
    <t>VSaav006@codelco.cl</t>
  </si>
  <si>
    <t>Mejoramiento Infraestructura Hídrica - DSAL</t>
  </si>
  <si>
    <t>O-2645</t>
  </si>
  <si>
    <t>Análisis del Estado de Elementos de Conducción, Manejo y Disposición de Relaves DAND</t>
  </si>
  <si>
    <t>O-2644</t>
  </si>
  <si>
    <t>Sociedad Manríquez S.A.</t>
  </si>
  <si>
    <t>Aguas Pacífico</t>
  </si>
  <si>
    <t>Miguel Ángel Soto</t>
  </si>
  <si>
    <t>sergio.rosales@aguaspacifico.cl</t>
  </si>
  <si>
    <t>Asesoría Especializada Luis Ilabarca Tranque Pampa Austral</t>
  </si>
  <si>
    <t>O-2643</t>
  </si>
  <si>
    <t>CMP</t>
  </si>
  <si>
    <t>Jacques Lito Rengifo Bravo</t>
  </si>
  <si>
    <t xml:space="preserve"> jrengifo@cmp.cl</t>
  </si>
  <si>
    <t>Contrato Marco Servicio de Ingeniería Multidisciplinaria - ODS N°43 - Alcances EE-IN en ODS32 ID Integración Proyecto Solución Concentrado Planta Magnetita en Puerto Punta Totoralillo (SCPMP) - SH-0399</t>
  </si>
  <si>
    <t>SH-0399 ODS N°43</t>
  </si>
  <si>
    <t>O-2642</t>
  </si>
  <si>
    <t>VALE</t>
  </si>
  <si>
    <t>Paulo Karol</t>
  </si>
  <si>
    <t>paulo.karol@vale.com</t>
  </si>
  <si>
    <t>Engenharia Hidraulica - Apoio Tecnico Engenharia Vale - NOC03</t>
  </si>
  <si>
    <t>Dolglas Souza</t>
  </si>
  <si>
    <t>Revisión 6. 18 meses. Contrato Marco y Apoyo en Terreno.</t>
  </si>
  <si>
    <t>SH-0366
NOC3</t>
  </si>
  <si>
    <t>O-2641</t>
  </si>
  <si>
    <t>Grupo Errázuriz</t>
  </si>
  <si>
    <t>Alejandro Puelles</t>
  </si>
  <si>
    <t>apuelles@grupoerrazuriz.cl</t>
  </si>
  <si>
    <t>Ingeniería de Prefactibilidad Ampliación Planta Tambillos ODS01 CM - Grupo Errázuriz</t>
  </si>
  <si>
    <t>IPref</t>
  </si>
  <si>
    <t>SH-0467
ODS01</t>
  </si>
  <si>
    <t>O-2640</t>
  </si>
  <si>
    <t>stephan.matulic@bhp.com</t>
  </si>
  <si>
    <t>Entregables Impactados por Cambio de Base Topográfica por parte de BHP - SH-0390 - PDN73</t>
  </si>
  <si>
    <t>SH-0390
PDN73</t>
  </si>
  <si>
    <t>O-2639</t>
  </si>
  <si>
    <t>Solicitud Respuestas a Consultas de Licitación Electromecánico y Actualización de Alcance Documentos SoW, Bases de Medición y Pago - SH-0390 - PDN71</t>
  </si>
  <si>
    <t>SH-0390
PDN71</t>
  </si>
  <si>
    <t>O-2638</t>
  </si>
  <si>
    <t>Entregables Adicionales al Servicio de Ingeniería para Descarga Auxiliar Celda N°8 y Descarga Bypass MSO - SH-0390 - PDN70</t>
  </si>
  <si>
    <t>SH-0390
PDN70</t>
  </si>
  <si>
    <t>O-2637</t>
  </si>
  <si>
    <t>Extensión de Plazo para Administración y Control de Proyecto - SH-0390 - PDN68</t>
  </si>
  <si>
    <t>SH-0390
PDN68</t>
  </si>
  <si>
    <t>O-2636</t>
  </si>
  <si>
    <t>Desarrollo de Ingeniería de Resultados Trade off Piscina Espesadores - SH-0390 - PDN66</t>
  </si>
  <si>
    <t>SH-0390
PDN66</t>
  </si>
  <si>
    <t>O-2635</t>
  </si>
  <si>
    <t>Extensión de Zanja de Relaves Existente - Solución de Interferencia con Caminos Proyectados - SH-0390 - PDN63</t>
  </si>
  <si>
    <t>SH-0390
PDN63</t>
  </si>
  <si>
    <t>O-2634</t>
  </si>
  <si>
    <t>Presentación Técnica Equipo de Ejecución - SH-0390 - PDN61</t>
  </si>
  <si>
    <t>SH-0390
PDN61</t>
  </si>
  <si>
    <t>O-2633</t>
  </si>
  <si>
    <t>Visita a Terreno Licitación Contratistas Electromecanico (Viaje Orlando Peralta) - SH-0390 - PDN58</t>
  </si>
  <si>
    <t>SH-0390
PDN58</t>
  </si>
  <si>
    <t>O-2632</t>
  </si>
  <si>
    <t>Descarga Provisoria a Celda N°8 (actualización) - SH-0390 - PDN57</t>
  </si>
  <si>
    <t>SH-0390
PDN57</t>
  </si>
  <si>
    <t>O-2631</t>
  </si>
  <si>
    <t>Análisis de Alternativas para Piscinas de Espesadores y Solicitudes de Operaciones - SH-0390 - PDN56</t>
  </si>
  <si>
    <t>SH-0390
PDN56</t>
  </si>
  <si>
    <t>O-2630</t>
  </si>
  <si>
    <t>Gastos Generales y Utilidades - SH-0390 - PDN55</t>
  </si>
  <si>
    <t>SH-0390
PDN55</t>
  </si>
  <si>
    <t>O-2629</t>
  </si>
  <si>
    <t>Incorporación VDF ABB a SE de PRECISION - SH-0390 - PDN54</t>
  </si>
  <si>
    <t>SH-0390
PDN54</t>
  </si>
  <si>
    <t>O-2628</t>
  </si>
  <si>
    <t>Listado de Entregables INTERIM Integrado - SH-0390 - PDN52</t>
  </si>
  <si>
    <t>SH-0390
PDN52</t>
  </si>
  <si>
    <t>O-2627</t>
  </si>
  <si>
    <t>Actividades Adicionales Simulación de Estimación de Movimiento de Tierra y Hormigones y Paquete de Compra CAPEX - SH-0390 - PDN51</t>
  </si>
  <si>
    <t>SH-0390
PDN51</t>
  </si>
  <si>
    <t>O-2626</t>
  </si>
  <si>
    <t>Eliminación Alcance Ingeniería INTERIM (Apoyo IPR) - SH-0390 - PDN49</t>
  </si>
  <si>
    <t>SH-0390
PDN49</t>
  </si>
  <si>
    <t>O-2625</t>
  </si>
  <si>
    <t>Pruebas FAT, SAT Suministros en Proceso de Activación - SH-0390 - PDN48</t>
  </si>
  <si>
    <t>SH-0390
PDN48</t>
  </si>
  <si>
    <t>O-2624</t>
  </si>
  <si>
    <t>Trazabilidad PDN 23 y PDN 39 - SH-0390 - PDN47</t>
  </si>
  <si>
    <t>SH-0390
PDN47</t>
  </si>
  <si>
    <t>O-2623</t>
  </si>
  <si>
    <t>Nota Técnica - Aceleración de Programa Etapa 1 - SH-0390 - PDN45</t>
  </si>
  <si>
    <t>SH-0390
PDN45</t>
  </si>
  <si>
    <t>O-2622</t>
  </si>
  <si>
    <t>Actualización de Caracterización Reológica con Nuevos Datos Operacionales - SH-0390 - PDN43</t>
  </si>
  <si>
    <t>SH-0390
PDN43</t>
  </si>
  <si>
    <t>O-2621</t>
  </si>
  <si>
    <t>Verificación Hidráulica - Impulsión de Relaves hacia Celda 11 (enero 2026) - SH-0390 - PDN42</t>
  </si>
  <si>
    <t>SH-0390
PDN42</t>
  </si>
  <si>
    <t>O-2620</t>
  </si>
  <si>
    <t>Incorporación Conexión de Línea Sur de Relaves en la Estación Booster - SH-0390 - PDN41</t>
  </si>
  <si>
    <t>SH-0390
PDN41</t>
  </si>
  <si>
    <t>O-2619</t>
  </si>
  <si>
    <t>Incorporación de Conducción de Relaves en el Área Sur del Depósito - SH-0390 - PDN39</t>
  </si>
  <si>
    <t>SH-0390
PDN39</t>
  </si>
  <si>
    <t>O-2618</t>
  </si>
  <si>
    <t>Nota Técnica Lecciones Aprendidas STR Escondida - SH-0390 - PDN38</t>
  </si>
  <si>
    <t>SH-0390
PDN38</t>
  </si>
  <si>
    <t>O-2617</t>
  </si>
  <si>
    <t>Incorporación de Nuevo Trazado sur para Etapas 3 - SH-0390 - PDN37</t>
  </si>
  <si>
    <t>SH-0390
PDN37</t>
  </si>
  <si>
    <t>O-2616</t>
  </si>
  <si>
    <t>Actividades Adicionales Solicitas por el Equipo de BHP para Realizar Modificaciones en el Programa Maestro y las Partidas para Cuadro de Precios en el Documento Bases de Licitación - SH-0390 - PDN35</t>
  </si>
  <si>
    <t>SH-0390
PDN35</t>
  </si>
  <si>
    <t>O-2615</t>
  </si>
  <si>
    <t>Impacto en plazo Administración y Control de Proyecto - SH-0390 - PDN32</t>
  </si>
  <si>
    <t>SH-0390
PDN32</t>
  </si>
  <si>
    <t>O-2614</t>
  </si>
  <si>
    <t>Actualización Tags, Recodificación Documentos y Planos de SPS/DPS a Interim Etapa 3 - SH-0390 - PDN29</t>
  </si>
  <si>
    <t>SH-0390
PDN29</t>
  </si>
  <si>
    <t>O-2613</t>
  </si>
  <si>
    <t>(SCT) Separación alcances Etapa 3 Proyecto SCT respecto de PDN 5 - SH-0390 - PDN25</t>
  </si>
  <si>
    <t>SH-0390
PDN25</t>
  </si>
  <si>
    <t>O-2612</t>
  </si>
  <si>
    <t>Trazabilidad Entregables Etapa 3 - SH-0390 - PDN21</t>
  </si>
  <si>
    <t>SH-0390
PDN21</t>
  </si>
  <si>
    <t>O-2611</t>
  </si>
  <si>
    <t>Actualización de Entregables Impactadas por la Mecánica de Suelos en Etapa N°1 y N°2 Estación Booster - SH-0390 - PDN15</t>
  </si>
  <si>
    <t>SH-0390
PDN15</t>
  </si>
  <si>
    <t>O-2610</t>
  </si>
  <si>
    <t>Servicios de Ingeniería Desarrollo NCC-30</t>
  </si>
  <si>
    <t xml:space="preserve">David Cerón </t>
  </si>
  <si>
    <t>Carta Excusa</t>
  </si>
  <si>
    <t>O-2609</t>
  </si>
  <si>
    <t>Ingeniería de Factibilidad Disposición Alternativa de Relaves Nueva Centinela - NOC01</t>
  </si>
  <si>
    <t>SH-0439
NOC01</t>
  </si>
  <si>
    <t>O-2608</t>
  </si>
  <si>
    <t>Portal BHP</t>
  </si>
  <si>
    <t>paola.amigo@bhp.com</t>
  </si>
  <si>
    <t>Ingeniería SPS-DPS+EXE Causa Raíz Agua Recuperada - MEL</t>
  </si>
  <si>
    <t>Carlos Martínez</t>
  </si>
  <si>
    <t>O-2607</t>
  </si>
  <si>
    <t>Ingeniería de Perfil Piping Planta Concentradora - Codelco DAND</t>
  </si>
  <si>
    <t xml:space="preserve">IP </t>
  </si>
  <si>
    <t>O-2606</t>
  </si>
  <si>
    <t>Sergio Antonio Gomez Palacios</t>
  </si>
  <si>
    <t>sergio.gomez@lundinmining.com</t>
  </si>
  <si>
    <t>Ingeniería de Detalles Mejoramiento Atriles de Mantenimiento de Celdas de Flotación</t>
  </si>
  <si>
    <t>Carlos Merlo / Miguel Ángel Sepúlveda</t>
  </si>
  <si>
    <t>O-2605</t>
  </si>
  <si>
    <t xml:space="preserve">Sergio Rosales </t>
  </si>
  <si>
    <t>Ingeniería Básica para presentar DIA Proyecto SIQ Fase 2</t>
  </si>
  <si>
    <t xml:space="preserve">IB </t>
  </si>
  <si>
    <t>O-2604</t>
  </si>
  <si>
    <t>Universidad Mayor</t>
  </si>
  <si>
    <t>Fernando Marín</t>
  </si>
  <si>
    <t>fernando.marin@umayor.cl</t>
  </si>
  <si>
    <t>Ingeniería Túnel Minero - Centro de Competencias Mineras Universidad Mayor</t>
  </si>
  <si>
    <t>O-2603</t>
  </si>
  <si>
    <t>MPC Consultora</t>
  </si>
  <si>
    <t>Glencore</t>
  </si>
  <si>
    <t>Sebastián Séneca Fernández Archilla</t>
  </si>
  <si>
    <t>sfernandez@mpcconsultora.com.ar</t>
  </si>
  <si>
    <t>Supervisión Senior de Sondajes para Exploración Geotécnica</t>
  </si>
  <si>
    <t>O-2602</t>
  </si>
  <si>
    <t>Caio Nascimento</t>
  </si>
  <si>
    <t>C065361@vale.com</t>
  </si>
  <si>
    <t>Engenharia Detalhada Desvio da Adutora Sahy Mangaratiba - Vale</t>
  </si>
  <si>
    <t>TA</t>
  </si>
  <si>
    <t>O-2601</t>
  </si>
  <si>
    <t>Ingeniería de Factibilidad Nuevo Concentraducto - Codelco DAND</t>
  </si>
  <si>
    <t>O-2600</t>
  </si>
  <si>
    <t>Pamela Ovalle</t>
  </si>
  <si>
    <t>CM Servicios Multidisciplinarios de Ingeniería Multidisciplinaria</t>
  </si>
  <si>
    <t>O-2599</t>
  </si>
  <si>
    <t>DCH</t>
  </si>
  <si>
    <t>Ingeniería de Prefactibilidad Mejoramiento Sistema de Manejo de Polvos Metalúrgicos</t>
  </si>
  <si>
    <t>O-2598</t>
  </si>
  <si>
    <t>Las Cenizas</t>
  </si>
  <si>
    <t>Javier Castillo Castro</t>
  </si>
  <si>
    <t>javier.castillo@cenizas.cl</t>
  </si>
  <si>
    <t>Ingeniería de Detalles Ampliación Depósito de Relaves en Pasta Las Luces - Minera Las Cenizas</t>
  </si>
  <si>
    <t>O-2597</t>
  </si>
  <si>
    <t>Samuel Pinto</t>
  </si>
  <si>
    <t>ID Adequação Amostradores - Cauê - VALE</t>
  </si>
  <si>
    <t>Mauricio Villanueva</t>
  </si>
  <si>
    <t>O-2596</t>
  </si>
  <si>
    <t>DGM</t>
  </si>
  <si>
    <t>Servicio Contraparte Técnico Ingenierías y Apoyo Experto - Codelco DCH</t>
  </si>
  <si>
    <t>LBP</t>
  </si>
  <si>
    <t>O-2595</t>
  </si>
  <si>
    <t>Leonardo Parraguez</t>
  </si>
  <si>
    <t>leonardo.parraguez@capstonecopper.com</t>
  </si>
  <si>
    <t>Análisis Hidráulico Cortador Metalúrgico Equiprobabilístico</t>
  </si>
  <si>
    <t>Rafael Videla B.</t>
  </si>
  <si>
    <t>O-2594</t>
  </si>
  <si>
    <t>Contrato Marco de Ingeniería</t>
  </si>
  <si>
    <t>BP-LBP-TA-PI</t>
  </si>
  <si>
    <t>SH-0467</t>
  </si>
  <si>
    <t>O-2593</t>
  </si>
  <si>
    <t>Actualización Capex Ingeniería Santo Domingo</t>
  </si>
  <si>
    <t>SH-0468</t>
  </si>
  <si>
    <t>O-2592</t>
  </si>
  <si>
    <t>ITAMINAS</t>
  </si>
  <si>
    <t>Marcelo Camargos</t>
  </si>
  <si>
    <t>marcelo.camargos@itaminas.com.br</t>
  </si>
  <si>
    <t>ID Implantação dos Espessadores 7 e 8  ITAMINAS - VALE</t>
  </si>
  <si>
    <t>O-2591</t>
  </si>
  <si>
    <t>Nicolás Rojas Droguet</t>
  </si>
  <si>
    <t>nrojas@CMSG.CL</t>
  </si>
  <si>
    <t>Modelación Sistema de Espesamiento de Cobre y Agua Planta Talcuna</t>
  </si>
  <si>
    <t>Hernán Castro</t>
  </si>
  <si>
    <t>O-2590</t>
  </si>
  <si>
    <t>Servicio de Mantención del Plan de Manejo Forestal del Sector Tranque Barahona - Codelco DET</t>
  </si>
  <si>
    <t>O-2589</t>
  </si>
  <si>
    <t>Ingeniería Crecimiento Berma Spigots S1-S2 - Diseño de Detalles de Spigots</t>
  </si>
  <si>
    <t>SH-0271
ODT-28 NOC01</t>
  </si>
  <si>
    <t>O-2588</t>
  </si>
  <si>
    <t>Ingeniería Conceptual Transporte de Relaves a Berma JE - Análisis Adicionales de Disposición de Peinetas</t>
  </si>
  <si>
    <t>SH-0271
ODT-25 NOC03</t>
  </si>
  <si>
    <t>O-2587</t>
  </si>
  <si>
    <t>Ingeniería Camino Minero - Capex</t>
  </si>
  <si>
    <t>SH-0271
ODT-22 NOC01</t>
  </si>
  <si>
    <t>O-2586</t>
  </si>
  <si>
    <t>Ingeniería Básica Diseño Estación de Suministro de Agua Para Camiones</t>
  </si>
  <si>
    <t>O-2585</t>
  </si>
  <si>
    <t>Jacques Lito</t>
  </si>
  <si>
    <t>jrengifo@cmp.cl</t>
  </si>
  <si>
    <t>Contrato Marco Servicio de Ingeniería Multidisciplinaria - ODS N°42 - Revisión Ingeniería Especialidad Procesos, Proyectos Valle Copiapó - SH-0399</t>
  </si>
  <si>
    <t>O-2584</t>
  </si>
  <si>
    <t>Collahuasi</t>
  </si>
  <si>
    <t>Krisstian Bravo</t>
  </si>
  <si>
    <t>KABRAVO@collahuasi.cl</t>
  </si>
  <si>
    <t>Ingeniería FEL 3 Optimización Piscinas Muros Auxiliares</t>
  </si>
  <si>
    <t>Julio Jara</t>
  </si>
  <si>
    <t>O-2583</t>
  </si>
  <si>
    <t>Paola López</t>
  </si>
  <si>
    <t>paola.lopez2@bhp.com</t>
  </si>
  <si>
    <t>Revisión Hidráulica Spence Concentrator Upgrade Recovery - DPS</t>
  </si>
  <si>
    <t xml:space="preserve">BP  </t>
  </si>
  <si>
    <t>Oferta fue trabajada por separado en las ofertas O-2288 y 89</t>
  </si>
  <si>
    <t>SH-0469</t>
  </si>
  <si>
    <t>O-2582</t>
  </si>
  <si>
    <t>Guilherme Euler</t>
  </si>
  <si>
    <t>guilherme.euler@vale.com</t>
  </si>
  <si>
    <t xml:space="preserve">ID Estudo de Mancha e Mitigação de Vazamentos VGR </t>
  </si>
  <si>
    <t>Christian Ihle</t>
  </si>
  <si>
    <t>O-2581</t>
  </si>
  <si>
    <t>Asesoría Tasación Activos Planta Tambillos</t>
  </si>
  <si>
    <t xml:space="preserve">BP </t>
  </si>
  <si>
    <t>SH-0465</t>
  </si>
  <si>
    <t>O-2580</t>
  </si>
  <si>
    <t>BISA</t>
  </si>
  <si>
    <t>BIFOX</t>
  </si>
  <si>
    <t>Danilo Barrientos</t>
  </si>
  <si>
    <t>dbarrientos@bisa.com.pe</t>
  </si>
  <si>
    <t>Apoyo Ingeniería de Factibilidad Planta de Tratamiento Agua Industrial</t>
  </si>
  <si>
    <t>O-2579</t>
  </si>
  <si>
    <t>Enrique Quiroga</t>
  </si>
  <si>
    <t>Whithmore SAC</t>
  </si>
  <si>
    <t>quirogavega.enry123@gmail.com</t>
  </si>
  <si>
    <t>Asesoría Experta Waldo Bustos Proceso Compra Complejo Mina Vulcani</t>
  </si>
  <si>
    <t>O-2578</t>
  </si>
  <si>
    <t>Contrato Marco de Servicios de Ingeniería Multidisciplinaria</t>
  </si>
  <si>
    <t>O-2577</t>
  </si>
  <si>
    <t>Continuidad Operacional DGM</t>
  </si>
  <si>
    <t>O-2576</t>
  </si>
  <si>
    <t>Comisionamiento Proyecto SCWP2</t>
  </si>
  <si>
    <t>O-2575</t>
  </si>
  <si>
    <t>IB Drenagem de Espessador - Cauê - VALE</t>
  </si>
  <si>
    <t>O-2574</t>
  </si>
  <si>
    <t>Ingeniería de Fluidos e Integridad de Ductos</t>
  </si>
  <si>
    <t>O-2573</t>
  </si>
  <si>
    <t>Ingeniería de Detalles e Ingeniería de Terreno Proyecto Ovejería Etapa V</t>
  </si>
  <si>
    <t>O-2572</t>
  </si>
  <si>
    <t>MYMA</t>
  </si>
  <si>
    <t>Lucía Acuña</t>
  </si>
  <si>
    <t>lacuna@myma.cl</t>
  </si>
  <si>
    <t>Apoyo Hidráulico Tramitación Planta TAS Glencore</t>
  </si>
  <si>
    <t>14 semanas</t>
  </si>
  <si>
    <t>O-2571</t>
  </si>
  <si>
    <t xml:space="preserve"> Ingeniería de Detalles Cambio Alimentación Estaciones de Combustible - Caserones</t>
  </si>
  <si>
    <t>Carlos Merlo</t>
  </si>
  <si>
    <t>O-2570</t>
  </si>
  <si>
    <t>Besalco Montajes</t>
  </si>
  <si>
    <t>Alejandro Hevia</t>
  </si>
  <si>
    <t>ahevia@besalcomd.cl</t>
  </si>
  <si>
    <t>Ingeniería de Detalles Diseño Tableros Eléctricos - SH-0419 - ODS-33 - Besalco</t>
  </si>
  <si>
    <t>SH-0419
ODS-33</t>
  </si>
  <si>
    <t>O-2569</t>
  </si>
  <si>
    <t>Bechtel</t>
  </si>
  <si>
    <t>Eduardo Sepúlveda</t>
  </si>
  <si>
    <t>ehsepulv@Bechtel.com</t>
  </si>
  <si>
    <t>Memorandum Hidráulico - SH-0428 - Tendencia N°4</t>
  </si>
  <si>
    <t>Carla Tapia</t>
  </si>
  <si>
    <t>SH-0428
NOC04</t>
  </si>
  <si>
    <t>O-2568</t>
  </si>
  <si>
    <t>CAITAN</t>
  </si>
  <si>
    <t>Andrea Rudloff</t>
  </si>
  <si>
    <t xml:space="preserve"> Andrea.rudloff@caitan.cl
</t>
  </si>
  <si>
    <t>Evaluación Técnica de Estaciones de Bombeo de Agua Desalinizada CAITAN</t>
  </si>
  <si>
    <t>O-2567</t>
  </si>
  <si>
    <t>WWL</t>
  </si>
  <si>
    <t>Minsur</t>
  </si>
  <si>
    <t>Víctor Paredes</t>
  </si>
  <si>
    <t xml:space="preserve"> vparedes@wwlengineering.com</t>
  </si>
  <si>
    <t>Test Mezcla de Relaves Relleno Interior Mina</t>
  </si>
  <si>
    <t>O-2566</t>
  </si>
  <si>
    <t>Test a Relaves Justa con Nueva PSD</t>
  </si>
  <si>
    <t>O-2565</t>
  </si>
  <si>
    <t>Julio Fernandez Cammell</t>
  </si>
  <si>
    <t>JEFERNANDE@collahuasi.cl</t>
  </si>
  <si>
    <t>Evaluación Técnica de Ajuste de Trazado en Restitución Oriente</t>
  </si>
  <si>
    <t>SH-0402 TEND09</t>
  </si>
  <si>
    <t>O-2564</t>
  </si>
  <si>
    <t>Análisis Hidráulico y Diagnóstico Sistema Restitución Poniente</t>
  </si>
  <si>
    <t>SH-0462</t>
  </si>
  <si>
    <t>O-2563</t>
  </si>
  <si>
    <t>Puerto Ventanas S.A.</t>
  </si>
  <si>
    <t>Eduardo Monsalve</t>
  </si>
  <si>
    <t>eduardo.monsalve@pvsa.cl</t>
  </si>
  <si>
    <t>Trade Off Ensacadora Carbonato de Sodio</t>
  </si>
  <si>
    <t>TO</t>
  </si>
  <si>
    <t>O-2562</t>
  </si>
  <si>
    <t>Acciona</t>
  </si>
  <si>
    <t>David Crespo Olazabal</t>
  </si>
  <si>
    <t xml:space="preserve"> david.crespo.olazabal@acciona.com
</t>
  </si>
  <si>
    <t>Revisión Experta Conducción Agua Desalada Australia</t>
  </si>
  <si>
    <t>O-2561</t>
  </si>
  <si>
    <t>Precalificación Ingeniería de Perfil Descarte Aguas Cordillera DAND</t>
  </si>
  <si>
    <t>O-2560</t>
  </si>
  <si>
    <t>Natalia Kurte</t>
  </si>
  <si>
    <t>Verificación Ingeniería del Sistema de Impulsión y Transporte de Relave Integral_STWM WP1 (SE02) - SH-0390 - PDN79</t>
  </si>
  <si>
    <t>SH-0390
PDN79</t>
  </si>
  <si>
    <t>O-2559</t>
  </si>
  <si>
    <t>Ingeniería Crecimiento Berma Spigots S1-S2</t>
  </si>
  <si>
    <t>SH-0271
ODT-28</t>
  </si>
  <si>
    <t>O-2558</t>
  </si>
  <si>
    <t>Ingeniería de Detalles Reubicación Infraestuctura para Habilitación Fase 15 Mina - Zaldívar</t>
  </si>
  <si>
    <t>O-2557</t>
  </si>
  <si>
    <t>Servicio de Contraparte de Ingeniería de Factibilidad PRET II</t>
  </si>
  <si>
    <t>O-2556</t>
  </si>
  <si>
    <t>Estudio Modificación Manifold Cuba</t>
  </si>
  <si>
    <t xml:space="preserve">IC </t>
  </si>
  <si>
    <t>SH-0392 ODS09</t>
  </si>
  <si>
    <t>O-2555</t>
  </si>
  <si>
    <t>Revisión Experta Proyecto Depósito de Relaves Espesados (DRE-S7)</t>
  </si>
  <si>
    <t>SH-0463</t>
  </si>
  <si>
    <t>O-2554</t>
  </si>
  <si>
    <t>Paola Amigo</t>
  </si>
  <si>
    <t>O-2553</t>
  </si>
  <si>
    <t>Marimaca</t>
  </si>
  <si>
    <t>Rafael Olave</t>
  </si>
  <si>
    <t xml:space="preserve">rolave@marimaca.com
</t>
  </si>
  <si>
    <t>Apoyo Ingenieros Estructurales</t>
  </si>
  <si>
    <t>O-2552</t>
  </si>
  <si>
    <t>Guilherme Mechado</t>
  </si>
  <si>
    <t xml:space="preserve"> guilherme.machado@vale.com</t>
  </si>
  <si>
    <t>IB/ID Bombeamento SAMPs - S11 Mina - Vale</t>
  </si>
  <si>
    <t>O-2551</t>
  </si>
  <si>
    <t>Luis France</t>
  </si>
  <si>
    <t xml:space="preserve"> C0680713@vale.com</t>
  </si>
  <si>
    <t>ID Calha de Rejeitos e Acesso - Salobo - Vale</t>
  </si>
  <si>
    <t>Sergio Alvarez</t>
  </si>
  <si>
    <t>O-2550</t>
  </si>
  <si>
    <t>Marco Alfaro Rojas</t>
  </si>
  <si>
    <t>v-malfaro@lundinmining.com</t>
  </si>
  <si>
    <t>Ingeniería de Detalles By-Pass Celdas Rougher</t>
  </si>
  <si>
    <t>O-2549</t>
  </si>
  <si>
    <t>Juan Manuel Lopez Cabezas</t>
  </si>
  <si>
    <t xml:space="preserve"> jlopez@cmp.cl</t>
  </si>
  <si>
    <t>Contrato Marco Servicio de Ingeniería Multidisciplinaria - ODS N°41 - Alternativas de Reversibilidad del Proceso MSS - SH-0399</t>
  </si>
  <si>
    <t>SH-0399 ODS N°41</t>
  </si>
  <si>
    <t>O-2548</t>
  </si>
  <si>
    <t>Ingeniería de Detalles Reemplazo Filtro EIMCO N°2 Teniente</t>
  </si>
  <si>
    <t>O-2547</t>
  </si>
  <si>
    <t>Actualización Bases Técnicas Modificación Operación Spigots</t>
  </si>
  <si>
    <t>SH-0271
ODT-24</t>
  </si>
  <si>
    <t>O-2546</t>
  </si>
  <si>
    <t>ID Segundo Estágio de Deslamagem - Cauê - VALE</t>
  </si>
  <si>
    <t>O-2545</t>
  </si>
  <si>
    <t>Precalificación Contraparte Ingeniería Detalles Proyecto SAR” Sistema De Agua Recirculada Tranque Ovejería" - DAND</t>
  </si>
  <si>
    <t>PI-TA</t>
  </si>
  <si>
    <t>Precalificación</t>
  </si>
  <si>
    <t>O-2544</t>
  </si>
  <si>
    <t>Servicio de Ingeniería para la Integridad de Tranques y Relaves</t>
  </si>
  <si>
    <t>O-2543</t>
  </si>
  <si>
    <t>Francisca Chadwick</t>
  </si>
  <si>
    <t>francisca.chadwick@angloamerican.com</t>
  </si>
  <si>
    <t>Predicción de Calidad de Aguas de Mezcla La Disputada - NOC 01 - Ensayos</t>
  </si>
  <si>
    <t>SH-0451
NOC 01</t>
  </si>
  <si>
    <t>O-2542</t>
  </si>
  <si>
    <t>Parés y Alvarez</t>
  </si>
  <si>
    <t>MLP</t>
  </si>
  <si>
    <t>Herman Hodl</t>
  </si>
  <si>
    <t>herman.hodl@pya.cl</t>
  </si>
  <si>
    <t>Apoyo - Ingeniería de Detalles, Compras e Ingeniería Terreno Proyecto Hidrociclones - Minera Los Pelambres</t>
  </si>
  <si>
    <t>O-2541</t>
  </si>
  <si>
    <t>Worley</t>
  </si>
  <si>
    <t>Katherine Rodriguez Tapia</t>
  </si>
  <si>
    <t xml:space="preserve"> katherine.rodriguez@pya.cl</t>
  </si>
  <si>
    <t>O-2540</t>
  </si>
  <si>
    <t>Mateus Falcão</t>
  </si>
  <si>
    <t>lc0707423@vale.com</t>
  </si>
  <si>
    <t>IB Recuperação de Rejeito de Barragem - Conceição - VALE</t>
  </si>
  <si>
    <t>O-2539</t>
  </si>
  <si>
    <t>Giselle Pinto</t>
  </si>
  <si>
    <t>giselle.pinto@capstonecopper.com</t>
  </si>
  <si>
    <t>Servicio de Inspección Técnica en Fábrica y Control de Calidad Suministros Principales MV</t>
  </si>
  <si>
    <t>O-2538</t>
  </si>
  <si>
    <t>Normalización Salas Eléctricas Hidrometalurgia</t>
  </si>
  <si>
    <t>O-2537</t>
  </si>
  <si>
    <t>Ingeniería Conceptual Transporte de Relaves a Berma JE - NOC02 - SGSCM</t>
  </si>
  <si>
    <t>SH-0271
ODT-25
NOC02</t>
  </si>
  <si>
    <t>O-2536</t>
  </si>
  <si>
    <t>Apoyo Preparación Board Paper</t>
  </si>
  <si>
    <t>SH-0459</t>
  </si>
  <si>
    <t>O-2535</t>
  </si>
  <si>
    <t>Ing. Nuevo Trazado Línea Plan B Recuperación de Agua La Brea</t>
  </si>
  <si>
    <t>Carlos Merlo / Cristian López</t>
  </si>
  <si>
    <t>O-2534</t>
  </si>
  <si>
    <t>Canalización de Flujo de Agua en Nave de Relaves</t>
  </si>
  <si>
    <t>O-2533</t>
  </si>
  <si>
    <t>Ingeniería Construcción Nueva Vía en Ruta 2 a Cajón 2</t>
  </si>
  <si>
    <t>O-2532</t>
  </si>
  <si>
    <t>Ingeniería Prefactibilidad Infraestructura Plantas Suministros</t>
  </si>
  <si>
    <t>O-2531</t>
  </si>
  <si>
    <t>Francisco Ávalos</t>
  </si>
  <si>
    <t>Caracterización de Relaves / Revisión Capacidad Producción y Descarga de Arenas del TFS Mantoverde</t>
  </si>
  <si>
    <t>SH-0409 (NOC02)</t>
  </si>
  <si>
    <t>O-2530</t>
  </si>
  <si>
    <t>Análisis Hidráulico Flotación Planta Concentradora - Mantoverde</t>
  </si>
  <si>
    <t>O-2529</t>
  </si>
  <si>
    <t>Viviana Sánchez</t>
  </si>
  <si>
    <t xml:space="preserve"> viviana.sanchez1@bhp.com</t>
  </si>
  <si>
    <t>Servicios Disciplina Geometalurgia/Procesos Chancado y Correas, Plantas Cátodos, Concentradoras y Filtrados - Minera Escondida - BHP</t>
  </si>
  <si>
    <t>SH-0464</t>
  </si>
  <si>
    <t>O-2528</t>
  </si>
  <si>
    <t>Heubleny Apolonio da Silva</t>
  </si>
  <si>
    <t>C0708961@vale.com</t>
  </si>
  <si>
    <t>EB-ED Adequação de Bombeamento - Gongo Soco - VALE</t>
  </si>
  <si>
    <t>EB-ED</t>
  </si>
  <si>
    <t>O-2527</t>
  </si>
  <si>
    <t>Revisión Cálculos Trade Off de Ardum</t>
  </si>
  <si>
    <t>Presupuestaria</t>
  </si>
  <si>
    <t>SH-0368 (NOC 10)</t>
  </si>
  <si>
    <t>O-2526</t>
  </si>
  <si>
    <t>juanpablo.saavedra@pucobre.cl</t>
  </si>
  <si>
    <t>Ingeniería de Detalles Diseño Chute Domo Finos Planta San José - Pucobre</t>
  </si>
  <si>
    <t>O-2525</t>
  </si>
  <si>
    <t>Servicio de Optimización en la Perforación y Tronadura Para Controlar Liberación de Energía Sísmica - Codelco DET</t>
  </si>
  <si>
    <t>O-2524</t>
  </si>
  <si>
    <t>Servicio de Gestión de Riesgos del Negocio - Codelco DET</t>
  </si>
  <si>
    <t>O-2523</t>
  </si>
  <si>
    <t>Ingeniería Básica Canal de Contorno Depósito de Lastre Este - Codelco DAND</t>
  </si>
  <si>
    <t>O-2522</t>
  </si>
  <si>
    <t>Levantamiento Nube de Puntos</t>
  </si>
  <si>
    <t>Fernando Carreño</t>
  </si>
  <si>
    <t>SH-0271
ODT-29</t>
  </si>
  <si>
    <t>O-2521</t>
  </si>
  <si>
    <t>Carlos Jerez Salamanca</t>
  </si>
  <si>
    <t>cjerez@codelco.cl</t>
  </si>
  <si>
    <t>Ingeniería para la Dirección de Infraestructura - DSAL - ODS02</t>
  </si>
  <si>
    <t>SH-0449
ODS02</t>
  </si>
  <si>
    <t>O-2520</t>
  </si>
  <si>
    <t>Ingeniería para la Dirección de Infraestructura - DSAL - ODS01</t>
  </si>
  <si>
    <t>SH-0449
ODS01</t>
  </si>
  <si>
    <t>O-2519</t>
  </si>
  <si>
    <t>Concordia Consulting</t>
  </si>
  <si>
    <t>Julio Ibañez Romagnoli</t>
  </si>
  <si>
    <t>julio.ibanez@concordiaconsulting.cl</t>
  </si>
  <si>
    <t>Soporte Experto de Procesos</t>
  </si>
  <si>
    <t>Solo Tarifas</t>
  </si>
  <si>
    <t>O-2518</t>
  </si>
  <si>
    <t>El Abra</t>
  </si>
  <si>
    <t>Minera El Abra</t>
  </si>
  <si>
    <t>Ricardo Yañez</t>
  </si>
  <si>
    <t>ryanez1@fmi.com</t>
  </si>
  <si>
    <t>Ingeniería de Prefactibilidad del TTS - Proyecto el Abra</t>
  </si>
  <si>
    <t>O-2517</t>
  </si>
  <si>
    <t>NCL-GP</t>
  </si>
  <si>
    <t>Nicolás Stipo</t>
  </si>
  <si>
    <t>PEA Planta de Hierro</t>
  </si>
  <si>
    <t>O-2516</t>
  </si>
  <si>
    <t>Teck</t>
  </si>
  <si>
    <t>Quebrada Blanca</t>
  </si>
  <si>
    <t>Emely Fuenzalida Bravo</t>
  </si>
  <si>
    <t>Emely.Fuenzalida@teck.com</t>
  </si>
  <si>
    <t>Asesoría en Terreno Especialista de Flotación Colectiva</t>
  </si>
  <si>
    <t>IT</t>
  </si>
  <si>
    <t>O-2515</t>
  </si>
  <si>
    <t>Katherine Saldías</t>
  </si>
  <si>
    <t>katherine.saldias@bhp.com</t>
  </si>
  <si>
    <t>Ingeniería Residente Spence Repowering Pumping System (SRPS) para el Proyecto Spence Conventional Tailings Work Package 2 (SCTWP2) - SH-0390 - PDN69</t>
  </si>
  <si>
    <t>SH-0390
PDN69</t>
  </si>
  <si>
    <t>O-2514</t>
  </si>
  <si>
    <t>Asistencia Ingeniero Hidráulicos y Mecánicos en Terreno</t>
  </si>
  <si>
    <t>SH-0271
ODT-27
NOC01</t>
  </si>
  <si>
    <t>O-2513</t>
  </si>
  <si>
    <t>Jorge Poblete</t>
  </si>
  <si>
    <t>jorge.poblete@bhp.com</t>
  </si>
  <si>
    <t>Actualización Tags, recodificación documentos y planos de SPS/DPS a Interim - SH-0390 - PDN12</t>
  </si>
  <si>
    <t>SH-0390
PDN12</t>
  </si>
  <si>
    <t>O-2512</t>
  </si>
  <si>
    <t>Christian Rodríguez</t>
  </si>
  <si>
    <t>christian.rodriguez@bhp.com</t>
  </si>
  <si>
    <t>Budgetaria Comisionamiento Plant Level 2 South Relocation (PL2SR)</t>
  </si>
  <si>
    <t>O-2511</t>
  </si>
  <si>
    <t>NORDES</t>
  </si>
  <si>
    <t>BAIN &amp; Company</t>
  </si>
  <si>
    <t>Mauricio Díaz</t>
  </si>
  <si>
    <t>mauricio.diaz@nordes.cl</t>
  </si>
  <si>
    <t>Análisis Hidráulico Reemplazo Tubería SIAM I - MCEN</t>
  </si>
  <si>
    <t>SH-0457</t>
  </si>
  <si>
    <t>O-2510</t>
  </si>
  <si>
    <t>Valentina Olmos Alegria</t>
  </si>
  <si>
    <t xml:space="preserve"> v-v.olmos@lundinmining.com</t>
  </si>
  <si>
    <t>Actualización Información SHIMIN</t>
  </si>
  <si>
    <t>O-2509</t>
  </si>
  <si>
    <t>BID</t>
  </si>
  <si>
    <t>Fred Turolla</t>
  </si>
  <si>
    <t>fredturolla@pezco.com.br</t>
  </si>
  <si>
    <t>Cadena de Suministro de Hierro y Cobre</t>
  </si>
  <si>
    <t>Lorena Fernández</t>
  </si>
  <si>
    <t>O-2508</t>
  </si>
  <si>
    <t>Ingeniería Detalles Zanja Cortafugas y Dren</t>
  </si>
  <si>
    <t>O-2507</t>
  </si>
  <si>
    <t>Juan Manuel Araya</t>
  </si>
  <si>
    <t>juanmanuel.araya@bain.com</t>
  </si>
  <si>
    <t>Asesoría Especializada en Procesos</t>
  </si>
  <si>
    <t>Horas y platas por 1 mes. Modificar cuando esté el valor final</t>
  </si>
  <si>
    <t>SH-0455</t>
  </si>
  <si>
    <t>O-2506</t>
  </si>
  <si>
    <t>Contrato Marco Ingenierías Menores Depósito de Relaves Spence</t>
  </si>
  <si>
    <t>SH-0466</t>
  </si>
  <si>
    <t>O-2505</t>
  </si>
  <si>
    <t>Marcos Issa</t>
  </si>
  <si>
    <t>marcos.issa@vale.com</t>
  </si>
  <si>
    <t xml:space="preserve">Análise em DEM do TR-131K-07 </t>
  </si>
  <si>
    <t>O-2504</t>
  </si>
  <si>
    <t>Alejandra Vanetta</t>
  </si>
  <si>
    <t>Alejandra.Vanetta@teck.com</t>
  </si>
  <si>
    <t>Estudio de Ingeniería Conceptual Alternativas para Contención de Relaves</t>
  </si>
  <si>
    <t>O-2503</t>
  </si>
  <si>
    <t>Claudio Dorador</t>
  </si>
  <si>
    <t xml:space="preserve">cdorador@marimaca.com
</t>
  </si>
  <si>
    <t>Apoyo Modelación 3D</t>
  </si>
  <si>
    <t>O-2502</t>
  </si>
  <si>
    <t>Precalificación Contrato Marco Geometalurgia – BHP</t>
  </si>
  <si>
    <t>O-2501</t>
  </si>
  <si>
    <t>Servicio de Gestión y Control de Calidad - Codelco VP</t>
  </si>
  <si>
    <t>O-2500</t>
  </si>
  <si>
    <t>Estudio de Prefactibilidad Cierre de Faena DGM</t>
  </si>
  <si>
    <t>MC</t>
  </si>
  <si>
    <t>O-2499</t>
  </si>
  <si>
    <t>Bases Técnicas de Desmontaje y Montaje de Balsas</t>
  </si>
  <si>
    <t>SH-0271
ODT-30</t>
  </si>
  <si>
    <t>O-2498</t>
  </si>
  <si>
    <t>COSAPI</t>
  </si>
  <si>
    <t>SPCC</t>
  </si>
  <si>
    <t>Elmer Chávez</t>
  </si>
  <si>
    <t xml:space="preserve"> echavez@cosapi.com.pe</t>
  </si>
  <si>
    <t>Ingeniería de Detalle Proyecto Tía María Área Seca</t>
  </si>
  <si>
    <t>Rodrigo Glasner</t>
  </si>
  <si>
    <t>O-2497</t>
  </si>
  <si>
    <t>Evelyn Gonzalez</t>
  </si>
  <si>
    <t xml:space="preserve"> evelyn.gonzalez2@bhp.com</t>
  </si>
  <si>
    <t>Plan de Comisionamiento Spence Pond Relocation</t>
  </si>
  <si>
    <t>O-2496</t>
  </si>
  <si>
    <t>Constanza Alcayaga Briceño</t>
  </si>
  <si>
    <t xml:space="preserve"> calcayaga.oti@mineracentinela.cl</t>
  </si>
  <si>
    <t>Capacitación Operación Concentraducto Centinela</t>
  </si>
  <si>
    <t>SH-0458</t>
  </si>
  <si>
    <t>O-2495</t>
  </si>
  <si>
    <t>Sebastián Valenzuela</t>
  </si>
  <si>
    <t xml:space="preserve">svalenzuela@marimaca.com
</t>
  </si>
  <si>
    <t>Ingeniería de Detalles Sistema de Agua para Construcción Proyecto Marimaca</t>
  </si>
  <si>
    <t>O-2494</t>
  </si>
  <si>
    <t>Precalificación Carguío Automático de Bolas</t>
  </si>
  <si>
    <t>O-2493</t>
  </si>
  <si>
    <t>Cristina Alfaro</t>
  </si>
  <si>
    <t>cristina.alfaro@bhp.com</t>
  </si>
  <si>
    <t>Ingeniería de Detalles - Bypass espesadores - SH-0390 - PDN44</t>
  </si>
  <si>
    <t>SH-0390
PDN44</t>
  </si>
  <si>
    <t>O-2492</t>
  </si>
  <si>
    <t>Isabel Obreque</t>
  </si>
  <si>
    <t>e_iobreque@cmp.clfalopezd@cmp.cl</t>
  </si>
  <si>
    <t>Contrato Marco Servicio de Ingeniería Multidisciplinaria - Extensión ODS N°34 - Revisión Entregables Ingeniería FEL 2A Expansión CNN - SH-0399</t>
  </si>
  <si>
    <t>SH-0399 ODS N°40</t>
  </si>
  <si>
    <t>O-2491</t>
  </si>
  <si>
    <t>Ingeniería Estudio Capacidad Sistema de Bombeo - SH-0390 - PDN65</t>
  </si>
  <si>
    <t>SH-0390
PDN65</t>
  </si>
  <si>
    <t>O-2490</t>
  </si>
  <si>
    <t>Contrato Marco Servicio de Ingeniería Multidisciplinaria - ODS N°39 - Ingeniería de Contraparte CNN - SH-0399</t>
  </si>
  <si>
    <t>SH-0399 ODS N°39</t>
  </si>
  <si>
    <t>O-2489</t>
  </si>
  <si>
    <t>Ingeniería de Detalles Descarga Auxiliar Celda 9 - SH-0390 - PDN64</t>
  </si>
  <si>
    <t>SH-0390
PDN64</t>
  </si>
  <si>
    <t>O-2488</t>
  </si>
  <si>
    <t>Consorcio JEJ-SHIMIN</t>
  </si>
  <si>
    <t>Roberto Quezada Ureta</t>
  </si>
  <si>
    <t>rquez001@codelco.cl</t>
  </si>
  <si>
    <t>Ingeniería de Detalles Escotilla de Inspección Válvulas de Cono</t>
  </si>
  <si>
    <t>Francisco Espinoza</t>
  </si>
  <si>
    <t>SH-0274 ODS42</t>
  </si>
  <si>
    <t>O-2487</t>
  </si>
  <si>
    <t>Leandro Gomes</t>
  </si>
  <si>
    <t>leonardo.gomes2@vale.com</t>
  </si>
  <si>
    <t>AO Revisão de Manual de Operação Adutora TB9000 Timbopeba - Vale</t>
  </si>
  <si>
    <t>SH-0460</t>
  </si>
  <si>
    <t>O-2486</t>
  </si>
  <si>
    <t>Ingeniería de Detalles Reemplazo Sistema de Potencia Subestación Eléctrica - DCH</t>
  </si>
  <si>
    <t>O-2485</t>
  </si>
  <si>
    <t>Asistencia Ingeniero Mecánico en Terreno</t>
  </si>
  <si>
    <t>Se envió todo el alcance en la O-2514</t>
  </si>
  <si>
    <t>SH-0271
ODT-27</t>
  </si>
  <si>
    <t>O-2484</t>
  </si>
  <si>
    <t>Daniel Sanchez</t>
  </si>
  <si>
    <t xml:space="preserve"> Daniel.Sanchez@sqm.com</t>
  </si>
  <si>
    <t>Ingeniería Básica Proyecto Lavado de Sales Salar de Atacama</t>
  </si>
  <si>
    <t>Chile</t>
  </si>
  <si>
    <t>O-2483</t>
  </si>
  <si>
    <t>Ingeniería de Detalles Distribución Pebbles SAG y Bolas</t>
  </si>
  <si>
    <t>SH-0392 ODS08</t>
  </si>
  <si>
    <t>O-2482</t>
  </si>
  <si>
    <t>Ingeniería de Factibilidad Crecimiento Andina Etapa I - Codelco DAND</t>
  </si>
  <si>
    <t>O-2481</t>
  </si>
  <si>
    <t>SH-0399 ODS N°38</t>
  </si>
  <si>
    <t>O-2480</t>
  </si>
  <si>
    <t>Contrato Marco Servicio de Ingeniería Multidisciplinaria - ODS N°38 - Actualización Ingeniería MSS Romeral - SH-0399</t>
  </si>
  <si>
    <t>SH-0399 ODS N°38 NOC 01</t>
  </si>
  <si>
    <t>O-2479</t>
  </si>
  <si>
    <t>Ingeniería de Factibilidad Reemplazo Grúas Morgan Nave Fundición - Codelco DCH</t>
  </si>
  <si>
    <t>O-2478</t>
  </si>
  <si>
    <t>Predicción de Calidad de Aguas de Mezcla La Disputada</t>
  </si>
  <si>
    <t>SH-0451</t>
  </si>
  <si>
    <t>O-2477</t>
  </si>
  <si>
    <t xml:space="preserve">ED Estudo Hidráulico Adutora TB9000 Timbopeba </t>
  </si>
  <si>
    <t>O-2476</t>
  </si>
  <si>
    <t>Ewerton Dutra</t>
  </si>
  <si>
    <t>ewerton.dutra@vale.com</t>
  </si>
  <si>
    <t>EC Bombeamento de Ultrafinos Cauê -VALE</t>
  </si>
  <si>
    <t>TA-PI</t>
  </si>
  <si>
    <t>O-2475</t>
  </si>
  <si>
    <t>GERDAU</t>
  </si>
  <si>
    <t>Leandro Costa</t>
  </si>
  <si>
    <t>leandro.costa@gerdau.com.br</t>
  </si>
  <si>
    <t>AP Apoio de Projeto UTM2 Itabiritos -GERDAU</t>
  </si>
  <si>
    <t>O-2474</t>
  </si>
  <si>
    <t>Análisis Hidráulico Propuesta Cortadores Metalúrgicos - Mantoverde</t>
  </si>
  <si>
    <t>SH-0456</t>
  </si>
  <si>
    <t>O-2473</t>
  </si>
  <si>
    <t>IB Sistema Contención y Manejo de Derrames PLGs - DET</t>
  </si>
  <si>
    <t>O-2472</t>
  </si>
  <si>
    <t>Jorge Jemio</t>
  </si>
  <si>
    <t>Ingeniería de Perfil Mejoramiento Aducción Toconce - NOC01 - ODS01</t>
  </si>
  <si>
    <t>Quedó como ODS03 dado que Codelco no puede generar una NOC de una ODS</t>
  </si>
  <si>
    <t>SH-0360 ODS03</t>
  </si>
  <si>
    <t>O-2471</t>
  </si>
  <si>
    <t>Renata Barroso</t>
  </si>
  <si>
    <t>lucas.phillipe.siqueira@vale.com</t>
  </si>
  <si>
    <t>EB BIM Captação Córrego - Monjolo - VALE</t>
  </si>
  <si>
    <t xml:space="preserve">EB </t>
  </si>
  <si>
    <t>O-2470</t>
  </si>
  <si>
    <t xml:space="preserve">Lucas Siqueira - </t>
  </si>
  <si>
    <t>ED Realocação de Mineroduto e Acesso - Salobo - VALE</t>
  </si>
  <si>
    <t>Sergio Álvarez</t>
  </si>
  <si>
    <t>O-2469</t>
  </si>
  <si>
    <t>Ingeniería de Detalles Mejoramiento Alcantarillado Sector Truck Shop</t>
  </si>
  <si>
    <t>O-2468</t>
  </si>
  <si>
    <t>Ingeniería de Detalles Estandarización Adición de Reactivos en Flotación</t>
  </si>
  <si>
    <t>O-2467</t>
  </si>
  <si>
    <t>Ingeniería de Detalles Planta Elevadora y Línea de Bombeo desde PTAS 2000 a EB3</t>
  </si>
  <si>
    <t>SH-0384 OS-05</t>
  </si>
  <si>
    <t>O-2466</t>
  </si>
  <si>
    <t>Revisión Impacto por Información de Resistividad y Georadar en Área de la Estación Booster - PDN14 - SH-0390 - BHP</t>
  </si>
  <si>
    <t>SH-0390
PDN14</t>
  </si>
  <si>
    <t>O-2465</t>
  </si>
  <si>
    <t>Estudo de Transiente Hidráulico – Brumadinho - VALE</t>
  </si>
  <si>
    <t>O-2464</t>
  </si>
  <si>
    <t>Cristiano Sacramento</t>
  </si>
  <si>
    <t>Cristiano.Sacramento1@vale.com</t>
  </si>
  <si>
    <t>Análise de Flexibilidade Alimentação Silos de Emulsão - VALE - S11D</t>
  </si>
  <si>
    <t>O-2463</t>
  </si>
  <si>
    <t>EoR e Ingenierías de Soporte Depósito de Relaves Pampa Pabellón</t>
  </si>
  <si>
    <t>O-2462</t>
  </si>
  <si>
    <t>Katherine Saldias</t>
  </si>
  <si>
    <t>Elimina Permisos y se Agrega Maqueta de Detalles por Especialidad - PDN11 - SH-0390 - BHP</t>
  </si>
  <si>
    <t>SH-0390
PDN11</t>
  </si>
  <si>
    <t>O-2461</t>
  </si>
  <si>
    <t>Servicio Preparación de Capítulos SIC a Estudio Prefactibilidad Labor de Exploración DMH Subterránea- Codelco DMH - SH-0352 ODS27</t>
  </si>
  <si>
    <t>SH-0352 ODS27</t>
  </si>
  <si>
    <t>O-2460</t>
  </si>
  <si>
    <t>JJC</t>
  </si>
  <si>
    <t>Minera Justa</t>
  </si>
  <si>
    <t>Andres Felipe Forero Garcia</t>
  </si>
  <si>
    <t xml:space="preserve">felipe.forero@jjc.com.pe
</t>
  </si>
  <si>
    <t>Ingeniería de Detalles Ampliación Campamento Justa Subterránea</t>
  </si>
  <si>
    <t>Perú</t>
  </si>
  <si>
    <t>Domingo Fernández</t>
  </si>
  <si>
    <t>O-2459</t>
  </si>
  <si>
    <t>Tetatretch</t>
  </si>
  <si>
    <t>Jaguar Mining</t>
  </si>
  <si>
    <t>Carvalho, Simão</t>
  </si>
  <si>
    <t>Simao.Carvalho@tetratech.com</t>
  </si>
  <si>
    <t>EC, EB e ED - Bombeamento do Paste Fill - Tetratech</t>
  </si>
  <si>
    <t>EG</t>
  </si>
  <si>
    <t>O-2458</t>
  </si>
  <si>
    <t>César Garrido</t>
  </si>
  <si>
    <t>Cesar.Garrido2@teck.com</t>
  </si>
  <si>
    <t>Análisis Líneas de Descarga de Relaves a Tranque QB2</t>
  </si>
  <si>
    <t>Se envió solo HH's</t>
  </si>
  <si>
    <t>SH-0444</t>
  </si>
  <si>
    <t>O-2457</t>
  </si>
  <si>
    <t>Ingeniería Básica Proyecto Explotación Bajo Diablo Regimiento</t>
  </si>
  <si>
    <t>O-2456</t>
  </si>
  <si>
    <t>Engenharia Básica Sistema de Bombeamento de Água Industrial - VALE - VGR</t>
  </si>
  <si>
    <t>EB</t>
  </si>
  <si>
    <t>O-2455</t>
  </si>
  <si>
    <t>Félix del Pozo</t>
  </si>
  <si>
    <t xml:space="preserve">fdelpozo@marimaca.com
</t>
  </si>
  <si>
    <t>Desarrollo Conceptual Sistema de Agua para Construcción Proyecto Marimaca</t>
  </si>
  <si>
    <t>SH-0448</t>
  </si>
  <si>
    <t>O-2454</t>
  </si>
  <si>
    <t>Ingeniería de Detalles Saneamiento Quebrada Teniente</t>
  </si>
  <si>
    <t>O-2453</t>
  </si>
  <si>
    <t>CAPRA</t>
  </si>
  <si>
    <t>Francisco Gómez Aguilar</t>
  </si>
  <si>
    <t xml:space="preserve"> administrador@capra.cl</t>
  </si>
  <si>
    <t>Términos de referencia (T.D.R.) Estudio de Factibilidad Nueva Línea de Distribución de Agua Potable hacia el Sector Sur de San Pedro de Atacacama</t>
  </si>
  <si>
    <t>O-2452</t>
  </si>
  <si>
    <t>Servicio de Ingeniería para la Preparación de Entregables para el Desarrollo de la Norma Corporativa de Mantenibilidad y Confiabilidad en Proyectos de Inversión NCC 30 – DCH</t>
  </si>
  <si>
    <t>O-2451</t>
  </si>
  <si>
    <t>Servicio de Soporte Metalúrgico y Control Operacional Área Seca y Húmeda con Aseguramiento de Mejora Continua en Procesos Planta en DRT</t>
  </si>
  <si>
    <t>O-2450</t>
  </si>
  <si>
    <t>Lisbeth Barra</t>
  </si>
  <si>
    <t>lisbeth.barra1@bhp.com</t>
  </si>
  <si>
    <t>Contrato Marco Apoyo Hidráulico</t>
  </si>
  <si>
    <t>Entrega documentos previos 14/7</t>
  </si>
  <si>
    <t>O-2449</t>
  </si>
  <si>
    <t>OCA Global</t>
  </si>
  <si>
    <t>Rafael de Pujadas</t>
  </si>
  <si>
    <t>rafael.depujadas@ocaglobal.com</t>
  </si>
  <si>
    <t>Implementación del Estándar GISTM - Atacama Kozan</t>
  </si>
  <si>
    <t>O-2448</t>
  </si>
  <si>
    <t>Ingeniería para la Dirección de Infraestructura - DSAL</t>
  </si>
  <si>
    <t>SH-0449</t>
  </si>
  <si>
    <t>O-2447</t>
  </si>
  <si>
    <t>Quiborax</t>
  </si>
  <si>
    <t>Diego Tito Jiménez</t>
  </si>
  <si>
    <t>diego.tito@quiborax.com</t>
  </si>
  <si>
    <t>Ingeniería Integrada Filtro GHT-1500</t>
  </si>
  <si>
    <t>Enviada una oferta con precios cursos individuales</t>
  </si>
  <si>
    <t>O-2446</t>
  </si>
  <si>
    <t>Curso Hidráulica de Relaves y Paddocks</t>
  </si>
  <si>
    <t xml:space="preserve">CO </t>
  </si>
  <si>
    <t>O-2445</t>
  </si>
  <si>
    <t>Stantec</t>
  </si>
  <si>
    <t>Marcela Cubillos</t>
  </si>
  <si>
    <t>marcela.cubillos@stantec.com</t>
  </si>
  <si>
    <t>Levantamiento y Scanner Láser de Área Industrial</t>
  </si>
  <si>
    <t>Se envió revisión 1. Plazo 12 semanas.</t>
  </si>
  <si>
    <t>O-2444</t>
  </si>
  <si>
    <t>Ingeniería Diseño Esclusas Accesos Salas Eléctricas</t>
  </si>
  <si>
    <t>SH-0454</t>
  </si>
  <si>
    <t>O-2443</t>
  </si>
  <si>
    <t xml:space="preserve">Black &amp;  Veatch </t>
  </si>
  <si>
    <t>Black &amp; Veatch</t>
  </si>
  <si>
    <t>Mario Mella</t>
  </si>
  <si>
    <t>MellaME@bv.com</t>
  </si>
  <si>
    <t>Ingeniería de Perfil del Ducto de Impulsión de Agua e Ingeniería para el EIA y PAS Asociados al Ducto</t>
  </si>
  <si>
    <t>O-2442</t>
  </si>
  <si>
    <t>Servicio de Extensión de Línea eléctrica de 33 kV hacia Muro 4 y Muro 5 - SGSCM</t>
  </si>
  <si>
    <t>O-2441</t>
  </si>
  <si>
    <t>Servicio de Modificación de Pipe Rack Existente en Llegada a Piscina de Operaciones - SGSCM</t>
  </si>
  <si>
    <t>SH-0271
ODT-26</t>
  </si>
  <si>
    <t>O-2440</t>
  </si>
  <si>
    <t>Constanza Díaz</t>
  </si>
  <si>
    <t>constanza.diaz-externo@angloamerican.com</t>
  </si>
  <si>
    <t>Ingeniería Apta para Construcción Conexión Yesos a STR</t>
  </si>
  <si>
    <t>O-2439</t>
  </si>
  <si>
    <t xml:space="preserve"> ewerton.dutra@vale.com</t>
  </si>
  <si>
    <t>Engenharia Detalhada Remoção Rejeitos Cavas Onça e Periquito - Vale</t>
  </si>
  <si>
    <t>O-2438</t>
  </si>
  <si>
    <t>Ajuste de Isométricos de Válvulas de Pulpa de KSB  - ODS-29 - Besalco</t>
  </si>
  <si>
    <t>SH-0419
ODS-29</t>
  </si>
  <si>
    <t>O-2437</t>
  </si>
  <si>
    <t>Diseño de plataforma de apoyo de Cajón Disipador - ODS-28- Besalco</t>
  </si>
  <si>
    <t>SH-0419
ODS-28</t>
  </si>
  <si>
    <t>O-2436</t>
  </si>
  <si>
    <t>Ingeniería de Detalles Sistema de Bombeo de Refino desde Tk04 a Bancos de Mineral en Dump Leach</t>
  </si>
  <si>
    <t>O-2435</t>
  </si>
  <si>
    <t>Christian  Vega</t>
  </si>
  <si>
    <t>Christian.Vega@sgscm.cl</t>
  </si>
  <si>
    <t>Cambio Complejo en Circuito 3611 y 3811 Planta Molibdeno</t>
  </si>
  <si>
    <t>IC-ID</t>
  </si>
  <si>
    <t>SH-0461</t>
  </si>
  <si>
    <t>O-2434</t>
  </si>
  <si>
    <t>Marcelo Aceituno</t>
  </si>
  <si>
    <t>MAACEITU@collahuasi.cl</t>
  </si>
  <si>
    <t>Tendencia N°5 - Proyecto SH-0402 - Ingeniería FEL 3 Restitución Agua Sector Oriente</t>
  </si>
  <si>
    <t>La suma de HH y $ es por las cuatro tendencias</t>
  </si>
  <si>
    <t>SH-0402
TEND 5</t>
  </si>
  <si>
    <t>O-2433</t>
  </si>
  <si>
    <t>Keypro</t>
  </si>
  <si>
    <t>Edgardo Romero</t>
  </si>
  <si>
    <t>edgardo.romero@keypro.cl</t>
  </si>
  <si>
    <t>Asesoría Puesta en Marcha (PEM) Sistema de Impulsión de Relaves Depósito de Relaves Pampa Austral (DRPA)</t>
  </si>
  <si>
    <t>O-2432</t>
  </si>
  <si>
    <t>Precalificación GTAM0638 - EoR e Ingenierías de Soporte Depósito de Relaves Pampa Pabellón</t>
  </si>
  <si>
    <t>O-2431</t>
  </si>
  <si>
    <t>Precalificación Ingeniería de Detalles e Ingeniería de Terreno Sistema de Agua Recirculada (SAR) - Codelco DAND</t>
  </si>
  <si>
    <t>O-2430</t>
  </si>
  <si>
    <t>Ingeniería de Detalles Normalización Refugios Mina</t>
  </si>
  <si>
    <t>O-2429</t>
  </si>
  <si>
    <t>Ingeniería de Detalles Normalización de 7 Pozos El Tambo</t>
  </si>
  <si>
    <t>SH-0384 OS-06</t>
  </si>
  <si>
    <t>O-2428</t>
  </si>
  <si>
    <t>Knauf</t>
  </si>
  <si>
    <t>Loreto Rojas</t>
  </si>
  <si>
    <t>LORETO.ROJAS@knauf.com</t>
  </si>
  <si>
    <t>Apoyo Información Consultas PAS 136 y PAS 137 EIA Proyecto Rubí</t>
  </si>
  <si>
    <t>SH-0445</t>
  </si>
  <si>
    <t>O-2427</t>
  </si>
  <si>
    <t>DVEN</t>
  </si>
  <si>
    <t>Ingeniería de Contraparte Ingeniería de Prefactibilidad Cierre de Faenas Fundición Ventanas - Codelco DVEN</t>
  </si>
  <si>
    <t>CF</t>
  </si>
  <si>
    <t>O-2426</t>
  </si>
  <si>
    <t>Waldemir Cei de Sousa Junior</t>
  </si>
  <si>
    <t>C0682142@vale.com</t>
  </si>
  <si>
    <t>Engenharia Conceitual Captação e Adução Gelado - Vale</t>
  </si>
  <si>
    <t>EC</t>
  </si>
  <si>
    <t>SH-0450</t>
  </si>
  <si>
    <t>O-2425</t>
  </si>
  <si>
    <t>Norte Abierto</t>
  </si>
  <si>
    <t>Andrea Mancilla</t>
  </si>
  <si>
    <t>amancill@bechtel.com</t>
  </si>
  <si>
    <t>Ingeniería Clase 4 Truck Shop Cerro Colorado - BHP</t>
  </si>
  <si>
    <t>O-2424</t>
  </si>
  <si>
    <t>Guido Aedo</t>
  </si>
  <si>
    <t>guido.aedo@capstonecopper.com</t>
  </si>
  <si>
    <t>Revisión TSF de MVO Mantoverde - Capstone</t>
  </si>
  <si>
    <t>SH-0443</t>
  </si>
  <si>
    <t>O-2423</t>
  </si>
  <si>
    <t>Carolina Alvarez Vasquez</t>
  </si>
  <si>
    <t>v-calvarez@lundinmining.com</t>
  </si>
  <si>
    <t>Ingeniería Confiabilidad Balance de Aguas</t>
  </si>
  <si>
    <t>SH-0446</t>
  </si>
  <si>
    <t>O-2422</t>
  </si>
  <si>
    <t>Contrato Marco Servicio de Ingeniería Multidisciplinaria - ODS N°37 - Informe Hidráulico Concentración Flash - SH-0399</t>
  </si>
  <si>
    <t>SH-0399 ODS N°37</t>
  </si>
  <si>
    <t>O-2421</t>
  </si>
  <si>
    <t>Botadero el Buitre Ampliado - Diseño y Riesgo de Falla</t>
  </si>
  <si>
    <t>SH-0274 ODS41</t>
  </si>
  <si>
    <t>O-2420</t>
  </si>
  <si>
    <t>Levantamiento de comentarios a Informes de M&amp;C 7a Etapa Embalse Carén</t>
  </si>
  <si>
    <t>SH-0274 ODS40</t>
  </si>
  <si>
    <t>O-2419</t>
  </si>
  <si>
    <t>Contrato Marco Servicio de Ingeniería Multidisciplinaria - ODS N°36 - Revisión Estructural Harneros Planta Magnetita - SH-0399</t>
  </si>
  <si>
    <t>SH-0399 ODS N°36</t>
  </si>
  <si>
    <t>O-2418</t>
  </si>
  <si>
    <t>Marina Nicácio</t>
  </si>
  <si>
    <t>Marina.Nicacio@vale.com</t>
  </si>
  <si>
    <t>Diagnóstico e Engenharia Básica de Unidades Hidráulicas - Vargem Grande - VALE</t>
  </si>
  <si>
    <t>SH-0441</t>
  </si>
  <si>
    <t>O-2417</t>
  </si>
  <si>
    <t>Knight Piésold</t>
  </si>
  <si>
    <t>Luis Rebolledo</t>
  </si>
  <si>
    <t>lrebolledo@knightpiesold.com</t>
  </si>
  <si>
    <t>Transporte de Relaves a Pampa Pabellón Collahuasi</t>
  </si>
  <si>
    <t>O-2416</t>
  </si>
  <si>
    <t>Ingeniería de Detalles Instalación de Courier y PSI SH-0249 - ODS-12B - Besalco</t>
  </si>
  <si>
    <t>SH-0419
ODS-12B</t>
  </si>
  <si>
    <t>O-2415</t>
  </si>
  <si>
    <t>Guilherme Silva</t>
  </si>
  <si>
    <t>ATO Integridade de Dutos - VALE</t>
  </si>
  <si>
    <t>O-2414</t>
  </si>
  <si>
    <t>Diseño de Canaletas Cortadores Metalúrgicos SH-0249 - ODS-12A - Besalco</t>
  </si>
  <si>
    <t>SH-0419
ODS-12A</t>
  </si>
  <si>
    <t>O-2413</t>
  </si>
  <si>
    <t>Rony Vieira</t>
  </si>
  <si>
    <t>c0637231@vale.com</t>
  </si>
  <si>
    <t>Ensaio de corrosão de Água Mina Tamanduá - VALE</t>
  </si>
  <si>
    <t>O-2412</t>
  </si>
  <si>
    <t>Daniela Moreno</t>
  </si>
  <si>
    <t>daniela.moreno@bhp.com</t>
  </si>
  <si>
    <t>Presupuestaria Ingeniería DPS Comisionamiento Proyecto SCPY-RD - SH-0357 - ODS06</t>
  </si>
  <si>
    <t>SH-0357 ODS07</t>
  </si>
  <si>
    <t>O-2411</t>
  </si>
  <si>
    <t>Contrato Marco Servicio de Ingeniería Multidisciplinaria - ODS N°35 - Ingeniería Detalle Equipos Centrífugos Planta Pellets - SH-0399</t>
  </si>
  <si>
    <t>SH-0399 ODS N°35</t>
  </si>
  <si>
    <t>O-2410</t>
  </si>
  <si>
    <t>Contrato Marco Servicio de Ingeniería Multidisciplinaria - ODS N°34 - Revisión Entregables Ingeniería FEL 2A Expansión CNN - SH-0399</t>
  </si>
  <si>
    <t>SH-0399 ODS N°34</t>
  </si>
  <si>
    <t>O-2409</t>
  </si>
  <si>
    <t>Cristian Avendaño</t>
  </si>
  <si>
    <t>Pruebas TK Agitado y Bombeo Relaves a Spigots - Capacitación</t>
  </si>
  <si>
    <t>O-2408</t>
  </si>
  <si>
    <t xml:space="preserve">Ingeniería DPS-EXE WP2 Segundo Peraltamiento Tranque de Relaves TSF Spence </t>
  </si>
  <si>
    <t>O-2407</t>
  </si>
  <si>
    <t>Ingeniería de Detalles Tranque de Relaves Laguna Seca</t>
  </si>
  <si>
    <t>O-2406</t>
  </si>
  <si>
    <t>Ingeniería Instrumentación Meteorológica</t>
  </si>
  <si>
    <t>SH-0447</t>
  </si>
  <si>
    <t>O-2405</t>
  </si>
  <si>
    <t>Aqualia</t>
  </si>
  <si>
    <t>Wilger Luzardo Godoy</t>
  </si>
  <si>
    <t>wilgerjesus.luzardo@fcc.es</t>
  </si>
  <si>
    <t>Apoyo Equipo en Terreno – Desarrollo As-Built</t>
  </si>
  <si>
    <t>O-2404</t>
  </si>
  <si>
    <t>Ingeniería Básica Vulnerabilidades Conducción Relaves - Codelco DET</t>
  </si>
  <si>
    <t>Pablo Vásquez / Luis Ilabarca</t>
  </si>
  <si>
    <t>O-2403</t>
  </si>
  <si>
    <t>Asistencia Técnica Proyectos SHDGM Y SHDN - SH-0352 ODS21</t>
  </si>
  <si>
    <t>SH-0352 ODS21</t>
  </si>
  <si>
    <t>O-2402</t>
  </si>
  <si>
    <t>Conectaria</t>
  </si>
  <si>
    <t>Marcelo Aguilar</t>
  </si>
  <si>
    <t>marcelo.aguilar@grt-ing.cl</t>
  </si>
  <si>
    <t>Precalificación IB Sistema Planta de Relleno PRELL - Minsur</t>
  </si>
  <si>
    <t>O-2401</t>
  </si>
  <si>
    <t>Elimina Actividades OR y Agrega Participación en Talleres BHP y Otros - PDN10 - SH-0390 - BHP</t>
  </si>
  <si>
    <t>SH-0357 ODS10</t>
  </si>
  <si>
    <t>O-2400</t>
  </si>
  <si>
    <t>DCN</t>
  </si>
  <si>
    <t>jjemio@codelco.cl</t>
  </si>
  <si>
    <t>Ingeniería Mejoramiento de Infraestructura Cruce Río Lasana - SH-0333 ODS10</t>
  </si>
  <si>
    <t>David Cerón / Luis Ilabarca</t>
  </si>
  <si>
    <t>5/6: Servicio se pospone hasta nuevo aviso.</t>
  </si>
  <si>
    <t>SH-0333 ODS10</t>
  </si>
  <si>
    <t>O-2399</t>
  </si>
  <si>
    <t>Victor Paredes</t>
  </si>
  <si>
    <t>Ingeniería de Factibilidad Nuevo Depósito de Relaves Convencionales Southern Perú Copper Corporation</t>
  </si>
  <si>
    <t>O-2398</t>
  </si>
  <si>
    <t>Alejandra Martin</t>
  </si>
  <si>
    <t>Ignacio.Lagos@Worley.com</t>
  </si>
  <si>
    <t>Análisis Hidráulico Transporte y Depositación de Relaves - Codepositación</t>
  </si>
  <si>
    <t>O-2397</t>
  </si>
  <si>
    <t>Actualización Ingeniería de Detalles Barrera Hidráulica Muro 6 y 7 - SGSCM</t>
  </si>
  <si>
    <t>O-2396</t>
  </si>
  <si>
    <t>Ingeniería Conceptual Transporte de Relaves a Berma JE - SGSCM</t>
  </si>
  <si>
    <t>SH-0271
ODT-25</t>
  </si>
  <si>
    <t>O-2395</t>
  </si>
  <si>
    <t>Requerimiento Extensión Asesoría Terreno/Gabinete</t>
  </si>
  <si>
    <t>SH-0271 ODT-24</t>
  </si>
  <si>
    <t>O-2394</t>
  </si>
  <si>
    <t>Diagnóstico de Integridade de Dutos VG</t>
  </si>
  <si>
    <t xml:space="preserve"> </t>
  </si>
  <si>
    <t>O-2393</t>
  </si>
  <si>
    <t>Corfo</t>
  </si>
  <si>
    <t>Fondo Corfo - Gestión de Innovación en Pymes</t>
  </si>
  <si>
    <t>O-2392</t>
  </si>
  <si>
    <t>Syncore</t>
  </si>
  <si>
    <t>Felipe Fernández</t>
  </si>
  <si>
    <t xml:space="preserve">ffernandez@syncore.cl
</t>
  </si>
  <si>
    <t>Ingeniería de Detalles Suministro de Agua a Estación de Bombeo</t>
  </si>
  <si>
    <t>O-2391</t>
  </si>
  <si>
    <t xml:space="preserve"> Ingeniería Conceptual Cambio Alimentación Estaciones de Combustible - Caserones</t>
  </si>
  <si>
    <t>SH-0392 ODS06</t>
  </si>
  <si>
    <t>O-2390</t>
  </si>
  <si>
    <t>Stephan Matulic</t>
  </si>
  <si>
    <t>Notas técnicas adicionales para la impulsión de relaves hacia Celda 8 durante la construcción del Muro Sur en obras tempranas y explorar la alternativa de conducción de relaves desde espesadores hacia celdas sur - PDN09 - SH-0390 - BHP</t>
  </si>
  <si>
    <t>SH-0357 ODS09</t>
  </si>
  <si>
    <t>O-2389</t>
  </si>
  <si>
    <t>Guilherme Menezes</t>
  </si>
  <si>
    <t>guilherme.menezes1@vale.com</t>
  </si>
  <si>
    <t>Engenharia Básica - Projeto de Realocação da CB3 - Mina de Fábrica - Adutora</t>
  </si>
  <si>
    <t>O-2388</t>
  </si>
  <si>
    <t>Servicio de Soporte Funcional en Sistemas de Personas - Codelco VP</t>
  </si>
  <si>
    <t>O-2387</t>
  </si>
  <si>
    <t>Valeska Brandão</t>
  </si>
  <si>
    <t>valeska.brandao@vale.com</t>
  </si>
  <si>
    <t>Engenharia Básica/Diagnóstico e Implantação de Adequações - Adutoras Complexo VGR</t>
  </si>
  <si>
    <t>O-2386</t>
  </si>
  <si>
    <t>Contrato Marco Servicio de Ingeniería Multidisciplinaria - ODS N°33 - Revisión de Operación y Conexiones Proyecto en Serie CNN - SH-0399</t>
  </si>
  <si>
    <t>Se dividión en Trade Off e ID. El TO quedó en la O-2261</t>
  </si>
  <si>
    <t>SH-0399 ODS N°33</t>
  </si>
  <si>
    <t>O-2385</t>
  </si>
  <si>
    <t>Juan Pablo Saavedra</t>
  </si>
  <si>
    <t>Manual de Operación Planta y SIAM El Espino</t>
  </si>
  <si>
    <t>SH-0437</t>
  </si>
  <si>
    <t>O-2384</t>
  </si>
  <si>
    <t>Francisco Calaf</t>
  </si>
  <si>
    <t>francisco.calaf@cenizas.cl</t>
  </si>
  <si>
    <t>Ingeniería de Detalles Ampliación Planta Las Luces</t>
  </si>
  <si>
    <t>En stand-by por el cliente</t>
  </si>
  <si>
    <t>SH-0453</t>
  </si>
  <si>
    <t>O-2383</t>
  </si>
  <si>
    <t>Servicio de Supervisores de Terreno Aseguramiento de Calidad de la Construcción (CQA) - BHP</t>
  </si>
  <si>
    <t>O-2382</t>
  </si>
  <si>
    <t>Ingeniería de Factibilidad Instalaciones Auxiliares Mina - Glencore Pachón</t>
  </si>
  <si>
    <t>O-2381</t>
  </si>
  <si>
    <t>Ingeniería de Prefactibilidad Cierre de Faenas Fundición Ventanas - Codelco DVEN</t>
  </si>
  <si>
    <t>O-2380</t>
  </si>
  <si>
    <t>1º TAC contratual 5500107605 - Vale</t>
  </si>
  <si>
    <t>O-2379</t>
  </si>
  <si>
    <t>Servicio Inspección Técnica Armado y Overhaul de Equipos - Codelco VRM</t>
  </si>
  <si>
    <t>O-2378</t>
  </si>
  <si>
    <t>Ignacio Lagos</t>
  </si>
  <si>
    <t>Entregables Proyecto PRET - Área Depositación</t>
  </si>
  <si>
    <t>SH-0436</t>
  </si>
  <si>
    <t>O-2377</t>
  </si>
  <si>
    <t>Ingeniería Conceptual Modificación Impulsión Molienda Secundaria</t>
  </si>
  <si>
    <t>O-2376</t>
  </si>
  <si>
    <t>Diagnóstico Sistema de Transporte de Yesos Los Bronces</t>
  </si>
  <si>
    <t>O-2375</t>
  </si>
  <si>
    <t>RYQ</t>
  </si>
  <si>
    <t>Carlos Castillo</t>
  </si>
  <si>
    <t>carlos.castillo@ryq.cl</t>
  </si>
  <si>
    <t>Apoyo Pipeline Proyecto Hidrógeno Verde</t>
  </si>
  <si>
    <t>O-2374</t>
  </si>
  <si>
    <t>Servicio de Apoyo a Procesos Ingeniería de Mantenimiento</t>
  </si>
  <si>
    <t>O-2373</t>
  </si>
  <si>
    <t>Lucas Siqueira</t>
  </si>
  <si>
    <t>Canaleta de rejeito Slb 1-2 . Double- check - Cenario operacional futuro - VALE</t>
  </si>
  <si>
    <t>SH-0438</t>
  </si>
  <si>
    <t>O-2372</t>
  </si>
  <si>
    <t>Servicio de Consultoría Apoyo Reuniones TIRB</t>
  </si>
  <si>
    <t>O-2371</t>
  </si>
  <si>
    <t>Desarrollo API y Capítulos SIC para Cierre de Faenas - SH-0352 ODS23</t>
  </si>
  <si>
    <t>SH-0352 ODS23</t>
  </si>
  <si>
    <t>O-2370</t>
  </si>
  <si>
    <t>Ingeniería de Factibilidad Disposición Alternativa de Relaves Nueva Centinela</t>
  </si>
  <si>
    <t>SH-0439</t>
  </si>
  <si>
    <t>O-2369</t>
  </si>
  <si>
    <t>Alruiz Consultoría</t>
  </si>
  <si>
    <t>Ingeniería de Perfil Ampliación Las Bambas</t>
  </si>
  <si>
    <t>O-2368</t>
  </si>
  <si>
    <t>Servicios Topografía e Ingeniería de Terreno Fase III</t>
  </si>
  <si>
    <t>O-2367</t>
  </si>
  <si>
    <t>Contrato Marco Servicio de Ingeniería Multidisciplinaria - ODS N°32 - Ingeniería de Detalles Integración Proyecto Solución Concentrado Planta Magnetita en Puerto Punta Totoralillo (SCPMP) - SH-0399</t>
  </si>
  <si>
    <t>SH-0399 ODS N°32</t>
  </si>
  <si>
    <t>O-2366</t>
  </si>
  <si>
    <t>Javier Ahumada</t>
  </si>
  <si>
    <t>jeahumada@collahuasi.cl</t>
  </si>
  <si>
    <t>MC Verificación Hidráulica Nuevas Bombas Piscina P3 a TK-1001</t>
  </si>
  <si>
    <t>SH-0434</t>
  </si>
  <si>
    <t>O-2365</t>
  </si>
  <si>
    <t>Claudia Flores</t>
  </si>
  <si>
    <t>claudia.flores1@bhp.com</t>
  </si>
  <si>
    <t>Paquete Entregables Instrumentación Planta Moly Spence</t>
  </si>
  <si>
    <t>SH-0368 (NOC 8)</t>
  </si>
  <si>
    <t>O-2364</t>
  </si>
  <si>
    <t>Ingeniería de Contraparte Estudio de Prefactibilidad Mejoramiento Riego</t>
  </si>
  <si>
    <t>O-2363</t>
  </si>
  <si>
    <t>Agrupación de Tendencias N°2, N°3 y N°4 - Proyecto SH-0402 - Ingeniería FEL 3 Restitución Agua Sector Oriente</t>
  </si>
  <si>
    <t>SH-0402
TEND 2-3-4</t>
  </si>
  <si>
    <t>O-2362</t>
  </si>
  <si>
    <t>Freeport</t>
  </si>
  <si>
    <t>Nelson Muñoz C.</t>
  </si>
  <si>
    <t xml:space="preserve">Nmunozca@fmi.com 
</t>
  </si>
  <si>
    <t>Revisión de Pares El Abra TSF Tailing Transport System Optimization</t>
  </si>
  <si>
    <t>SH-0442</t>
  </si>
  <si>
    <t>O-2361</t>
  </si>
  <si>
    <t>Estudio de Optimización Operacional TSF Mantoverde - Capstone</t>
  </si>
  <si>
    <t>SH-0452</t>
  </si>
  <si>
    <t>O-2360</t>
  </si>
  <si>
    <t>Daniela Alejandra Núñez Astudillo</t>
  </si>
  <si>
    <t>dnunez@metaprojectgroup.com</t>
  </si>
  <si>
    <t>Mecánica de Suelos y Estudio Caracterización de Relaves</t>
  </si>
  <si>
    <t>O-2359</t>
  </si>
  <si>
    <t>Ingeniería Prefactibilidad Normalización Recintos Eléctricos - Codelco DET</t>
  </si>
  <si>
    <t>O-2358</t>
  </si>
  <si>
    <t>Minera San Cristóbal</t>
  </si>
  <si>
    <t>Jhony Condarco</t>
  </si>
  <si>
    <t>jhonycon@minerasancristobal.com</t>
  </si>
  <si>
    <t>Verificación Hidráulica Fenómeno de Transiente en Línea de Relaves</t>
  </si>
  <si>
    <t>O-2357</t>
  </si>
  <si>
    <t>Melisa Arana</t>
  </si>
  <si>
    <t>Melisa.MN.Arana@bhp.com</t>
  </si>
  <si>
    <t>Presupuestaria Ingeniería DPS Comisionamiento Proyecto 9LRW - SH-0357 - ODS06</t>
  </si>
  <si>
    <t>SH-0357 ODS06</t>
  </si>
  <si>
    <t>O-2356</t>
  </si>
  <si>
    <t>Explotación Mina y Obras Superficie TTE 9 - Codelco DET</t>
  </si>
  <si>
    <t>O-2355</t>
  </si>
  <si>
    <t>Incorporación de Piscina de Drenajes y Derames Estación Booster - PDN40 - SH-0390 - BHP</t>
  </si>
  <si>
    <t>SH-0390
PDN40</t>
  </si>
  <si>
    <t>O-2354</t>
  </si>
  <si>
    <t>Danielle Sampaio</t>
  </si>
  <si>
    <t>jade.choucair@vale.com / fernanda.lima.silva@vale.com</t>
  </si>
  <si>
    <t>RFQ 5000823075 - Sistema Bombeamento Rejeitoduto VG #9667 - VALE</t>
  </si>
  <si>
    <t>O-2353</t>
  </si>
  <si>
    <t>Fernanda Lima</t>
  </si>
  <si>
    <t>SDC 5000825193 - Evento 11771 - ACG Tubulação - VALE</t>
  </si>
  <si>
    <t>O-2352</t>
  </si>
  <si>
    <t>Asesorías Técnicas Profesionales en la Gestión Medioambiental en el Cumplimiento de sus Compromisos Normativos y Estándares</t>
  </si>
  <si>
    <t>O-2351</t>
  </si>
  <si>
    <t>Servicio de Apoyo Control y Cumplimiento Ambiental</t>
  </si>
  <si>
    <t>O-2350</t>
  </si>
  <si>
    <t>Ampliación Botadero de Ripios Lixiviación Secundaria</t>
  </si>
  <si>
    <t>O-2349</t>
  </si>
  <si>
    <t>Fluor</t>
  </si>
  <si>
    <t>Maria Cruz Iriarte</t>
  </si>
  <si>
    <t xml:space="preserve"> Maria.Cruz.Iriarte@fluor.com</t>
  </si>
  <si>
    <t>Ingeniería Básica Concentraducto Proyecto IGP y Transporte de Concentrado Preferente Proyecto ACP</t>
  </si>
  <si>
    <t>O-2348</t>
  </si>
  <si>
    <t>Ingeniería de Detalles Sistema Contraicendios El Teniente</t>
  </si>
  <si>
    <t>O-2347</t>
  </si>
  <si>
    <t>Ingeniería de Detalles Drenes</t>
  </si>
  <si>
    <t>SH-0440</t>
  </si>
  <si>
    <t>O-2346</t>
  </si>
  <si>
    <t>RT</t>
  </si>
  <si>
    <t>Francisco Chueco</t>
  </si>
  <si>
    <t>Javiera.Perez@Worley.com</t>
  </si>
  <si>
    <t>Revisión de Procesos FEL 3 Proyecto RT Concentradora Fase 2</t>
  </si>
  <si>
    <t>O-2345</t>
  </si>
  <si>
    <t>Unilink</t>
  </si>
  <si>
    <t>Ingeniería Abducción Captación</t>
  </si>
  <si>
    <t>Tiene código anterior</t>
  </si>
  <si>
    <t>O-2344</t>
  </si>
  <si>
    <t>Adecuaciones de Procesos Sistema de Impulsión Modo EDAC / Modificación Válvulas Descarga TRS</t>
  </si>
  <si>
    <t>SH-0428</t>
  </si>
  <si>
    <t>O-2343</t>
  </si>
  <si>
    <t>Mediciones de Flujo en Celdas Columnas</t>
  </si>
  <si>
    <t>O-2342</t>
  </si>
  <si>
    <t>Luis Quezada</t>
  </si>
  <si>
    <t>luis.quezada1@bhp.com</t>
  </si>
  <si>
    <t>Revisión Hidráulica Spence Concentrator Upgrade Recovery</t>
  </si>
  <si>
    <t>SH-0433</t>
  </si>
  <si>
    <t>O-2341</t>
  </si>
  <si>
    <t>Puesta en Marcha Nuevo Desaireador Central Térmica Refinería DCH</t>
  </si>
  <si>
    <t>O-2340</t>
  </si>
  <si>
    <t>Actualización Ingeniería Pozo El Retamo (PER)</t>
  </si>
  <si>
    <t>SH-0384 OS-03</t>
  </si>
  <si>
    <t>O-2339</t>
  </si>
  <si>
    <t>Guilherme Machado</t>
  </si>
  <si>
    <t>Validação Bombeamento UF Do Espessador ES-1420KN-01</t>
  </si>
  <si>
    <t>O-2338</t>
  </si>
  <si>
    <t>Caio Nascimento Lemos</t>
  </si>
  <si>
    <t>C0653631@vale.com</t>
  </si>
  <si>
    <t>Disposição de Rejeitos Maravilhas 3 - Ponto 2 E Ponto 3 e 2º Espigotamento</t>
  </si>
  <si>
    <t>O-2337</t>
  </si>
  <si>
    <t>Felipe Fernandez B.</t>
  </si>
  <si>
    <t>ffernandez@syncore.cl</t>
  </si>
  <si>
    <t>Ingeniería Básica y de Detalles Proyecto Lomas Bayas Water Supply</t>
  </si>
  <si>
    <t>O-2336</t>
  </si>
  <si>
    <t>Loreto Gonzalez Krstulovic</t>
  </si>
  <si>
    <t xml:space="preserve"> loreto.gonzalez@teck.com</t>
  </si>
  <si>
    <t>Servicio Ingeniería para Medición, Análisis y Evaluación Dinámico – Estructural en Plataforma TK243 y TK244</t>
  </si>
  <si>
    <t>Incluy un subcontrato por mediciones de vibraciones (Empresa RBA)</t>
  </si>
  <si>
    <t>O-2335</t>
  </si>
  <si>
    <t>MC Sistema de Impulsión desde GOF4 a CMDIC y QB</t>
  </si>
  <si>
    <t>SH-0427</t>
  </si>
  <si>
    <t>O-2334</t>
  </si>
  <si>
    <t>Minera Cerro Negro S.A.</t>
  </si>
  <si>
    <t>Maritza Baeza</t>
  </si>
  <si>
    <t>Asesoría Procesamiento Escorias Cerro Negro Norte</t>
  </si>
  <si>
    <t>Rodrigo Glassner</t>
  </si>
  <si>
    <t>O-2333</t>
  </si>
  <si>
    <t>José Gómez</t>
  </si>
  <si>
    <t>jose.gomez2@bhp.com</t>
  </si>
  <si>
    <t>Presupuestaria Apoyo Comisionamiento Los Colorados Demolition Project</t>
  </si>
  <si>
    <t>O-2332</t>
  </si>
  <si>
    <t>Inspección Técnica Estanque BY-PASS 400-TK-010</t>
  </si>
  <si>
    <t>O-2331</t>
  </si>
  <si>
    <t>Guillerme Dino</t>
  </si>
  <si>
    <t>guilherme.dino@vale.com</t>
  </si>
  <si>
    <t xml:space="preserve">Serviços de Engenharia Integridade de Dutos </t>
  </si>
  <si>
    <t>O-2330</t>
  </si>
  <si>
    <t xml:space="preserve">Diagnóstico Adutoras CVGR </t>
  </si>
  <si>
    <t>O-2329</t>
  </si>
  <si>
    <t xml:space="preserve">Ricardo Diaz </t>
  </si>
  <si>
    <t>ricardo.diaz@lundinmining.com</t>
  </si>
  <si>
    <t>Ingeniería 2 Nuevos Pozos de Extracción y 17 de Monitoreo</t>
  </si>
  <si>
    <t>SH-0435</t>
  </si>
  <si>
    <t>O-2328</t>
  </si>
  <si>
    <t>Stracon</t>
  </si>
  <si>
    <t>Paul Villanueva Muñoz</t>
  </si>
  <si>
    <t>paul.villanueva@stracon.com</t>
  </si>
  <si>
    <t>O-2327</t>
  </si>
  <si>
    <t>WSP</t>
  </si>
  <si>
    <t>Juan Negroni</t>
  </si>
  <si>
    <t>Juan.Negroni.L@wsp.com</t>
  </si>
  <si>
    <t>Revisión de Pares Proyecto Lomas Bayas Water Supply</t>
  </si>
  <si>
    <t>Francisco Martin</t>
  </si>
  <si>
    <t>Solo enviado CV's y tarifas</t>
  </si>
  <si>
    <t>O-2326</t>
  </si>
  <si>
    <t>Mejoramiento Sistema de Enfriamiento y Control de Polvos en Convertidores</t>
  </si>
  <si>
    <t>O-2325</t>
  </si>
  <si>
    <t>DRA</t>
  </si>
  <si>
    <t>Nueva Unión</t>
  </si>
  <si>
    <t>Francisco González</t>
  </si>
  <si>
    <t>francisco.gonzalez@draglobal.com</t>
  </si>
  <si>
    <t>Revisión Trade Off Relincho Project</t>
  </si>
  <si>
    <t>O-2324</t>
  </si>
  <si>
    <t>Protección Morning Glory 9 Etapa</t>
  </si>
  <si>
    <t>Rodrigo Gutiérrez</t>
  </si>
  <si>
    <t>SH-0274 ODS39</t>
  </si>
  <si>
    <t>O-2323</t>
  </si>
  <si>
    <t>Servicios Oficina Técnica de Construcción AN-PNNM</t>
  </si>
  <si>
    <t>O-2322</t>
  </si>
  <si>
    <t>GCIT</t>
  </si>
  <si>
    <t>Contrato Marco Pruebas Hidrometalúrgicas</t>
  </si>
  <si>
    <t>O-2321</t>
  </si>
  <si>
    <t>e_iobreque@cmp.cl</t>
  </si>
  <si>
    <t>Mejora Piping Planta Romeral - SH-0399 - ODS31</t>
  </si>
  <si>
    <t>SH-0399 ODS N°31</t>
  </si>
  <si>
    <t>O-2320</t>
  </si>
  <si>
    <t>Pan American Silver</t>
  </si>
  <si>
    <t>Ronald Ventura</t>
  </si>
  <si>
    <t>ronald.ventura@pe.panamericansilver.com</t>
  </si>
  <si>
    <t>Ingeniería Sistema de Riego Futuro PAD para LOM</t>
  </si>
  <si>
    <t>O-2319</t>
  </si>
  <si>
    <t>Servicios Especializados Desarrollo de Ingenierías DCH</t>
  </si>
  <si>
    <t>O-2318</t>
  </si>
  <si>
    <t>Inspección Técnica e Ingeniería Infraestructura General DRT</t>
  </si>
  <si>
    <t>O-2317</t>
  </si>
  <si>
    <t>Marcos Braga</t>
  </si>
  <si>
    <t>marcos.braga@vale.com</t>
  </si>
  <si>
    <t>As-Built das Tubulações – VG</t>
  </si>
  <si>
    <t>O-2316</t>
  </si>
  <si>
    <t>Ingeniería de Detalles Cambio de Canaleta y Cajón Descarga Molinos</t>
  </si>
  <si>
    <t>O-2315</t>
  </si>
  <si>
    <t>Antamina</t>
  </si>
  <si>
    <t>ID EPC Sistema de Emergencia TPS Fase 9 Antamina</t>
  </si>
  <si>
    <t>O-2314</t>
  </si>
  <si>
    <t>Ingeniería de Detalles EPC TPS Fase 9 Antamina</t>
  </si>
  <si>
    <t>O-2313</t>
  </si>
  <si>
    <t>Análisis Estructural por Cambio de Espesor de Tubería</t>
  </si>
  <si>
    <t>SH-0365 NOC01</t>
  </si>
  <si>
    <t>O-2312</t>
  </si>
  <si>
    <t xml:space="preserve">Schlomit Schuchhardt </t>
  </si>
  <si>
    <t xml:space="preserve">sschuchhardt@mineracentinela.cl </t>
  </si>
  <si>
    <t>Trade Off de Alternativas de Alimentación de Piscinas MET</t>
  </si>
  <si>
    <t>O-2311</t>
  </si>
  <si>
    <t>Contrato Marco de Ingeniería Menor DGM</t>
  </si>
  <si>
    <t>O-2310</t>
  </si>
  <si>
    <t>Reycardo Orbezo Lozano</t>
  </si>
  <si>
    <t>RRORBEZO@collahuasi.cl</t>
  </si>
  <si>
    <t>ID Plan de Infraestructura Desaguado Rosario y Ujina</t>
  </si>
  <si>
    <t>O-2309</t>
  </si>
  <si>
    <t>René Arancibia</t>
  </si>
  <si>
    <t>Factibilidad Estrategia de Relaves Nueva Centinela</t>
  </si>
  <si>
    <t>O-2308</t>
  </si>
  <si>
    <t>Ingenierías Complementarias Depósito de Relaves Spence</t>
  </si>
  <si>
    <t>O-2307</t>
  </si>
  <si>
    <t>macarena.gervilla@ryq.cl</t>
  </si>
  <si>
    <t>Actualización Capítulos SIC y API Plan Cierre de Faenas - SH-0352 ODS18</t>
  </si>
  <si>
    <t>SH-0352 ODS18</t>
  </si>
  <si>
    <t>O-2306</t>
  </si>
  <si>
    <t>Ingeniería Bypass Recarpeteo Piscina El Tambo</t>
  </si>
  <si>
    <t>O-2305</t>
  </si>
  <si>
    <t>VP</t>
  </si>
  <si>
    <t>Servicios de Ingeniería 2025-2026 - Codelco VP</t>
  </si>
  <si>
    <t>O-2304</t>
  </si>
  <si>
    <t>Contrato Marco Ingeniería para Proyectos SIB</t>
  </si>
  <si>
    <t>O-2303</t>
  </si>
  <si>
    <t>Análisis de Sanity Check Cronograma Maestro - PDN07 - SH-0390 - BHP</t>
  </si>
  <si>
    <t xml:space="preserve">Pedro Valencia  </t>
  </si>
  <si>
    <t>SH-0390
PDN07</t>
  </si>
  <si>
    <t>O-2302</t>
  </si>
  <si>
    <t>Constanza Gutierrez</t>
  </si>
  <si>
    <t>constanza.gutierrez@sqm.com</t>
  </si>
  <si>
    <t>O-2300</t>
  </si>
  <si>
    <t>Servicio de Ensayos de Laboratorio Externo</t>
  </si>
  <si>
    <t>O-2299</t>
  </si>
  <si>
    <t>Francisco Javier Avalos Avalos</t>
  </si>
  <si>
    <t xml:space="preserve"> francisco.avalos@capstonecopper.com</t>
  </si>
  <si>
    <t>Apoyo PEM TSF - Mantoverde - Capstone Copper  NOC1</t>
  </si>
  <si>
    <t>Rafael Videla B</t>
  </si>
  <si>
    <t>SH-0409
NOC 01</t>
  </si>
  <si>
    <t>O-2298</t>
  </si>
  <si>
    <t>Eric Brito</t>
  </si>
  <si>
    <t>Avaliação das bombas e relocação de tubulação - Projeto CX305</t>
  </si>
  <si>
    <t>O-2297</t>
  </si>
  <si>
    <t>Rejeitoduto Area 8 Mina de Fabrica</t>
  </si>
  <si>
    <t>O-2296</t>
  </si>
  <si>
    <t>Macarena Gervilla</t>
  </si>
  <si>
    <t>Precalificación Contrato Marco Ingeniería para Proyectos SIB y GEPIRA</t>
  </si>
  <si>
    <t>O-2295</t>
  </si>
  <si>
    <t>EDIC</t>
  </si>
  <si>
    <t>CHEC</t>
  </si>
  <si>
    <t>Marcelo Andreani</t>
  </si>
  <si>
    <t>mandreani@edic.cl</t>
  </si>
  <si>
    <t xml:space="preserve"> Ingeniería Estaciones Bombeo y Línea MT ELP</t>
  </si>
  <si>
    <t>O-2294</t>
  </si>
  <si>
    <t>Revisión Técnica información Vendor Bombas y Sala Eléctrica - PDN53 - SH-0390 - BHP</t>
  </si>
  <si>
    <t>SH-0390
PDN53</t>
  </si>
  <si>
    <t>O-2293</t>
  </si>
  <si>
    <t>Drenaje Afloramientos Cancha 6 El Tambo</t>
  </si>
  <si>
    <t>SH-0384 OS-02</t>
  </si>
  <si>
    <t>O-2292</t>
  </si>
  <si>
    <t>Fabiano Teixeira</t>
  </si>
  <si>
    <t>Fabiano.Teixeira@vale.com</t>
  </si>
  <si>
    <t>Adutora do Poço 10E até os RTI's – São Luís</t>
  </si>
  <si>
    <t>O-2291</t>
  </si>
  <si>
    <t>Adriana Ribeiro</t>
  </si>
  <si>
    <t>ADRIANA.RIBEIRO1@vale.com</t>
  </si>
  <si>
    <t>Plano Trabalho Área IX (Mina Fábrica)</t>
  </si>
  <si>
    <t>O-2289</t>
  </si>
  <si>
    <t>Trade Off Conducción de Reboses Espesados y No Espesados a TSF - PDN23 - SH-0390 -BHP</t>
  </si>
  <si>
    <t>Se emitió en conjunto con O-2288 en la O-2308</t>
  </si>
  <si>
    <t>SH-0390
PDN23</t>
  </si>
  <si>
    <t>O-2288</t>
  </si>
  <si>
    <t>Trazabilidad de Entregables, se Eliminan Planos y Documentos Fusionados para Etapas 1 y 2, y se Añaden HH para Maqueta e Informe de Respaldo - PDN05 - SH-0390 -BHP</t>
  </si>
  <si>
    <t>SH-0390
PDN05</t>
  </si>
  <si>
    <t>O-2287</t>
  </si>
  <si>
    <t>danielle.sampaio@vale.com</t>
  </si>
  <si>
    <t>EB e ED – Sistema de Bombeamento Barragem Sul Superior</t>
  </si>
  <si>
    <t>O-2286</t>
  </si>
  <si>
    <t>NavoiyUran</t>
  </si>
  <si>
    <t>Sergio Bustos</t>
  </si>
  <si>
    <t>sergiojbustosm@gmail.com</t>
  </si>
  <si>
    <t>Ingeniería de Perfil Lixiviación Pilas Mineral Uranio</t>
  </si>
  <si>
    <t>Paticia Lara</t>
  </si>
  <si>
    <t>O-2285</t>
  </si>
  <si>
    <t>Laboratorio Ensayos y Pruebas Relaves Mina Justa</t>
  </si>
  <si>
    <t>SH-0429</t>
  </si>
  <si>
    <t>O-2284</t>
  </si>
  <si>
    <t>Precalificación Apoyo PEM Rajo Inca DSAL</t>
  </si>
  <si>
    <t>O-2283</t>
  </si>
  <si>
    <t>Juan Collio</t>
  </si>
  <si>
    <t>jcollio@cmp.cl</t>
  </si>
  <si>
    <t>Contrato Marco Servicio de Ingeniería Multidisciplinaria - ODS 30 - Molienda en Serie Minas El Romeral - SH-0399</t>
  </si>
  <si>
    <t>SH-0399 ODS N°30</t>
  </si>
  <si>
    <t>O-2282</t>
  </si>
  <si>
    <t>Ingeniería de Detalles EPC Planta Desaladora Coquimbo</t>
  </si>
  <si>
    <t>O-2281</t>
  </si>
  <si>
    <t>NEXA</t>
  </si>
  <si>
    <t>Alexander de la Rosa</t>
  </si>
  <si>
    <t>alexander.delarosa@stracon.com</t>
  </si>
  <si>
    <t>Revisión Línea Relaves Proyecto El Porvenir NEXA</t>
  </si>
  <si>
    <t>O-2280</t>
  </si>
  <si>
    <t>Ingeniería de Prefactibilidad Alternativas Suministro Hídrico DGM</t>
  </si>
  <si>
    <t>O-2279</t>
  </si>
  <si>
    <t>Ingeniería Conceptual Suministro de Agua a Estación de Bombeo</t>
  </si>
  <si>
    <t>Rafael Rodríguez</t>
  </si>
  <si>
    <t>SH-0421</t>
  </si>
  <si>
    <t>O-2278</t>
  </si>
  <si>
    <t>Informe del Technical Review realizado por ARDUM en la Etapa IPS - PDN04 - SH-0390 - BHP</t>
  </si>
  <si>
    <t>SH-0390
PDN04</t>
  </si>
  <si>
    <t>O-2277</t>
  </si>
  <si>
    <t>Turbomáquinas</t>
  </si>
  <si>
    <t>Tinguiririca Energía</t>
  </si>
  <si>
    <t>Adolfo Reyes Canales</t>
  </si>
  <si>
    <t xml:space="preserve">adolfo.reyes@turbomaquinas.cl
</t>
  </si>
  <si>
    <t>Bombeo Pondaje Tricahue a Chimenea HLC</t>
  </si>
  <si>
    <t>O-2276</t>
  </si>
  <si>
    <t>Estudios de Ingenierías y Dirección de Proyectos</t>
  </si>
  <si>
    <t>O-2275</t>
  </si>
  <si>
    <t>Ingeniería de Factibilidad Aumento de Capacidad de Procesamiento Planta Franke</t>
  </si>
  <si>
    <t>O-2274</t>
  </si>
  <si>
    <t>Ingeniería de Prefactibilidad Botadero de Ripios Fase X</t>
  </si>
  <si>
    <t>O-2273</t>
  </si>
  <si>
    <t>Ingeniería Conceptual Nueva Planta Concentradora Altamira</t>
  </si>
  <si>
    <t>O-2272</t>
  </si>
  <si>
    <t>Servicio de Apoyo a la Inspección Técnica - Distrito Norte</t>
  </si>
  <si>
    <t>O-2271</t>
  </si>
  <si>
    <t>Denis Leonardo Parraguez Arp</t>
  </si>
  <si>
    <t>Análisis Hidráulica/Piping Cortadores Metalúrgicos Planta Mantoverde</t>
  </si>
  <si>
    <t>SH-0426</t>
  </si>
  <si>
    <t>O-2270</t>
  </si>
  <si>
    <t>Servicio de Auditoría Externa Bajo Norma ISO 90012015 - Codelco DET</t>
  </si>
  <si>
    <t>O-2269</t>
  </si>
  <si>
    <t>Desarrollo Modelo Operativo en Mina Rajo - Codelco Andina</t>
  </si>
  <si>
    <t>Carta enviada por Codelco</t>
  </si>
  <si>
    <t>O-2268</t>
  </si>
  <si>
    <t>Ingeniería Sistema de Desaguado y Filtración de Relaves</t>
  </si>
  <si>
    <t>O-2267</t>
  </si>
  <si>
    <t>Ingeniería Básica Línea Eléctrica Conexión BH M6M7</t>
  </si>
  <si>
    <t>Jaime Gallo</t>
  </si>
  <si>
    <t>O-2266</t>
  </si>
  <si>
    <t>Cerezos del Valle</t>
  </si>
  <si>
    <t>Claudio Nitsche</t>
  </si>
  <si>
    <t>cnitsche@RONIT.CL</t>
  </si>
  <si>
    <t>Preparación y Tramitación de Permisos para DGA</t>
  </si>
  <si>
    <t>O-2265</t>
  </si>
  <si>
    <t>Análisis Procesos Cortadores Metalúrgicos Planta Mantoverde</t>
  </si>
  <si>
    <t>O-2264</t>
  </si>
  <si>
    <t>Adequação Sistema de Dragagem</t>
  </si>
  <si>
    <t>O-2263</t>
  </si>
  <si>
    <t>Jarrie Gin Herradura</t>
  </si>
  <si>
    <t>jarriegin.herradura@bhp.com</t>
  </si>
  <si>
    <t>Ingenierías SPS/DPS Proyectos Menores - BHP Spence</t>
  </si>
  <si>
    <t>O-2262</t>
  </si>
  <si>
    <t>Neogeoconsult</t>
  </si>
  <si>
    <t>Worley - Codelco</t>
  </si>
  <si>
    <t>José Mello</t>
  </si>
  <si>
    <t>jose.mello@neogeoconsult.com</t>
  </si>
  <si>
    <t>Manual TIRB</t>
  </si>
  <si>
    <t>O-2261</t>
  </si>
  <si>
    <t>Contrato Marco Servicio de Ingeniería Multidisciplinaria - ODS N°29 - Trade Off Integración Proyecto Solución Concentrado Planta Magnetita en Puerto Punta Totoralillo (SCPMP) - SH-0399</t>
  </si>
  <si>
    <t>Se dividión en Trade Off e ID. La ID quedó en la O-2367</t>
  </si>
  <si>
    <t>SH-0399 ODS N°29</t>
  </si>
  <si>
    <t>O-2260</t>
  </si>
  <si>
    <t>Ensayos y Caracterización de Relaves Proyecto Nazareth</t>
  </si>
  <si>
    <t>PL</t>
  </si>
  <si>
    <t>SH-0430</t>
  </si>
  <si>
    <t>O-2259</t>
  </si>
  <si>
    <t>Informe Evaluación Ruido Sistema de Control pozos La Brea y El Tambo</t>
  </si>
  <si>
    <t>SH-0392 ODS04</t>
  </si>
  <si>
    <t>O-2258</t>
  </si>
  <si>
    <t>Juan Álvarez</t>
  </si>
  <si>
    <t>gmoreno@cmp.cl</t>
  </si>
  <si>
    <t>Soporte en Terreno - CMP</t>
  </si>
  <si>
    <t>O-2257</t>
  </si>
  <si>
    <t>Fabian Retamal</t>
  </si>
  <si>
    <t xml:space="preserve"> Fabian.Retamal@sqm.com</t>
  </si>
  <si>
    <t>Trade Off Suministro de Agua CMCC</t>
  </si>
  <si>
    <t>CHile</t>
  </si>
  <si>
    <t>O-2256</t>
  </si>
  <si>
    <t>LundinGold</t>
  </si>
  <si>
    <t>Minera Fruta del Norte</t>
  </si>
  <si>
    <t>Juan Pablo Naranjo</t>
  </si>
  <si>
    <t>Juan.Naranjo@lundingold.com</t>
  </si>
  <si>
    <t>Contrato Marco para Servicios de Ingeniería Externa</t>
  </si>
  <si>
    <t>O-2255</t>
  </si>
  <si>
    <t>Felipe López</t>
  </si>
  <si>
    <t>falopezd@cmp.cl</t>
  </si>
  <si>
    <t>Contrato Marco Servicio de Ingeniería Multidisciplinaria - ODS N°28 - Soluciones a la Filtración de Piscina N°1 ECPPT - SH-0399</t>
  </si>
  <si>
    <t>SH-0399 ODS N°28</t>
  </si>
  <si>
    <t>O-2254</t>
  </si>
  <si>
    <t>Jorge F. Cortínez Castro</t>
  </si>
  <si>
    <t>jfcortinez@collahuasi.cl</t>
  </si>
  <si>
    <t>Actualización de Análisis de Datos Operacionales y de Recuperación de Agua en Planta Concentradora</t>
  </si>
  <si>
    <t>SH-0420</t>
  </si>
  <si>
    <t>O-2253</t>
  </si>
  <si>
    <t>Operação Assistida Mineroduto Gelado - Vale</t>
  </si>
  <si>
    <t>O-2252</t>
  </si>
  <si>
    <t>Ingeniería de Apoyo Construcción Proyecto Arqueros</t>
  </si>
  <si>
    <t>SH-0419</t>
  </si>
  <si>
    <t>O-2251</t>
  </si>
  <si>
    <t>Ingenierías de Mejoras TSF Mantoverde - Capstone</t>
  </si>
  <si>
    <t>O-2250</t>
  </si>
  <si>
    <t>Servicio Campañas Geotécnica, Geofísica y Estudio - Codelco DET</t>
  </si>
  <si>
    <t>O-2249</t>
  </si>
  <si>
    <t>IC Instalaciones Adición Catalizador Lixiviación Calcopirita - MLCC</t>
  </si>
  <si>
    <t>Se consulta estado 24-02</t>
  </si>
  <si>
    <t>O-2248</t>
  </si>
  <si>
    <t>BGC</t>
  </si>
  <si>
    <t>Jorge Troncoso</t>
  </si>
  <si>
    <t xml:space="preserve">jtroncoso@bgcengineering.ca
</t>
  </si>
  <si>
    <t>Revisión Experta de Relaves</t>
  </si>
  <si>
    <t>Surinam</t>
  </si>
  <si>
    <t>SH-0424</t>
  </si>
  <si>
    <t>O-2247</t>
  </si>
  <si>
    <t>Contrato Marco Servicio de Ingeniería Multidisciplinaria - ODS N°27 - Aumento de Ley de Preconcentrado MLC -  CMP - SH-0399</t>
  </si>
  <si>
    <t>SH-0399 ODS N°27</t>
  </si>
  <si>
    <t>O-2246</t>
  </si>
  <si>
    <t>Contrato Marco Servicio de Ingeniería Multidisciplinaria - ODS N°26 - Bypass de Finos MLC -  CMP - SH-0399</t>
  </si>
  <si>
    <t>SH-0399 ODS N°26</t>
  </si>
  <si>
    <t>O-2245</t>
  </si>
  <si>
    <t>Contrato Marco Servicio de Ingeniería Multidisciplinaria - ODS N°25 - Centrífuga PP -  CMP - SH-0399</t>
  </si>
  <si>
    <t>SH-0399 ODS N°25</t>
  </si>
  <si>
    <t>O-2244</t>
  </si>
  <si>
    <t>Contrato Marco Servicio de Ingeniería Multidisciplinaria - ODS N°24 - Clasificación Previa a Molienda Planta Pellets -  CMP - SH-0399</t>
  </si>
  <si>
    <t>SH-0399 ODS N°24</t>
  </si>
  <si>
    <t>O-2243</t>
  </si>
  <si>
    <t>FDA</t>
  </si>
  <si>
    <t>CMZ</t>
  </si>
  <si>
    <t>María José Candia Hernández.</t>
  </si>
  <si>
    <t xml:space="preserve">mcandia@fda.cl 
</t>
  </si>
  <si>
    <t>Prefactibilidad Procesamiento de Relaves Zaldívar - CMZ</t>
  </si>
  <si>
    <t>O-2242</t>
  </si>
  <si>
    <t>GCEM</t>
  </si>
  <si>
    <t>Servicio de Ingeniería para Pruebas de Temperatura - Codelco DGM - SH-0352 - ODS13</t>
  </si>
  <si>
    <t>SH-0352 ODS13</t>
  </si>
  <si>
    <t>O-2241</t>
  </si>
  <si>
    <t>Contrato Marco Servicio de Ingeniería Multidisciplinaria - ODS N°23 - Optimización Planta Magnetita - CMP - SH-0399</t>
  </si>
  <si>
    <t>SH-0399 ODS N°23</t>
  </si>
  <si>
    <t>O-2240</t>
  </si>
  <si>
    <t>Ingeniería de Detalles Proyecto Reemplazo Sistema Scada Control SSEE TTE</t>
  </si>
  <si>
    <t>O-2239</t>
  </si>
  <si>
    <t>Mauricio Rebolledo</t>
  </si>
  <si>
    <t>Solicitud Análisis de Flexibilidad Proyecto TEA</t>
  </si>
  <si>
    <t>SH-0425</t>
  </si>
  <si>
    <t>O-2238</t>
  </si>
  <si>
    <t>Ingeniería de Diagnóstico Canal de Relaves - ODS02 - SH-0360</t>
  </si>
  <si>
    <t>SH-0360 ODS02</t>
  </si>
  <si>
    <t>O-2237</t>
  </si>
  <si>
    <t>Rodrigo Lobos</t>
  </si>
  <si>
    <t>Asesoría Ing. Hidráulico PEM</t>
  </si>
  <si>
    <t>SH-0271 ODT-23</t>
  </si>
  <si>
    <t>O-2236</t>
  </si>
  <si>
    <t>Contrato  Marco Ingeniería de Detalles y Estudios Infraestructura Crítica - Codelco DRT</t>
  </si>
  <si>
    <t>O-2235</t>
  </si>
  <si>
    <t>Nadia Tejada Del Río</t>
  </si>
  <si>
    <t xml:space="preserve">
Nadia.nn.tejada@bhp.com
</t>
  </si>
  <si>
    <t>IPT Comisionamiento SE3 STWM GCMS - BHP - SH-0357 - ODS05</t>
  </si>
  <si>
    <t>SH-0357
ODS05</t>
  </si>
  <si>
    <t>O-2234</t>
  </si>
  <si>
    <t>Minera Pirquitas</t>
  </si>
  <si>
    <t>Ingeniero de Registro TSF Pirquitas y Depósito San Miguel - MPC Consultora</t>
  </si>
  <si>
    <t>O-2233</t>
  </si>
  <si>
    <t>Rafaella Vitorino</t>
  </si>
  <si>
    <t>novascontratacoes.DBPG@Vale.com</t>
  </si>
  <si>
    <t>EB Captação Água Córrego Monjolo – Água Limpa</t>
  </si>
  <si>
    <t>O-2232</t>
  </si>
  <si>
    <t>Contrato Marco Servicio de Ingeniería Multidisciplinaria - ODS N°22 - Apoyo Geotécnico Totoralillo - CMP - SH-0399</t>
  </si>
  <si>
    <t>SH-0399 ODS N°22</t>
  </si>
  <si>
    <t>O-2231</t>
  </si>
  <si>
    <t>Marcelo Jeunon</t>
  </si>
  <si>
    <t>Marcelo.Jeunon1@vale.com</t>
  </si>
  <si>
    <t>Revisão do PNR 000202</t>
  </si>
  <si>
    <t>O-2230</t>
  </si>
  <si>
    <t>Revisão do PNR 000191</t>
  </si>
  <si>
    <t>O-2229</t>
  </si>
  <si>
    <t>Revisão do PNR 000105</t>
  </si>
  <si>
    <t>O-2228</t>
  </si>
  <si>
    <t>Revisão do PNR 000088</t>
  </si>
  <si>
    <t>O-2227</t>
  </si>
  <si>
    <t>Revisão do PNR 000087</t>
  </si>
  <si>
    <t>O-2226</t>
  </si>
  <si>
    <t>Revisão do PNR 000086</t>
  </si>
  <si>
    <t>O-2225</t>
  </si>
  <si>
    <t>Revisão do PNR 000081</t>
  </si>
  <si>
    <t>O-2224</t>
  </si>
  <si>
    <t>Revisão do PNR 000053</t>
  </si>
  <si>
    <t>O-2223</t>
  </si>
  <si>
    <t>Revisão do PNR 000052</t>
  </si>
  <si>
    <t>O-2222</t>
  </si>
  <si>
    <t>Revisão do PNR 000048</t>
  </si>
  <si>
    <t>O-2221</t>
  </si>
  <si>
    <t>Revisão do PNR 000047 - 000062</t>
  </si>
  <si>
    <t>O-2220</t>
  </si>
  <si>
    <t xml:space="preserve">Revisão do PNR 000017 </t>
  </si>
  <si>
    <t>O-2219</t>
  </si>
  <si>
    <t>Revisão de PNRs DEGAC</t>
  </si>
  <si>
    <t>O-2218</t>
  </si>
  <si>
    <t>Contrato Marco Servicios de Apoyo, en Materias de Hidrología e Hidráulica; Hidrogeología; Medio Ambiente y Permisos/Biodiversidad y Multidisciplina - DET</t>
  </si>
  <si>
    <t>O-2217</t>
  </si>
  <si>
    <t>Víctor Carvajal González</t>
  </si>
  <si>
    <t>Ingeniería Mejoramiento de Infraestructura Cruces Salado y Salado-Hojalar - SH-0333 ODS09</t>
  </si>
  <si>
    <t>Rodrigo Valencia</t>
  </si>
  <si>
    <t>SH-0333 ODS07</t>
  </si>
  <si>
    <t>O-2216</t>
  </si>
  <si>
    <t>Ingeniería de Detalle Reemplazo Condensadores - Codelco DCH</t>
  </si>
  <si>
    <t>O-2215</t>
  </si>
  <si>
    <t>Aldo Díaz Arce</t>
  </si>
  <si>
    <t>asdiaza@cmp.cl</t>
  </si>
  <si>
    <t>Contrato Marco Servicio de Ingeniería Multidisciplinaria - ODS N°21 - Ingeniería de Detalles Manejo de Agua Canales de Contorno - CMP - SH-0399</t>
  </si>
  <si>
    <t>SH-0399 ODS N°21</t>
  </si>
  <si>
    <t>O-2214</t>
  </si>
  <si>
    <t>Ecometales</t>
  </si>
  <si>
    <t>Eduardo Rocco</t>
  </si>
  <si>
    <t>PRocc001@ecometales.cl</t>
  </si>
  <si>
    <t>Servicio de Ingeniería Multidisciplina 2025-2027 - Ecometales</t>
  </si>
  <si>
    <t>O-2213</t>
  </si>
  <si>
    <t>Servicios de Inspección Técnica para Obras de Construcción - DSAL</t>
  </si>
  <si>
    <t>O-2212</t>
  </si>
  <si>
    <t>Servicio Inspección Técnica y Apoyo Operacional DRT</t>
  </si>
  <si>
    <t>O-2211</t>
  </si>
  <si>
    <t>Javier Undurraga Wielandt</t>
  </si>
  <si>
    <t>Javier.Undurraga@sgscm.cl</t>
  </si>
  <si>
    <t>Servicio de Ingeniería Área Desarrollo TSF - SGSCM</t>
  </si>
  <si>
    <t>SH-0271</t>
  </si>
  <si>
    <t>O-2210</t>
  </si>
  <si>
    <t>Patricio Ochoa</t>
  </si>
  <si>
    <t>pochoa@cmp.cl</t>
  </si>
  <si>
    <t>Cambio de Uso Estanque de Petróleo a Agua</t>
  </si>
  <si>
    <t>SH-0413</t>
  </si>
  <si>
    <t>O-2209</t>
  </si>
  <si>
    <t>Servicio Contraparte Ingeniería de Factibilidad y Apoyo Experto Lixiviación Clorurada Convencional DRT</t>
  </si>
  <si>
    <t>O-2208</t>
  </si>
  <si>
    <t>Patricio Poblete</t>
  </si>
  <si>
    <t>ppoblete@edic.cl</t>
  </si>
  <si>
    <t>Apoyo Ingeniero Civil</t>
  </si>
  <si>
    <t>3 Semanas</t>
  </si>
  <si>
    <t>SH-0411</t>
  </si>
  <si>
    <t>O-2207</t>
  </si>
  <si>
    <t>BHP - Spence</t>
  </si>
  <si>
    <t>Spence Tailings Adaptation Plan (STAP) WP4</t>
  </si>
  <si>
    <t>Proyecto en espera por nuevas definiciones de BHP</t>
  </si>
  <si>
    <t>O-2206</t>
  </si>
  <si>
    <t>Luis Arturo Geldres Rodriguez</t>
  </si>
  <si>
    <t>Arturo.Geldres@vale.com</t>
  </si>
  <si>
    <t xml:space="preserve">Proposta de Testes reológicos de polpa de minêrio de ferro para o Porto Norte - MA (TMPM) </t>
  </si>
  <si>
    <t>O-2205</t>
  </si>
  <si>
    <t>Contrato Marco Servicio de Ingeniería Multidisciplinaria - ODS N°20 - Estimación de Contrapeso y Espesor de Cinta de Sistema Transportador Overland Tubular - CMP - SH-0399</t>
  </si>
  <si>
    <t>Miguel Ángel Sepúlveda</t>
  </si>
  <si>
    <t>SH-0399 ODS N°20</t>
  </si>
  <si>
    <t>O-2204</t>
  </si>
  <si>
    <t>ID Plan de Infraestructura Desaguado Rosario y Ujina - Especialista en Terreno</t>
  </si>
  <si>
    <t>SH-0408</t>
  </si>
  <si>
    <t>O-2203</t>
  </si>
  <si>
    <t>Jaques Lito Rengifo</t>
  </si>
  <si>
    <t>Contrato Marco Servicio de Ingeniería Multidisciplinaria - ODS N°19 - Servicio de Ingeniería Contraparte - CMP - SH-0399</t>
  </si>
  <si>
    <t>CMP no conituó con el proceso</t>
  </si>
  <si>
    <t>SH-0399 ODS N°19</t>
  </si>
  <si>
    <t>O-2202</t>
  </si>
  <si>
    <t>Contrato Marco Servicio de Ingeniería Multidisciplinaria - ODS N°00 - Administración y Coordinación ODS - CMP - SH-0399</t>
  </si>
  <si>
    <t>SH-0399 ODS N°00</t>
  </si>
  <si>
    <t>O-2201</t>
  </si>
  <si>
    <t>Contrato Marco Servicio de Ingeniería Multidisciplinaria - ODS N°18 - Instrumentación &amp; Control PP - CMP - SH-0399</t>
  </si>
  <si>
    <t>SH-0399 ODS N°18</t>
  </si>
  <si>
    <t>O-2200</t>
  </si>
  <si>
    <t>Contrato Marco Servicio de Ingeniería Multidisciplinaria - ODS N°17 - Instrumentación &amp; Control MLC - CMP - SH-0399</t>
  </si>
  <si>
    <t>SH-0399 ODS N°17</t>
  </si>
  <si>
    <t>O-2199</t>
  </si>
  <si>
    <t>Bypass Líneas de Relaves a Celda N°9. SH-0364 - NOC 12</t>
  </si>
  <si>
    <t>Diego Jerez</t>
  </si>
  <si>
    <t>SH-0364 (NOC 12)</t>
  </si>
  <si>
    <t>O-2198</t>
  </si>
  <si>
    <t>Cinco Valles</t>
  </si>
  <si>
    <t>Solicitud Análisis Hidráulico</t>
  </si>
  <si>
    <t>O-2197</t>
  </si>
  <si>
    <t>Josimar Castro Goncalves</t>
  </si>
  <si>
    <t>Josimar.Castro.Goncalves@vale.com</t>
  </si>
  <si>
    <t>Diagnóstico Estação de Bombeamento Rejeito Conceição</t>
  </si>
  <si>
    <t>O-2196</t>
  </si>
  <si>
    <t>Contrato Marco Servicio de Ingeniería Multidisciplinaria - ODS N°16 - Ingeniería Molienda en Serie Planta Pellets - CMP - SH-0399</t>
  </si>
  <si>
    <t>Por decisión de CMP. Cambios internos.</t>
  </si>
  <si>
    <t>SH-0399 ODS N°16</t>
  </si>
  <si>
    <t>O-2195</t>
  </si>
  <si>
    <t>Anderson Gomes</t>
  </si>
  <si>
    <t>anderson.gomes2@vale.com</t>
  </si>
  <si>
    <t>Invent. e Estrat. de Man. Estação de Tratamento Salobo</t>
  </si>
  <si>
    <t>O-2194</t>
  </si>
  <si>
    <t>Ingeniería de Perfil Recuperación Capacidad Planta Concentradora DAND</t>
  </si>
  <si>
    <t>O-2193</t>
  </si>
  <si>
    <t>Minera Santo Domingo</t>
  </si>
  <si>
    <t>Rodrigo Guzmán - Aconex</t>
  </si>
  <si>
    <t>Aconex</t>
  </si>
  <si>
    <t>Ingeniería Interim Truck Shop Mina Minera Santo Domingo</t>
  </si>
  <si>
    <t>O-2192</t>
  </si>
  <si>
    <t>Ingeniería Interim Concentraducto Minera Santo Domingo</t>
  </si>
  <si>
    <t>O-2191-1</t>
  </si>
  <si>
    <t>Francisco Vega Vergara</t>
  </si>
  <si>
    <t>Ingeniería de Detalles SRA</t>
  </si>
  <si>
    <t>SH-0422</t>
  </si>
  <si>
    <t>O-2191</t>
  </si>
  <si>
    <t>Prefactibilidad Nuevo Cajón Distribuidor STR</t>
  </si>
  <si>
    <t>SH-0414</t>
  </si>
  <si>
    <t>O-2190</t>
  </si>
  <si>
    <t>Ingeniería Camino Minero</t>
  </si>
  <si>
    <t>Carlos Merlo / Fernando Carreño</t>
  </si>
  <si>
    <t>SH-0271 ODT-22</t>
  </si>
  <si>
    <t>O-2189</t>
  </si>
  <si>
    <t>Contrato Marco Servicio de Ingeniería Multidisciplinaria - ODS N°15 - Ampliación ODS01 Equipo en Terreno – CMP - SH-0399</t>
  </si>
  <si>
    <t>SH-0399 ODS N°15</t>
  </si>
  <si>
    <t>O-2188</t>
  </si>
  <si>
    <t>Contrato Marco Servicio de Ingeniería Multidisciplinaria - ODS N°14 - Informe Capacidad Planta MLC – CMP - SH-0399</t>
  </si>
  <si>
    <t>SH-0399 ODS N°14</t>
  </si>
  <si>
    <t>O-2187</t>
  </si>
  <si>
    <t>Contrato Marco Servicio de Ingeniería Multidisciplinaria - ODS N°13 - Informe Capacidad Planta Pellets  –  CMP - SH-0399</t>
  </si>
  <si>
    <t>SH-0399 ODS N°13</t>
  </si>
  <si>
    <t>O-2186</t>
  </si>
  <si>
    <t>Contrato Marco Servicio de Ingeniería Multidisciplinaria - ODS N°12 - Diseño Sistemas de Muestreo Plantas MLC y PP  – CMP - SH-0399</t>
  </si>
  <si>
    <t>SH-0399 ODS N°12</t>
  </si>
  <si>
    <t>O-2185</t>
  </si>
  <si>
    <t>Contrato Marco Servicio de Ingeniería Multidisciplinaria - ODS N°11 - Diseño Integral Manejo de polvos MLC  – CMP - SH-0399</t>
  </si>
  <si>
    <t>SH-0399 ODS N°11</t>
  </si>
  <si>
    <t>O-2184</t>
  </si>
  <si>
    <t>Contrato Marco Servicio de Ingeniería Multidisciplinaria - ODS N°10 - Revisión Capacidad de Correas Transportadoras Área 53, 55 y 61 MLC  – CMP - SH-0399</t>
  </si>
  <si>
    <t>SH-0399 ODS N°10</t>
  </si>
  <si>
    <t>O-2183</t>
  </si>
  <si>
    <t>Florelia Amaya</t>
  </si>
  <si>
    <t>otifamaya@eeccmlp.cl</t>
  </si>
  <si>
    <t>Actualización de Instrumentos para el Desarrollo de Carrera Rol Empleado MLP</t>
  </si>
  <si>
    <t>David Cerón / Sebastián Briceño</t>
  </si>
  <si>
    <t>O-2182</t>
  </si>
  <si>
    <t>Precalificación Servicio de Ingeniería Multidisciplina 2025-2027 - Ecometales</t>
  </si>
  <si>
    <t>La primera fecha de entrega es para la Pre Calificación.</t>
  </si>
  <si>
    <t>PreCal</t>
  </si>
  <si>
    <t>O-2181</t>
  </si>
  <si>
    <t>Budgetaria Análisis y Recomendaciones de Mejoras en Traspasos - CMP</t>
  </si>
  <si>
    <t>O-2180</t>
  </si>
  <si>
    <t>Lacerda Projetos</t>
  </si>
  <si>
    <t>COMISA</t>
  </si>
  <si>
    <t>Marcelo Alves</t>
  </si>
  <si>
    <t xml:space="preserve"> marcelo.alves@lacerdaprojetos.com.br</t>
  </si>
  <si>
    <t>Consultoria Hidráulica captação e adutora - LACERDA - COMISA</t>
  </si>
  <si>
    <t>O-2179</t>
  </si>
  <si>
    <t>Contrato Marco Servicio de Ingeniería Multidisciplinaria - ODS N°9 - Bombas Torre de Enfriamiento PP – CMP - SH-0399</t>
  </si>
  <si>
    <t>SH-0399 ODS N°9</t>
  </si>
  <si>
    <t>O-2178</t>
  </si>
  <si>
    <t>Pedro Azócar Latapiat</t>
  </si>
  <si>
    <t>pazocar@jej.cl</t>
  </si>
  <si>
    <t>Gestión de Permisos Instalaciones Embalse Carén - JEJ - Codelco</t>
  </si>
  <si>
    <t>Daniela Videla</t>
  </si>
  <si>
    <t>O-2177</t>
  </si>
  <si>
    <t>Apoyo Compras Proyecto SIHS - SH-0368 - NOC07 - Spence – BHP</t>
  </si>
  <si>
    <t>SH-0368 (NOC 7)</t>
  </si>
  <si>
    <t>O-2176</t>
  </si>
  <si>
    <t>Actualización Ingeniería EXE - SH-0368 - Spence – BHP</t>
  </si>
  <si>
    <t>SH-0368 (NOC 9)</t>
  </si>
  <si>
    <t>O-2175</t>
  </si>
  <si>
    <t>Soporte en Terreno y Línea Base Planta Pellets - CMP</t>
  </si>
  <si>
    <t>Volvió a a la O-2136 como ODS 01 del CA ya aprobado</t>
  </si>
  <si>
    <t>O-2174</t>
  </si>
  <si>
    <t>Ingeniería, Estudios y Proyectos de Innovación</t>
  </si>
  <si>
    <t>O-2173</t>
  </si>
  <si>
    <t>Ismael Sánchez</t>
  </si>
  <si>
    <t>Capex Clase 2 y BIM con Datos</t>
  </si>
  <si>
    <t>SH-0412</t>
  </si>
  <si>
    <t>O-2172</t>
  </si>
  <si>
    <t>Budgetaria Construcción Piloto Experimental DRF Planta Pellets - CMP</t>
  </si>
  <si>
    <t>O-2171</t>
  </si>
  <si>
    <t>Mitigación Riesgos Geomecánicos y Estructurales - Codelco</t>
  </si>
  <si>
    <t>René Lagas / Ramón Nazar</t>
  </si>
  <si>
    <t>O-2170</t>
  </si>
  <si>
    <t>Juan Raúl González</t>
  </si>
  <si>
    <t>Escondida Effluent Management - SH-0357 - ODS04</t>
  </si>
  <si>
    <t>SH-0357
ODS04</t>
  </si>
  <si>
    <t>O-2169</t>
  </si>
  <si>
    <t>Equinox Gold</t>
  </si>
  <si>
    <t>Fabio Eduardo Silva</t>
  </si>
  <si>
    <t xml:space="preserve">fabio.silva@equinoxgold.com </t>
  </si>
  <si>
    <t>Pré-viabilidade Transferência de Rejeitos - PIT TATAJUBA</t>
  </si>
  <si>
    <t>O-2168</t>
  </si>
  <si>
    <t>EC_Água Serviço TFA (BU26 e 26R) VALE (Conceitual)</t>
  </si>
  <si>
    <t>O-2167</t>
  </si>
  <si>
    <t>FEL3 Planta Lixiviación Clorurada DRT</t>
  </si>
  <si>
    <t>O-2166</t>
  </si>
  <si>
    <t>Ingenierías Multidisciplinarias GOP Concentradora DCH</t>
  </si>
  <si>
    <t>O-2165</t>
  </si>
  <si>
    <t>SH-0417</t>
  </si>
  <si>
    <t>O-2164</t>
  </si>
  <si>
    <t>German Lagrange</t>
  </si>
  <si>
    <t>German.Lagrange@fluor.com</t>
  </si>
  <si>
    <t>SPS Estudio Transporte y Disposición de Relaves ENCP</t>
  </si>
  <si>
    <t>Pasó a cambio en listado de entregables del proyecto SH-0368</t>
  </si>
  <si>
    <t>O-2163</t>
  </si>
  <si>
    <t>Contrato Marco Servicio de Ingeniería Multidisciplinaria - ODS N°8 - Dimensionamiento Nuevo Espesador – CMP - SH-0399</t>
  </si>
  <si>
    <t>SH-0399 ODS N°8</t>
  </si>
  <si>
    <t>O-2162</t>
  </si>
  <si>
    <t>Marco Madrid</t>
  </si>
  <si>
    <t>javiera.a.garay@bhp.com</t>
  </si>
  <si>
    <t>Ingeniería de Valor Adecuación de Proyecto a las Nuevas Condiciones Optimizadas. SH-0368 - NOC 3</t>
  </si>
  <si>
    <t>SH-0368 (NOC 3)</t>
  </si>
  <si>
    <t>O-2161</t>
  </si>
  <si>
    <t>Sergio Gaete</t>
  </si>
  <si>
    <t>sergio.gaete@capstonecopper.com</t>
  </si>
  <si>
    <t>Solución Temprana Filtraciones Estanque Alimentación de Espesadores de Concentrado</t>
  </si>
  <si>
    <t>SH-0407</t>
  </si>
  <si>
    <t>O-2160</t>
  </si>
  <si>
    <t>Precalificación IC Reimpulsión Tove Cotas 640 a 710 - DAND</t>
  </si>
  <si>
    <t>O-2159</t>
  </si>
  <si>
    <t>Apoyo Gestión Superintendencia de Ingeniería Fundición - DET</t>
  </si>
  <si>
    <t>O-2158</t>
  </si>
  <si>
    <t>Trade Off Piscina Agua Fresca Reservorio La Brea</t>
  </si>
  <si>
    <t>SH-0392 ODS02</t>
  </si>
  <si>
    <t>O-2157</t>
  </si>
  <si>
    <t>Alejandro Lazo Barrera</t>
  </si>
  <si>
    <t>alejandro.lazo@capstonecopper.com</t>
  </si>
  <si>
    <t>Visita Técnica de Profesional Hidráulica</t>
  </si>
  <si>
    <t>SH-0406</t>
  </si>
  <si>
    <t>O-2156</t>
  </si>
  <si>
    <t>Contrato Marco Servicio de Ingeniería Multidisciplinaria - ODS N°7 - Revisión Hidráulica Cajón Disipador de Colas #3 – CMP - SH-0399</t>
  </si>
  <si>
    <t>SH-0399 ODS N°7</t>
  </si>
  <si>
    <t>O-2155</t>
  </si>
  <si>
    <t>Ingeniería de Detalles Piscina Agua Fresca Reservorio La Brea</t>
  </si>
  <si>
    <t>O-2154</t>
  </si>
  <si>
    <t>Capítulos SIC Capex Pretiles de Contención de Aguas Lluvias, Planta Magnetita</t>
  </si>
  <si>
    <t>PI-BP</t>
  </si>
  <si>
    <t>O-2153</t>
  </si>
  <si>
    <t>Ingeniería Vendor para Proyecto MSIR WP03 Densímetros</t>
  </si>
  <si>
    <t>O-2152</t>
  </si>
  <si>
    <t>Catalina Reyes Rudolph</t>
  </si>
  <si>
    <t>Contrato Ingenierías Multidisciplinarias</t>
  </si>
  <si>
    <t>O-2151</t>
  </si>
  <si>
    <t>Ricardo Puelma</t>
  </si>
  <si>
    <t>ricardo.puelma@capstonecopper.com</t>
  </si>
  <si>
    <t>Ingeniería para Trabajos de Término MVDP</t>
  </si>
  <si>
    <t xml:space="preserve">               </t>
  </si>
  <si>
    <t>O-2150</t>
  </si>
  <si>
    <t>Contrato Marco Servicio de Ingeniería Multidisciplinaria - ODS N°6 - Definición de Soluciones para el Control y Mitigación de Emisiones de Material Particulado en CNN y Planta Magnetita – CMP - SH-0399</t>
  </si>
  <si>
    <t>SH-0399 ODS N°6</t>
  </si>
  <si>
    <t>O-2149</t>
  </si>
  <si>
    <t>Ingeniería Conceptual Torre N° 7</t>
  </si>
  <si>
    <t>O-2148</t>
  </si>
  <si>
    <t>Servicio Contraparte Puesta en Marcha Proyecto SADDN</t>
  </si>
  <si>
    <t>Se  consulta estado 24-02</t>
  </si>
  <si>
    <t>O-2147</t>
  </si>
  <si>
    <t>Contrato Marco Servicio de Ingeniería Multidisciplinaria - ODS N°5 - Revisión Capacidad Correas Pta. Chancado MLC – CMP - SH-0399</t>
  </si>
  <si>
    <t>SH-0399 ODS N°5</t>
  </si>
  <si>
    <t>O-2146</t>
  </si>
  <si>
    <t>Contrato Marco Servicio de Ingeniería Multidisciplinaria - ODS N°4 - Revisión Sujeción Extractores Nave Filtrado PP – CMP - SH-0399</t>
  </si>
  <si>
    <t>SH-0399 ODS N°4</t>
  </si>
  <si>
    <t>O-2145</t>
  </si>
  <si>
    <t>Contrato Marco Servicio de Ingeniería Multidisciplinaria - ODS N°3 - Correas Manejo de Rechazos y Correa 6 – CMP - SH-0399</t>
  </si>
  <si>
    <t>SH-0399 ODS N°3</t>
  </si>
  <si>
    <t>O-2144</t>
  </si>
  <si>
    <t>Paulina Marchant</t>
  </si>
  <si>
    <t>paulina.marchant2@bhp.com</t>
  </si>
  <si>
    <t>Comisionamiento SRPS - SH-0390 - PDN03</t>
  </si>
  <si>
    <t>Pedro Valencia / Cristian López</t>
  </si>
  <si>
    <t>SH-0390
PDN03</t>
  </si>
  <si>
    <t>O-2143</t>
  </si>
  <si>
    <t>Análisis de Chancado Mina UG Candelaria</t>
  </si>
  <si>
    <t>SH-0405</t>
  </si>
  <si>
    <t>O-2142</t>
  </si>
  <si>
    <t>Horacio Arriagada</t>
  </si>
  <si>
    <t>Análisis Operación de Planta Mantoverde según Criterios de Diseño  Proyecto MVDP - Caso Base</t>
  </si>
  <si>
    <t>O-2141</t>
  </si>
  <si>
    <t>Modelamiento Numérico para Análisis Hidrogeológico y Estabilidad de Taludes - DMH</t>
  </si>
  <si>
    <t>O-2140</t>
  </si>
  <si>
    <t>Rodrigo Bravo</t>
  </si>
  <si>
    <t>mauricio.bravo2@bhp.com</t>
  </si>
  <si>
    <t>Presupuestaria Comisionamiento Proyecto ENBRA - SH-0357 - ODS03</t>
  </si>
  <si>
    <t>SH-0357
ODS03</t>
  </si>
  <si>
    <t>O-2139</t>
  </si>
  <si>
    <t>Visita Técnica de Profesional Civil/Geotécnico y Piping/Hidráulica</t>
  </si>
  <si>
    <t>SH-0392 ODS01</t>
  </si>
  <si>
    <t>O-2138</t>
  </si>
  <si>
    <t>Ahlicely Silva</t>
  </si>
  <si>
    <t xml:space="preserve"> ahlicely.silva@vale.com</t>
  </si>
  <si>
    <t>Estudo e Validação do Sistema de Bombeamento de VGR</t>
  </si>
  <si>
    <t>Revisión 1</t>
  </si>
  <si>
    <t>O-2137</t>
  </si>
  <si>
    <t>Guillermo Moreno</t>
  </si>
  <si>
    <t>Contrato Marco Servicio de Ingeniería Multidisciplinaria - ODS N°2 - Línea Base PP - CMP</t>
  </si>
  <si>
    <t>SH-0399 ODS N°2</t>
  </si>
  <si>
    <t>O-2136</t>
  </si>
  <si>
    <t>Contrato Marco Servicio de Ingeniería Multidisciplinaria - ODS N°1 - Soporte en Terreno - CMP</t>
  </si>
  <si>
    <t>Pasó al código O-2258 fuera del CM</t>
  </si>
  <si>
    <t>SH-0399 ODS N°1</t>
  </si>
  <si>
    <t>O-2135</t>
  </si>
  <si>
    <t>EMIN</t>
  </si>
  <si>
    <t>Lomas Bayas</t>
  </si>
  <si>
    <t>Sergio Henríquez Araya</t>
  </si>
  <si>
    <t>henriquez.araya@gmail.com</t>
  </si>
  <si>
    <t>Ingeniería de Detalles EPC Proyecto Lomas Bayas Water Supply - Glencore</t>
  </si>
  <si>
    <t>O-2134</t>
  </si>
  <si>
    <t>AngloAmerican El Soldado</t>
  </si>
  <si>
    <t>César Tapia</t>
  </si>
  <si>
    <t>cesar.tapia@angloamerican.com</t>
  </si>
  <si>
    <t>Actualización Plan de Ejecución Proyecto Canal de Contorno El Torito</t>
  </si>
  <si>
    <t>Cristina Díaz</t>
  </si>
  <si>
    <t>O-2133</t>
  </si>
  <si>
    <t>Fastpack</t>
  </si>
  <si>
    <t>Tomás Cruz</t>
  </si>
  <si>
    <t xml:space="preserve"> t.cruz@fastpack.cl</t>
  </si>
  <si>
    <t>Implementación de Banco de Pruebas</t>
  </si>
  <si>
    <t>O-2132</t>
  </si>
  <si>
    <t>Ingeniería Conceptual Mejoras Sistema de Espesamiento de Relaves DAND</t>
  </si>
  <si>
    <t>O-2131</t>
  </si>
  <si>
    <t>Análisis Multicriterio Depositación de Relaves en Rajo</t>
  </si>
  <si>
    <t>O-2130</t>
  </si>
  <si>
    <t>EB e ED Interferências de Avanço de Lavra Tamanduá</t>
  </si>
  <si>
    <t>O-2129</t>
  </si>
  <si>
    <t>OHLA Peru</t>
  </si>
  <si>
    <t>Miguel Angel Carranza Simon</t>
  </si>
  <si>
    <t>mcarranza@ohla-peru.pe</t>
  </si>
  <si>
    <t>Ingeniería de Detalles EPC Sistema de Emergencia TPS Phase IX - OHLA - Antamina</t>
  </si>
  <si>
    <t>Pasa a O-2315 con nuevos alcances</t>
  </si>
  <si>
    <t>O-2128</t>
  </si>
  <si>
    <t>Apoyo PEM TSF - Mantoverde - Capstone Copper</t>
  </si>
  <si>
    <t>SH-0409</t>
  </si>
  <si>
    <t>O-2127</t>
  </si>
  <si>
    <t>Geomecánica y Análisis de Muestras para Proyecto Piloto Experimental - CMP</t>
  </si>
  <si>
    <t>O-2301</t>
  </si>
  <si>
    <t>Ingeniería de Detalles SRA - Taller Hazop</t>
  </si>
  <si>
    <t>O-2126</t>
  </si>
  <si>
    <t>Evelyn González</t>
  </si>
  <si>
    <t>evelyn.gonzalez2@bhp.com</t>
  </si>
  <si>
    <t>Análisis Opex, Geotecnia Celda 7A, Reunión con EoR - SH-0389 - NOC 02 - BHP</t>
  </si>
  <si>
    <t>SH-0389 NOC 02</t>
  </si>
  <si>
    <t>O-2125</t>
  </si>
  <si>
    <t>Smruti Patra</t>
  </si>
  <si>
    <t>smruti.patra@bhp.com</t>
  </si>
  <si>
    <t>Estación Booster Ampliada - SH-0390 - PDN02 - BHP</t>
  </si>
  <si>
    <t>SH-0390
PDN02</t>
  </si>
  <si>
    <t>O-2124</t>
  </si>
  <si>
    <t>Ingeniería de Detalles Sistemas Rajo DRR</t>
  </si>
  <si>
    <t>O-2123</t>
  </si>
  <si>
    <t>Ingeniería de Detalles Mejoramiento Proceso Filtrado de Cobre</t>
  </si>
  <si>
    <t>O-2122</t>
  </si>
  <si>
    <t>Jorge León</t>
  </si>
  <si>
    <t>jleon@knightpiesold.com</t>
  </si>
  <si>
    <t>Ingeniería de Enlace Tranque de Relaves Santo Domingo</t>
  </si>
  <si>
    <t>Maximiliano Pérez</t>
  </si>
  <si>
    <t>Pasó al código O-2173 con agregado de BIM</t>
  </si>
  <si>
    <t>O-2121</t>
  </si>
  <si>
    <t>Capston Copper</t>
  </si>
  <si>
    <t xml:space="preserve">Romané Pizarro Cisternas </t>
  </si>
  <si>
    <t>romane.pizarro@capstonecopper.com</t>
  </si>
  <si>
    <t>Contrato Marco Ingeniería Menores Planta Concentradora Área Mantenimiento</t>
  </si>
  <si>
    <t>O-2120</t>
  </si>
  <si>
    <t>Gestión Proyecto Tovaku Etapa Factibilidad</t>
  </si>
  <si>
    <t>SH-0397</t>
  </si>
  <si>
    <t>O-2119</t>
  </si>
  <si>
    <t>Contraparte Ing. Factibilidad y Apoyo Experto Concentradora - DRT</t>
  </si>
  <si>
    <t>12:00 hrs</t>
  </si>
  <si>
    <t>O-2118</t>
  </si>
  <si>
    <t>Verificación de Interferencias y Resistividad Eléctrica Proyecto SRPS - BHP</t>
  </si>
  <si>
    <t>Isaac del Valle</t>
  </si>
  <si>
    <t>O-2117</t>
  </si>
  <si>
    <t>Inventário e Estratégia de Manutenção Laboratório Sossego</t>
  </si>
  <si>
    <t>O-2116</t>
  </si>
  <si>
    <t>Inventário e Estratégia de Manutenção Laboratório Onça Puma</t>
  </si>
  <si>
    <t>O-2115</t>
  </si>
  <si>
    <t>Juan González Rojas</t>
  </si>
  <si>
    <t>Budgetaria Comisionamiento fase SPS, Proyectos EWU y EEM</t>
  </si>
  <si>
    <t xml:space="preserve">Hugo Andrade </t>
  </si>
  <si>
    <t>O-2114</t>
  </si>
  <si>
    <t>Gerencia Corporativa de Aguas (GCA)</t>
  </si>
  <si>
    <t>CM Asistencia Técnica Recursos Hídricos</t>
  </si>
  <si>
    <t>O-2113</t>
  </si>
  <si>
    <t>Adicional Proyecto ID Contención de Aguas Lluvias Planta Pellet</t>
  </si>
  <si>
    <t>O-2112</t>
  </si>
  <si>
    <t>Ingeniería de Detalles Sistema Recuperación de Aguas</t>
  </si>
  <si>
    <t>SH-0432</t>
  </si>
  <si>
    <t>O-2111</t>
  </si>
  <si>
    <t>Empírica</t>
  </si>
  <si>
    <t>Patricio Álvarez</t>
  </si>
  <si>
    <t>palvarez@empiricaconsultores.cl</t>
  </si>
  <si>
    <t>Verificación Hidráulica Concentraducto Andina</t>
  </si>
  <si>
    <t>SH-0393</t>
  </si>
  <si>
    <t>O-2110</t>
  </si>
  <si>
    <t>Spence Conventional Tailings WP2 - SH-0357 - ODS02</t>
  </si>
  <si>
    <t xml:space="preserve">Francisco Martin  </t>
  </si>
  <si>
    <t>SH-0357 ODS02</t>
  </si>
  <si>
    <t>O-2109</t>
  </si>
  <si>
    <t>Contrato Marco Servicio de Ingeniería Multidisciplinaria - CMP</t>
  </si>
  <si>
    <t>SH-0399</t>
  </si>
  <si>
    <t>O-2108</t>
  </si>
  <si>
    <t>IF Reposición Red de Alcantarillado Sector Sulfuros</t>
  </si>
  <si>
    <t>O-2107</t>
  </si>
  <si>
    <t>Estudio Condiciones Óptimas Operación Pilas de Lixiviación</t>
  </si>
  <si>
    <t>O-2106</t>
  </si>
  <si>
    <t xml:space="preserve">Tiempo Residencia Soluciones en Pila ROM SBL </t>
  </si>
  <si>
    <t>O-2105</t>
  </si>
  <si>
    <t xml:space="preserve">Patricio Ochoa </t>
  </si>
  <si>
    <t>Estudio Alternativas Harnero de Seguridad Planta Magnetita</t>
  </si>
  <si>
    <t>Claudio Nordio</t>
  </si>
  <si>
    <t>SH-0400</t>
  </si>
  <si>
    <t>O-2104</t>
  </si>
  <si>
    <t xml:space="preserve">José Carlos Rafful Júnior </t>
  </si>
  <si>
    <t>jose.rafful@vale.com</t>
  </si>
  <si>
    <t xml:space="preserve">Engenharia Detalhada Bombeamento da Bacia Leste </t>
  </si>
  <si>
    <t>O-2103</t>
  </si>
  <si>
    <t>rfyanez@collahuasi.cl</t>
  </si>
  <si>
    <t>Ingeniería Conceptual Transporte de Agua desde Piscina 3 a TK1007</t>
  </si>
  <si>
    <t>Revisión 2</t>
  </si>
  <si>
    <t>SH-0403</t>
  </si>
  <si>
    <t>O-2102</t>
  </si>
  <si>
    <t>Levantamiento Nube de Puntos SPRR - BHP</t>
  </si>
  <si>
    <t>SH-0396</t>
  </si>
  <si>
    <t>O-2101</t>
  </si>
  <si>
    <t>MIRS</t>
  </si>
  <si>
    <t>Ingeniería de Detalles Calefacción Losa de Lavado - CMDIC</t>
  </si>
  <si>
    <t>O-2100</t>
  </si>
  <si>
    <t>IC Evaluación Ambiental Obras Marinas México</t>
  </si>
  <si>
    <t>O-2099</t>
  </si>
  <si>
    <t>Fernanda Stumptner</t>
  </si>
  <si>
    <t>Fernanda.Stumptner@teck.com</t>
  </si>
  <si>
    <t>Servicios de Gestión de Integridad de Ductos</t>
  </si>
  <si>
    <t>O-2098</t>
  </si>
  <si>
    <t>Modelo de Estimación de Capex de Proyectos de Suministro de Recursos Hídricos - SH-0352 - ODS12</t>
  </si>
  <si>
    <t>Luis Barrios</t>
  </si>
  <si>
    <t>SH-0352 ODS12</t>
  </si>
  <si>
    <t>O-2097</t>
  </si>
  <si>
    <t>Colbún</t>
  </si>
  <si>
    <t>Natasha Cereceda</t>
  </si>
  <si>
    <t>natascha.cereceda@bogado.cl</t>
  </si>
  <si>
    <t>Trazado de Impulsión de Agua Desalinizada Colbún - Proyecto Chucao</t>
  </si>
  <si>
    <t>16 semanas</t>
  </si>
  <si>
    <t>O-2096</t>
  </si>
  <si>
    <t>Marion Célis</t>
  </si>
  <si>
    <t>mcelis@fda.cl</t>
  </si>
  <si>
    <t>Estudio de Factibilidad Avanzada Línea Alternativa Emergencia Relaves</t>
  </si>
  <si>
    <t>SH-0401</t>
  </si>
  <si>
    <t>O-2095</t>
  </si>
  <si>
    <t>TECK Supplier</t>
  </si>
  <si>
    <t>Ingeniería Básica Water Management System</t>
  </si>
  <si>
    <t>Se modifica alcance, el día 6/11</t>
  </si>
  <si>
    <t>O-2094</t>
  </si>
  <si>
    <t>rafael.rodriguez@sgscm.cl</t>
  </si>
  <si>
    <t>SH-0271 ODT-20</t>
  </si>
  <si>
    <t>O-2093</t>
  </si>
  <si>
    <t>Pablo Cruz</t>
  </si>
  <si>
    <t>Pablo.Cruz@sgscm.cl</t>
  </si>
  <si>
    <t>Ingeniería Básica Levantamiento de Crucetas en Pretil Principal y Berma 11</t>
  </si>
  <si>
    <t>SH-0271 ODT-21</t>
  </si>
  <si>
    <t>O-2092</t>
  </si>
  <si>
    <t>Diseño Botadero El Buitre Etapas 8a y 9a  - ODS19 / SH-0274 - NOC 01</t>
  </si>
  <si>
    <t>83 días</t>
  </si>
  <si>
    <t>SH-0274 ODS19 NOC 01</t>
  </si>
  <si>
    <t>O-2091</t>
  </si>
  <si>
    <t>GoldFields</t>
  </si>
  <si>
    <t>Cerro Corona</t>
  </si>
  <si>
    <t>ID EPC  INPIT-TSF</t>
  </si>
  <si>
    <t>Pasa a O-2314 con nuevos alcances</t>
  </si>
  <si>
    <t>O-2090</t>
  </si>
  <si>
    <t>Ingeniería Densímetros Nucleares - Modificación al Listado de Entregables - NOC 01</t>
  </si>
  <si>
    <t>SH-0388
NOC 01</t>
  </si>
  <si>
    <t>O-2290</t>
  </si>
  <si>
    <t>Análisis Cambio Válvula Tapón SRA-DRR (NOC1)</t>
  </si>
  <si>
    <t>SH-0415 NOC1</t>
  </si>
  <si>
    <t>O-2089</t>
  </si>
  <si>
    <t>Codelco VP</t>
  </si>
  <si>
    <t>Servicio de Ingeniería de Contraparte Técnica e Ingeniería Complementaria</t>
  </si>
  <si>
    <t>Por experiencia</t>
  </si>
  <si>
    <t>O-2088</t>
  </si>
  <si>
    <t>Sigma</t>
  </si>
  <si>
    <t>Francisco Gonzalez</t>
  </si>
  <si>
    <t>IT Grota do Cirilo</t>
  </si>
  <si>
    <t>O-2087</t>
  </si>
  <si>
    <t>ESVAL</t>
  </si>
  <si>
    <t>ID Solución Estructural Tramo Papudo - La Ligua</t>
  </si>
  <si>
    <t>O-2086</t>
  </si>
  <si>
    <t>Sergio Avendaño</t>
  </si>
  <si>
    <t>ID e IT Peralte Muros Etapa N°2 DR Pampa Austral</t>
  </si>
  <si>
    <t>O-2085</t>
  </si>
  <si>
    <t>asdiaz@cmp.cl</t>
  </si>
  <si>
    <t>Ingeniería de Detalles Bypass Correa Colectora Planta Pellets</t>
  </si>
  <si>
    <t>Seadjudicó como NOC del SH-0369 pero con código de proyecto nuevo</t>
  </si>
  <si>
    <t>SH-0395</t>
  </si>
  <si>
    <t>O-2084</t>
  </si>
  <si>
    <t>Jhonder Rojas</t>
  </si>
  <si>
    <t>ksotop@cemin.com</t>
  </si>
  <si>
    <t>Servicios de Ingeniería de Detalles Plan de Cierre Depósitos de Relaves Pullalli</t>
  </si>
  <si>
    <t>O-2083</t>
  </si>
  <si>
    <t>Manuel Soto G.</t>
  </si>
  <si>
    <t>msotogal@bechtel.com</t>
  </si>
  <si>
    <t>Estudio TSF y Estabilidad de Muros Norte Abierto</t>
  </si>
  <si>
    <t>O-2082</t>
  </si>
  <si>
    <t>Patricio Ochoa / Aldo Díaz Arce</t>
  </si>
  <si>
    <t>Contrato Marco Ingeniería Multidisciplinario - CMP</t>
  </si>
  <si>
    <t>104 semanas</t>
  </si>
  <si>
    <t>O-2081</t>
  </si>
  <si>
    <t>Ing. Detalles Construcción Camino Estación Ciclones a Muro de Partida - SH-0361 - NOC 01</t>
  </si>
  <si>
    <t>SH-0361 NOC 01</t>
  </si>
  <si>
    <t>3 semanas</t>
  </si>
  <si>
    <t>O-2080</t>
  </si>
  <si>
    <t>Ingeniería de Detalles EPC Sistema de Bombeo de Relaves Líneas NyS - Elevación TPS Phase IX - OHLA - Antamina</t>
  </si>
  <si>
    <t>SH-0387</t>
  </si>
  <si>
    <t>O-2079</t>
  </si>
  <si>
    <t>O-2078</t>
  </si>
  <si>
    <t>Ingeniería de Detalles Construcción Fluviométrica Río Pulido</t>
  </si>
  <si>
    <t>7 semanas</t>
  </si>
  <si>
    <t>O-2077</t>
  </si>
  <si>
    <t>Ingeniería de Prefactibilidad Aumento Capacidad Estación de Bombeo 2</t>
  </si>
  <si>
    <t>Ganó Keypro</t>
  </si>
  <si>
    <t>O-2076</t>
  </si>
  <si>
    <t xml:space="preserve"> fabiano.teixeira@vale.com</t>
  </si>
  <si>
    <t>Sistema de Captação para a Adutora no TMPM - SLZ – VALE</t>
  </si>
  <si>
    <t xml:space="preserve">Dolglas Souza  </t>
  </si>
  <si>
    <t>SH-0398</t>
  </si>
  <si>
    <t>O-2075</t>
  </si>
  <si>
    <t>Aumento de Confiabilidad Espesadores Planta Pellets</t>
  </si>
  <si>
    <t>20 semanas</t>
  </si>
  <si>
    <t>O-2074</t>
  </si>
  <si>
    <t>Guilherme Meneses</t>
  </si>
  <si>
    <t>Cálculos Hidráulicos Rejeitoduto de Viga – VALE</t>
  </si>
  <si>
    <t>8 semanas</t>
  </si>
  <si>
    <t>O-2073</t>
  </si>
  <si>
    <t>Trade Off Nueva Solución Sistema de Bombeo Temporal - Proyecto STAP</t>
  </si>
  <si>
    <t>SH-0389</t>
  </si>
  <si>
    <t>O-2072</t>
  </si>
  <si>
    <t>Wagner Santos</t>
  </si>
  <si>
    <t>wagner.souza.santos@vale.com</t>
  </si>
  <si>
    <t>Estudo de Mancha de Inundação Mineroduto Gelado</t>
  </si>
  <si>
    <t>Dolglas Souza / Christian Ihle</t>
  </si>
  <si>
    <t>SH-0404</t>
  </si>
  <si>
    <t>9 semanas</t>
  </si>
  <si>
    <t>O-2071</t>
  </si>
  <si>
    <t>Patricio Ochoa Valenzuela</t>
  </si>
  <si>
    <t>Estudio Alternativas Instalación Harneros de Seguridad Planta Pellet</t>
  </si>
  <si>
    <t>Se emitió una revisión 1 con un nuevo itemizado y alcance. Igual a O-2105.</t>
  </si>
  <si>
    <t>O-2070</t>
  </si>
  <si>
    <t>Plan de Recambio Tuberías Conducción a Sector Sur. SH-0364 - NOC 11</t>
  </si>
  <si>
    <t>SH-0364 (NOC 11)</t>
  </si>
  <si>
    <t>4 semanas</t>
  </si>
  <si>
    <t>O-2069</t>
  </si>
  <si>
    <t>Análisis de Viabilidad Uso Sala Eléctrica Planta DEMO Relaves para Fase 2 SRPS. SH-0364 - NOC 10</t>
  </si>
  <si>
    <t>SH-0364 (NOC 10)</t>
  </si>
  <si>
    <t>5 semanas</t>
  </si>
  <si>
    <t>O-2068</t>
  </si>
  <si>
    <t>Servicio Asistencia Técnica Cartera GCEM - SH-0352-ODS07</t>
  </si>
  <si>
    <t>Carta Excusa. No contar con personal experiencia en Sales</t>
  </si>
  <si>
    <t>SH-0352 ODS07</t>
  </si>
  <si>
    <t>O-2067</t>
  </si>
  <si>
    <t>Ingeniería de Perfil Calentamiento Soluciones Lixiviación Planta Ácido Sulfúrico - DCH</t>
  </si>
  <si>
    <t>O-2066</t>
  </si>
  <si>
    <t>Jean Rojas Gallardo</t>
  </si>
  <si>
    <t>jdrojas@cmp.cl</t>
  </si>
  <si>
    <t>Complementos Servicio Prueba Circuito en Serie Relaves El Romeral - Aumento Rendimiento Molino N°1 - Cálculos Hidráulicos y Piping</t>
  </si>
  <si>
    <t>Diego Jeréz / Pedro Valencia</t>
  </si>
  <si>
    <t>2 semanas</t>
  </si>
  <si>
    <t>O-2065</t>
  </si>
  <si>
    <t>Repotenciamiento Sistema de Correas y Chutes PF21 Planta Pellet</t>
  </si>
  <si>
    <t>O-2064</t>
  </si>
  <si>
    <t>Carmen Gloria Flores</t>
  </si>
  <si>
    <t>CM Servicios Multidisciplinarios de Ing. Proyectos OPEX</t>
  </si>
  <si>
    <t>SH-0392</t>
  </si>
  <si>
    <t>O-2063</t>
  </si>
  <si>
    <t>Estudo Rejeitoduto Concentração Magnética - SH-0366 OS-01 TAC-01</t>
  </si>
  <si>
    <t>Orlando Bispo</t>
  </si>
  <si>
    <t>SH-0366 OS-01 TAC-01</t>
  </si>
  <si>
    <t>O-2062</t>
  </si>
  <si>
    <t xml:space="preserve">Inventário e Estratégia de Manutenção Laboratório São Luis </t>
  </si>
  <si>
    <t>Revisión 1 con dos opciones:
OP01: 1.185 HH/MR$237
OP02:  960 HH/MR$195</t>
  </si>
  <si>
    <t>O-2061</t>
  </si>
  <si>
    <t>Marcela Vilches</t>
  </si>
  <si>
    <t>mvilches@colbun.cl</t>
  </si>
  <si>
    <t>Trazado de Impulsión de Agua Desalinizada Colbún - Proyecto Pelícano</t>
  </si>
  <si>
    <t>O-2060</t>
  </si>
  <si>
    <t>Pruebas de Caracterización de Relaves Complementarias a Medición In Situ de Reología. SH-0364 - NOC 9</t>
  </si>
  <si>
    <t>SH-0364 (NOC 9)</t>
  </si>
  <si>
    <t>O-2059</t>
  </si>
  <si>
    <t>Resiter</t>
  </si>
  <si>
    <t>Renato Becker</t>
  </si>
  <si>
    <t>rbecker@resiter.cl</t>
  </si>
  <si>
    <t>Ingeniería Básica y Detalles Proyecto Eccofeed Integrado</t>
  </si>
  <si>
    <t>O-2058</t>
  </si>
  <si>
    <t>Ingeniería de Perfil Mejoramiento Aducción Toconce</t>
  </si>
  <si>
    <t>SH-0360 ODS01</t>
  </si>
  <si>
    <t>O-2057</t>
  </si>
  <si>
    <t>Alvaro Sepúlveda / Katherine Muñoz</t>
  </si>
  <si>
    <t>Integración Manual de Operaciones Relaves Spence</t>
  </si>
  <si>
    <t>Diego Jerez / Sebastián Briceño</t>
  </si>
  <si>
    <t>13 semanas</t>
  </si>
  <si>
    <t>O-2056</t>
  </si>
  <si>
    <t>Francisca Olivares Salazar</t>
  </si>
  <si>
    <t>folivaress@pelambres.cl</t>
  </si>
  <si>
    <t>Cursos de Entrenamiento Operacional 2024 STFT - MLP</t>
  </si>
  <si>
    <t>SH-0394</t>
  </si>
  <si>
    <t>O-2055</t>
  </si>
  <si>
    <t>Javier Riquelme del Río</t>
  </si>
  <si>
    <t>Ingeniería de Detalles Mejoramiento Recuperación de Aguas Espesador R-2</t>
  </si>
  <si>
    <t>O-2054</t>
  </si>
  <si>
    <t>Estudios de Ingeniería para Proyectos</t>
  </si>
  <si>
    <t>O-2053</t>
  </si>
  <si>
    <t>Capstone</t>
  </si>
  <si>
    <t>Auditoría Instalaciones Críticas Proyecto MVDP - NOC2</t>
  </si>
  <si>
    <t>Orlando Peralta</t>
  </si>
  <si>
    <t>SH-0370 NOC2</t>
  </si>
  <si>
    <t>O-2052</t>
  </si>
  <si>
    <t>Osvaldo San Martín B.</t>
  </si>
  <si>
    <t>Osvaldo.Sanmartin1@bhpbilliton.com</t>
  </si>
  <si>
    <t>Presupuestaria Comisionamiento Proyecto LCCAI - SH-0357 - ODS02</t>
  </si>
  <si>
    <t>O-2051</t>
  </si>
  <si>
    <t>Verificación Hidráulica - Proyecto SRPS - SH-0364 - NOC 8</t>
  </si>
  <si>
    <t>Diego Jeréz / P Valencia</t>
  </si>
  <si>
    <t>SH-0364 (NOC 8)</t>
  </si>
  <si>
    <t>O-2050</t>
  </si>
  <si>
    <t>Pruebas Reológicas - Proyecto SRPS - SH-0364 - NOC 7</t>
  </si>
  <si>
    <t>Diego Jeréz</t>
  </si>
  <si>
    <t>SH-0364 (NOC 7)</t>
  </si>
  <si>
    <t>O-2049</t>
  </si>
  <si>
    <t>Cumplimiento Normativo Calderas - Planta de Pellets</t>
  </si>
  <si>
    <t>O-2048</t>
  </si>
  <si>
    <t>Víctor Alejandro Sánchez Venegas</t>
  </si>
  <si>
    <t>e_vsanchez@pe.cmp.cl</t>
  </si>
  <si>
    <t>Contrato Marco de Ingeniería - Relaves</t>
  </si>
  <si>
    <t>David Cerón / Pablo Vasquez</t>
  </si>
  <si>
    <t>O-2047</t>
  </si>
  <si>
    <t>Estudio Conceptual Proyecto Transporte de Aguas Quebrada Blanca</t>
  </si>
  <si>
    <t>SH-0386</t>
  </si>
  <si>
    <t>O-2046</t>
  </si>
  <si>
    <t>Gerson Moncada / Stephan Matulic</t>
  </si>
  <si>
    <t>Contrato Abierto Servicios Especializados BHP</t>
  </si>
  <si>
    <t>Esperandpo que BHP formalice ofrecimiento formal de Gerson y Stephan</t>
  </si>
  <si>
    <t>O-2045</t>
  </si>
  <si>
    <t>Ingeniería FEL 3 Restitución Agua Sector Oriente</t>
  </si>
  <si>
    <t>SH-0402</t>
  </si>
  <si>
    <t>O-2044</t>
  </si>
  <si>
    <t>Marcello Rondanelli P.</t>
  </si>
  <si>
    <t>mrondanelli@aguascap.cl</t>
  </si>
  <si>
    <t>IP Trazados Impulsión Salmuera a Quebrada el Morado (FEL 1)</t>
  </si>
  <si>
    <t>O-2043</t>
  </si>
  <si>
    <t>ORS</t>
  </si>
  <si>
    <t>Randy Andy Soto</t>
  </si>
  <si>
    <t>rafael@orspipelines.com</t>
  </si>
  <si>
    <t>Ingeniería Constructiva Acueducto Minera Las Cenizas - EPC Agua de Mar Franke - ORS - Minera Las Cenizas</t>
  </si>
  <si>
    <t>David Cerón / Carlos Merlo</t>
  </si>
  <si>
    <t>17 semanas</t>
  </si>
  <si>
    <t>O-2042</t>
  </si>
  <si>
    <t>TECK QB2</t>
  </si>
  <si>
    <t>Alberto García</t>
  </si>
  <si>
    <t>Alberto.Garcia@empiricaconsultores.cl</t>
  </si>
  <si>
    <t>Apoyo Hidráulico Estudio Cuellos de Botella Teck Quebrada Blanca (QB2)</t>
  </si>
  <si>
    <t>O-2041</t>
  </si>
  <si>
    <t>Plataforma BHP / Daniel Werner</t>
  </si>
  <si>
    <t>jimena.batarce@bhp.com</t>
  </si>
  <si>
    <t>Spence Tailings Adaptation Plan (STAP) WP3 &amp; WP4</t>
  </si>
  <si>
    <t>Requiere subcontratos Skava y GRT</t>
  </si>
  <si>
    <t>O-2040</t>
  </si>
  <si>
    <t>Validación Reología y Apoyo Plan Estratégico y PEP. SH-0364 - NOC 6</t>
  </si>
  <si>
    <t>SH-0364 (NOC 6)</t>
  </si>
  <si>
    <t>O-2039</t>
  </si>
  <si>
    <t>Álvaro Flores</t>
  </si>
  <si>
    <t>aflores@knightpiesold.com</t>
  </si>
  <si>
    <t>Ingeniería de Detalles Empalizada Tranque de Relaves Mantoverde</t>
  </si>
  <si>
    <t>Revisión 1, se agregaron Itemizado y Capex</t>
  </si>
  <si>
    <t>6 semanas</t>
  </si>
  <si>
    <t>O-2038</t>
  </si>
  <si>
    <t>Sonja Galleguillos</t>
  </si>
  <si>
    <t>Servicio Elaboración Plan Maestro</t>
  </si>
  <si>
    <t>SH-0391</t>
  </si>
  <si>
    <t>O-2037</t>
  </si>
  <si>
    <t>Besalco</t>
  </si>
  <si>
    <t>AMSA</t>
  </si>
  <si>
    <t>ID Truck Shop Rajo Encuentro</t>
  </si>
  <si>
    <t>Maximiliano Pérez/Francisco Martin</t>
  </si>
  <si>
    <t>Cambio fecha de entrega, sin definir, a espera de respuesta a consultas</t>
  </si>
  <si>
    <t>O-2036</t>
  </si>
  <si>
    <t>Cox Abengoa</t>
  </si>
  <si>
    <t>Engie</t>
  </si>
  <si>
    <t>Eric Romero</t>
  </si>
  <si>
    <t>eric.romero@coxabengoa.com</t>
  </si>
  <si>
    <t>ID Reutilización Infraestructura de Agua Industrial Mejillones</t>
  </si>
  <si>
    <t>Cox Abengoa desechó proceso</t>
  </si>
  <si>
    <t>O-2035</t>
  </si>
  <si>
    <t>MSA Gestión y Estrategia de Relaves-Antamina</t>
  </si>
  <si>
    <t>O-2034</t>
  </si>
  <si>
    <t>Elaboración Plan Maestro</t>
  </si>
  <si>
    <t>PVZ gestionó que SHIMIN fuese invitado. Nueva Oferta en desarrollo O-2038.</t>
  </si>
  <si>
    <t>O-2033</t>
  </si>
  <si>
    <t>Servicio de Inspección y Ensayo no Destructivo en Fundición</t>
  </si>
  <si>
    <t>No es de nuestro ámbito</t>
  </si>
  <si>
    <t>O-2032</t>
  </si>
  <si>
    <t>Mauricio Díaz Rivero (ARIBA)</t>
  </si>
  <si>
    <t>MDiaz067@codelco.cl</t>
  </si>
  <si>
    <t>Precalificación Ing. y Estudios Multidisciplinarios GPR</t>
  </si>
  <si>
    <t>O-2031</t>
  </si>
  <si>
    <t>Análisis Hidráulico y Operacional Planta Demostrativa - SH-0333 ODS09</t>
  </si>
  <si>
    <t>SH-0333 ODS09</t>
  </si>
  <si>
    <t>O-2030</t>
  </si>
  <si>
    <t>Jaime Gutiérrez</t>
  </si>
  <si>
    <t>jaime.gutierrez@bhp.com</t>
  </si>
  <si>
    <t>Comisionamiento Proyecto SCPY SH-0357 - ODS01</t>
  </si>
  <si>
    <t>SH-0357 ODS01</t>
  </si>
  <si>
    <t>O-2029</t>
  </si>
  <si>
    <t>Christopher Muñoz</t>
  </si>
  <si>
    <t>chmunozt@aguascap.cl</t>
  </si>
  <si>
    <t xml:space="preserve">ID Adecuación de Lanzadores y Receptores PIG Proyecto MACNN </t>
  </si>
  <si>
    <t>O-2028</t>
  </si>
  <si>
    <t>IPS Etapa 0 Repotenciamiento. SH-0364 - NOC 5</t>
  </si>
  <si>
    <t>SH-0364 (NOC 5)</t>
  </si>
  <si>
    <t>O-2027</t>
  </si>
  <si>
    <t>Bamin</t>
  </si>
  <si>
    <t>Fabiana Facci</t>
  </si>
  <si>
    <t>fabiana.facci@bamin.com.br</t>
  </si>
  <si>
    <t xml:space="preserve">Consultoria Engenharia Especializada Em Adutora </t>
  </si>
  <si>
    <t>O-2026</t>
  </si>
  <si>
    <t>Contraparte, Asesoría Experta e Ing. Complementarias GPA</t>
  </si>
  <si>
    <t>O-2025</t>
  </si>
  <si>
    <t>Ingeniería Básica Implementación de Bomba en Balsa en Piscina Existente MV</t>
  </si>
  <si>
    <t>SH-0385</t>
  </si>
  <si>
    <t>O-2024</t>
  </si>
  <si>
    <t xml:space="preserve"> Ingeniería de Perfil Tratamiento de Aguas Fondo Mina Sur para Utilización En Pta. Concentradora SH-0333 ODS06</t>
  </si>
  <si>
    <t>SH-0333 ODS06</t>
  </si>
  <si>
    <t>O-2023</t>
  </si>
  <si>
    <t>ID Apta para Construcción de Abastecimiento Cachimba desde Acueducto QB</t>
  </si>
  <si>
    <t>Cliente indica proyecto Stand By hasta nuevo aviso.</t>
  </si>
  <si>
    <t>O-2022</t>
  </si>
  <si>
    <t>Sergio Correa</t>
  </si>
  <si>
    <t>Sergio.Correa@capstonecopper.com</t>
  </si>
  <si>
    <t>Levantamiento Contingencia Muro Arena de Relaves MV</t>
  </si>
  <si>
    <t>Carlos Merlo / Orlando Peralta</t>
  </si>
  <si>
    <t>Visita Terreno 18/04</t>
  </si>
  <si>
    <t>O-2021</t>
  </si>
  <si>
    <t>Estudio Reología en Espesadores</t>
  </si>
  <si>
    <t>Christian Ihle / Matías Muñoz</t>
  </si>
  <si>
    <t>O-2020</t>
  </si>
  <si>
    <t>José de la Cruz</t>
  </si>
  <si>
    <t xml:space="preserve"> jose.delacruz@teck.com</t>
  </si>
  <si>
    <t>Mejoras de Procesos TMF</t>
  </si>
  <si>
    <t>O-2019</t>
  </si>
  <si>
    <t>Auditoría Instalaciones Críticas Proyecto MVDP - NOC1</t>
  </si>
  <si>
    <t>SH-0370 NOC1</t>
  </si>
  <si>
    <t>O-2018</t>
  </si>
  <si>
    <t>Levantamiento Interferencias Proyecto SPRS</t>
  </si>
  <si>
    <t>Sebastián Briceño</t>
  </si>
  <si>
    <t>Se envió como Anexo de Capex del proyecto.</t>
  </si>
  <si>
    <t>O-2017</t>
  </si>
  <si>
    <t xml:space="preserve"> Actualización y Optimización Costos IP para Conectar Fuente Salado con DGM SH-0333 ODS08</t>
  </si>
  <si>
    <t>SH-0333 ODS08</t>
  </si>
  <si>
    <t>O-2016</t>
  </si>
  <si>
    <t>CM Servicios Revisión Experta para Proyectos</t>
  </si>
  <si>
    <t>Se presentó carta excusa después de 1a Ronda de Aclaraciones</t>
  </si>
  <si>
    <t>O-2015</t>
  </si>
  <si>
    <t>Cerro Verde</t>
  </si>
  <si>
    <t>IB TE-TL Tailings C1 to Enlozada &amp; Linga Pumping System Phase I</t>
  </si>
  <si>
    <t>O-2014</t>
  </si>
  <si>
    <t>Cássio Dayrell</t>
  </si>
  <si>
    <t>Realocação Trechos Tubulação Bombeamentos Água dos Poços TAM</t>
  </si>
  <si>
    <t>IC/ID</t>
  </si>
  <si>
    <t>O-2013</t>
  </si>
  <si>
    <t>alberto.garcia@empirica.cl</t>
  </si>
  <si>
    <t>Apoyo Diagnóstico Planta de Escorias</t>
  </si>
  <si>
    <t>SH-0379</t>
  </si>
  <si>
    <t>O-2012</t>
  </si>
  <si>
    <t>BSMD</t>
  </si>
  <si>
    <t>Fabián Santander</t>
  </si>
  <si>
    <t>fsantander@besalcomd.cl</t>
  </si>
  <si>
    <t>Corrección Modelo 3D Proyecto Arqueros</t>
  </si>
  <si>
    <t>Benjamín Páez</t>
  </si>
  <si>
    <t>O-2011</t>
  </si>
  <si>
    <t>José Bozo Cáceres</t>
  </si>
  <si>
    <t>Precalificación Contrato Marco Ingeniería Multidisciplinaria DBN</t>
  </si>
  <si>
    <t>Entrega hasta las 10 am</t>
  </si>
  <si>
    <t>O-2010</t>
  </si>
  <si>
    <t>IPS Sistema de Bombeo Temporal Proyecto STAP</t>
  </si>
  <si>
    <t>SH-0381</t>
  </si>
  <si>
    <t>O-2009</t>
  </si>
  <si>
    <t>Apoyo Revisión Partidas de Capex</t>
  </si>
  <si>
    <t>SH-0378</t>
  </si>
  <si>
    <t>O-2008</t>
  </si>
  <si>
    <t>Plataforma BHP / Daniel Warner</t>
  </si>
  <si>
    <t>daniel.warner@bhp.com</t>
  </si>
  <si>
    <t>EXE Sistema de Bombeo Temporal Proyecto STAP</t>
  </si>
  <si>
    <t>Se entregó IPS solo con agregado de costos. El resto en cero.</t>
  </si>
  <si>
    <t>SH-0410</t>
  </si>
  <si>
    <t>O-2007</t>
  </si>
  <si>
    <t>Documentos Adicionales Formato BHP. SH-0364 - NOC 4</t>
  </si>
  <si>
    <t>SH-0364 (NOC 4)</t>
  </si>
  <si>
    <t>O-2006</t>
  </si>
  <si>
    <t>Javiera Garay</t>
  </si>
  <si>
    <t>Documentos Complementarios Para OR. SH-0368 - NOC 3</t>
  </si>
  <si>
    <t>O-2005</t>
  </si>
  <si>
    <t>Taller de Riesgos de Construcción. SH-0368 - NOC 2</t>
  </si>
  <si>
    <t>Ajuste con entregables del proyecto</t>
  </si>
  <si>
    <t>SH-0368 (NOC 2)</t>
  </si>
  <si>
    <t>O-2004</t>
  </si>
  <si>
    <t>Captura y Obtención Nube de Puntos. SH-0368 - NOC 1</t>
  </si>
  <si>
    <t>Nuevo equipo BHP tiene empresa acreditada que realizará los trabajos</t>
  </si>
  <si>
    <t>SH-0368 (NOC 1)</t>
  </si>
  <si>
    <t>O-2003</t>
  </si>
  <si>
    <t>Salobo</t>
  </si>
  <si>
    <t>Engenharia Detalhada Sistema de Aire Comprimido Salobo</t>
  </si>
  <si>
    <t>O-2002</t>
  </si>
  <si>
    <t>Revisión Sistema de Conducción de Relaves Plataforma Sur. SH-0364 - NOC 3</t>
  </si>
  <si>
    <t>SH-0364 (NOC 3)</t>
  </si>
  <si>
    <t>O-2001</t>
  </si>
  <si>
    <t>Mejoramiento Sistema de Impulsión de Relaves SH-0364 - NOC 2</t>
  </si>
  <si>
    <t>SH-0364 (NOC 2)</t>
  </si>
  <si>
    <t>O-2000</t>
  </si>
  <si>
    <t>Mejoramiento Sistema de Impulsión de Relaves SH-0364 - NOC 1</t>
  </si>
  <si>
    <t>SH-0364 (NOC 1)</t>
  </si>
  <si>
    <t>O-1999</t>
  </si>
  <si>
    <t>José Tomás Monares</t>
  </si>
  <si>
    <t>MonaresJT@bv.com</t>
  </si>
  <si>
    <t>Apoyo Análisis de Constructibilidad Planta Desaladora Collahuasi</t>
  </si>
  <si>
    <t>SH-0377</t>
  </si>
  <si>
    <t>O-1998</t>
  </si>
  <si>
    <t>Alhucemapr@bv.com</t>
  </si>
  <si>
    <t>Apoyo Hidráulico/Piping Reemplazo Cañería 26 Interior Túnel Coloso</t>
  </si>
  <si>
    <t>SH-0376</t>
  </si>
  <si>
    <t>O-1997</t>
  </si>
  <si>
    <t>SH-0271 ODT-19</t>
  </si>
  <si>
    <t>O-1996</t>
  </si>
  <si>
    <t>Verificación Hidráulica Morning Glory 8va Etapa</t>
  </si>
  <si>
    <t>SH-0274 ODS35</t>
  </si>
  <si>
    <t>O-1995</t>
  </si>
  <si>
    <t>Apoyo Compatibilidad Agua Tubería</t>
  </si>
  <si>
    <t>O-1994</t>
  </si>
  <si>
    <t>Marina Veronese Resston</t>
  </si>
  <si>
    <t>marina.resston@vale.com</t>
  </si>
  <si>
    <t>Estudo Diagnóstico Bombeamento Dragagem Gelado</t>
  </si>
  <si>
    <t>Dolglas Souza/Leandro Souza</t>
  </si>
  <si>
    <t>SH-0366 OS-02</t>
  </si>
  <si>
    <t>O-1993</t>
  </si>
  <si>
    <t>Estudo Alternativas Recuperação de Rejeitos Barragem Gelado</t>
  </si>
  <si>
    <t>O-1992</t>
  </si>
  <si>
    <t>Julio Sanhueza</t>
  </si>
  <si>
    <t>julio.sanhueza@sgscm.cl</t>
  </si>
  <si>
    <t>Manual de Operación ''Operational Readiness'' Impulsión Tranque Sierra Gorda</t>
  </si>
  <si>
    <t>SH-0271 ODT-18</t>
  </si>
  <si>
    <t>O-1991</t>
  </si>
  <si>
    <t>IF Normalización y Mejoramiento Sistema Control de Polvo Chancado 2° y 3°</t>
  </si>
  <si>
    <t>No han respondido. Probable entrega 27/5. Con Empírica</t>
  </si>
  <si>
    <t>O-1990</t>
  </si>
  <si>
    <t xml:space="preserve"> Ingeniería Integración Espesador de Colas 1, Planta Pellet</t>
  </si>
  <si>
    <t>Matías Muñoz</t>
  </si>
  <si>
    <t>Budgetaria</t>
  </si>
  <si>
    <t>O-1989</t>
  </si>
  <si>
    <t>C0645019@vale.com</t>
  </si>
  <si>
    <t>Estudo de Diagnóstico Bombeamento de Água desde Barragem Gelado</t>
  </si>
  <si>
    <t>SH-0366 OS-04</t>
  </si>
  <si>
    <t>O-1988</t>
  </si>
  <si>
    <t>ID Instalación Harneros de Seguridad Planta Pellet</t>
  </si>
  <si>
    <t>Budgetaria. A firme es la O-2071</t>
  </si>
  <si>
    <t>O-1987</t>
  </si>
  <si>
    <t>Ingeniería Densímetros Nucleares</t>
  </si>
  <si>
    <t>Se envió versión actualizada según comentarios de Javiera Garay</t>
  </si>
  <si>
    <t>SH-0388</t>
  </si>
  <si>
    <t>O-1986</t>
  </si>
  <si>
    <t>José Glicério Martins</t>
  </si>
  <si>
    <t>Plano de Trabalho S-0492-Adutora Drenagem dos Poços de Rebaixamento</t>
  </si>
  <si>
    <t xml:space="preserve">Dolglas Souza </t>
  </si>
  <si>
    <t>No recibimos los antecedentes necesarios para la oferta. E-mail Dolglas 01/04</t>
  </si>
  <si>
    <t>O-1985</t>
  </si>
  <si>
    <t>IC-ID Cajones Alimentación Espesadores de Colas 1 y 3</t>
  </si>
  <si>
    <t>Se fue en conjunto con la O-1990</t>
  </si>
  <si>
    <t>O-1984</t>
  </si>
  <si>
    <t>Alquimia</t>
  </si>
  <si>
    <t>Proyecto Mara</t>
  </si>
  <si>
    <t>Leticia Conca/Juan Luis Morales</t>
  </si>
  <si>
    <t>IC Mineroducto Proyecto Mara</t>
  </si>
  <si>
    <t>Se consulto por estatus via ARIBA el dia 19-2</t>
  </si>
  <si>
    <t>O-1983</t>
  </si>
  <si>
    <t xml:space="preserve">Proyecto Arqueros </t>
  </si>
  <si>
    <t>Claudio Pavez</t>
  </si>
  <si>
    <t>claudio.pavez@coxabengoa.com</t>
  </si>
  <si>
    <t>IB a ID Acueductos del Proyect Arqueros</t>
  </si>
  <si>
    <t>SH-0418</t>
  </si>
  <si>
    <t>O-1982</t>
  </si>
  <si>
    <t>Servicios de Apoyo Técnico</t>
  </si>
  <si>
    <t>O-1981</t>
  </si>
  <si>
    <t>Master Services</t>
  </si>
  <si>
    <t>Pedro Lucero</t>
  </si>
  <si>
    <t>pderolucero@masterservices.cl</t>
  </si>
  <si>
    <t>Informe Hidráulico y Recomendaciones MSTR</t>
  </si>
  <si>
    <t>Jorge Casanova</t>
  </si>
  <si>
    <t>SH-0374</t>
  </si>
  <si>
    <t>O-1980</t>
  </si>
  <si>
    <t>Diego Solís</t>
  </si>
  <si>
    <t>disoliss@bechtel.com</t>
  </si>
  <si>
    <t>Consultoría Instalaciones y Estructuras de Almacenamiento de Relaves</t>
  </si>
  <si>
    <t>O-1979</t>
  </si>
  <si>
    <t>Pablo Pinochet</t>
  </si>
  <si>
    <t>ppinochet@jej.cl</t>
  </si>
  <si>
    <t>Análisis de Flexibilidad Cambio Uniones Cañería 42” Alimentación Torre Efriamiento</t>
  </si>
  <si>
    <t>O-1978</t>
  </si>
  <si>
    <t xml:space="preserve">cesar.tapia@angloamerican.com </t>
  </si>
  <si>
    <t xml:space="preserve">Servicio Elaboración Plan de Ejecución Proyecto Canal de Contorno Tranque El Torito </t>
  </si>
  <si>
    <t>Rev. 1 el 27/02</t>
  </si>
  <si>
    <t>O-1977</t>
  </si>
  <si>
    <t>Ismael Sanchez</t>
  </si>
  <si>
    <t>isanchez@knightpiesold.com</t>
  </si>
  <si>
    <t xml:space="preserve">Actualización IF Depósito de Relaves Espesados MSD por cambio Plan Minero </t>
  </si>
  <si>
    <t>Actualización SH-0335</t>
  </si>
  <si>
    <t>SH-0335 (NOC 2)</t>
  </si>
  <si>
    <t>O-1976</t>
  </si>
  <si>
    <t>jaalvarez@cmp.cl</t>
  </si>
  <si>
    <t>Ingeniería de Terreno Anillo Planta de Pellets</t>
  </si>
  <si>
    <t>SH-0373</t>
  </si>
  <si>
    <t>O-1975</t>
  </si>
  <si>
    <t>Ingeniería Conceptual Redirección Flujos de Espesadores a Cajón Alimentación Flotación</t>
  </si>
  <si>
    <t>O-1974</t>
  </si>
  <si>
    <t>Ingeniería de Detalles Control PM10 Nave Molienda</t>
  </si>
  <si>
    <t>O-1973</t>
  </si>
  <si>
    <t>Ingeniería Conceptual Distribución Pebbles SAG y Bolas</t>
  </si>
  <si>
    <t>SH-0392 ODS03</t>
  </si>
  <si>
    <t>O-1972</t>
  </si>
  <si>
    <t>Ingeniería Conceptual Sobre Rebose Espesador Colectivo</t>
  </si>
  <si>
    <t>O-1971</t>
  </si>
  <si>
    <t>Verificación Capacidades Hidráulicas Aumento de Tratamiento de Quebrada Blanca (QB2)</t>
  </si>
  <si>
    <t>HH estimadas según $</t>
  </si>
  <si>
    <t>SH-0372</t>
  </si>
  <si>
    <t>O-1970</t>
  </si>
  <si>
    <t>JRI</t>
  </si>
  <si>
    <t>jmunoz@jri.cl</t>
  </si>
  <si>
    <t>Revisión Trade Off Tramo II Canaleta de Relaves Proyecto Construcción Peralte Muros Etapa N°2 - DSAL</t>
  </si>
  <si>
    <t>O-1969</t>
  </si>
  <si>
    <t>Precalificación Comercial, de Calidad y de HSEC</t>
  </si>
  <si>
    <t>O-1968</t>
  </si>
  <si>
    <t>Guilherme Duarte De Menezes</t>
  </si>
  <si>
    <t>Diagnóstico de Integridade de Dutos</t>
  </si>
  <si>
    <t>O-1967</t>
  </si>
  <si>
    <t>guilherme.machado@vale.com</t>
  </si>
  <si>
    <t>Novo Procedimento Operacional Rejeitoduto Concentração Magnética - SH-0366 OS-01</t>
  </si>
  <si>
    <t>Dolglas Souza/Marco Bandeira</t>
  </si>
  <si>
    <t>SH-0366 OS-01</t>
  </si>
  <si>
    <t>O-1966</t>
  </si>
  <si>
    <t>Martín Jesús Baliellas Ramos</t>
  </si>
  <si>
    <t>&lt;e_mbaliellas@aguascap.cl</t>
  </si>
  <si>
    <t>Estaciones Lanzadores y Receptores de PIG Limpieza Acueducto CNN - AguasCAP</t>
  </si>
  <si>
    <t>O-1965</t>
  </si>
  <si>
    <t>Diagnóstico e ED Sistema de Distribuição de Água Potável da Ferrovia</t>
  </si>
  <si>
    <t>O-1964</t>
  </si>
  <si>
    <t>Estudio de Factibilidad Mejoramiento Vulnerabilidades Sistema de Transporte de Relaves</t>
  </si>
  <si>
    <t>O-1963</t>
  </si>
  <si>
    <t>Julio Cesar Nunes Da Silva</t>
  </si>
  <si>
    <t>julio.nunes@vale.com</t>
  </si>
  <si>
    <t>ED Adequação da adutora de Brucutu – VALE</t>
  </si>
  <si>
    <t>O-1962</t>
  </si>
  <si>
    <t>Solicitud de Planos As-Built</t>
  </si>
  <si>
    <t>SH-0367</t>
  </si>
  <si>
    <t>O-1961</t>
  </si>
  <si>
    <t>Christopher Soares de Figueiredo</t>
  </si>
  <si>
    <t>C0645060@vale.com</t>
  </si>
  <si>
    <t>EB Substituição do Rejeitoduto de Viga</t>
  </si>
  <si>
    <t>O-1960</t>
  </si>
  <si>
    <t>Revisión Ingeniería Básica Avanzada Proyecto Arqueros</t>
  </si>
  <si>
    <t>SH-0371</t>
  </si>
  <si>
    <t>O-1959</t>
  </si>
  <si>
    <t>Leonardo Rivera</t>
  </si>
  <si>
    <t>leonardo@intasol.co.za</t>
  </si>
  <si>
    <t>Estudio Clase 5 – Línea Celdas Rougher Hamburgo</t>
  </si>
  <si>
    <t>Se envió preliminar a Intasol. A la fecha sin respuesta. PVZ hablará con Mmiranda. 01/02</t>
  </si>
  <si>
    <t>O-1958</t>
  </si>
  <si>
    <t>guilherme.Menezes1@vale.com</t>
  </si>
  <si>
    <t>Projeto Nova Adutora CB03 – Fabrica – VALE</t>
  </si>
  <si>
    <t>O-1957</t>
  </si>
  <si>
    <t>IPrefactibilidad - Capítulos SIC Proyecto Salar de Maricunga</t>
  </si>
  <si>
    <t>No se puede enviar mensaje, proceso cerrado.</t>
  </si>
  <si>
    <t>SH-0352 ODS06</t>
  </si>
  <si>
    <t>O-1956</t>
  </si>
  <si>
    <t>Jose Briceño Ramos</t>
  </si>
  <si>
    <t>jbriceno@jej.cl</t>
  </si>
  <si>
    <t>Atención a Observaciones de IdR Zaldívar - Zaldívar Muro y Depositación de Relaves</t>
  </si>
  <si>
    <t>O-1955</t>
  </si>
  <si>
    <t>Complementos Servicio Prueba Circuito en Serie Relaves El Romeral</t>
  </si>
  <si>
    <t>O-1954</t>
  </si>
  <si>
    <t>Verificación Estructural Morning Glory Etapas 7-8 - SH-0274 - ODS34</t>
  </si>
  <si>
    <t>SH-0274 ODS34</t>
  </si>
  <si>
    <t>O-1953</t>
  </si>
  <si>
    <t>Cristian Tapia</t>
  </si>
  <si>
    <t>Ingeniería FEL 3 Sistema Recuperación de Aguas</t>
  </si>
  <si>
    <t>SH-0380</t>
  </si>
  <si>
    <t>O-1952</t>
  </si>
  <si>
    <t>Hemco</t>
  </si>
  <si>
    <t>Cynthia Vargas</t>
  </si>
  <si>
    <t>cynthia.vargas@hemco.com.ni</t>
  </si>
  <si>
    <t>Diseño Tubería de Impulsión y Sistema de Lavado</t>
  </si>
  <si>
    <t>O-1951</t>
  </si>
  <si>
    <t>Gunter Chaves Lipper</t>
  </si>
  <si>
    <t>gunter.lipper@equinoxgold.com</t>
  </si>
  <si>
    <t>Contabilidade Metalúrgica Mina de ouro de Santa Luz – Ba</t>
  </si>
  <si>
    <t>Fuimos caros. Lo harán con un consultor en Brasil más barato.</t>
  </si>
  <si>
    <t>O-1950</t>
  </si>
  <si>
    <t>Arcadis</t>
  </si>
  <si>
    <t>Carolina Cofré</t>
  </si>
  <si>
    <t>carolina.cofre@arcadis.com</t>
  </si>
  <si>
    <t>Precalificación en Registro de Subcontratistas Arcadis Chile Spa</t>
  </si>
  <si>
    <t>O-1949</t>
  </si>
  <si>
    <t>Improvement Hydrocyclone Station</t>
  </si>
  <si>
    <t>SH-0368</t>
  </si>
  <si>
    <t>O-1948</t>
  </si>
  <si>
    <t>ED substituição do Trecho Arenoso 16 Vargem Grande II – VALE</t>
  </si>
  <si>
    <t>O-1947</t>
  </si>
  <si>
    <t>ED substituição do Trecho Adutora 26 Vargem Grande II – VALE</t>
  </si>
  <si>
    <t>O-1946</t>
  </si>
  <si>
    <t>Cintya Lorena Vega Hidalgo</t>
  </si>
  <si>
    <t>cvegah@caserones.cl</t>
  </si>
  <si>
    <t>Contrato Marco Servicios Multidisciplinarios 2024</t>
  </si>
  <si>
    <t>Se ajustan tarifas a las del contrato anterior menos la de PB.</t>
  </si>
  <si>
    <t>SH-0384</t>
  </si>
  <si>
    <t>O-1945</t>
  </si>
  <si>
    <t>Mateus Falcao</t>
  </si>
  <si>
    <t>C0644994@vale.com</t>
  </si>
  <si>
    <t>S00893 Sistema de Bombeamento de Lama CEII para Barragem de Itabiruçu</t>
  </si>
  <si>
    <t>O-1944</t>
  </si>
  <si>
    <t>Transelec</t>
  </si>
  <si>
    <t>Due Diligence SIAM1-Proyecto PuriCkair</t>
  </si>
  <si>
    <t>O-1943</t>
  </si>
  <si>
    <t>Proyecto Spence Repowering Pumping System (SPS/DPS y EXE)</t>
  </si>
  <si>
    <t>Hugo Andrade / David Cerón</t>
  </si>
  <si>
    <t>En espera de aclaración por parte de BHP</t>
  </si>
  <si>
    <t>SH-0390</t>
  </si>
  <si>
    <t>O-1942</t>
  </si>
  <si>
    <t>ID Normalización Agua de Sello</t>
  </si>
  <si>
    <t>Desierta por indefinición de SG respecto a hacer o no el proyecto, (van a usar el agua en otra cosa)</t>
  </si>
  <si>
    <t>O-1941</t>
  </si>
  <si>
    <t>Miguel Iturrate</t>
  </si>
  <si>
    <t>miturrate@fda.cl</t>
  </si>
  <si>
    <t>Estudio de Prefactibilidad Línea Alternativa Emergencia Relaves (NOC 1)</t>
  </si>
  <si>
    <t>NOC 1, se cobra un 50% de algunos entregables enviados en Rev. A y se agregan y eliminan entregables por cambio de alcance.</t>
  </si>
  <si>
    <t>SH-0355 (NOC 1)</t>
  </si>
  <si>
    <t>O-1940</t>
  </si>
  <si>
    <t>Retirada interferências do avanço da lavra na cava de tamanduá</t>
  </si>
  <si>
    <t>SH-0289 OS-07</t>
  </si>
  <si>
    <t>O-1939</t>
  </si>
  <si>
    <t>EIMISA</t>
  </si>
  <si>
    <t>Felipe Benavente</t>
  </si>
  <si>
    <t>fbenavente@eimontajes.cl</t>
  </si>
  <si>
    <t xml:space="preserve"> ID para EPC Red Dragon</t>
  </si>
  <si>
    <t> </t>
  </si>
  <si>
    <t>El Cliente final no adjudicó a nuestro EPCista. No sabemos más</t>
  </si>
  <si>
    <t>O-1938</t>
  </si>
  <si>
    <t xml:space="preserve"> Repowering Pumping System SRPS</t>
  </si>
  <si>
    <t>SH-0364</t>
  </si>
  <si>
    <t>O-1937</t>
  </si>
  <si>
    <t xml:space="preserve">Desenvolvimento de Módulo de Gestão de Integridade </t>
  </si>
  <si>
    <t>Se ofrecieron actividades opcionales por 962 HH que podrían sumarse a las 2.128.</t>
  </si>
  <si>
    <t>O-1936</t>
  </si>
  <si>
    <t>Jozevan dos Santos</t>
  </si>
  <si>
    <t xml:space="preserve"> Acompanhamento técnico da obra Calha de concreto Tranporte de Rejeitos Salobo 1 e 2</t>
  </si>
  <si>
    <t>Dolglas Souza / Domingo Fernández</t>
  </si>
  <si>
    <t>O-1935</t>
  </si>
  <si>
    <t>Requerimiento Extensión Asesoría Constanza Díaz</t>
  </si>
  <si>
    <t>SH-0271 ODT-17</t>
  </si>
  <si>
    <t>O-1934</t>
  </si>
  <si>
    <t>Actualización y Automatización Reportabilidad del Balance Hídrico Distrital - DCN</t>
  </si>
  <si>
    <t>SH-0333 ODS05</t>
  </si>
  <si>
    <t>O-1933</t>
  </si>
  <si>
    <t>Modificaciones Línea de 800 mm</t>
  </si>
  <si>
    <t xml:space="preserve">LC  </t>
  </si>
  <si>
    <t>Parte del contrato extensión de Constanza Díaz</t>
  </si>
  <si>
    <t>O-1932</t>
  </si>
  <si>
    <t>Tomás Perez</t>
  </si>
  <si>
    <t>tomas.perez@sqm.cl</t>
  </si>
  <si>
    <t>Actualización Entregables EBP - Proyecto TEA</t>
  </si>
  <si>
    <t>Asignada a otra empresa.</t>
  </si>
  <si>
    <t>O-1931</t>
  </si>
  <si>
    <t>ID Pretiles Aguas Lluvia - Planta Magnetita</t>
  </si>
  <si>
    <t>Sandra Perez</t>
  </si>
  <si>
    <t>Se negoció asignar O-1930 y O-1931 eliminando algunos alcances y un descuento de 5,3% global.</t>
  </si>
  <si>
    <t>SH-0369</t>
  </si>
  <si>
    <t>O-1930</t>
  </si>
  <si>
    <t xml:space="preserve"> ID Manejo Aguas LLuvia y Estabilidad Piscinas - Planta Pellet</t>
  </si>
  <si>
    <t>O-1929</t>
  </si>
  <si>
    <t>Auditoría Instalaciones Críticas Proyecto MVDP</t>
  </si>
  <si>
    <t>Se envió Revisión 1 por reducción de alcances solicitado por Capstone</t>
  </si>
  <si>
    <t>SH-0370</t>
  </si>
  <si>
    <t>O-1928</t>
  </si>
  <si>
    <t>Ceibo</t>
  </si>
  <si>
    <t>Gino Aracena</t>
  </si>
  <si>
    <t>garacena@ceibo.tech</t>
  </si>
  <si>
    <t>Licitación Servicios de Ingeniería Detalles - Proyecto Ceibo Tech</t>
  </si>
  <si>
    <t>Licitación entre enero-febrero</t>
  </si>
  <si>
    <t>O-1927</t>
  </si>
  <si>
    <t>Nelson Rodrigo Carvajal Rodriguez &lt;nelson.carvajal@lundinmining.com&gt;</t>
  </si>
  <si>
    <t xml:space="preserve"> ID Nuevos Pozos el Tambo Larga Duración
(NOC 1)</t>
  </si>
  <si>
    <t>NOC 1</t>
  </si>
  <si>
    <t>SH-0265 OS32</t>
  </si>
  <si>
    <t>O-1926</t>
  </si>
  <si>
    <t>Luis Riveros</t>
  </si>
  <si>
    <t>Mejoras en Planta de Clasificación</t>
  </si>
  <si>
    <t>O-1925</t>
  </si>
  <si>
    <t>Rediseño Aireadores Tunel de Evacuación - SH-0274 - ODS33</t>
  </si>
  <si>
    <t>SH-0274 ODS33</t>
  </si>
  <si>
    <t>O-1924</t>
  </si>
  <si>
    <t>Estudio de Protecciones SRA - SH-0274 - ODS32</t>
  </si>
  <si>
    <t>SH-0274 ODS32</t>
  </si>
  <si>
    <t>O-1923</t>
  </si>
  <si>
    <t>Modificación Ingeniería Aforador Aguas Arriba - SH-0274 - ODS31</t>
  </si>
  <si>
    <t>SH-0274 ODS31</t>
  </si>
  <si>
    <t>O-1922</t>
  </si>
  <si>
    <t>Monitoreo de Cámaras TOVE - SH-0274 - ODS30</t>
  </si>
  <si>
    <t>SH-0274 ODS30</t>
  </si>
  <si>
    <t>O-1921</t>
  </si>
  <si>
    <t xml:space="preserve"> Apoyo Respuestas Observaciones DGA Obras Estribo Derecho - SH-0274 - ODS29</t>
  </si>
  <si>
    <t>SH-0274 ODS29</t>
  </si>
  <si>
    <t>O-1920</t>
  </si>
  <si>
    <t>Andre Bernardo</t>
  </si>
  <si>
    <t>Andre.Bernardo1@vale.com</t>
  </si>
  <si>
    <t>Elaboração de Planos de Manutenção para Tubulações Industriais</t>
  </si>
  <si>
    <t>O-1919</t>
  </si>
  <si>
    <t>Engenharia e Obra bombeamento de água Sump do Fundo de Dois Córregos e Poços</t>
  </si>
  <si>
    <t>O-1918</t>
  </si>
  <si>
    <t>Inspección de Seguridad y Planificación Mantenimiento Fundición Caletones</t>
  </si>
  <si>
    <t>O-1917</t>
  </si>
  <si>
    <t>RESITER</t>
  </si>
  <si>
    <t>NESCOR</t>
  </si>
  <si>
    <t>rbecker@resister.cl</t>
  </si>
  <si>
    <t xml:space="preserve">Ingeniería Planta Lo Pinto </t>
  </si>
  <si>
    <t>Se envió Preliminar</t>
  </si>
  <si>
    <t>O-1916</t>
  </si>
  <si>
    <t>Universidad de Antofagasta</t>
  </si>
  <si>
    <t>Ricardo Jeldres</t>
  </si>
  <si>
    <t>ricardo.jeldres@uantof.cl</t>
  </si>
  <si>
    <t>Capacitación Hidráulica para el Transporte de Pulpas</t>
  </si>
  <si>
    <t>SH-0359</t>
  </si>
  <si>
    <t>O-1915</t>
  </si>
  <si>
    <t>Adicionales Mejoramiento Sistema Impulsión Relaves Spence</t>
  </si>
  <si>
    <t>SH-0339</t>
  </si>
  <si>
    <t>O-1914</t>
  </si>
  <si>
    <t>Estudio Improvements to the Hidrocyclone Station</t>
  </si>
  <si>
    <t>O-1913</t>
  </si>
  <si>
    <t xml:space="preserve">IF Expansión MSD a 390 MT Modelo 3D Piping Relaves </t>
  </si>
  <si>
    <t>No se utilizara modelo 3D</t>
  </si>
  <si>
    <t>O-1912</t>
  </si>
  <si>
    <t xml:space="preserve">IF Expansión MSD a 390 MT Piping Relaves </t>
  </si>
  <si>
    <t>SH-0362</t>
  </si>
  <si>
    <t>O-1911</t>
  </si>
  <si>
    <t>Repulpeo Piscina de Emergencia</t>
  </si>
  <si>
    <t>O-1910</t>
  </si>
  <si>
    <t>Complemento Ingenierías Barrera Hidráulica</t>
  </si>
  <si>
    <t>O-1909</t>
  </si>
  <si>
    <t xml:space="preserve"> Normalización Sala PCI </t>
  </si>
  <si>
    <t>O-1908</t>
  </si>
  <si>
    <t>Desempeño de Proyectos de Inversión en Mantenibilidad y Confiabilidad</t>
  </si>
  <si>
    <t>O-1907</t>
  </si>
  <si>
    <t>Actualización Factibilidad Tranque de Relaves Santo Domingo (NOC 1)</t>
  </si>
  <si>
    <t>SH-0335 (NOC 1)</t>
  </si>
  <si>
    <t>O-1906</t>
  </si>
  <si>
    <t>AngloAmerican Sur</t>
  </si>
  <si>
    <t>Carlos Solís Pizarro</t>
  </si>
  <si>
    <t>csolis@incolur.cl</t>
  </si>
  <si>
    <t>ID Fase 2 - Repotenciamiento Estación de Ciclones Tranque de Relaves El Torito</t>
  </si>
  <si>
    <t>Incolur no fue adjudicado. Al parecer fue Arrigoni y tiene ingeniería propia.</t>
  </si>
  <si>
    <t>O-1905</t>
  </si>
  <si>
    <t xml:space="preserve">Mauricio Rebolledo </t>
  </si>
  <si>
    <t>Mauricio.Rebolledo@sqm.com</t>
  </si>
  <si>
    <t>PreCOM - COM Impulsión Proyecto TEA</t>
  </si>
  <si>
    <t>O-1904</t>
  </si>
  <si>
    <t>Claudio Santander</t>
  </si>
  <si>
    <t>csantander@incolur.cl</t>
  </si>
  <si>
    <t>ID Nueva ECMP Las Tórtolas</t>
  </si>
  <si>
    <t>Cambio fecha de entrega, por definir</t>
  </si>
  <si>
    <t>O-1903</t>
  </si>
  <si>
    <t>ahlicely.silva@vale.com</t>
  </si>
  <si>
    <t>Atualização de padrões Sistemas de Bombeamento, Detecção de Vazamento e Pressurizados</t>
  </si>
  <si>
    <t>O-1902</t>
  </si>
  <si>
    <t>Precalificación IF Dren Longitudinal Muro Principal Ovejería E-V</t>
  </si>
  <si>
    <t>Se consulto por estatus via ARIBA el dia 18-03-2024</t>
  </si>
  <si>
    <t>O-1901</t>
  </si>
  <si>
    <t xml:space="preserve"> ID Restauración Subestación FUCO</t>
  </si>
  <si>
    <t>O-1900</t>
  </si>
  <si>
    <t xml:space="preserve">Ingeniería Conceptual Mejora Descarga Cola Columnas </t>
  </si>
  <si>
    <t>SH-0265 OS34</t>
  </si>
  <si>
    <t>O-1899</t>
  </si>
  <si>
    <t>Ingeniería Conceptual Solución Estructural Cambio Completo Bomba Bajo Molino</t>
  </si>
  <si>
    <t>O-1898</t>
  </si>
  <si>
    <t>Normalización Adición P4000</t>
  </si>
  <si>
    <t>O-1897</t>
  </si>
  <si>
    <t>Paulina Guerra</t>
  </si>
  <si>
    <t>Paulina.Guerra@sqm.com</t>
  </si>
  <si>
    <t>IB Planta Recuperación Litio</t>
  </si>
  <si>
    <t>O-1896</t>
  </si>
  <si>
    <t>EP Integridad Estructural Plantas de Suministro</t>
  </si>
  <si>
    <t>Envío Carta Excusa</t>
  </si>
  <si>
    <t>O-1895</t>
  </si>
  <si>
    <t>ID Mejora Descarga Tolvas Concentradora</t>
  </si>
  <si>
    <t>O-1894</t>
  </si>
  <si>
    <t>Engenharia Hidraulica - Apoio Tecnico Engenharia Vale</t>
  </si>
  <si>
    <t>SH-0366</t>
  </si>
  <si>
    <t>O-1893</t>
  </si>
  <si>
    <t>Anderson de Matos Gomes</t>
  </si>
  <si>
    <t>Anderson.Gomes2@vale.com</t>
  </si>
  <si>
    <t xml:space="preserve"> Revisão da Estratégia de Manutenção e Controle Inicial Laboratório Parauapebas</t>
  </si>
  <si>
    <t>SH-0289 OS-06</t>
  </si>
  <si>
    <t>O-1892</t>
  </si>
  <si>
    <t>IP - Capítulos SIC Suministro de Agua</t>
  </si>
  <si>
    <t>SH-0352 ODS05</t>
  </si>
  <si>
    <t>O-1891</t>
  </si>
  <si>
    <t>IP Additional Tailings Pupmping Capacity SATPC</t>
  </si>
  <si>
    <t>O-1890</t>
  </si>
  <si>
    <t>Eng Básica e Detalhada Gargalhos Flotação e Remoagem, Espessamento</t>
  </si>
  <si>
    <t>O-1889</t>
  </si>
  <si>
    <t>ID Traslado Acopio Los Colorados</t>
  </si>
  <si>
    <t>Por Definir</t>
  </si>
  <si>
    <t>Domingo Fernández / Francisco Martin</t>
  </si>
  <si>
    <t>O-1888</t>
  </si>
  <si>
    <t>Estanque Agua de Restitución</t>
  </si>
  <si>
    <t>O-1887</t>
  </si>
  <si>
    <t>Aguas Pacifico</t>
  </si>
  <si>
    <t>Hector Rodríguez</t>
  </si>
  <si>
    <t>hector.rodriguez@aguaspacifico.cl</t>
  </si>
  <si>
    <t>Revisión Diseño y Diagnóstico bajo las operaciones Actuales y Futuras</t>
  </si>
  <si>
    <t>O-1886</t>
  </si>
  <si>
    <t>ID Aseguramiento de Agua Industrial  DGM</t>
  </si>
  <si>
    <t>SH-0382</t>
  </si>
  <si>
    <t>O-1885</t>
  </si>
  <si>
    <t xml:space="preserve"> Soporte Punto Control Reológico y Granulométrico </t>
  </si>
  <si>
    <t>Mensaje en Portal de Teck no siendo favorecidos con la asignación.</t>
  </si>
  <si>
    <t>O-1884</t>
  </si>
  <si>
    <t>Ing. Contraparte Proyecto Construcción Relaves Espesados Talabre</t>
  </si>
  <si>
    <t>Licitación declarada desierta 22/05</t>
  </si>
  <si>
    <t>O-1883</t>
  </si>
  <si>
    <t>Sistema Transporte Concentrado de Pirita MSD a MV</t>
  </si>
  <si>
    <t>O-1882</t>
  </si>
  <si>
    <t>Mauricio Bravo</t>
  </si>
  <si>
    <t>CM Servicios de Preparación Operacional</t>
  </si>
  <si>
    <t>No invitados a lista corta</t>
  </si>
  <si>
    <t>O-1881</t>
  </si>
  <si>
    <t>Servicio Multidisciplinario Apoyo a la Preparación Minera N°1</t>
  </si>
  <si>
    <t>O-1880</t>
  </si>
  <si>
    <t>Segunda Etapa ID Traslado Pozos la Brea</t>
  </si>
  <si>
    <t>SH-0265 OS33</t>
  </si>
  <si>
    <t>O-1879</t>
  </si>
  <si>
    <t>Pedro Alegre González</t>
  </si>
  <si>
    <t>Adicionales Restitución Quebradas Sector Poniente</t>
  </si>
  <si>
    <t>No se hara solución por parte de ingeniería.</t>
  </si>
  <si>
    <t>O-1878</t>
  </si>
  <si>
    <t>PROMET</t>
  </si>
  <si>
    <t>Luis Freire</t>
  </si>
  <si>
    <t xml:space="preserve"> Servicios de Ingeniería, Construcción y Montaje Lixiviación Clorurada Temprana</t>
  </si>
  <si>
    <t>Francisco Espinoza/Pablo Vasquez</t>
  </si>
  <si>
    <t>O-1877</t>
  </si>
  <si>
    <t>CM Obras Complementarias Proyectos Distrito Norte</t>
  </si>
  <si>
    <t>O-1876</t>
  </si>
  <si>
    <t>Codelco GCINNOV</t>
  </si>
  <si>
    <t>Servicio Ingeniería de Desarrollo Roadmap Tecnológico</t>
  </si>
  <si>
    <t>O-1875</t>
  </si>
  <si>
    <t>IB Explotación de Recursos Norte Fase II</t>
  </si>
  <si>
    <t>O-1874</t>
  </si>
  <si>
    <t xml:space="preserve">Habilitación Pozo Agrícola Norte Verde 2 Fundo Caserones </t>
  </si>
  <si>
    <t>SH-0384 OS-04</t>
  </si>
  <si>
    <t>O-1873</t>
  </si>
  <si>
    <t>Loreto Aguilar</t>
  </si>
  <si>
    <t>Loreto.aguilar@sqm.com</t>
  </si>
  <si>
    <t>Evaluación Estanques MOPH-I</t>
  </si>
  <si>
    <t>O-1872</t>
  </si>
  <si>
    <t>Ing. Puntos de Izaje y Líneas de Vida</t>
  </si>
  <si>
    <t>O-1871</t>
  </si>
  <si>
    <t>Cesar Avendaño</t>
  </si>
  <si>
    <t>Cristian.Avendano@sgscm.cl</t>
  </si>
  <si>
    <t xml:space="preserve">ITRB Place Holder First Visit </t>
  </si>
  <si>
    <t>SH-0271 ODT-16</t>
  </si>
  <si>
    <t>O-1870</t>
  </si>
  <si>
    <t>Ing. Básica Mejoramiento Infraestructura Recirculamiento de Agua</t>
  </si>
  <si>
    <t>O-1869</t>
  </si>
  <si>
    <t>Inspección Técnica y Monitoreo Condiciones Estructurales</t>
  </si>
  <si>
    <t>Carta excusa</t>
  </si>
  <si>
    <t>O-1868</t>
  </si>
  <si>
    <t>Apoyo Desarrollo Modelo Evap. y Bal. Hídrico Depósito de Relaves UA</t>
  </si>
  <si>
    <t>Rodrigo Gutiérrez / Christian Ihle</t>
  </si>
  <si>
    <t>O-1867</t>
  </si>
  <si>
    <t>Fabian.Retamal@sqm.com</t>
  </si>
  <si>
    <t>Ingeniería Básica Avanzada Pozas de Evaporación Solar TEA</t>
  </si>
  <si>
    <t>Hugo Arancibia</t>
  </si>
  <si>
    <t>Excusados via correo por FM</t>
  </si>
  <si>
    <t>O-1866</t>
  </si>
  <si>
    <t>Adriana Mota</t>
  </si>
  <si>
    <t>adriana.mota@vale.com</t>
  </si>
  <si>
    <t>Ingeniería de Detalles y Apoyo en Terreno para Construcción Proyecto Sossego IN PIT DISPOSAL B0321-FEL3</t>
  </si>
  <si>
    <t>O-1865</t>
  </si>
  <si>
    <t>Ing. Detalles Construcción Camino Estación Ciclones a Muro de Partida</t>
  </si>
  <si>
    <t>Gilson Quevedo</t>
  </si>
  <si>
    <t>SH-0361</t>
  </si>
  <si>
    <t>O-1864</t>
  </si>
  <si>
    <t>Minera Antucoya</t>
  </si>
  <si>
    <t>RFI Contrato Marco Ingenierías Mayores</t>
  </si>
  <si>
    <t>O-1863</t>
  </si>
  <si>
    <t>Raúl Olguín</t>
  </si>
  <si>
    <t xml:space="preserve"> Diseño e Ing. Estructura Metálica Empalizada Eje Central</t>
  </si>
  <si>
    <t>A espera de confirmación contrato TECK</t>
  </si>
  <si>
    <t>SH-0365</t>
  </si>
  <si>
    <t>O-1862</t>
  </si>
  <si>
    <t>Contrato Marco Ing. Estudios DCH</t>
  </si>
  <si>
    <t>No aparece en sistema, se consulto, sin respuesta</t>
  </si>
  <si>
    <t>O-1861</t>
  </si>
  <si>
    <t>ID Repot. Inmisario Desaladora Manto Verde</t>
  </si>
  <si>
    <t>O-1860</t>
  </si>
  <si>
    <t>FERRENOR</t>
  </si>
  <si>
    <t>ID EPC Patio Maniobras y Taller</t>
  </si>
  <si>
    <t>O-1859</t>
  </si>
  <si>
    <t>WOOD</t>
  </si>
  <si>
    <t>Marcelo Macaya</t>
  </si>
  <si>
    <t>marcelo.macaya@woodplc.com</t>
  </si>
  <si>
    <t xml:space="preserve">Consultoría en el Área Hidráulica - Piping </t>
  </si>
  <si>
    <t>Pablo Vasquez</t>
  </si>
  <si>
    <t>O-1858</t>
  </si>
  <si>
    <t>Jozevan Santos</t>
  </si>
  <si>
    <t>C0657106@vale.com</t>
  </si>
  <si>
    <t xml:space="preserve"> EC Otimização do processo de flotação e Sump Salobo I e II</t>
  </si>
  <si>
    <t>O-1857</t>
  </si>
  <si>
    <t>PFS Mejoras Operacionales CNN</t>
  </si>
  <si>
    <t>A espera de invitación</t>
  </si>
  <si>
    <t>O-1856</t>
  </si>
  <si>
    <t>IPE</t>
  </si>
  <si>
    <t>Enrique Ferrufino Gómez</t>
  </si>
  <si>
    <t>efg@ipe.bo</t>
  </si>
  <si>
    <t>IC-IB Bombeo Nivel -395 a -195 y -195 a Superficie</t>
  </si>
  <si>
    <t>IC/IB</t>
  </si>
  <si>
    <t>O-1855</t>
  </si>
  <si>
    <t xml:space="preserve">Rodrigo Gutierrez </t>
  </si>
  <si>
    <t>RGuti016@codelco.cl</t>
  </si>
  <si>
    <t>Modelación CFD Proyecto Relaves Espesados Talabre</t>
  </si>
  <si>
    <t>Pedirle a Carla que consulte a Loreto Cifuentes (inicio dic-ene)</t>
  </si>
  <si>
    <t>O-1854</t>
  </si>
  <si>
    <t>Tecproser</t>
  </si>
  <si>
    <t>Miguel Ríos</t>
  </si>
  <si>
    <t>mrios@tecproser.cl</t>
  </si>
  <si>
    <t>Supervisión Instalación Sistema de Bombeo</t>
  </si>
  <si>
    <t>Se envian tarifas por profesional</t>
  </si>
  <si>
    <t>SH-0353</t>
  </si>
  <si>
    <t>O-1853</t>
  </si>
  <si>
    <t xml:space="preserve"> Teste de Reologia de Polpa Vargem Grande</t>
  </si>
  <si>
    <t>O-1852</t>
  </si>
  <si>
    <t xml:space="preserve">Stracon </t>
  </si>
  <si>
    <t>Constancia</t>
  </si>
  <si>
    <t xml:space="preserve">ID Truck Shop Constancia </t>
  </si>
  <si>
    <t>O-1851</t>
  </si>
  <si>
    <t>Rosemary Lara</t>
  </si>
  <si>
    <t>rlarab@ccc.cl</t>
  </si>
  <si>
    <t>Gestión Del Conocimiento Proyecto INCO</t>
  </si>
  <si>
    <t>O-1850</t>
  </si>
  <si>
    <t>Hector de la Jara</t>
  </si>
  <si>
    <t>hdelajara@cosapi.cl</t>
  </si>
  <si>
    <t>ID Planta Concentradora y de Espesado</t>
  </si>
  <si>
    <t>O-1849</t>
  </si>
  <si>
    <t>Contrato Marco de Ingenierías Multidisciplinarias Distrito Norte</t>
  </si>
  <si>
    <t>Se consulto por estatus via ARIBA el dia 18-03-2024. 
Respuesta: sigue en evaluación.</t>
  </si>
  <si>
    <t>O-1848</t>
  </si>
  <si>
    <t>Maria Ignacia Troncoso</t>
  </si>
  <si>
    <t>maria.i.troncoso@bhp.com</t>
  </si>
  <si>
    <t>Plan de Entrenamiento Aguas y Relaves</t>
  </si>
  <si>
    <t>Rev. 2 el 05-03-2024</t>
  </si>
  <si>
    <t>SH-0375</t>
  </si>
  <si>
    <t>O-1847</t>
  </si>
  <si>
    <t>Contrato Marco Ing. Especializada Procesos, Hidráulica, Mecánica y Piping</t>
  </si>
  <si>
    <t>O-1846</t>
  </si>
  <si>
    <t>Servicios Complementarios Prueba Circuito en Serie Relaves El Romeral</t>
  </si>
  <si>
    <t>SH-0358</t>
  </si>
  <si>
    <t>O-1845</t>
  </si>
  <si>
    <t>Asesoría Ing. Hidráulico-Piping en Terreno</t>
  </si>
  <si>
    <t>SH-0271 ODT-14</t>
  </si>
  <si>
    <t>O-1844</t>
  </si>
  <si>
    <t>DRA Global</t>
  </si>
  <si>
    <t>Miguel Mosqueira</t>
  </si>
  <si>
    <t>Miguel.Mosqueira@DRAGLOBAL.COM</t>
  </si>
  <si>
    <t>Alimentación Aguas Salinas Lithium</t>
  </si>
  <si>
    <t>O-1843</t>
  </si>
  <si>
    <t>Technip</t>
  </si>
  <si>
    <t>Guillermo López</t>
  </si>
  <si>
    <t>guillermo.lopez@technipenergies.com</t>
  </si>
  <si>
    <t xml:space="preserve">Apoyo Ingenieria Local Planta H2V Magallanes </t>
  </si>
  <si>
    <t>Se enviaron tarifas y presentación de SHIMIN.</t>
  </si>
  <si>
    <t>O-1842</t>
  </si>
  <si>
    <t>Marcin Pasiut</t>
  </si>
  <si>
    <t>Marcin.Pasiut@sgscm.cl</t>
  </si>
  <si>
    <t>ID Parrilla Detención Utragruesos para 190 KTPD</t>
  </si>
  <si>
    <t>SH-0271 ODT-15</t>
  </si>
  <si>
    <t>O-1841</t>
  </si>
  <si>
    <t>Patricio Alejandro Ochoa Valenzuela &lt;pochoa@cmp.cl&gt;</t>
  </si>
  <si>
    <t>Verificación Hidráulica Mina los Colorados</t>
  </si>
  <si>
    <t>Rodrigo Gutierrez</t>
  </si>
  <si>
    <t>O-1840</t>
  </si>
  <si>
    <t>Minera Las Bambas</t>
  </si>
  <si>
    <t>Oreste Guazzotti</t>
  </si>
  <si>
    <t>oguazzottiv@hvcontratistas.com.pe</t>
  </si>
  <si>
    <t>Ingeniería de Detalles Laboratorio HV</t>
  </si>
  <si>
    <t>O-1839</t>
  </si>
  <si>
    <t>Rolando Moraga</t>
  </si>
  <si>
    <t>rolando.moraga@pucobre.cl</t>
  </si>
  <si>
    <t>Reporte para Solicitud de Inversión</t>
  </si>
  <si>
    <t>O-1838</t>
  </si>
  <si>
    <t>O-1837</t>
  </si>
  <si>
    <t>Estudio de Perfil (FEL 1) Andina Subterránea GCEM</t>
  </si>
  <si>
    <t>Se envía Carta Excusa</t>
  </si>
  <si>
    <t>O-1836</t>
  </si>
  <si>
    <t>Julio Ibañez</t>
  </si>
  <si>
    <t>Julio.Ibanez@sqm.com</t>
  </si>
  <si>
    <t>Prefactibilidad Planta Amoniaco Verde</t>
  </si>
  <si>
    <t>O-1835</t>
  </si>
  <si>
    <t xml:space="preserve"> Validación trazado y revisión capacidad equipos</t>
  </si>
  <si>
    <t>Propuesta ganada en su momento y luego cliente decidió realizar el proyecto internamente.</t>
  </si>
  <si>
    <t>SH-0350</t>
  </si>
  <si>
    <t>O-1834</t>
  </si>
  <si>
    <t xml:space="preserve">IT Expansión Depósito de Relaves Sierra Gorda </t>
  </si>
  <si>
    <t>Para segundo semestre 2024</t>
  </si>
  <si>
    <t>24 semanas</t>
  </si>
  <si>
    <t>Se afinarán los alcances y plazos en visita del 04/06</t>
  </si>
  <si>
    <t>O-1833</t>
  </si>
  <si>
    <t xml:space="preserve"> ID Nuevos Pozos el Tambo Larga Duración</t>
  </si>
  <si>
    <t>Se envia nueva version el 22-8 (dscto 2%)</t>
  </si>
  <si>
    <t>O-1832</t>
  </si>
  <si>
    <t>Avaliação técnica dos processos e aplicação dos PNRs</t>
  </si>
  <si>
    <t>O-1831</t>
  </si>
  <si>
    <t>Jorge Ribeiro / Guilherme Silva</t>
  </si>
  <si>
    <t>jorge.ribeiro@vale.com</t>
  </si>
  <si>
    <t>Adutora Horizonte para Vargem Grande</t>
  </si>
  <si>
    <t>O-1830</t>
  </si>
  <si>
    <t>Dimensionamiento bombas água de selagem</t>
  </si>
  <si>
    <t>O-1829</t>
  </si>
  <si>
    <t>Construcción, Montaje e Ingeniería Lixiviación Clorurada Temprana</t>
  </si>
  <si>
    <t>EPC</t>
  </si>
  <si>
    <t>O-1828</t>
  </si>
  <si>
    <t>Sostenimiento de Taludes Camino Tramo B - SH-0274 - ODS28</t>
  </si>
  <si>
    <t>SH-0274 ODS28</t>
  </si>
  <si>
    <t>O-1827</t>
  </si>
  <si>
    <t>ID Ampliación Botadero de Ripios Fase IX</t>
  </si>
  <si>
    <t>O-1826</t>
  </si>
  <si>
    <t>Construcción, Montaje y Normalización Sistema Contra Incendios</t>
  </si>
  <si>
    <t>O-1825</t>
  </si>
  <si>
    <t>Pruebas de Bombeo Larga Duración Nuevos Pozos el Tambo</t>
  </si>
  <si>
    <t>SH-0265 OS31</t>
  </si>
  <si>
    <t>O-1824</t>
  </si>
  <si>
    <t>Sergio Valdebenito</t>
  </si>
  <si>
    <t>Sergio.Valdebenito@teck.com</t>
  </si>
  <si>
    <t>Ingeniería Apta para Construcción Elementos de Protección contra Aluviones</t>
  </si>
  <si>
    <t>O-1823</t>
  </si>
  <si>
    <t>IC Solución Filtraciones Tranque Barahona</t>
  </si>
  <si>
    <t>Buscar Subcontrato Hidro (hidro estudios)/ Maria Fernanda Rojas</t>
  </si>
  <si>
    <t>O-1822</t>
  </si>
  <si>
    <t>Ingeniería de Perfil Control de Polvo y Sílice</t>
  </si>
  <si>
    <t>O-1821</t>
  </si>
  <si>
    <t>Servicios de Contraparte de Ingeniería y Apoyo PEM</t>
  </si>
  <si>
    <t>O-1820</t>
  </si>
  <si>
    <t xml:space="preserve">Estudio de Perfil (FEL 1) Proyecto Suministro de Agua Distrito Norte </t>
  </si>
  <si>
    <t>O-1819</t>
  </si>
  <si>
    <t xml:space="preserve">Capacitación Manejo de Pulpas de Relaves Mineros </t>
  </si>
  <si>
    <t>SH-0348</t>
  </si>
  <si>
    <t>O-1818</t>
  </si>
  <si>
    <t>Raul Jorquera</t>
  </si>
  <si>
    <t>Raul.Jorquera@capstonecopper.com</t>
  </si>
  <si>
    <t>Servicio Control Geotécnico Operacional Tranque de Relave Mantoverde</t>
  </si>
  <si>
    <t>Laboratorio Geotecnico en terreno, 36 meses.
Se enviara Carta Excusa</t>
  </si>
  <si>
    <t>O-1817</t>
  </si>
  <si>
    <t>Rolando Moraga / Waldo Bustos</t>
  </si>
  <si>
    <t>Servicio Nube de Puntos</t>
  </si>
  <si>
    <t>O-1816</t>
  </si>
  <si>
    <t>Waldo Lopez</t>
  </si>
  <si>
    <t>waldocesar.lopez.gonzalez@acciona.com</t>
  </si>
  <si>
    <t>Ingenieria Terreno para Captación de Agua desde Sentina</t>
  </si>
  <si>
    <t>O-1815</t>
  </si>
  <si>
    <t>Plan de Ejecución Proyecto Canal de Contorno El Torito - NOC 1</t>
  </si>
  <si>
    <t>Se envió un preliminar de costos por realizar el taller de riesgos en faena (traslados y reembolsables). Fue aceptado este envío.</t>
  </si>
  <si>
    <t>SH-0340 NOC 1</t>
  </si>
  <si>
    <t>O-1814</t>
  </si>
  <si>
    <t>ID MCD Venteos y Drenajes Acueducto TEA</t>
  </si>
  <si>
    <t>SH-0363</t>
  </si>
  <si>
    <t>O-1813</t>
  </si>
  <si>
    <t>Meridion</t>
  </si>
  <si>
    <t>Panamerican Silver</t>
  </si>
  <si>
    <t>Gaston Scolnik</t>
  </si>
  <si>
    <t>Gaston@mdpsa.com.ar</t>
  </si>
  <si>
    <t>Estado de Muro y Crecimiento Cerro Moro</t>
  </si>
  <si>
    <t>O-1812</t>
  </si>
  <si>
    <t>fmos1305@gmail.com</t>
  </si>
  <si>
    <t>Cursos de Entrenamiento Operacional 2023 STFT - MLP</t>
  </si>
  <si>
    <t>SH-0351</t>
  </si>
  <si>
    <t>O-1811</t>
  </si>
  <si>
    <t>María Montero</t>
  </si>
  <si>
    <t>maria.a.montero1@bhp.com</t>
  </si>
  <si>
    <t>Extensión Asesoría y Supervisión técnica pruebas "Performance Test" para el Proyecto STWM - NOC 1</t>
  </si>
  <si>
    <t>SH-0330 NOC1</t>
  </si>
  <si>
    <t>O-1810</t>
  </si>
  <si>
    <t>Contrato Abierto Servicios de Comisionamiento</t>
  </si>
  <si>
    <t>Valores netamente referenciales, Contrato Abierto</t>
  </si>
  <si>
    <t>SH-0357</t>
  </si>
  <si>
    <t>O-1809</t>
  </si>
  <si>
    <t>Guillerme Silva/Jorge Ribeiro</t>
  </si>
  <si>
    <t>guilherme.euler@vale.com jorge.ribeiro@vale.com</t>
  </si>
  <si>
    <t>As Built e Flexibilidade Rota 1800 para Maravilhas 3</t>
  </si>
  <si>
    <t>O-1808</t>
  </si>
  <si>
    <t>ncarvajal@caserones.cl</t>
  </si>
  <si>
    <t>Ingeniería Dewatering Mina Continuo</t>
  </si>
  <si>
    <t>Precio</t>
  </si>
  <si>
    <t>O-1807</t>
  </si>
  <si>
    <t>VCarv002@codelco.cl</t>
  </si>
  <si>
    <t>Ingeniería Básica Complementaria Proyecto Control de Drenajes Muros Tranque Talabre - DCH - SH-0333 - ODS03</t>
  </si>
  <si>
    <t>SH-0333 ODS03</t>
  </si>
  <si>
    <t>O-1806</t>
  </si>
  <si>
    <t>Marion Novonha</t>
  </si>
  <si>
    <t>Revisão técnica independente Bombeamento de rejeito da barragem B3/B4 para cava da Mutuca - TAC 2</t>
  </si>
  <si>
    <t>SH-0296 TAC 2</t>
  </si>
  <si>
    <t>O-1805</t>
  </si>
  <si>
    <t>Apoyo Preparación Capítulo Gate Review P345</t>
  </si>
  <si>
    <t>Envío preliminar. Luego se acordarán los alcances finales con CMDIC.</t>
  </si>
  <si>
    <t>SH-0337 OS-02</t>
  </si>
  <si>
    <t>O-1804</t>
  </si>
  <si>
    <t>Revisão técnica independente Bombeamento de rejeito da barragem BSS para cava de Gongo Soco - TAC 3</t>
  </si>
  <si>
    <t>SH-0295 TAC 3</t>
  </si>
  <si>
    <t>O-1803</t>
  </si>
  <si>
    <t>Edimilson Silva</t>
  </si>
  <si>
    <t>Edimilson.Silva5@vale.com</t>
  </si>
  <si>
    <t>EC, EB e ED Bombeamento de Polpa e Sump da MOAGEM SLB I&amp;II – VALE TAC 1</t>
  </si>
  <si>
    <t>EC/EB</t>
  </si>
  <si>
    <t>SH-0320 TAC 1</t>
  </si>
  <si>
    <t>O-1802</t>
  </si>
  <si>
    <t>EC_EB e ED Bombeamento de agua recuperada Salobo – VALE - TAC 1</t>
  </si>
  <si>
    <t>EC/EB/ED</t>
  </si>
  <si>
    <t>SH-0322 TAC 1</t>
  </si>
  <si>
    <t>O-1801</t>
  </si>
  <si>
    <t>Bruno Alvarenga</t>
  </si>
  <si>
    <t>Gerenciamiento e QA/QC Construcao Novo Rejeitoduto</t>
  </si>
  <si>
    <t>Envío preliminar. Luego se acordarán los alcances finales con VALE.</t>
  </si>
  <si>
    <t>O-1800</t>
  </si>
  <si>
    <t>Jozevan</t>
  </si>
  <si>
    <t>Engenharia Detalhada Rejeitoduto Mina do Salobo – VALE - TAC 1</t>
  </si>
  <si>
    <t>Aprobada 1606 con estos datos actualizados.</t>
  </si>
  <si>
    <t>SH-0336 TAC 1</t>
  </si>
  <si>
    <t>O-1799</t>
  </si>
  <si>
    <t>Roderico Cabelo</t>
  </si>
  <si>
    <t>ED Relocação da Captação e Bombeamento da Cava da Mina de Timbopeba en Ouro Preto</t>
  </si>
  <si>
    <t>O-1798</t>
  </si>
  <si>
    <t>Saulo Sarmento</t>
  </si>
  <si>
    <t>ED Sistema de Bombeamento de Água dos Ponds – Salobo - Vale</t>
  </si>
  <si>
    <t>O-1797</t>
  </si>
  <si>
    <t>Ariba - Iselin Méndez Bravo</t>
  </si>
  <si>
    <t>Contraparte Ingeniería de Detalles Proyecto Depósito de Relaves en Rajo (DRR)</t>
  </si>
  <si>
    <t>Ronda Aclaratoria 23-8</t>
  </si>
  <si>
    <t>SH-0354</t>
  </si>
  <si>
    <t>O-1796</t>
  </si>
  <si>
    <t>ED Desenvolvimento Água de Flushing Rejeitoduto Salobo</t>
  </si>
  <si>
    <t>O-1795</t>
  </si>
  <si>
    <t>Leonardo de La Hoz</t>
  </si>
  <si>
    <t>Sistema de Recuperación Agua Filtrada Puerto Santo Domingo a Los Flamencos</t>
  </si>
  <si>
    <t>Se suspende Proyecto</t>
  </si>
  <si>
    <t>O-1794</t>
  </si>
  <si>
    <t>Apoyo Preparación de Documento P345 Riesgos</t>
  </si>
  <si>
    <t>SH-0337 OS-01</t>
  </si>
  <si>
    <t>O-1793</t>
  </si>
  <si>
    <t>Fundación Lucksic Scholars</t>
  </si>
  <si>
    <t>Desarrollo de Simulador Planta de Producción de Arenas para Construcción de Muro de Tranque de Relaves</t>
  </si>
  <si>
    <t>O-1792</t>
  </si>
  <si>
    <t>Empresa Minera Paitití</t>
  </si>
  <si>
    <t>Evaluación Filtros Prensa Áreas 1000 y 3000 Project OSP</t>
  </si>
  <si>
    <t>SH-0345</t>
  </si>
  <si>
    <t>O-1791</t>
  </si>
  <si>
    <t>Estudio de Prefactibilidad Línea Alternativa Emergencia Relaves</t>
  </si>
  <si>
    <t>Enviada en Rev 2.</t>
  </si>
  <si>
    <t>SH-0355</t>
  </si>
  <si>
    <t>O-1790</t>
  </si>
  <si>
    <t>Fundación Chile</t>
  </si>
  <si>
    <t>Patricio Balmaceda</t>
  </si>
  <si>
    <t>patricio.balmaceda@fch.cl</t>
  </si>
  <si>
    <t>Concurso BHP Global Water Challenge</t>
  </si>
  <si>
    <t>SH-0342</t>
  </si>
  <si>
    <t>O-1789</t>
  </si>
  <si>
    <t>Verbrec</t>
  </si>
  <si>
    <t>Ian Gooding</t>
  </si>
  <si>
    <t xml:space="preserve"> Ian.Gooding@verbrec.com</t>
  </si>
  <si>
    <t>GA's, MTO's and equipment lists of Magnetite Concentrate Pipeline Pump Stations in Mid West Shared Infrastructure PFS</t>
  </si>
  <si>
    <t>SH-0346</t>
  </si>
  <si>
    <t>O-1788</t>
  </si>
  <si>
    <t>Ingenieria de Detalles Traslado Pozos La Brea</t>
  </si>
  <si>
    <t>SH-0265 OS30</t>
  </si>
  <si>
    <t>O-1787</t>
  </si>
  <si>
    <t>Ingeniería de Detalles Normalización Circuito  Trasvasije y Distribución de NaSH</t>
  </si>
  <si>
    <t>O-1786</t>
  </si>
  <si>
    <t>Memorias de Cálculo Malla de Tierra Sector Pozos Amolanas</t>
  </si>
  <si>
    <t>SH-0265 OS29</t>
  </si>
  <si>
    <t>O-1785</t>
  </si>
  <si>
    <t>Ingeniería de Prefactibilidad Manejo de Excedentes de Excavación TOVE IV - SH-0274 - ODS28</t>
  </si>
  <si>
    <t>O-1784</t>
  </si>
  <si>
    <t>Ingeniería Conceptual Planta Lavado de Vehículos - SH-0274 - ODS27</t>
  </si>
  <si>
    <t>Versión Preliminar enviada por Hugo el 4/8</t>
  </si>
  <si>
    <t>SH-0274 ODS27</t>
  </si>
  <si>
    <t>O-1783</t>
  </si>
  <si>
    <t>Ingeniería de Detalles Ampliación Botadero de Ripios Fase IX - DRT</t>
  </si>
  <si>
    <t>Propuesta desierta para los EPC</t>
  </si>
  <si>
    <t>O-1782</t>
  </si>
  <si>
    <t>Normalización TE1 Energización La Brea / El Tambo</t>
  </si>
  <si>
    <t>SH-0265 OS28</t>
  </si>
  <si>
    <t>O-1781</t>
  </si>
  <si>
    <t xml:space="preserve"> Servicios de Ingeniería Apoyo Superintendencia Agua y Relaves - DSAL</t>
  </si>
  <si>
    <t>O-1780</t>
  </si>
  <si>
    <t>Actualización Factibilidad Sistema de Transporte de Concentrado Santo Domingo</t>
  </si>
  <si>
    <t>BP-PI</t>
  </si>
  <si>
    <t>Declarada deiserta debido a una definición estratégica de la compañía</t>
  </si>
  <si>
    <t>O-1779</t>
  </si>
  <si>
    <t>pjalegre@collahuasi.cl</t>
  </si>
  <si>
    <t>Revisión Ingeniería de Detalles Restitución  Sector Poniente</t>
  </si>
  <si>
    <t>Enviada revisión 1</t>
  </si>
  <si>
    <t>SH-0343</t>
  </si>
  <si>
    <t>O-1778</t>
  </si>
  <si>
    <t xml:space="preserve">maurilio.maciel@vale.com </t>
  </si>
  <si>
    <t>Atividades Complementares Estudo E Projeto Solução Técnica para Lançamento do Rejeito Salobo - TAC 2</t>
  </si>
  <si>
    <t>289 os3 (NOC)</t>
  </si>
  <si>
    <t>SH-0289 OS-03 (NOC)</t>
  </si>
  <si>
    <t>O-1777</t>
  </si>
  <si>
    <t>Ingeniería de Detalles Repotenciamiento Estación de Ciclones El Torito</t>
  </si>
  <si>
    <t>Se rebaja oferta orginal</t>
  </si>
  <si>
    <t>SH-0349</t>
  </si>
  <si>
    <t>O-1776</t>
  </si>
  <si>
    <t>shenriquez@emin.cl</t>
  </si>
  <si>
    <t>O-1775</t>
  </si>
  <si>
    <t>Análisis Hidráulico Modificación Canal Norte a Tuberías de Traspaso</t>
  </si>
  <si>
    <t>O-1774</t>
  </si>
  <si>
    <t>Worley Brasil</t>
  </si>
  <si>
    <t>Humberto Ramos</t>
  </si>
  <si>
    <t>Humberto.Consultoria@Worley.com</t>
  </si>
  <si>
    <t>Proposta Referencial - Rejeitoduto Kinross</t>
  </si>
  <si>
    <t>Oferta Budgetaria</t>
  </si>
  <si>
    <t>O-1773</t>
  </si>
  <si>
    <t>Estudio Molienda Gruesa Óptima para Aumentar Disponibilidad Agua de Proceso y su Impacto en Recuperación de Cobre</t>
  </si>
  <si>
    <t>SH-0341</t>
  </si>
  <si>
    <t>O-1772</t>
  </si>
  <si>
    <t>Ingeniería de Prefactibilidad para Conectar Aducción Salado con DGM - SH-0333 - ODS02</t>
  </si>
  <si>
    <t>Ipref</t>
  </si>
  <si>
    <t>SH-0333 ODS02</t>
  </si>
  <si>
    <t>O-1771</t>
  </si>
  <si>
    <t>Ingeniería de Detalles Manifold de Rápida Implementación Líneas de Arena</t>
  </si>
  <si>
    <t>SH-0271 ODT-12</t>
  </si>
  <si>
    <t>O-1770</t>
  </si>
  <si>
    <t>Ingeniería de Detalles Restitución Línea PCI a Piscina Procesos</t>
  </si>
  <si>
    <t>O-1769</t>
  </si>
  <si>
    <t>José Urdangarin Moreno</t>
  </si>
  <si>
    <t>JUrdangarin@caserones.cl</t>
  </si>
  <si>
    <t>Actualización Ing. Supresor Ariete Estación 0 Bombeo Refino</t>
  </si>
  <si>
    <t>Después de visita a terreno se actualizará la versión 1 enviada.</t>
  </si>
  <si>
    <t>SH-0265 OS27</t>
  </si>
  <si>
    <t>O-1768</t>
  </si>
  <si>
    <t>jmunozm@jri.cl</t>
  </si>
  <si>
    <t>Apoyo Proyectista Mecánica - Piping</t>
  </si>
  <si>
    <t>1 mes</t>
  </si>
  <si>
    <t>O-1767</t>
  </si>
  <si>
    <t>Marizio Junior</t>
  </si>
  <si>
    <t>marizio.Junior@Worley.com</t>
  </si>
  <si>
    <t>Estudio Hidráulico Salobo in Pit Disposal</t>
  </si>
  <si>
    <t>O-1766</t>
  </si>
  <si>
    <t>División El Salvador</t>
  </si>
  <si>
    <t>Jose Moreno García</t>
  </si>
  <si>
    <t xml:space="preserve"> jose.moreno@besalco.cl</t>
  </si>
  <si>
    <t>Ingeniería de Detalles Planta Las Añañucas</t>
  </si>
  <si>
    <t>Falta de información para participar</t>
  </si>
  <si>
    <t>O-1765</t>
  </si>
  <si>
    <t>Ingeniería Mejoramiento Aire Comprimido</t>
  </si>
  <si>
    <t>Se cancela</t>
  </si>
  <si>
    <t>O-1764</t>
  </si>
  <si>
    <t>Servicio Desarrollo de Ingenierías, Estudios y Gestión de Proyectos de Innovación</t>
  </si>
  <si>
    <t>El servicio será reformulado en su estructura, para hacer más eficiente y efectiva la contratación.</t>
  </si>
  <si>
    <t>O-1763</t>
  </si>
  <si>
    <t>Servicio de Apoyo a Construcción - SH-0274 - ODS25</t>
  </si>
  <si>
    <t>Francisco Delgado</t>
  </si>
  <si>
    <t>SH-0274 ODS25</t>
  </si>
  <si>
    <t>O-1762</t>
  </si>
  <si>
    <t>Complemento a ODS23 Obras de Protección Estribo Derecho - SH-0274 - ODS24</t>
  </si>
  <si>
    <t>SH-0274 ODS24</t>
  </si>
  <si>
    <t>O-1761</t>
  </si>
  <si>
    <t>SH-0337</t>
  </si>
  <si>
    <t>O-1760</t>
  </si>
  <si>
    <t>Contrato Marco Servicios de Ingeniería de Apoyo a la Cartera de Proyectos GCEM</t>
  </si>
  <si>
    <t>SH-0352</t>
  </si>
  <si>
    <t>O-1759</t>
  </si>
  <si>
    <t>Plan de Ejecución Proyecto Canal de Contorno El Torito</t>
  </si>
  <si>
    <t>SH-0340</t>
  </si>
  <si>
    <t>O-1758</t>
  </si>
  <si>
    <t>Revisión Sistema de Bombeo Arena Cicloneada - SH-0274 - ODS22</t>
  </si>
  <si>
    <t>SH-0274 ODS22</t>
  </si>
  <si>
    <t>O-1757</t>
  </si>
  <si>
    <t>Maximiliano Bunster Nuñez</t>
  </si>
  <si>
    <t>Ingeniería Conceptual Mejoramiento Sistema de Captación y Conducción Agua Mina DET</t>
  </si>
  <si>
    <t>Rodrigo Gutiérrez / Pedro Valencia</t>
  </si>
  <si>
    <t>Por Codelco debido a un cambio en la estrategia en la ejecución del Proyecto</t>
  </si>
  <si>
    <t>O-1756</t>
  </si>
  <si>
    <t>Fue licitada. Pasó a O-1773.</t>
  </si>
  <si>
    <t>O-1755</t>
  </si>
  <si>
    <t>Vinícius Wenner</t>
  </si>
  <si>
    <t>wenner.vinicius@vale.com</t>
  </si>
  <si>
    <t>Avaliação de Válvulas e Atuadores Existentes da Concentração Magnetica – Vale</t>
  </si>
  <si>
    <t>O-1754</t>
  </si>
  <si>
    <t>Robert Vigo</t>
  </si>
  <si>
    <t>rvigo@antamina.com</t>
  </si>
  <si>
    <t>Ingeniería de Detalles Bombeo de Relaves de Línea de Rebose del TPS hacia Línea Sur 3</t>
  </si>
  <si>
    <t>O-1753</t>
  </si>
  <si>
    <t>PFS Sitios Alternativos Relaves Futuros Proyecto Desarrollo Pelambres</t>
  </si>
  <si>
    <t>Lista corta, aclaraciones</t>
  </si>
  <si>
    <t>O-1752</t>
  </si>
  <si>
    <t>Reingeniería Manejo Aguas Afloradas Portal Norte Túnel</t>
  </si>
  <si>
    <t>No se solicitara</t>
  </si>
  <si>
    <t>O-1751</t>
  </si>
  <si>
    <t>Alejandra Lezaca</t>
  </si>
  <si>
    <t>alezaca@vega-asociados.cl</t>
  </si>
  <si>
    <t>Contrato Marco Ingeniería Multidisciplinaria</t>
  </si>
  <si>
    <t>O-1750</t>
  </si>
  <si>
    <t>Giselle Álvarez</t>
  </si>
  <si>
    <t>galvarez@enami.cl</t>
  </si>
  <si>
    <t>Alternativas Aumento Vida Útil Depósito Relaves Espesados</t>
  </si>
  <si>
    <t>Muy caros respecto a dos empresas. Ganó Codice, más barata.</t>
  </si>
  <si>
    <t>O-1749</t>
  </si>
  <si>
    <t>ID Planta de Magnetita Pucobre Fase 1</t>
  </si>
  <si>
    <t>40 semanas</t>
  </si>
  <si>
    <t>SH-0344</t>
  </si>
  <si>
    <t>O-1748</t>
  </si>
  <si>
    <t>Ingeniería de Registros Botaderos de Ripios, Distrito Norte - SH-0333 - ODS01</t>
  </si>
  <si>
    <t>Carta excusa por falta de experiencia específica de personal solicitado.</t>
  </si>
  <si>
    <t>SH-0333 ODS01</t>
  </si>
  <si>
    <t>Por contrato abierto. Carta excusa</t>
  </si>
  <si>
    <t>O-1747</t>
  </si>
  <si>
    <t>IDE Technologies</t>
  </si>
  <si>
    <t>IDE Chile</t>
  </si>
  <si>
    <t>Juan Pablo Negroni</t>
  </si>
  <si>
    <t>JuanPN@ide-tech.com</t>
  </si>
  <si>
    <t>ID Planta Osmosis Inversa Rajo Inca</t>
  </si>
  <si>
    <t>(23-02-24) Se espera nueva info prontamente</t>
  </si>
  <si>
    <t>O-1746</t>
  </si>
  <si>
    <t>Mauer</t>
  </si>
  <si>
    <t>Roberto Soto</t>
  </si>
  <si>
    <t>Asesoría y Acompañamiento a Ensayos para Prueba de Revestimiento</t>
  </si>
  <si>
    <t>O-1745</t>
  </si>
  <si>
    <t>Fernando Benalcázar</t>
  </si>
  <si>
    <t>Ingeniería de Prefactibilidad Acid Rock Drainage</t>
  </si>
  <si>
    <t>O-1744</t>
  </si>
  <si>
    <t>José Moreno Urdangarin</t>
  </si>
  <si>
    <t>Complemento Revisión Ingeniería Supresor de Ariete 1 y 2 - SH-0265 OS14 (NOC 1)</t>
  </si>
  <si>
    <t>Ajustar Valores NOC</t>
  </si>
  <si>
    <t>SH-0265 OS14</t>
  </si>
  <si>
    <t>O-1743</t>
  </si>
  <si>
    <t>Ministerio de Minería</t>
  </si>
  <si>
    <t>Mercadopublico</t>
  </si>
  <si>
    <t>www.mercadopublico.cl</t>
  </si>
  <si>
    <t>Apoyo a la Modificación del Reglamento de Depósito de Relaves</t>
  </si>
  <si>
    <t>O-1742</t>
  </si>
  <si>
    <t>Pablo Olguín</t>
  </si>
  <si>
    <t>polguin@cmp.cl</t>
  </si>
  <si>
    <t>Complemento Ingeniería Transporte de Agua Fresca PP</t>
  </si>
  <si>
    <t>No se requieren los servicios. P. Olguín 19/07/2023.</t>
  </si>
  <si>
    <t>O-1741</t>
  </si>
  <si>
    <t>Javiera Pérez</t>
  </si>
  <si>
    <t>Plan de Depositación Proyecto Depósito Relaves Rajo</t>
  </si>
  <si>
    <t>O-1740</t>
  </si>
  <si>
    <t>Ingeniería de Contraparte Proyecto SIAM II</t>
  </si>
  <si>
    <t>O-1739</t>
  </si>
  <si>
    <t>Mejoramiento Sistema de Impulsión de Relaves</t>
  </si>
  <si>
    <t>Aclaraciones para el 04/05</t>
  </si>
  <si>
    <t>O-1738</t>
  </si>
  <si>
    <t>Eduardo Gallardo Urrutia</t>
  </si>
  <si>
    <t>Ingeniería de Factibilidad Reemplazo de Celdas Columnas y Scavenger</t>
  </si>
  <si>
    <t>Carta Excusa. No contar con experiencia suficiente en celdas de flotación.</t>
  </si>
  <si>
    <t>O-1737</t>
  </si>
  <si>
    <t>Fernando Letelier</t>
  </si>
  <si>
    <t>fernando.letelier@angloamerican.com</t>
  </si>
  <si>
    <t>Revisión de Estaciones de Bombeo ECMP</t>
  </si>
  <si>
    <t>Separar costos de revisión de estaciones y levantamiento y auditoría</t>
  </si>
  <si>
    <t>O-1736</t>
  </si>
  <si>
    <t xml:space="preserve">Wood  </t>
  </si>
  <si>
    <t>Apoyo Informes de Verificación Hidráulica - Proyecto Mejoramiento Espesador P-5</t>
  </si>
  <si>
    <t>O-1735</t>
  </si>
  <si>
    <t>Ingeniería Básica Mejoramiento Captación y Conducción Río Blanco</t>
  </si>
  <si>
    <t>Aclaraciones para el 27/06 15hrs</t>
  </si>
  <si>
    <t>O-1734</t>
  </si>
  <si>
    <t>Felipe Romero</t>
  </si>
  <si>
    <t>fromero@caserones.cl</t>
  </si>
  <si>
    <t>Respuesta a SDI Salfa Montajes Portal Norte / Planos Faltantes</t>
  </si>
  <si>
    <t>O-1733</t>
  </si>
  <si>
    <t>Tetratech</t>
  </si>
  <si>
    <t>Samarco</t>
  </si>
  <si>
    <t xml:space="preserve">Carvalho Simao     </t>
  </si>
  <si>
    <t>Avaliação Bombeamento da Lama a Nível FEL 1</t>
  </si>
  <si>
    <t xml:space="preserve">Ver HH y monto con Douglas </t>
  </si>
  <si>
    <t>O-1732</t>
  </si>
  <si>
    <t>Modificación Proyecto DropBox</t>
  </si>
  <si>
    <t>O-1731</t>
  </si>
  <si>
    <t>Extensión Asesoría y Supervisión técnica pruebas "Performance Test" para el Proyecto STWM</t>
  </si>
  <si>
    <t>4 Semanas</t>
  </si>
  <si>
    <t>SH-0330</t>
  </si>
  <si>
    <t>O-1730</t>
  </si>
  <si>
    <t>Ingeniería Permisos Planta RO Pampa Blanca</t>
  </si>
  <si>
    <t>Francisco Martin / Daniela Videla</t>
  </si>
  <si>
    <t>O-1729</t>
  </si>
  <si>
    <t>Acompañamiento Especializado Reparación de Caminos - SH-0274 - ODS26</t>
  </si>
  <si>
    <t>SH-0274 ODS26</t>
  </si>
  <si>
    <t>O-1728</t>
  </si>
  <si>
    <t>Cosapi</t>
  </si>
  <si>
    <t>Codelco declara desierto el proceso “Lixiviación Clorurada Temprana” por cambio de alcance</t>
  </si>
  <si>
    <t>O-1727</t>
  </si>
  <si>
    <t>Cesar Constanzo Sepúlveda</t>
  </si>
  <si>
    <t xml:space="preserve">e_cconstanzo@aguascap.cl </t>
  </si>
  <si>
    <t>Revisión Experta Capex Proyecto Las Pintadas</t>
  </si>
  <si>
    <t>21 días</t>
  </si>
  <si>
    <t>O-1726</t>
  </si>
  <si>
    <t>Jissel Muñoz</t>
  </si>
  <si>
    <t>Jissel.munoz@sqm.com</t>
  </si>
  <si>
    <t>Ingeniería Monorriel Planta MOPHI</t>
  </si>
  <si>
    <t>O-1725</t>
  </si>
  <si>
    <t>Ingeniería de Detalles Agitador Estanque de Arenas</t>
  </si>
  <si>
    <t>Nuevos alcances. 18/04</t>
  </si>
  <si>
    <t>SH-0338</t>
  </si>
  <si>
    <t>O-1724</t>
  </si>
  <si>
    <t>Cliente desiste de presentar oferta por  plazos ajustados para preparar.</t>
  </si>
  <si>
    <t>O-1723</t>
  </si>
  <si>
    <t>GPP</t>
  </si>
  <si>
    <t>Benjamín Andrade</t>
  </si>
  <si>
    <t>benjamin.andrade@gpp.cl</t>
  </si>
  <si>
    <t>Modificación de Planos Proyecto Puente Carretón y Reemplazo de Tubería de Agua Fresca- AAES</t>
  </si>
  <si>
    <t>O-1722</t>
  </si>
  <si>
    <t>O-1721</t>
  </si>
  <si>
    <t xml:space="preserve"> Servicios de Ingeniería Operacional Especialidades Agua y Relaves - DCH</t>
  </si>
  <si>
    <t>SH-0360</t>
  </si>
  <si>
    <t>O-1720</t>
  </si>
  <si>
    <t>Ingeniería Fast Track Aumento Rango de Operación ECMP Cota Final</t>
  </si>
  <si>
    <t>O-1719</t>
  </si>
  <si>
    <t>Se envió cotización budgetaria por ID de WP01/WP02 e IC deWP03</t>
  </si>
  <si>
    <t>O-1718</t>
  </si>
  <si>
    <t>Sodexo</t>
  </si>
  <si>
    <t>Christian Navarro</t>
  </si>
  <si>
    <t>christian.navarro@sodexo.com</t>
  </si>
  <si>
    <t>Mejoramiento Red Interior de AP Establecimiento Penitenciario de Antofagasta</t>
  </si>
  <si>
    <t>Cliente informa que oferta no alcanzó a ser enviada en los plazos definidos.</t>
  </si>
  <si>
    <t>O-1717</t>
  </si>
  <si>
    <t>Mauricio Rolando Sandoval Fedelli</t>
  </si>
  <si>
    <t>MSand011@codelco.cl</t>
  </si>
  <si>
    <t>Ingeniería de Prefactibilidad Recirculación de Aguas y Abatimiento de Sulfatos - Embalse Carén</t>
  </si>
  <si>
    <t>Considerar Geotécnico externo</t>
  </si>
  <si>
    <t>O-1716</t>
  </si>
  <si>
    <t>Ingeniería de Prefactibilidad y Detalles Fase 2 y 3 PTAR</t>
  </si>
  <si>
    <t>215 días</t>
  </si>
  <si>
    <t>O-1715</t>
  </si>
  <si>
    <t>Volcan</t>
  </si>
  <si>
    <t>Pedro Paucar</t>
  </si>
  <si>
    <t>ppaucar@volcan.com.pe</t>
  </si>
  <si>
    <t>Diagnóstico Impulsión de Relaves Espesados desde Deep Cone</t>
  </si>
  <si>
    <t>Esperando datos solicitados por PVZ</t>
  </si>
  <si>
    <t>O-1714</t>
  </si>
  <si>
    <t>Carlos Pavissich</t>
  </si>
  <si>
    <t>carlos.pavissich@bhp.com</t>
  </si>
  <si>
    <t>Ingeniería de Detalles Mejoramiento de Relaves Corto Plazo</t>
  </si>
  <si>
    <t>Esperando BT. Van a licitar, según lo recibido como BT para budget en O-1719. Luego de eso esperar BT para licitar con este código.</t>
  </si>
  <si>
    <t>O-1713</t>
  </si>
  <si>
    <t>Actualización Factibilidad Tranque de Relaves Santo Domingo</t>
  </si>
  <si>
    <t>SH-0335</t>
  </si>
  <si>
    <t>O-1712</t>
  </si>
  <si>
    <t xml:space="preserve">Jose Moreno Urdangarin </t>
  </si>
  <si>
    <t>JMorgado@caserones.cl</t>
  </si>
  <si>
    <t>ID Energización Equipos de Bombeo Ubicados en Piscina de Emergencia</t>
  </si>
  <si>
    <t>O-1711</t>
  </si>
  <si>
    <t>Modificación Ingeniería de Detalles Obras de Protección Estribo Derecho - SH-0274 - ODS23</t>
  </si>
  <si>
    <t>Se envió Revisión 2</t>
  </si>
  <si>
    <t>SH-0274 ODS23</t>
  </si>
  <si>
    <t>O-1710</t>
  </si>
  <si>
    <t>Verificación Válvula Sostenedora de Presión SRA - SH-0274 - ODS21</t>
  </si>
  <si>
    <t>SH-0274 ODS21</t>
  </si>
  <si>
    <t>O-1709</t>
  </si>
  <si>
    <t xml:space="preserve">Eric Mattos </t>
  </si>
  <si>
    <t>eric.mattos@vale.com</t>
  </si>
  <si>
    <t>Projeto Detalhado Dimensionamento Tubulação Sistema de Filtragem Postos de Combustíveis Sul</t>
  </si>
  <si>
    <t>Muy específico el tema, estamos con sobrecarga para tomar dicha especialidad.</t>
  </si>
  <si>
    <t>O-1708</t>
  </si>
  <si>
    <t>Alejandra Rojas</t>
  </si>
  <si>
    <t>Actualización Permisos con Vialidad Off Site</t>
  </si>
  <si>
    <t>Néstor Vargas / David Cerón</t>
  </si>
  <si>
    <t>Esperando BT.</t>
  </si>
  <si>
    <t>O-1707</t>
  </si>
  <si>
    <t>Estudio Diagnóstico Modificación Proceso Romeral Vía Cambio de Piping - CAP</t>
  </si>
  <si>
    <t>Programar Visita a Terreno
Se envió rev. 3</t>
  </si>
  <si>
    <t>SH-0334</t>
  </si>
  <si>
    <t>O-1706</t>
  </si>
  <si>
    <t>Pedro Henrique Braz De Sousa</t>
  </si>
  <si>
    <t>pedro.braz@vale.com</t>
  </si>
  <si>
    <t>Engenharia de Segundo Nível - Hidráulica e Tubulação - Adutora do Rio Tanque</t>
  </si>
  <si>
    <t>Correo de Vale. Proceso paralizado. 29/06/2023</t>
  </si>
  <si>
    <t>O-1705</t>
  </si>
  <si>
    <t>Lorena Orrego</t>
  </si>
  <si>
    <t>Servicio de ITO's de Calidad Cambio de Polea 6</t>
  </si>
  <si>
    <t>Reunión aclaratoria 15:00 hrs. Del 15/03</t>
  </si>
  <si>
    <t>O-1704</t>
  </si>
  <si>
    <t>Ricardo Alvarado</t>
  </si>
  <si>
    <t>Ingeniería de Detalles Relaves</t>
  </si>
  <si>
    <t>O-1703</t>
  </si>
  <si>
    <t>PP, da paso a 1744</t>
  </si>
  <si>
    <t>O-1702</t>
  </si>
  <si>
    <t xml:space="preserve">Complemento ID Habilitación Electromecánica Pozos PAF y PER </t>
  </si>
  <si>
    <t>SH-0265 OS17 (NOC 1)</t>
  </si>
  <si>
    <t>O-1701</t>
  </si>
  <si>
    <t>Tamara Quiroga González</t>
  </si>
  <si>
    <t>Ingeniería de Detalles Reemplazo Espesador Intermedio y Final - PMFC</t>
  </si>
  <si>
    <t>O-1700</t>
  </si>
  <si>
    <t>Compañía Minera Zafranal</t>
  </si>
  <si>
    <t>Jorge Valdebenito</t>
  </si>
  <si>
    <t>Ingeniería Implementación y Explotación Pozo W-6. Proyecto Minero Zafranal</t>
  </si>
  <si>
    <t>O-1699</t>
  </si>
  <si>
    <t>Estudios Complementarios Transporte de Relaves</t>
  </si>
  <si>
    <t>SH-0271 ODT-09</t>
  </si>
  <si>
    <t>O-1698</t>
  </si>
  <si>
    <t>Servicio Especializado en Terreno</t>
  </si>
  <si>
    <t>SH-0271 ODT-10</t>
  </si>
  <si>
    <t>O-1697</t>
  </si>
  <si>
    <t>Quellaveco</t>
  </si>
  <si>
    <t>Franzisko Unzaga</t>
  </si>
  <si>
    <t>Orden de Cambio N°1 - Apoyo Especializado Quellaveco</t>
  </si>
  <si>
    <t>SH-0315 (NOC 1)</t>
  </si>
  <si>
    <t>O-1696</t>
  </si>
  <si>
    <t>jmoreno@caserones.cl</t>
  </si>
  <si>
    <t>Cotización Ingeniería para Golpe de Ariete Línea de Refino</t>
  </si>
  <si>
    <t>SH-0265 OS26</t>
  </si>
  <si>
    <t>Aprobada cotizacion visita a terreno</t>
  </si>
  <si>
    <t>O-1695</t>
  </si>
  <si>
    <t>Cristián Velásquez</t>
  </si>
  <si>
    <t>Ampliación Etapa 2 Muro Tranque de Relaves (LOM33)</t>
  </si>
  <si>
    <t>O-1694</t>
  </si>
  <si>
    <t>Joao Monteiro</t>
  </si>
  <si>
    <t>Revisão do sistema do Rejeitoduto Mina de Viga</t>
  </si>
  <si>
    <t>12 semanas. Por asuntos internos de Vale, no se llevará a cabo el proyecto.</t>
  </si>
  <si>
    <t>O-1693</t>
  </si>
  <si>
    <t>Lundin Gold</t>
  </si>
  <si>
    <t>Diagnóstico y Evaluación Trituradora Principal</t>
  </si>
  <si>
    <t>BP-OT</t>
  </si>
  <si>
    <t>Consultas enviadas el 9/2/23. Esperando respuestas</t>
  </si>
  <si>
    <t>O-1692</t>
  </si>
  <si>
    <t>Apoyo Especializado Gestión de Relaves para Minera Las Bambas</t>
  </si>
  <si>
    <t>Minera Las Bambas no aceptó la modalidad ofrecida por BISA</t>
  </si>
  <si>
    <t>O-1691</t>
  </si>
  <si>
    <t>Francisco Vega</t>
  </si>
  <si>
    <t>francisco.vega@sgscm.cl</t>
  </si>
  <si>
    <t>Evaluación Hidráulica Red de Agua Potable Campamento</t>
  </si>
  <si>
    <t>Perdida por falta de presupuesto del cliente.</t>
  </si>
  <si>
    <t>O-1690</t>
  </si>
  <si>
    <t>Ingeniería de Detalles Transporte de Concentrado Columnas a Espesador Colectivo</t>
  </si>
  <si>
    <t>SH-0265 OS25</t>
  </si>
  <si>
    <t>O-1689</t>
  </si>
  <si>
    <t>Camilo Orellana</t>
  </si>
  <si>
    <t>Camilo.Orellana@angloamerican.com</t>
  </si>
  <si>
    <t>Verificación Ingeniería de Enlace - Adicionales SHIMIN</t>
  </si>
  <si>
    <t>Horas no suman porque se restan del contrato de PEM</t>
  </si>
  <si>
    <t>SH-0276 (NOC 5)</t>
  </si>
  <si>
    <t>O-1688</t>
  </si>
  <si>
    <t>Adequação Circuito Hídrico VGR1 - Vale</t>
  </si>
  <si>
    <t>O-1687</t>
  </si>
  <si>
    <t>NAVA Consulting</t>
  </si>
  <si>
    <t>Compañía Minera Teck Quebrada Blanca S.A.</t>
  </si>
  <si>
    <t>Gail Riddell</t>
  </si>
  <si>
    <t>info@nava.cl</t>
  </si>
  <si>
    <t>Curso Reología Quebrada Blanca</t>
  </si>
  <si>
    <t>O-1686</t>
  </si>
  <si>
    <t>Ingeniería Conceptual Mejoras Mediano y Largo Plazo</t>
  </si>
  <si>
    <t>alta prob para junio</t>
  </si>
  <si>
    <t>O-1685</t>
  </si>
  <si>
    <t>Nuevo código para oferta de solo una parte de esta oferta.</t>
  </si>
  <si>
    <t>O-1684</t>
  </si>
  <si>
    <t>cvelasquez@jej.cl</t>
  </si>
  <si>
    <t>Alcances Adicionales - Zaldívar Muro y Depositación de Relaves</t>
  </si>
  <si>
    <t>Víctor Mendoza/Rodrigo Gutierrez</t>
  </si>
  <si>
    <t>Se envió como O-1695</t>
  </si>
  <si>
    <t>Entregar Carta por Pablo Vasquez</t>
  </si>
  <si>
    <t>O-1683</t>
  </si>
  <si>
    <t>Luis Felipe de la Flor</t>
  </si>
  <si>
    <t xml:space="preserve">ID Repotenciamiento de Dos Bahías Existentes en Truck Shop </t>
  </si>
  <si>
    <t>87 días</t>
  </si>
  <si>
    <t>cambio fecha entrega EPC al 15/03</t>
  </si>
  <si>
    <t>O-1682</t>
  </si>
  <si>
    <t>José Lugo Hidalgo</t>
  </si>
  <si>
    <t>jlugo@jej.cl</t>
  </si>
  <si>
    <t>Análisis de Flexibilidad Tubería 16"</t>
  </si>
  <si>
    <t>O-1681</t>
  </si>
  <si>
    <t>Andres Jensen</t>
  </si>
  <si>
    <t>andresjensenvelasco@gmail.com</t>
  </si>
  <si>
    <t>Complementos Ingeniería para SEIA</t>
  </si>
  <si>
    <t>SH-0329</t>
  </si>
  <si>
    <t>O-1680</t>
  </si>
  <si>
    <t>Ingeniería de Detalles Continuidad Operacional Berma 11</t>
  </si>
  <si>
    <t>SH-0271 ODT-08</t>
  </si>
  <si>
    <t>cliente de vacaciones</t>
  </si>
  <si>
    <t>O-1679</t>
  </si>
  <si>
    <t>Ingeniería de Detalles Derivación Canal Norte-Sur</t>
  </si>
  <si>
    <t>O-1678</t>
  </si>
  <si>
    <t>Claudia Díaz Echeverría</t>
  </si>
  <si>
    <t xml:space="preserve">cpdiaz.esed@collahuasi.cl </t>
  </si>
  <si>
    <t>Trade-Off Alternativas de Abastecimiento (Restitución Quebradas Sector Oriente)</t>
  </si>
  <si>
    <t>Envío de aclaraciones N°2</t>
  </si>
  <si>
    <t>SH-0332</t>
  </si>
  <si>
    <t>O-1677</t>
  </si>
  <si>
    <t>Modificación de Planos de Ingeniería Primera Línea de Producción</t>
  </si>
  <si>
    <t>O-1676</t>
  </si>
  <si>
    <t>PVSA</t>
  </si>
  <si>
    <t>Jaime Condell</t>
  </si>
  <si>
    <t>jaime.condell@pvsa.cl</t>
  </si>
  <si>
    <t>Ingeniería Inspección Estructuras Siniestradas (Correa es Importante)</t>
  </si>
  <si>
    <t>O-1675</t>
  </si>
  <si>
    <t>Extensión ODS11 / SH-0274 - Manual de Operaciones 7ª Etapa Depósito Carén</t>
  </si>
  <si>
    <t>SH-0274 ODS20</t>
  </si>
  <si>
    <t>O-1674</t>
  </si>
  <si>
    <t>hbozo@codelco.cl</t>
  </si>
  <si>
    <t>Servicio de Contraparte de Ingeniería y Apoyo Experto</t>
  </si>
  <si>
    <t>Conversacion pendiente con Vicente por parte de PV</t>
  </si>
  <si>
    <t>O-1673</t>
  </si>
  <si>
    <t>SGS</t>
  </si>
  <si>
    <t>Jorge Chávez</t>
  </si>
  <si>
    <t>Jorge.Chavez@sgs.com</t>
  </si>
  <si>
    <t>Verificación Hidráulica y Estructural Proyecto Recirculación II en Las Tórtolas</t>
  </si>
  <si>
    <t>O-1672</t>
  </si>
  <si>
    <t>Eduardo Mosalve</t>
  </si>
  <si>
    <t>Nueva Red de Incendio PVSA</t>
  </si>
  <si>
    <t>José Luis Calderón</t>
  </si>
  <si>
    <t>O-1671</t>
  </si>
  <si>
    <t>Sonja Galleguillos - Ariba</t>
  </si>
  <si>
    <t>sgalleguillos.esed@caserones.cl</t>
  </si>
  <si>
    <t>Asesorías para la Estimación de Caudales de Líneas para Transporte de Arenas</t>
  </si>
  <si>
    <t>SH-0325</t>
  </si>
  <si>
    <t>O-1670</t>
  </si>
  <si>
    <t>Álvaro Sepúlveda</t>
  </si>
  <si>
    <t>alvaro.sepulveda@bhp.com</t>
  </si>
  <si>
    <t>Cotización Servicios de Capacitación</t>
  </si>
  <si>
    <t>SH-0249</t>
  </si>
  <si>
    <t>O-1669</t>
  </si>
  <si>
    <t>Felipe Orostegui</t>
  </si>
  <si>
    <t>forostegui@caserones.cl</t>
  </si>
  <si>
    <t>Ingeniería Análisis del Sistema de Depositación de Arenas Actual y Futuro</t>
  </si>
  <si>
    <t>Por confirmar con Vicente Salinas</t>
  </si>
  <si>
    <t>O-1668</t>
  </si>
  <si>
    <t>Ingeniería de Detalles Obras Electromecánicas Expansión Depósito de Relaves</t>
  </si>
  <si>
    <t>Revisión 4. Plazo 20 semanas</t>
  </si>
  <si>
    <t>SH-0331</t>
  </si>
  <si>
    <t>O-1667</t>
  </si>
  <si>
    <t>Horacio Sandoval Riquelme</t>
  </si>
  <si>
    <t>horacio.sandoval.r@outlook.com</t>
  </si>
  <si>
    <t>Extensión Cañería Agua Chancado a Molienda SAG</t>
  </si>
  <si>
    <t>O-1666</t>
  </si>
  <si>
    <t>Proyectos Transformación Planta Sulfuros</t>
  </si>
  <si>
    <t>O-1665</t>
  </si>
  <si>
    <t>Ariba - Sofía Yañez Vergara</t>
  </si>
  <si>
    <t>Ingenierías Menores GTFT</t>
  </si>
  <si>
    <t>Llegaron aclaraciones de las bases. 14/2, aclaraciones resuletas AM, enviadas</t>
  </si>
  <si>
    <t>O-1664</t>
  </si>
  <si>
    <t>Karin Lesly Neira Vidal</t>
  </si>
  <si>
    <t>kneira@aguascap.cl</t>
  </si>
  <si>
    <t>Ingeniería de Perfil Proyecto Pumped Storage - Susterra</t>
  </si>
  <si>
    <t>SH-0319</t>
  </si>
  <si>
    <t>O-1663</t>
  </si>
  <si>
    <t>Diseño Botadero El Buitre Etapas 8a y 9a  - ODS19 / SH-0274</t>
  </si>
  <si>
    <t>SH-0274 ODS19</t>
  </si>
  <si>
    <t>O-1662</t>
  </si>
  <si>
    <t>Ingeniería de Detalles Relaves SGSCM para 160 ktpd</t>
  </si>
  <si>
    <t>Postergada para fines de febrero</t>
  </si>
  <si>
    <t>O-1661</t>
  </si>
  <si>
    <t>Carlos Him</t>
  </si>
  <si>
    <t>chim@jej.cl</t>
  </si>
  <si>
    <t>Análisis de Flexibilidad Tubería Recirculación Scavenger</t>
  </si>
  <si>
    <t>O-1660</t>
  </si>
  <si>
    <t>Ingeniería de Detalles Desagüe Fondo Mina MLCC</t>
  </si>
  <si>
    <t>SH-0265 OS24</t>
  </si>
  <si>
    <t>O-1659</t>
  </si>
  <si>
    <t>Aclara Resources</t>
  </si>
  <si>
    <t>Rodrigo Contreras</t>
  </si>
  <si>
    <t xml:space="preserve"> rodrigo.contreras@aclara-re.com</t>
  </si>
  <si>
    <t>Ingeniería Conceptual Diseño de tres (3) Instalaciones Mineras</t>
  </si>
  <si>
    <t>SH-0327</t>
  </si>
  <si>
    <t>O-1658</t>
  </si>
  <si>
    <t>Ingeniería Conceptual Modificación Oleoducto ENAP en la Zona de Extracción Maite</t>
  </si>
  <si>
    <t>SH-0326</t>
  </si>
  <si>
    <t>O-1657</t>
  </si>
  <si>
    <t>Joao Monteiro_CONTR</t>
  </si>
  <si>
    <t xml:space="preserve"> C0628600@vale.com</t>
  </si>
  <si>
    <t>Fornecimento de Especialista em Rejeitoduto – Mina de Viga - Vale</t>
  </si>
  <si>
    <t>O-1656</t>
  </si>
  <si>
    <t>Contrato Marco de Ingeniería Intermedia y Servicios de Terreno</t>
  </si>
  <si>
    <t>Aclaraciones Técnicas N°2 enviadas 20-02-23. Hugo llamar a Ismael al regreso</t>
  </si>
  <si>
    <t>O-1655</t>
  </si>
  <si>
    <t>José Francisco Rojas Solar</t>
  </si>
  <si>
    <t>jose.rojas@ryq.cl</t>
  </si>
  <si>
    <t>Ingeniería de Contraparte Proyecto Sostenibilidad Largo Plazo Concentradora DCH</t>
  </si>
  <si>
    <t>SH-0323</t>
  </si>
  <si>
    <t>O-1654</t>
  </si>
  <si>
    <t>Pipeline Intelligence</t>
  </si>
  <si>
    <t>Claudio Muñoz Q.</t>
  </si>
  <si>
    <t>Servicios de Pig Inteligente para Concentraducto 6”</t>
  </si>
  <si>
    <t>Propuesta cara para PI.</t>
  </si>
  <si>
    <t>O-1653</t>
  </si>
  <si>
    <t>Contrato Marco Ingeniería de Contraparte</t>
  </si>
  <si>
    <t>O-1652</t>
  </si>
  <si>
    <t xml:space="preserve">gail.riddell@nava.cl </t>
  </si>
  <si>
    <t>Ingeniería de Detalles Repulpeo Tranque Los Quillayes</t>
  </si>
  <si>
    <t>Decisión de no licitar. En Congreso Tailings se dio a entender que se adjudicacía a Fraser.</t>
  </si>
  <si>
    <t>O-1651</t>
  </si>
  <si>
    <t>José Agüero Caro</t>
  </si>
  <si>
    <t>e_jaguero@aguascap.cl</t>
  </si>
  <si>
    <t>Ingeniería Conceptual e Ingeniería Básica Actualización Optimización Operacional ATA</t>
  </si>
  <si>
    <t>O-1650</t>
  </si>
  <si>
    <t>Análisis Impacto por Cambio en Características Reológicas del Relave</t>
  </si>
  <si>
    <t>SH-0318</t>
  </si>
  <si>
    <t>O-1649</t>
  </si>
  <si>
    <t>Ángel Ponce</t>
  </si>
  <si>
    <t>aponce@cmp.cl</t>
  </si>
  <si>
    <t>Apoyo Respuestas a Autoridad Ambiental - Permisos Sectoriales</t>
  </si>
  <si>
    <t>O-1648</t>
  </si>
  <si>
    <t>Folsom Industrial</t>
  </si>
  <si>
    <t>David Ray</t>
  </si>
  <si>
    <t xml:space="preserve"> dray@folsomindustrial.com</t>
  </si>
  <si>
    <t>Pipeline Design</t>
  </si>
  <si>
    <t>7 Semanas</t>
  </si>
  <si>
    <t>O-1647</t>
  </si>
  <si>
    <t>Alvarez &amp; Marsal Chile</t>
  </si>
  <si>
    <t>Julio Iturriaga</t>
  </si>
  <si>
    <t>Revisión Técnica y Económica Proyecto Desaladora Enapac</t>
  </si>
  <si>
    <t>1 Semana</t>
  </si>
  <si>
    <t>SH-0317</t>
  </si>
  <si>
    <t>O-1646</t>
  </si>
  <si>
    <t>Fe Grande</t>
  </si>
  <si>
    <t>Orcoma</t>
  </si>
  <si>
    <t>Francisco Riquelme</t>
  </si>
  <si>
    <t>FRIQUELMEB@fegrande.cl</t>
  </si>
  <si>
    <t xml:space="preserve">Proyecto Orcoma - Construcción Impulsión Agua de Mar </t>
  </si>
  <si>
    <t>27 Semanas</t>
  </si>
  <si>
    <t>O-1645</t>
  </si>
  <si>
    <t>Puma</t>
  </si>
  <si>
    <t>Yessica Godoy Osorio</t>
  </si>
  <si>
    <t>ygodoy@pugamujica.cl</t>
  </si>
  <si>
    <t>O-1644</t>
  </si>
  <si>
    <t>Ingeniería de Detalles Taller de Camiones Mina Romina</t>
  </si>
  <si>
    <t>Se envió planilla con HH y costos. Se pretende realizar a fin de mes.</t>
  </si>
  <si>
    <t>En espera de Francisco. 11/01</t>
  </si>
  <si>
    <t>O-1643</t>
  </si>
  <si>
    <t>EC_EB e ED Bombeamento de agua recuperada Salobo – VALE</t>
  </si>
  <si>
    <t>6 Semanas</t>
  </si>
  <si>
    <t>SH-0322</t>
  </si>
  <si>
    <t>O-1642</t>
  </si>
  <si>
    <t>Informe de Juicio Experto - Sistema Bombeo Arena Cicloneada  - ODS18 / SH-0274</t>
  </si>
  <si>
    <t>SH-0274 ODS18</t>
  </si>
  <si>
    <t>O-1641</t>
  </si>
  <si>
    <t>e_adiaz@cmp.cl</t>
  </si>
  <si>
    <t>Análisis de Alternativas e Ingeniería de Detalles: Normalización Taller de Camiones</t>
  </si>
  <si>
    <t>SH-0328</t>
  </si>
  <si>
    <t>O-1640</t>
  </si>
  <si>
    <t>Marco García A.</t>
  </si>
  <si>
    <t xml:space="preserve">marco.garcia@angloamerican.com </t>
  </si>
  <si>
    <t>Ingeniería Tubing Definitivo ECMP</t>
  </si>
  <si>
    <t>5 Semanas</t>
  </si>
  <si>
    <t>PVZ preguntará a Marco García. 11/01</t>
  </si>
  <si>
    <t>O-1639</t>
  </si>
  <si>
    <t>CAP Minería</t>
  </si>
  <si>
    <t xml:space="preserve"> e_pochoa@pe.cmp.cl</t>
  </si>
  <si>
    <t>Ingeniería Cierre Edificio Chancador Primario</t>
  </si>
  <si>
    <t>Néstor Vargas</t>
  </si>
  <si>
    <t>Detenida por CMP por redefinición de lineamientos</t>
  </si>
  <si>
    <t>O-1638</t>
  </si>
  <si>
    <t>franzisko.unzaga@arcadis.com</t>
  </si>
  <si>
    <t>Asesoría Especializada PEM Sistemas Conducción y Depositación de Relaves Proyecto Quellaveco</t>
  </si>
  <si>
    <t>SH-0315</t>
  </si>
  <si>
    <t>O-1637</t>
  </si>
  <si>
    <t>Maurilio Messias Maciel</t>
  </si>
  <si>
    <t>Análise dos sistemas de bombeamento da Usina do Salobo – VALE</t>
  </si>
  <si>
    <t>Revisión 1. 8 Semanas</t>
  </si>
  <si>
    <t>SH-0321</t>
  </si>
  <si>
    <t>O-1636</t>
  </si>
  <si>
    <t>EC, EB e ED Bombeamento de Polpa e Sump da MOAGEM SLB I&amp;II – VALE</t>
  </si>
  <si>
    <t>12 semanas</t>
  </si>
  <si>
    <t>SH-0320</t>
  </si>
  <si>
    <t>O-1635</t>
  </si>
  <si>
    <t>Rediseño Fundaciones Sala Eléctrica - ODS16 / SH-0274</t>
  </si>
  <si>
    <t>Vanessa Veloso</t>
  </si>
  <si>
    <t>SH-0274 ODS16</t>
  </si>
  <si>
    <t>O-1634</t>
  </si>
  <si>
    <t>Respaldo Reducción Altura Pantalla Acústica - ODS14 / SH-0274</t>
  </si>
  <si>
    <t>Horas de JEJ</t>
  </si>
  <si>
    <t>SH-0274 ODS14</t>
  </si>
  <si>
    <t>O-1633</t>
  </si>
  <si>
    <t>Ingeniería Básica Avanzada Implementación TSF - Fase II - 160 ktpd</t>
  </si>
  <si>
    <t xml:space="preserve">13 Semanas   </t>
  </si>
  <si>
    <t>O-1632</t>
  </si>
  <si>
    <t>Ingeniería de Detalles Barrera Hidráulica Muro 6 y 7</t>
  </si>
  <si>
    <t>Revisión 4, incluye pozos. A partir del segundo semestre</t>
  </si>
  <si>
    <t>SH-0347</t>
  </si>
  <si>
    <t>O-1631</t>
  </si>
  <si>
    <t>Ingeniería de Detalles para Sistema de Transporte de Relaves 4165 Fase 2 y Sistema de Transporte de Relaves 4195</t>
  </si>
  <si>
    <t>Pablo Vásquez / Carla Tapia</t>
  </si>
  <si>
    <t>Adjudicada a Otro</t>
  </si>
  <si>
    <t>O-1630</t>
  </si>
  <si>
    <t>Licitación LO1501A - Ingeniería de Detalle para Sistema de Transporte de Relaves 4165 Fase 2 y Sistema de Transporte de Relaves 4195</t>
  </si>
  <si>
    <t>O-1629</t>
  </si>
  <si>
    <t>Sigdo Koppers</t>
  </si>
  <si>
    <t>Daniel Pagliero Caro</t>
  </si>
  <si>
    <t>daniel.pagliero@skic.com</t>
  </si>
  <si>
    <t>O-1628</t>
  </si>
  <si>
    <t>Echeverría Izquierdo</t>
  </si>
  <si>
    <t>Luciano Rebolledo Galán</t>
  </si>
  <si>
    <t>lrebolledo@eimontajes.cl</t>
  </si>
  <si>
    <t>Cliente desiste de participar por no aprobación de Directorio para presentar oferta</t>
  </si>
  <si>
    <t>O-1627</t>
  </si>
  <si>
    <t>Análisis Riesgo de Falla Botadero El Buitre - Cota de Laguna 232 msnm - ODS15 / SH-0274</t>
  </si>
  <si>
    <t xml:space="preserve">4 Semanas </t>
  </si>
  <si>
    <t>SH-0274 ODS15</t>
  </si>
  <si>
    <t>O-1626</t>
  </si>
  <si>
    <t>Actualización Informes de M&amp;C 7a Etapa Embalse Carén - ODS13 / SH-0274</t>
  </si>
  <si>
    <t xml:space="preserve">11 Semanas </t>
  </si>
  <si>
    <t>SH-0274 ODS13</t>
  </si>
  <si>
    <t>O-1625</t>
  </si>
  <si>
    <t>Natalia Campos</t>
  </si>
  <si>
    <t>Ingeniería de Factibilidad Nueva Planta Módulo Penco</t>
  </si>
  <si>
    <t>Claudio Zamorano</t>
  </si>
  <si>
    <t>O-1624</t>
  </si>
  <si>
    <t xml:space="preserve">Miguel Ángel Ruiz Jiménez </t>
  </si>
  <si>
    <t>miguel.ruiz@ryq.cl</t>
  </si>
  <si>
    <t>Apoyo a R&amp;Q Cubicaciones Ingeniería Espesador Sierra Gorda</t>
  </si>
  <si>
    <t>Para Master en diciembre. INC separado octubre y diciembre.</t>
  </si>
  <si>
    <t>SH-0314</t>
  </si>
  <si>
    <t>O-1623</t>
  </si>
  <si>
    <t>Héctor Guerra</t>
  </si>
  <si>
    <t>hguerra@cmp.cl</t>
  </si>
  <si>
    <t>Consultoría para Optimización de Procesos Operacionales - CMP</t>
  </si>
  <si>
    <t>Pasó a prospectos</t>
  </si>
  <si>
    <t>Está en prospectos para visita a la serena</t>
  </si>
  <si>
    <t>O-1622</t>
  </si>
  <si>
    <t>Ingeniería Obras Tempranas proyecto SAR La Brea</t>
  </si>
  <si>
    <t>8 Semanas</t>
  </si>
  <si>
    <t>O-1621</t>
  </si>
  <si>
    <t>jose.moreno@besalco.cl</t>
  </si>
  <si>
    <t>O-1620</t>
  </si>
  <si>
    <t>Claudio Pizarro</t>
  </si>
  <si>
    <t>claudio.pizarro.r@angloamerican.com</t>
  </si>
  <si>
    <t>Análisis de Laboratorio para Yesos</t>
  </si>
  <si>
    <t>O-1619</t>
  </si>
  <si>
    <t>Jose.Bozo@sgscm.cl</t>
  </si>
  <si>
    <t>Ingeniería Básica Proyecto Construcción 4ª Línea de Proceso</t>
  </si>
  <si>
    <t>Sistema Ariba indica Proceso Finalizado</t>
  </si>
  <si>
    <t>O-1618</t>
  </si>
  <si>
    <t>Procemax - Haiwang Hydrocyclones Co</t>
  </si>
  <si>
    <t>Codelco Chile</t>
  </si>
  <si>
    <t>Max Wedeles</t>
  </si>
  <si>
    <t xml:space="preserve"> max.wedeles@procemax.com</t>
  </si>
  <si>
    <t>Ingeniería, Asistencia y PEM Hidrociclones Rajo Inca</t>
  </si>
  <si>
    <t>Rodrigo Vera</t>
  </si>
  <si>
    <t>24 Semanas</t>
  </si>
  <si>
    <t>O-1617</t>
  </si>
  <si>
    <t>Servicios de Ingeniería Multidisciplinaria</t>
  </si>
  <si>
    <t>156 Semanas</t>
  </si>
  <si>
    <t>O-1616</t>
  </si>
  <si>
    <t>Carta Excusa. Vamos como subcontrato de Pipeline</t>
  </si>
  <si>
    <t>O-1615</t>
  </si>
  <si>
    <t>Revisión y Validación Ing. Det. Estación Bombeo Relave a TOVE IV "Dren Longitudinal" ODS-17 / SH-0274</t>
  </si>
  <si>
    <t>SH-0274 ODS17</t>
  </si>
  <si>
    <t>O-1614</t>
  </si>
  <si>
    <t>ID Trazado de Tuberías para Impulsión de Agua Recuperada desde Booster 2 hasta Booster 3</t>
  </si>
  <si>
    <t>Se respondieron consultas. Cómo asegurar lo de la tubería. Ctapia propone análisis teórico y en paralelo.</t>
  </si>
  <si>
    <t>Vicente Salinas. Hacer reunión con Caserones.</t>
  </si>
  <si>
    <t>O-1613</t>
  </si>
  <si>
    <t>José Bruce Dinarasarri</t>
  </si>
  <si>
    <t>jebruced@bechtel.com</t>
  </si>
  <si>
    <t>Revisión Independiente SPS Hamburgo Tailings Removal</t>
  </si>
  <si>
    <t>Francisco preguntará de vuelta de viaje a Perú. Bechtel pretende EPC. Falta bastante.</t>
  </si>
  <si>
    <t>O-1612</t>
  </si>
  <si>
    <t>Ignacio Fuentes Ortega</t>
  </si>
  <si>
    <t>ifuentes@jej.cl</t>
  </si>
  <si>
    <t>Estudio Fase Selección y Definición Proyecto Laguna Seca Tailings Strategy</t>
  </si>
  <si>
    <t xml:space="preserve"> J.E.J. decidió no continuar con el proceso  por un alto riesgo en la precisión de las estimaciones, que podría generar problemas de magnitud mayor si adjudicamos este Contrato.</t>
  </si>
  <si>
    <t>O-1611</t>
  </si>
  <si>
    <t>IC Mejoras Conducción desde Portezuelo a DLC1 y DLC2</t>
  </si>
  <si>
    <t>PVZ llamará a Rolando Moraga. 02/11/2022.</t>
  </si>
  <si>
    <t>O-1610</t>
  </si>
  <si>
    <t xml:space="preserve">Priscila Neves_CONTR </t>
  </si>
  <si>
    <t>C0608805@vale.com</t>
  </si>
  <si>
    <t>Projeto Executivo Adutora Fechos – VALE</t>
  </si>
  <si>
    <t>Dolglas preguntará semana del 07 de noviembre.</t>
  </si>
  <si>
    <t>O-1609</t>
  </si>
  <si>
    <t>Ingeniería de Detalles Caminos Tranque - SGSCM</t>
  </si>
  <si>
    <t xml:space="preserve">5 semanas. </t>
  </si>
  <si>
    <t>PVZ llamará a Rafael Rodríguez</t>
  </si>
  <si>
    <t>O-1608</t>
  </si>
  <si>
    <t>Ingeniería de Detalles Conducción Barrera Hidráulica - SGSCM</t>
  </si>
  <si>
    <t>SH-0271 ODT-06</t>
  </si>
  <si>
    <t>O-1607</t>
  </si>
  <si>
    <t xml:space="preserve">Ingeniería de Detalles Monorriel Underflow Clarificador- AAS </t>
  </si>
  <si>
    <t xml:space="preserve">3 semanas. </t>
  </si>
  <si>
    <t>Jorge Casanova preguntará a Claudio Pizarro</t>
  </si>
  <si>
    <t>O-1606</t>
  </si>
  <si>
    <t>Engenharia Detalhada Rejeitoduto Mina do Salobo – VALE</t>
  </si>
  <si>
    <t>12 Semanas. Revisión 1.</t>
  </si>
  <si>
    <t>SH-0336</t>
  </si>
  <si>
    <t>O-1605</t>
  </si>
  <si>
    <t>Informe CAPEX Proyecto Ingeniería de Detalles Transporte de Concentrado Colectivo desde columnas C6 y C7</t>
  </si>
  <si>
    <t>1 semana</t>
  </si>
  <si>
    <t>SH-0265 OS22</t>
  </si>
  <si>
    <t>O-1604</t>
  </si>
  <si>
    <t>e_cconstanzo@aguascap.cl</t>
  </si>
  <si>
    <t>Ingeniería Básica Estaciones Lanzadoras y Receptoras de Pig</t>
  </si>
  <si>
    <t>José Tomás Preguntará a Hernán de Aguas Cap por Estatus. Se adjudicaría 12/10.</t>
  </si>
  <si>
    <t>O-1603</t>
  </si>
  <si>
    <t>C0628600@vale.com</t>
  </si>
  <si>
    <t>EC e EB Tratamento de resíduos de polpa de minério de Fábrica – VALE</t>
  </si>
  <si>
    <t>Proyecto cancelado por el cliente.</t>
  </si>
  <si>
    <t>O-1602</t>
  </si>
  <si>
    <t>Víctor Otárola</t>
  </si>
  <si>
    <t>victor.otarola@angloamerican.com</t>
  </si>
  <si>
    <t>Extensión PEM Estación ECMP 20 KTPD</t>
  </si>
  <si>
    <t>SH-0276 (NOC 4)</t>
  </si>
  <si>
    <t>O-1601</t>
  </si>
  <si>
    <t>Tractebel</t>
  </si>
  <si>
    <t>CSN</t>
  </si>
  <si>
    <t>Lucas Mota</t>
  </si>
  <si>
    <t>lucas.mota@tractebel.engie.com</t>
  </si>
  <si>
    <t>Engenharia conceitual para os projetos de Adequação da Planta Central P4</t>
  </si>
  <si>
    <t>Cliente informa que oferta no cubre necesidades financieras establecidas contractualmente</t>
  </si>
  <si>
    <t>O-1600</t>
  </si>
  <si>
    <t>Ingeniería de Contraparte Proyecto Feed Proyectos Impulsión Agua de Mar SIAM 1 y SIAM 2</t>
  </si>
  <si>
    <t>Se envió presupuesto mensual por FEED (4 meses)</t>
  </si>
  <si>
    <t>Francisco  Martin en contacto permanente con JP Negroni.</t>
  </si>
  <si>
    <t>O-1599</t>
  </si>
  <si>
    <t>Diseño Mejoras Spigots Fase 0</t>
  </si>
  <si>
    <t>Se envió revisión 3. 9 semanas.</t>
  </si>
  <si>
    <t>SH-0271 ODT-07</t>
  </si>
  <si>
    <t>O-1598</t>
  </si>
  <si>
    <t>Evaluación Técnica Adquisición Sistema HighCap en Espesador R-2</t>
  </si>
  <si>
    <t>R&amp;Q informa que se adjudicó a RVIA</t>
  </si>
  <si>
    <t>David preguntará a José Rojas.</t>
  </si>
  <si>
    <t>O-1597</t>
  </si>
  <si>
    <t>Rubén Darío Cortés Larraguibel</t>
  </si>
  <si>
    <t>rdcortes@cmp.cl</t>
  </si>
  <si>
    <t>Servicio de Revisión de Ingeniería Proyecto Algarrobo Finos</t>
  </si>
  <si>
    <t>Enviada Propuesta Referencial en Revisión 1 según listado de CMP</t>
  </si>
  <si>
    <t>Revisar en 1 mes más (23/11)</t>
  </si>
  <si>
    <t>O-1596</t>
  </si>
  <si>
    <t>Diseño Conceptual Fusión Precipitado de Plata</t>
  </si>
  <si>
    <t>Buena probabilidad pero comienza en enero. 6 semanas.</t>
  </si>
  <si>
    <t>Esperar pago</t>
  </si>
  <si>
    <t>O-1595</t>
  </si>
  <si>
    <t>Avoca Engineers SpA</t>
  </si>
  <si>
    <t>Jon Engels</t>
  </si>
  <si>
    <t>jengels@tailpro.com</t>
  </si>
  <si>
    <t>Revisión Independiente Impulsión de Relaves Alta Densidad</t>
  </si>
  <si>
    <t>SH-0312</t>
  </si>
  <si>
    <t>O-1594</t>
  </si>
  <si>
    <t>Ingenierías Varias Mejoras Yesos - Alcance Electricidad/Instrumentación</t>
  </si>
  <si>
    <t>Comenzaría al terminar cosas pendientes. 4 Semanas.</t>
  </si>
  <si>
    <t>O-1593</t>
  </si>
  <si>
    <t>Lucas Franca</t>
  </si>
  <si>
    <t>lucas.franca@vale.com</t>
  </si>
  <si>
    <t>EC Relocação adutora, rejeitoduto e Rede elétrica de Viga</t>
  </si>
  <si>
    <t>10 semanas. Se envió revisión 1.</t>
  </si>
  <si>
    <t>SH-0289 OS-05</t>
  </si>
  <si>
    <t>O-1592</t>
  </si>
  <si>
    <t>Pablo Caviedes</t>
  </si>
  <si>
    <t>pablo.caviedes@angloamerican.com</t>
  </si>
  <si>
    <t>Contrato Marco Ingeniería Multidisciplinarias Menores</t>
  </si>
  <si>
    <t>Estado pendiente, revisado por TF en Ariba Sourcing el 22/2/2023</t>
  </si>
  <si>
    <t>O-1591</t>
  </si>
  <si>
    <t>Informe de Juicio Experto - Sistema Bombeo Arena Cicloneada - ODS12 / SH-0274</t>
  </si>
  <si>
    <t xml:space="preserve">3 Semanas </t>
  </si>
  <si>
    <t>SH-0274 ODS12</t>
  </si>
  <si>
    <t>O-1590</t>
  </si>
  <si>
    <t xml:space="preserve">Jonathan José Morgado Ponce </t>
  </si>
  <si>
    <t>Modificación Ingeniería de Detalles Pozos de Remediación La Brea</t>
  </si>
  <si>
    <t>SH-0265 OS21</t>
  </si>
  <si>
    <t>O-1589</t>
  </si>
  <si>
    <t>cristian.avendano@sgscm.cl</t>
  </si>
  <si>
    <t>Análisis Impacto Tercer Espesador en Transporte de Relaves</t>
  </si>
  <si>
    <t>SH-0271 ODT-05</t>
  </si>
  <si>
    <t>O-1588</t>
  </si>
  <si>
    <t>Actividades Adicionales - OS4 ID Pozos de Remediación la Brea</t>
  </si>
  <si>
    <t>SH-0265 OS04</t>
  </si>
  <si>
    <t>O-1587</t>
  </si>
  <si>
    <t>Zaldívar Muro y Depositación de Relaves</t>
  </si>
  <si>
    <t>Víctor Mendoza</t>
  </si>
  <si>
    <t>Se envió un listado de entregables con HH's "abultadas" según tarifas de contrato abierto de JEJ/CMZ. Reunión con CMZ 17/10. Nuevos alcances. Emitir Rev. 1</t>
  </si>
  <si>
    <t>SH-0313</t>
  </si>
  <si>
    <t>O-1586</t>
  </si>
  <si>
    <t>FARADAY SpA</t>
  </si>
  <si>
    <t>Estudio Alternativas de Trazados Acueducto</t>
  </si>
  <si>
    <t>S/I</t>
  </si>
  <si>
    <t>O-1585</t>
  </si>
  <si>
    <t>Nexa</t>
  </si>
  <si>
    <t>ID Bombeo a Pozas de Jarosita – Tetratech – Nexa Peru</t>
  </si>
  <si>
    <t>O-1584</t>
  </si>
  <si>
    <t xml:space="preserve">Informe Memoria Descriptiva Construcción Dump Leach </t>
  </si>
  <si>
    <t>SH-0265 OS19</t>
  </si>
  <si>
    <t>O-1583</t>
  </si>
  <si>
    <t>Verificación Hidráulica Aumento Capacidad de Porteo desde Tranque La Brea</t>
  </si>
  <si>
    <t>SH-0265 OS18</t>
  </si>
  <si>
    <t>O-1582</t>
  </si>
  <si>
    <t>Servicio de Revisión Independiente Tranque Ovejería</t>
  </si>
  <si>
    <t>PVZ preguntará a Luis Rebolledo</t>
  </si>
  <si>
    <t>O-1581</t>
  </si>
  <si>
    <t>Vinícius Rodrigues Neiva</t>
  </si>
  <si>
    <t>rodrigues@retaengenharia.com.br</t>
  </si>
  <si>
    <t>ED Caixa de Rejeito Barragem Sul Superior - VALE</t>
  </si>
  <si>
    <t>O-1580</t>
  </si>
  <si>
    <t>ID Reparación Piscina de Emergencia Área Hidrometalurgia</t>
  </si>
  <si>
    <t>10 semanas</t>
  </si>
  <si>
    <t>Vicente Salinas. Dejar status quo.</t>
  </si>
  <si>
    <t>O-1579</t>
  </si>
  <si>
    <t>Rodolfo Sejas</t>
  </si>
  <si>
    <t>rsejas@orvana.com</t>
  </si>
  <si>
    <t>Estudio de Revisión del Circuito CIC-Stripping-EW Au-Ag Existente</t>
  </si>
  <si>
    <t>SH-0290</t>
  </si>
  <si>
    <t>O-1578</t>
  </si>
  <si>
    <t>Estudio Trade Off alternativas anti congelamiento SILF AAS</t>
  </si>
  <si>
    <t>Comenzaría al terminar cosas pendientes, 5 semanas.</t>
  </si>
  <si>
    <t>O-1577</t>
  </si>
  <si>
    <t>Pendientes de SHIMIN - Evaluaciones Técnicas</t>
  </si>
  <si>
    <t>SH-0265 OS16</t>
  </si>
  <si>
    <t>O-1576</t>
  </si>
  <si>
    <t>César Parra</t>
  </si>
  <si>
    <t>Cesar.ParraV@teck.com</t>
  </si>
  <si>
    <t>Servicio Soporte Operacional de Especialistas y Técnicos SITF COM&amp;PEM</t>
  </si>
  <si>
    <t>O-1575</t>
  </si>
  <si>
    <t>Ingeniería de Contraparte Ing. Pref. Construcción Depósito de Relaves N°3 PFE Potrerillos</t>
  </si>
  <si>
    <t>O-1574</t>
  </si>
  <si>
    <t>Anays Díaz León</t>
  </si>
  <si>
    <t>adiazl@pelambres.cl</t>
  </si>
  <si>
    <t>Cursos de Entrenamiento Operacional 2022 STFT - MLP</t>
  </si>
  <si>
    <t>SH-0310</t>
  </si>
  <si>
    <t>O-1573</t>
  </si>
  <si>
    <t>John Paul Chan</t>
  </si>
  <si>
    <t>johnpaul.chan@bhp.com</t>
  </si>
  <si>
    <t>Ingeniería para Proyectos Menores SPENCE y CMCC</t>
  </si>
  <si>
    <t>No llegaron las respuestas. Se consultó por el proceso y se debía entregar propuesta al día siguiente.</t>
  </si>
  <si>
    <t>O-1572</t>
  </si>
  <si>
    <t>Actualización Manual de Operaciones 7ª Etapa Depósito Carén  - ODS11 / SH-0274</t>
  </si>
  <si>
    <t>SH-0274 ODS11</t>
  </si>
  <si>
    <t>O-1571</t>
  </si>
  <si>
    <t>Verificación de Bombas - Proyecto Pozos de Remediación La Brea</t>
  </si>
  <si>
    <t>SH-0265 OS15</t>
  </si>
  <si>
    <t>O-1570</t>
  </si>
  <si>
    <t>Solicitição de Solução Técnica para Lançamento do Rejeito Salobo - TAC 1</t>
  </si>
  <si>
    <t>SH-0289 OS-03</t>
  </si>
  <si>
    <t>O-1569</t>
  </si>
  <si>
    <t>Juan Herrera</t>
  </si>
  <si>
    <t>Juan.herrera@skic.com</t>
  </si>
  <si>
    <t>Servicio de Ingeniería de Detalles Procesos y Control Planta de Diésel</t>
  </si>
  <si>
    <t>Perdida por diferencia de 180% en HH's y 203% en $</t>
  </si>
  <si>
    <t>O-1568</t>
  </si>
  <si>
    <t>Ingeniería de Detalles Sistema de Recuperación de Aguas Bypass</t>
  </si>
  <si>
    <t>13 semanas. Se enviaron aclaraciones por HH's y tarifas.</t>
  </si>
  <si>
    <t>O-1567</t>
  </si>
  <si>
    <t>Jorge Ribeiro</t>
  </si>
  <si>
    <t xml:space="preserve"> jorge.ribeiro@vale.com</t>
  </si>
  <si>
    <t>Engenharia e análise do sistema de bombeamento de Minério da Mina de Viga</t>
  </si>
  <si>
    <t>8 semanas.
Rev 3 el dia 16-01-2024</t>
  </si>
  <si>
    <t>SH-0289 OS-04</t>
  </si>
  <si>
    <t>O-1566</t>
  </si>
  <si>
    <t>Marta Bastías</t>
  </si>
  <si>
    <t>mabastia@collahuasi.cl</t>
  </si>
  <si>
    <t>Actualización Manuales de Operaciones Mineroducto</t>
  </si>
  <si>
    <t>17 Semanas</t>
  </si>
  <si>
    <t>Pidieron aclaraciones. Esperar.</t>
  </si>
  <si>
    <t>O-1565</t>
  </si>
  <si>
    <t>Daniel Gallardo</t>
  </si>
  <si>
    <t>daniel.gallardo-externo@angloamerican.com</t>
  </si>
  <si>
    <t>Informe Aplicabilidad Requerimiento de Distancia Peligrosa para Depósito de Relaves Filtrados</t>
  </si>
  <si>
    <t>O-1564</t>
  </si>
  <si>
    <t>Servicios de Ingeniería Ciclones Tranque El Torito</t>
  </si>
  <si>
    <t>César Tapia informa que este tema pasó a la VP de AA y que se licitará.</t>
  </si>
  <si>
    <t>O-1563</t>
  </si>
  <si>
    <t>Minera Florida</t>
  </si>
  <si>
    <t>Ingeniería de Detalles Muro Inicio Fase 2 Depósito en Pasta</t>
  </si>
  <si>
    <t>R&amp;Q informa que no se adjudicó a R&amp;Q+SHIMIN. Sin información de adjudicado.</t>
  </si>
  <si>
    <t>O-1562</t>
  </si>
  <si>
    <t>Jaime Rand Rojas</t>
  </si>
  <si>
    <t>jaime.rand@aminerals.cl</t>
  </si>
  <si>
    <t>Servicio de Contraparte Proyecto Fase 15 SIPE</t>
  </si>
  <si>
    <t>Se unificó con la oferta O-1561</t>
  </si>
  <si>
    <t>O-1561</t>
  </si>
  <si>
    <t>Extensión Servicio de Contraparte para Superintendencia de Proyectos Estratégicos</t>
  </si>
  <si>
    <t>Revisión 2. Extensión del proyecto SH-0256 hasta noviembre de 2022. 4 meses.</t>
  </si>
  <si>
    <t>SH-0256</t>
  </si>
  <si>
    <t>O-1560</t>
  </si>
  <si>
    <t>Andres Jara</t>
  </si>
  <si>
    <t>34 Semanas</t>
  </si>
  <si>
    <t>Francisco preguntará a P&amp;A</t>
  </si>
  <si>
    <t>O-1559</t>
  </si>
  <si>
    <t>Rallingeniera</t>
  </si>
  <si>
    <t>Sandro Garrido Escobar</t>
  </si>
  <si>
    <t>Sandro.Garrido@worley.com</t>
  </si>
  <si>
    <t>Ingeniería de Perfil Impulsión Carbonato de Calcio a Alta Densidad</t>
  </si>
  <si>
    <t>O-1558</t>
  </si>
  <si>
    <t>Equinox</t>
  </si>
  <si>
    <t>Nibaldo Siqueira</t>
  </si>
  <si>
    <t>EB e ED Sistema de Bombeamento segunda Barragem</t>
  </si>
  <si>
    <t>12 Semanas</t>
  </si>
  <si>
    <t>Dolglas consultará.</t>
  </si>
  <si>
    <t>O-1557</t>
  </si>
  <si>
    <t>Estimación de Costos Línea de Agua 15 km El Zorro Project</t>
  </si>
  <si>
    <t>SH-0311</t>
  </si>
  <si>
    <t>O-1556</t>
  </si>
  <si>
    <t>Tiago Portela</t>
  </si>
  <si>
    <t>Tiago.Portela@vale.com</t>
  </si>
  <si>
    <t>Elaboração de Padrões – Oleoduto e Gasoduto</t>
  </si>
  <si>
    <t>SH-0235 OS04</t>
  </si>
  <si>
    <t>O-1555</t>
  </si>
  <si>
    <t>Daigo Shioyama</t>
  </si>
  <si>
    <t>daigo.shioyama@angloamerican.com</t>
  </si>
  <si>
    <t>Sistema de Impulsión de Pulpa desde Molienda a Planta CPF</t>
  </si>
  <si>
    <t>Mucho tiempo. Sin respuesta del Cliente.</t>
  </si>
  <si>
    <t>David preguntará a Daigo.</t>
  </si>
  <si>
    <t>O-1554</t>
  </si>
  <si>
    <t>Asesoría por Extensión de Fase 0</t>
  </si>
  <si>
    <t>Se aprobó la Etapa I. 4 semanas.</t>
  </si>
  <si>
    <t>SH-0308</t>
  </si>
  <si>
    <t>O-1553</t>
  </si>
  <si>
    <t>Revisión Ingeniería Detalles Repotenciamiento Sistema de Agua Recuperada La Brea</t>
  </si>
  <si>
    <t>SH-0265 OS20</t>
  </si>
  <si>
    <t>O-1552</t>
  </si>
  <si>
    <t>Contrato Marco Servicios de Ingeniería Proyectos Menores</t>
  </si>
  <si>
    <t>O-1551</t>
  </si>
  <si>
    <t>Wood Chile Ltd.</t>
  </si>
  <si>
    <t>Patricio Ruz</t>
  </si>
  <si>
    <t>patricio.ruz@woodplc.com</t>
  </si>
  <si>
    <t>Apoyo Consultor Relaves</t>
  </si>
  <si>
    <t>O-1550</t>
  </si>
  <si>
    <t>Ingeniería de Detalles Normalización y Mejoras Sistema Red De Incendio CH1 y Colector de Polvos</t>
  </si>
  <si>
    <t>10 Semanas</t>
  </si>
  <si>
    <t>O-1549</t>
  </si>
  <si>
    <t>Mogroup</t>
  </si>
  <si>
    <t>Antonio Oyanedel</t>
  </si>
  <si>
    <t>antonio.oyanedel@mogroup.com</t>
  </si>
  <si>
    <t>Licitación Contrato Marco Ingenierías Metso Outotec</t>
  </si>
  <si>
    <t>F. Martin consultó a Mogroup</t>
  </si>
  <si>
    <t>Francisco Martin consultará.</t>
  </si>
  <si>
    <t>O-1548</t>
  </si>
  <si>
    <t>SH-0265 OS23</t>
  </si>
  <si>
    <t>O-1547</t>
  </si>
  <si>
    <t xml:space="preserve">Ranulfo Mamani </t>
  </si>
  <si>
    <t>rmamani@orvana.com</t>
  </si>
  <si>
    <t>Evaluación del Estado Actual de los Equipos Existentes para Usar en el
Oxide StockPile Project OSP</t>
  </si>
  <si>
    <t>Sin información desde el Cliente</t>
  </si>
  <si>
    <t>O-1546</t>
  </si>
  <si>
    <t>Jaime Villagra</t>
  </si>
  <si>
    <t>jaime.villagra@bhp.com</t>
  </si>
  <si>
    <t>Contrato Marco Servicios de Ingeniería Estudios para proyectos Medium &amp; Large</t>
  </si>
  <si>
    <t>Falta de experiencia en Concentradora, Manejo de Materiales, Infraestructura</t>
  </si>
  <si>
    <t>O-1545</t>
  </si>
  <si>
    <t>Ingeniería de Detalles Habilitación Electromecánica Pozos PAF y PER</t>
  </si>
  <si>
    <t>SH-0265 OS17</t>
  </si>
  <si>
    <t>Se envio Complemento con fecha 20/02/2023</t>
  </si>
  <si>
    <t>O-1544</t>
  </si>
  <si>
    <t>Juan Manuel Silva</t>
  </si>
  <si>
    <t>Ingeniería Trampas El Soldado</t>
  </si>
  <si>
    <t>SH-0306</t>
  </si>
  <si>
    <t>O-1543</t>
  </si>
  <si>
    <t>Yamana Gold</t>
  </si>
  <si>
    <t>Desenvolvimento de Engenharia Conceitual Fase 4 Expansão de Planta Metalúrgica</t>
  </si>
  <si>
    <t>O-1542</t>
  </si>
  <si>
    <t>Andrea Albiña Guerra</t>
  </si>
  <si>
    <t>otiaalbina@eeccmlp.cl</t>
  </si>
  <si>
    <t>O-1541</t>
  </si>
  <si>
    <t>Jorge Portilla</t>
  </si>
  <si>
    <t>jorge.portilla@pucobre.cl</t>
  </si>
  <si>
    <t xml:space="preserve">Ingeniería Planta de Cal  </t>
  </si>
  <si>
    <t>SHIMIN fue muy caro</t>
  </si>
  <si>
    <t>O-1540</t>
  </si>
  <si>
    <t>Anllelina Rojas Vásquez</t>
  </si>
  <si>
    <t>arojasva@aminerals.cl</t>
  </si>
  <si>
    <t>Servicio Apoyo a la Gestión de Proyectos</t>
  </si>
  <si>
    <t>Falta de personal</t>
  </si>
  <si>
    <t>O-1539</t>
  </si>
  <si>
    <t>Servicio de Contraparte y Gestión de Ingeniería</t>
  </si>
  <si>
    <t>O-1538</t>
  </si>
  <si>
    <t>Estudio de Perfil Proyecto Aseguramiento de Suministro Hídrico División Salvador</t>
  </si>
  <si>
    <t>O-1537</t>
  </si>
  <si>
    <t>Jaime Eduardo Muñoz Duran</t>
  </si>
  <si>
    <t>jmunozd@caserones.cl</t>
  </si>
  <si>
    <t>Revisión Ingeniería Supresor de Ariete 1 y 2</t>
  </si>
  <si>
    <t>15 días</t>
  </si>
  <si>
    <t>O-1536</t>
  </si>
  <si>
    <t>Eloy garcía</t>
  </si>
  <si>
    <t>Revisión Experta Proyecto Impulsión Relaves a la Cola</t>
  </si>
  <si>
    <t>O-1535</t>
  </si>
  <si>
    <t>Ingeniería de Terreno y PEM
Oxide StockPile Project OSP</t>
  </si>
  <si>
    <t>O-1534</t>
  </si>
  <si>
    <t xml:space="preserve">Proyecmetal
</t>
  </si>
  <si>
    <t>René Burgos / Luis Guzmán</t>
  </si>
  <si>
    <t>rburgos@proyecmetal.cl</t>
  </si>
  <si>
    <t>Revisión Experta de Ingeniería Proyecto Montaje Electromecánico MIC 6 y 7</t>
  </si>
  <si>
    <t>O-1533</t>
  </si>
  <si>
    <t xml:space="preserve">
ProWerks Ltda.
</t>
  </si>
  <si>
    <t>mrios@prowerks.cl</t>
  </si>
  <si>
    <t>Ingeniería Detalles Líneas paralelas y Automáticas Piscinas de Recuperación de Concentrado Plantas LT1 y LT2</t>
  </si>
  <si>
    <t>O-1532</t>
  </si>
  <si>
    <t>Ingeniería Detalles Cambio Bombas Peristálticas Alimentación Filtros de Concentrado Planta LT1</t>
  </si>
  <si>
    <t>O-1531</t>
  </si>
  <si>
    <t>Grupo SK</t>
  </si>
  <si>
    <t>Asesoría para Permisos para Implementar Desvío Vial a Ruta 5</t>
  </si>
  <si>
    <t>O-1530</t>
  </si>
  <si>
    <t>Trade Off Transporte Mina Planta</t>
  </si>
  <si>
    <t>César Tapia informa que este tema por el momento no se realizará.</t>
  </si>
  <si>
    <t>O-1529</t>
  </si>
  <si>
    <t>Daniel Vicente Gaponov Medina</t>
  </si>
  <si>
    <t>Arata Arata Com. Ltda.</t>
  </si>
  <si>
    <t>dagaponovm@gmail.com</t>
  </si>
  <si>
    <t>Proyecto Modificación Cauce, Villa Alemana</t>
  </si>
  <si>
    <t>Daniela preguntará.</t>
  </si>
  <si>
    <t>O-1528</t>
  </si>
  <si>
    <t>GRT ING</t>
  </si>
  <si>
    <t>IC Sistema Contraincendios Relaves Filtrados de Planta de Pellets</t>
  </si>
  <si>
    <t>Claudio Muñoz</t>
  </si>
  <si>
    <t>SH-0305</t>
  </si>
  <si>
    <t>O-1527</t>
  </si>
  <si>
    <t>CE-001 Ingeniería de Prefactibilidad Proyecto Desarrollo Caren</t>
  </si>
  <si>
    <t>Falta de experiencia para el alcance solicitado. Desarrollo de proyectos con Capex mayor a MUSD400</t>
  </si>
  <si>
    <t>O-1526</t>
  </si>
  <si>
    <t>Servicio de Instalación Sistemas Extinción de Incendio - DET</t>
  </si>
  <si>
    <t>NA</t>
  </si>
  <si>
    <t>Fuera del alcance de SHIMIN</t>
  </si>
  <si>
    <t>O-1525</t>
  </si>
  <si>
    <t>Ingeniería para Compras Estación de Ciclones El Torito</t>
  </si>
  <si>
    <t>César Tapia informa que este tema pasó a la VP de AA y que se asignó a otro consultor.</t>
  </si>
  <si>
    <t>O-1524</t>
  </si>
  <si>
    <t>Estudo de Trade off - Sistema de Limpeza de Linha de Distribuição de Pasta</t>
  </si>
  <si>
    <t>O-1523</t>
  </si>
  <si>
    <t>Asesoría y Supervisión técnica pruebas "Performance Test" para el Proyecto STWM</t>
  </si>
  <si>
    <t>O-1522</t>
  </si>
  <si>
    <t>Skava</t>
  </si>
  <si>
    <t>Opciones de Suministro de Agua Alternativas a desaladora de Aguas Pacífico a Las Tórtolas - Skava - AALB</t>
  </si>
  <si>
    <t>Hugo consulta a Marco de Skava</t>
  </si>
  <si>
    <t>O-1521</t>
  </si>
  <si>
    <t xml:space="preserve"> Servicio de Ingenierías Operación Plantas DET - Codelco DET</t>
  </si>
  <si>
    <t>Esperar proceso Ariba. David verificará en portal.</t>
  </si>
  <si>
    <t>O-1520</t>
  </si>
  <si>
    <t>Danitza Carvajal Mujica</t>
  </si>
  <si>
    <t>otidcarvajal@eeccmlp.cl</t>
  </si>
  <si>
    <t>Capacitación Operaciones INCO</t>
  </si>
  <si>
    <t>Costos. Consultar.</t>
  </si>
  <si>
    <t>O-1519</t>
  </si>
  <si>
    <t>MUSA</t>
  </si>
  <si>
    <t>EC Recuperação de Rejeitos Friáveis - Tetratech - MUSA</t>
  </si>
  <si>
    <t>4 semanas. Pidieron rebaja alrededor de 40%.</t>
  </si>
  <si>
    <t>O-1518</t>
  </si>
  <si>
    <t>Soporte Técnico Presentación Proyecto ECME Cota Final</t>
  </si>
  <si>
    <t xml:space="preserve">2 Semanas   </t>
  </si>
  <si>
    <t>SH-0302</t>
  </si>
  <si>
    <t>O-1517</t>
  </si>
  <si>
    <t>Carmen Suárez</t>
  </si>
  <si>
    <t>carmen.suarez@pucobre.cl</t>
  </si>
  <si>
    <t>Ingeniería de Factibilidad Planta de Magnetita</t>
  </si>
  <si>
    <t>21 semanas</t>
  </si>
  <si>
    <t>SH-0309</t>
  </si>
  <si>
    <t>O-1516</t>
  </si>
  <si>
    <t>Servicio Control QaQc Depósito de Relaves Pampa Pabellón</t>
  </si>
  <si>
    <t>O-1515</t>
  </si>
  <si>
    <t>O-1514</t>
  </si>
  <si>
    <t>Avaliação de segurança do sistema de água de processo das Usinas 1, 3 e 4 Carajás Serra Norte</t>
  </si>
  <si>
    <t>O-1513</t>
  </si>
  <si>
    <t>Ingeniería de Detalles Mejoramiento Conducción Gravitacional Aguas Contactadas Donoso Norte</t>
  </si>
  <si>
    <t>SH-0304</t>
  </si>
  <si>
    <t>O-1512</t>
  </si>
  <si>
    <t>Ingeniería Básica para Construcción
Oxide StockPile Project OSP - Cotizaciones a Firme Equipos Principales</t>
  </si>
  <si>
    <t>O-1511</t>
  </si>
  <si>
    <t>Actualización Ingeniería Mejoramiento en Transporte y Distribución de Relaves para 160 ktpd Nominal e informes de Prefactibilidad y Estudio de Factibilidad</t>
  </si>
  <si>
    <t>SH-0303</t>
  </si>
  <si>
    <t>O-1510</t>
  </si>
  <si>
    <t>Estudio Fase Selección Proyecto Laguna Seca Tailings Strategy</t>
  </si>
  <si>
    <t>JEJ avisa propuesta perdida</t>
  </si>
  <si>
    <t>O-1509</t>
  </si>
  <si>
    <t>Ingeniería Conceptual Dewatering Mina</t>
  </si>
  <si>
    <t>SH-0265 OS12</t>
  </si>
  <si>
    <t>O-1508</t>
  </si>
  <si>
    <t xml:space="preserve"> Servicios de Ingeniería Especialidades Agua y Relaves - CODELCO - Distrito Norte</t>
  </si>
  <si>
    <t>SH-0333</t>
  </si>
  <si>
    <t>O-1507</t>
  </si>
  <si>
    <t>Nueva Extensión Complemento Ingeniería Etapa Final Estación de Ciclones</t>
  </si>
  <si>
    <t>O-1506</t>
  </si>
  <si>
    <t>Santiago Metals</t>
  </si>
  <si>
    <t>Ingeniería de Detalles Habilitación Pozos Florida 1 y 2 en Estación carrera Pinto</t>
  </si>
  <si>
    <t>O-1505</t>
  </si>
  <si>
    <t>Engenharia Detalhada para Lavagem Inversa Mineroduto Gelado</t>
  </si>
  <si>
    <t>O-1504</t>
  </si>
  <si>
    <t>Estudio Transiente línea de refino</t>
  </si>
  <si>
    <t>SH-0265 OS13</t>
  </si>
  <si>
    <t>O-1503</t>
  </si>
  <si>
    <t>Rolando Bazan</t>
  </si>
  <si>
    <t>rolando.bazan@minsur.com</t>
  </si>
  <si>
    <t>Revisión Experta Drop Boxes UM San Rafael</t>
  </si>
  <si>
    <t>O-1502</t>
  </si>
  <si>
    <t>Precalificación Ingeniería Prefactibilidad Proyecto Sistema de Agua Recirculada  Tranque Ovejería a Cordillera</t>
  </si>
  <si>
    <t>O-1501</t>
  </si>
  <si>
    <t>RYQ-Concesiones</t>
  </si>
  <si>
    <t>Adicionales Fase II Ingeniería Básica Avanzada Planta Desaladora IV Región Coquimbo</t>
  </si>
  <si>
    <t>IBA</t>
  </si>
  <si>
    <t>Se envió Oferta Original Ampliada y una Oferta Alternativa incluyendo la Planta Desaladora</t>
  </si>
  <si>
    <t>SH-0324 OS-01</t>
  </si>
  <si>
    <t>O-1500</t>
  </si>
  <si>
    <t>Ingeniería Estación de Ciclones El Torito</t>
  </si>
  <si>
    <t>30 semanas</t>
  </si>
  <si>
    <t>O-1499</t>
  </si>
  <si>
    <t>Precalificación Servicio Contraparte y Apoyo Técnico GPR</t>
  </si>
  <si>
    <t>O-1498</t>
  </si>
  <si>
    <t>ED Relocação Booster Adutora Timbopeba</t>
  </si>
  <si>
    <t>Dolglas pregunta por estado de oferta, cliente responde que fue adjudicada a otros.</t>
  </si>
  <si>
    <t>O-1497</t>
  </si>
  <si>
    <t>Servicio de Ingeniería Canal Superior Sur Tranque El Torito</t>
  </si>
  <si>
    <t>O-1496</t>
  </si>
  <si>
    <t>SNC LAVALIN</t>
  </si>
  <si>
    <t>Revisão do Memorial Descritivo do projeto Gelado</t>
  </si>
  <si>
    <t>SH-0223 ODS4</t>
  </si>
  <si>
    <t>O-1495</t>
  </si>
  <si>
    <t>Pongo</t>
  </si>
  <si>
    <t xml:space="preserve"> lrojas@caserones.cl</t>
  </si>
  <si>
    <t>Ingeniería Básica Sistema de Impulsión Concentrado de Hierro y Agua Recuperada Proyecto Pongo (Peru)</t>
  </si>
  <si>
    <t>O-1494</t>
  </si>
  <si>
    <t>ED Sistema de bombeamento de água potável ETA Rio do Peixe_VALE</t>
  </si>
  <si>
    <t>40 días</t>
  </si>
  <si>
    <t>O-1493</t>
  </si>
  <si>
    <t>Luis Rojas Pérez</t>
  </si>
  <si>
    <t>Ingeniería Fast Track Aumento Flujo Balsas a Reimpulsión y Plan B Sur</t>
  </si>
  <si>
    <t>PVZ preguntará a Luis Rojas.</t>
  </si>
  <si>
    <t>O-1492</t>
  </si>
  <si>
    <t>Extensión Complemento Ingeniería Etapa Final Estación de Ciclones</t>
  </si>
  <si>
    <t>Sin información de haberla ejecutado.</t>
  </si>
  <si>
    <t>SH-0292 NC1</t>
  </si>
  <si>
    <t>O-1491</t>
  </si>
  <si>
    <t>Adicionales Apoyo COM-PEM Estación ECMP 20 KTPD</t>
  </si>
  <si>
    <t>SH-0276 (NOC3)</t>
  </si>
  <si>
    <t>O-1490</t>
  </si>
  <si>
    <t>Stephan Matulic / María Montero</t>
  </si>
  <si>
    <t>stephan.matulic@bhp.com; Maria.A.Montero1@bhp.com</t>
  </si>
  <si>
    <t>Ingeniería de Terreno Diseño de Puntos de Muestreo</t>
  </si>
  <si>
    <t>Plazo 14 semanas. Se pidió nueva revisión por medio de correo electrónico</t>
  </si>
  <si>
    <t>O-1489</t>
  </si>
  <si>
    <t>Precalificación Ingeniería de Prefactibilidad Cierre de Depósitos de Relaves</t>
  </si>
  <si>
    <t>O-1488</t>
  </si>
  <si>
    <t>Ingenierías Varias Mejoras Yesos 2 de 2</t>
  </si>
  <si>
    <t>SH-0300</t>
  </si>
  <si>
    <t>O-1487</t>
  </si>
  <si>
    <t>Estudios Mejoras Estación de Ciclones El Torito</t>
  </si>
  <si>
    <t>O-1486</t>
  </si>
  <si>
    <t>Ingenierías Varias Mejoras Yesos 1 de 2</t>
  </si>
  <si>
    <t>SH-0307</t>
  </si>
  <si>
    <t>O-1485</t>
  </si>
  <si>
    <t>Josué Tapia</t>
  </si>
  <si>
    <t>jtapia@jej.cl</t>
  </si>
  <si>
    <t>Apoyo Eléctrico Ing. de Factibilidad Complementaria  “Normalización Red Contra Incendio Chancado Primario"</t>
  </si>
  <si>
    <t>O-1484</t>
  </si>
  <si>
    <t>Mosaic</t>
  </si>
  <si>
    <t>IC e IB de Sistema de Bombeo de Concentrado de Yeso y de Agua Ácida</t>
  </si>
  <si>
    <t>O-1483</t>
  </si>
  <si>
    <t>Cristián Henríquez</t>
  </si>
  <si>
    <t>cristian.henriquez@angloamerican.com</t>
  </si>
  <si>
    <t>Actualización Prefactibilidad B Estación Ciclones Muro Este Cota Final</t>
  </si>
  <si>
    <t>SH-0299</t>
  </si>
  <si>
    <t>O-1482</t>
  </si>
  <si>
    <t>Daniel Almasio</t>
  </si>
  <si>
    <t>IC Alimentación Sistemas Supresores de Polvo y Contra Incendios Planta Chancado desde PAF</t>
  </si>
  <si>
    <t>O-1481</t>
  </si>
  <si>
    <t>Alejandro Vera Gatica</t>
  </si>
  <si>
    <t xml:space="preserve">AVera019@codelco.cl&gt; </t>
  </si>
  <si>
    <t>IC Vulnerabilidades Sistema de Conducción de Relaves - Nota de Cambio N°2</t>
  </si>
  <si>
    <t>SH-0280 (NOC 2)</t>
  </si>
  <si>
    <t>O-1480</t>
  </si>
  <si>
    <t>Modificaciones Proyecto OS04 por Cambio de Estanque en Pozos de Remediación La Brea</t>
  </si>
  <si>
    <t>2 semanas. Se emitió revisión 1 incluyendo Filosofía de Operación y Control</t>
  </si>
  <si>
    <t>SH-0265 OS06</t>
  </si>
  <si>
    <t>O-1479</t>
  </si>
  <si>
    <t>Benjamín Villalobos Villalobos</t>
  </si>
  <si>
    <t>Ingeniería de Terreno Proyecto SIAM-MET</t>
  </si>
  <si>
    <r>
      <t>24 semanas. Se envió 5</t>
    </r>
    <r>
      <rPr>
        <vertAlign val="superscript"/>
        <sz val="10"/>
        <rFont val="Calibri"/>
        <family val="2"/>
        <scheme val="minor"/>
      </rPr>
      <t>a</t>
    </r>
    <r>
      <rPr>
        <sz val="10"/>
        <rFont val="Calibri"/>
        <family val="2"/>
        <scheme val="minor"/>
      </rPr>
      <t xml:space="preserve"> aclaración por rebaja de HH's y GG. Perdida por precio.</t>
    </r>
  </si>
  <si>
    <t>O-1478</t>
  </si>
  <si>
    <t>Estudio Conceptual Transporte de Relaves con Materialidad de Tuberías Actualizada</t>
  </si>
  <si>
    <t>Jorge Casanova / Pedro Valencia</t>
  </si>
  <si>
    <t>SH-0297</t>
  </si>
  <si>
    <t>O-1477</t>
  </si>
  <si>
    <t>Cerro Bayo</t>
  </si>
  <si>
    <t>Leonardo González</t>
  </si>
  <si>
    <t xml:space="preserve"> l.gonzalez@equusmining.cl</t>
  </si>
  <si>
    <t>Ingeniería Conceptual Transporte de Relaves Espesados Cerro Bayo</t>
  </si>
  <si>
    <t>O-1476</t>
  </si>
  <si>
    <t>Modificaciones de Planos Proyecto Pozos de Remediación El Tambo</t>
  </si>
  <si>
    <t>SH-0265 OS11</t>
  </si>
  <si>
    <t>O-1475</t>
  </si>
  <si>
    <t>Extensión Apoyo Back Office e Ingeniería de Terreno Estación ECMP 20 KTPD</t>
  </si>
  <si>
    <t>Revisar si están incluidas las extensiones hasta el 30 de septiembre. NOC 1 en marzo y NOC 2 en julio</t>
  </si>
  <si>
    <t>SH-0276 (NOC 2)</t>
  </si>
  <si>
    <t>SH-0276 (NOC 1)</t>
  </si>
  <si>
    <t>O-1474</t>
  </si>
  <si>
    <t>Camila Garcés Mundaca</t>
  </si>
  <si>
    <t>camila.garces@teck.com</t>
  </si>
  <si>
    <t>Servicio de Apoyo Experto PEM</t>
  </si>
  <si>
    <t>24 semanas. Se envió aclaración N°7 por rebaja de GG</t>
  </si>
  <si>
    <t>SH-0316</t>
  </si>
  <si>
    <t>O-1473</t>
  </si>
  <si>
    <t>Servicio de Ingenierías Capex y Opex</t>
  </si>
  <si>
    <t>Faltó mayor experiencia demostrable en plantas de chancado y plantas hidrometalúrgicas</t>
  </si>
  <si>
    <t>O-1472</t>
  </si>
  <si>
    <t>Ingeniería de Prefactibilidad Lixiviación de Ripios y Recursos Artificiales</t>
  </si>
  <si>
    <t>O-1471</t>
  </si>
  <si>
    <t>Ingeniería de Terreno Restitución Sistema Impulsión Matadero - DET - CODELCO</t>
  </si>
  <si>
    <t>24 semanas. Perdida por precio detrás de P&amp;A.</t>
  </si>
  <si>
    <t>O-1470</t>
  </si>
  <si>
    <t>Engenharia conceitual para os projetos de Adequação da Planta Central P5+ e Planta de Itabirito P4+ para a disciplina de tubulação</t>
  </si>
  <si>
    <t>SH-0301</t>
  </si>
  <si>
    <t>Cliente solicitó cambios en el tiempo de ejecución del proyecto que no fueron acordados. Proyecto no se realizó.</t>
  </si>
  <si>
    <t>O-1469</t>
  </si>
  <si>
    <t>Adicionales ID Habilitación de los nuevos Pozos RE2-A  (F2A) y RE3-A (F3A)</t>
  </si>
  <si>
    <t>Se ofrecieron actividades complementarias de 120 HH por un valor de 164 UF. Se aceptó oferta por el total.</t>
  </si>
  <si>
    <t>SH-0265 OS05</t>
  </si>
  <si>
    <t>O-1468</t>
  </si>
  <si>
    <t xml:space="preserve">Ronal Caro </t>
  </si>
  <si>
    <t>Adicionales Plan de Descontaminación Atmosférica de Calama para División Chuquicamata</t>
  </si>
  <si>
    <t>3 meses</t>
  </si>
  <si>
    <t>O-1467</t>
  </si>
  <si>
    <t>Revisión Experta Procesos Plantas SAG/Convencional</t>
  </si>
  <si>
    <t>R&amp;Q informa que no se adjudicó a SHIMIN. Adjudicado a Mario Arredondo.</t>
  </si>
  <si>
    <t>O-1466</t>
  </si>
  <si>
    <t>Revisión Experta Hidráulica Plantas SAG/Convencional</t>
  </si>
  <si>
    <t>6 meses</t>
  </si>
  <si>
    <t>SH-0298</t>
  </si>
  <si>
    <t>O-1465</t>
  </si>
  <si>
    <t>ID e IT Obras Electromecánicas y Sistema de Monitoreo y Control IX Etapa Muros Talabre</t>
  </si>
  <si>
    <t>ID/IT</t>
  </si>
  <si>
    <t>Al parecer adjudicada a P&amp;A. Averiguar más detalles.</t>
  </si>
  <si>
    <t>O-1464</t>
  </si>
  <si>
    <t>Engenharia para Elaboração de Projetos Conceitual e Básico no Site da Mineração</t>
  </si>
  <si>
    <t>O-1463</t>
  </si>
  <si>
    <t>Ingeniería Automatización Válvulas Pozos WP03 y WP04</t>
  </si>
  <si>
    <t>SH-0265 OS09</t>
  </si>
  <si>
    <t>O-1462</t>
  </si>
  <si>
    <t>Complemento Ingeniería Etapa Final Estación de Ciclones</t>
  </si>
  <si>
    <t>Se envió revisión 2. 4 semanas.</t>
  </si>
  <si>
    <t>SH-0292</t>
  </si>
  <si>
    <t>O-1461</t>
  </si>
  <si>
    <t>Diseño Línea de Emergencia LT1 Gravitacional a la Cola</t>
  </si>
  <si>
    <t>Se emitió revisión 1 solo con lo ejecutado por detención de la ingeniería por parte del cliente.</t>
  </si>
  <si>
    <t>SH-0293</t>
  </si>
  <si>
    <t>O-1460</t>
  </si>
  <si>
    <t>Antucoya</t>
  </si>
  <si>
    <t xml:space="preserve"> hdelajara@cosapi.cl</t>
  </si>
  <si>
    <t>EPC Sistema Control de Polvo Fase I Minera Antucoya</t>
  </si>
  <si>
    <t>O-1459</t>
  </si>
  <si>
    <t>rene.lagas@angloamerican.com</t>
  </si>
  <si>
    <t>Alternativas de Mejoras Transporte de Arenas Muro Tranque El Torito</t>
  </si>
  <si>
    <t>Hernán Castro / Jorge Casanova</t>
  </si>
  <si>
    <t>SH-0294</t>
  </si>
  <si>
    <t>O-1458</t>
  </si>
  <si>
    <t>Terquim S.A.</t>
  </si>
  <si>
    <t>Leticia López</t>
  </si>
  <si>
    <t>leticia.lopez@odfjellterminals.cl</t>
  </si>
  <si>
    <t>Ingeniería Básica Estanques Bay 4</t>
  </si>
  <si>
    <t>O-1457</t>
  </si>
  <si>
    <t>Hertz Gonzalez La Rosa</t>
  </si>
  <si>
    <t xml:space="preserve"> hgonzalez@cosapi.com.pe</t>
  </si>
  <si>
    <t>Servicio de Revisión de Ingeniería de  Vendor del proyecto W1 Antamina</t>
  </si>
  <si>
    <t>9 meses</t>
  </si>
  <si>
    <t>O-1456</t>
  </si>
  <si>
    <t>Estudio de Arco Eléctrico ID ECMP 20 ktpd</t>
  </si>
  <si>
    <t>SH-0288</t>
  </si>
  <si>
    <t>O-1455</t>
  </si>
  <si>
    <t>RYQ-Conseciones</t>
  </si>
  <si>
    <t>Planta Desaladora IV Región Coquimbo</t>
  </si>
  <si>
    <t>Se actualizó con Oferta O-1501</t>
  </si>
  <si>
    <t>O-1454</t>
  </si>
  <si>
    <t>Katherine Viveros</t>
  </si>
  <si>
    <t>katherine.viveros@arcadis.com</t>
  </si>
  <si>
    <t>Apoyo Profesionales en Terreno</t>
  </si>
  <si>
    <t>Se entregó tarifa por mes</t>
  </si>
  <si>
    <t>O-1453</t>
  </si>
  <si>
    <t>ECSA</t>
  </si>
  <si>
    <t>Ingeniero de Registro</t>
  </si>
  <si>
    <t>Averiguar con Benalcázar. 24 Semanas.</t>
  </si>
  <si>
    <t>PVZ preguntará a Benalcázar</t>
  </si>
  <si>
    <t>O-1452</t>
  </si>
  <si>
    <t>Plan de Descontaminación Atmosférica de Calama para División Chuquicamata</t>
  </si>
  <si>
    <t>Se emitió Revisión 1.</t>
  </si>
  <si>
    <t>SH-0291</t>
  </si>
  <si>
    <t>O-1451</t>
  </si>
  <si>
    <t>ICP Ingeniería</t>
  </si>
  <si>
    <t>Fernando González</t>
  </si>
  <si>
    <t>Adicionales Proyecto Eléctrico Planta Piloto SN</t>
  </si>
  <si>
    <t xml:space="preserve">SH-0288 </t>
  </si>
  <si>
    <t>O-1450</t>
  </si>
  <si>
    <t>Soporte Técnico Ingeniería Pampa Norte</t>
  </si>
  <si>
    <t>O-1449</t>
  </si>
  <si>
    <t>Estudio Trade off y Análisis de Congelamiento de Líneas sistema supresor de polvo y contraincendios Rev 0</t>
  </si>
  <si>
    <t>SH-0265 OS07</t>
  </si>
  <si>
    <t>O-1448</t>
  </si>
  <si>
    <t>Ingeniería de Detalles Cambio de Salas CT34 y 201 - CMZ</t>
  </si>
  <si>
    <t>150 días</t>
  </si>
  <si>
    <t>O-1447</t>
  </si>
  <si>
    <t>Minera Buenaventura</t>
  </si>
  <si>
    <t>Ingeniería de Prefactibilidad Planta de Relleno en Pasta</t>
  </si>
  <si>
    <t>28 semanas</t>
  </si>
  <si>
    <t>O-1446</t>
  </si>
  <si>
    <t>O-1445</t>
  </si>
  <si>
    <t>Revisión de Diseño Hidráulico Mejoramiento Recuperación de Agua Espesador de Relaves R-2</t>
  </si>
  <si>
    <t>R&amp;Q informa que no se adjudicó a SHIMIN. Sin información de adjudicado.</t>
  </si>
  <si>
    <t>O-1444</t>
  </si>
  <si>
    <t>Revisão técnica independente Bombeamento de rejeito da barragem B3/B4 para cava da Mutuca</t>
  </si>
  <si>
    <t>150 días. Se envió revisión 4 disminuyendo el alcance.</t>
  </si>
  <si>
    <t>SH-0296</t>
  </si>
  <si>
    <t>O-1443</t>
  </si>
  <si>
    <t>Revisão técnica independente Bombeamento de rejeito da barragem BSS para cava de Gongo Soco</t>
  </si>
  <si>
    <t>SH-0295</t>
  </si>
  <si>
    <t>O-1442</t>
  </si>
  <si>
    <t>Solicitan 10 proyectos multidisciplinarios en los últimos 5 años y con a lo menos 25.000 HH cada uno.</t>
  </si>
  <si>
    <t>O-1441</t>
  </si>
  <si>
    <t>alejandra.martin@aminerals.cl</t>
  </si>
  <si>
    <t>Servicio de Contraparte para Superintendencia de Proyectos Estratégicos</t>
  </si>
  <si>
    <t>Plazo 24 semanas. Se negoció como una extensión del proyecto SH-0256.</t>
  </si>
  <si>
    <t>SH-0256 (Extensión Agosto-Noviembre 2022)</t>
  </si>
  <si>
    <t>O-1440</t>
  </si>
  <si>
    <t xml:space="preserve">Ingeniería Fast Track / Mejoras TK-001 Periodo Invierno 2022 </t>
  </si>
  <si>
    <t>Cliente pidió menos tiempo de ejecución. No fue posible disminuir plazo.</t>
  </si>
  <si>
    <t>O-1439</t>
  </si>
  <si>
    <t>Alcances Adicionales IC Vulnerabilidades Canaleta de Relaves: Vulnerabilidades Sello de Fundación de la Canaleta de Relaves en Cascada N°9</t>
  </si>
  <si>
    <t>Se fusionó en O-1434</t>
  </si>
  <si>
    <t>O-1438</t>
  </si>
  <si>
    <t>Alcances Adicionales IC Vulnerabilidades Canaleta de Relaves: Verificación Sistema de Bombeo Barahona Nivel Freático Muro 2</t>
  </si>
  <si>
    <t>O-1437</t>
  </si>
  <si>
    <t>Alcances Adicionales IC Vulnerabilidades Canaleta de Relaves: Impactos en SCR por Cambio Climático</t>
  </si>
  <si>
    <t>O-1436</t>
  </si>
  <si>
    <t xml:space="preserve">Codelco </t>
  </si>
  <si>
    <t>Desarrollo de Estudios de Proposición</t>
  </si>
  <si>
    <t>Ipref/IB</t>
  </si>
  <si>
    <t>Solo información sobre un ejemplo de Iniciativas Privadas del Sistema de Concesiones de Obras Públicas</t>
  </si>
  <si>
    <t>O-1435</t>
  </si>
  <si>
    <t>Laboratório Mineroduto</t>
  </si>
  <si>
    <t>SH-0289 OS-02</t>
  </si>
  <si>
    <t>O-1434</t>
  </si>
  <si>
    <t>Alcances Adicionales IC Vulnerabilidades Canaleta de Relaves: Varios Administración (Reuniones)</t>
  </si>
  <si>
    <t xml:space="preserve">20 semanas. Se fusionó Oferta con O-1437/1438/1439, dejando estas últimas como NL. </t>
  </si>
  <si>
    <t>SH-0280 Nota de Cambio N°1</t>
  </si>
  <si>
    <t>O-1433</t>
  </si>
  <si>
    <t>Ingeniería de Tranques, Fluidos e Integridad de Ductos</t>
  </si>
  <si>
    <t>Falta de anos de experiencia general de la empresa (15 años)</t>
  </si>
  <si>
    <t>O-1432</t>
  </si>
  <si>
    <t>Ingeniería Básica para Construcción Oxide StockPile Project OSP</t>
  </si>
  <si>
    <t>Juan Carlos Tapia</t>
  </si>
  <si>
    <t>Nos adjudicaron el solo circuito Au-Ag dejando el circuito de Cu a otro proponente.</t>
  </si>
  <si>
    <t>O-1431</t>
  </si>
  <si>
    <t>R&amp;Q informa que no se adjudicó a SHIMIN. Adjudicado a Geotecnia Ambiental.</t>
  </si>
  <si>
    <t>O-1430</t>
  </si>
  <si>
    <t>Scoping Study Alternativas de Conducción de Agua Desalada, Proyecto Kinross</t>
  </si>
  <si>
    <t>SE</t>
  </si>
  <si>
    <t>14 Semanas</t>
  </si>
  <si>
    <t>O-1429</t>
  </si>
  <si>
    <t>Ingeniería de Detalles de las Obras de Protección del Estribo Derecho</t>
  </si>
  <si>
    <t>SH-0274 ODS03</t>
  </si>
  <si>
    <t>O-1428</t>
  </si>
  <si>
    <t>Ingeniería para Reposicionamiento del Sistema de Dilución por Turbinas</t>
  </si>
  <si>
    <t>Esperando input del cliente</t>
  </si>
  <si>
    <t>O-1427</t>
  </si>
  <si>
    <t>Eduardo Mella</t>
  </si>
  <si>
    <t>eduardom@ide-tech.com</t>
  </si>
  <si>
    <t>Ingeniería constructiva de detalle para el pipeline terrestre
Emisario-Inmisario</t>
  </si>
  <si>
    <t>O-1426</t>
  </si>
  <si>
    <t>Sergio Díaz Hervas</t>
  </si>
  <si>
    <t>Ingeniería Conceptual Aseguramiento Hídrico</t>
  </si>
  <si>
    <t xml:space="preserve">Edmundo Abad  </t>
  </si>
  <si>
    <t>Tardía asignación de recursos para preparar Oferta</t>
  </si>
  <si>
    <t>O-1425</t>
  </si>
  <si>
    <t>Ingeniería de Detalles y de Terreno – Dren Longitudinal 8, Estación de Ciclones y Obras Diferidas Sobre Cota 648 msnm</t>
  </si>
  <si>
    <t>ID e IT</t>
  </si>
  <si>
    <t>20 meses</t>
  </si>
  <si>
    <t>O-1424</t>
  </si>
  <si>
    <t>RSA</t>
  </si>
  <si>
    <t>Schwager</t>
  </si>
  <si>
    <t>Marcelo Bravo</t>
  </si>
  <si>
    <t>marcelo.bravo@rsa-tailings.cl</t>
  </si>
  <si>
    <t>Tecnología IoT.nxt para Tranque Ovejería</t>
  </si>
  <si>
    <t>Se emitió carta. No ha llegado respuesta.</t>
  </si>
  <si>
    <t>O-1423</t>
  </si>
  <si>
    <t>Pablo González</t>
  </si>
  <si>
    <t>Contrato Abierto Spence SGO</t>
  </si>
  <si>
    <t>PVZ llamar a P. González. Se anula código porque se abrió oferta con código O-1450.</t>
  </si>
  <si>
    <t>O-1422</t>
  </si>
  <si>
    <t>Fast Pack</t>
  </si>
  <si>
    <t>Enrique Escobar</t>
  </si>
  <si>
    <t>e.escobar@fastpack.cl</t>
  </si>
  <si>
    <t>Extracción de Isométricos Proyecto Mantoverde</t>
  </si>
  <si>
    <t>En espera de decisión del cliente de seguir en la preparación de oferta. No siguió el tema. Se da por no licitada.</t>
  </si>
  <si>
    <t>O-1421</t>
  </si>
  <si>
    <t>Asociación Canales de La Compañía</t>
  </si>
  <si>
    <t>Juan Ocaña</t>
  </si>
  <si>
    <t>Actualización Aumento de Capacidad Puente Romeral y Compuerta Carreño</t>
  </si>
  <si>
    <t>PVZ preguntar a Juan Ocaña</t>
  </si>
  <si>
    <t>O-1420</t>
  </si>
  <si>
    <t>Análise do projeto do Rejeitoduto de Fábrica</t>
  </si>
  <si>
    <t>O-1419</t>
  </si>
  <si>
    <t>Revisión Ingeniería de Detalles Cambio Sistema Motriz Espesador P1</t>
  </si>
  <si>
    <t>R&amp;Q informa que no se adjudicó a SHIMIN. Adjudicado a RVIA</t>
  </si>
  <si>
    <t>O-1418</t>
  </si>
  <si>
    <t>Lynn Carrasquero Cepeda</t>
  </si>
  <si>
    <t>lynn.carrasquero@pucobre.cl</t>
  </si>
  <si>
    <t>Ingeniería Planta de Cal y Reactivos</t>
  </si>
  <si>
    <t>Se emitió revisión 1 con menos alcance. 12 semanas</t>
  </si>
  <si>
    <t>O-1417</t>
  </si>
  <si>
    <t xml:space="preserve">Jaime Eduardo Muñoz Duran </t>
  </si>
  <si>
    <t>Revisión Ingeniería Reparación y Afianzamiento Línea Refino</t>
  </si>
  <si>
    <t>Se envió oferta sin costos. Jaime incluiría mayores alcances.</t>
  </si>
  <si>
    <t>O-1416</t>
  </si>
  <si>
    <t>ID Pozos de Remediación la Brea con Caudal Expandido Máximo 30 l/s</t>
  </si>
  <si>
    <t>O-1415</t>
  </si>
  <si>
    <t xml:space="preserve">Verificación Hidráulica de Sistema Existente </t>
  </si>
  <si>
    <t>SH-0289 OS-01</t>
  </si>
  <si>
    <t>O-1414</t>
  </si>
  <si>
    <t>Proyecto Eléctrico Planta Piloto SN</t>
  </si>
  <si>
    <t>O-1413</t>
  </si>
  <si>
    <t>Verificación Estructural Batería de Ciclones</t>
  </si>
  <si>
    <t>O-1412</t>
  </si>
  <si>
    <t>Inspección de Seguridad y Planificaciónl Mantenimiento  Fundición Caletones</t>
  </si>
  <si>
    <t>Falta de experiencia solicitada así como, del personal técnico</t>
  </si>
  <si>
    <t>O-1411</t>
  </si>
  <si>
    <t>EPC Muelle y STC Desarrollo Minero Centinela</t>
  </si>
  <si>
    <t>En espera definición de carta excusa</t>
  </si>
  <si>
    <t>O-1410</t>
  </si>
  <si>
    <t>hugo.andrade@skava.cl</t>
  </si>
  <si>
    <t>Apoyo Hidráulica/Piping/Costos IPref. B Túnel Aguas Azules</t>
  </si>
  <si>
    <t>Se envió revisión 2. 8 Semanas</t>
  </si>
  <si>
    <t>O-1409</t>
  </si>
  <si>
    <t>Oscar Díaz</t>
  </si>
  <si>
    <t>o.diaz@icpingenieria.cl</t>
  </si>
  <si>
    <t>Servicios de Ingeniería</t>
  </si>
  <si>
    <t>Sin antecedentes</t>
  </si>
  <si>
    <t>O-1408</t>
  </si>
  <si>
    <t>Ingeniería Conceptual Canaleta de Flotación</t>
  </si>
  <si>
    <t>Se envió revisión 1 Plazo 12 semanas</t>
  </si>
  <si>
    <t>SH-0265 OS10</t>
  </si>
  <si>
    <t>O-1407</t>
  </si>
  <si>
    <t>Ingeniería de Detalles Mejoramiento Condiciones Planta Molibdeno</t>
  </si>
  <si>
    <t>Se enviaron Aclaraciones Técnicas (10/01/2022). Plazo 18 semanas</t>
  </si>
  <si>
    <t>O-1406</t>
  </si>
  <si>
    <t>FEPASA</t>
  </si>
  <si>
    <t>Pablo Carpanetti Anaiz</t>
  </si>
  <si>
    <t>pablo.carpanetti@fepasa.com</t>
  </si>
  <si>
    <t>Ingeniería Básica de Ductos para Transporte de Agua Industrial</t>
  </si>
  <si>
    <t>Edmundo Abad / David Cerón</t>
  </si>
  <si>
    <t>O-1405</t>
  </si>
  <si>
    <t>Planos As-Built Spigots</t>
  </si>
  <si>
    <t>SH-0271 ODT-02</t>
  </si>
  <si>
    <t>O-1404</t>
  </si>
  <si>
    <t>Aldo Campi</t>
  </si>
  <si>
    <t>aldo.campi@angloamerican.com</t>
  </si>
  <si>
    <t>Ingeniería Conceptual Diagrama de Flujos de Procesos Detallado Las Tórtolas</t>
  </si>
  <si>
    <t>SH-0285</t>
  </si>
  <si>
    <t>O-1403</t>
  </si>
  <si>
    <t>Trade Off Alternativas Mejoramiento Transporte de Relaves Alta Densidad Santo Domingo</t>
  </si>
  <si>
    <t>SH-0286</t>
  </si>
  <si>
    <t>O-1402</t>
  </si>
  <si>
    <t>Revisión Hidráulica Conducción de Relaves Underflow en Espesador de Relaves R-2</t>
  </si>
  <si>
    <t>R&amp;Q informa que ODS fue declarada desierta por Área Usuaria</t>
  </si>
  <si>
    <t>O-1401</t>
  </si>
  <si>
    <t>Ingeniería de Detalles Hidroneumático Refino en Cámara N°8</t>
  </si>
  <si>
    <t>O-1400</t>
  </si>
  <si>
    <t>Revisión Experta Análisis Hidráulico Inyección Línea de Agua Fresca Sewell-Colón</t>
  </si>
  <si>
    <t>R&amp;Q informa que no se adjudicó a SHIMIN. Adjudicado a Rubén Salgado</t>
  </si>
  <si>
    <t>O-1399</t>
  </si>
  <si>
    <t>ID Protección contra Congelamiento Red de Agua Sector CH1</t>
  </si>
  <si>
    <t>Carlos Umaña</t>
  </si>
  <si>
    <t>Propuesta reemplazada por la O1449</t>
  </si>
  <si>
    <t>O-1398</t>
  </si>
  <si>
    <t>ID Protección contra Congelamiento Red de Incendio</t>
  </si>
  <si>
    <t>O-1397</t>
  </si>
  <si>
    <t>Cambio de Materialidad y Mejoramiento Condiciones Hidráulicas Pta. Moly</t>
  </si>
  <si>
    <t>O-1396</t>
  </si>
  <si>
    <t>Abengoa</t>
  </si>
  <si>
    <t>Claudio Pavez Balboa</t>
  </si>
  <si>
    <t>claudio.pavez@abengoa.com</t>
  </si>
  <si>
    <t>Ingeniería de Terreno Pozos Pedernales y Botadero de Ripios</t>
  </si>
  <si>
    <t>Se estimó una oferta bien global con muy pocas posibilidades.</t>
  </si>
  <si>
    <t>O-1395</t>
  </si>
  <si>
    <t>Modificación de planos ingeniería de los pozos de remedición el tambo, por cambio en nombre de pozos</t>
  </si>
  <si>
    <t>O-1394</t>
  </si>
  <si>
    <t>Información Adicional SH-0219
OS-06/OS-13/OS-16</t>
  </si>
  <si>
    <t>Pidieron rebaja solo para hacer Filosofías. 25-11-2021. Se envió Revisión 1 por tres filosofías.
4 semanas</t>
  </si>
  <si>
    <t>SH-0265 OS08</t>
  </si>
  <si>
    <t>O-1393</t>
  </si>
  <si>
    <t>Daniela Cotreras Opazo</t>
  </si>
  <si>
    <t>Plan de Alistamiento Operacional Proyecto Rajo Inca</t>
  </si>
  <si>
    <t>Vamos con A2B. Ellos preparan y pedirán antecedentes. No se supo nada de A2B. No se emitió nada por parte de SHIMIN.</t>
  </si>
  <si>
    <t>O-1392</t>
  </si>
  <si>
    <t>Hernán Hidalgo</t>
  </si>
  <si>
    <t>hernan.hidalgo@abengoa.com</t>
  </si>
  <si>
    <t>Ingeniería de Contraparte Planta Desaladora Mantoverde</t>
  </si>
  <si>
    <t>Se emitió una oferta bien global, solo para cumplir.</t>
  </si>
  <si>
    <t>O-1391</t>
  </si>
  <si>
    <t>ED Substituição de tubulação e adequação de PMS - VALE</t>
  </si>
  <si>
    <t>O-1390</t>
  </si>
  <si>
    <t>Adicional Ingeniería Complementaria Prefactibilidad B Estación Ciclones Muro Este Cota Final</t>
  </si>
  <si>
    <t>Jorge Casanova / David Cerón</t>
  </si>
  <si>
    <t>Se envió revisión 2 ajustando la oferta a 1.150 UF. 4 semanas.</t>
  </si>
  <si>
    <t>SH-0284</t>
  </si>
  <si>
    <t>O-1389</t>
  </si>
  <si>
    <t xml:space="preserve">Simao.Carvalho@tetratech.com                                </t>
  </si>
  <si>
    <t>EC e EB Mineroduto e Aqueduto Igarapé</t>
  </si>
  <si>
    <t>O-1388</t>
  </si>
  <si>
    <t xml:space="preserve">Jaime Jünemann  </t>
  </si>
  <si>
    <t>jaijunebri@jej.cl</t>
  </si>
  <si>
    <t>ID e IT Dren Longitudinal 8, Estación de Ciclones y Obras Diferidas Sobre Cota 648 msnm, Tranque Ovejería Etapa IV Dren Longitudinal Muro Principal</t>
  </si>
  <si>
    <t>O-1387</t>
  </si>
  <si>
    <t>Análisis de Transientes Vulnerabilidad de Refinoducto Actual</t>
  </si>
  <si>
    <t>SH-0282</t>
  </si>
  <si>
    <t>O-1386</t>
  </si>
  <si>
    <t>EPC Planta Desaladora Mantoverde
380 l/s</t>
  </si>
  <si>
    <t>O-1385</t>
  </si>
  <si>
    <t>Javier Riquelme</t>
  </si>
  <si>
    <t>Ingeniería Básica Construcción Sistema Remoción Tranque Barahona 1 y 2</t>
  </si>
  <si>
    <t>O-1384</t>
  </si>
  <si>
    <t>Romane Pizarro</t>
  </si>
  <si>
    <t>Ingeniería Conceptual Mejoramiento Infraestructura Recirculación de Agua</t>
  </si>
  <si>
    <t>34 semanas</t>
  </si>
  <si>
    <t>O-1383</t>
  </si>
  <si>
    <t>Servicios Varios Distribución de Relaves</t>
  </si>
  <si>
    <t>5 estudios</t>
  </si>
  <si>
    <t>SH-0271 ODT-01</t>
  </si>
  <si>
    <t>O-1382</t>
  </si>
  <si>
    <t>Pavel Valenzuela Rodríguez</t>
  </si>
  <si>
    <t>Ingeniería Forestal y Ambiental</t>
  </si>
  <si>
    <t>Se enviaron antecedentes a MYMA para participar conjuntamente. Falta de competencias en Ambiente.</t>
  </si>
  <si>
    <t>O-1381</t>
  </si>
  <si>
    <t xml:space="preserve">Gabriela P. Chavez </t>
  </si>
  <si>
    <t>gabrielacp@ide-tech.com</t>
  </si>
  <si>
    <t>ID Tubería de Combustible - Oxiquim</t>
  </si>
  <si>
    <t>Prospectos</t>
  </si>
  <si>
    <t>O-1380</t>
  </si>
  <si>
    <t>ID Habilitación de los nuevos Pozos RE2-A  (F2A) y RE3-A (F3A)</t>
  </si>
  <si>
    <t>O-1379</t>
  </si>
  <si>
    <t>Apoitamento de Balsa - Vale</t>
  </si>
  <si>
    <t>Plazo 4 semanas</t>
  </si>
  <si>
    <t>O-1378</t>
  </si>
  <si>
    <t>IPref. B e ID Sistema de Levante Estación de Ciclones - AA</t>
  </si>
  <si>
    <t>Oferta por I. Prefactibilidad B (3 meses) y por I. Detalles (4 meses)</t>
  </si>
  <si>
    <t>O-1377</t>
  </si>
  <si>
    <t xml:space="preserve">Vinicius Rodrigues Neiva                                          </t>
  </si>
  <si>
    <t>Descaracterização de Barragem B3/B4 - Vale</t>
  </si>
  <si>
    <t>26 semanas</t>
  </si>
  <si>
    <t>O-1376</t>
  </si>
  <si>
    <t>Descaracterização de Barragem Sul Superior - Vale</t>
  </si>
  <si>
    <t>O-1375</t>
  </si>
  <si>
    <t>Ingeniería de Detalles Impulsión de Riles PMFC</t>
  </si>
  <si>
    <t>Se enviaron aclaraciones. Perdida por más desarrollo de aclaraciones. Faltó profesional calificado IPA / PMI</t>
  </si>
  <si>
    <t>O-1374</t>
  </si>
  <si>
    <t>Servicio de Ingeniería Multidisciplinaria</t>
  </si>
  <si>
    <t>O-1373</t>
  </si>
  <si>
    <t>FM Mining Company</t>
  </si>
  <si>
    <t>Ramón Díaz</t>
  </si>
  <si>
    <t>rdiazdel@fmi.com</t>
  </si>
  <si>
    <t>Asesoría Transporte y Distribución Relaves Espesados - El Abra</t>
  </si>
  <si>
    <t>O-1372</t>
  </si>
  <si>
    <t>Rafael Alvarenga</t>
  </si>
  <si>
    <t>ralvarenga@aminerals.cl</t>
  </si>
  <si>
    <t>Contrato Marco de Ingeniería para Proyectos Operaciones de Minera los Pelambres (MLP)</t>
  </si>
  <si>
    <t>Reunión Aclaratoria 08/09. Se envió Requisición de Información (RFI) de SHIMIN el 10/09. En espera de precalificación.</t>
  </si>
  <si>
    <t>O-1371</t>
  </si>
  <si>
    <t>36 semanas</t>
  </si>
  <si>
    <t>O-1370</t>
  </si>
  <si>
    <t>Servicios Profesionales Codelco Norte</t>
  </si>
  <si>
    <t>Servicio de alcance para constructoras</t>
  </si>
  <si>
    <t>O-1369</t>
  </si>
  <si>
    <t>César Vásquez</t>
  </si>
  <si>
    <t>Cesar.Vasquez@corriente.com.ec</t>
  </si>
  <si>
    <t>ID Recrecimiento Depósito de Relaves Tundayme</t>
  </si>
  <si>
    <t>Proyección desde noviembre a 40US$/HH</t>
  </si>
  <si>
    <t>O-1368</t>
  </si>
  <si>
    <t>Asociación de Canalistas de Melipilla</t>
  </si>
  <si>
    <t>Aumento de Capacidad Puente Romeral y Compuerta Carreño</t>
  </si>
  <si>
    <t>Se esperan nuevos alcances</t>
  </si>
  <si>
    <t>SH-0283</t>
  </si>
  <si>
    <t>O-1367</t>
  </si>
  <si>
    <t>AngloAmerican Quellaveco</t>
  </si>
  <si>
    <t>Catherine Mary Chiriboga Trigos</t>
  </si>
  <si>
    <t>catherine.chiriboga@angloamerican.com</t>
  </si>
  <si>
    <t>Revisión de Alcances para Licitación de Trabajos con Empalizadas – AAQ, Perú</t>
  </si>
  <si>
    <t>Plazo 3 semanas</t>
  </si>
  <si>
    <t>SH-0278</t>
  </si>
  <si>
    <t>O-1366</t>
  </si>
  <si>
    <t>Ingeniería Protección Estación de Ciclones Tranque El Torito</t>
  </si>
  <si>
    <t>Pablo Vásquez / Víctor Mendoza</t>
  </si>
  <si>
    <t>César Tapia informa a Jorge Casanova que el tema se resolvió con otros</t>
  </si>
  <si>
    <t>O-1365</t>
  </si>
  <si>
    <t>Katherine Calderón</t>
  </si>
  <si>
    <t>kcalderon@supplynet.cl</t>
  </si>
  <si>
    <t xml:space="preserve">550 Lic Servicio de Ingenierías Mayores GPRO </t>
  </si>
  <si>
    <t>Las HH's y $ licitadas fueron estimadas para una IB con un listado entregado por Antucoya. 24 semanas</t>
  </si>
  <si>
    <t>O-1364</t>
  </si>
  <si>
    <t>Ingeniería Instalación Estructura Soportante para Tubería al Costado del Puente Carretón - AAES</t>
  </si>
  <si>
    <t>O-1363</t>
  </si>
  <si>
    <t>Respuestas Observaciones de Vialidad Ruta F-121 - Puente Carretón - AAES</t>
  </si>
  <si>
    <t>Plazo 2 semanas</t>
  </si>
  <si>
    <t>SH-0281</t>
  </si>
  <si>
    <t>O-1362</t>
  </si>
  <si>
    <t>Plan de preparación para emergencia y plan de respuesta ante emergencia para el Depósito de Relaves Quimi</t>
  </si>
  <si>
    <t>O-1361</t>
  </si>
  <si>
    <t>Romané Pizarro</t>
  </si>
  <si>
    <t>RPiza027@contratistas.codelco.cl</t>
  </si>
  <si>
    <t>Servicio de Adquisición e Instalación de Instrumentación Geomecánica</t>
  </si>
  <si>
    <t>Carta excusa: Falta de profesionales expertos en terreno en Geotecnia</t>
  </si>
  <si>
    <t>O-1360</t>
  </si>
  <si>
    <t xml:space="preserve">IP - "Estandarización Sistemas de Izaje en Salas de Bombas Recursos Hídricos” (A) y “Normalización Estanques de Almacenamiento de Recursos Hídrico” </t>
  </si>
  <si>
    <t>Carta excusa: Falta de subcontrato empresas especializadas en ensayos ensayos mecanicos como ultrasonido, tintas penetrantes, Rx, etc.</t>
  </si>
  <si>
    <t>O-1359</t>
  </si>
  <si>
    <t>Alfredo Rojas</t>
  </si>
  <si>
    <t>alfredo.rojas@angloamerican.com</t>
  </si>
  <si>
    <t>IB Renovación de Interruptor de 110 KV SE Principal</t>
  </si>
  <si>
    <t>Plazo 8 semanas</t>
  </si>
  <si>
    <t>O-1358</t>
  </si>
  <si>
    <t>Catalina Fernández</t>
  </si>
  <si>
    <t>cfernandezp@enami.cl</t>
  </si>
  <si>
    <t>Servicio de asesoría y Control Geotécnico Tranque de Relaves y Depósito de Ripios en Planta Manuel A. Matta R. - ENAMI</t>
  </si>
  <si>
    <t>O-1357</t>
  </si>
  <si>
    <t>javier.riquelme@aquanima.com</t>
  </si>
  <si>
    <t>Estudio Factibilidad uso de Relaves en la Elaboración de Shotcrete y Hormigón - DET</t>
  </si>
  <si>
    <t>Empresas con posibilidad de formar consorcio también están participando (competencia)</t>
  </si>
  <si>
    <t>O-1356</t>
  </si>
  <si>
    <t>Wilson Salazar Berenguela</t>
  </si>
  <si>
    <t>Ingeniería Reparación y Cumplimiento D.S. 160 TK5 Barquito y TK2 Potrerillos - DSAL</t>
  </si>
  <si>
    <t>Falta de profesionales expertos en combustibles (D.S. 160)</t>
  </si>
  <si>
    <t>O-1355</t>
  </si>
  <si>
    <t>Romané Pizarro Cisternas - Ariba</t>
  </si>
  <si>
    <t>Actualización Caracterización Reológica Relaves DET</t>
  </si>
  <si>
    <t>Plazo 12 semanas. Informado a JCasanova en terreno. Según cliente no adjudican dos proyectos relacionados a una sola empresa.</t>
  </si>
  <si>
    <t>O-1354</t>
  </si>
  <si>
    <t>Mejoramiento Pipeline y Operación Filtros Pulpa de Yesos - AA</t>
  </si>
  <si>
    <t>Se envió revisión 1. Plazo 4 semanas</t>
  </si>
  <si>
    <t>SH-0279</t>
  </si>
  <si>
    <t>O-1353</t>
  </si>
  <si>
    <t>Mitsui</t>
  </si>
  <si>
    <t>Fernando Torres</t>
  </si>
  <si>
    <t>f.torres@mmrdla.com</t>
  </si>
  <si>
    <t xml:space="preserve">Asesoría Experta: Revisión Estudio de Factibilidad FEL 3  Sistema de Impulsión Agua Desalada </t>
  </si>
  <si>
    <t>Correo aceptación 25/08/2021</t>
  </si>
  <si>
    <t>SH-0277</t>
  </si>
  <si>
    <t>O-1352</t>
  </si>
  <si>
    <t>Se adjudica el 03/02/2022. Comenzó proceso de licitación el 22/02/2022 siendo precalificados satisfactoriamente.</t>
  </si>
  <si>
    <t>O-1351</t>
  </si>
  <si>
    <t>Carolina Aliaga Montalván</t>
  </si>
  <si>
    <t>Apoyo Profesionales GRMD El Teniente</t>
  </si>
  <si>
    <t>Falta de profesionales expertos, geólogos, geometalúrgicos. Adjudicada a Guiñez.</t>
  </si>
  <si>
    <t>O-1350</t>
  </si>
  <si>
    <t>EC Instalación bomba de reserva alimentación hidrociclones</t>
  </si>
  <si>
    <t>O-1349</t>
  </si>
  <si>
    <t>ED Abastecimiento de Agua Planta Vale</t>
  </si>
  <si>
    <t xml:space="preserve">Vale suspendió el plan de trabajo del Proyecto </t>
  </si>
  <si>
    <t>O-1348</t>
  </si>
  <si>
    <t>ED Reemplazo de bombas VPT-4015 – BA003 / 003R / 004</t>
  </si>
  <si>
    <t>O-1347</t>
  </si>
  <si>
    <t>Memorandum y visitas técnicas - área desarrollo</t>
  </si>
  <si>
    <t>O-1346</t>
  </si>
  <si>
    <t>M. Amparo Montero</t>
  </si>
  <si>
    <t>Maria.A.Montero1@bhp.com</t>
  </si>
  <si>
    <t>Asesoría Experta: Sistemas de Transporte, Distribución y Clasificación de Relaves</t>
  </si>
  <si>
    <t>O-1345</t>
  </si>
  <si>
    <t>Consolidación EB e ED Projeto Pedra de Ferro - BAMIN - Tetratech</t>
  </si>
  <si>
    <t>Se envió revisión 2. IB 12 semanas; ID 20 semanas</t>
  </si>
  <si>
    <t>O-1344</t>
  </si>
  <si>
    <t>Servicio Ingenierias Mantencion Concentradora - CCMC</t>
  </si>
  <si>
    <t>O-1343</t>
  </si>
  <si>
    <t>Katherine Rivera Rios - Anllelina Rojas Vásquez</t>
  </si>
  <si>
    <t>katherine.rivera@aminerals.cl
arojasva@aminerals.cl</t>
  </si>
  <si>
    <t>Continuidad Operacional Apoyo Proyectos - CMZ</t>
  </si>
  <si>
    <t>Se envió Revisión 3</t>
  </si>
  <si>
    <t>O-1342</t>
  </si>
  <si>
    <t>ID Sistema de Levante Estacion de Ciclones - AA</t>
  </si>
  <si>
    <t>Ramón Arévalo</t>
  </si>
  <si>
    <t>Se fusionó conO-1341 en la O-1378</t>
  </si>
  <si>
    <t>O-1341</t>
  </si>
  <si>
    <t>IC Sistema de Levante Estacion de Ciclones - AA</t>
  </si>
  <si>
    <t>O-1340</t>
  </si>
  <si>
    <t>Estudio Revision Sistema Hidraulico Pilas HL-DL - Zaldivar</t>
  </si>
  <si>
    <t>O-1339</t>
  </si>
  <si>
    <t>ID Monitoreo Pozos PRLB La Brea - MLCC</t>
  </si>
  <si>
    <t>SH-0265 OS03</t>
  </si>
  <si>
    <t>O-1338</t>
  </si>
  <si>
    <t>Cursos de Entrenamiento Operacional 2021 STFT - MLP</t>
  </si>
  <si>
    <t>SH-0275</t>
  </si>
  <si>
    <t>O-1337</t>
  </si>
  <si>
    <t>Estudio Sistema Recirculacion de Aguas Tranque el Torito - El Soldado - AA</t>
  </si>
  <si>
    <t xml:space="preserve">OS </t>
  </si>
  <si>
    <t>O-1336</t>
  </si>
  <si>
    <t>IC Vulnerabilidad Sistema Conducción Relaves DET - CODELCO</t>
  </si>
  <si>
    <t>Se envió carta N°2 con Aclaraciones. Plazo 32 semanas.</t>
  </si>
  <si>
    <t>SH-0280</t>
  </si>
  <si>
    <t>O-1335</t>
  </si>
  <si>
    <t>Mantos Blancos</t>
  </si>
  <si>
    <t>Apoyo Comisionamiento Concentradora Mantos Blancos - Mantos</t>
  </si>
  <si>
    <t>O-1334</t>
  </si>
  <si>
    <t>ID Aumento Capacidad Traspaso Yeso desde Clarificador - AA</t>
  </si>
  <si>
    <t>SH-0270</t>
  </si>
  <si>
    <t>O-1333</t>
  </si>
  <si>
    <t>Tania Fuenzalida Martínez</t>
  </si>
  <si>
    <t>Consultoria Area Relaves - Los Bronces - AA - Fluor</t>
  </si>
  <si>
    <t>156 semanas según requerimiento. Por tarifas.</t>
  </si>
  <si>
    <t>O-1332</t>
  </si>
  <si>
    <t>Carla Tapia Guerrero</t>
  </si>
  <si>
    <t>Estudio Analisis Hidraulico Estructural Morning Glory - CNN - CAP</t>
  </si>
  <si>
    <t>SH-0268</t>
  </si>
  <si>
    <t>O-1331</t>
  </si>
  <si>
    <t>Alan Teare</t>
  </si>
  <si>
    <t>Estudio Validacion Sistema Hidraulico Bombas Traspaso - AA</t>
  </si>
  <si>
    <t>Reemplazada por O1334</t>
  </si>
  <si>
    <t>O-1330</t>
  </si>
  <si>
    <t>I Factibilidad Aseguramiento Suministro Agua Industrial - DGM - CODELCO</t>
  </si>
  <si>
    <t>Se envió carta con Aclaraciones. Plazo 25 semanas. En reunión, se dio por hecho que no querían trabajar con nosotros, buscaron cualquier deficiencia técnica.</t>
  </si>
  <si>
    <t>O-1329</t>
  </si>
  <si>
    <t>Levantamiento Observaciones Ruta F-121 - El Soldado -AA</t>
  </si>
  <si>
    <t>SH-0269</t>
  </si>
  <si>
    <t>O-1328</t>
  </si>
  <si>
    <t>Ingenierías Complementarias El Soldado - AA</t>
  </si>
  <si>
    <t>Se reactivó. 6 semanas.</t>
  </si>
  <si>
    <t>O-1327</t>
  </si>
  <si>
    <t>Estudio Planta Chancado Movil - Zaldivar - CMZ</t>
  </si>
  <si>
    <t>O-1326</t>
  </si>
  <si>
    <t>Ingenieria de Terreno Muros Perimetrales y Obras Anexas IX Etapa - CODELCO - Knight Piesold</t>
  </si>
  <si>
    <t>Iremos solos en la Oferta O-1352</t>
  </si>
  <si>
    <t>O-1325</t>
  </si>
  <si>
    <t>ID Restitución Sistema Impulsión Matadero - DET - CODELCO</t>
  </si>
  <si>
    <t>SH-0273</t>
  </si>
  <si>
    <t>O-1324</t>
  </si>
  <si>
    <t>IB Proyecto Optimizacion Capacidad de Procesamiento Plantas SAG y Convencional - DET - CODELCO</t>
  </si>
  <si>
    <t>Se envió 2a Aclaración el 20/07. 43 semanas.</t>
  </si>
  <si>
    <t>O-1323</t>
  </si>
  <si>
    <t>Claudio Rodríguez M.</t>
  </si>
  <si>
    <t>Estudio Mejoramiento Ruta Q180 - Besalco</t>
  </si>
  <si>
    <t>O-1322</t>
  </si>
  <si>
    <t>Nova Rota Paneira No Block - VALE</t>
  </si>
  <si>
    <t>Suspendida por Cliente</t>
  </si>
  <si>
    <t>O-1321</t>
  </si>
  <si>
    <t>ED Derivacao Agua da Barragem - VALE</t>
  </si>
  <si>
    <t>O-1320</t>
  </si>
  <si>
    <t>ED Alteracao de Tubulacao de Descarga - VALE</t>
  </si>
  <si>
    <t>O-1319</t>
  </si>
  <si>
    <t>ED Adutora de Retorno de Filtrado - VALE</t>
  </si>
  <si>
    <t>O-1318</t>
  </si>
  <si>
    <t>Wood</t>
  </si>
  <si>
    <t>Aldo Rafael Di Biase Friedmann</t>
  </si>
  <si>
    <t>Estudio Perfil Rehabilitación Línea Terciaria PAC Disciplina Procesos - DET - Wood</t>
  </si>
  <si>
    <t>Cliente asignó a otra empresa por rebajas</t>
  </si>
  <si>
    <t>O-1317</t>
  </si>
  <si>
    <t>Aldo.dibiase@woodplc.com</t>
  </si>
  <si>
    <t>Estudio Perfil - Cortador Metalúrgico Cola Final Disciplina Procesos - DET - Wood</t>
  </si>
  <si>
    <t>Adjudicada a Wood pero la ejecutarán con otros consultores</t>
  </si>
  <si>
    <t>O-1316</t>
  </si>
  <si>
    <t>Test em Laboratorio para Caracterizao do Material - Mina Fabrica - Paraopeba - VALE</t>
  </si>
  <si>
    <t>O-1315</t>
  </si>
  <si>
    <t>Yohana Olivares</t>
  </si>
  <si>
    <t>Curso Especializado Relaves - OTIC CCHC - CAP</t>
  </si>
  <si>
    <t>O-1314</t>
  </si>
  <si>
    <t>O-1313</t>
  </si>
  <si>
    <t>Levantamiento en Terreno - VALE</t>
  </si>
  <si>
    <t>O-1312</t>
  </si>
  <si>
    <t>Apoyo Hidráulico en Terreno - El Soldado - AA</t>
  </si>
  <si>
    <t>O-1311</t>
  </si>
  <si>
    <t>Estudio Perfil Aumento Capacidad Concentradora - DAND - Wood - Codelco</t>
  </si>
  <si>
    <t>Sin información si fue adjudicada a Wood. De igual forma, pasaría como la O-1317.</t>
  </si>
  <si>
    <t>O-1310</t>
  </si>
  <si>
    <t>Contrato Marco Ingenieria DET - CODELCO</t>
  </si>
  <si>
    <t>Propuesta Asociación PSC-Mineralurgia.
Perdida por falta de experiencia en MINA/PLANTA/FUNDICIÓN. Platas y HH's/3 por 30% probabilidad de ganar oferta LC</t>
  </si>
  <si>
    <t>O-1309</t>
  </si>
  <si>
    <t>Estudio Perfil Aumento Capacidad Filtrado DET - Procesos - Wood - Codelco</t>
  </si>
  <si>
    <t>O-1308</t>
  </si>
  <si>
    <t>Filosofia de Control Gelado - SNC</t>
  </si>
  <si>
    <t>O-1307</t>
  </si>
  <si>
    <t>ID Abastecimiento Anticipado y Definitivo ECMP - AA</t>
  </si>
  <si>
    <t>Incorporado a la Oferta O1223</t>
  </si>
  <si>
    <t>O-1306</t>
  </si>
  <si>
    <t>ID Tendido Fibra Optica ECMP a ECSO - AA</t>
  </si>
  <si>
    <t>O-1305</t>
  </si>
  <si>
    <t>Apoyo Comisionamiento y PEM Rejeitoduto Gelado - SNC</t>
  </si>
  <si>
    <t>O-1304</t>
  </si>
  <si>
    <t>Camila Garcés</t>
  </si>
  <si>
    <t>Plan de Disposicion de Arenas Tranque Quebrada Blanca - Teck</t>
  </si>
  <si>
    <t>O-1303</t>
  </si>
  <si>
    <t>Analisis Suministro de Agua ECMP 20 KTPD -AA</t>
  </si>
  <si>
    <t>O-1302</t>
  </si>
  <si>
    <t>Hu Jiandong</t>
  </si>
  <si>
    <t>Asesoria Experta Recrecimiento Deposito de Relaves Tundayme - ECSA</t>
  </si>
  <si>
    <t>O-1301</t>
  </si>
  <si>
    <t xml:space="preserve"> EC Disposicao de Lama Filtrada - Tetratech - Samarco</t>
  </si>
  <si>
    <t>O-1300</t>
  </si>
  <si>
    <t>CRU</t>
  </si>
  <si>
    <t>Juan Esteban Fuentes</t>
  </si>
  <si>
    <t>Actualizacion Benchmarking CRU</t>
  </si>
  <si>
    <t>O-1299</t>
  </si>
  <si>
    <t>MARÍA CECILIA JÜNEMANN LARRAGUIBEL</t>
  </si>
  <si>
    <t>I Factibilidad Etapa 1 Peralte Deposito de Relave Espesado Planta Delta - ENAMI - JEJ</t>
  </si>
  <si>
    <t>O-1298</t>
  </si>
  <si>
    <t>Estudio Diagnostico Spigots y Planos As Built ODT N 10 - SG</t>
  </si>
  <si>
    <t>O-1297</t>
  </si>
  <si>
    <t>Extensión Ingeniería de Terreno Abril - SGSCM</t>
  </si>
  <si>
    <t>SH-0246</t>
  </si>
  <si>
    <t>O-1296</t>
  </si>
  <si>
    <t>Manual OMS Depósito de Relaves CNN</t>
  </si>
  <si>
    <t>Versión Preliminar</t>
  </si>
  <si>
    <t>SH-0264</t>
  </si>
  <si>
    <t>O-1295</t>
  </si>
  <si>
    <t>Cambio de estrategia corporativa respecto a la planificación y ejecución de sus proyectos. 36 meses</t>
  </si>
  <si>
    <t>O-1294</t>
  </si>
  <si>
    <t>Ingeniería de Detalles Diseño Spools HDPE Operación Temporal</t>
  </si>
  <si>
    <t>O-1293</t>
  </si>
  <si>
    <t>Ingenieria Contraparte Gerencia de Proyectos</t>
  </si>
  <si>
    <t>Al parecer no podíamos tener doble contrato. SH0256.</t>
  </si>
  <si>
    <t>O-1292</t>
  </si>
  <si>
    <t>Ingenieria de Terreno y Apoyo COM-PEM Estacion ECMP 20 KTPD</t>
  </si>
  <si>
    <t>IT/PEM</t>
  </si>
  <si>
    <t>Oferta enviada en revisión 0 por llamado a licitación pero en O-1273</t>
  </si>
  <si>
    <t>O-1291</t>
  </si>
  <si>
    <t>Ing Complementaria Prefactibilidad Impulsión Relaves Estación Ciclones MP y MO</t>
  </si>
  <si>
    <t>SH-0267</t>
  </si>
  <si>
    <t>O-1290</t>
  </si>
  <si>
    <t>Aguas Andinas</t>
  </si>
  <si>
    <t>Alfredo Fanta</t>
  </si>
  <si>
    <t>Estudio Movimientos de Tierra IB Construccion Invernaderos - Aguas Andina</t>
  </si>
  <si>
    <t>O-1289</t>
  </si>
  <si>
    <t>Actualizacion Caudales Pozos el Tambo OS 16 - MLCC</t>
  </si>
  <si>
    <t>SH-0219 OS16</t>
  </si>
  <si>
    <t>O-1288</t>
  </si>
  <si>
    <t>Estudio Cruce Río Ramadillas</t>
  </si>
  <si>
    <t>O-1287</t>
  </si>
  <si>
    <t xml:space="preserve">Ampliación Alcance OS14 ID Transporte y Muestreo de Concentrado Columna Espesador </t>
  </si>
  <si>
    <t>Enviada Revisión 1</t>
  </si>
  <si>
    <t>SH-0219 OS20</t>
  </si>
  <si>
    <t>O-1286</t>
  </si>
  <si>
    <t>CODELCO</t>
  </si>
  <si>
    <t>Cristian Monsalves</t>
  </si>
  <si>
    <t xml:space="preserve">Ingenieria Terreno Infraestructura - CODELCO </t>
  </si>
  <si>
    <t>Revisión PV</t>
  </si>
  <si>
    <t>O-1285</t>
  </si>
  <si>
    <t>Auditoría - Revisión Cálculo de Correas Proyecto Nuevo Nivel Mina - DET - CODELCO -</t>
  </si>
  <si>
    <t>O-1284</t>
  </si>
  <si>
    <t>Contrato Marco Servicios Multidisciplinarios 2021 - 2022</t>
  </si>
  <si>
    <t>SH-0265</t>
  </si>
  <si>
    <t>O-1283</t>
  </si>
  <si>
    <t>Ingeniería Detalle Instalación Dispositivo Control Presiones Estación Intermedia</t>
  </si>
  <si>
    <t>SH-0265 OS02</t>
  </si>
  <si>
    <t>O-1282</t>
  </si>
  <si>
    <t>Ingeniería Detalles y Terreno de Muros Perimetrales y Obras Anexas Proyecto Ampliación Tranque Talabre Etapa IX</t>
  </si>
  <si>
    <t>No precalificados porque faltan proyectos de diseño de muros</t>
  </si>
  <si>
    <t>O-1281</t>
  </si>
  <si>
    <t>Asesoría Experta Alternativas Aumento Producción de Arenas</t>
  </si>
  <si>
    <t>SH-0262</t>
  </si>
  <si>
    <t>O-1280</t>
  </si>
  <si>
    <t>Aliro Abarca</t>
  </si>
  <si>
    <t xml:space="preserve"> Estudio Retencion Ultragruesos Aguas Arriba Bombeo Arena</t>
  </si>
  <si>
    <t>O-1279</t>
  </si>
  <si>
    <t>Ingeniería Complementaria Prefactibilidad B Estación Ciclones Muro Este Cota Final</t>
  </si>
  <si>
    <t>SH-0266</t>
  </si>
  <si>
    <t>O-1278</t>
  </si>
  <si>
    <t>Marcela Herrera</t>
  </si>
  <si>
    <t>ITO Obras para Fabricación y Reparacion de Spool</t>
  </si>
  <si>
    <t>Esperando Bases de Licitación. No llegaron bases.</t>
  </si>
  <si>
    <t>O-1277</t>
  </si>
  <si>
    <t>Estudio Modificación Barrera Temporal Depósito Emergencia QUIMI</t>
  </si>
  <si>
    <t>O-1276</t>
  </si>
  <si>
    <t>Chiletools</t>
  </si>
  <si>
    <t>Revision Proyecto Llanos de Hierro - Chiletools</t>
  </si>
  <si>
    <t>O-1275</t>
  </si>
  <si>
    <t>ID y Terreno Continuidad Operacional TRLE - Los Bronces - AA</t>
  </si>
  <si>
    <t>ID/ITO</t>
  </si>
  <si>
    <t>O-1274</t>
  </si>
  <si>
    <t>ID y Terreno Actualizaciones Diseño Miscelaneos - DET Proyecto AN-NMN- ICP</t>
  </si>
  <si>
    <t>O-1273</t>
  </si>
  <si>
    <t>Roberto Andrade</t>
  </si>
  <si>
    <t>roberto.andrade@angloamerican.com</t>
  </si>
  <si>
    <t xml:space="preserve">Comisionamiento y PEM Proyecto ECMP 20 KTPD </t>
  </si>
  <si>
    <t>Se envió revisión final por Ariba</t>
  </si>
  <si>
    <t>SH-0287</t>
  </si>
  <si>
    <t>O-1272</t>
  </si>
  <si>
    <t>Extensión Ingeniería de Terreno - SGSCM</t>
  </si>
  <si>
    <t>O-1271</t>
  </si>
  <si>
    <t>Ingeniería Cajón Alimentación Espesador Colectivo - MLCC</t>
  </si>
  <si>
    <t>Revisar oferta según visita a Terreno</t>
  </si>
  <si>
    <t>SH-0219 OS21</t>
  </si>
  <si>
    <t>O-1270</t>
  </si>
  <si>
    <t>Ingeniería Conceptual Proyecto Biolixiviación - Pucobre</t>
  </si>
  <si>
    <t>O-1269</t>
  </si>
  <si>
    <t>Elaboración Manuales y Plan de Emergencia Depósito de Relaves Quimi - ECSA</t>
  </si>
  <si>
    <t>O-1268</t>
  </si>
  <si>
    <t>CMOC</t>
  </si>
  <si>
    <t>Análisis de Prefactibilidad (FEL 1) Disposición de Relaves a Largo Plazo - CMOC</t>
  </si>
  <si>
    <t>O-1267</t>
  </si>
  <si>
    <t xml:space="preserve"> Revisión de Calidad - Checkpoint FEL 2A - Prefactibilidad Aumento Planta Chancado - CMZ</t>
  </si>
  <si>
    <t>O-1266</t>
  </si>
  <si>
    <t>Estudio Hidráulico Estación El Tambo - Intermedia - MLCC</t>
  </si>
  <si>
    <t>SH-0219 OS19</t>
  </si>
  <si>
    <t>O-1265</t>
  </si>
  <si>
    <t xml:space="preserve"> Servicios de Ingenieria Agua Relaves y Procesos - DAND - CODELCO</t>
  </si>
  <si>
    <t>O-1264</t>
  </si>
  <si>
    <t xml:space="preserve"> Prefactibilidad Deposito de Relaves y Planta de Filtrados - El Soldado -AA</t>
  </si>
  <si>
    <t>O-1262</t>
  </si>
  <si>
    <t>Servicios Contraparte Ingenieria PEM - CODELCO</t>
  </si>
  <si>
    <t>O-1261</t>
  </si>
  <si>
    <t>Kinross</t>
  </si>
  <si>
    <t xml:space="preserve"> IC - IB Planta Paracatu Poyry - Kinross</t>
  </si>
  <si>
    <t>O-1260</t>
  </si>
  <si>
    <t xml:space="preserve"> IC Repotenciamiento Piscina El Ancla TET - El Soldado - AA</t>
  </si>
  <si>
    <t>O-1259</t>
  </si>
  <si>
    <t>Ingeniería Remoción Relaves Depósito de Emergencia Quimi - Mina Mirador - ECSA</t>
  </si>
  <si>
    <t>SH-0261</t>
  </si>
  <si>
    <t>O-1258</t>
  </si>
  <si>
    <t>FCH</t>
  </si>
  <si>
    <t>Caracterización de Relaves BHP - FCH</t>
  </si>
  <si>
    <t>O-1257</t>
  </si>
  <si>
    <t>Nivaldo Siqueira</t>
  </si>
  <si>
    <t>EC e EB P28MTPA - Mascate - Tetratech – CSN</t>
  </si>
  <si>
    <t>O-1256</t>
  </si>
  <si>
    <t>Servicios Profesionales GPRO - Ingenierias y Contrapartes - DET - CODELCO</t>
  </si>
  <si>
    <t>O-1255</t>
  </si>
  <si>
    <t>IC y Básica Mineroduto Pellet CSN - Tetratech</t>
  </si>
  <si>
    <t>O-1254</t>
  </si>
  <si>
    <t>Estudio Sistema de Bombeo de Arenas a Muro</t>
  </si>
  <si>
    <t>SH-0259</t>
  </si>
  <si>
    <t>O-1253</t>
  </si>
  <si>
    <t>Horacio Sandoval</t>
  </si>
  <si>
    <t>ID Modificación Sistema Captación, Recuperación Derrames y Bypass Planta CPF</t>
  </si>
  <si>
    <t>O-1252</t>
  </si>
  <si>
    <t>ACCIONA</t>
  </si>
  <si>
    <t>ANTAMINA</t>
  </si>
  <si>
    <t>Revision Programacion e Implementacion Sistema Impulsion de Relaves - Antamina - Acciona</t>
  </si>
  <si>
    <t>PV llamar a Waldo López</t>
  </si>
  <si>
    <t>O-1251</t>
  </si>
  <si>
    <t>Tiago Portella</t>
  </si>
  <si>
    <t>Adecuacion PNR Proteccion Catodica V11 - Vale</t>
  </si>
  <si>
    <t>O-1250</t>
  </si>
  <si>
    <t>Adecuación PNR Protección Catódica V12 - Vale</t>
  </si>
  <si>
    <t>SH-0235 OS03</t>
  </si>
  <si>
    <t>O-1249</t>
  </si>
  <si>
    <t>Capacitación Operadores SGSCM</t>
  </si>
  <si>
    <t>SH-0234</t>
  </si>
  <si>
    <t>O-1248</t>
  </si>
  <si>
    <t>Pablo Gonzalez</t>
  </si>
  <si>
    <t>Modificaciones ID mejoramiento Transporte de Relaves Sierra Gorda - SGSCM</t>
  </si>
  <si>
    <t>O-1247</t>
  </si>
  <si>
    <t>Cayara</t>
  </si>
  <si>
    <t>Carlos Smith</t>
  </si>
  <si>
    <t>Tradeoff Transporte de Cal - Cayara</t>
  </si>
  <si>
    <t>O-1246</t>
  </si>
  <si>
    <t xml:space="preserve"> Ingenieria by-pass Cortador Arenas - AA</t>
  </si>
  <si>
    <t>O-1245</t>
  </si>
  <si>
    <t>Ingeniería Verificación Impulsión de Lamas por Plataformas de Colas - AA</t>
  </si>
  <si>
    <t>SH-0258</t>
  </si>
  <si>
    <t>O-1244</t>
  </si>
  <si>
    <t>ID Peralte Tranque de Relaves Quimi - ECSA (Ecuador)</t>
  </si>
  <si>
    <t>SH-0257</t>
  </si>
  <si>
    <t>O-1243</t>
  </si>
  <si>
    <t>Marco Li</t>
  </si>
  <si>
    <t>Modelación CFD Proyecto Mejoramiento Recuperación de Agua Espesador</t>
  </si>
  <si>
    <t>O-1242</t>
  </si>
  <si>
    <t>Apoyo Obras Tranque Cortadera Quellaveco</t>
  </si>
  <si>
    <t>O-1241</t>
  </si>
  <si>
    <t>ID Tranque de Relaves Proyecto Desarrollo Mantoverde</t>
  </si>
  <si>
    <t>O-1240</t>
  </si>
  <si>
    <t>Scotta</t>
  </si>
  <si>
    <t>Hidroelectrica Caren</t>
  </si>
  <si>
    <t>Pruebas Hidrostaticas Hidroelectrica Caren</t>
  </si>
  <si>
    <t>O-1239</t>
  </si>
  <si>
    <t>Prefactibilidad Normalización Salas Electricas Planta Concentradora</t>
  </si>
  <si>
    <t>Oriol Tucas</t>
  </si>
  <si>
    <t>O-1238</t>
  </si>
  <si>
    <t>Juan Figueroa</t>
  </si>
  <si>
    <t>Asesoria Integridad Muelle SIAM</t>
  </si>
  <si>
    <t>O-1237</t>
  </si>
  <si>
    <t>ODC ID Mejoramiento en Transporte y Distribución de Relaves</t>
  </si>
  <si>
    <t>O-1236</t>
  </si>
  <si>
    <t>Consultoria Tecnica Tubulacao e Processos</t>
  </si>
  <si>
    <t>O-1235</t>
  </si>
  <si>
    <t>Yorgo Neyra</t>
  </si>
  <si>
    <t>Auditoría Operativa Area Relaves CNN - Depósito</t>
  </si>
  <si>
    <t>Yorgo Neyra salió, consultar a Carla Tapia</t>
  </si>
  <si>
    <t>O-1234</t>
  </si>
  <si>
    <t>Auditoría Operativa Area Relaves CNN - Espesamiento</t>
  </si>
  <si>
    <t>O-1233</t>
  </si>
  <si>
    <t>Auditoría Operativa Area Relaves CNN - Transporte</t>
  </si>
  <si>
    <t>O-1232</t>
  </si>
  <si>
    <t xml:space="preserve">Revisión Experta Depósito de Relaves Quimi </t>
  </si>
  <si>
    <t>SH-0255</t>
  </si>
  <si>
    <t>O-1231</t>
  </si>
  <si>
    <t>Contrato Marco Ingenieria Menor</t>
  </si>
  <si>
    <t>Enviar Consultas y Ant Adm 10-11</t>
  </si>
  <si>
    <t>O-1230</t>
  </si>
  <si>
    <t>ID Construcción Río Blanco - Asociación JEJ</t>
  </si>
  <si>
    <t>Adjudicado Keypro</t>
  </si>
  <si>
    <t>O-1229</t>
  </si>
  <si>
    <t>Actividades Prioritarias Ingenieria Detalles Estación ECMP 20 KTPD</t>
  </si>
  <si>
    <t>O-1228</t>
  </si>
  <si>
    <t>Ingenieria Mejoramiento Acueducto CNN Tramo EB2 - EB3</t>
  </si>
  <si>
    <t>O-1227</t>
  </si>
  <si>
    <t xml:space="preserve"> Servicio de Ingenieria Multidisciplinaria Contrato Marco - Zaldivar</t>
  </si>
  <si>
    <t>Pares y Alvarez Adjudicado</t>
  </si>
  <si>
    <t>O-1226</t>
  </si>
  <si>
    <t>EPC Repotenciamiento Plantas de Cal - ANDINA - CODELCO</t>
  </si>
  <si>
    <t>Precalificación Presentada sin respuesta</t>
  </si>
  <si>
    <t>O-1225</t>
  </si>
  <si>
    <t>Adicionales Actualización Disposición de Cañerías Estación de Bombeo PS3 - CODELCO</t>
  </si>
  <si>
    <t>SH-0241</t>
  </si>
  <si>
    <t>O-1224</t>
  </si>
  <si>
    <t>Actualización Reología y Análisis Hidráulico Canaleta de Relaves DET</t>
  </si>
  <si>
    <t>No pasamos la Evaluación Técnica</t>
  </si>
  <si>
    <t>O-1223</t>
  </si>
  <si>
    <t>Ingeniería Complementaria e Ingenieria de Terreno Estacion ECMP 20 KTPD</t>
  </si>
  <si>
    <t>Se envió propuesta revisión 1 vía licitación</t>
  </si>
  <si>
    <t>SH-0276</t>
  </si>
  <si>
    <t>Se envió ofeta por ingeniería complementaria el 02/06/2021</t>
  </si>
  <si>
    <t>SH-0263</t>
  </si>
  <si>
    <t>O-1222</t>
  </si>
  <si>
    <t>Padrao LDS</t>
  </si>
  <si>
    <t>O-1221</t>
  </si>
  <si>
    <t>Sergio Guedes</t>
  </si>
  <si>
    <t>IB Cambio de Ubicación Densímetro Nuclear - Gelado</t>
  </si>
  <si>
    <t>O-1220</t>
  </si>
  <si>
    <t>Ingeniería de Detalles Sistema Impulsión Coya Sapos</t>
  </si>
  <si>
    <t>Adjudicada a Brass</t>
  </si>
  <si>
    <t>O-1219</t>
  </si>
  <si>
    <t>TGC</t>
  </si>
  <si>
    <t>Tipiel</t>
  </si>
  <si>
    <t>Oscar Rodriguez</t>
  </si>
  <si>
    <t>Informe Técnicao Terminal Gas Caldera (DS108 y DS160)</t>
  </si>
  <si>
    <t>CM consultará</t>
  </si>
  <si>
    <t>O-1218</t>
  </si>
  <si>
    <t>Estudio Trazado Alternativas SIAM - Pucobre</t>
  </si>
  <si>
    <t>PVZ consultará</t>
  </si>
  <si>
    <t>O-1217</t>
  </si>
  <si>
    <t>Ingeniería Contraparte Prefactibilidad Planta Chancado - Zaldívar</t>
  </si>
  <si>
    <t>Enviada Aclaración N° 1</t>
  </si>
  <si>
    <t>O-1216</t>
  </si>
  <si>
    <t>Modelo Hidrogeologico Transporte Tranque Colihues y Cauquenes - DET - CODELCO</t>
  </si>
  <si>
    <t>Buscando Personal Clave en conjunto con ROKO (María Fernanda Rojas)</t>
  </si>
  <si>
    <t>O-1215</t>
  </si>
  <si>
    <r>
      <rPr>
        <sz val="10"/>
        <color rgb="FF000000"/>
        <rFont val="Calibri"/>
        <family val="2"/>
        <scheme val="minor"/>
      </rPr>
      <t>Ingeniería Complementaria Construcción 7</t>
    </r>
    <r>
      <rPr>
        <vertAlign val="superscript"/>
        <sz val="10"/>
        <color rgb="FF000000"/>
        <rFont val="Calibri"/>
        <family val="2"/>
        <scheme val="minor"/>
      </rPr>
      <t>ma</t>
    </r>
    <r>
      <rPr>
        <sz val="10"/>
        <color rgb="FF000000"/>
        <rFont val="Calibri"/>
        <family val="2"/>
        <scheme val="minor"/>
      </rPr>
      <t xml:space="preserve"> Etapa Embalse Caren - JEJ - CODELCO</t>
    </r>
  </si>
  <si>
    <t>SH-0274</t>
  </si>
  <si>
    <t>O-1214</t>
  </si>
  <si>
    <t xml:space="preserve"> ID Estación ECMP 20KTPD - AA</t>
  </si>
  <si>
    <t>SH-0254</t>
  </si>
  <si>
    <t>O-1213</t>
  </si>
  <si>
    <t>Servicio de Ingenierias Especializadas DET - CODELCO</t>
  </si>
  <si>
    <t>Propuesta Presentada, RV revisará</t>
  </si>
  <si>
    <t>O-1212</t>
  </si>
  <si>
    <t xml:space="preserve"> Informe Impacto Granulometría Sistema de Impulsion El Torito - AA</t>
  </si>
  <si>
    <t>SH-0253</t>
  </si>
  <si>
    <t>O-1211</t>
  </si>
  <si>
    <t>Regulacion flujos WP1 - WP2 - MLCC</t>
  </si>
  <si>
    <t>PV consultar a MLCC</t>
  </si>
  <si>
    <t>O-1210</t>
  </si>
  <si>
    <t>Solución Flujos Guagua Rusa - MLCC</t>
  </si>
  <si>
    <t>Enviar ppt 21/09/20</t>
  </si>
  <si>
    <t>SH-0219 OS13</t>
  </si>
  <si>
    <t>O-1209</t>
  </si>
  <si>
    <t>Liberación Cuellos de Botella Área Flotación - MLCC</t>
  </si>
  <si>
    <t>Consultas enviadas de JCT a C Merlo</t>
  </si>
  <si>
    <t>SH-0219 OS14</t>
  </si>
  <si>
    <t>O-1208</t>
  </si>
  <si>
    <t xml:space="preserve"> Extensión Asesoríia Experta Tranque de Relaves Las Tóortolas - AA</t>
  </si>
  <si>
    <t>O-1207</t>
  </si>
  <si>
    <t>Análisis Presiones Máximas Tramos EB3-EB4 y EB4-EB5</t>
  </si>
  <si>
    <t>SH-0252</t>
  </si>
  <si>
    <t>O-1206</t>
  </si>
  <si>
    <t>Desenvolvimento de Sistema LDS para Gelado - SNC</t>
  </si>
  <si>
    <t>Revisar RV</t>
  </si>
  <si>
    <t>O-1205</t>
  </si>
  <si>
    <t>ID Pozos de Remediación La Brea - MLCC</t>
  </si>
  <si>
    <t>Se envió actualización por proyecto SH-0265</t>
  </si>
  <si>
    <t>O-1204</t>
  </si>
  <si>
    <t>PUCOBRE</t>
  </si>
  <si>
    <t>Holding Tank Alimentación Filtros Cerámicos Relaves - Pucobre</t>
  </si>
  <si>
    <t>SH-0251</t>
  </si>
  <si>
    <t>O-1203</t>
  </si>
  <si>
    <t>Key Process</t>
  </si>
  <si>
    <t>ID Sistema de Dosificacion de Reactivo Agua Desalada - QB2 - Key Process</t>
  </si>
  <si>
    <t>Extensión solicitada</t>
  </si>
  <si>
    <t>O-1202</t>
  </si>
  <si>
    <t>Actualizacion Estudio Captacion y Evacuacion Aguas Lluvias CPA - Sodexo</t>
  </si>
  <si>
    <t>Rafael preguntar</t>
  </si>
  <si>
    <t>O-1201</t>
  </si>
  <si>
    <t>Ingenieria Reparacion Estructural Muros Laterales Cajón 2100-CV-001 - MLCC</t>
  </si>
  <si>
    <t>O-1200</t>
  </si>
  <si>
    <t>Tradeoff Estanque Agitado vs Hormigon - HATCH</t>
  </si>
  <si>
    <t>O-1199</t>
  </si>
  <si>
    <t>Verificación Chequeo Puente Los Loros - MLCC</t>
  </si>
  <si>
    <t>SH-0219 NT-001</t>
  </si>
  <si>
    <t>O-1198</t>
  </si>
  <si>
    <t>Memo Técnico Observaciones SMA - MVC</t>
  </si>
  <si>
    <t>SH-0250</t>
  </si>
  <si>
    <t>O-1197</t>
  </si>
  <si>
    <t>Sierra Atacama</t>
  </si>
  <si>
    <t>ID Conducción PLS - Minera Sierra Atacama</t>
  </si>
  <si>
    <t>Cliente llamó a Hernan Castro</t>
  </si>
  <si>
    <t>O-1196</t>
  </si>
  <si>
    <t>David Rouselle</t>
  </si>
  <si>
    <t xml:space="preserve"> IBA Pozas Evaporacion Sur Viejo - SQM</t>
  </si>
  <si>
    <t>O-1195</t>
  </si>
  <si>
    <t>Marcobre</t>
  </si>
  <si>
    <t>Revision Capacidad de Carga Chanchado Grueso y Fino - Mina Justa - Marcobre</t>
  </si>
  <si>
    <t>O-1194</t>
  </si>
  <si>
    <t>Auditoría Gestión Tranque de Relaves</t>
  </si>
  <si>
    <t>Delfing adjudicado</t>
  </si>
  <si>
    <t>O-1193</t>
  </si>
  <si>
    <t>Davor Versalovic</t>
  </si>
  <si>
    <t>Actualización Costos Impulsión de Agua de Mar Pampa Orcoma</t>
  </si>
  <si>
    <t>PVZ llamará primera semana de septiembre</t>
  </si>
  <si>
    <t>O-1192</t>
  </si>
  <si>
    <t>Precalificación ITO e Ingenierias Recursos Hídricos RT</t>
  </si>
  <si>
    <t>Clasificados</t>
  </si>
  <si>
    <t>O-1191</t>
  </si>
  <si>
    <t>SRK</t>
  </si>
  <si>
    <t>Informe Impulsión de Relaves Mina el Romeros a Depósito El Trigo</t>
  </si>
  <si>
    <t>O-1190</t>
  </si>
  <si>
    <t>Ingeniería Básica Avanzada Agua Tratada Campamento a Piscina de Procesos</t>
  </si>
  <si>
    <t>PV llamará a C Avendaño</t>
  </si>
  <si>
    <t>SH-0247</t>
  </si>
  <si>
    <t>O-1189</t>
  </si>
  <si>
    <t>Factibilidad Impulsión de Relaves a Rajo Centinela Sulfuros</t>
  </si>
  <si>
    <t>O-1188</t>
  </si>
  <si>
    <t>Ingeniería de Detalles Pozos Remediación  El Tambo</t>
  </si>
  <si>
    <t>O-1187</t>
  </si>
  <si>
    <t>Placas de Orificio Proyecto Gelado</t>
  </si>
  <si>
    <t>O-1186</t>
  </si>
  <si>
    <t>Mejoramiento Transporte Chancado Terciario Acopio</t>
  </si>
  <si>
    <t>O-1185</t>
  </si>
  <si>
    <t>Verificación Estructural Cruce - El Soldado</t>
  </si>
  <si>
    <t>O-1184</t>
  </si>
  <si>
    <t>Ingeniería Factibilidad Planta El Espino 14 KTPD</t>
  </si>
  <si>
    <t>Esperando respuestas (200)</t>
  </si>
  <si>
    <t>O-1183</t>
  </si>
  <si>
    <t>Expande</t>
  </si>
  <si>
    <t xml:space="preserve"> BHP Tailings Challenge - Expande</t>
  </si>
  <si>
    <t>NO NOS PRESENTAREMOS</t>
  </si>
  <si>
    <t>O-1182</t>
  </si>
  <si>
    <t>Revisión Experta Tranque de Relaves Las Tórtolas - Los Bronces - Anglo</t>
  </si>
  <si>
    <t>SH-0245</t>
  </si>
  <si>
    <t>O-1181</t>
  </si>
  <si>
    <t>TANDP</t>
  </si>
  <si>
    <t>Pedro Cortes</t>
  </si>
  <si>
    <t>pcortes@tandp.cl</t>
  </si>
  <si>
    <t xml:space="preserve"> Apoyo Elaboracion BT Etapas ID EPC Expansion Centinela - AMSA - TANDP</t>
  </si>
  <si>
    <t>Pedro Cortés no tiene noticias</t>
  </si>
  <si>
    <t>O-1180</t>
  </si>
  <si>
    <t>ABENGOA</t>
  </si>
  <si>
    <t>Ingenieria en Terreno Normalizacion Almacenamiento Sustancias Peligrosas - ABENGOA</t>
  </si>
  <si>
    <t>O-1179</t>
  </si>
  <si>
    <t>ramon.valdivia@hatch.com</t>
  </si>
  <si>
    <t>Análisis de Flexibilidad IB Relaves Espesados Talabre - HATCH - CODELCO</t>
  </si>
  <si>
    <t>SH-0240</t>
  </si>
  <si>
    <t>O-1178</t>
  </si>
  <si>
    <t>Tradeoff Bombeo Relaves Espesados y AF IB Relaves Espesados Talabre - HATCH - CODELCO</t>
  </si>
  <si>
    <t>O-1177</t>
  </si>
  <si>
    <t>Ingeniería de Terreno Normalización Almacenameinto Sustancias Peligrosas</t>
  </si>
  <si>
    <t>O-1176</t>
  </si>
  <si>
    <t>Engenharia Sistema Bombeamento Vargem Grande</t>
  </si>
  <si>
    <t>Dolglas pregunta a Simone</t>
  </si>
  <si>
    <t>O-1175</t>
  </si>
  <si>
    <t>simone.pereira@vale.com</t>
  </si>
  <si>
    <t>Servico Especializados em Transporte de Polpa, Agua e Rejeito - VALE</t>
  </si>
  <si>
    <t>Contrato Abierto con Vale</t>
  </si>
  <si>
    <t>SH-0289</t>
  </si>
  <si>
    <t>O-1174</t>
  </si>
  <si>
    <t>IC Repotenciamiento Sistema Recirculación de Agua La Brea - MLCC</t>
  </si>
  <si>
    <t>Adjudicado solo Actualización IC</t>
  </si>
  <si>
    <t>SH-0219 OS15</t>
  </si>
  <si>
    <t>ID Repotenciamiento Sistema Recirculacion de Agua La Brea - MLCC</t>
  </si>
  <si>
    <t>SH-0219 OS18</t>
  </si>
  <si>
    <t>O-1173</t>
  </si>
  <si>
    <t>Estudio Levantamiento Vulnerabilidades Cambios Relaves - DET - Codelco</t>
  </si>
  <si>
    <t>PVZ llamar</t>
  </si>
  <si>
    <t>O-1172</t>
  </si>
  <si>
    <t>Padrao Proteccion Catodica - VALE</t>
  </si>
  <si>
    <t>O-1171</t>
  </si>
  <si>
    <t>Ingeniería de Detalles y Permisos Conexión Ruta 1</t>
  </si>
  <si>
    <t>CMQ enviará correo</t>
  </si>
  <si>
    <t>O-1170</t>
  </si>
  <si>
    <t>HS Services</t>
  </si>
  <si>
    <t>O-1169</t>
  </si>
  <si>
    <t>Apoyo Permisos Tramos F-121 Proyecto ID Suministro Agua Fresca El Soldado</t>
  </si>
  <si>
    <t>SH-0233</t>
  </si>
  <si>
    <t>O-1168</t>
  </si>
  <si>
    <t>Servicios de Monitoreo Hidrico y Meteorologico Periodo 2021-2022-CODELCO</t>
  </si>
  <si>
    <t>Aclaracion Económica Enviada</t>
  </si>
  <si>
    <t>O-1167</t>
  </si>
  <si>
    <t>Informe PEA Proyecto Encierro</t>
  </si>
  <si>
    <t>CM llamarà a Paul</t>
  </si>
  <si>
    <t>O-1166</t>
  </si>
  <si>
    <t>Ingeniería Conceptual Pozos de Remediación La Brea y El Tambo - MLCC</t>
  </si>
  <si>
    <t>Ricardo Yañez conrato aparte</t>
  </si>
  <si>
    <t>SH-0248</t>
  </si>
  <si>
    <t>O-1165</t>
  </si>
  <si>
    <t>Monitoreo Hidrologico Hidrogeologico Futuro Andina - CODELCO</t>
  </si>
  <si>
    <t>O-1164</t>
  </si>
  <si>
    <t>Calculo Distancia Peligrosa Deposito Relaves Finos y Gruesos - Mantos Blancos</t>
  </si>
  <si>
    <t>Evaluación Pendiente</t>
  </si>
  <si>
    <t>O-1163</t>
  </si>
  <si>
    <t xml:space="preserve"> Asesoría Experta Estudio Fases SPS-DPS Sistema Clasificación, Transporte y Distribución de Relaves - SGO BHP</t>
  </si>
  <si>
    <t>descuento de 5%. Llamara RV. Esperando Carta de adjudicación</t>
  </si>
  <si>
    <t>O-1162</t>
  </si>
  <si>
    <t>Sercabol</t>
  </si>
  <si>
    <t>ID Estanque Vertical - Sercabol</t>
  </si>
  <si>
    <t>Cliente averiguando</t>
  </si>
  <si>
    <t>O-1161</t>
  </si>
  <si>
    <t>Monitoreo Hidrologico Hidrogeologico Proyecto Futuro Andina - CODELCO</t>
  </si>
  <si>
    <t>Nula - Repetida</t>
  </si>
  <si>
    <t>O-1160</t>
  </si>
  <si>
    <t>VALKO</t>
  </si>
  <si>
    <t xml:space="preserve"> Ingenieria Sistema de Bombeo Recirculacion Temporal 7ma Etapa Caren - Codelco - VALKO</t>
  </si>
  <si>
    <t>PVZ llamará a italiano</t>
  </si>
  <si>
    <t>O-1159</t>
  </si>
  <si>
    <t>Estudios Peraltamiento Muro de Refuerzo del Murode Pie Planta JAM - ENAMI</t>
  </si>
  <si>
    <t>Propuesta Desierta</t>
  </si>
  <si>
    <t>O-1158</t>
  </si>
  <si>
    <t>IC Habilitación Nuevos Pozos Remediación El Tambo - La Brea - MLCC</t>
  </si>
  <si>
    <t>SH-0219 OS12</t>
  </si>
  <si>
    <t>O-1157</t>
  </si>
  <si>
    <t>IC Nuevo Deposito de Relaves Filtrados - El Soldado - AAS</t>
  </si>
  <si>
    <t>PRECALIFICADOS. ESPERANDO BASES. Proceso O1264</t>
  </si>
  <si>
    <t>O-1156</t>
  </si>
  <si>
    <t>Servicios de Capacitación GTFT MLP</t>
  </si>
  <si>
    <t>SH-0244</t>
  </si>
  <si>
    <t>O-1155</t>
  </si>
  <si>
    <t>ITO Especializado Implementación Spigots</t>
  </si>
  <si>
    <t>O-1154</t>
  </si>
  <si>
    <t>ID Suministro de Agua Fresca - Análisis Económico Comparativo para Compra de Agua - El Soldado</t>
  </si>
  <si>
    <t>SH-0233 NOC3</t>
  </si>
  <si>
    <t>O-1153</t>
  </si>
  <si>
    <t>SOCONOR</t>
  </si>
  <si>
    <t xml:space="preserve"> Revision Ingenieria Deposito Interior Relaves Espesados - Planta Vallenar - ENAMI - SOCONOR</t>
  </si>
  <si>
    <t>O-1152</t>
  </si>
  <si>
    <t>ID Suministro de Agua Fresca - Análisis para Protección de Cañería de Transporte de Agua Tramo EB El Melón - El Soldado</t>
  </si>
  <si>
    <t>O-1151</t>
  </si>
  <si>
    <t>Movitec</t>
  </si>
  <si>
    <t>MEL</t>
  </si>
  <si>
    <t>Aldo Rivera</t>
  </si>
  <si>
    <t>Servicio Integral para Sistemas de Riesgo Pilas Lixiviacion - Escondida - Movitec</t>
  </si>
  <si>
    <t>Sin información de cliente</t>
  </si>
  <si>
    <t>O-1150</t>
  </si>
  <si>
    <t>SALFA</t>
  </si>
  <si>
    <t xml:space="preserve"> Revision Ingenieria Deposito Interior Relaves Espesados - Planta Vallenar - ENAMI </t>
  </si>
  <si>
    <t>O-1149</t>
  </si>
  <si>
    <t xml:space="preserve"> Revision Ingenieria Deposito Interior Relaves Espesados - Planta Vallenar - ENAMI - VALKO</t>
  </si>
  <si>
    <t>O-1148</t>
  </si>
  <si>
    <t xml:space="preserve"> Revision Ingenieria Deposito Interior Relaves Espesados - Planta Vallenar - ENAMI - INCOLUR</t>
  </si>
  <si>
    <t>SH-0243 (NULO)</t>
  </si>
  <si>
    <t>O-1147</t>
  </si>
  <si>
    <t>ID Canales de Contorno - MLCC</t>
  </si>
  <si>
    <t>SH-0219 OS11</t>
  </si>
  <si>
    <t>O-1146</t>
  </si>
  <si>
    <t>Apoyo Especializado Hidráulica Proyecto Ingeniería Básica Relaves Espesados Talabre</t>
  </si>
  <si>
    <t>O-1145</t>
  </si>
  <si>
    <t>NDC Analisis Porteo desde los Litres al El Soldado - AAES</t>
  </si>
  <si>
    <t>O-1144</t>
  </si>
  <si>
    <t>Apoyo Profesionales Andina - Arcadis</t>
  </si>
  <si>
    <t>O-1143</t>
  </si>
  <si>
    <t>Estudio Pertinencia Ambiental Canales de Contorno Oriente 2 y 3 – MLCC //
Contrato Nº 4600000261 Servicios Multidisciplinarios de Ingeniería.</t>
  </si>
  <si>
    <t>O-1142</t>
  </si>
  <si>
    <t>Actividades Documentales Area Relaves SGO</t>
  </si>
  <si>
    <t>Cristian Cano no pesca</t>
  </si>
  <si>
    <t>O-1141</t>
  </si>
  <si>
    <t>Ingenieria Mejoramiento Integral (Cuba) Molienda- MLCC</t>
  </si>
  <si>
    <t>O-1140</t>
  </si>
  <si>
    <t>Ingeniería Adecuaciones Reboses (Cuba) Molienda- MLCC</t>
  </si>
  <si>
    <t>O-1139</t>
  </si>
  <si>
    <t>Revisión Proyecto Impulsión de Yesos Efluentes Planta de Neutralización San Francisco.</t>
  </si>
  <si>
    <t>SH-0236</t>
  </si>
  <si>
    <t>O-1138</t>
  </si>
  <si>
    <t>Actualización Disposición de Cañerías Estación de Bombeo PS3</t>
  </si>
  <si>
    <t>O-1137</t>
  </si>
  <si>
    <t>Ingeniería de Enlace Depósito Interior Relaves Espesados - Planta Vallenar - ENAMI - HS</t>
  </si>
  <si>
    <t>O-1136</t>
  </si>
  <si>
    <t>GOLDER</t>
  </si>
  <si>
    <t>Simulación Cajón Distribuidor CFD</t>
  </si>
  <si>
    <t>O-1135</t>
  </si>
  <si>
    <t xml:space="preserve">Manuales de Operación Proyecto Relaves Spence </t>
  </si>
  <si>
    <t>O-1134</t>
  </si>
  <si>
    <t>Ingeniería Conducción de Derrames Molienda</t>
  </si>
  <si>
    <t>IV</t>
  </si>
  <si>
    <t>O-1133</t>
  </si>
  <si>
    <t>Ingeniería de Detalles Remoción Harneros</t>
  </si>
  <si>
    <t>O-1132</t>
  </si>
  <si>
    <t>ITO Fabricación y Reparación de Spools y Ductos</t>
  </si>
  <si>
    <t>SH-0239</t>
  </si>
  <si>
    <t>O-1131</t>
  </si>
  <si>
    <t>Revisión Experta Impulsión de Yesos Disciplinas Mecánica - Piping</t>
  </si>
  <si>
    <t>SH-0237</t>
  </si>
  <si>
    <t>O-1130</t>
  </si>
  <si>
    <t xml:space="preserve">Padrões para caracterização de polpas em transporte hidráulico a longa distancia </t>
  </si>
  <si>
    <t>Trabajo último trimestre 2020</t>
  </si>
  <si>
    <t>SH-0235 OS02</t>
  </si>
  <si>
    <t>O-1129</t>
  </si>
  <si>
    <t>Padrões para Inspeção com PIGS instrumentais em tubulações a longa distancia</t>
  </si>
  <si>
    <t>SH-0235 OS01</t>
  </si>
  <si>
    <t>O-1128</t>
  </si>
  <si>
    <t>ID Solución Remoción Equipos de Bombeo Alimentación Ciclones Molienda</t>
  </si>
  <si>
    <t>O-1127</t>
  </si>
  <si>
    <t>Peralte Cajón sobre Tamaño (Cuba) Molienda</t>
  </si>
  <si>
    <t>SH-0219 OS10</t>
  </si>
  <si>
    <t>O-1126</t>
  </si>
  <si>
    <t>ID Sistema de Manejo y Recuperacion de Bolas Molienda</t>
  </si>
  <si>
    <t>O-1125</t>
  </si>
  <si>
    <t>ID Plataforma Remocion y Retiro Harneros</t>
  </si>
  <si>
    <t>O-1124</t>
  </si>
  <si>
    <t>IConceptual Plataformas Remoción y Retiro Harneros - Edificio Molienda - MLCC// Contrato Nº 4600000261</t>
  </si>
  <si>
    <t>SH-0219 OS09</t>
  </si>
  <si>
    <t>O-1123</t>
  </si>
  <si>
    <t>ID Plataforma Acceso Harneros</t>
  </si>
  <si>
    <t>O-1122</t>
  </si>
  <si>
    <t>Mejoramiento Bombeo Piscina de Emergencia Flotación - MLCC// Contrato Nº 4600000261</t>
  </si>
  <si>
    <t>O-1121</t>
  </si>
  <si>
    <t>Línea Relaves Finos Mantos Blancos</t>
  </si>
  <si>
    <t>O-1120</t>
  </si>
  <si>
    <t>Estudio Hidrico - Antofagasta Minerals</t>
  </si>
  <si>
    <t>O-1119</t>
  </si>
  <si>
    <t>Licitacion Servicios de Ingenierías Mantencion Concentradora</t>
  </si>
  <si>
    <t>O-1118</t>
  </si>
  <si>
    <t>Ingenieria de Detalles Adquisicion y MO</t>
  </si>
  <si>
    <t>O-1117</t>
  </si>
  <si>
    <t>Elaboração De Manual De Operações Mineroduto Gelado</t>
  </si>
  <si>
    <t>SH-0223</t>
  </si>
  <si>
    <t>O-1116</t>
  </si>
  <si>
    <t>Verificación Fundaciones Existentes</t>
  </si>
  <si>
    <t>O-1115</t>
  </si>
  <si>
    <t>Atividades de Engenharia inerentes a disciplina de Tubulação 􀂱 Contrato 5854</t>
  </si>
  <si>
    <t>SH-0197</t>
  </si>
  <si>
    <t>O-1114</t>
  </si>
  <si>
    <t>E Basica Bombeio Rejeitoduto - Vale - SNC</t>
  </si>
  <si>
    <t>O-1113</t>
  </si>
  <si>
    <t>Licitación Remediacion de Pisos, Fundaciones y Muros Tank Farm - Minera Cerro Colorado</t>
  </si>
  <si>
    <t>RV consultará</t>
  </si>
  <si>
    <t>O-1112</t>
  </si>
  <si>
    <t>Precalificacion: Servicio de Ingenieria Contraparte</t>
  </si>
  <si>
    <t>RV consultó. Aún en evaluación</t>
  </si>
  <si>
    <t>O-1111</t>
  </si>
  <si>
    <t>IF Sistema de Clasificación e Infraestructura Proyecto Tranque Ovejeria: Dren Longitudinal Etapa 8 y Obras diferidas sobre cota 648 msnm</t>
  </si>
  <si>
    <t>O-1110</t>
  </si>
  <si>
    <t xml:space="preserve">Actualización Presupuestaria - Ingeniería de Detalles Mejora Suministro Aguas El Soldado </t>
  </si>
  <si>
    <t>O-1109</t>
  </si>
  <si>
    <t>Plan de Remoción de Relaves Tranque Piuquenes</t>
  </si>
  <si>
    <t>SH-0232</t>
  </si>
  <si>
    <t>O-1108</t>
  </si>
  <si>
    <t>Tetra Tech</t>
  </si>
  <si>
    <t>Serviços De Consolidação De Projeto Conceitual E Desenvolvimento De Projeto Básico – Sistema De Bombeio De Rejeitos Arenosos E Rejeitos De Lamas</t>
  </si>
  <si>
    <t>SH-0242</t>
  </si>
  <si>
    <t>O-1107</t>
  </si>
  <si>
    <t>ID Nueva Correa Transportadora Chancado Secundario Seccion 3-El Soldado-Anglo</t>
  </si>
  <si>
    <t>Propuesta congelada por contigencias COVID</t>
  </si>
  <si>
    <t>O-1106</t>
  </si>
  <si>
    <t>Diseño Zanjas Transporte de Relaves - Sistema Supresión de Polvos Orden de Compra N° 4506332326</t>
  </si>
  <si>
    <t>Pablo conversará con Mauricio Olivares</t>
  </si>
  <si>
    <t>O-1105</t>
  </si>
  <si>
    <t>Estudio de Mecánica de Suelo Rehabilitación Módulo W-10 Dormitorio Campamento
Carrizalillo- MLCC // Contrato Nº 4600000261</t>
  </si>
  <si>
    <t>O-1104</t>
  </si>
  <si>
    <t>Precalificacion: Ingenieria de Factibilidad Sistema de Clasificacion e Infraestructura Proyecto Tranque Ovejeria: Dren Longitudinal Etapa 8 y Obras Diferidas dobre Cota 648 msnm</t>
  </si>
  <si>
    <t>O-1103</t>
  </si>
  <si>
    <t>ID Mejoramiento Suministro Aguas El Soldado - Anglo</t>
  </si>
  <si>
    <t>O-1102</t>
  </si>
  <si>
    <t>Ingenieria Grua de Edificio Molienda</t>
  </si>
  <si>
    <t>O-1101</t>
  </si>
  <si>
    <t>Estudio factibilidad conducción por tubería Canales de Contorno Oriente 2 y 3 – MLCC
// Contrato Nº 4600000261</t>
  </si>
  <si>
    <t>SH-0219-OS08</t>
  </si>
  <si>
    <t>O-1100</t>
  </si>
  <si>
    <t>Término Ingeniería con Información Vendor - CEDRE</t>
  </si>
  <si>
    <t>O-1099</t>
  </si>
  <si>
    <t>Ingeniería Nuevo Tramo Cañería Agua Fresca Los Litres El Melon</t>
  </si>
  <si>
    <t>Propuesta Adjudicada O1103</t>
  </si>
  <si>
    <t>O-1098</t>
  </si>
  <si>
    <t>Apoyo Repulpeo Tranque Piuquenes DAND</t>
  </si>
  <si>
    <t>O-1097</t>
  </si>
  <si>
    <t>Estudio Sistema Detección de Fugas Piscinas Emergencias Sector Refino</t>
  </si>
  <si>
    <t>O-1096</t>
  </si>
  <si>
    <t>Levantamiento Instalaciones Mineroductos</t>
  </si>
  <si>
    <t>O-1095</t>
  </si>
  <si>
    <t>Ingenieria General Impulsión Agua Fresca por Ruta F-121</t>
  </si>
  <si>
    <t>O-1094</t>
  </si>
  <si>
    <t>Estudio Transiente Sistema Golpe Ariete Línea Refino</t>
  </si>
  <si>
    <t>SH-0219-OS07</t>
  </si>
  <si>
    <t>O-1093</t>
  </si>
  <si>
    <t>Validacion Diseño Sistemas Transporte, Distribución y Clasificación Relaves Spence</t>
  </si>
  <si>
    <t>Reemplazada por la O1163</t>
  </si>
  <si>
    <t>O-1092</t>
  </si>
  <si>
    <t>Nueva Linea Chancado y Molienda Escoria Planta Matta</t>
  </si>
  <si>
    <t>O-1091</t>
  </si>
  <si>
    <t>Ingeniería Cambio de Trazado Línea de Relave</t>
  </si>
  <si>
    <t>Oferta enviada a Jaime Riquelme Serey</t>
  </si>
  <si>
    <t>SH-0231</t>
  </si>
  <si>
    <t>O-1090</t>
  </si>
  <si>
    <t>Entrenamiento Operacional Sistema Disposición de Relaves Proyecto Spence Grow Option</t>
  </si>
  <si>
    <t>SH-0238</t>
  </si>
  <si>
    <t>O-1089</t>
  </si>
  <si>
    <t>Estudio Sistema de Monitoreo en Línea</t>
  </si>
  <si>
    <t>O-1088</t>
  </si>
  <si>
    <t>Comisionamiento y Operación Concentraducto y Acueducto QB2</t>
  </si>
  <si>
    <t>O-1087</t>
  </si>
  <si>
    <t>EL ESPINO</t>
  </si>
  <si>
    <t>ID Sistema Impulsion Agua de Mar</t>
  </si>
  <si>
    <t>PVZ llamar a Juan Pablo Saavedra</t>
  </si>
  <si>
    <t>O-1086</t>
  </si>
  <si>
    <t>Estudio CFD de Estanque de Distribución y Simulación Depositación de Relaves</t>
  </si>
  <si>
    <t>O-1085</t>
  </si>
  <si>
    <t>Ingeniería Contraparte ID Captación, Impulsión y Conducción Agua de Mar</t>
  </si>
  <si>
    <t>PVZ consultará a Cristián Avendaño. Seguidor de lino (despedido)</t>
  </si>
  <si>
    <t>O-1084</t>
  </si>
  <si>
    <t>ODT N° 3 Paquete Técnico Modificación Spigots</t>
  </si>
  <si>
    <t>SH-0193 ODT N 3</t>
  </si>
  <si>
    <t>O-1083</t>
  </si>
  <si>
    <t>Ingeniería Diseño Captación Agua Norte y Agua Recuperada Dropbox</t>
  </si>
  <si>
    <t>SH-0219-OS06</t>
  </si>
  <si>
    <t>O-1082</t>
  </si>
  <si>
    <t>INGENIERÍA DRENAJE MINA GRANATE</t>
  </si>
  <si>
    <t>O-1081</t>
  </si>
  <si>
    <t>Asistencia a Inspección Técnica de Obras</t>
  </si>
  <si>
    <t>O-1080</t>
  </si>
  <si>
    <t>Servicios de Ingenieria Especializada</t>
  </si>
  <si>
    <t>O-1079</t>
  </si>
  <si>
    <t>KORDA</t>
  </si>
  <si>
    <t>Ingeniería de Detalle Harneros Korda</t>
  </si>
  <si>
    <t>O-1078</t>
  </si>
  <si>
    <t>Servicos Varios e Integridade para Gestao de Ativos Sistemas de Bombeamento</t>
  </si>
  <si>
    <t>Licitación Preparada por Dolglas
se envia por email la oferta</t>
  </si>
  <si>
    <t>SH-0235</t>
  </si>
  <si>
    <t>O-1077</t>
  </si>
  <si>
    <t>Apoyo Relaves Escondida</t>
  </si>
  <si>
    <t>O-1076</t>
  </si>
  <si>
    <t>ID y Enlace HAF TRF y CV-001</t>
  </si>
  <si>
    <t>O-1075</t>
  </si>
  <si>
    <t>Silvana Dal Pozzo</t>
  </si>
  <si>
    <t xml:space="preserve">Adicional Tareas ITRB Apoyo Operacional Experto de Relaves Proyecto Spence Grow Option (SGO) </t>
  </si>
  <si>
    <t>Propuesta Incorporada a O1036</t>
  </si>
  <si>
    <t>SH-0178</t>
  </si>
  <si>
    <t>O-1074</t>
  </si>
  <si>
    <t>Ingenierías de Factibilidad Mejoras Operacionales Planta CNN</t>
  </si>
  <si>
    <t>Adjudicada Rev 3</t>
  </si>
  <si>
    <t>SH-0230</t>
  </si>
  <si>
    <t>O-1073</t>
  </si>
  <si>
    <t>Osvaldo Pérez</t>
  </si>
  <si>
    <t xml:space="preserve">Participación Taller Eficiencia Hídrica </t>
  </si>
  <si>
    <t>O-1072</t>
  </si>
  <si>
    <t>Servicios de Ingeniería Especilidades Agua y Relaves</t>
  </si>
  <si>
    <r>
      <t xml:space="preserve">Entrega de Licitacion 11-11-2019
</t>
    </r>
    <r>
      <rPr>
        <sz val="10"/>
        <color rgb="FFFF0000"/>
        <rFont val="Calibri"/>
        <family val="2"/>
        <scheme val="minor"/>
      </rPr>
      <t>Se entrega Nueva Oferta Economica en Rev 1 10/12/2019, solicitado por Codelco</t>
    </r>
  </si>
  <si>
    <t>O-1071</t>
  </si>
  <si>
    <t>Felipe Carmona</t>
  </si>
  <si>
    <t>Retratamiento Relaves CCMC</t>
  </si>
  <si>
    <t>O-1070</t>
  </si>
  <si>
    <t>Contrato Marco de Ingeniería Menores</t>
  </si>
  <si>
    <t>No precalificamos.</t>
  </si>
  <si>
    <t>O-1069</t>
  </si>
  <si>
    <t>ID Manejo Aluviones Quebrada Angelica - MLCC</t>
  </si>
  <si>
    <t>O-1068</t>
  </si>
  <si>
    <t>Mauricio Villalobos</t>
  </si>
  <si>
    <t>Ingeniería Harneros de Alimentación Espesador de Concentrado de Hierro – Planta Cerro Negro Norte</t>
  </si>
  <si>
    <t>SH-0229</t>
  </si>
  <si>
    <t>O-1067</t>
  </si>
  <si>
    <t>Hector Guerra</t>
  </si>
  <si>
    <t>Visita Técnica Proyecto Mejoras Operacionales Planta Cerro Negro Norte</t>
  </si>
  <si>
    <t>Servicio incluido en la O-1074</t>
  </si>
  <si>
    <t>O-1066</t>
  </si>
  <si>
    <t xml:space="preserve">SERVICIOS DE INGENIERÍA PARA EL ÁREA AGUAS Y RELAVES
ADICIONAL MODIFICACION DE SPIGOTS Y REBOSES </t>
  </si>
  <si>
    <t>O-1065</t>
  </si>
  <si>
    <t>Proyecto Mejoras CNN</t>
  </si>
  <si>
    <t>O-1064</t>
  </si>
  <si>
    <t>Consultoría Pedro Valencia - Proyecto Quellaveco</t>
  </si>
  <si>
    <t>SH-0225</t>
  </si>
  <si>
    <t>O-1063</t>
  </si>
  <si>
    <t>Leonel Meza</t>
  </si>
  <si>
    <t>Análisis de Permisos aplicables y Elaboración de los expedientes para el Proyecto CEDRE- CAP – Ingeniería Básica Avanzada Proyecto Cese Descarga De Relaves al Mar</t>
  </si>
  <si>
    <t>Jorge Gonzalez</t>
  </si>
  <si>
    <t>O-1062</t>
  </si>
  <si>
    <t>Desarrollo Informe Inversiones Proyecto CEDRE- CAP – Ingeniería Básica Avanzada Proyecto Cese Descarga De Relaves al Mar.</t>
  </si>
  <si>
    <t>SH-0224</t>
  </si>
  <si>
    <t>O-1061</t>
  </si>
  <si>
    <t>Oferta Precalificacion Reemplaza por IDEM O1072
PRECALIFICAMOS</t>
  </si>
  <si>
    <t>O-1060</t>
  </si>
  <si>
    <t xml:space="preserve"> ID Unidad Hidráulica para Válvulas de 18” - MLCC// Contrato Nº 4600000261</t>
  </si>
  <si>
    <t>SH-0219-OS05</t>
  </si>
  <si>
    <t>O-1059</t>
  </si>
  <si>
    <t>Ingeniería Detalles Disco de Ruptura Línea 18” - MLCC// Contrato Nº 4600000261</t>
  </si>
  <si>
    <t>SH-0219-OS04</t>
  </si>
  <si>
    <t>O-1058</t>
  </si>
  <si>
    <t>Servicio de Ingenieria de Terreno y Apoyo a Construccion</t>
  </si>
  <si>
    <r>
      <t xml:space="preserve">Respuestas de Precalificacion 25-07-2019
</t>
    </r>
    <r>
      <rPr>
        <sz val="10"/>
        <color rgb="FFFF0000"/>
        <rFont val="Calibri"/>
        <family val="2"/>
        <scheme val="minor"/>
      </rPr>
      <t>AUN NO HAY RESPUESTAS</t>
    </r>
  </si>
  <si>
    <t>O-1057</t>
  </si>
  <si>
    <t xml:space="preserve">Servicios de Ingenieria y Apoyo a la Superintendencia de relaves </t>
  </si>
  <si>
    <t>Se envio Carta Excusa por no encontrar el Ingeniero de Gestion (Personal Clave)</t>
  </si>
  <si>
    <t>O-1056</t>
  </si>
  <si>
    <t>ID By Pass Cajón 6620-DI-024 - MLCC // Contrato Nº 4600000261</t>
  </si>
  <si>
    <t>SH-0219-OS03</t>
  </si>
  <si>
    <t>O-1055</t>
  </si>
  <si>
    <t>INGENIERÍA OPTIMIZACIÓN SUMINISTRO AIRE PLANTA</t>
  </si>
  <si>
    <t>O-1054</t>
  </si>
  <si>
    <t>ATUALIZAÇÃO DA FILOSOFIA DE OPERAÇÃO DO MINERODUTO E CALHA TUBULAR DO PROJETO GELADO</t>
  </si>
  <si>
    <t>O-1053</t>
  </si>
  <si>
    <t>Contrato N° 4501810637 Ingeniería de Terreno Fase II – Ampliación Tranque Talabre VIII Etapa - Análisis de Flexibilidad</t>
  </si>
  <si>
    <t>SH-0202-OSXX</t>
  </si>
  <si>
    <t>O-1052</t>
  </si>
  <si>
    <t>ESTUDOS DETALHADO DE ANÁLISE DE FLEXIBILIDADE PARA O PROJETO GELADO VALE</t>
  </si>
  <si>
    <t>O-1051</t>
  </si>
  <si>
    <t>MetalQuim</t>
  </si>
  <si>
    <t xml:space="preserve">Asesoría Hidráulica Experta </t>
  </si>
  <si>
    <t>O-1050</t>
  </si>
  <si>
    <t>Línea impulsión independiente – MTP Portal del Inca</t>
  </si>
  <si>
    <t>SH-0228</t>
  </si>
  <si>
    <t>O-1049</t>
  </si>
  <si>
    <t>Estudo Analise Hidraulica - Calha</t>
  </si>
  <si>
    <t>O-1048</t>
  </si>
  <si>
    <t xml:space="preserve">Apoyo Control de Documentos Oficina VP Santiago </t>
  </si>
  <si>
    <t>SH-0202</t>
  </si>
  <si>
    <t>O-1047</t>
  </si>
  <si>
    <t>Ingenieria Detalle Impulsion Agua Desalada - Acciona - Santo Domingo</t>
  </si>
  <si>
    <t>PVZ llamar a Waldo Lopez</t>
  </si>
  <si>
    <t>O-1046</t>
  </si>
  <si>
    <t>Haultrax</t>
  </si>
  <si>
    <t>Estudio Tradeoff Alternativas Transporte Polo Sur - Haultrax - AMSA</t>
  </si>
  <si>
    <t>O-1045</t>
  </si>
  <si>
    <t>IC Aumento Vida Util Deposito de Relaves Espesados Planta Delta</t>
  </si>
  <si>
    <t>O-1044</t>
  </si>
  <si>
    <t>Proposta Analise Pacote de Valvulas Mineroduto Gelado</t>
  </si>
  <si>
    <t>Leandro Consultará.</t>
  </si>
  <si>
    <t>O-1043</t>
  </si>
  <si>
    <t>Analisis Hidráulico PS2 - PS3</t>
  </si>
  <si>
    <t>O-1042</t>
  </si>
  <si>
    <t>Elaboración Notas Técnicas Ctto 4600000261</t>
  </si>
  <si>
    <t>SH-0219-OS1</t>
  </si>
  <si>
    <t>O-1041</t>
  </si>
  <si>
    <t>Repulpeo SPA</t>
  </si>
  <si>
    <t>Servicio de Operacion y Mantencion Repulpeo Quillayes</t>
  </si>
  <si>
    <t>O-1040</t>
  </si>
  <si>
    <t>Servicio Topograficos</t>
  </si>
  <si>
    <t>O-1039</t>
  </si>
  <si>
    <t>Complemento IB Mejoramiento Transporte Relaves</t>
  </si>
  <si>
    <t>Se confirmará visita a terreno.</t>
  </si>
  <si>
    <t>SH-0193-ODT 2</t>
  </si>
  <si>
    <t>O-1038</t>
  </si>
  <si>
    <t xml:space="preserve"> Ingenieria Estructura de Proteccion Piscina Colectiva</t>
  </si>
  <si>
    <t>O-1037</t>
  </si>
  <si>
    <t xml:space="preserve"> IB Implementacion  Harneros AF - Planta Concentradora</t>
  </si>
  <si>
    <t>Keypro gano por precio.</t>
  </si>
  <si>
    <t>O-1036</t>
  </si>
  <si>
    <t>Adicionales Apoyo Operacional Experto Relaves OC 4506332326</t>
  </si>
  <si>
    <t>O-1035</t>
  </si>
  <si>
    <t>Sistema de Bombeamento ao SP25</t>
  </si>
  <si>
    <t>O-1034</t>
  </si>
  <si>
    <t>Bypass Canaleta de Relaves</t>
  </si>
  <si>
    <t>SH-0202-ODS1</t>
  </si>
  <si>
    <t>O-1033</t>
  </si>
  <si>
    <t>IC Recuperacion Energia Aducciones Cordillera</t>
  </si>
  <si>
    <t>PV llamar a Recursos Hídricos Codelco (datos aducciones)</t>
  </si>
  <si>
    <t>O-1032</t>
  </si>
  <si>
    <t>Estudio Conceptual Sedimentador Lamelar Overflow Espesador de Concentrado</t>
  </si>
  <si>
    <t>PV enviar propuesta 10/06</t>
  </si>
  <si>
    <t>O-1031</t>
  </si>
  <si>
    <t>PV preguntar a Guido Aedo</t>
  </si>
  <si>
    <t>O-1030</t>
  </si>
  <si>
    <t>Modelo Optimizacion de Agua en Funcion Parametros Operaciones</t>
  </si>
  <si>
    <t>PV preguntar a Guido Aedo / C Avendaño</t>
  </si>
  <si>
    <t>O-1029</t>
  </si>
  <si>
    <t>O-1028</t>
  </si>
  <si>
    <t>Estudio Mejoras Especificas Operacion Relaves</t>
  </si>
  <si>
    <t>PV preguntar a Guido Aedo en la visita a terreno.</t>
  </si>
  <si>
    <t>O-1027</t>
  </si>
  <si>
    <t>Mejoramiento Ingeniería de Detalles Balsas BHP</t>
  </si>
  <si>
    <t>Reemplazada por la O-1035</t>
  </si>
  <si>
    <t>O-1026</t>
  </si>
  <si>
    <t xml:space="preserve">Manuales de Puesta en Marcha Proyecto Relaves Spence </t>
  </si>
  <si>
    <t>O-1025</t>
  </si>
  <si>
    <t>Ingeniería Detalles Transporte de Relaves</t>
  </si>
  <si>
    <t>Una vez finalizada la ODT -2 se emitirá.</t>
  </si>
  <si>
    <t>O-1024</t>
  </si>
  <si>
    <t>Ingeniería Básica, Proyecto Construcción IX Etapa Tranque Talabre, Etapa Factibilidad</t>
  </si>
  <si>
    <t>O-1023</t>
  </si>
  <si>
    <t>IB Avanzada Harneros AF - Planta Beneficio</t>
  </si>
  <si>
    <t>Reemplazada por la O1037</t>
  </si>
  <si>
    <t>O-1022</t>
  </si>
  <si>
    <t>QUEBRADA HONDA</t>
  </si>
  <si>
    <t>SOUTHERN COPPER</t>
  </si>
  <si>
    <t>Rehabilitación Linea de Agua Quebrada Honda Southern Copper</t>
  </si>
  <si>
    <t>CM preguntará</t>
  </si>
  <si>
    <t>O-1021</t>
  </si>
  <si>
    <t>Ingeniería Sistema de Transporte y Distribución de Relaves Mantoverde - Etapa Feed</t>
  </si>
  <si>
    <t>SH-0212</t>
  </si>
  <si>
    <t>O-1020</t>
  </si>
  <si>
    <t>Ingenieria Básica Sistema de Transporte, Espesamiento y Depositación de Relaves Proyecto Relaves Espesados Talabre</t>
  </si>
  <si>
    <t>Amanda Hevia</t>
  </si>
  <si>
    <t>O-1019</t>
  </si>
  <si>
    <t>Ingeniería de Factibilidad Sistema de Clasificación e Infraestructura Proyecto Tranque Ovejería Etapa 8</t>
  </si>
  <si>
    <t>Precalificacion</t>
  </si>
  <si>
    <t>O-1018</t>
  </si>
  <si>
    <t>Ingeniería de Factibilidad Sistema de Drenaje Proyecto Tranque Ovejería Etapa 8</t>
  </si>
  <si>
    <t>O-1017</t>
  </si>
  <si>
    <t>Evaluación Bombeos de Soluciones con Adición de Cloruro Planta Amalia</t>
  </si>
  <si>
    <t>SH-0216</t>
  </si>
  <si>
    <t>O-1016</t>
  </si>
  <si>
    <t xml:space="preserve">ID Reubicacion Cajon Despiedrador en Sector Venteo 1 </t>
  </si>
  <si>
    <t>Preguntar a F. Perez (PV)</t>
  </si>
  <si>
    <t>O-1015</t>
  </si>
  <si>
    <t>Homologacion Operacional</t>
  </si>
  <si>
    <t>SH-0222</t>
  </si>
  <si>
    <t>O-1014</t>
  </si>
  <si>
    <t>IB Conduccion de Agua Desalada</t>
  </si>
  <si>
    <t>O-1013</t>
  </si>
  <si>
    <t xml:space="preserve"> ID Extension Loop de Cal</t>
  </si>
  <si>
    <t>PVZ llamar a Pedro Alegre (CMDIC)</t>
  </si>
  <si>
    <t>O-1012</t>
  </si>
  <si>
    <t>Servicios de Apoyo Operacion y Controles Criticos Relaves DET</t>
  </si>
  <si>
    <t>O-1011</t>
  </si>
  <si>
    <t xml:space="preserve">Asesoría y Control Geotécnico Tranque de Relaves N 3 - Planta Matta </t>
  </si>
  <si>
    <t>O-1010</t>
  </si>
  <si>
    <t>Consultoria Depositacion de Relaves, Ingenieria, Ensayos Deposito de Relaves</t>
  </si>
  <si>
    <t>O-1009</t>
  </si>
  <si>
    <t>Talleres Relaves Antamina</t>
  </si>
  <si>
    <t>O-1008</t>
  </si>
  <si>
    <t>ID Mejoras Especificas Proyecto</t>
  </si>
  <si>
    <t>Se emitira nueva revisión 50% horas aprox.</t>
  </si>
  <si>
    <t>O-1007</t>
  </si>
  <si>
    <t>Ingenierias Menores GTFT</t>
  </si>
  <si>
    <t>Durante junio enviarán la resolución</t>
  </si>
  <si>
    <t>O-1006</t>
  </si>
  <si>
    <t>ID Sistema Atrapa Piedras</t>
  </si>
  <si>
    <t>Reemplazada por la O-1016</t>
  </si>
  <si>
    <t>O-1005</t>
  </si>
  <si>
    <t>IB Desripiador Canaletas de Relaves</t>
  </si>
  <si>
    <t>PVZ preguntará en visita a Terreno</t>
  </si>
  <si>
    <t>O-1004</t>
  </si>
  <si>
    <t>Medicion de Flujo Rebose Cajon</t>
  </si>
  <si>
    <t>O-1003</t>
  </si>
  <si>
    <t>Ctto Marco Ingenieria Multidisciplinaria - Caserones</t>
  </si>
  <si>
    <t>SH-0219</t>
  </si>
  <si>
    <t>O-1002</t>
  </si>
  <si>
    <t>Estudio Diagnóstico Espesador de Relaves Huasco - CAP</t>
  </si>
  <si>
    <t>SH-0215</t>
  </si>
  <si>
    <t>O-1001</t>
  </si>
  <si>
    <t>Mineroduto Calha Projeto Gelado (Escopo reducido) - SNC</t>
  </si>
  <si>
    <t>O-1000</t>
  </si>
  <si>
    <t>Ingenieria Repotenciamiento Correa CV004</t>
  </si>
  <si>
    <t>O-999</t>
  </si>
  <si>
    <t>Asistencia a Pruebas de Recalificación</t>
  </si>
  <si>
    <t>SH-0214</t>
  </si>
  <si>
    <t>O-998</t>
  </si>
  <si>
    <t>Ingenieria Prefactibilidad Procesamiento de Relaves</t>
  </si>
  <si>
    <t>Propuesta Congelada</t>
  </si>
  <si>
    <t>O-997</t>
  </si>
  <si>
    <t xml:space="preserve"> Suministro Agua Chacay -  PELAMBRES - EMIN</t>
  </si>
  <si>
    <t>La realizará directo Bechtel - PELAMBRES</t>
  </si>
  <si>
    <t>O-996</t>
  </si>
  <si>
    <t>Engenharia Detalhada Mineroduto e Calha Tubular - Regimen Permanente</t>
  </si>
  <si>
    <t>O-995</t>
  </si>
  <si>
    <t>Gerenciamiento Proyecto Relaves Antamina</t>
  </si>
  <si>
    <t>O-994</t>
  </si>
  <si>
    <t>INAMAR</t>
  </si>
  <si>
    <t>pdiaz@inamarvapor.cl'</t>
  </si>
  <si>
    <t>Ingeniería de Detalle Trap Box – RQ 13609</t>
  </si>
  <si>
    <t>CM preguntar a Pablo Díaz</t>
  </si>
  <si>
    <t>O-993</t>
  </si>
  <si>
    <t>Precalificación Servicio de Ingeniería Multidisciplinaria</t>
  </si>
  <si>
    <t>O-992</t>
  </si>
  <si>
    <t>Engenharia Detalhada Mineroduto e calha Tubular - Projeto Gelado</t>
  </si>
  <si>
    <t>O-991</t>
  </si>
  <si>
    <t>Ingeniería Básica Abatimiento So2 y Nox</t>
  </si>
  <si>
    <t>O-990</t>
  </si>
  <si>
    <t>Estandarización de Operación Sala de Control STF y STR</t>
  </si>
  <si>
    <t>O-989</t>
  </si>
  <si>
    <t>Estudio Modernización Planta de Cal</t>
  </si>
  <si>
    <t>Sin feedback.</t>
  </si>
  <si>
    <t>O-988</t>
  </si>
  <si>
    <t>EETT Mecánica de Suelos - Ingeniería Básica Estanques Huasco</t>
  </si>
  <si>
    <t>Cobrar a Leonal Meza</t>
  </si>
  <si>
    <t>O-987</t>
  </si>
  <si>
    <t>Inspección Técnica de Obras Fabricación y Reparación de Spools</t>
  </si>
  <si>
    <t>O-986</t>
  </si>
  <si>
    <t>Ingeniería de Detalles By Pass Cajón 6620-DI-023 - MLCC</t>
  </si>
  <si>
    <t>PVZ preguntará a JSLM y Fperez</t>
  </si>
  <si>
    <t>O-985</t>
  </si>
  <si>
    <t>Ingeniería de Detalles By Pass Cajón 6620-DI-024 - MLCC</t>
  </si>
  <si>
    <t>O-984</t>
  </si>
  <si>
    <t>Verificación Estructural Correa CV-01 Cerro Negro norte</t>
  </si>
  <si>
    <t>O-983</t>
  </si>
  <si>
    <t>Rosen Group</t>
  </si>
  <si>
    <t xml:space="preserve"> Ingeniero de Registro - PELAMBRES</t>
  </si>
  <si>
    <t>Apoyo en Licitación a Rosen Group</t>
  </si>
  <si>
    <t>O-982</t>
  </si>
  <si>
    <t>SNC Brasil</t>
  </si>
  <si>
    <t>Mineroduto Calha Projeto Gelado - SNC Brasil-N</t>
  </si>
  <si>
    <t>Propuesta O992</t>
  </si>
  <si>
    <t>O-981</t>
  </si>
  <si>
    <t xml:space="preserve"> ID Bypass Cajones 23 y 24 - MLCC</t>
  </si>
  <si>
    <t>Propuesta divida y emitda en los numeros O985/986</t>
  </si>
  <si>
    <t>O-980</t>
  </si>
  <si>
    <t>MARAMBIO</t>
  </si>
  <si>
    <t xml:space="preserve"> Propuesta Clientes Problemas Bombeo - Marambio</t>
  </si>
  <si>
    <t>O-979</t>
  </si>
  <si>
    <t>Retiro Estacion Balsa N° 7 Mauro - PELAMBRES</t>
  </si>
  <si>
    <t>Propuesta fuera de nuestro alcance</t>
  </si>
  <si>
    <t>O-978</t>
  </si>
  <si>
    <t>Estudio Puntos de Conexion VDF PEF 2 y 3 MLCC R0</t>
  </si>
  <si>
    <t>O-977</t>
  </si>
  <si>
    <t>HARPRET</t>
  </si>
  <si>
    <t>Licitacion Antucoya HARPRET</t>
  </si>
  <si>
    <t>O-976</t>
  </si>
  <si>
    <t>Analise Flexibilidade CMOC - SNC - Brasil</t>
  </si>
  <si>
    <t>O-975</t>
  </si>
  <si>
    <t>ID Construccion Infraestructura Prueba Semi-Industrial Pila ROM - KP - ANTUCOYA</t>
  </si>
  <si>
    <t>O-974</t>
  </si>
  <si>
    <t>Ingeniería de Diseño Cajón Muestreo de Concentrado - Pucobre</t>
  </si>
  <si>
    <t>SH-0209</t>
  </si>
  <si>
    <t>O-973</t>
  </si>
  <si>
    <t>Apoyo Operacional Experto Relaves Proyecto SGO 2019 - 2020 - BHP</t>
  </si>
  <si>
    <t>O-972</t>
  </si>
  <si>
    <t>ID Sistema Impulsion Aguas Quebradas Tranque el Torito - El Soldado - AAS</t>
  </si>
  <si>
    <t>Propuesta Perdida, Tarifas Altas</t>
  </si>
  <si>
    <t>O-971</t>
  </si>
  <si>
    <t>Analise de Flexibilidad Salobo - SNC</t>
  </si>
  <si>
    <t>O-970</t>
  </si>
  <si>
    <t>Ferrous SNC Brasil</t>
  </si>
  <si>
    <t>O-969</t>
  </si>
  <si>
    <t>IC Bypass y Descarga Espesadores de Relaves - Candelaria</t>
  </si>
  <si>
    <t>O-968</t>
  </si>
  <si>
    <t xml:space="preserve"> Analise de Flexibilidade Vargem Grande - SNC</t>
  </si>
  <si>
    <t>O-967</t>
  </si>
  <si>
    <t xml:space="preserve"> Ingeniería Básica Transporte de Relaves - SGSCM</t>
  </si>
  <si>
    <t>SH-0193-ODT1</t>
  </si>
  <si>
    <t>O-966</t>
  </si>
  <si>
    <t>Ingeniería Captación y Evacuación de Aguas Lluvias EPA - Sodexo</t>
  </si>
  <si>
    <t>SH-0210</t>
  </si>
  <si>
    <t>O-965</t>
  </si>
  <si>
    <t xml:space="preserve"> Plan Maestro Depositos de Relaves Caserones - MLCC</t>
  </si>
  <si>
    <t>Aclaraciones enviadas el 18-02</t>
  </si>
  <si>
    <t>O-964</t>
  </si>
  <si>
    <t xml:space="preserve"> Revision - Validacion Ingenieria SGO Area Relaves - BHP</t>
  </si>
  <si>
    <t>O-963</t>
  </si>
  <si>
    <t xml:space="preserve"> Manuales de Operacion Planta Concentradora - MLCC</t>
  </si>
  <si>
    <t>O-962</t>
  </si>
  <si>
    <t>Revisao Esp Tecnica Tubulacao Gelado - SNC Brasil</t>
  </si>
  <si>
    <t>O-961</t>
  </si>
  <si>
    <t>Analise de Flexibilidade Gelado - SNC Brasil</t>
  </si>
  <si>
    <t>O-960</t>
  </si>
  <si>
    <t xml:space="preserve"> Analise de Flexibilidade CMOC - SNC Brasil</t>
  </si>
  <si>
    <t>O-959</t>
  </si>
  <si>
    <t>Adquisiciones, Apoyo a Construcción y PEM Estanque Relaves Huasco - CAP</t>
  </si>
  <si>
    <t>Alcance integrado a la Propuesta O953</t>
  </si>
  <si>
    <t>O-958</t>
  </si>
  <si>
    <t>Manual de Operaciones Planta Moly</t>
  </si>
  <si>
    <t>SH-0158 OS25</t>
  </si>
  <si>
    <t>O-957</t>
  </si>
  <si>
    <t>ID Estanque Gemelo Coposa Norte - COLLAHUASI</t>
  </si>
  <si>
    <t xml:space="preserve">Se licitará durante marzo 2019.
</t>
  </si>
  <si>
    <t>O-956</t>
  </si>
  <si>
    <t>ATC</t>
  </si>
  <si>
    <t>O-956 Quebrada Honda</t>
  </si>
  <si>
    <t>Cobrar ATC</t>
  </si>
  <si>
    <t>O-955</t>
  </si>
  <si>
    <t xml:space="preserve"> Modificacion ID Loop de Cal - COLLAHUASI</t>
  </si>
  <si>
    <t>O-954</t>
  </si>
  <si>
    <t>Ingenieria Perfil Sistema Dewatering Mina -MLCC</t>
  </si>
  <si>
    <t>O-953</t>
  </si>
  <si>
    <t>Servicios de Ingeniería y Apoyo a la Implentación Estanques Reguladores Huasco IB Avanzada - CAP</t>
  </si>
  <si>
    <t>O-952</t>
  </si>
  <si>
    <t>SNC lavalin Brasil</t>
  </si>
  <si>
    <t>FEL 2 - Mineroducto CMOC - SNC</t>
  </si>
  <si>
    <t>O-951</t>
  </si>
  <si>
    <t>Consultoría Especializada MOPE - Proyecto Adecuaciones CNN -  CAP</t>
  </si>
  <si>
    <t>Dentro del contrato Adecuaciones (cto tipo abierto)</t>
  </si>
  <si>
    <t>O-950</t>
  </si>
  <si>
    <t>Servicios Multidisciplinarios de Ingenieria Civil - Relaves - Geotecnia - Las Tortolas - Anglo</t>
  </si>
  <si>
    <t>Ctto Marco Tarifas Enviadas Rev 1</t>
  </si>
  <si>
    <t>O-949</t>
  </si>
  <si>
    <t>Ingeniería Perfil Tradeoff Acidoducto Biocobre - Pucobre</t>
  </si>
  <si>
    <t>Pidieron rebajar a 450 UF. Emitida la revisión 1</t>
  </si>
  <si>
    <t>SH-0206</t>
  </si>
  <si>
    <t>O-948</t>
  </si>
  <si>
    <t>Actualización Estudios de Costos - Sonacol</t>
  </si>
  <si>
    <t>Proyecto congelado</t>
  </si>
  <si>
    <t>O-947</t>
  </si>
  <si>
    <t>Simulacion Cajon de Relaves - El Abra - Golder</t>
  </si>
  <si>
    <t>O-946</t>
  </si>
  <si>
    <t xml:space="preserve"> Ingenieria Basica Acidoducto Biocobre - Pucobre</t>
  </si>
  <si>
    <t>O-945</t>
  </si>
  <si>
    <t>ID Nueva Conduccion PLS Oxido Encuentro AMSA JEJ</t>
  </si>
  <si>
    <t>O-944</t>
  </si>
  <si>
    <t>Homologación operación de los supervisores PELAMBRES</t>
  </si>
  <si>
    <t>Propuesta Desierta. Se amplio alcance en licitacion O990</t>
  </si>
  <si>
    <t>O-943</t>
  </si>
  <si>
    <t>RS Ingenieria y Servicios</t>
  </si>
  <si>
    <t>Ingeniería Cambio de Línea Acero Alvenius a HDPE 16 Diámetro - RSServicios</t>
  </si>
  <si>
    <t>O-942</t>
  </si>
  <si>
    <t xml:space="preserve"> Ingeniería Aspesores Mata espuma Cajón #3 Área Rougher - MLCC</t>
  </si>
  <si>
    <t>O-941</t>
  </si>
  <si>
    <t>Ingeniería mejoramiento de carpeta vial Ruta N°1, sector 5 curvas - MLCC</t>
  </si>
  <si>
    <t>O-940</t>
  </si>
  <si>
    <t>Tradeoff Alternativas de Conexion Planta Tal Tal - ENAMI</t>
  </si>
  <si>
    <t>O-939</t>
  </si>
  <si>
    <t>Levantamiento Topográfico Totoralillo</t>
  </si>
  <si>
    <t>O-938</t>
  </si>
  <si>
    <t>Depósito de Relaves Espesados Minera Santo Domingo – Ingeniería Complementaria para la DGA - KP</t>
  </si>
  <si>
    <t>O-937</t>
  </si>
  <si>
    <t>Pruebas Pulpa Puerto - CAP</t>
  </si>
  <si>
    <t>SIN REGISTROS</t>
  </si>
  <si>
    <t>O-936</t>
  </si>
  <si>
    <t>Levantamiento Correas - CAP</t>
  </si>
  <si>
    <t>O-935</t>
  </si>
  <si>
    <t>Topografia 3D - CAP</t>
  </si>
  <si>
    <t>O-934</t>
  </si>
  <si>
    <t>IC Sistema de Impulsión de Relaves PSJ a Tranque TLC - Pucobre</t>
  </si>
  <si>
    <t>SH-0205</t>
  </si>
  <si>
    <t>O-933</t>
  </si>
  <si>
    <t>Apoyo Técnico Pozos PEF2 y PEF3 - MLCC</t>
  </si>
  <si>
    <t>SH-0158-OS24</t>
  </si>
  <si>
    <t>O-932</t>
  </si>
  <si>
    <t>Asistencia Prueba Hidrostáticas - COLLAHUASI</t>
  </si>
  <si>
    <t>SH-0203</t>
  </si>
  <si>
    <t>O-931</t>
  </si>
  <si>
    <t>Diagnóstico y Propuesta de Mejoa Sistema de Relaves - Toromocho</t>
  </si>
  <si>
    <t>O-930</t>
  </si>
  <si>
    <t>Oferta Apoyo Técnico Adquisiciones Materiales Variante 2 MLCC</t>
  </si>
  <si>
    <t>O-929</t>
  </si>
  <si>
    <t>Ingenieria Sistema de Disposicion de Relaves - Andina - CODELCO</t>
  </si>
  <si>
    <t>O-928</t>
  </si>
  <si>
    <t>Servicio Multidisciplinario Experto Apoyo a Divisiones - CODELCO</t>
  </si>
  <si>
    <t>Antecedentes enviados fuera de tiempo</t>
  </si>
  <si>
    <t>O-927</t>
  </si>
  <si>
    <t>Ingenierías Prioritarias en Agua - CDMIC</t>
  </si>
  <si>
    <t>O-926</t>
  </si>
  <si>
    <t>IC Reubicacion Estanque TK-652 MLCC</t>
  </si>
  <si>
    <t>O-925</t>
  </si>
  <si>
    <t>Ingeniería de Detalles – Torre N° 5 de Recuperación de Agua</t>
  </si>
  <si>
    <t>O-924</t>
  </si>
  <si>
    <t>Monitoreo Estaciones de Valvulas - COLLAHUASI</t>
  </si>
  <si>
    <t>O-923</t>
  </si>
  <si>
    <t>SERVICIOS DE INGENIERÍAS PARA PLANTA SAN JOSÉ Y PLANTA BIOCOBRE</t>
  </si>
  <si>
    <t>PROPUESTA CON TARIFAS PUCOBRE</t>
  </si>
  <si>
    <t>O-922</t>
  </si>
  <si>
    <t>Manejo de Relaves Antucoya - BEKA</t>
  </si>
  <si>
    <t>O-921</t>
  </si>
  <si>
    <t>CALTRA</t>
  </si>
  <si>
    <t>E Basica Assegurar Reducao Canal Rejeito P3 - MOPE - CALTRA</t>
  </si>
  <si>
    <t>O-920</t>
  </si>
  <si>
    <t>Nueva Estrategia de Recalificación de Mineroductos de 8" y7"</t>
  </si>
  <si>
    <t>O-919</t>
  </si>
  <si>
    <t>ASMIN</t>
  </si>
  <si>
    <t>Caracterización reológica de los relaves del proyecto Spence Growth Option (SGO) – BHP - BILLITON</t>
  </si>
  <si>
    <t>O-918</t>
  </si>
  <si>
    <t>Ingeniería Prefactibilidad Etapa 1 Expansión</t>
  </si>
  <si>
    <t>O-917</t>
  </si>
  <si>
    <t>Ingenieros Emetres</t>
  </si>
  <si>
    <t>Servicio Ingeniería Contraparte Ducto de Ventilación MH</t>
  </si>
  <si>
    <t>O-916</t>
  </si>
  <si>
    <t>Servicio Contraparte Hidráulica</t>
  </si>
  <si>
    <t>O-915</t>
  </si>
  <si>
    <t>Ingeniería Detalles Flexibilización Bombas NASH // Contrato Marco N° 01867</t>
  </si>
  <si>
    <t>O-914</t>
  </si>
  <si>
    <t>Estudios Lineas Bases e Ingenierías de Perfil "Agua Fresca y Agua Contacto Mina" y "Solución Definitiva ACM" DET</t>
  </si>
  <si>
    <t>O-913</t>
  </si>
  <si>
    <t>Estudo Basico para Segregacao de Rejeitos de Brucutu</t>
  </si>
  <si>
    <t>O-912</t>
  </si>
  <si>
    <t>ESTUDOS CONCEITUAL PARA SEGREGAÇÃO DE REJEITOS DE BRUCUTU</t>
  </si>
  <si>
    <t>SH-0196</t>
  </si>
  <si>
    <t>O-911</t>
  </si>
  <si>
    <t>Ingeniería Prefectabilidad Estanque Regulador Relaves Huasco</t>
  </si>
  <si>
    <t>SH-0200</t>
  </si>
  <si>
    <t>O-910</t>
  </si>
  <si>
    <t>Solución Constructiva Descarga 2 de Lamas</t>
  </si>
  <si>
    <t>O-909</t>
  </si>
  <si>
    <t xml:space="preserve">Ingeniería Detalles Celdas Columna </t>
  </si>
  <si>
    <t>O-908</t>
  </si>
  <si>
    <t>Estudio de Analisis y Flexibilidad  - Proyecto Aripuana</t>
  </si>
  <si>
    <t>O-907</t>
  </si>
  <si>
    <t xml:space="preserve">Analisis de Riesgos Sistema de Manejo Relaves Quebrada Honda - ATC </t>
  </si>
  <si>
    <t>O-906</t>
  </si>
  <si>
    <t>SOLID SOLUTIONS</t>
  </si>
  <si>
    <t>Revisión de Contraparte de Espesamiento Relaves - División El Salvador</t>
  </si>
  <si>
    <t>O-905</t>
  </si>
  <si>
    <t xml:space="preserve"> Ingenieria de Detalles Dragados Agua Recuperada a Cancha 2 - MLCC </t>
  </si>
  <si>
    <t>O-904</t>
  </si>
  <si>
    <t>Elaboración de Notas Técnicas Julio Diciembre 2018 Contrato 01867</t>
  </si>
  <si>
    <t>SH-0158-OS09</t>
  </si>
  <si>
    <t>O-903</t>
  </si>
  <si>
    <t>Estudio de Costo de Operación y Mantenimiento Acueducto RT</t>
  </si>
  <si>
    <t>Hernan Castro</t>
  </si>
  <si>
    <t>SH-0198</t>
  </si>
  <si>
    <t>O-902</t>
  </si>
  <si>
    <t>Gestión de Compra Tubería Reemplazo Mineroducto de 8"</t>
  </si>
  <si>
    <t>O-901</t>
  </si>
  <si>
    <t>Mineroducto Mina Pau Branco</t>
  </si>
  <si>
    <t>O-900</t>
  </si>
  <si>
    <t>Optimización de la Pendiente de Depositación de Relaves Espesados</t>
  </si>
  <si>
    <t>O-899</t>
  </si>
  <si>
    <t>CESI</t>
  </si>
  <si>
    <t>Suministro de Agua Subterranea Central TermoElectrica Quillota</t>
  </si>
  <si>
    <t>O-898</t>
  </si>
  <si>
    <t>PIPELINE INTELIGENCE</t>
  </si>
  <si>
    <t>ID Lanzadores de PIG Gasco PI</t>
  </si>
  <si>
    <t>O-897</t>
  </si>
  <si>
    <t>Soporte Operacional Relaveducto Toromocho</t>
  </si>
  <si>
    <t>SH-0192</t>
  </si>
  <si>
    <t>O-896</t>
  </si>
  <si>
    <t>Actualizacion Prefactibilidad Potenciamiento SAR</t>
  </si>
  <si>
    <t>O-895</t>
  </si>
  <si>
    <t>Sandra Ibarra</t>
  </si>
  <si>
    <t>Estudio Depósito de Relaves Hijuelas N 10 Planta Vallenar</t>
  </si>
  <si>
    <t>SH-0201</t>
  </si>
  <si>
    <t>O-894</t>
  </si>
  <si>
    <t xml:space="preserve">SNC lavalin Brasil
</t>
  </si>
  <si>
    <t>Bombeamento Brucutu</t>
  </si>
  <si>
    <t>O-893</t>
  </si>
  <si>
    <t xml:space="preserve">Manual de Operaciones Integrado </t>
  </si>
  <si>
    <t>O-892</t>
  </si>
  <si>
    <t>ID Levantamiento Vulnerabilidades Sistema de Clasificacion de Relaves Tranque Ovejeria</t>
  </si>
  <si>
    <t>O-891</t>
  </si>
  <si>
    <t>Revisión Experta Ingeniería Pruebas Hidrostáticas.</t>
  </si>
  <si>
    <t>SH-0191</t>
  </si>
  <si>
    <t>O-890</t>
  </si>
  <si>
    <t>Ingeniería Conceptual Adecuaciones para Optimización de Producción Planta Cerro Negro Norte</t>
  </si>
  <si>
    <t>SH-0194</t>
  </si>
  <si>
    <t>O-889</t>
  </si>
  <si>
    <t>Tedagua</t>
  </si>
  <si>
    <t>Sergio Merlo</t>
  </si>
  <si>
    <t>Sergio.merlo@tedagua.com</t>
  </si>
  <si>
    <t>Estudio Conceptual Lanzador de Pig</t>
  </si>
  <si>
    <t>O-888</t>
  </si>
  <si>
    <t>Felipe Pérez Martínez</t>
  </si>
  <si>
    <t xml:space="preserve">fperez@caserones.cl </t>
  </si>
  <si>
    <t xml:space="preserve">Elaboración de Notas Técnicas 2018 Contrato 01867 </t>
  </si>
  <si>
    <t>O-887</t>
  </si>
  <si>
    <t>Apoyo Proyecto Expansion</t>
  </si>
  <si>
    <t>O-886</t>
  </si>
  <si>
    <t>AXIS</t>
  </si>
  <si>
    <t xml:space="preserve">José Alberto Díaz </t>
  </si>
  <si>
    <t xml:space="preserve">jdiaz@serviciosaxis.cl </t>
  </si>
  <si>
    <t>Plan Constructibilidad Tubería Agua Desalada</t>
  </si>
  <si>
    <t>Marcelo Agular</t>
  </si>
  <si>
    <t>O-885</t>
  </si>
  <si>
    <t>EDYCE</t>
  </si>
  <si>
    <t>ENAP</t>
  </si>
  <si>
    <t>ID Nuevo Estanque T-1001 y sus Interconexiones Planta San Fernando</t>
  </si>
  <si>
    <t>Miguel Parra</t>
  </si>
  <si>
    <t>O-884</t>
  </si>
  <si>
    <t>ID Nuevo Estanque T-1003 y sus Interconexiones Planta Maipu Disciplina Electricidad e Instrumentacion</t>
  </si>
  <si>
    <t>O-883</t>
  </si>
  <si>
    <t>ID Segregacion de Rejeito de Brucutu</t>
  </si>
  <si>
    <t>O-882</t>
  </si>
  <si>
    <t xml:space="preserve">Eric Escalante </t>
  </si>
  <si>
    <t>Análisis Hidráulico y Condiciones Operación Relaveducto Toromocho</t>
  </si>
  <si>
    <t>SH-0166</t>
  </si>
  <si>
    <t>O-881</t>
  </si>
  <si>
    <t>Ctto Marco Servicios de Ingenieria</t>
  </si>
  <si>
    <t>No calificamos en las tres empresas menores adjudicadas</t>
  </si>
  <si>
    <t>O-880</t>
  </si>
  <si>
    <t xml:space="preserve">gmoreno@pe.cmp.cl </t>
  </si>
  <si>
    <t>Revisión Experta Ingeniería de Detalles Nueva Tubería Acueducto CNN</t>
  </si>
  <si>
    <t>SH-0190</t>
  </si>
  <si>
    <t>O-879</t>
  </si>
  <si>
    <t>Marco Martin Misle</t>
  </si>
  <si>
    <t>marco.a.martin@lundinmining.com</t>
  </si>
  <si>
    <t xml:space="preserve"> IC Diseño De Una Etapa Secundaria De Chancado Para Minerales Subterráneos Candelaria</t>
  </si>
  <si>
    <t>O-878</t>
  </si>
  <si>
    <t xml:space="preserve"> Estudio Ingenierías Para Re-Impulsión Relaves Ojos Del Salado</t>
  </si>
  <si>
    <t>Licitación Desierta</t>
  </si>
  <si>
    <t>O-877</t>
  </si>
  <si>
    <t xml:space="preserve">Ingeniería Conducción Auxiliar de Lamas la Brea </t>
  </si>
  <si>
    <t>SH-0158-OS22</t>
  </si>
  <si>
    <t>O-876</t>
  </si>
  <si>
    <t>Revision Independiente Ingenieria de Detalles Acueducto de 20 Pul</t>
  </si>
  <si>
    <t>O-875</t>
  </si>
  <si>
    <t>Revisión Especificación Compra Tubería Acueducto Agua Desalada</t>
  </si>
  <si>
    <t>SH-0189</t>
  </si>
  <si>
    <t>O-874</t>
  </si>
  <si>
    <t>Pablo Escobar</t>
  </si>
  <si>
    <t>Pablo.Escobar@sedgman.com</t>
  </si>
  <si>
    <t xml:space="preserve">Solicitud de Ingeniero Piping </t>
  </si>
  <si>
    <t>SH-0188</t>
  </si>
  <si>
    <t>O-873</t>
  </si>
  <si>
    <t xml:space="preserve">José Luis Moreno </t>
  </si>
  <si>
    <t>jmoreno.esed@caserones.cl</t>
  </si>
  <si>
    <t>Ingeniería de Detalles Complementaria Planta Moly</t>
  </si>
  <si>
    <t>SH-0158-OS21</t>
  </si>
  <si>
    <t>O-872</t>
  </si>
  <si>
    <t>Heat tracing Planta Moly</t>
  </si>
  <si>
    <t>SH-0158-OS20</t>
  </si>
  <si>
    <t>O-871</t>
  </si>
  <si>
    <t>Servicios de Ingenieria de Factibilidad, Detalle y Terreno Cartera de Proyectos 2018-2021</t>
  </si>
  <si>
    <t>O-870</t>
  </si>
  <si>
    <t>Servicios de Ingenieria de Perfil y Prefactibilidad Cartera de Proyectos 2018-2021</t>
  </si>
  <si>
    <t>O-869</t>
  </si>
  <si>
    <t>Assesoria testes de laboratorio</t>
  </si>
  <si>
    <t>O-868</t>
  </si>
  <si>
    <t xml:space="preserve">Minera Cerro Negro </t>
  </si>
  <si>
    <t xml:space="preserve">Víctor Lungoci </t>
  </si>
  <si>
    <t>victor.lungoci@cerronegro.cl</t>
  </si>
  <si>
    <t xml:space="preserve">Ingeniería Básica Piscina de Emergencia Derrames y Sistema Limpieza. Minera Cerro Negro </t>
  </si>
  <si>
    <t>O-867</t>
  </si>
  <si>
    <t>EPC Manto Verde</t>
  </si>
  <si>
    <t>O-866</t>
  </si>
  <si>
    <t>Ingenieria de Detalles e Integracion Proyecto Obras Sobre Cota 640 MSNM Tranque Ovejeria Etapa 2</t>
  </si>
  <si>
    <t>O-865</t>
  </si>
  <si>
    <t xml:space="preserve"> Ingeniería de Terreno Fase II - Proyecto Ampliación Tranque Talabre VIII Etapa</t>
  </si>
  <si>
    <t>O-864</t>
  </si>
  <si>
    <t>Doosan</t>
  </si>
  <si>
    <t>Soporte Operacional Sistema de Transporte Agua Desalada</t>
  </si>
  <si>
    <t>O-863</t>
  </si>
  <si>
    <t>Jmoreno.esed@caserones.cl</t>
  </si>
  <si>
    <t>Ingeniería de Detalles Aspersores en Celda de Flotación Molibdeno y Fundación Bomba Espesador Concentrado de Cobre - MLCC // Contrato</t>
  </si>
  <si>
    <t>O-862</t>
  </si>
  <si>
    <t>Ingeniería Básica, EPC y Operación Repulpeo de Relaves Minera Cerro Negro</t>
  </si>
  <si>
    <t>02-05-218</t>
  </si>
  <si>
    <t>O-861</t>
  </si>
  <si>
    <t>Servicio de Ingeniería Desarrollo Área Tranque y Relaves - Sierra Gorda</t>
  </si>
  <si>
    <t>SH-0193</t>
  </si>
  <si>
    <t>O-860</t>
  </si>
  <si>
    <t xml:space="preserve">Rodolfo Arévalo </t>
  </si>
  <si>
    <t>Estudio Flexibilidad Operacional Mineroducto de 7” y 8”</t>
  </si>
  <si>
    <t>O-859</t>
  </si>
  <si>
    <t>Precalificacion Ingenieria de Detalles e Integracion Tranque Ovejeria Etapa 2</t>
  </si>
  <si>
    <t>O-858</t>
  </si>
  <si>
    <t xml:space="preserve">Constructora SERGENCO </t>
  </si>
  <si>
    <t>Miguel Angel Campos A</t>
  </si>
  <si>
    <t>Estudio Hidrológico y Diseño de Drenaje y Canalizaciones - Alma ISFA Project</t>
  </si>
  <si>
    <t>O-857</t>
  </si>
  <si>
    <t xml:space="preserve">Ingenieria Implementación Planta de Almacenaje de Nitrogeno </t>
  </si>
  <si>
    <t>O-856</t>
  </si>
  <si>
    <t>Ingeniería de Detalles Actualización Diseño Despiedradores de Arenas</t>
  </si>
  <si>
    <t>SH-0158-OS19</t>
  </si>
  <si>
    <t>O-855</t>
  </si>
  <si>
    <t>Estudo Conceitual Bombeamento dos Espessadores Ate Filtragrem Caue</t>
  </si>
  <si>
    <t>O-854</t>
  </si>
  <si>
    <t>Jaime Barrio</t>
  </si>
  <si>
    <t>Ingenieria Civil Estructural Galpón Cancha 9 Puerto Tocopilla</t>
  </si>
  <si>
    <t>O-853</t>
  </si>
  <si>
    <t>Estudio Perfil Planta de Concentrado y Relavera Shalipayco</t>
  </si>
  <si>
    <t>O-852</t>
  </si>
  <si>
    <t>Estudo Basico de Analise Flexibilidade Projeto Trombetas Mineracao Rio do Norte (MRN)</t>
  </si>
  <si>
    <t>SH-0185</t>
  </si>
  <si>
    <t>O-851</t>
  </si>
  <si>
    <t>Ingenieria Eficiencia Hídrica Procesos Agua</t>
  </si>
  <si>
    <t>O-850</t>
  </si>
  <si>
    <t>CNN</t>
  </si>
  <si>
    <t>Cristian Valdes</t>
  </si>
  <si>
    <t>cvaldes@cmp.cl</t>
  </si>
  <si>
    <t>Estudio de Diagnóstico Concentraducto Cerro Negro Norte</t>
  </si>
  <si>
    <t>O-848</t>
  </si>
  <si>
    <t>SNC Lavalin Brasil</t>
  </si>
  <si>
    <t>Analise Transiente Bombeo Rejeito Dragado</t>
  </si>
  <si>
    <t>Renzo Rosa</t>
  </si>
  <si>
    <t>Ingeniería Mejoras Sistemas de Distribución de Agua Potable y Tratamiento</t>
  </si>
  <si>
    <t>O-847</t>
  </si>
  <si>
    <t xml:space="preserve">Ingrid Guzmán </t>
  </si>
  <si>
    <t>iguzman@enami.cl</t>
  </si>
  <si>
    <t xml:space="preserve">Ingeniería Manejo y Disposición de Relave de Escoria Filtrada Fundición Hernán Videla Lira </t>
  </si>
  <si>
    <t>SH-0195</t>
  </si>
  <si>
    <t>O-846</t>
  </si>
  <si>
    <t>Ingeniería Detalles Mejoras Planta Moly</t>
  </si>
  <si>
    <t>SH-0158-OS17</t>
  </si>
  <si>
    <t>O-845</t>
  </si>
  <si>
    <t>Ingeniería Detalles Flexibilidad EB6 y Estación Intermedia</t>
  </si>
  <si>
    <t>O-844</t>
  </si>
  <si>
    <t>Estudo Conceitual Bombeamento do Rejeito e da Lama</t>
  </si>
  <si>
    <t>O-0843</t>
  </si>
  <si>
    <t>Servico de Consultoria de Engenharia na Especialidade de Sistema Transporte Hidraulico</t>
  </si>
  <si>
    <t>O-842</t>
  </si>
  <si>
    <t>Minera Antamina</t>
  </si>
  <si>
    <t>Precalificación EPC Sistema de Bombeo de Relaves Linea Norte y Sur</t>
  </si>
  <si>
    <t>Antecedentes de Precalificación enviados</t>
  </si>
  <si>
    <t>O-841</t>
  </si>
  <si>
    <t>Estudio de Diagnóstico Bombeo de Relaves Espesados</t>
  </si>
  <si>
    <t>O-840</t>
  </si>
  <si>
    <t>Servicio de Operación y Mantención Repulpeo Quillayes</t>
  </si>
  <si>
    <t>O-839</t>
  </si>
  <si>
    <t xml:space="preserve">Engenharia Basica Alteracao Rota Bombamento Caue CB-3 </t>
  </si>
  <si>
    <t>Adjudicada Brass Brasil</t>
  </si>
  <si>
    <t>O-838</t>
  </si>
  <si>
    <t>John Pottie</t>
  </si>
  <si>
    <t>Asesoría Experta Taller de Relaves Proyecto Hipógeno Quebrada Blanca 2- TECK</t>
  </si>
  <si>
    <t>SH-0183</t>
  </si>
  <si>
    <t>O-837</t>
  </si>
  <si>
    <t>Análisis Obras Tempranas Contención de Fugas Estaciones de Válvulas
Mineroductos de 7” y 8”</t>
  </si>
  <si>
    <t>O-836</t>
  </si>
  <si>
    <t>Ingeniería de Detalles Desarenador Acopio de Arenas</t>
  </si>
  <si>
    <t>SH-0158-OS16</t>
  </si>
  <si>
    <t>O-835</t>
  </si>
  <si>
    <t>Ingeniería de Detalles Drenes laterales Arenas</t>
  </si>
  <si>
    <t>SH-0158-OS18</t>
  </si>
  <si>
    <t>O-834</t>
  </si>
  <si>
    <t>Ingeniería Protección Línea de Impulsión de Refino</t>
  </si>
  <si>
    <t>O-833</t>
  </si>
  <si>
    <t>Ingeniería Implementación Sistema de Conducción Rebalses de Línea de
Refino</t>
  </si>
  <si>
    <t>O-832</t>
  </si>
  <si>
    <t>Estudo Conceitual Mineroducto Aereo Rejeitos Projeto Gelado</t>
  </si>
  <si>
    <t>SH-0184</t>
  </si>
  <si>
    <t>O-831</t>
  </si>
  <si>
    <t>CONSOLIDAÇÃO DO BÁSICO E PROJETO DETALHADO VARGEM GRANDE</t>
  </si>
  <si>
    <t>O-830</t>
  </si>
  <si>
    <t>Estudo Conceitual Transporte rejeitos Finos e Grossos Brucutu</t>
  </si>
  <si>
    <t>O-829</t>
  </si>
  <si>
    <t>Consorcio ATCW</t>
  </si>
  <si>
    <t>Servicio Ingeniero de Registros Depósito de Relaves Espesados</t>
  </si>
  <si>
    <t>O-828</t>
  </si>
  <si>
    <t>Extensión Contrato Marco de Ingeniería N° 01867 Periodo 2018 - 2019</t>
  </si>
  <si>
    <t>O-827</t>
  </si>
  <si>
    <t>Precalificación Ingeniería Solución Corto Plazo Tranque Barahona</t>
  </si>
  <si>
    <t>O-826</t>
  </si>
  <si>
    <t>Precalificación Ingeniería de Terreno Proyecto Ampliación Tranque Talabre VIII Etapa</t>
  </si>
  <si>
    <t>Propuesta Reemplazada por la O865</t>
  </si>
  <si>
    <t>O-825</t>
  </si>
  <si>
    <t>Inspección Fabricación de Equipos en Chile - Proyecto Reubicación de la Tubería de Relaves</t>
  </si>
  <si>
    <t>O-824</t>
  </si>
  <si>
    <t>Engenharia Detalhada do Mineroduto e Calha Tubular dos Espessadores de Lama - Projeto Gelado</t>
  </si>
  <si>
    <t>Revision 4</t>
  </si>
  <si>
    <t>O-823</t>
  </si>
  <si>
    <t>Apoyo Disciplina Civil Geotecnia Especialidad Relaves</t>
  </si>
  <si>
    <t>O-821</t>
  </si>
  <si>
    <t>Grupo Cobra Chile</t>
  </si>
  <si>
    <t>Ingeniería de Detalle Sistema Lanzamiento Pigs Inmisario</t>
  </si>
  <si>
    <t>Ingeniería Básica para el Aumento de Capacidad Fase III del Tranque de relaves N°3 Planta Matta</t>
  </si>
  <si>
    <t>SH-0199</t>
  </si>
  <si>
    <t>O-820</t>
  </si>
  <si>
    <t>Asesoría Revisión Externa Pablo Vásquez Proyecto Quellaveco</t>
  </si>
  <si>
    <t>SH-0180</t>
  </si>
  <si>
    <t>O-819</t>
  </si>
  <si>
    <t>ID Habilitación temporal y definitiva de los pozos PBC-01 y PBC-03 El Tambo //
Contrato Marco N° 01867</t>
  </si>
  <si>
    <t>O-818</t>
  </si>
  <si>
    <t>Ingeniería Reducción Capex Plan B Sur</t>
  </si>
  <si>
    <t>SH-0158-OS15</t>
  </si>
  <si>
    <t>O-817</t>
  </si>
  <si>
    <t>Ruben Deocares</t>
  </si>
  <si>
    <t>Estudio de Mejoras Establecimiento Penitenciario de Antofagasta</t>
  </si>
  <si>
    <t>O-816</t>
  </si>
  <si>
    <t>Ingeniería de Detalles Loop de Lechada de Cal</t>
  </si>
  <si>
    <t>SH-0186</t>
  </si>
  <si>
    <t>O-815</t>
  </si>
  <si>
    <t>Lamas Pontal caue SNC Brasil</t>
  </si>
  <si>
    <t>SH-0182</t>
  </si>
  <si>
    <t>O-814</t>
  </si>
  <si>
    <t>Optima</t>
  </si>
  <si>
    <t>Estudios de Prefactibilidad para la Exportación de Aguas Residuales Cuenca del Lago Atitlan</t>
  </si>
  <si>
    <t>Enviado antecedentes para calificación técnica</t>
  </si>
  <si>
    <t>O-813</t>
  </si>
  <si>
    <t>IP Manejo Derrame por Roturas Tramo Inicial Mineroducto 8”</t>
  </si>
  <si>
    <t>SH-0181</t>
  </si>
  <si>
    <t>O-812</t>
  </si>
  <si>
    <t>Manejo de Derrames de Concentrado Estanque y EB.</t>
  </si>
  <si>
    <t>O-811</t>
  </si>
  <si>
    <t>Revisión Hidráulica Canaleta y Tubería de Relaves</t>
  </si>
  <si>
    <t>O-810</t>
  </si>
  <si>
    <t>SH-0187</t>
  </si>
  <si>
    <t>O-809</t>
  </si>
  <si>
    <t>Ingeniería Conducción desde Rebose de Emergencia en Sentina El Tambo hasta Estación de Bombeo 5</t>
  </si>
  <si>
    <t>O-808</t>
  </si>
  <si>
    <t>Consorcio JEJ</t>
  </si>
  <si>
    <t>Servicios de Ingeniería de Detalles y Terreno para sistema de Manejo de Mineral, Sistema Electrico y Drenaje Proyecto Nuevo Nivel Mina Andes Norte</t>
  </si>
  <si>
    <t>Enviados antecedentes para precalificación</t>
  </si>
  <si>
    <t>O-807</t>
  </si>
  <si>
    <t>Ingeniería Conceptual Mineroducto Serpentina</t>
  </si>
  <si>
    <t>O-806</t>
  </si>
  <si>
    <t>SEDGMAN-ATC</t>
  </si>
  <si>
    <t>Asesoria Experta y Contraparte de Ingeniería Codelco</t>
  </si>
  <si>
    <t>O-805</t>
  </si>
  <si>
    <t>Apoyo Experto Relaves Proyecto Hipogeno Quebrada Blanca</t>
  </si>
  <si>
    <t>O-804</t>
  </si>
  <si>
    <t>Trends</t>
  </si>
  <si>
    <t>Estudio Suministro Agua de Mar</t>
  </si>
  <si>
    <t>O-803</t>
  </si>
  <si>
    <t>Apoyo Implementación Proyectos Operacionales Puerto COLLAHUASI</t>
  </si>
  <si>
    <t>O-802</t>
  </si>
  <si>
    <t>Ingeniería de Detalle Sistema Impulsión RO</t>
  </si>
  <si>
    <t>Cliente canalizó el requerimiento por otra vía</t>
  </si>
  <si>
    <t>O-801</t>
  </si>
  <si>
    <t>Verificación Recambio de Tuberías Impulsión EI a PAR</t>
  </si>
  <si>
    <t>SH-0177</t>
  </si>
  <si>
    <t>O-800</t>
  </si>
  <si>
    <t>Ingeniería Impulsión Agua desde PAR a PAF</t>
  </si>
  <si>
    <t>SH-0158-OS14</t>
  </si>
  <si>
    <t>O-799</t>
  </si>
  <si>
    <t>Asesoría Experta Filtro Moly</t>
  </si>
  <si>
    <t>El cliente decidio no desarollar el servicio.</t>
  </si>
  <si>
    <t>O-798</t>
  </si>
  <si>
    <t>Luis López</t>
  </si>
  <si>
    <t>Ingeniería Básica y Detalles Mejoramiento Distribución Relaves Pampa Pabellon</t>
  </si>
  <si>
    <t>O-797</t>
  </si>
  <si>
    <t>Weir Minerals</t>
  </si>
  <si>
    <t>Manuel Espinoza</t>
  </si>
  <si>
    <t>Ingeniería Conceptual Sistema Impulsión de Relaves Planta Pueblo Viejo</t>
  </si>
  <si>
    <t>O-796</t>
  </si>
  <si>
    <t>Cambio de Diseño Ingeniería Flexibilización Cajon DI-004</t>
  </si>
  <si>
    <t>SH-0158 OS13</t>
  </si>
  <si>
    <t>O-795</t>
  </si>
  <si>
    <t>Luis Lopez</t>
  </si>
  <si>
    <t xml:space="preserve">Estudio de Diagnóstico Sistema Transporte Agua Fresca </t>
  </si>
  <si>
    <t>O-794</t>
  </si>
  <si>
    <t>Rodrigo Hormazaval</t>
  </si>
  <si>
    <t>Ingeniería de Detalles Crecimiento Depósito La Brea - Etapas 7,8 y 9</t>
  </si>
  <si>
    <t>Propuesta asignada a Arcadis</t>
  </si>
  <si>
    <t>O-793</t>
  </si>
  <si>
    <t>Acompañamiento Experto Operaciones Relaves Proyecto Spence Grow Option (SGO) – BHP BILLITON - BILLITON</t>
  </si>
  <si>
    <t>O-792</t>
  </si>
  <si>
    <t>David Rousselle</t>
  </si>
  <si>
    <t>Ingeniería Aumento Capacidad NPT 3</t>
  </si>
  <si>
    <t>O-791</t>
  </si>
  <si>
    <t>Exsa</t>
  </si>
  <si>
    <t>Ernesto Escobar</t>
  </si>
  <si>
    <t>Planos de Fabricación y Montaje Estructura Metálicas</t>
  </si>
  <si>
    <t>O-790</t>
  </si>
  <si>
    <t>José Luis Moreno</t>
  </si>
  <si>
    <t>Estudio Mejora Integral Producción y Manejo de Arenas</t>
  </si>
  <si>
    <t>O-789</t>
  </si>
  <si>
    <t>Ingeniería Sistema de Filtros en los cajones ZM-03 y ZM-04 – Solución Cajón Desripeador</t>
  </si>
  <si>
    <t>SH-0158 OS12</t>
  </si>
  <si>
    <t>O-788</t>
  </si>
  <si>
    <t>Cerro Negro Norte</t>
  </si>
  <si>
    <t>Carlos Jimenez</t>
  </si>
  <si>
    <t>Ingeniería de Perfil Alternativas de Proceso Ampliación CNN</t>
  </si>
  <si>
    <t>O-787</t>
  </si>
  <si>
    <t>CONPAX</t>
  </si>
  <si>
    <t>Subestación Los Ciruelos</t>
  </si>
  <si>
    <t>O-786</t>
  </si>
  <si>
    <t>Felipe Perez</t>
  </si>
  <si>
    <t>Estudio de Protecciones Plan B Sur</t>
  </si>
  <si>
    <t>SH-0158 OS11</t>
  </si>
  <si>
    <t>O-785</t>
  </si>
  <si>
    <t>Ingeniería Básica Avanzada</t>
  </si>
  <si>
    <t>Carta Excusa enviada por falta de definición de bases técnicas</t>
  </si>
  <si>
    <t>O-784</t>
  </si>
  <si>
    <t>Jaime Riquelme Serey</t>
  </si>
  <si>
    <t>Manual de operaciones Sistema de Transporte de Concentrado 7"</t>
  </si>
  <si>
    <t>SH-0176</t>
  </si>
  <si>
    <t>O-783</t>
  </si>
  <si>
    <t>Ingeniería Reubicación Sala Eléctrica y Piping Bombeo Agua Relaves desde
Lagunas</t>
  </si>
  <si>
    <t>SH-0158 OS10</t>
  </si>
  <si>
    <t>O-782</t>
  </si>
  <si>
    <t>Techint</t>
  </si>
  <si>
    <t>Enzo Caneo</t>
  </si>
  <si>
    <t>Ingeniería Básica Avanzada Impulsión de Agua Mar Primera Región</t>
  </si>
  <si>
    <t>O-781</t>
  </si>
  <si>
    <t>Ingenieria Trampa PELAMBRES</t>
  </si>
  <si>
    <t>O-780</t>
  </si>
  <si>
    <t>Ingeniería de Detalle Coya Sur</t>
  </si>
  <si>
    <t>O-779</t>
  </si>
  <si>
    <t>David Agüero</t>
  </si>
  <si>
    <t xml:space="preserve">Ingeniería Complementaria Sistema Captación Polvo </t>
  </si>
  <si>
    <t>SH-0173</t>
  </si>
  <si>
    <t>O-778</t>
  </si>
  <si>
    <t>Contrato Marco por Servicios de Ingeniería - El Soldado</t>
  </si>
  <si>
    <t>SH-0179</t>
  </si>
  <si>
    <t>O-777</t>
  </si>
  <si>
    <t>Kairos Mining</t>
  </si>
  <si>
    <t>Rodrigo Toro Olmedo</t>
  </si>
  <si>
    <t>rodrigo.toro@honeywell.com</t>
  </si>
  <si>
    <t xml:space="preserve">Habilitación Simulador Operacional Sistema de Relaves, División Andina
</t>
  </si>
  <si>
    <t>O-776</t>
  </si>
  <si>
    <t>Confeccion Manuales Emergencia Deposito Relaves DET</t>
  </si>
  <si>
    <t>SH-0174</t>
  </si>
  <si>
    <t>O-775</t>
  </si>
  <si>
    <t>Olimpia Cabrera</t>
  </si>
  <si>
    <t xml:space="preserve">Ingeniería Factibilidad Sistema Auxiliar Mantenimiento Cajón </t>
  </si>
  <si>
    <t>O-774</t>
  </si>
  <si>
    <t xml:space="preserve">Ingenieria Básica Impulsión Agua de Mar Nueva Victoria </t>
  </si>
  <si>
    <t>O-773</t>
  </si>
  <si>
    <t>Ingeniería Diseño Plataforma Soporte Molienda</t>
  </si>
  <si>
    <t>O-772</t>
  </si>
  <si>
    <t>Ingenieria Diseño Revestimiento Intercambiadores de Calor SW</t>
  </si>
  <si>
    <t>O-771</t>
  </si>
  <si>
    <t>Ingenieria Diseño Revestimiento Protección SW</t>
  </si>
  <si>
    <t>O-770</t>
  </si>
  <si>
    <t>Ingeniería Diseño Protección Sistema de Lubricación Pebbles 3 Unidades</t>
  </si>
  <si>
    <t>O-769</t>
  </si>
  <si>
    <t>Ingeniería Diseño Acceso Feeder Electroimán Pebbles 3 Uninades</t>
  </si>
  <si>
    <t>O-768</t>
  </si>
  <si>
    <t>Ingenieria Diseño Acceso Plataforma a Válvulas Dump Leach</t>
  </si>
  <si>
    <t>O-767</t>
  </si>
  <si>
    <t>Ingeniería Conceptual Mejoramiento Planta Molibdeno División Chuquicamata</t>
  </si>
  <si>
    <t>Precalificación solicitaba experiencia de 4 años en proyectos de Molibdeno</t>
  </si>
  <si>
    <t>O-766</t>
  </si>
  <si>
    <t>Enami</t>
  </si>
  <si>
    <t>Ingenieria Básica Aumento Capacidad Tranque Relaves N° 3 Planta Matta</t>
  </si>
  <si>
    <t>Descalificados Técnicamente</t>
  </si>
  <si>
    <t>O-765</t>
  </si>
  <si>
    <t>Claudio Garcia</t>
  </si>
  <si>
    <t>Ingenieria Desarenador Acopia de Arenas</t>
  </si>
  <si>
    <t>Reemplazada por la O-789</t>
  </si>
  <si>
    <t>O-764</t>
  </si>
  <si>
    <t xml:space="preserve">Servicio de Recalificación de Mineroducto de 8" </t>
  </si>
  <si>
    <t>O-763</t>
  </si>
  <si>
    <t>Rodrigo Fernandez</t>
  </si>
  <si>
    <t>Estandarización Corporativa del Balance de Aguas</t>
  </si>
  <si>
    <t>O-762</t>
  </si>
  <si>
    <t>Ingeniería Básica Reemplazo Torre Absorción K6 PAS</t>
  </si>
  <si>
    <t>No se cumplian los requisitos de experiencia mínima</t>
  </si>
  <si>
    <t>O-761</t>
  </si>
  <si>
    <t>Servicios de Ingenierías Especializadas Superintendencia de Mantenimiento de Plantas GTPA</t>
  </si>
  <si>
    <t>Calificados Técnicamente, Contrato Adjudicado a SIGA/Dessau/Propipe</t>
  </si>
  <si>
    <t>O-760</t>
  </si>
  <si>
    <t>Estudio de Factibilidad de Enlace Inalámbrico Revisión 1</t>
  </si>
  <si>
    <t>O-759</t>
  </si>
  <si>
    <t>Elaboración Notas Técnicas Contrato 01867</t>
  </si>
  <si>
    <t>O-758</t>
  </si>
  <si>
    <t>ENGIE</t>
  </si>
  <si>
    <t>Prefactibilidad Desalasión e Impulsión Tocopilla</t>
  </si>
  <si>
    <t>O-757</t>
  </si>
  <si>
    <t>Análisis Complementario Tasa de Corrosión con Aumento de Cloruro</t>
  </si>
  <si>
    <t>SH-0171</t>
  </si>
  <si>
    <t>O-756</t>
  </si>
  <si>
    <t>Jacobs</t>
  </si>
  <si>
    <t>Alejandro Gonzalez</t>
  </si>
  <si>
    <t>Revisión Sistema de Transporte de Relaves de Escoria (Relaveducto)</t>
  </si>
  <si>
    <t>O-755</t>
  </si>
  <si>
    <t>Ingeniería de Perfil Coya Sur</t>
  </si>
  <si>
    <t>SH-0170</t>
  </si>
  <si>
    <t>O-754</t>
  </si>
  <si>
    <t>Javier Wold</t>
  </si>
  <si>
    <t>Conrtato Marco de Ingeniería</t>
  </si>
  <si>
    <t>O-753</t>
  </si>
  <si>
    <t>Elaboración Planos As-Built
Proyecto “Construcción Línea de Reinyección Pozos Daniel N° 55 y Cañadon N° 44 – Batería 1 Daniel Continente”</t>
  </si>
  <si>
    <t>O-752</t>
  </si>
  <si>
    <t>Adición de agua para lavado – Sistema de Transporte de Arenas</t>
  </si>
  <si>
    <t>Se solicita revisión 1 (costos)</t>
  </si>
  <si>
    <t>SH-0158-OS08</t>
  </si>
  <si>
    <t>O-751</t>
  </si>
  <si>
    <t>Flexibilidad Descarga de Arenas desde Cajones 6720-DI-003 y 6720-DI-004.</t>
  </si>
  <si>
    <t>Se solicita revisión 1 (plazos)</t>
  </si>
  <si>
    <t>SH-0158-OS07</t>
  </si>
  <si>
    <t>O-750</t>
  </si>
  <si>
    <t>Conexión Underflow Batería 1 a línea de 14" Cajón 6720-ZC-002</t>
  </si>
  <si>
    <t>Desechada por Felipe Perez</t>
  </si>
  <si>
    <t>O-749</t>
  </si>
  <si>
    <t>Manual de Operaciones Depósito de Relaves COLLAHUASI</t>
  </si>
  <si>
    <t>O-748</t>
  </si>
  <si>
    <t>Puerto Ventanas</t>
  </si>
  <si>
    <t>Ingeniería para Descarga de Graneles Líquidos en Sitio 2</t>
  </si>
  <si>
    <t>O-747</t>
  </si>
  <si>
    <t>Estudio Perfil Obras de Desembanque y Limpieza al Interior de Espesadores de Relaves</t>
  </si>
  <si>
    <t>O-746</t>
  </si>
  <si>
    <t>CODICE</t>
  </si>
  <si>
    <t>Servicio Contraparte</t>
  </si>
  <si>
    <t>O-745</t>
  </si>
  <si>
    <t>Jose Luis Moreno</t>
  </si>
  <si>
    <t>Servicio Ingeniería Análisis de Prefactibilidad Neutralización Agua Recuperada
Depósito de Arenas // Contrato Marco 01867</t>
  </si>
  <si>
    <t>SH-0158-OS06</t>
  </si>
  <si>
    <t>O-744</t>
  </si>
  <si>
    <t>Servicio Ingeniería Conducción desde Piscina de Filtraciones - Estación
Intermedia // Contrato Marco 01867</t>
  </si>
  <si>
    <t>O-743</t>
  </si>
  <si>
    <t>Servicio Ingeniería Verificación Ampliación Bombeo desde Estación Intermedia -
PAR // Contrato Marco 01867</t>
  </si>
  <si>
    <t>O-742</t>
  </si>
  <si>
    <t>Ingenieria Contraparte Equipos Captacion de Polvo</t>
  </si>
  <si>
    <t>SH-0169</t>
  </si>
  <si>
    <t>O-741</t>
  </si>
  <si>
    <t>Modelo BIM Planta NK</t>
  </si>
  <si>
    <t>O-740</t>
  </si>
  <si>
    <t>Jorge Martinez</t>
  </si>
  <si>
    <t>IC Nuevo Deposito de Relaves Planta Matta</t>
  </si>
  <si>
    <t>Consorcio con Codice</t>
  </si>
  <si>
    <t>O-739</t>
  </si>
  <si>
    <t>Rodolfo Arevalo</t>
  </si>
  <si>
    <t>IB Loop de Lechada de Cal Planta Concentradora</t>
  </si>
  <si>
    <t>Se solicita Revisión 1</t>
  </si>
  <si>
    <t>SH-0172</t>
  </si>
  <si>
    <t>O-738</t>
  </si>
  <si>
    <t>Precalificacion Licitacion Servicios de Ingenieria Aguas Relaves y Procesos</t>
  </si>
  <si>
    <t>Antecedentes Precalificacion Enviados Consorcio MYMA</t>
  </si>
  <si>
    <t>O-737</t>
  </si>
  <si>
    <t>Servicio Ingeniería regulación desde Estación Intermedia // Contrato
Marco 01867</t>
  </si>
  <si>
    <t>O-736</t>
  </si>
  <si>
    <t>Integración CIO Sist Complementarios de Recirculación de Aguas La
Brea – MLCC// Contrato Marco 01867</t>
  </si>
  <si>
    <t>SH-0158-OS05</t>
  </si>
  <si>
    <t>O-735</t>
  </si>
  <si>
    <t>Readecuación y Presentación Explicativa O699 y O656</t>
  </si>
  <si>
    <t>O-734</t>
  </si>
  <si>
    <t>Ing. Conceptual Mejora Sistema Impulsión Coposa Norte a Coposa Central</t>
  </si>
  <si>
    <t>O-733</t>
  </si>
  <si>
    <t>Ingeniería de Detalles piping de conexión – Aducción Reservorio #501</t>
  </si>
  <si>
    <t>O-732</t>
  </si>
  <si>
    <t>Preclasificación Licitación Servicios de Contraparte de Ingenieria y Apoyo PEM</t>
  </si>
  <si>
    <t>Se enviaron antecedenes para clasificar</t>
  </si>
  <si>
    <t>O-731</t>
  </si>
  <si>
    <t>JuanCarlos.Tapia@sedgman.com</t>
  </si>
  <si>
    <t xml:space="preserve">Remedicion Piscina Refina Oxido Sulfuro </t>
  </si>
  <si>
    <t>Se enviaron CV para participar en Propuesta</t>
  </si>
  <si>
    <t>O-730</t>
  </si>
  <si>
    <t>Servicio Ingeniería Implementación Partidores Suaves EB4 // Contrato Marco</t>
  </si>
  <si>
    <t>Esteban Miranda</t>
  </si>
  <si>
    <t>O-729</t>
  </si>
  <si>
    <t>Ingeniería Básica Manejo de Ripios Compañía Minera Zaldívar</t>
  </si>
  <si>
    <t>O-728</t>
  </si>
  <si>
    <t>Gonzalo Araujo</t>
  </si>
  <si>
    <t>garaujo@caserones.cl</t>
  </si>
  <si>
    <t>Prefactibilidad Potenciamiento Sistema de Agua Recuperada // Contrato Marco</t>
  </si>
  <si>
    <t>SH-0158-OS04</t>
  </si>
  <si>
    <t>O-727</t>
  </si>
  <si>
    <t>Ronaldo Nascimiento</t>
  </si>
  <si>
    <t>Ronaldo.Nascimento@snclavalin.com</t>
  </si>
  <si>
    <t>Scoping Study - Opciones Futuras en Logistica de Concentrado Las Bambas</t>
  </si>
  <si>
    <t>O-726</t>
  </si>
  <si>
    <t>Ingeniería Water Line to Process Plant 8 KM</t>
  </si>
  <si>
    <t>O-725</t>
  </si>
  <si>
    <t>Cerro Dominador</t>
  </si>
  <si>
    <t>Ivan Cabrera</t>
  </si>
  <si>
    <t>icarrera@upgm.cl</t>
  </si>
  <si>
    <t>Ingeniería Implementación Sistema de Repulpeo Cerro Dominador</t>
  </si>
  <si>
    <t>SH-0164</t>
  </si>
  <si>
    <t>O-724</t>
  </si>
  <si>
    <t>Maestranza Istria</t>
  </si>
  <si>
    <t>Chutes y Tolvas</t>
  </si>
  <si>
    <t>O-723</t>
  </si>
  <si>
    <t>Prodiel</t>
  </si>
  <si>
    <t>Cristóbal Guajardo Melillán</t>
  </si>
  <si>
    <t>cristobalguajardo@prodiel.com</t>
  </si>
  <si>
    <t xml:space="preserve">Proyecto Reemplazo Interruptores Alta Tension en Gas </t>
  </si>
  <si>
    <t>O-722</t>
  </si>
  <si>
    <t xml:space="preserve">ID Trampas Lanzamientos y Recepción Mineroductos 7 y 8 </t>
  </si>
  <si>
    <t>Rene Arancibia</t>
  </si>
  <si>
    <t>O-721</t>
  </si>
  <si>
    <t>Estudio de protecciones para los pozos P10@P14</t>
  </si>
  <si>
    <t>SH-0158 OS02</t>
  </si>
  <si>
    <t>O-720</t>
  </si>
  <si>
    <t xml:space="preserve">ID Choquera  Donoso </t>
  </si>
  <si>
    <t>R&amp;Q decidio no participar.</t>
  </si>
  <si>
    <t>O-719</t>
  </si>
  <si>
    <t>Revision y Actualizacion de Criterios de Diseño y EETT</t>
  </si>
  <si>
    <t>O-718</t>
  </si>
  <si>
    <t>Proyecto Electrico Edificio PTT</t>
  </si>
  <si>
    <t>O-717</t>
  </si>
  <si>
    <t>Peñasquito</t>
  </si>
  <si>
    <t>Pit Dewatering relocation</t>
  </si>
  <si>
    <t>SH-0165</t>
  </si>
  <si>
    <t>O-716</t>
  </si>
  <si>
    <t>PIPE SUPPORT DESIGN 36</t>
  </si>
  <si>
    <t>SH-0159</t>
  </si>
  <si>
    <t>O-715</t>
  </si>
  <si>
    <t>Acompañamiento Proyecto Peñasquito</t>
  </si>
  <si>
    <t>Terreno J Muñoz y M Molina</t>
  </si>
  <si>
    <t>SH-0157</t>
  </si>
  <si>
    <t>O-714</t>
  </si>
  <si>
    <t>Ing Complementaria npara Estaciones Fluviométricas</t>
  </si>
  <si>
    <t>O-713</t>
  </si>
  <si>
    <t>Amphos21</t>
  </si>
  <si>
    <t>Jordi Guimera</t>
  </si>
  <si>
    <t>IC Recuperacion de Minerales Relaves Zona Central de Perú</t>
  </si>
  <si>
    <t xml:space="preserve">Este proyecto implica también lo siguiente:
1. Reponer energía eléctrica de San Mateo a la Planta/Mina (Cables, controles, etc.) 
2. Tendido de una línea de transmisión de 20 km y 2 sub-estaciones eléctricas
3. Reparaciones y/o adición de equipos y otros para la Planta de Flotación actual. (Hay un solo circuito de flotación, ampliar para la separación del bulk plomo – cobre y el circuito en su totalidad para flotar Zinc) (Faltan: Espesador y filtro para cada producto a obtenerse) 
4. Para ampliar y/o mejorar relavera (están llenas casi a su límite, evaluar su manejo adecuado a fin de seguir operando; teniendo en cuenta los posibles impactos ambientales que podrían originar) 
5. Para habilitar relavera nueva. (Ubicar el área apropiada y construirla)
</t>
  </si>
  <si>
    <t>O-712</t>
  </si>
  <si>
    <t>IC Recuperacion de Agua de Relaves en Perú</t>
  </si>
  <si>
    <t xml:space="preserve">1.- Se requiere recuperar agua de los relaves alrededor de 200 lt/sg adicionales a lo que se recupera con los espesadores.
2.- Se espera procesar alrededor de 40,000 tpd (TM/día) de relaves para llevarlos de 64% de contenido de sólidos a  83% en peso.
3.- Lo que han evaluado para llegar a estos valores es centrifugar o filtrar los relaves y tener "tortas" manejables por fajas o volquetes
</t>
  </si>
  <si>
    <t>O-711</t>
  </si>
  <si>
    <t>Actualizacion Benchmarking Impulsion Agua de Mar y Desalada</t>
  </si>
  <si>
    <t>O-710</t>
  </si>
  <si>
    <t>Estudio Prefactibilidad PaleoCanal</t>
  </si>
  <si>
    <t>Propuesta asignada a Keypro</t>
  </si>
  <si>
    <t>O-709</t>
  </si>
  <si>
    <t>Servicio de Elaboracion de Proyectos y Estudios de Ingenieria</t>
  </si>
  <si>
    <t>Propuesta Economica Alta</t>
  </si>
  <si>
    <t>O-708</t>
  </si>
  <si>
    <t>Respaldo CAPEX Camino Acceso Proyecto Pampa Orcoma</t>
  </si>
  <si>
    <t>SH-0160</t>
  </si>
  <si>
    <t>O-707</t>
  </si>
  <si>
    <t>Ingenieria Respaldo Datos Instrumentacion Nuevos Pozos P10@P14</t>
  </si>
  <si>
    <t>SH-0158 OS03</t>
  </si>
  <si>
    <t>O-706</t>
  </si>
  <si>
    <t>Implementación Sistema de Detección de Fuga Oleoduto - Refineria Aconcagua</t>
  </si>
  <si>
    <t>O-705</t>
  </si>
  <si>
    <t>Pablo Cheng De Filipis</t>
  </si>
  <si>
    <t>pcheng@mineracentinela.cl</t>
  </si>
  <si>
    <t>Mejoramiento Control de Pebbles en Molienda, Flotacion y Relaves</t>
  </si>
  <si>
    <t>SH-0162</t>
  </si>
  <si>
    <t>O-704</t>
  </si>
  <si>
    <t>Richards López</t>
  </si>
  <si>
    <t>Estudio de Mejora Integridad de Mineroductos Primer Tramo de Impulsión</t>
  </si>
  <si>
    <t>Vender a p Contreras 02/06</t>
  </si>
  <si>
    <t>O-703</t>
  </si>
  <si>
    <t>Juan Carlos Álvares/Juan Olave</t>
  </si>
  <si>
    <t>Servicios de Apoyo Reemplazo Bombas Booster</t>
  </si>
  <si>
    <t>Comentada. En revisión</t>
  </si>
  <si>
    <t>O-702</t>
  </si>
  <si>
    <t>GNL - QUINTEROS</t>
  </si>
  <si>
    <t>Diseño Ingeniería Bodega Techada – Terminal GNL Quinteros</t>
  </si>
  <si>
    <t>O-701</t>
  </si>
  <si>
    <t>YOKOGAWA</t>
  </si>
  <si>
    <t>Acuerdo Marco de Ingeniería</t>
  </si>
  <si>
    <t>O-700</t>
  </si>
  <si>
    <t>Arauco S.A.</t>
  </si>
  <si>
    <t>Revision Estructural Villa Parque 1 y 2</t>
  </si>
  <si>
    <t>Hermano de Ivan Pizarro no se pronunció</t>
  </si>
  <si>
    <t>O-699</t>
  </si>
  <si>
    <t>Rene Solaligue Muñoz</t>
  </si>
  <si>
    <t>RSOLALIGUE@collahuasi.cl</t>
  </si>
  <si>
    <t>Piscina Drenaje Punto Bajo y otros</t>
  </si>
  <si>
    <t>O-698</t>
  </si>
  <si>
    <t>Metallurgical Service</t>
  </si>
  <si>
    <t>Hervin Cordero</t>
  </si>
  <si>
    <t>Asesoría Hidráulica Experta</t>
  </si>
  <si>
    <t>Hervin Cordero Peru</t>
  </si>
  <si>
    <t>O-697</t>
  </si>
  <si>
    <t xml:space="preserve">ID Reubicacion de Tuberias de Relaves </t>
  </si>
  <si>
    <t>O-696</t>
  </si>
  <si>
    <t>Lino Pastene</t>
  </si>
  <si>
    <t>Ingeniería de Detalle Repulpeo Concentrado Piscina Área 6100</t>
  </si>
  <si>
    <t>SH-0146</t>
  </si>
  <si>
    <t>O-695</t>
  </si>
  <si>
    <t>Actualización Ingeniería Planos Vendor y Respuestas / Aclaraciones
Adicionales Contrato 01867</t>
  </si>
  <si>
    <t>En espera de emisión de EDP</t>
  </si>
  <si>
    <t>O-694</t>
  </si>
  <si>
    <t>Servicio de Diagnostico Hidraulico Sistema Agua Recuperada Planta</t>
  </si>
  <si>
    <t>Aclaraciones en curso</t>
  </si>
  <si>
    <t>O-693</t>
  </si>
  <si>
    <t>Ing. Conceptual Impulsión de agua desde Patache utilizando instalaciones existentes</t>
  </si>
  <si>
    <t>O-692</t>
  </si>
  <si>
    <t>Evaluación transientes y espesor línea</t>
  </si>
  <si>
    <t>O-691</t>
  </si>
  <si>
    <t>Ingenieria Linea PLS</t>
  </si>
  <si>
    <t xml:space="preserve">Se la adjudico JRI,Ellos están asociados en un Proyecto CORFO
</t>
  </si>
  <si>
    <t>O-690</t>
  </si>
  <si>
    <t>EPC Deposito de Relaves Planta Vallenar</t>
  </si>
  <si>
    <t>Ivan Pizarro no entrrega mas info. Propuesta desierta</t>
  </si>
  <si>
    <t>O-689</t>
  </si>
  <si>
    <t>Servicios de Ingenieria Mejoria Operacional</t>
  </si>
  <si>
    <t>Bases Técnicas Enviadas a Guido Borquez, esperando invitación a Licitación</t>
  </si>
  <si>
    <t>O-688</t>
  </si>
  <si>
    <t>Jorge Tapia</t>
  </si>
  <si>
    <t>IC Complementaria Mejora Impulsion desde Sentina</t>
  </si>
  <si>
    <t>O-687</t>
  </si>
  <si>
    <t>IC Impulsion Agua Recuperada Punta Patache</t>
  </si>
  <si>
    <t>O-686</t>
  </si>
  <si>
    <t>Coloma</t>
  </si>
  <si>
    <t>Guillermo Coloma</t>
  </si>
  <si>
    <t>guillermo@colomaconsultores.cl</t>
  </si>
  <si>
    <t>Ingenieria Basica Nuevo Loop de Cal</t>
  </si>
  <si>
    <t>Propuesta enviada a Presupuesto de COLLAHUASI, fecha de ejecucion 2018</t>
  </si>
  <si>
    <t>O-685</t>
  </si>
  <si>
    <t>Rafael Carpio</t>
  </si>
  <si>
    <t>rafael.carpio@mmg.com</t>
  </si>
  <si>
    <t>Estudio Verificacion Red de Agua Fresca Planta Concentrada</t>
  </si>
  <si>
    <t>Se envió en rev 1 en mayo/17 con alcance y costo reducido, luego de reunión con J Agustini, PVS y PVZ en taller de relaves en Lima</t>
  </si>
  <si>
    <t>O-684</t>
  </si>
  <si>
    <t>Jorge Agustini</t>
  </si>
  <si>
    <t>jorge.agustini@mmg.com</t>
  </si>
  <si>
    <t>Estudio Mejoramiento Aduccion Agua de Procesos</t>
  </si>
  <si>
    <t>J Agustini postergó, pero en Taller de relaves en Lima (mayo) dijo a PVS y PVZ que no estaba muerta. Solo diferida para retomar dentro de 2017</t>
  </si>
  <si>
    <t>O-683</t>
  </si>
  <si>
    <t>Alma</t>
  </si>
  <si>
    <t>Associated Unersities Inc (AUI)</t>
  </si>
  <si>
    <t>Roberto Ibáñez</t>
  </si>
  <si>
    <t>ribanez@aui.cl</t>
  </si>
  <si>
    <t>Diseño Sistema Particular de Aguas Servidas</t>
  </si>
  <si>
    <t>Roberto Ibañez no se pronunció</t>
  </si>
  <si>
    <t>O-682</t>
  </si>
  <si>
    <t>Rildo Pérez</t>
  </si>
  <si>
    <t>joel.perez@mmg.com</t>
  </si>
  <si>
    <t>ID Descarga de Agua Piscinas 0921</t>
  </si>
  <si>
    <t>SH-0156</t>
  </si>
  <si>
    <t>O-681</t>
  </si>
  <si>
    <t>Geopark</t>
  </si>
  <si>
    <t>Flexpipe PI</t>
  </si>
  <si>
    <t>O-680</t>
  </si>
  <si>
    <t>Ingenieria de Detalles Proyecto Aumento de Recuperacion de Cobre</t>
  </si>
  <si>
    <t>O-679</t>
  </si>
  <si>
    <t xml:space="preserve">Ingenieria OOCC Reemplazo Valvulas </t>
  </si>
  <si>
    <t>Preguntar a JM Silva</t>
  </si>
  <si>
    <t>O-678</t>
  </si>
  <si>
    <t>Ingenieria Reemplazo Valvulas</t>
  </si>
  <si>
    <t>O-677</t>
  </si>
  <si>
    <t>Unificacion Proyectos Bypass y Mejoramiento Underflow</t>
  </si>
  <si>
    <t>SH-0151</t>
  </si>
  <si>
    <t>O-676</t>
  </si>
  <si>
    <t>Control y tele-comando del proceso de repulpeo de piscina de derrames concentrado</t>
  </si>
  <si>
    <t>O-675</t>
  </si>
  <si>
    <t>Simulación de Red de Agua Recuperada de DMH</t>
  </si>
  <si>
    <t>O-674</t>
  </si>
  <si>
    <t>Revision Area de Comunicaciones Planta Moly</t>
  </si>
  <si>
    <t>Carlos Fernandez</t>
  </si>
  <si>
    <t>O-673</t>
  </si>
  <si>
    <t>Determinacion capacidad de porteo agua a Flotacion Rougher y Soluciones</t>
  </si>
  <si>
    <t>Oscar Castro</t>
  </si>
  <si>
    <t>O-672</t>
  </si>
  <si>
    <t>Apoyo Soluciones fast track flexibilidad celda columna DMH</t>
  </si>
  <si>
    <t>O-671</t>
  </si>
  <si>
    <t>Estudio de Factibilidad Suministro de Agua</t>
  </si>
  <si>
    <t>O-670</t>
  </si>
  <si>
    <t>Estudio Ampliación Planta de Tratamiento de Agua Potable de Concon</t>
  </si>
  <si>
    <t>O-669</t>
  </si>
  <si>
    <t>Apoyo ARCADIS</t>
  </si>
  <si>
    <t>Contrato abierto ha llamado</t>
  </si>
  <si>
    <t>SH-0168</t>
  </si>
  <si>
    <t>O-668</t>
  </si>
  <si>
    <t>Mejoramiento Recuperacion de Agua Espesadores (Hugo Herrera)</t>
  </si>
  <si>
    <t>David emitir</t>
  </si>
  <si>
    <t>O-667</t>
  </si>
  <si>
    <t>Conducciones alternativas en HDPE para descargas al Depósito La Brea</t>
  </si>
  <si>
    <t>SH-0163</t>
  </si>
  <si>
    <t>O-666</t>
  </si>
  <si>
    <t>Actualización Ingeniería por llegada planos vendor y Respuestas/
Aclaraciones Adicionales marzo de 2017</t>
  </si>
  <si>
    <t>O-665</t>
  </si>
  <si>
    <t>Mejoramiento capacidad recirculación Agua de proceso</t>
  </si>
  <si>
    <t>SH-0154</t>
  </si>
  <si>
    <t>O-664</t>
  </si>
  <si>
    <t>Elaboracion MRQ Proyecto ID Planta NK</t>
  </si>
  <si>
    <t>O-663</t>
  </si>
  <si>
    <t>Ingenieria de Integracion NK - PV - SQM</t>
  </si>
  <si>
    <t xml:space="preserve">Enviada Revision 3 </t>
  </si>
  <si>
    <t>SH-0161</t>
  </si>
  <si>
    <t>O-662</t>
  </si>
  <si>
    <t>Estudio e Ingenieria Detalles Ajustes Canales Perimetrales</t>
  </si>
  <si>
    <t>O-661</t>
  </si>
  <si>
    <t>Ingeniería Conceptual nueva conducción red húmeda de incendio Establecimiento Penitenciario Antofagasta (EPA) y Establecimiento Penitenciario El Manzano II, Concepción (EPC).</t>
  </si>
  <si>
    <t>O-660</t>
  </si>
  <si>
    <t>IB Segunda Etapa Deposito de Relaves Filtrados</t>
  </si>
  <si>
    <t>Antecedentes Precalificación Enviados. Hacer seguimiento con Codelco. Preguntar si precalificamos</t>
  </si>
  <si>
    <t>O-659</t>
  </si>
  <si>
    <t>Transporte de Agua VS4VS4A a Piscinas de Reforestación</t>
  </si>
  <si>
    <t>SH-0153</t>
  </si>
  <si>
    <t>O-658</t>
  </si>
  <si>
    <t xml:space="preserve">Trasvasije concentrados entre TK26 y TK27 </t>
  </si>
  <si>
    <t>J Muñoz incorporar al resumen del 02/06 con P Contreras</t>
  </si>
  <si>
    <t>O-657</t>
  </si>
  <si>
    <t>Cierre perimetral estaciones de válvulas Mineroductos</t>
  </si>
  <si>
    <t>SH-0155</t>
  </si>
  <si>
    <t>O-656</t>
  </si>
  <si>
    <t>IC Manejo Espiches SMs y Punto Bajo Concentraducto</t>
  </si>
  <si>
    <t>Preguntar a P Contreras el 02/06</t>
  </si>
  <si>
    <t>O-655</t>
  </si>
  <si>
    <t>Respuestas y Aclaraciones Adicionales OS89</t>
  </si>
  <si>
    <t>SH-0113-OS89</t>
  </si>
  <si>
    <t>O-654</t>
  </si>
  <si>
    <t>Sun Action Trackers</t>
  </si>
  <si>
    <t>Parque Fotovoltaico La Fortuna</t>
  </si>
  <si>
    <t>O-653</t>
  </si>
  <si>
    <t>Cursos de Hidraulica Aplicada</t>
  </si>
  <si>
    <t>Enviado  31/05/17 a las 17:05 pm por Pedro Valencia</t>
  </si>
  <si>
    <t>O-652</t>
  </si>
  <si>
    <t>Amparo Project</t>
  </si>
  <si>
    <t>O-651</t>
  </si>
  <si>
    <t>Ingeniería de Detalle Pig de Lanzamiento y Recepción - Línea 24” Candelaria</t>
  </si>
  <si>
    <t>O-650</t>
  </si>
  <si>
    <t>Diseño Sistema de Neutralizacion Gas Cloro</t>
  </si>
  <si>
    <t>O-649</t>
  </si>
  <si>
    <t>Diseño Respaldo Electrico para PEAP, Pozos y PEAS de Aguas Andinas, Aguas Cordillera y Aguas Manquehue</t>
  </si>
  <si>
    <t>O-648</t>
  </si>
  <si>
    <t>Contrato Marco ENAP Refineria Aconcagua</t>
  </si>
  <si>
    <t>O-647</t>
  </si>
  <si>
    <t>South Andes Capital</t>
  </si>
  <si>
    <t xml:space="preserve">Opportunity to Develop Lithium Projects </t>
  </si>
  <si>
    <t>Antecedentes Precalificación Enviados</t>
  </si>
  <si>
    <t>O-646</t>
  </si>
  <si>
    <t>SEMOC</t>
  </si>
  <si>
    <t>SNC</t>
  </si>
  <si>
    <t>Relatorio Aumento Capacidade Mineroduto</t>
  </si>
  <si>
    <t>O-645</t>
  </si>
  <si>
    <t>Reingeniería Desarenador Aguas Tambo</t>
  </si>
  <si>
    <t>O-644</t>
  </si>
  <si>
    <t>Diseño Grupos Electrogeno</t>
  </si>
  <si>
    <t>O-643</t>
  </si>
  <si>
    <t>Servicios de Consultoria Elaboracion del Diseño Obras para Proteger La Impulsion Padre Hurtado-Lo Gallo</t>
  </si>
  <si>
    <t>O-642</t>
  </si>
  <si>
    <t>Servicio de Revisión Independiente Planta Moly Centinela</t>
  </si>
  <si>
    <t>SH-0152</t>
  </si>
  <si>
    <t>O-641</t>
  </si>
  <si>
    <t>Servicio de Ingeniería de Apoyo a Gerencia de Proyectos</t>
  </si>
  <si>
    <t>O-640</t>
  </si>
  <si>
    <t>Licitacion Servicios Multidisciplinarios Ingeniería</t>
  </si>
  <si>
    <t>SH-0158</t>
  </si>
  <si>
    <t>O-639</t>
  </si>
  <si>
    <t>Contrato Abierto Proyectos Menores</t>
  </si>
  <si>
    <t>O-638</t>
  </si>
  <si>
    <t xml:space="preserve">Modificación Ingeniería Detalles Nuevos Pozos de Infiltración P10@P14 </t>
  </si>
  <si>
    <t>O-637</t>
  </si>
  <si>
    <t>Estudio de Mejoramiento Espesamiento de Relaves Sierra Gorda SCM</t>
  </si>
  <si>
    <t>O-636</t>
  </si>
  <si>
    <t>Estudio Balance de Aguas y Recomendaciones de Ahorro de Agua</t>
  </si>
  <si>
    <t>O-635</t>
  </si>
  <si>
    <t>Estudio de Mejoras Área Remolienda, División Ministro Hales</t>
  </si>
  <si>
    <t>O-634</t>
  </si>
  <si>
    <t>Ingeniería de detalles nueva conducción red húmeda de incendio EPA</t>
  </si>
  <si>
    <t>Propuesta Desierta Cliente Solicito Cotización Ingeniería Conceptual</t>
  </si>
  <si>
    <t>O-633</t>
  </si>
  <si>
    <t>Ingeniería de detalles arranque agua potable a unidades administrativas EPA</t>
  </si>
  <si>
    <t>O-632</t>
  </si>
  <si>
    <t>Estudio para Disminuir Consumo de Agua de Sello en Bombas de Pulpa</t>
  </si>
  <si>
    <t>O-631</t>
  </si>
  <si>
    <t>Complementos Revisión Documentos Vendor y Aclaraciones</t>
  </si>
  <si>
    <t>O-630</t>
  </si>
  <si>
    <t xml:space="preserve">Instalación Válvula Bermad - Overflow Espesadores de Relaves </t>
  </si>
  <si>
    <t>O-629</t>
  </si>
  <si>
    <t>Revisión Información Vendor Flowserve</t>
  </si>
  <si>
    <t>O-628</t>
  </si>
  <si>
    <t>Ingeniería Complementaria Sistema Ácido Sulfúrico Planta Moly</t>
  </si>
  <si>
    <t>O-627</t>
  </si>
  <si>
    <t>Ingenieria Mulitidisciplinaria Nuevas Tolvas Canchas 8 y 9 Tocopilla</t>
  </si>
  <si>
    <t>O-626</t>
  </si>
  <si>
    <t xml:space="preserve">Reubicación Sala Eléctrica Recuperación de Aguas Relavera </t>
  </si>
  <si>
    <t>SH-0147</t>
  </si>
  <si>
    <t>O-625</t>
  </si>
  <si>
    <t>Jianzang</t>
  </si>
  <si>
    <t xml:space="preserve">Engineering Services for Banggou Project </t>
  </si>
  <si>
    <t>Calla coordinando</t>
  </si>
  <si>
    <t>O-624</t>
  </si>
  <si>
    <t>FLSmith</t>
  </si>
  <si>
    <t xml:space="preserve">Evaluacion Tecnica Operacion Reciclones Weir y Cyclowash </t>
  </si>
  <si>
    <t>O-623</t>
  </si>
  <si>
    <t xml:space="preserve">ID Aumento Capacidad Planta NPT2 </t>
  </si>
  <si>
    <t>Tarifa Promedio UF 1,13 siendo los más caros de 4 competidores</t>
  </si>
  <si>
    <t>O-622</t>
  </si>
  <si>
    <t>Inspeccion Sistema Proteccion Catodica</t>
  </si>
  <si>
    <t>O-621</t>
  </si>
  <si>
    <t>Apoyo Construccion Cajon Overflow de Relaves</t>
  </si>
  <si>
    <t>O-620</t>
  </si>
  <si>
    <t>Inspeccion Tuberias RT</t>
  </si>
  <si>
    <t>O-619</t>
  </si>
  <si>
    <t>ID Mejora Sistema Extraccion de Polvo Edificio de Chancado</t>
  </si>
  <si>
    <t>Oferta enviada 13/02/17 a Americo Zuñiga Supervisor de Mejora de Proceso de Las Bambas</t>
  </si>
  <si>
    <t>O-618</t>
  </si>
  <si>
    <t>Servicios Profesionales Sistema de Relaves</t>
  </si>
  <si>
    <t>Andrés Campillay</t>
  </si>
  <si>
    <t>Propuesta Desierta por parte del Cliente</t>
  </si>
  <si>
    <t>O-617</t>
  </si>
  <si>
    <t>Paragominas</t>
  </si>
  <si>
    <t>Estudo Aumento Capacidade Produtiva - Paragominas</t>
  </si>
  <si>
    <t>O-616</t>
  </si>
  <si>
    <t>Estudio Conceptual Línea Impulsión Concentrado Piscina Área 6100</t>
  </si>
  <si>
    <t>O-615</t>
  </si>
  <si>
    <t>Ingenieria Conceptual y Basica Underflow espesador de Concentrado Bulk</t>
  </si>
  <si>
    <t xml:space="preserve">Oferta Emitida a Miguel Huamali y Americo Zuñiga el 30/11/2016 por parte de Rafael se reenvio el 11 de enero del 2017 y no se ha tenido respuesta de Miguel Huamali, Se supone que Huamali es paralelo a Rafael carpio y no ha pescado mucho a Cristan Lopez, quién se ha tratado de comunicar con el. </t>
  </si>
  <si>
    <t>O-614</t>
  </si>
  <si>
    <t>cmerlo@caserones.cl</t>
  </si>
  <si>
    <t>Ingenierías Complementarias</t>
  </si>
  <si>
    <t>O-613</t>
  </si>
  <si>
    <t>Richard Lopez</t>
  </si>
  <si>
    <t>Servicios de Ingeniería Complementarios GTAM</t>
  </si>
  <si>
    <t>SH-0150</t>
  </si>
  <si>
    <t>O-612</t>
  </si>
  <si>
    <t>MOVITEC</t>
  </si>
  <si>
    <t>EPC Suministro de Agua - Minera SPENCE</t>
  </si>
  <si>
    <t>O-611</t>
  </si>
  <si>
    <t>Pablo Cheng</t>
  </si>
  <si>
    <t>Ingeniería Conceptual Apta para Tramitación de Permisos</t>
  </si>
  <si>
    <t>SH-0149</t>
  </si>
  <si>
    <t>O-610</t>
  </si>
  <si>
    <t>Christian Farias</t>
  </si>
  <si>
    <t>cfarias@caserones.cl</t>
  </si>
  <si>
    <t>Ingeniería Complementaria Plantas RO</t>
  </si>
  <si>
    <t>Rev. 1</t>
  </si>
  <si>
    <t>O-609</t>
  </si>
  <si>
    <t>Estudio Verificación Hidráulica de Nueva Línea de Transporte de Concentrado</t>
  </si>
  <si>
    <t>SH-0113-OS82</t>
  </si>
  <si>
    <t>O-608</t>
  </si>
  <si>
    <t>Ingeniería Corrección Desalineamiento entre Flange del Machón</t>
  </si>
  <si>
    <t>SH-0113-OS81</t>
  </si>
  <si>
    <t>O-607</t>
  </si>
  <si>
    <t>ID Instalación de Acumulador de Aire Adicional para Mejoramiento Filtrado</t>
  </si>
  <si>
    <t>SH-0113</t>
  </si>
  <si>
    <t>O-606</t>
  </si>
  <si>
    <t>Servicios de Ingeniería para Obras de Construcción DPRO - División Salvador</t>
  </si>
  <si>
    <t>Nula</t>
  </si>
  <si>
    <t>O-605</t>
  </si>
  <si>
    <t>ID Instalación de By-pass desde espesador de concentrado Cu-Mo a TK 7200-TK-002</t>
  </si>
  <si>
    <t>SH-0113-OS80</t>
  </si>
  <si>
    <t>O-604</t>
  </si>
  <si>
    <t>Ingeniería Mejoramiento en Conducción de Aguas de Lavado - MLCC</t>
  </si>
  <si>
    <t>O-603</t>
  </si>
  <si>
    <t>Ingeniería Mejoramiento en Conducción de Aguas Filtradas a los Aireadores - MLCC</t>
  </si>
  <si>
    <t>O-602</t>
  </si>
  <si>
    <t xml:space="preserve"> Ingeniería Diseño de Estructura de Inspección y Mantenimiento en Harnero Lineal </t>
  </si>
  <si>
    <t>O-601</t>
  </si>
  <si>
    <t>Ingeniería Rediseño Chutes de Descarga de Filtros de Cobre</t>
  </si>
  <si>
    <t>SH-0113-OS79</t>
  </si>
  <si>
    <t>O-600</t>
  </si>
  <si>
    <t>Ingeniería Instalación de Agitador en Estanque de Agua de Lavado de
Filtros</t>
  </si>
  <si>
    <t>O-599</t>
  </si>
  <si>
    <t>Ingeniería Modificación Sumidero Área Filtrado de Cobre</t>
  </si>
  <si>
    <t>O-598</t>
  </si>
  <si>
    <t>Ingeniería Rediseño de Estanque de Rechazo Harnero</t>
  </si>
  <si>
    <t>O-597</t>
  </si>
  <si>
    <t>ID Instalación Tercera Bomba de Alimentación de Concentrado de Cobre a Filtros Larox</t>
  </si>
  <si>
    <t>SH-0113-OS78</t>
  </si>
  <si>
    <t>O-596</t>
  </si>
  <si>
    <t>Diseño de Mejoramiento y Ampliación del Servicio de APR</t>
  </si>
  <si>
    <t>O-595</t>
  </si>
  <si>
    <t>Gustavo Bastidas</t>
  </si>
  <si>
    <t>Estudio Perfil Hidraulico en Transporte de Agua y Relave</t>
  </si>
  <si>
    <t>Rev. 2. Se perdió con JRI</t>
  </si>
  <si>
    <t>O-594</t>
  </si>
  <si>
    <t>FAM América Latina Ltda</t>
  </si>
  <si>
    <t>Minera Los Bronces</t>
  </si>
  <si>
    <t>Javier Bustos Weisser</t>
  </si>
  <si>
    <t>javier.bustos@fam.cl</t>
  </si>
  <si>
    <t>Servicios de Ingenieria y Asistencia Tecnica para EPCM, Sistema de Cambio de Cienta a Emplear en Correa Transportadora CVB-004</t>
  </si>
  <si>
    <t>O-593</t>
  </si>
  <si>
    <t>olimpiadelrosario.cabrera@mmg.com</t>
  </si>
  <si>
    <t xml:space="preserve">Reubicación Sala Eléctrica </t>
  </si>
  <si>
    <t>O-592</t>
  </si>
  <si>
    <t>Mejora Operacional Underflow Espesadores de Relaves</t>
  </si>
  <si>
    <t>O-591</t>
  </si>
  <si>
    <t>Felipe Bueno</t>
  </si>
  <si>
    <t>Ingeniería de Detalles Muro de Contención</t>
  </si>
  <si>
    <t>O-590</t>
  </si>
  <si>
    <t>Ignacio Gauca</t>
  </si>
  <si>
    <t>Deep Dive Concentrate Pipeline Antamina</t>
  </si>
  <si>
    <t>O-589</t>
  </si>
  <si>
    <t>Ingeniería Menores</t>
  </si>
  <si>
    <t>O-588</t>
  </si>
  <si>
    <t>Alex Galleguillos</t>
  </si>
  <si>
    <t>agalleguillos@consorciobas.cl</t>
  </si>
  <si>
    <t>Estudio Hidrá Red Distribución de Agua Potable y Red de Incendio - Establecimiento Penitenciaria de Alto Hospicio</t>
  </si>
  <si>
    <t>O-587</t>
  </si>
  <si>
    <t>Ingeniería de Detalles Conducción Definitiva Lamas al Depósito La Brea y Sistema de Recuperación de Aguas Repontenciado</t>
  </si>
  <si>
    <t>O-586</t>
  </si>
  <si>
    <t xml:space="preserve">Disposición Relaves Presa </t>
  </si>
  <si>
    <t>SH-0145</t>
  </si>
  <si>
    <t>O-585</t>
  </si>
  <si>
    <t>SAXUM Engineered Solutions</t>
  </si>
  <si>
    <t>Ruben Tomassini</t>
  </si>
  <si>
    <t>Apoyo Especializado para Construcción, PEM y Operación Planta de Relleno Hidráulico de Minera Santa Cruz</t>
  </si>
  <si>
    <t>O-584</t>
  </si>
  <si>
    <t>Felipe Barraza</t>
  </si>
  <si>
    <t>Estudio de Diagnóstico Sistema de Captacion y Abastecimiento Biogas</t>
  </si>
  <si>
    <t>O-583</t>
  </si>
  <si>
    <t>Servicio de Ingenieria Civil Estructural ENAP Refineria Aconcagua</t>
  </si>
  <si>
    <t>O-582</t>
  </si>
  <si>
    <t>Servicio Desarrollo de Ingenieria Mecanica ENAP Refineria Aconcagua</t>
  </si>
  <si>
    <t>O-581</t>
  </si>
  <si>
    <t>Bladimir Quispe</t>
  </si>
  <si>
    <t>bladimir.quispe@mmg.com</t>
  </si>
  <si>
    <t>Extension Acompañamiento Operacional - Aguas y Relaves Periodo</t>
  </si>
  <si>
    <t>SH-0124</t>
  </si>
  <si>
    <t>O-580</t>
  </si>
  <si>
    <t>Análisis Sísmico Flexpipe Gasoducto</t>
  </si>
  <si>
    <t>O-579</t>
  </si>
  <si>
    <t>ID Solucion Regante Nilahue con Estanqu</t>
  </si>
  <si>
    <t>José Gallardo</t>
  </si>
  <si>
    <t>SH-0113 - OS77</t>
  </si>
  <si>
    <t>O-578</t>
  </si>
  <si>
    <t>Olimpia del Rosario</t>
  </si>
  <si>
    <t>Revisión Ingenieria de Detalles SERPETBOL</t>
  </si>
  <si>
    <t>SH-0148</t>
  </si>
  <si>
    <t>O-577</t>
  </si>
  <si>
    <t xml:space="preserve">Johana Silva </t>
  </si>
  <si>
    <t>jsilva062@contratistas.codelco.cl</t>
  </si>
  <si>
    <t>ID Mejoramiento Sistema Contraincendios</t>
  </si>
  <si>
    <t>No se cumplieron requisitos financieros (auditores)</t>
  </si>
  <si>
    <t>O-576</t>
  </si>
  <si>
    <t>cdoto035@codelco.cl</t>
  </si>
  <si>
    <t>Servicios de Estudios de Diagnostico</t>
  </si>
  <si>
    <t>O-575</t>
  </si>
  <si>
    <t>Denis Concha</t>
  </si>
  <si>
    <t>dconcha@aguascap.cl</t>
  </si>
  <si>
    <t>Estudio Integridad Acueducto ATA y CNN</t>
  </si>
  <si>
    <t>Enviará consultas Denis Concha</t>
  </si>
  <si>
    <t>O-574</t>
  </si>
  <si>
    <t>Ingenieria Plan B 350 l/s</t>
  </si>
  <si>
    <t>SH-0113 - OS76</t>
  </si>
  <si>
    <t>O-573</t>
  </si>
  <si>
    <t>Felipe Yevenes</t>
  </si>
  <si>
    <t>Plan de Contingencia Impulsión Agua de Mar</t>
  </si>
  <si>
    <t>SH-0144</t>
  </si>
  <si>
    <t>O-572</t>
  </si>
  <si>
    <t>Ingenieria de Detalle Planta de Relleno Hidraulico</t>
  </si>
  <si>
    <t>O-571</t>
  </si>
  <si>
    <t xml:space="preserve">vsalinas@caserones.cl </t>
  </si>
  <si>
    <t>Ingeniería Plan B con Equipos Existentes</t>
  </si>
  <si>
    <t>SH-0113 - OS75</t>
  </si>
  <si>
    <t>O-570</t>
  </si>
  <si>
    <t>Incorporación Bombas de Recirculación en Espesadores de Relaves/Lamas</t>
  </si>
  <si>
    <t>SH-0113 - OS74</t>
  </si>
  <si>
    <t>O-569</t>
  </si>
  <si>
    <t>Incorporación Bombas Stand By Concentrado Planta Moly</t>
  </si>
  <si>
    <t>SH-0113 - OS72</t>
  </si>
  <si>
    <t>O-568</t>
  </si>
  <si>
    <t>Mejoramiento Capacidad Bombeo Espesador Colectivo</t>
  </si>
  <si>
    <t>O-567</t>
  </si>
  <si>
    <t>Ingeniería de Detalles Proyecto Planta de Filtros de Concentrados de Cobre, División Salvador</t>
  </si>
  <si>
    <t>O-566</t>
  </si>
  <si>
    <t>Mejora Almacenamiento Granel Puerto Tocopilla</t>
  </si>
  <si>
    <t>O-565</t>
  </si>
  <si>
    <t>INGENIERÍA GENERAL PLANTA PILOTO SISTEMA INERCIAL DE LOS REACTORES PLANTA NPT3 COYA SUR</t>
  </si>
  <si>
    <t>Gonzalo Quiroz</t>
  </si>
  <si>
    <t>SH-0141</t>
  </si>
  <si>
    <t>O-564</t>
  </si>
  <si>
    <t xml:space="preserve"> Ingeniería Alimentación Eléctrica de Bomba Bypass Molibdeno </t>
  </si>
  <si>
    <t>Héctor Benavente</t>
  </si>
  <si>
    <t>SH-0113 - OS71</t>
  </si>
  <si>
    <t>O-563</t>
  </si>
  <si>
    <t>Sistema de Levante Piscina de Emergencias</t>
  </si>
  <si>
    <t>O-562</t>
  </si>
  <si>
    <t>Ingeniería de Detalles Conducción  Temporal a la Cola Variante 2 Lado Sur Depósito La Brea</t>
  </si>
  <si>
    <t>SH-0113 - OS70</t>
  </si>
  <si>
    <t>O-561</t>
  </si>
  <si>
    <t>Victor Rodriguez</t>
  </si>
  <si>
    <t>Servicio de Watering Actividades de Ingenieria Los Bronces</t>
  </si>
  <si>
    <t>Carta Excusa, Fuera de Alcance</t>
  </si>
  <si>
    <t>O-560</t>
  </si>
  <si>
    <t>Ingeniería Básica Estación de Bombeo Sector Taller de Camiones Mina Oeste</t>
  </si>
  <si>
    <t>O-559</t>
  </si>
  <si>
    <t>Prefactibilidad Proyecto Vial</t>
  </si>
  <si>
    <t>O-558</t>
  </si>
  <si>
    <t>Recuperacion de Elementos de Valor en Depositos de Relaves</t>
  </si>
  <si>
    <t>O-557</t>
  </si>
  <si>
    <t>Proyecto Alimentación Turbinas para Dilución Espesadores</t>
  </si>
  <si>
    <t>SH-0113 - OS69</t>
  </si>
  <si>
    <t>O-556</t>
  </si>
  <si>
    <t>Ingeniería de Detalles Sistema 6,6kV Alimentación Planta NK-PV</t>
  </si>
  <si>
    <t>SH-0142</t>
  </si>
  <si>
    <t>O-555</t>
  </si>
  <si>
    <t>Analisis y Solución Cuello de Botella y Derrames Area Flotación y Remolienda de Concentrados</t>
  </si>
  <si>
    <t>SH-0113 - OS67</t>
  </si>
  <si>
    <t>O-554</t>
  </si>
  <si>
    <t>Bypass Cajon de Relaves</t>
  </si>
  <si>
    <t>SH-0139</t>
  </si>
  <si>
    <t>O-553</t>
  </si>
  <si>
    <t xml:space="preserve">ID Disposición Relaves Presa </t>
  </si>
  <si>
    <t>O-552</t>
  </si>
  <si>
    <t xml:space="preserve">Ingenieria Electrica Area Flotacion y Recuperacion Molibdeno </t>
  </si>
  <si>
    <t>SH-0113 - OS68</t>
  </si>
  <si>
    <t>O-551</t>
  </si>
  <si>
    <t>Canal Culipran</t>
  </si>
  <si>
    <t>jocanad@hotmail.com</t>
  </si>
  <si>
    <t>Estudio Socavacion Canal Cholqui</t>
  </si>
  <si>
    <t>O-550</t>
  </si>
  <si>
    <t>ID Nuevas Piscinas PDS - RT - PSC</t>
  </si>
  <si>
    <t>Segunda Ronda de Consultas</t>
  </si>
  <si>
    <t>O-549</t>
  </si>
  <si>
    <t>Estudio Instalacion Sistema Acido Sulfurico Planta de Mo</t>
  </si>
  <si>
    <t>Mario Arredondo</t>
  </si>
  <si>
    <t>SH-0113 - OS66</t>
  </si>
  <si>
    <t>O-548</t>
  </si>
  <si>
    <t>Estudio Solucion para Disminuir Solidos en Piscina de AR</t>
  </si>
  <si>
    <t>SH-0113 - OS65</t>
  </si>
  <si>
    <t>O-547</t>
  </si>
  <si>
    <t>Maurizzia Vicencio</t>
  </si>
  <si>
    <t>mvicencio.adc@aminerals.cl</t>
  </si>
  <si>
    <t>Evaluación de la Calidad de Sistema Hidráulico del Proceso Hidrometalúrgico Considerado la Adición de Cloruro de Sodio en el Proceso de Lixiviación</t>
  </si>
  <si>
    <t>SH-0140</t>
  </si>
  <si>
    <t>O-546</t>
  </si>
  <si>
    <t>Estudio de Protecciones Ampliacion Planta de Cal</t>
  </si>
  <si>
    <t>O-545</t>
  </si>
  <si>
    <t xml:space="preserve">ID Pig Oleoducto Chuquicamata </t>
  </si>
  <si>
    <t>Consultar a Juan Manuel Silva</t>
  </si>
  <si>
    <t>O-544</t>
  </si>
  <si>
    <t>Simulador de Distribución de Relaves Espesados Centinela Súlfuros</t>
  </si>
  <si>
    <t>O-543</t>
  </si>
  <si>
    <t>Estudio de Diagnóstico Reparación Estanque de Hormigón TK 408, Planta de EW,</t>
  </si>
  <si>
    <t>O-542</t>
  </si>
  <si>
    <t>Estudio Oferta/Demanda de Agua Potable en Establecimiento Penitenciario de Antofagasta</t>
  </si>
  <si>
    <t>SH-0143</t>
  </si>
  <si>
    <t>O-541</t>
  </si>
  <si>
    <t>Extensión Acompañamiento Operacional – Mejora de Procesos Periodo</t>
  </si>
  <si>
    <t>O-540</t>
  </si>
  <si>
    <t>Ingeniería Detalles Sistema de Agua Fresca y Recuperada Caserones</t>
  </si>
  <si>
    <t>SH-0113 - OS57@OS64</t>
  </si>
  <si>
    <t>O-539</t>
  </si>
  <si>
    <t>Ingenieria Adquisicion Equipos Agua Recuperada El Tambo</t>
  </si>
  <si>
    <t>O-538</t>
  </si>
  <si>
    <t>IB y ID Reimpulsion Relaves Minera Ojos del Salado</t>
  </si>
  <si>
    <t>Decisión Pendiente, Esperando Fondos</t>
  </si>
  <si>
    <t>O-537</t>
  </si>
  <si>
    <t>Ingeniería Detalles Conexión Bomba Adicional Overflow Espesadores</t>
  </si>
  <si>
    <t>SH-0136</t>
  </si>
  <si>
    <t>O-536</t>
  </si>
  <si>
    <t>camunoz@collahuasi.cl</t>
  </si>
  <si>
    <t>Estandarizacion Pruebas Reologicas</t>
  </si>
  <si>
    <t>O-535</t>
  </si>
  <si>
    <t>Instituto Nacional de Hidraulica</t>
  </si>
  <si>
    <t>Diseño Canal Hidraulico Socavacion Puentes</t>
  </si>
  <si>
    <t>O-534</t>
  </si>
  <si>
    <t>DIAGNÓSTICO OPERACIONAL Y DETECCION DE OPORTUNIDADES EN PLANTA NPT3</t>
  </si>
  <si>
    <t>O-533</t>
  </si>
  <si>
    <t>Obras para Mejoramiento Loop de Cal Planta Concentrada</t>
  </si>
  <si>
    <t>O-532</t>
  </si>
  <si>
    <t>Extensión Acompañamiento Operacional  - Mejora de Procesos</t>
  </si>
  <si>
    <t>O-531</t>
  </si>
  <si>
    <t>Gemita Gonzalez</t>
  </si>
  <si>
    <t>gemita.gonzalez@sqm.com</t>
  </si>
  <si>
    <t>Ingeniería conceptual sistema de filtración reactores NPT3</t>
  </si>
  <si>
    <t>SH-0137</t>
  </si>
  <si>
    <t>O-530</t>
  </si>
  <si>
    <t>Estudio de Ingenieria Sistema de Bombeo de Agua Fresca</t>
  </si>
  <si>
    <t>O-529</t>
  </si>
  <si>
    <t>CDM Smith</t>
  </si>
  <si>
    <t>Juan Eduardo Coeymans</t>
  </si>
  <si>
    <t>Estudio Benchmarking Transporte de Agua de Mar</t>
  </si>
  <si>
    <t>SH-0135</t>
  </si>
  <si>
    <t>O-528</t>
  </si>
  <si>
    <t>Detail Engineering for Pigs Launcher &amp; Receivers – 24” copper ore pipeline Anglo American Sur</t>
  </si>
  <si>
    <t>O-527</t>
  </si>
  <si>
    <t>agelleguillos@consorciobas.cl</t>
  </si>
  <si>
    <t>Ingeniería Básica Mejoramiento Aducción de Agua en Establecimiento Penitenciario de Alto Hospicio</t>
  </si>
  <si>
    <t>SH-0134</t>
  </si>
  <si>
    <t>O-526</t>
  </si>
  <si>
    <t>Giannina Ñuñez</t>
  </si>
  <si>
    <t>gnune009@contratistas.codelco.cl</t>
  </si>
  <si>
    <t>Capacitación Relaves Espesados, Vicepresidencia de Proyecto CODELCO</t>
  </si>
  <si>
    <t>O-525</t>
  </si>
  <si>
    <t>Manejo aguas sobrenadantes Dique 2</t>
  </si>
  <si>
    <t>SH-0113-OS55</t>
  </si>
  <si>
    <t>O-524</t>
  </si>
  <si>
    <t>Informe Tëcnica Falla Linea</t>
  </si>
  <si>
    <t>O-523</t>
  </si>
  <si>
    <t>ESSBIO</t>
  </si>
  <si>
    <t>rodrigo.fernandez@ryq.cl</t>
  </si>
  <si>
    <t>Ingeniería Diseño de Salas y Cobetizo tipo para Grupos Electrógenos - ESSBIO</t>
  </si>
  <si>
    <t>O-522</t>
  </si>
  <si>
    <t>Felipe Yavenes</t>
  </si>
  <si>
    <t>felipe.yevenes@sqm.com</t>
  </si>
  <si>
    <t>Ingeniería Básica COP5 NV</t>
  </si>
  <si>
    <t>O-521</t>
  </si>
  <si>
    <t>Ingenieria para Instalacion de un Trommel Screen</t>
  </si>
  <si>
    <t>O-520</t>
  </si>
  <si>
    <t>Estudio de Perfil Camino de Acceso Planta Pedro de Valdivia</t>
  </si>
  <si>
    <t>O-519</t>
  </si>
  <si>
    <t>Francisco Mendoza</t>
  </si>
  <si>
    <t>francisco.mendoza@mmg.com</t>
  </si>
  <si>
    <t>Ingeniería de Detalles Bypass Ciclones Molienda - Mineras Las Bambas</t>
  </si>
  <si>
    <t>O-518</t>
  </si>
  <si>
    <t>Jorge.Agustini@mmg.com</t>
  </si>
  <si>
    <t>Extensión Acompañamiento Operacional Experto durante el
Comisionamiento, Start Up y Ramp Up de los sistemas de Relaves y Aguas Las Bambas.</t>
  </si>
  <si>
    <t>O-517</t>
  </si>
  <si>
    <t>Christian Jensen</t>
  </si>
  <si>
    <t>christian.jensenmontt@angloamerican.com</t>
  </si>
  <si>
    <t>Ingeniería Detalles Lanzadores y Receptores de PIG Mineroducto Los Bronces</t>
  </si>
  <si>
    <t>O-516</t>
  </si>
  <si>
    <t>Ingeniería de Detalles Modificación Proyecto Medición de Agua Pozo
Nilahue</t>
  </si>
  <si>
    <t>SH-0113-OS53</t>
  </si>
  <si>
    <t>O-515</t>
  </si>
  <si>
    <t>Ingeniería de Detalles Nuevos Pozos de Recuperación Infiltración de Agua la Brea</t>
  </si>
  <si>
    <t>SH-0113-OS52</t>
  </si>
  <si>
    <t>O-514</t>
  </si>
  <si>
    <t>Ingeniería de Detalles Flexibilidad Operacional Baterías de Ciclones de
Relaves</t>
  </si>
  <si>
    <t>Revision 1</t>
  </si>
  <si>
    <t>SH-0113-OS51</t>
  </si>
  <si>
    <t>O-513</t>
  </si>
  <si>
    <t xml:space="preserve">Diseño Fabricacion Orejas de Maniobra Estanques </t>
  </si>
  <si>
    <t>O-512</t>
  </si>
  <si>
    <t>Mejoramiento Capacidad de Impulsión desde Estación Intermedia a Piscina de Agua Recuperada</t>
  </si>
  <si>
    <t>SH-0113-OS54</t>
  </si>
  <si>
    <t>O-511</t>
  </si>
  <si>
    <t>coeymansje@cdmsmith.com</t>
  </si>
  <si>
    <t>Estudio Trade-off Sistema de Impulsión Agua de Mar BHP BILLITON</t>
  </si>
  <si>
    <t>SH-0130</t>
  </si>
  <si>
    <t>O-510</t>
  </si>
  <si>
    <t>Ingenieria de Detalles en Planta las Luces - Cenizas</t>
  </si>
  <si>
    <t>O-509</t>
  </si>
  <si>
    <t>Ingeniería de Detalles Sistema Cachimbas EB4</t>
  </si>
  <si>
    <t>27-01-216</t>
  </si>
  <si>
    <t>SH-0113-OS50</t>
  </si>
  <si>
    <t>O-508</t>
  </si>
  <si>
    <t>Revision Ingeniería Detalles Esmeraldas</t>
  </si>
  <si>
    <t>Sin Antecedentes</t>
  </si>
  <si>
    <t>O-507</t>
  </si>
  <si>
    <t>Rafael Simões</t>
  </si>
  <si>
    <t>rafael.simoes@enrc.com.br</t>
  </si>
  <si>
    <t>Atualizacao Suprimento de Agua Industrial  Projeto Pedra de Ferro</t>
  </si>
  <si>
    <t>Descalificados por no asistir Visita a Terreno</t>
  </si>
  <si>
    <t>O-506</t>
  </si>
  <si>
    <t>SUEZ</t>
  </si>
  <si>
    <t>Juan Coeymans</t>
  </si>
  <si>
    <t>Pipeline Planta Desaladora Aguas Atacama</t>
  </si>
  <si>
    <t>CDM desistio de la Licitación</t>
  </si>
  <si>
    <t>O-505</t>
  </si>
  <si>
    <t>Catalán Hraste/German Vivanco/José Arroyo S/Alejandro Keller</t>
  </si>
  <si>
    <t>acatalan@kdmenergia.cl / german.vivanco@kdmenergia.cl / jarroyos@kdmenergia.cl / akeller@kdmenergia.cl</t>
  </si>
  <si>
    <t xml:space="preserve">ID Minicentral Hidrolectrica Canal de Relave </t>
  </si>
  <si>
    <t>SH-0131</t>
  </si>
  <si>
    <t>O-504</t>
  </si>
  <si>
    <t>bbascuna@codelco.cl</t>
  </si>
  <si>
    <t>ID En Sistemas Varios Recursos Hidricos Distrito Norte</t>
  </si>
  <si>
    <t>Adjudicado a FDA (22% más barato que SHIMIN)</t>
  </si>
  <si>
    <t>O-503</t>
  </si>
  <si>
    <t>SIBELCO</t>
  </si>
  <si>
    <t>Guillermo Coloma / William Arancibia</t>
  </si>
  <si>
    <t>Reingenieria Loop de Cal</t>
  </si>
  <si>
    <t>O-502</t>
  </si>
  <si>
    <t>Rodrigo Herra</t>
  </si>
  <si>
    <t>Rodrigo.herrera@solidsolutions.cl</t>
  </si>
  <si>
    <t>Manejo Relaves y Aguas Espesamiento CMP</t>
  </si>
  <si>
    <t>O-501</t>
  </si>
  <si>
    <t>Pablo Morales</t>
  </si>
  <si>
    <t>pemorales@enap.cl</t>
  </si>
  <si>
    <t>Gasoducto Central Nueva Era</t>
  </si>
  <si>
    <t>Claudio MUñoz</t>
  </si>
  <si>
    <t>Propuesta desierta por Comunidad</t>
  </si>
  <si>
    <t>O-500</t>
  </si>
  <si>
    <t>Davor.Versalovic@sqm.com</t>
  </si>
  <si>
    <t>Ingeniería Básica Taller de Camiones COP5</t>
  </si>
  <si>
    <t>O-499</t>
  </si>
  <si>
    <t>ID Sistema de Extracción de Gases Planta de Yodo NV - SQM</t>
  </si>
  <si>
    <t>O-498</t>
  </si>
  <si>
    <t>ID Proyecto NK - Pedro de Valdivia</t>
  </si>
  <si>
    <t>SH-0133</t>
  </si>
  <si>
    <t>O-497</t>
  </si>
  <si>
    <t>Levantamiento Multidiscipinario Planta de Cristal Pedro de Valdivia</t>
  </si>
  <si>
    <t>SH-0129</t>
  </si>
  <si>
    <t>O-496</t>
  </si>
  <si>
    <t>gcoloma@sibelcosam.com</t>
  </si>
  <si>
    <t>Ingeniería Básica Avanzada Silos de Cal Molida</t>
  </si>
  <si>
    <t>O-495</t>
  </si>
  <si>
    <t>mvillanueva@mineracentinela.cl</t>
  </si>
  <si>
    <t>Aseguramiento de Integridad Concentraducto Tramo Estación de Bombeo – Estación de Válvulas 1 (EV-1).</t>
  </si>
  <si>
    <t>O-494</t>
  </si>
  <si>
    <t>Guacolda</t>
  </si>
  <si>
    <t>Respaldo Sistema Molienda</t>
  </si>
  <si>
    <t>O-493</t>
  </si>
  <si>
    <t>Actualizacion Plan Maestro de Aguas (Incluyendo SAF)</t>
  </si>
  <si>
    <t>Informe 003 emitido por la OS37 (aprox. 90 hh (PV/JC/MA)</t>
  </si>
  <si>
    <t>O-492</t>
  </si>
  <si>
    <t>Ingeniería General Rediseño Impulsión y Conduccion de los derammes en Planta de Filtrado</t>
  </si>
  <si>
    <t>Revisión 1.</t>
  </si>
  <si>
    <t>O-491</t>
  </si>
  <si>
    <t>Ingeniería Detalles Instalación Filtros Autolimpiantes Pozos el Fuerte y Nilahue</t>
  </si>
  <si>
    <t>O-490</t>
  </si>
  <si>
    <t>Extension Respuestas Técnicas</t>
  </si>
  <si>
    <t>Para revisión.</t>
  </si>
  <si>
    <t>SH-0113-OS45</t>
  </si>
  <si>
    <t>O-489</t>
  </si>
  <si>
    <t xml:space="preserve">Adquisicion y Montaje Tuberia Flexible - GEOPARK </t>
  </si>
  <si>
    <t>Depende de Punta Arenas.</t>
  </si>
  <si>
    <t>O-488</t>
  </si>
  <si>
    <t>MN Ingenieros</t>
  </si>
  <si>
    <t>Ingeniería de Detalles - Terreno - Habilitacion Transitoria Tranque Talabre - MN</t>
  </si>
  <si>
    <t>O-487</t>
  </si>
  <si>
    <t>Curso Hidráulica de Pulpa - LAS BAMBAS</t>
  </si>
  <si>
    <t>O-486</t>
  </si>
  <si>
    <t>O-485</t>
  </si>
  <si>
    <t>Rediseño en Alimentación a Espesadores Relaves</t>
  </si>
  <si>
    <t>SH-0113-OS46</t>
  </si>
  <si>
    <t>O-484</t>
  </si>
  <si>
    <t>Francisco Soto</t>
  </si>
  <si>
    <t>Francisco.soto@empiricaconsultores.cl</t>
  </si>
  <si>
    <t>Selección de Alternativa e Ingeniería de Perfil Concentrador RT</t>
  </si>
  <si>
    <t>O-483</t>
  </si>
  <si>
    <t>Ingeniería de Detalle para Recuperación Muelle N°5 -  Puerto Tocopilla SQM</t>
  </si>
  <si>
    <t>O-482</t>
  </si>
  <si>
    <t>Ingeniería Conceptual Espesador Hidrodinámico Planta ATM</t>
  </si>
  <si>
    <t>O-481</t>
  </si>
  <si>
    <t>Edificio de Almacenamiento Concentrado de Cobre Punta Totoralillo</t>
  </si>
  <si>
    <t>O-480</t>
  </si>
  <si>
    <t>Apoyo Especializado para Comisionamiento Planta Oxidos</t>
  </si>
  <si>
    <t>O-479</t>
  </si>
  <si>
    <t>Besalco Ingeniería</t>
  </si>
  <si>
    <t>Diseño Conceptual y Detalles Bypass Temporales Pascua Lama</t>
  </si>
  <si>
    <t>O-478</t>
  </si>
  <si>
    <t>Estudio de Análisis de Flexibilidad Sistema Underflow de Relaves</t>
  </si>
  <si>
    <t>O-477</t>
  </si>
  <si>
    <t>Aguas del Valle</t>
  </si>
  <si>
    <t>Estudio Conducción Agua Potabla El Peñon</t>
  </si>
  <si>
    <t>O-476</t>
  </si>
  <si>
    <t>ID Modificacion Cristalizador A3210</t>
  </si>
  <si>
    <t>Daniel Morales</t>
  </si>
  <si>
    <t>O-475</t>
  </si>
  <si>
    <t xml:space="preserve">Nueva Conduccion Pozos P7-P9 a EB4 </t>
  </si>
  <si>
    <t>JG prepara Oferta</t>
  </si>
  <si>
    <t>SH-0113-OS44</t>
  </si>
  <si>
    <t>O-474</t>
  </si>
  <si>
    <t>Estudio Hidráulico Linea PLS ROM</t>
  </si>
  <si>
    <t>SH-0127</t>
  </si>
  <si>
    <t>O-473</t>
  </si>
  <si>
    <t>Edoctum</t>
  </si>
  <si>
    <t>Southern Perú Copper Corporation</t>
  </si>
  <si>
    <t>Silvia Lagos</t>
  </si>
  <si>
    <t>silvia.lagos@edoctum.com</t>
  </si>
  <si>
    <t>Curso Básico de Flotación</t>
  </si>
  <si>
    <t>O-472</t>
  </si>
  <si>
    <t>Metalex</t>
  </si>
  <si>
    <t>Copper Bay</t>
  </si>
  <si>
    <t>Alejandro Lillo</t>
  </si>
  <si>
    <t>Apoyo a Metalex para Proyecto Copper Bay</t>
  </si>
  <si>
    <t>PV llamara.</t>
  </si>
  <si>
    <t>O-471</t>
  </si>
  <si>
    <t xml:space="preserve">Saneamiento Aguas Lluvias </t>
  </si>
  <si>
    <t>O-470</t>
  </si>
  <si>
    <t>ID Habilitación y Mejoramiento Servicios Higiénicos Sector Plantas.    ID Portones Stock Pile</t>
  </si>
  <si>
    <t>Preguntar a VS /o CF</t>
  </si>
  <si>
    <t>O-469</t>
  </si>
  <si>
    <t>ID Reemplazo Líneas Colectoras y Aducción Inacaliri en Sector Ojos de San Pedro</t>
  </si>
  <si>
    <t>O-468</t>
  </si>
  <si>
    <t>Ampliación Planta de Cal</t>
  </si>
  <si>
    <t>SH-0113-OS43</t>
  </si>
  <si>
    <t>O-467</t>
  </si>
  <si>
    <t>Dessau Chile</t>
  </si>
  <si>
    <t>Gustavo Baeza T.</t>
  </si>
  <si>
    <t>Estudio Hidrológico e Hidráulico Río Maipo Ruta 5</t>
  </si>
  <si>
    <t>O-466</t>
  </si>
  <si>
    <t>Limpieza Piscina Agua Recuperada</t>
  </si>
  <si>
    <t>SH-0113-OS42</t>
  </si>
  <si>
    <t>O-465</t>
  </si>
  <si>
    <t>Ingeniería de Detalle conducción de Agua 5 Nuevos Pozos hasta TK EB2 Sistema de Agua LAS BAMBAS</t>
  </si>
  <si>
    <t>O-464</t>
  </si>
  <si>
    <t>Yanine Robledo</t>
  </si>
  <si>
    <t>Expansión Tranque de Relaves El Gato</t>
  </si>
  <si>
    <t>CM contactará.</t>
  </si>
  <si>
    <t>O-463</t>
  </si>
  <si>
    <t>Denise Concha</t>
  </si>
  <si>
    <t>Contrato Marco para Ingenierías Multidisciplinarias</t>
  </si>
  <si>
    <t>Consultar en Diciembre</t>
  </si>
  <si>
    <t>O-462</t>
  </si>
  <si>
    <t>Diagnóstico y Proposición de Soluciones Bombas Verticales Sentina- El Tambo</t>
  </si>
  <si>
    <t>O-461</t>
  </si>
  <si>
    <t>AXA Ingenieros</t>
  </si>
  <si>
    <t>Guillermo Tamblay</t>
  </si>
  <si>
    <t>gtamblayp@hotmail.com</t>
  </si>
  <si>
    <t xml:space="preserve">Capacitación Proveedores Servicios Metalmecánicos </t>
  </si>
  <si>
    <t>O-460</t>
  </si>
  <si>
    <t>Apoyo Proyectista Civil Santiago</t>
  </si>
  <si>
    <t>Actualización Rev. 2 Oferta - Extensión hasta enero 2016</t>
  </si>
  <si>
    <t>SH-0113-OS41</t>
  </si>
  <si>
    <t>O-459</t>
  </si>
  <si>
    <t>Conexion Bomba EB6 AF - EB 6 Agua Recuperada</t>
  </si>
  <si>
    <t>O-458</t>
  </si>
  <si>
    <t>Respuestas SDI Area Relaves</t>
  </si>
  <si>
    <t>SH-0113-OS37</t>
  </si>
  <si>
    <t>O-457</t>
  </si>
  <si>
    <t>Minera Nyrstar El Toqui</t>
  </si>
  <si>
    <t>Héctor R. Pavez Díaz</t>
  </si>
  <si>
    <t>hector.pavez@nyrstar.com</t>
  </si>
  <si>
    <t>Análisis de Diagnóstic y Mejoramiento del Sistema de Espesamiento de Relaves de Minera El Toqui</t>
  </si>
  <si>
    <t>Enviada revision 4, MA consultará.</t>
  </si>
  <si>
    <t>O-456</t>
  </si>
  <si>
    <t>Revisión Independiente Ingeniería Gasoducto - R&amp;Q Ingeniería</t>
  </si>
  <si>
    <t>O-455</t>
  </si>
  <si>
    <t>Ingeniería de Detalles Plan Monitoreo Robusto Vialidad</t>
  </si>
  <si>
    <t>O-454</t>
  </si>
  <si>
    <t xml:space="preserve">Asesoría Experta Hidráulica y Civil </t>
  </si>
  <si>
    <t>O-453</t>
  </si>
  <si>
    <t>Sino Iron</t>
  </si>
  <si>
    <t>Ling Cheng</t>
  </si>
  <si>
    <t>Sino Iron Project-Tailings Pump Station/Fourth Pump</t>
  </si>
  <si>
    <t>O-452</t>
  </si>
  <si>
    <t xml:space="preserve">Brass </t>
  </si>
  <si>
    <t>Carlos Arellano</t>
  </si>
  <si>
    <t>Estudio de Hidrología y Socavación Ingeniería de Detalles Sistema Impulsión RT</t>
  </si>
  <si>
    <t>Lincoyán Hernández</t>
  </si>
  <si>
    <t>Preguntar a Lincoyan</t>
  </si>
  <si>
    <t>O-451</t>
  </si>
  <si>
    <t xml:space="preserve">Minera Cenizas de Cabildo </t>
  </si>
  <si>
    <t>Sr Morandes (Cenizas) / Luis Rebolledo (Knight)</t>
  </si>
  <si>
    <t>Diagnóstico y Alternativas Mejoramiento bombeo de relaves en pasta al depósito</t>
  </si>
  <si>
    <t>O-450</t>
  </si>
  <si>
    <t>Ingeniería de Detalle Pig de Lanzamiento y Recepción - Línea 26”</t>
  </si>
  <si>
    <t>O-449</t>
  </si>
  <si>
    <t>Informe Perdida de Agua Alto Hospicio - Consorcio BAS</t>
  </si>
  <si>
    <t>SH-0120</t>
  </si>
  <si>
    <t>O-448</t>
  </si>
  <si>
    <t>Ingeniería CAC</t>
  </si>
  <si>
    <t>Brass</t>
  </si>
  <si>
    <t>Estudio Hidrologia y Socavacion ID Sistema Impulsion – Brass</t>
  </si>
  <si>
    <t>O-447</t>
  </si>
  <si>
    <t>Promon Engenharia</t>
  </si>
  <si>
    <t>Pedra de Ferro – Promon</t>
  </si>
  <si>
    <t>O-446</t>
  </si>
  <si>
    <t>EPC Engenharia</t>
  </si>
  <si>
    <t>Pedra de Ferro – EPC</t>
  </si>
  <si>
    <t>O-445</t>
  </si>
  <si>
    <t>Pedra de Ferro – Tetratech</t>
  </si>
  <si>
    <t>O-444</t>
  </si>
  <si>
    <t>Reingenieria a sistemas de impulsión  aguas y depositación relaves en Caserones para  asegurar el plan Quinquenal de producción (2016-2020)</t>
  </si>
  <si>
    <t>O-443</t>
  </si>
  <si>
    <t>Ingenieria Basica Planta Yoduro Yodo</t>
  </si>
  <si>
    <t>Actualizar horas</t>
  </si>
  <si>
    <t>O-442</t>
  </si>
  <si>
    <t>Análisis para maximizar capacidad impulsión agua recuperada y SAF</t>
  </si>
  <si>
    <t>Reemplazada por OS-37</t>
  </si>
  <si>
    <t>O-441</t>
  </si>
  <si>
    <t>Engenharia Basica New Concept Review - Projeto Pedra de Ferro</t>
  </si>
  <si>
    <t>O-440</t>
  </si>
  <si>
    <t>Actualizacion Cuarta Linea para 3000 TPH</t>
  </si>
  <si>
    <t>SH-0113-OS36</t>
  </si>
  <si>
    <t>O-439</t>
  </si>
  <si>
    <t>Actividades Complementarias Tramo A0- A1</t>
  </si>
  <si>
    <t>SH-0113-OS32</t>
  </si>
  <si>
    <t>O-438</t>
  </si>
  <si>
    <t>Ingenieria de Detalle Conducción de Agua 3 Nuevos Pozos P7-P9 Piscina EB4</t>
  </si>
  <si>
    <t>SH-0113-OS35</t>
  </si>
  <si>
    <t>O-437</t>
  </si>
  <si>
    <t>Diseño Cachimbas y Plataforma Alternativas AF - Camiones EB4</t>
  </si>
  <si>
    <t>O-436</t>
  </si>
  <si>
    <t>ID Segunda Salida Cajon de Traspaso de Arenas 6720-DI-003</t>
  </si>
  <si>
    <t>SH-0113-OS29</t>
  </si>
  <si>
    <t>O-435</t>
  </si>
  <si>
    <t>Acondicionamiento Tercera Linea de Arenas 3000TPH</t>
  </si>
  <si>
    <t>SH-0113-OS28</t>
  </si>
  <si>
    <t>O-434</t>
  </si>
  <si>
    <t>Apoyo Proyectista Civil en Terreno</t>
  </si>
  <si>
    <t>SH-0113-OS33</t>
  </si>
  <si>
    <t>O-433</t>
  </si>
  <si>
    <t>ID Arranque Temporal Dique 6-7</t>
  </si>
  <si>
    <t>O-432</t>
  </si>
  <si>
    <t>Estudio Cuellos de Botella Hidraulicos Planta</t>
  </si>
  <si>
    <t>O-431</t>
  </si>
  <si>
    <t>Analisis de Riesgos y Medidas de Mitigacion Area Lamas</t>
  </si>
  <si>
    <t>O-430</t>
  </si>
  <si>
    <t>Analisis de Riesgos y Medidas de Mitigacion Area Arenas</t>
  </si>
  <si>
    <t>Revisar</t>
  </si>
  <si>
    <t>O-429</t>
  </si>
  <si>
    <t>Luis Recabarren</t>
  </si>
  <si>
    <t xml:space="preserve">Asistencia Terreno Montaje Under </t>
  </si>
  <si>
    <t>SH-0113-OS34</t>
  </si>
  <si>
    <t>O-428</t>
  </si>
  <si>
    <t>Braulio Figuero Cornejo</t>
  </si>
  <si>
    <t>Solución Congelamiento Sistema de Alimentación Cachimbas</t>
  </si>
  <si>
    <t>O-427</t>
  </si>
  <si>
    <t>René Oliva</t>
  </si>
  <si>
    <t>roliva@caserones.cl</t>
  </si>
  <si>
    <t>Rediseño en cajón distribución a espesadores relaves y líneas de
distribución de floculante.</t>
  </si>
  <si>
    <t>O-426</t>
  </si>
  <si>
    <t>Ingenieria de Detalles Mejoras Muriato - Coya sur</t>
  </si>
  <si>
    <t>O-425</t>
  </si>
  <si>
    <t>Katherine Ascencio</t>
  </si>
  <si>
    <t>Ingeniería de Factibilidad de Impulsión y Depositación de Relaves Proyecto Santo Domingo - Minera Santo Domingo</t>
  </si>
  <si>
    <t>SH-0118</t>
  </si>
  <si>
    <t>O-424</t>
  </si>
  <si>
    <t>Ingeniería Básica Tendido Eléctrico Línea 33 kV</t>
  </si>
  <si>
    <t>O-423</t>
  </si>
  <si>
    <t>Preparación y llenado de 50 Fichas de Control de Proyecto</t>
  </si>
  <si>
    <t>O-422</t>
  </si>
  <si>
    <t>Actualización Manuales de Emergencia Área Relaves y Agua Recuperada</t>
  </si>
  <si>
    <t>O-421</t>
  </si>
  <si>
    <t>Apoyo Construccion y Montaje Underflow - Overflow Baterias de Hidrociclones</t>
  </si>
  <si>
    <t>SH-0113-OS25</t>
  </si>
  <si>
    <t>O-420</t>
  </si>
  <si>
    <t>IB Repulpeo de Relaves Tranque Quillayes (Pitoneo)</t>
  </si>
  <si>
    <t>SH-0119</t>
  </si>
  <si>
    <t>O-419</t>
  </si>
  <si>
    <t>Mejoras al Sistema de Bombeo de Diesel en la Planta de Reactivos</t>
  </si>
  <si>
    <t>O-418</t>
  </si>
  <si>
    <t>Patio de Transferencia e Instalación Bascula</t>
  </si>
  <si>
    <t>SH-0113-OS23</t>
  </si>
  <si>
    <t>O-417</t>
  </si>
  <si>
    <t>Revisión y Complementación Estaciones Fluviométricas</t>
  </si>
  <si>
    <t>SH-0113-OS22</t>
  </si>
  <si>
    <t>O-416</t>
  </si>
  <si>
    <t>Apoyo Especializado para PEM de líneas de Arena de 18” y Aseguramiento del
Plan Q-2 en relaves.</t>
  </si>
  <si>
    <t>SH-0113-OS21</t>
  </si>
  <si>
    <t>O-415</t>
  </si>
  <si>
    <t>Reemplazo Agua Fresca por agua Recuperada, Fase II</t>
  </si>
  <si>
    <t>SH-0113-OS20</t>
  </si>
  <si>
    <t>O-414</t>
  </si>
  <si>
    <t>Impermeabilización Cantera 3 Sector Sur Depósito La Brea</t>
  </si>
  <si>
    <t>O-413</t>
  </si>
  <si>
    <t>Ing. Conceptual Aumento Capacidad del Transporte de Lamas a La Brea</t>
  </si>
  <si>
    <t>Postergado</t>
  </si>
  <si>
    <t>O-412</t>
  </si>
  <si>
    <t>Glemans</t>
  </si>
  <si>
    <t>juanmanuel.silva@glemans.com</t>
  </si>
  <si>
    <t>Ingeniería de Detalle Pig de Limpieza División El Teniente</t>
  </si>
  <si>
    <t>O-411</t>
  </si>
  <si>
    <t>Ingenieria DPS Deposito de Relaves SPENCE - AMEC</t>
  </si>
  <si>
    <t>O-410</t>
  </si>
  <si>
    <t xml:space="preserve">Medida de Control para Reboses en Estaciones de Bombeo EB4/EB5/EB6 </t>
  </si>
  <si>
    <t>SH-0113-OS19</t>
  </si>
  <si>
    <t>O-409</t>
  </si>
  <si>
    <t>Alvaro Huerta</t>
  </si>
  <si>
    <t>Contraparte Ingeniería - Construcción 7ª Etapa Embalse Carén” del proyecto “Peraltamiento
Embalse Carén” de División El Teniente (DET)</t>
  </si>
  <si>
    <t>O-408</t>
  </si>
  <si>
    <t>Ingeniería Mejoramiento Conducción de Arenas</t>
  </si>
  <si>
    <t>SH--0113-OS18</t>
  </si>
  <si>
    <t>O-407</t>
  </si>
  <si>
    <t>Taller para Elaborar Plan Mantención Preventivos para el Concetraducto Centinela a 52 Semanas</t>
  </si>
  <si>
    <t>O-406</t>
  </si>
  <si>
    <t>ID Nuevos Pozos La Brea MLCC</t>
  </si>
  <si>
    <t>SH-0113-OS17</t>
  </si>
  <si>
    <t>O-405</t>
  </si>
  <si>
    <t>Cristian Farias</t>
  </si>
  <si>
    <t>Piscina Rebose Nilahue</t>
  </si>
  <si>
    <t>SH-0113-OS11</t>
  </si>
  <si>
    <t>O-404</t>
  </si>
  <si>
    <t>ID Pozo El Checo</t>
  </si>
  <si>
    <t>O-403</t>
  </si>
  <si>
    <t>Reparación Ruta C35 Caserones</t>
  </si>
  <si>
    <t>SH-0113-OS13</t>
  </si>
  <si>
    <t>O-402</t>
  </si>
  <si>
    <t>IB Impulsion Agua de Mar SQM</t>
  </si>
  <si>
    <t>SH-0121</t>
  </si>
  <si>
    <t>O-401</t>
  </si>
  <si>
    <t>Cathpro</t>
  </si>
  <si>
    <t>Rodrigo Moraga</t>
  </si>
  <si>
    <t>Asesoria Plan de Integridad SIAM Centinela - Cathpro</t>
  </si>
  <si>
    <t>O-400</t>
  </si>
  <si>
    <t>Luis Cortes</t>
  </si>
  <si>
    <t>Ingeniería Básica Repulpeo Quillayes PELAMBRES</t>
  </si>
  <si>
    <t>O-399</t>
  </si>
  <si>
    <t>David Muñoz</t>
  </si>
  <si>
    <t xml:space="preserve">Scoping Study, Efecto de Disposicion de Tranque San Esteban 2 en Deposito </t>
  </si>
  <si>
    <t>O-398</t>
  </si>
  <si>
    <t>jtapi056@codelco.cl</t>
  </si>
  <si>
    <t>Análisis Hidráulico Conducción Arenas y Lamas Espesadas DMH</t>
  </si>
  <si>
    <t>O-397</t>
  </si>
  <si>
    <t>Ausenco Chile</t>
  </si>
  <si>
    <t>Mark Cornwell</t>
  </si>
  <si>
    <t>Asesoría Especializada Comisionamiento y PEM EWS</t>
  </si>
  <si>
    <t>Consultar a LH</t>
  </si>
  <si>
    <t>O-396</t>
  </si>
  <si>
    <t>Cristian Jaque</t>
  </si>
  <si>
    <t xml:space="preserve">Asesoría Experta Operaciones Relaves C. Jaque </t>
  </si>
  <si>
    <t>O-395</t>
  </si>
  <si>
    <t>Sebastian Dominguez</t>
  </si>
  <si>
    <t>Asesoría Especializada ST Relaves y Aguas - Sierra Gorda</t>
  </si>
  <si>
    <t>O-394</t>
  </si>
  <si>
    <t>Flavio Navarrete</t>
  </si>
  <si>
    <t>Apoyo en Terreno - ST Relaves y Aguas - Sierra Gorda IMSPatagonia</t>
  </si>
  <si>
    <t>O-393</t>
  </si>
  <si>
    <t>Prueba Stress Sistema de Bombeo Agua Recuperada de la Brea</t>
  </si>
  <si>
    <t>SH-0113-OS14</t>
  </si>
  <si>
    <t>O-392</t>
  </si>
  <si>
    <t>fnavarrete@imspatagonia.cl</t>
  </si>
  <si>
    <t xml:space="preserve">Asesoría Especializada en Sistemas de Relaves y Recirculación de Aguas – Proyecto Sierra GordaAsesoria </t>
  </si>
  <si>
    <t>SH-0115</t>
  </si>
  <si>
    <t>O-391</t>
  </si>
  <si>
    <t>Francisco Vera</t>
  </si>
  <si>
    <t>fvera@nutram.cl</t>
  </si>
  <si>
    <t>Respuesta DGA Planta Cobre Norte</t>
  </si>
  <si>
    <t>SH-0117</t>
  </si>
  <si>
    <t>O-390</t>
  </si>
  <si>
    <t>Respuesta a CIERTA Medioambiente Planta Cobre Norte</t>
  </si>
  <si>
    <t>SH-0116</t>
  </si>
  <si>
    <t>O-389</t>
  </si>
  <si>
    <t>Ingeniería Conceptual Ampliación Planta Cobre Norte</t>
  </si>
  <si>
    <t>O-388</t>
  </si>
  <si>
    <t>Antolin Cisternas</t>
  </si>
  <si>
    <t>Felipe Elgueta</t>
  </si>
  <si>
    <t>felgueta@antolin.cl</t>
  </si>
  <si>
    <t>Suministro y Montaje de Barreras Dinámicas</t>
  </si>
  <si>
    <t>O-387</t>
  </si>
  <si>
    <t>Análisis Tubería PN 12.5 Tramo A0-A1</t>
  </si>
  <si>
    <t>O-386</t>
  </si>
  <si>
    <t>Ing Detalles Envío de agua de pozo de remediación Repontenciado a La Brea A SAF</t>
  </si>
  <si>
    <t>Jose Gallardo</t>
  </si>
  <si>
    <t>SH-0113-OS8</t>
  </si>
  <si>
    <t>O-385</t>
  </si>
  <si>
    <t>Rene Orellana</t>
  </si>
  <si>
    <t>rorellana@caserones.cl</t>
  </si>
  <si>
    <t>Apoyo Especialista en Terreno (MA  Otros. Abril-Junio 2015)</t>
  </si>
  <si>
    <t>O-384</t>
  </si>
  <si>
    <t>Fernando Arroyo</t>
  </si>
  <si>
    <t>Ing. De Detalle control de flujo Dropbox y Túnel Norte</t>
  </si>
  <si>
    <t>SH-0113-OS7</t>
  </si>
  <si>
    <t>O-383</t>
  </si>
  <si>
    <t>Asistencia Prueba Bombeo El Fuerte</t>
  </si>
  <si>
    <t>O-382</t>
  </si>
  <si>
    <t>Pozo Compartido Nilahue</t>
  </si>
  <si>
    <t>O-381</t>
  </si>
  <si>
    <t>Verificacion Puente Palo Blanco</t>
  </si>
  <si>
    <t xml:space="preserve">O-0380 </t>
  </si>
  <si>
    <t>Rene Orellana/Vicente Salinas</t>
  </si>
  <si>
    <t>Repotenciamiento Recuperacion de Aguas El Tambo</t>
  </si>
  <si>
    <t>La Carta Oferta se envia el Lunes 16 de marzo en la tarde</t>
  </si>
  <si>
    <t>O-379</t>
  </si>
  <si>
    <t>Soporte Operacional durante en puesta en marcha y Ramp-Up</t>
  </si>
  <si>
    <t>O-378</t>
  </si>
  <si>
    <t>ID Conectar Linea de 18 con Tercera Linea</t>
  </si>
  <si>
    <t>RESERVADO CLAUDIO MUÑOZ</t>
  </si>
  <si>
    <t>O-377</t>
  </si>
  <si>
    <t>Contrato Marco con Caserones</t>
  </si>
  <si>
    <t>Incluye ofertas</t>
  </si>
  <si>
    <t>O-376</t>
  </si>
  <si>
    <t xml:space="preserve">Modificación Pozo POB-07A – Sistema de Recuperación La Brea </t>
  </si>
  <si>
    <t>SH-0087</t>
  </si>
  <si>
    <t>O-375</t>
  </si>
  <si>
    <t>Shu Horie</t>
  </si>
  <si>
    <t>shorie@caserones.cl</t>
  </si>
  <si>
    <t>Ing. Complementaria Reemplazo uso de agua Agua Fresca por Agua recuperada</t>
  </si>
  <si>
    <t>orden de cambio SH 087,   Area 41000</t>
  </si>
  <si>
    <t>O-374</t>
  </si>
  <si>
    <t>juancarlos.tapia@sedgman.com</t>
  </si>
  <si>
    <t>Optimización Tranque de Relaves de BHP BILLITONB</t>
  </si>
  <si>
    <t>O-373</t>
  </si>
  <si>
    <t>Ingeniería Obras de Remediación Línea Refino</t>
  </si>
  <si>
    <t>O-372</t>
  </si>
  <si>
    <t>Reservado no se utilizó código</t>
  </si>
  <si>
    <t>reserva Pedro pavelncia</t>
  </si>
  <si>
    <t>O-371</t>
  </si>
  <si>
    <t>Planos de fabricación mejoras arenas</t>
  </si>
  <si>
    <t>Area 35000</t>
  </si>
  <si>
    <t>O-370</t>
  </si>
  <si>
    <t>Auditoría linea de refino 8300-RA-PN23-4699A-N_0</t>
  </si>
  <si>
    <t>O-369</t>
  </si>
  <si>
    <t>MLCC Diseño de línea desde cajón Underflow batería 1 a línea de arena de 14</t>
  </si>
  <si>
    <t>O-368</t>
  </si>
  <si>
    <t>Actualización planos según información certificada</t>
  </si>
  <si>
    <t>O-367</t>
  </si>
  <si>
    <t>SALFA montajes</t>
  </si>
  <si>
    <t>Minera Sto Domingo</t>
  </si>
  <si>
    <t>Marco Alvarez</t>
  </si>
  <si>
    <t>maalvarez@salfamontajes.com</t>
  </si>
  <si>
    <t>Ingenieria de detalles Concetraducto Sto Domingo</t>
  </si>
  <si>
    <t>O-366</t>
  </si>
  <si>
    <t>Fundición Altonorte – Glencore</t>
  </si>
  <si>
    <t>Cesar Campos</t>
  </si>
  <si>
    <t>Estimación de Vida Útil del Tranque de relaves de Fundición Altonorte</t>
  </si>
  <si>
    <t>O-365</t>
  </si>
  <si>
    <t>Juan Solis Castro</t>
  </si>
  <si>
    <t>jsolis@mineracentinela.cl</t>
  </si>
  <si>
    <t>Apoyo metalúrgico senior en área seca</t>
  </si>
  <si>
    <t>O-364</t>
  </si>
  <si>
    <t>Coordinación de protecciones en baja tensión Pozos fuerte 2, 3 y Nilahue.</t>
  </si>
  <si>
    <t>orden de cambio del SH 087  Area 36000  OC2</t>
  </si>
  <si>
    <t>O-363</t>
  </si>
  <si>
    <t>Katherine Menzel Altamirano</t>
  </si>
  <si>
    <t>kmmenzel@collahuasi.cl</t>
  </si>
  <si>
    <t>Oferta Ingeniería Modificación Piscinas P7000 y P1.500 en Puerto Patache</t>
  </si>
  <si>
    <t>O-362</t>
  </si>
  <si>
    <t>Apoyo metalúrgico senior en ductos</t>
  </si>
  <si>
    <t>O-361</t>
  </si>
  <si>
    <t>Instalación de control de flujo en Drop Box Hidrometalurgia  y Túnel Lamas</t>
  </si>
  <si>
    <t>orden de cambio del SH 087</t>
  </si>
  <si>
    <t>O-360</t>
  </si>
  <si>
    <t>Apoyo metalúrgico senior en área relaves</t>
  </si>
  <si>
    <t>O-359</t>
  </si>
  <si>
    <t>Apoyo metalúrgico senior en área húmeda</t>
  </si>
  <si>
    <t>O-358</t>
  </si>
  <si>
    <t>Bases Técnicas e Itemizado (4ta Bomba y PEF3)</t>
  </si>
  <si>
    <t>orden de cambio del SH 085   Area 34000 OC2</t>
  </si>
  <si>
    <t>O-357</t>
  </si>
  <si>
    <t>Diseño de Línea paralela de 14” (Cuarta línea, paralela a la tercera línea).</t>
  </si>
  <si>
    <t>Incluida en O351</t>
  </si>
  <si>
    <t>O-356</t>
  </si>
  <si>
    <t>Equilibrio  de aguas desde la desde La Brea</t>
  </si>
  <si>
    <t>Cristian Lopez</t>
  </si>
  <si>
    <t>O-355</t>
  </si>
  <si>
    <t>Analisis Filtraciones Tuberia Agua</t>
  </si>
  <si>
    <t>O-354</t>
  </si>
  <si>
    <t>Analisis Filtraciones Evacuador de Emergencia</t>
  </si>
  <si>
    <t>O-353</t>
  </si>
  <si>
    <t>Juan Alberto Solis</t>
  </si>
  <si>
    <t>Actualización de Flow Sheet y PID Proyecto Centinela Sulfuros (Ex Esperanza</t>
  </si>
  <si>
    <t>O-352</t>
  </si>
  <si>
    <t>Worleyparsons</t>
  </si>
  <si>
    <t>Andes Iron</t>
  </si>
  <si>
    <t>Steve Klose</t>
  </si>
  <si>
    <t>steve.klose@worleyparsons.com</t>
  </si>
  <si>
    <t>Concetrate Pipeline Design Package – Dominga Iron Project</t>
  </si>
  <si>
    <t>O-351</t>
  </si>
  <si>
    <t>Oscar Castro; Luis Rojas</t>
  </si>
  <si>
    <t>Apoyo Especializado Transporte de Arenas 75% solidos, Caserones // Mejoramiento turbulencia en Cajones de arenas 6750-ZC-001 y 002 (pablo está tomando acción. Llevo fotos) // Flexibilidad para alimentar desde cualquier batería a cualquier cajón de arenas.  // Mejoramiento Capacidad de Porteo Overflow Ciclones</t>
  </si>
  <si>
    <t>Pedro valencia</t>
  </si>
  <si>
    <t>PV inlcuir incluir under over</t>
  </si>
  <si>
    <t>O-350</t>
  </si>
  <si>
    <t>Propuesta Ingeniería de Perfil Puente Receptores y obras anexas</t>
  </si>
  <si>
    <t>O-349</t>
  </si>
  <si>
    <t>Pablo Cheng;         David Berenguela</t>
  </si>
  <si>
    <t>pcheng@mineracentinela.cl ; dberenguela@mineracentinela.cl</t>
  </si>
  <si>
    <t>Estudio Alternativas Suministro de Agua Centinela-Óxidos (ex Tesoro)</t>
  </si>
  <si>
    <t>Se competirá con Keypro, Arcadis y otro; No tiene base administrativa</t>
  </si>
  <si>
    <t>O-348</t>
  </si>
  <si>
    <t>Determinación de las áreas de inundación de los cauces</t>
  </si>
  <si>
    <t>O-347</t>
  </si>
  <si>
    <t>Estudio Extender Vida Útil Bombad de Agua Recuperada La Brea</t>
  </si>
  <si>
    <t>orden de cambio del SH 087    Area 33000      OC 3</t>
  </si>
  <si>
    <t>O-346</t>
  </si>
  <si>
    <t>Luis Rojas/ Vicente Salinas</t>
  </si>
  <si>
    <t>Ingenieria Detalles Conducción Definitiva de Lamas a la Brea</t>
  </si>
  <si>
    <t>orden de cambio del SH 087    Area 32000      OC 3</t>
  </si>
  <si>
    <t>O-345</t>
  </si>
  <si>
    <t>Respuestas a SDI</t>
  </si>
  <si>
    <t>orden de cambio del SH 087   Area 23000   OC 2</t>
  </si>
  <si>
    <t>O-344</t>
  </si>
  <si>
    <t>J Reinoso/ C Farias</t>
  </si>
  <si>
    <t>Analisis de Fallas soportación Tuberias</t>
  </si>
  <si>
    <t>orden de cambio del SH 087   Area 31000   OC 2</t>
  </si>
  <si>
    <t>O-343</t>
  </si>
  <si>
    <t xml:space="preserve">Juan Manuel Silva. </t>
  </si>
  <si>
    <t>Juanmanuel.silva@glemans.com</t>
  </si>
  <si>
    <t>Ing. Detalle Pig Pampa Puno"</t>
  </si>
  <si>
    <t>Aprobada inversión. Peleando con proyecto alternativo. Llamar primera semana de febrero</t>
  </si>
  <si>
    <t>O-342</t>
  </si>
  <si>
    <t>Flexipipe</t>
  </si>
  <si>
    <t>Ingeniero Senior FLEXPIPE SYSTEMS</t>
  </si>
  <si>
    <t>O-341</t>
  </si>
  <si>
    <t xml:space="preserve">Lidnsay Mena </t>
  </si>
  <si>
    <t xml:space="preserve">Servicio de Ingeniería conceptual  asociado a la creación de una nueva área de lavado en las planta NPT 2 y NPT </t>
  </si>
  <si>
    <t>enviada</t>
  </si>
  <si>
    <t>O-340</t>
  </si>
  <si>
    <t xml:space="preserve">servicios de asesoría en el Área Hidráulica </t>
  </si>
  <si>
    <t>Enviada. Asesoría con HH a estimar según solicitudes. Propuesta de 500. Tarifa Promedio k$41</t>
  </si>
  <si>
    <t>Llamada frecuente a P Villarroel</t>
  </si>
  <si>
    <t>O-339</t>
  </si>
  <si>
    <t>Pierino Venturini M</t>
  </si>
  <si>
    <t>Ingeniería Conceptual para reiniciar repulpeo de relaves en el tranque Quillayes</t>
  </si>
  <si>
    <t>SH-0111</t>
  </si>
  <si>
    <t>Llamar a Juan Manuel Silva</t>
  </si>
  <si>
    <t>O-338</t>
  </si>
  <si>
    <t>Ricardo Carvajal / Luis Rojas</t>
  </si>
  <si>
    <t>Mejoramiento Línea Impulsión de Refino</t>
  </si>
  <si>
    <t>orden de cambio del SH 087   Area 30000   OC 2</t>
  </si>
  <si>
    <t>O-337</t>
  </si>
  <si>
    <t>Remoción Tranque de Relaves San Esteban</t>
  </si>
  <si>
    <t>llamar a Andres Yeomans</t>
  </si>
  <si>
    <t>O-336</t>
  </si>
  <si>
    <t>SQM-LI-5553 "Estudio Alternativas de Alimentación Electrica Proyecto Sumo</t>
  </si>
  <si>
    <t>se presenta carta excusa</t>
  </si>
  <si>
    <t>O-335</t>
  </si>
  <si>
    <t>Luis Tapia</t>
  </si>
  <si>
    <t>Scoping Study  Tratamiento de Relaves en Sierra Gorda</t>
  </si>
  <si>
    <t>O-334</t>
  </si>
  <si>
    <t>ROSEN</t>
  </si>
  <si>
    <t>Ingeniero Senior ROSEN GROUP</t>
  </si>
  <si>
    <t>Alemania- Lingen</t>
  </si>
  <si>
    <t>O-333</t>
  </si>
  <si>
    <t>Apoyo Plan de Normalizacion Relaves</t>
  </si>
  <si>
    <t>orden de cambio del SH 087   Area 25000   OC 2</t>
  </si>
  <si>
    <t>O-332</t>
  </si>
  <si>
    <t>Desplazamiento Amortiguadores EB1</t>
  </si>
  <si>
    <t>orden de cambio del SH 087   Area 28000   OC 2</t>
  </si>
  <si>
    <t>O-331</t>
  </si>
  <si>
    <t>Planos para plan de extraciión</t>
  </si>
  <si>
    <t>orden de cambio del SH 087   Area 27000   OC 2</t>
  </si>
  <si>
    <t>O-330</t>
  </si>
  <si>
    <t xml:space="preserve">Alejandra Lauriani </t>
  </si>
  <si>
    <t>El proyecto Escondida Water Supply</t>
  </si>
  <si>
    <t>Em Consorcio con Microglobal 50%- 50%</t>
  </si>
  <si>
    <t>O-329</t>
  </si>
  <si>
    <t>Caspiche</t>
  </si>
  <si>
    <t>Acuerdo Confidencialidad Estimacion Capex /Opex Caspiche</t>
  </si>
  <si>
    <t>SH-0110</t>
  </si>
  <si>
    <t>Consultar a R Orellana/M Ruiz/M Saavedra</t>
  </si>
  <si>
    <t>O-328</t>
  </si>
  <si>
    <t>cmjaque@collahuasi.cl</t>
  </si>
  <si>
    <t>Scoping Study, Reemplazo Cajón Colector de Relaves</t>
  </si>
  <si>
    <t>O-327</t>
  </si>
  <si>
    <t>Diseño Conceptual Protección Bombas GEHO</t>
  </si>
  <si>
    <t>O-326</t>
  </si>
  <si>
    <t>francisco.soto@empiricaconsultores.cl</t>
  </si>
  <si>
    <t>Benchmarking Mantención Tuberías de Transporte Pulpas y Agua</t>
  </si>
  <si>
    <t>Consultar a davor Versalovic/Cesar Gonzalez</t>
  </si>
  <si>
    <t>O-325</t>
  </si>
  <si>
    <t>Ingeniería de Detalles Sistema de Bombeo en Losa Estanques de Concentrado</t>
  </si>
  <si>
    <t>Consultar a Alvaro Huerta</t>
  </si>
  <si>
    <t>O-324</t>
  </si>
  <si>
    <t>Area 19000</t>
  </si>
  <si>
    <t>orden de cambio del SH 087    Area 19000  OC 1</t>
  </si>
  <si>
    <t>O-323</t>
  </si>
  <si>
    <t>Estudios Fluviométricos</t>
  </si>
  <si>
    <t>orden de cambio del SH 087   Area 29000   OC 2</t>
  </si>
  <si>
    <t>O-322</t>
  </si>
  <si>
    <t>Jose Luis Moreno / Rafael Rodriguez</t>
  </si>
  <si>
    <t>Asesoria Delphing</t>
  </si>
  <si>
    <t>O-321</t>
  </si>
  <si>
    <t xml:space="preserve">Area 18000 Cambio Diámetro tuberia Pozo Nilahue y PO </t>
  </si>
  <si>
    <t>orden de cambio del SH 087       Area 18000  OC 1</t>
  </si>
  <si>
    <t>O-320</t>
  </si>
  <si>
    <t>Area 17000 Soportacion Vertical Bba Pozo Pesenti Oviedo</t>
  </si>
  <si>
    <t>orden de cambio del SH 087       Area 17000  OC 1</t>
  </si>
  <si>
    <t>O-319</t>
  </si>
  <si>
    <t>Area 13000</t>
  </si>
  <si>
    <t>orden de cambio del SH 087    Area 13000    OC 1</t>
  </si>
  <si>
    <t>O-318</t>
  </si>
  <si>
    <t>Area 14000 Verificación Estructural Puente Provisorio</t>
  </si>
  <si>
    <t>orden de cambio del SH 087    Area 14000    OC 1</t>
  </si>
  <si>
    <t>O-317</t>
  </si>
  <si>
    <t>Ingenieria Detalles montaje cuarta bomba</t>
  </si>
  <si>
    <t>orden de cambio del SH 087      Area 21000 Oc 2</t>
  </si>
  <si>
    <t>Conultar a L Rebolledo</t>
  </si>
  <si>
    <t>O-316</t>
  </si>
  <si>
    <t>Ingenieria para Monitoreo Robusto de Pozos Off-Site e In-Site MLCC y DGA</t>
  </si>
  <si>
    <t>orden de cambio del SH 087     Area 20000 Oc 2</t>
  </si>
  <si>
    <t>O-315</t>
  </si>
  <si>
    <t>Asesoría Pedro Villarroel por Depósito de Arenas</t>
  </si>
  <si>
    <t>Incluida en O333   Area 25000</t>
  </si>
  <si>
    <t>O-314</t>
  </si>
  <si>
    <t>Evaluación Técnica Estabilidad Talud Area 620</t>
  </si>
  <si>
    <t>revisar</t>
  </si>
  <si>
    <t>Consultar a Davaor Versalovic de sQM</t>
  </si>
  <si>
    <t>O-313</t>
  </si>
  <si>
    <t>Servicio de Revisión Especializada Transporte de Relaves LAS BAMBAS</t>
  </si>
  <si>
    <t>O-312</t>
  </si>
  <si>
    <t>Yasna Fuenzalida</t>
  </si>
  <si>
    <t>Estudio de Protecciones Cop4 y Mina Oeste NV</t>
  </si>
  <si>
    <t>O-311</t>
  </si>
  <si>
    <t>Estudio DIA para proyecto Extracción de Aridos</t>
  </si>
  <si>
    <t>DIA</t>
  </si>
  <si>
    <t>O-310</t>
  </si>
  <si>
    <t>ALMA</t>
  </si>
  <si>
    <t>Juan Manuel Silva.</t>
  </si>
  <si>
    <t>Ingenieria Detalles Gasoducto ALMA</t>
  </si>
  <si>
    <t>adjudicada Ing. Conceptual</t>
  </si>
  <si>
    <t>SH-0112</t>
  </si>
  <si>
    <t>O-309</t>
  </si>
  <si>
    <t>Leocán E. Pérez Z</t>
  </si>
  <si>
    <t>Oferta Ingeniería Sist Eléctrico planta Newterra</t>
  </si>
  <si>
    <t>orden de cambio del SH 087   Area 16000</t>
  </si>
  <si>
    <t>O-308</t>
  </si>
  <si>
    <t>Verificación Estructural Puente Fiscal Los Loros-Acceso Pozos El Fuerte</t>
  </si>
  <si>
    <t>orden de cambio del SH 087   Area 15000</t>
  </si>
  <si>
    <t>O-307</t>
  </si>
  <si>
    <t xml:space="preserve"> Glemans</t>
  </si>
  <si>
    <t>Petrtoleos Marinos</t>
  </si>
  <si>
    <t xml:space="preserve">Evaluación Modificación Ductos Off Shore y On Shore </t>
  </si>
  <si>
    <t>O-306</t>
  </si>
  <si>
    <t>Elaboracion Planes Sto Domingo</t>
  </si>
  <si>
    <t>O-305</t>
  </si>
  <si>
    <t>Diseño multidisciplinario de lanzadores y recibidores de pig</t>
  </si>
  <si>
    <t>O-304</t>
  </si>
  <si>
    <t>PSC</t>
  </si>
  <si>
    <t>Daniel Gatica</t>
  </si>
  <si>
    <t>Äsesoría Hidráulica Especializada a PSC por relaves espesados T3-T4</t>
  </si>
  <si>
    <t>O-303</t>
  </si>
  <si>
    <t>Macrosteel</t>
  </si>
  <si>
    <t>Marcela Polanco</t>
  </si>
  <si>
    <t>Äsesoría Hidráulica Especializada a Macrosteel por relaves espesados T3-T4</t>
  </si>
  <si>
    <t>O-302</t>
  </si>
  <si>
    <t>Ricardo Carvajal</t>
  </si>
  <si>
    <t>Aumento capacidad respaldo energía S/E principal Caserones</t>
  </si>
  <si>
    <t>ordend e cambio del SH 087   Area 11000    OC1</t>
  </si>
  <si>
    <t>O-301</t>
  </si>
  <si>
    <t>hugo.andrade@arcadis.cl</t>
  </si>
  <si>
    <t>Asesoria Cubicaciones  y Presupuesto Aeropuerto AMB</t>
  </si>
  <si>
    <t>SH-0107</t>
  </si>
  <si>
    <t>O-300</t>
  </si>
  <si>
    <t>Presa Este. Ingenieria /detalles Sist drenaje e instrumentación</t>
  </si>
  <si>
    <t>SH-0104</t>
  </si>
  <si>
    <t>O-299</t>
  </si>
  <si>
    <t>Ingenieria de factibilidad Tuneles y Excavaciones Abiertas</t>
  </si>
  <si>
    <t>SH-0105</t>
  </si>
  <si>
    <t>O-298</t>
  </si>
  <si>
    <t>Lenie Gajardo</t>
  </si>
  <si>
    <t>Transporte Concentrado Centinela para ARCADIS</t>
  </si>
  <si>
    <t>SH-0106</t>
  </si>
  <si>
    <t>O-297</t>
  </si>
  <si>
    <t>U Chile</t>
  </si>
  <si>
    <t>Claudio Sandoval</t>
  </si>
  <si>
    <t>Estudio Universidad de Chile</t>
  </si>
  <si>
    <t>C Lopez</t>
  </si>
  <si>
    <t>O-296</t>
  </si>
  <si>
    <t>IR AngloAmerican para KP</t>
  </si>
  <si>
    <t>O-295</t>
  </si>
  <si>
    <t>Asesoría a CCMC para ICSARA 2 en lo relacionado a Relaves ODS</t>
  </si>
  <si>
    <t>O-294</t>
  </si>
  <si>
    <t>Luis Gonzalez</t>
  </si>
  <si>
    <t>Mantos Blancos para Amec</t>
  </si>
  <si>
    <t>O-293</t>
  </si>
  <si>
    <t>Respuesta Plan de Emergencia</t>
  </si>
  <si>
    <t>SH-0108</t>
  </si>
  <si>
    <t>O-292</t>
  </si>
  <si>
    <t>INFORME INUNDACIÓN PROYECTO HABITACIONAL PAINE</t>
  </si>
  <si>
    <t>O-291</t>
  </si>
  <si>
    <t>Valeria Acevedo</t>
  </si>
  <si>
    <t>Contraparte Relaves Talabre</t>
  </si>
  <si>
    <t>suspension indefinida</t>
  </si>
  <si>
    <t>O-290</t>
  </si>
  <si>
    <t>Fraser Alexander</t>
  </si>
  <si>
    <t xml:space="preserve"> del Servicio de
Operación del Depósito de Lamas y Acopio de Arenas,</t>
  </si>
  <si>
    <t>O-289</t>
  </si>
  <si>
    <t>Metaproject - Mantos Blancos Anglo Manejo y Disposicion de relaves</t>
  </si>
  <si>
    <t>O-288</t>
  </si>
  <si>
    <t>K Piesold - Mantos Blancos Anglo Manejo y Disposicion de Relaves</t>
  </si>
  <si>
    <t>O-287</t>
  </si>
  <si>
    <t>Diagnóstico E Ingeniería Recuperación Línea Impulsión De Agua Fresca Ujina - Teck Qb</t>
  </si>
  <si>
    <t>O-286</t>
  </si>
  <si>
    <t>SERVICIOS DE APOYO ESPECIALIZADO PUESTA EN MARCHA Y RAMP UP</t>
  </si>
  <si>
    <t>Proponer a Gonzalo Araujo   Area 12000</t>
  </si>
  <si>
    <t>O-285</t>
  </si>
  <si>
    <t>AUSENCO CHILE</t>
  </si>
  <si>
    <t>Javier Reyes</t>
  </si>
  <si>
    <t>Memoria de Cálculo Piezas Especiales</t>
  </si>
  <si>
    <t>O-284</t>
  </si>
  <si>
    <t>Aristo</t>
  </si>
  <si>
    <t>Desconocido</t>
  </si>
  <si>
    <t xml:space="preserve">Parque Energía Solar Atacama </t>
  </si>
  <si>
    <t>O-283</t>
  </si>
  <si>
    <t xml:space="preserve">Conduccion Agua Neutralizada dropbox 0 a Piscina Agua recuperada </t>
  </si>
  <si>
    <t>O-282</t>
  </si>
  <si>
    <t>Alfredo Toledo</t>
  </si>
  <si>
    <t>Asesoria A Conpax Transporte De Relaves En Pasta Cerro Negro Norte Cap</t>
  </si>
  <si>
    <t>O-281</t>
  </si>
  <si>
    <t>M Ruiz</t>
  </si>
  <si>
    <t>Revision Partida Directa Bba. Est 6</t>
  </si>
  <si>
    <t>O-280</t>
  </si>
  <si>
    <t>Guillermo Cancino</t>
  </si>
  <si>
    <t>análisis de selección de alternativa para asegurar la distribución uniforme de caudal de relaves para cada spigot de descarga en el Tranque Laguna Seca.</t>
  </si>
  <si>
    <t>O-279</t>
  </si>
  <si>
    <t>Revision Estructural Empalizada Dique Arena-Caserones</t>
  </si>
  <si>
    <t>SH-0099</t>
  </si>
  <si>
    <t>O-278</t>
  </si>
  <si>
    <t>Modelación HEC RAS Canal CULIPRAN</t>
  </si>
  <si>
    <t>SH-0098</t>
  </si>
  <si>
    <t>O-277</t>
  </si>
  <si>
    <t>Tenova</t>
  </si>
  <si>
    <t>Minera NN en Perú</t>
  </si>
  <si>
    <t>Rodrigo Herrera</t>
  </si>
  <si>
    <t>Asesoría Experta Transporte de pulpas espesadas</t>
  </si>
  <si>
    <t>O-276</t>
  </si>
  <si>
    <t>Alejandra Caceres</t>
  </si>
  <si>
    <t>Ingeniería Básica para Remoción y Transporte de Relaves Antiguos</t>
  </si>
  <si>
    <t>incuida en 261</t>
  </si>
  <si>
    <t>Franke</t>
  </si>
  <si>
    <t>By-pass Piscina Franke</t>
  </si>
  <si>
    <t>SH-0035</t>
  </si>
  <si>
    <t>O-275</t>
  </si>
  <si>
    <t>Ingeniería Básica para el Transporte de Relaves Frescos de Planta Ojos del Salado</t>
  </si>
  <si>
    <t>Apoyo Varios Proyectos (CM y LD)</t>
  </si>
  <si>
    <t>SH-0038</t>
  </si>
  <si>
    <t>O-274</t>
  </si>
  <si>
    <t>Ingeniería de Detalles Amortiguadores de Golpe de Ariete en la Estación de Bombeo N°1</t>
  </si>
  <si>
    <t>Pablo Díaz</t>
  </si>
  <si>
    <t>Apoyo Fernando Tapia ARCADIS</t>
  </si>
  <si>
    <t>SH-0031</t>
  </si>
  <si>
    <t>O-273</t>
  </si>
  <si>
    <t>Pedro Villarroel</t>
  </si>
  <si>
    <t>Proyecto Aumento Capacidad de Beneficio - Valle Central</t>
  </si>
  <si>
    <t>SH-0103</t>
  </si>
  <si>
    <t>Pedro Vadillo</t>
  </si>
  <si>
    <t>Análisis de Transientes HB</t>
  </si>
  <si>
    <t>Hector Buzeta</t>
  </si>
  <si>
    <t>SH-0033</t>
  </si>
  <si>
    <t>O-272</t>
  </si>
  <si>
    <t>Modificacion Proyecto Suspención de polvo Chancador de Pebbles</t>
  </si>
  <si>
    <t>SH-0101</t>
  </si>
  <si>
    <t>Apoyo Proyecto Cerro Negro Norte (CM y LD)</t>
  </si>
  <si>
    <t>SH-0030</t>
  </si>
  <si>
    <t>O-271</t>
  </si>
  <si>
    <t>Engineering design and supporting analyses – 806 m raise – TSF Project</t>
  </si>
  <si>
    <t>O-270</t>
  </si>
  <si>
    <t>Walter Borquez</t>
  </si>
  <si>
    <t>Contrato abierto Ingenieria Menor</t>
  </si>
  <si>
    <t>postergada</t>
  </si>
  <si>
    <t>O-269</t>
  </si>
  <si>
    <t xml:space="preserve">Modificación de Tramo de Tubería de Agua Sector las Cruces” </t>
  </si>
  <si>
    <t>O-268</t>
  </si>
  <si>
    <t>Constructura El Sauce</t>
  </si>
  <si>
    <t>Constructora El Sauce</t>
  </si>
  <si>
    <t>Eduardo Pino</t>
  </si>
  <si>
    <t>Diseño Cajón y Solución Socavación Relaves</t>
  </si>
  <si>
    <t>O-267</t>
  </si>
  <si>
    <t>Pedro Arancibia</t>
  </si>
  <si>
    <t>Certificación de arranque de agua no cuantificado</t>
  </si>
  <si>
    <t>Cristián López</t>
  </si>
  <si>
    <t>SH-0091</t>
  </si>
  <si>
    <t>O-266</t>
  </si>
  <si>
    <t>Dragados</t>
  </si>
  <si>
    <t>Central Hidroelectrica Ñuble</t>
  </si>
  <si>
    <t>Ingeniería de Detalles obras de desvio y restitución para EPC Central Hidroelectrica Ñuble</t>
  </si>
  <si>
    <t>reenviada el 9 de abril presupuesto ajustado</t>
  </si>
  <si>
    <t>no está la propuesta</t>
  </si>
  <si>
    <t>O-0265</t>
  </si>
  <si>
    <t>Nuevo Depósito de Relaves y Declaración de Impacto Ambiental</t>
  </si>
  <si>
    <t>O-0264</t>
  </si>
  <si>
    <t>Servicios Especializados Área Relaves</t>
  </si>
  <si>
    <t>O1263</t>
  </si>
  <si>
    <t>Prefactibilidad Deposito de Relaves Filtrados Potrerillos - DSAL - Codelco</t>
  </si>
  <si>
    <t>Quedamos fuera por no tener 12 años como empresa</t>
  </si>
  <si>
    <t>O-0263</t>
  </si>
  <si>
    <t>Mario Rivera</t>
  </si>
  <si>
    <t>Ingeniería Prefactibilidad Proyecto Aumento Capacidad de Explotación Distrito Salvador</t>
  </si>
  <si>
    <t>O-0262</t>
  </si>
  <si>
    <t>Mejora Conducción de Relaves ODS a Est. Bombeo</t>
  </si>
  <si>
    <t>SH-0090</t>
  </si>
  <si>
    <t>O-0261</t>
  </si>
  <si>
    <t>Ingeniería Básica para el Transporte de Relaves Frescos y Antiguos de Planta Ojos del Salado</t>
  </si>
  <si>
    <t>se quiebta en O275 y O276</t>
  </si>
  <si>
    <t>SH-0100</t>
  </si>
  <si>
    <t>no esta la propuesta</t>
  </si>
  <si>
    <t>O-0260</t>
  </si>
  <si>
    <t>Samsung</t>
  </si>
  <si>
    <t>Thickened Tailings Transport and Recovery Water Systems - Santo Domingo Project</t>
  </si>
  <si>
    <t>SE redujeron HH y presupuesto</t>
  </si>
  <si>
    <t>O-0259</t>
  </si>
  <si>
    <t>Carlos Navia</t>
  </si>
  <si>
    <t>Servicio de Evaluación Técnica a Proveedores de Piezas Especiales Revestidas en Poliuretano</t>
  </si>
  <si>
    <t>O-0258</t>
  </si>
  <si>
    <t>Inspección de Fabricación de Piezas Especiales Revestidas en Poliuretano Concentraducto</t>
  </si>
  <si>
    <t>O-0257</t>
  </si>
  <si>
    <t>Andrés Caputo</t>
  </si>
  <si>
    <t>Licitación Construcción y PEM Etapa 1 Sistema de Impulsión e Inyección de Agua Fresca, Tranque Ovejería</t>
  </si>
  <si>
    <t>O-0256</t>
  </si>
  <si>
    <t>Cru Strategies</t>
  </si>
  <si>
    <t>Actualización Benchmarking Concentrate and Water Pipelines 2014</t>
  </si>
  <si>
    <t>SH-0088</t>
  </si>
  <si>
    <t>O-0255</t>
  </si>
  <si>
    <t>Luiz Guzman</t>
  </si>
  <si>
    <t>O-0254</t>
  </si>
  <si>
    <t>Ingeniería de Perfil Selección de Sitios Alternativos para Depósitos de Relaves</t>
  </si>
  <si>
    <t>O-0253</t>
  </si>
  <si>
    <t>Servicios de Ingeniería para la Gerencia de Recursos Mineros 2014 - 2015</t>
  </si>
  <si>
    <t>Juan Francisco Schwarze</t>
  </si>
  <si>
    <t>O-0252</t>
  </si>
  <si>
    <t>Ingeniería de Detalles Proyecto Mejoras Depósito Relaves Ovejería</t>
  </si>
  <si>
    <t>JD</t>
  </si>
  <si>
    <t>no se encuentra la oferta</t>
  </si>
  <si>
    <t>O-0251</t>
  </si>
  <si>
    <t>Sergio Mardones</t>
  </si>
  <si>
    <t>Ingeniería Básica Red de Incendio Planta Biocobre</t>
  </si>
  <si>
    <t>O-250</t>
  </si>
  <si>
    <t>Rodrigo Farias</t>
  </si>
  <si>
    <t>Ingeniería de Detalles Impulsión Pozos Tramos A - Proyecto Caserones</t>
  </si>
  <si>
    <t>Proyecto Original</t>
  </si>
  <si>
    <t>O-249</t>
  </si>
  <si>
    <t>Estudio Técnico Embanque Canaleta de Relaves</t>
  </si>
  <si>
    <t>O-248</t>
  </si>
  <si>
    <t>Minera Can Can</t>
  </si>
  <si>
    <t>Estudio de Prefactibilidad Aumento Producción Planta El Bronce de Petorca</t>
  </si>
  <si>
    <t>O-247</t>
  </si>
  <si>
    <t>Ingenieria de Detalles Recirculacion Aguas Tranque Pampa Austral</t>
  </si>
  <si>
    <t>no tiene horas</t>
  </si>
  <si>
    <t>O-246</t>
  </si>
  <si>
    <t>Informe Técnico Económica Línea Transporte de Relaves Tranque Pampa Austral</t>
  </si>
  <si>
    <t>O-245</t>
  </si>
  <si>
    <t>ARISTO</t>
  </si>
  <si>
    <t>Algas Marinas S.A.</t>
  </si>
  <si>
    <t>Ingeniería de Prefactibilidad Manejo de Lodos Algas Marinas S.A.</t>
  </si>
  <si>
    <t>O-244</t>
  </si>
  <si>
    <t>Informe Técnico - Económico Aumento Capacidad Área Relaves Planta el Bronce de Petorca</t>
  </si>
  <si>
    <t>O-243</t>
  </si>
  <si>
    <t>Ingeniería, Construcción, Montaje y Puesta en Marcha Riego Ladera Tranque Ovejería</t>
  </si>
  <si>
    <t>O-242</t>
  </si>
  <si>
    <t>Ingeniería Básica del proyecto de montaje y canalizado de los circuito de fibra</t>
  </si>
  <si>
    <t>O-241</t>
  </si>
  <si>
    <t>Informe Técnico - Económico Aumento Producción Planta el Bronce de Petorca</t>
  </si>
  <si>
    <t>O-240</t>
  </si>
  <si>
    <t>Estudio de Benchmarking Concentradoras y Taller 2013</t>
  </si>
  <si>
    <t>O-239</t>
  </si>
  <si>
    <t>Sistema de Inyección de Acido Fosfórico a Estanque 954-TK-001</t>
  </si>
  <si>
    <t>O-238</t>
  </si>
  <si>
    <t>Estudio de Transporte y Disposición de Relaves Copper Bay - Chañaral</t>
  </si>
  <si>
    <t>O-237</t>
  </si>
  <si>
    <t>Confección de Planos Estructurales "Planta de Tratamiento de Escoria - Codelco - Norte"</t>
  </si>
  <si>
    <t>SH-0092</t>
  </si>
  <si>
    <t>O-236</t>
  </si>
  <si>
    <t>Modelación de Concentración de Hierro Magnético Tranque de Relaves - CCMC</t>
  </si>
  <si>
    <t>O-235</t>
  </si>
  <si>
    <t>Contrato Marco para Prestación de Servicios</t>
  </si>
  <si>
    <t>Revisión 1 Oferta con rebaja tarifa.  OT1 /OT 2</t>
  </si>
  <si>
    <t>SH-0097</t>
  </si>
  <si>
    <t>O-234</t>
  </si>
  <si>
    <t>Carlos Acevedo</t>
  </si>
  <si>
    <t xml:space="preserve">Análisis de Procesos y Riesgos Proyecto Manejo de Concentrado de Cobre DAND a Ventanas </t>
  </si>
  <si>
    <t>O-233</t>
  </si>
  <si>
    <t>Ingeniería Básica Sistema de Descarga Sales Descartes Planta Dual-PTS</t>
  </si>
  <si>
    <t>Hacer seguimiento con Cesar Gonzalez</t>
  </si>
  <si>
    <t>O-232</t>
  </si>
  <si>
    <t>Sandra Sandoval</t>
  </si>
  <si>
    <t>IC &amp; Básica Proyecto Estabilidad de Taludes y Sistema de Captación Derrame</t>
  </si>
  <si>
    <t>Alcance solo al área 620</t>
  </si>
  <si>
    <t>SH-0089</t>
  </si>
  <si>
    <t>O-231</t>
  </si>
  <si>
    <t>Miguel Saavedra</t>
  </si>
  <si>
    <t xml:space="preserve">Servicios Adicionales Proyecto Caserones </t>
  </si>
  <si>
    <t>SH-0083</t>
  </si>
  <si>
    <t>O-230</t>
  </si>
  <si>
    <t>Ingeniería Conceptual Muro Planta Traque de Relaves Las Tortolas</t>
  </si>
  <si>
    <t>Pedro Valencia encargado de la Disciplina Hidrálica HH por Administración. Sin HH a registrar.</t>
  </si>
  <si>
    <t>O-229</t>
  </si>
  <si>
    <t>Minera Esperanza</t>
  </si>
  <si>
    <t>Ingeniería de Detalles Manifold de Descarga Sentina Captación SIAM</t>
  </si>
  <si>
    <t>Propuesta Postergada por el Cliente</t>
  </si>
  <si>
    <t>O-228</t>
  </si>
  <si>
    <t>Estudio de Prefactibilidad Alternativas de Transporte de Depositación de Relaves</t>
  </si>
  <si>
    <t>O-227</t>
  </si>
  <si>
    <t xml:space="preserve">Memoria de Cálculo Spool Refuerzo de Cañería 36” </t>
  </si>
  <si>
    <t>SH-0084</t>
  </si>
  <si>
    <t>O-226</t>
  </si>
  <si>
    <t>Estudio de Prefactibilidad Conducción de Agua desde Tranque de Relaves Hacia Planta AK</t>
  </si>
  <si>
    <t>O-225</t>
  </si>
  <si>
    <t>Estudio de Prefactibilidad Transporte Agua TK 4000 a TK 29</t>
  </si>
  <si>
    <t>Se cambia por la O269</t>
  </si>
  <si>
    <t>O-224</t>
  </si>
  <si>
    <t>Estudio de Prefactibilidad Solución Separación Magnetita de Bola</t>
  </si>
  <si>
    <t>O-223</t>
  </si>
  <si>
    <t>Minera Ojos del Salado</t>
  </si>
  <si>
    <t>Mario Egaña</t>
  </si>
  <si>
    <t>Ingeniería de Detalles Reemplazo Motor N 1 Minera Ojos del Salado</t>
  </si>
  <si>
    <t>O-222</t>
  </si>
  <si>
    <t>IC Transporte de Relaves de Planta PAC a Minera Hierro Atacama</t>
  </si>
  <si>
    <t>SH-0085</t>
  </si>
  <si>
    <t>O-221</t>
  </si>
  <si>
    <t>O-220</t>
  </si>
  <si>
    <t>Contrato Abierto Servicios Especializados de Ingeniería</t>
  </si>
  <si>
    <t>O-219</t>
  </si>
  <si>
    <t>Claudio Gomez</t>
  </si>
  <si>
    <t>Estudio de Prefactibilidad Alternativas de Transporte de Pulpa - Minera Valle Central</t>
  </si>
  <si>
    <t>SH-0082</t>
  </si>
  <si>
    <t>O-218</t>
  </si>
  <si>
    <t>EPC Aseguramiento Continuidad Operacional Espesadores de Relaves Planta Concentradora, División Chuquicamata</t>
  </si>
  <si>
    <t>O-217</t>
  </si>
  <si>
    <t>Licitación LIC-GIR-SAF-9300-13 Planos as Built Proyecto Caserones Sistema de Agua Fresca</t>
  </si>
  <si>
    <t>O-216</t>
  </si>
  <si>
    <t>Estudio de Regularización y Ampliación Tranque de Relaves Cobre Norte</t>
  </si>
  <si>
    <t>SH-0081</t>
  </si>
  <si>
    <t>O-215</t>
  </si>
  <si>
    <t>Felipe Nuñez</t>
  </si>
  <si>
    <t>Diagnóstico Preliminar Operaciones Minera Florida</t>
  </si>
  <si>
    <t>Solo se envió una carta técnica de cómo se haría el trabajo. Sin respuesta.</t>
  </si>
  <si>
    <t>O-214</t>
  </si>
  <si>
    <t>Jamieson Group</t>
  </si>
  <si>
    <t>Kevin Davidson</t>
  </si>
  <si>
    <t>Consultans for Operational Readiness Peru</t>
  </si>
  <si>
    <t>Solo se envió un listado de competencias de profesionales</t>
  </si>
  <si>
    <t>O-213</t>
  </si>
  <si>
    <t>Ingenieria Conceptual depositos en Pasta y Sistema de Transporte de Relaves</t>
  </si>
  <si>
    <t>Se definio con KP proponer una I Conceptual Avanzada debido a los problemas de diseño de la Ingeniería Básica. Propuesta Desierta</t>
  </si>
  <si>
    <t>O-212</t>
  </si>
  <si>
    <t>Minera Alumbrera</t>
  </si>
  <si>
    <t>Orlando Campos</t>
  </si>
  <si>
    <t>Diagnóstico Mineroducto</t>
  </si>
  <si>
    <t>No se interesaron</t>
  </si>
  <si>
    <t>O-211</t>
  </si>
  <si>
    <t>Marcelo Ñuñez</t>
  </si>
  <si>
    <t>Asesoría Servicios Eléctricos de Contraparte - Codelco</t>
  </si>
  <si>
    <t>Cliente opto por alternativa más económica (IB - Electrico) y no JP.</t>
  </si>
  <si>
    <t>O-210</t>
  </si>
  <si>
    <t>Kinross Paracatu</t>
  </si>
  <si>
    <t>Projetos Sazonal e Bombeamneto de Rejeito da Planta I - Kinross Paracatu</t>
  </si>
  <si>
    <t>Luciano Soares</t>
  </si>
  <si>
    <t>Cliente paralizo licitación, invitarán a SHIMIN do Brasil a participar en el nuevo proceso.</t>
  </si>
  <si>
    <t>O-209</t>
  </si>
  <si>
    <t>Katanga Mining Services</t>
  </si>
  <si>
    <t>Edgar Canta</t>
  </si>
  <si>
    <t>Proposal Concentrate Transport System Katanga - Scoping Study</t>
  </si>
  <si>
    <t>Esperando respuesta de Cliente</t>
  </si>
  <si>
    <t>O-208</t>
  </si>
  <si>
    <t>Minera Eloisa</t>
  </si>
  <si>
    <t>Andres Yeomans</t>
  </si>
  <si>
    <t>Análisis Hidráulico Sistema de Agua Mar Proyecto Eloisa</t>
  </si>
  <si>
    <t>O-207</t>
  </si>
  <si>
    <t>Servitrans</t>
  </si>
  <si>
    <t>Licitación Construcción y Operación Relleno Sanitario Provincial - Comuna de Osorno</t>
  </si>
  <si>
    <t>Cliente encontro tarifa alta, desarrollará trabajo con personal propio.</t>
  </si>
  <si>
    <t>O-206</t>
  </si>
  <si>
    <t>Ingeniería de Detalles Cruces Magallanes</t>
  </si>
  <si>
    <t>PV mandar correo a Jose Manuel Silva. Postergado hasta noviembre 2013.</t>
  </si>
  <si>
    <t>O-205</t>
  </si>
  <si>
    <t>Consorcio Proyecto Dominga Dragados</t>
  </si>
  <si>
    <t>Esperando de Alvaro Fonseca.</t>
  </si>
  <si>
    <t>O-204</t>
  </si>
  <si>
    <t>EPC Ovejerias DAND/CONPAX</t>
  </si>
  <si>
    <t>Estar atento con CONPAX</t>
  </si>
  <si>
    <t>O-203</t>
  </si>
  <si>
    <t>Ingeniería de Detalles Transporte de Relaves en Canaletas - Explotación de Sulfuros RT Fase II</t>
  </si>
  <si>
    <t>Seleccionaron a P&amp;C</t>
  </si>
  <si>
    <t>O-202</t>
  </si>
  <si>
    <t>Thermal Engineering</t>
  </si>
  <si>
    <t>Gregorio Barrientos</t>
  </si>
  <si>
    <t>Análisis de Flexibilidad Circuitos de Suministro de Vapor, Retorno Condensado y Agua Alimentación</t>
  </si>
  <si>
    <t>Costo muy alto, se tomo la decisión con un proveedor más bárato</t>
  </si>
  <si>
    <t>O-201</t>
  </si>
  <si>
    <t>Patricio Maureira</t>
  </si>
  <si>
    <t>pmaureira@apires.cl</t>
  </si>
  <si>
    <t>Análisis Hidráulico Arrastre Sedimiento Sector Río Cachapoal</t>
  </si>
  <si>
    <t>O-200</t>
  </si>
  <si>
    <t>Amec Brasil</t>
  </si>
  <si>
    <t>Carlos ROberto</t>
  </si>
  <si>
    <t xml:space="preserve">Serra Azul Rejeitoduto e Audotora </t>
  </si>
  <si>
    <t xml:space="preserve"> Sin definición esperando decesión.</t>
  </si>
  <si>
    <t>O-199</t>
  </si>
  <si>
    <t>Jhon Quiñonez</t>
  </si>
  <si>
    <t>Evaluación y Rediseño de Configuración de Líneas de Tuberías PEA</t>
  </si>
  <si>
    <t>Rafael Videla</t>
  </si>
  <si>
    <t>Proyecto Stand-by</t>
  </si>
  <si>
    <t>O-198</t>
  </si>
  <si>
    <t>Estudio Trade-off Transporte de Relaves Proyecto Santo Domingo</t>
  </si>
  <si>
    <t>Extension del SH-0071.</t>
  </si>
  <si>
    <t>SH-0071</t>
  </si>
  <si>
    <t>O-197</t>
  </si>
  <si>
    <t>Xstrata Copper</t>
  </si>
  <si>
    <t>Nicolas Vicuña</t>
  </si>
  <si>
    <t>Ingeniería Conceptual Reducción y Recuperación Consumo de Agua de Procesos Altonorte</t>
  </si>
  <si>
    <t>Cliente solicito mayor información, adjudicada a Arcadis, mejor evaluación técnica y comercial.</t>
  </si>
  <si>
    <t>O-196</t>
  </si>
  <si>
    <t>Roberto Carlos</t>
  </si>
  <si>
    <t>Proposta Arcelator Mittal 3 Captações de Agua e 2 Rejeitodutos</t>
  </si>
  <si>
    <t>R$ 230 /hh. Sin definición esperando decesión.</t>
  </si>
  <si>
    <t>O-195</t>
  </si>
  <si>
    <t>Parque Eolico</t>
  </si>
  <si>
    <t>Análisis Hidráulico Proyecto Parque Eólico Llay Llay - IEG</t>
  </si>
  <si>
    <t>Cristián Lopez lidera proyecto.</t>
  </si>
  <si>
    <t>SH-0079</t>
  </si>
  <si>
    <t>O-194</t>
  </si>
  <si>
    <t>SIGSE</t>
  </si>
  <si>
    <t>Capacitación de Operadores y Supervisores Sonangol - Angola.</t>
  </si>
  <si>
    <t>Javier Herrera</t>
  </si>
  <si>
    <t>Esperando Respuesta de Angola</t>
  </si>
  <si>
    <t>O-193</t>
  </si>
  <si>
    <t>ECM</t>
  </si>
  <si>
    <t>Darcy Curtinhas</t>
  </si>
  <si>
    <t>Projeto Engenharia Básica para Minerodutos Pico e Vargem Grande</t>
  </si>
  <si>
    <t>No se presento ECM. SHIMIN exigio logo.</t>
  </si>
  <si>
    <t>O-192</t>
  </si>
  <si>
    <t>Liberación de Elementos Estructurales - Proyecto Caserones</t>
  </si>
  <si>
    <t>SH-0072</t>
  </si>
  <si>
    <t>O-191</t>
  </si>
  <si>
    <t>Ingeniería de Detalle Empalme Piping 10" Agua Fresca a Tramos C Proyecto Caserones</t>
  </si>
  <si>
    <t>SH-0096</t>
  </si>
  <si>
    <t>O-190</t>
  </si>
  <si>
    <t>Cecilia Riveros</t>
  </si>
  <si>
    <t>Licitación Proyecto Espesamiento de Relaves Mauro - PELAMBRES</t>
  </si>
  <si>
    <t>Propuesta Desierta.</t>
  </si>
  <si>
    <t>O-189</t>
  </si>
  <si>
    <t>Anglogold Ashanti</t>
  </si>
  <si>
    <t>Mina Cuiabá</t>
  </si>
  <si>
    <t>Alexandre Freitas</t>
  </si>
  <si>
    <t>Assessoria Especializada Serviços Area Planta</t>
  </si>
  <si>
    <t>O-188</t>
  </si>
  <si>
    <t>Planta Queiroz</t>
  </si>
  <si>
    <t>Engenharia Conceitual Transporte Hidráulico de Lamas Arsenicais - Planta Queiroz</t>
  </si>
  <si>
    <t>Sergio converso con Altair quien cambio de cargo, activar en septiembre (exposibram).</t>
  </si>
  <si>
    <t>O-187</t>
  </si>
  <si>
    <t>Engenharia Conceitual Transporte Hidráulico de Areias de Rejeitos - Planta Cuiabá</t>
  </si>
  <si>
    <t>O-186</t>
  </si>
  <si>
    <t>Virginia Ciminelli</t>
  </si>
  <si>
    <t>Curso Processamento de Ouro.</t>
  </si>
  <si>
    <t>SH-0080</t>
  </si>
  <si>
    <t>O-185</t>
  </si>
  <si>
    <t>Xstrata Copper Peru</t>
  </si>
  <si>
    <t xml:space="preserve">Minera Antapaccay </t>
  </si>
  <si>
    <t>Dante Garcia</t>
  </si>
  <si>
    <t>Diagnóstico Preliminar Operacones Minera Antapaccay</t>
  </si>
  <si>
    <t>No se obtuvo interes por del Cliente en obtener un diagnóstico operacional.</t>
  </si>
  <si>
    <t>O-184</t>
  </si>
  <si>
    <t>SAMPROJECTS</t>
  </si>
  <si>
    <t>Eloy Nogueria</t>
  </si>
  <si>
    <t>Assessoria Especializada Em Transporte de Minério, Rejeitos e Adutora de Água Prefeasibility and Feasibility Stydy</t>
  </si>
  <si>
    <t>En revisión de Pruebas Pilotos (atrasados). Octubre 2013.</t>
  </si>
  <si>
    <t>O-183</t>
  </si>
  <si>
    <t>Rodrigo Tapia</t>
  </si>
  <si>
    <t>Postergado por Oficina Central de Minera Esperanza.</t>
  </si>
  <si>
    <t>O-182</t>
  </si>
  <si>
    <t>Actualización Benchmarking Concentrate and Water Pipelines 2013</t>
  </si>
  <si>
    <t>Sin respuesta por parte de Cliente.</t>
  </si>
  <si>
    <t>O-181</t>
  </si>
  <si>
    <t xml:space="preserve">Diagnóstico Disiciplina Mecánica - Piping y Procesos </t>
  </si>
  <si>
    <t>SH-0074</t>
  </si>
  <si>
    <t>O-180</t>
  </si>
  <si>
    <t>Manabi</t>
  </si>
  <si>
    <t>Wellington Santos</t>
  </si>
  <si>
    <t>Serviços de Revisão e Adequação de Normas Técnicas e Padrões de Engenharia</t>
  </si>
  <si>
    <t>O-179</t>
  </si>
  <si>
    <t>Germán Cortes</t>
  </si>
  <si>
    <t>Servicio Marco Integral de Ingeniería</t>
  </si>
  <si>
    <t>O-178</t>
  </si>
  <si>
    <t>Ordenes de Servicio Área Planta</t>
  </si>
  <si>
    <t>O-177</t>
  </si>
  <si>
    <t>Ingeniería General Tranque de Relaves Cobre Norte</t>
  </si>
  <si>
    <t>O-176</t>
  </si>
  <si>
    <t>Hector Tortora</t>
  </si>
  <si>
    <t>Memoria de Cálculo Piezas Extruidas</t>
  </si>
  <si>
    <t>SH-0073</t>
  </si>
  <si>
    <t>O-175</t>
  </si>
  <si>
    <t>Minera el Abra</t>
  </si>
  <si>
    <t>José Campos</t>
  </si>
  <si>
    <t>Revisión Experta Proyecto El Abra</t>
  </si>
  <si>
    <t>O-174</t>
  </si>
  <si>
    <t>Asesoría en el Transporte Hidráulica de Pulpas Minerales</t>
  </si>
  <si>
    <t>Contrato adjudicado a Brass.</t>
  </si>
  <si>
    <t>O-173</t>
  </si>
  <si>
    <t>Remoción Materia Orgánica y Drenaje Botadero</t>
  </si>
  <si>
    <t>Consultar a Alvaro Huerta.</t>
  </si>
  <si>
    <t>O-172</t>
  </si>
  <si>
    <t>Minera San Cristobal</t>
  </si>
  <si>
    <t xml:space="preserve">Estudio de Prefactibilidad Expansión Depósito de Colas de Huaylla Khara </t>
  </si>
  <si>
    <t>O-171</t>
  </si>
  <si>
    <t>Alexis Yavanovic</t>
  </si>
  <si>
    <t>Estudo de Diagnóstico Projeto Salobo - Vale</t>
  </si>
  <si>
    <t>SH-0077</t>
  </si>
  <si>
    <t>O-170</t>
  </si>
  <si>
    <t>Asesoría Especializada Servicios Electricos</t>
  </si>
  <si>
    <t>SH-0064</t>
  </si>
  <si>
    <t>O-169</t>
  </si>
  <si>
    <t>Relincho</t>
  </si>
  <si>
    <t>Ingeniería de Valor Proyecto Relincho</t>
  </si>
  <si>
    <t>O-168</t>
  </si>
  <si>
    <t>Contrato Abierto SHIMIN-ARCADIS 2013</t>
  </si>
  <si>
    <t>ARCADIS con baja carga laboral sin necesidad de subcontratistas. Reemplazada por O235</t>
  </si>
  <si>
    <t>O-167</t>
  </si>
  <si>
    <t>Claudio Dodds</t>
  </si>
  <si>
    <t>Ingenería de Prefactibilidad Aumento Confiabilidad Fuentes OSP</t>
  </si>
  <si>
    <t>O-166</t>
  </si>
  <si>
    <t>Pre-Feasibility Zanaga Concentrate Pipiline</t>
  </si>
  <si>
    <t>SH-0069</t>
  </si>
  <si>
    <t>O-165</t>
  </si>
  <si>
    <t>Erick Amestica</t>
  </si>
  <si>
    <t>Análisis de Flexibilidad Tuberías 1 y 2 de Arenas - Proyecto Caserones</t>
  </si>
  <si>
    <t>SH-0068</t>
  </si>
  <si>
    <t>O-164</t>
  </si>
  <si>
    <t>SKM Minmetal</t>
  </si>
  <si>
    <t>PuCobre</t>
  </si>
  <si>
    <t>Carlos Fuenzalida</t>
  </si>
  <si>
    <t>Estudio de Factibilidad Transporte de Relaves Espesados - El Espino - SKM</t>
  </si>
  <si>
    <t>O-163</t>
  </si>
  <si>
    <t>Estudio de Diagnóstico Tuberías y Diseño Rack de Acopio de Material</t>
  </si>
  <si>
    <t>Postergardo por el Cliente Final.</t>
  </si>
  <si>
    <t>O-162</t>
  </si>
  <si>
    <t>Ingenería de Detalles Loop de Filtrado COLLAHUASI - ACOTEC</t>
  </si>
  <si>
    <t>Claudio Muñoz llamara Javier Reyes.</t>
  </si>
  <si>
    <t>O-161</t>
  </si>
  <si>
    <t>German Castellanos</t>
  </si>
  <si>
    <t>Ingeniería de Factibilidad Transporte de Relaves Espesados Proyecto El Espino</t>
  </si>
  <si>
    <t>O-160</t>
  </si>
  <si>
    <t>Victor Nieto</t>
  </si>
  <si>
    <t>Análisis de Flexibilidad Estación Drenes WBS, Túneles y Puente Proyecto Quellaveco</t>
  </si>
  <si>
    <t>O-159</t>
  </si>
  <si>
    <t>Nivaldo Siqueria</t>
  </si>
  <si>
    <t>Due Diligence Mineroduto de Ferro</t>
  </si>
  <si>
    <t>PV consultará.</t>
  </si>
  <si>
    <t>O-158</t>
  </si>
  <si>
    <t>Marcos Eustachio</t>
  </si>
  <si>
    <t>Serviços Especializados de Engenharia de Processamento de Ouro</t>
  </si>
  <si>
    <t>O-157</t>
  </si>
  <si>
    <t>Ingeniería de Detalles Nuevos Pozos Norte Verde 1 y 2</t>
  </si>
  <si>
    <t>O-156</t>
  </si>
  <si>
    <t>Análisis de Flexibilidad Impulsión de Agua Recuperada EB 2 a EB 3</t>
  </si>
  <si>
    <t>Chle</t>
  </si>
  <si>
    <t>Plazos de ejecución del servicio muy extenso, necesitaban rapidez.</t>
  </si>
  <si>
    <t>O-155</t>
  </si>
  <si>
    <t xml:space="preserve">Análisis Hidráulico y Verificación de Equipos Amortiguaodres Golpe de Ariete </t>
  </si>
  <si>
    <t>SH-0066</t>
  </si>
  <si>
    <t>O-154</t>
  </si>
  <si>
    <t>Jose Campos</t>
  </si>
  <si>
    <t>Ingeniería de factibilidad Concentraducto y Suministro de Aguas</t>
  </si>
  <si>
    <t>pedro Valencia</t>
  </si>
  <si>
    <t>O-153</t>
  </si>
  <si>
    <t>Erick Marambio</t>
  </si>
  <si>
    <t>Estudio de Diagnóstico Sistema de Transporte de Agua de Mar</t>
  </si>
  <si>
    <t>Postergado hasta marzo 2013. Salida Contacto.</t>
  </si>
  <si>
    <t>O-152</t>
  </si>
  <si>
    <t>Estudio de Diagnóstico Sistema de Transporte de Concentrado</t>
  </si>
  <si>
    <t>O-151</t>
  </si>
  <si>
    <t>victor.araya@propipe.cl</t>
  </si>
  <si>
    <t xml:space="preserve">Estudio Rehabilitación de Revestimiento ENAP </t>
  </si>
  <si>
    <t>O-150</t>
  </si>
  <si>
    <t>Victor Araya</t>
  </si>
  <si>
    <t>Estudio de Diagnóstico Vibraciones Estación Booster Concentraducto PELAMBRES</t>
  </si>
  <si>
    <t>SH-0065</t>
  </si>
  <si>
    <t>O-149</t>
  </si>
  <si>
    <t>Constantino Suazo</t>
  </si>
  <si>
    <t>Revisión y Optimización del Sistema de Recuperación de Aguas</t>
  </si>
  <si>
    <t>O-148</t>
  </si>
  <si>
    <t xml:space="preserve">Análisis de Interferencias de Trazado Proyecto Santo Domingo </t>
  </si>
  <si>
    <t>O-147</t>
  </si>
  <si>
    <t>Estudio de Análisis de Flexibilidad Proyecto Caserones</t>
  </si>
  <si>
    <t>SH-0063</t>
  </si>
  <si>
    <t>O-146</t>
  </si>
  <si>
    <t>Análisis de Riesgo Tipo Hazop Proyecto Tratamiento de Relaves Chuquicamata</t>
  </si>
  <si>
    <t>SH-0062</t>
  </si>
  <si>
    <t>O-145</t>
  </si>
  <si>
    <t>Estudio de Respaldo Técnico a Modifaciones Proyecto Caserones</t>
  </si>
  <si>
    <t>O-144</t>
  </si>
  <si>
    <t xml:space="preserve">Alquimia Conceptos  </t>
  </si>
  <si>
    <t>Juan Luis Morales</t>
  </si>
  <si>
    <t>Ingeniería Básica Sistema Transporte de Relaves Los Leones</t>
  </si>
  <si>
    <t>AMEC se la Adjudico</t>
  </si>
  <si>
    <t>O-143</t>
  </si>
  <si>
    <t>Estudio de Verificación Hidráulica Tubería de Descarga de Relaves - El Bronce Minera Cancan</t>
  </si>
  <si>
    <t>El Cliente decide no realizar el estudio por retrasos en las próximas etapas de la ingeniería</t>
  </si>
  <si>
    <t>O-142</t>
  </si>
  <si>
    <t>Coemin S.A.</t>
  </si>
  <si>
    <t>Constructora Victoria</t>
  </si>
  <si>
    <t>Carlos Galvez</t>
  </si>
  <si>
    <t>Ingeniería de Detalles y Terrenos Depósito de Relaves en Paste - Planta Cerrillos</t>
  </si>
  <si>
    <t>O-141</t>
  </si>
  <si>
    <t>Minera el Soldado</t>
  </si>
  <si>
    <t>Ingeniería Conceptual Planta de Reactivos</t>
  </si>
  <si>
    <t>O-140</t>
  </si>
  <si>
    <t>Ingeniería de Prefactibilidad Sistema de Conducción de Relaves y Agua - Proyecto Santo Domingo</t>
  </si>
  <si>
    <t>O-139</t>
  </si>
  <si>
    <t>Oscar Juares</t>
  </si>
  <si>
    <t>Recomendaciones y Estudio de Alternativa de Diseño - Proyecto Nueva Impulsión de Agua COLLAHUASI</t>
  </si>
  <si>
    <t>O-138</t>
  </si>
  <si>
    <t>Confección de Planos Sistema de Agua Potable y Sistema Alcantarillado Edificio Corporativo</t>
  </si>
  <si>
    <t>O-137</t>
  </si>
  <si>
    <t>Freedy Sanhueza</t>
  </si>
  <si>
    <t>Mejoramiento de Instalaciones de Impulsión Coposa Norte - COLLAHUASI</t>
  </si>
  <si>
    <t>O-136</t>
  </si>
  <si>
    <t>Grupo AR</t>
  </si>
  <si>
    <t xml:space="preserve">Diseño Correa Transportadora </t>
  </si>
  <si>
    <t>O-135</t>
  </si>
  <si>
    <t>Ruiz Tagle</t>
  </si>
  <si>
    <t>Minera Gaby</t>
  </si>
  <si>
    <t>Ingeniería, OOCC y Montaje Repotenciamiento Correas Transportadoras</t>
  </si>
  <si>
    <t>O-134</t>
  </si>
  <si>
    <t>Projeto Engenharia Conceitual para Relocação dos Minerodutos I e III da Samarco</t>
  </si>
  <si>
    <t>O-133</t>
  </si>
  <si>
    <t>Ingeniería de Prefactibilidad Transporte de Relaves y Aguas Recuperadas, El Bronce</t>
  </si>
  <si>
    <t>O-132</t>
  </si>
  <si>
    <t>Servicios Profesionales de Contraparte - Planos as Built Ministro Hales</t>
  </si>
  <si>
    <t>O-131</t>
  </si>
  <si>
    <t>Javier Pizarro</t>
  </si>
  <si>
    <t>Apoyo Empírica Eduardo Martinez Proyectos DAND y DCH</t>
  </si>
  <si>
    <t>SH-0059</t>
  </si>
  <si>
    <t>O-130</t>
  </si>
  <si>
    <t>Asesoría, Auditoría Interna Sistema de Control Proyecto Apires D054. Tratamiento de Fracción Gruesa de Relaves Frescos dCh</t>
  </si>
  <si>
    <t>SH-0060</t>
  </si>
  <si>
    <t>O-129</t>
  </si>
  <si>
    <t>Ingeniería de Detalles Repulpeo Tranque de Relaves Minera la Florida</t>
  </si>
  <si>
    <t>Minera Florida desistio del proyecto postergada el 2014.</t>
  </si>
  <si>
    <t>O-128</t>
  </si>
  <si>
    <t>Carlos Gomez</t>
  </si>
  <si>
    <t>Revisión y Consultas al Proceso de Licitación e Ingeniería Básica del Proyecto "EPC Proyecto Nueva Impulsión de Agua de Coposa a Ujina - COLLAHUASI)</t>
  </si>
  <si>
    <t>SH-0061</t>
  </si>
  <si>
    <t>O-127</t>
  </si>
  <si>
    <t>Comunidad Las Palmas</t>
  </si>
  <si>
    <t>Gabriel Goldstein</t>
  </si>
  <si>
    <t>Estudio de Factibidad - Proyecto Extracción de Agua Parque Nacional La Campana</t>
  </si>
  <si>
    <t>O-126</t>
  </si>
  <si>
    <t>Claudio Scognadillo</t>
  </si>
  <si>
    <t>Revisión Experta Proyecto la Colosa</t>
  </si>
  <si>
    <t>SH-0058</t>
  </si>
  <si>
    <t>O-125</t>
  </si>
  <si>
    <t>MMX</t>
  </si>
  <si>
    <t>Soumar Bitar</t>
  </si>
  <si>
    <t>Proposta Captação Río Pará 50 KM</t>
  </si>
  <si>
    <t>Perdido.</t>
  </si>
  <si>
    <t>O-124</t>
  </si>
  <si>
    <t>Assesoria Especializada no Sistema de Bombeamento de Rejeito, Tubovia e Linha de Água Recuperada</t>
  </si>
  <si>
    <t>O-123</t>
  </si>
  <si>
    <t>Cristián Dawson</t>
  </si>
  <si>
    <t xml:space="preserve">Asesoría Hidráulica Bombeo Fluidos Acidos </t>
  </si>
  <si>
    <t>SH-0056</t>
  </si>
  <si>
    <t>O-122</t>
  </si>
  <si>
    <t>Minerconsult</t>
  </si>
  <si>
    <t>Jorge Soto</t>
  </si>
  <si>
    <t>Scoping Study Minerodutos e Adutoras - Projeto Patricia e Fortuna</t>
  </si>
  <si>
    <t>O-121</t>
  </si>
  <si>
    <t>John Wells   TELUS</t>
  </si>
  <si>
    <t>Leticia Conca</t>
  </si>
  <si>
    <t>Alaska Pipeline Scoping Study</t>
  </si>
  <si>
    <t>O-120</t>
  </si>
  <si>
    <t>Gigi Razeto</t>
  </si>
  <si>
    <t>Ingeniería Prefactibilidad y factibilidad habilitación línea RT</t>
  </si>
  <si>
    <t>O-119</t>
  </si>
  <si>
    <t>Ingeniería de Terreno Intercepción y Recirculación Derrames</t>
  </si>
  <si>
    <t>SH-0051</t>
  </si>
  <si>
    <t>O-118</t>
  </si>
  <si>
    <t>Extensión Estudio de Capacidad de Transporte y Disposición de Relaves COLLAHUASI</t>
  </si>
  <si>
    <t>SH-0055</t>
  </si>
  <si>
    <t>O-117</t>
  </si>
  <si>
    <t>Estudio Complementario Benchmarking Concentraductos, Impulsión y Desalación</t>
  </si>
  <si>
    <t>SH-0057</t>
  </si>
  <si>
    <t>O-116</t>
  </si>
  <si>
    <t>TALLER DE TRANSPORTE DE PULPAS – MINERODUCTO LAS BAMBAS</t>
  </si>
  <si>
    <t>Llamar a J. Agustini en Octubre de 2013.</t>
  </si>
  <si>
    <t>O-115</t>
  </si>
  <si>
    <t>AMEC Brasil</t>
  </si>
  <si>
    <t>Carlos Roberto</t>
  </si>
  <si>
    <t>ASSESSORIA ESPECIALIZADA PROCESSOS PARA REJEITODUTO, RETORNO DE ÁGUA E MINERODUTO</t>
  </si>
  <si>
    <t>O-114</t>
  </si>
  <si>
    <t>PROYECTO REPROCESAMIENTO DE RELAVES DEL TRANQUE PIUQUENES</t>
  </si>
  <si>
    <t>SH-0054</t>
  </si>
  <si>
    <t>O-113</t>
  </si>
  <si>
    <t>Golder Associates</t>
  </si>
  <si>
    <t>Servicios de Ingeniería Disciplina E&amp;I Proyecto Quebrada Blanca</t>
  </si>
  <si>
    <t>O-112</t>
  </si>
  <si>
    <t>Mineroducto 180 KM I. Básica</t>
  </si>
  <si>
    <t>O-111</t>
  </si>
  <si>
    <t>SERVICIOS ESPECIALIZADOS TRANSPORTE Y MANEJO DE FLUIDOS - ODS1 ESTUDIO DE DIAGNÓSTICO CAPACIDAD DE TRANSPORTE Y DISPOSICIÓN DE RELAVES</t>
  </si>
  <si>
    <t>SH-0049</t>
  </si>
  <si>
    <t>O-110</t>
  </si>
  <si>
    <t>Maricunga</t>
  </si>
  <si>
    <t>Apoyo Proyecto Maricunga (Rodrigo Carvajal)</t>
  </si>
  <si>
    <t>SH-0050</t>
  </si>
  <si>
    <t>O-109</t>
  </si>
  <si>
    <t>Apoyo Cierre Proyecto Chumpe Mecánica/Piping</t>
  </si>
  <si>
    <t>SH-0048</t>
  </si>
  <si>
    <t>O-108</t>
  </si>
  <si>
    <t>Apoyo Cierre Proyecto Quellaveco/OGP1</t>
  </si>
  <si>
    <t>SH-0053</t>
  </si>
  <si>
    <t>O-107</t>
  </si>
  <si>
    <t>Juan Bravo</t>
  </si>
  <si>
    <t>Apoyo Ingeniería Mecánica - Piping Proyecto Potrerillos</t>
  </si>
  <si>
    <t>SH-0047</t>
  </si>
  <si>
    <t>O-106</t>
  </si>
  <si>
    <t>Gilda Razetto</t>
  </si>
  <si>
    <t>Revisión Experta Disciplina Hidráulica Estudio de Perfil Toconce</t>
  </si>
  <si>
    <t>O-105</t>
  </si>
  <si>
    <t>Liliana Arellano</t>
  </si>
  <si>
    <t>Asesoria Especializada en Optimización de Producción de Arenas</t>
  </si>
  <si>
    <t>PV llamar a Silvana dal Pozo o Liliana Arellano.</t>
  </si>
  <si>
    <t>O-104</t>
  </si>
  <si>
    <t>Claudio Dods</t>
  </si>
  <si>
    <t>Estimación de Costos Suministro de Agua Pozos San Pedro</t>
  </si>
  <si>
    <t>SH-0052</t>
  </si>
  <si>
    <t>O-103</t>
  </si>
  <si>
    <t>Bahia Mineração</t>
  </si>
  <si>
    <t>Assessoria Especializada em Polpas Projeto Pedra de Ferro e Outros Projetos</t>
  </si>
  <si>
    <t>Postergado hasta el 2014</t>
  </si>
  <si>
    <t>O-102</t>
  </si>
  <si>
    <t>Enrique Melendez</t>
  </si>
  <si>
    <t>Projeto Engenharia FEL - 2 Dimensionamento Mineroduto</t>
  </si>
  <si>
    <t>O-101</t>
  </si>
  <si>
    <t>Carlos Guilhon</t>
  </si>
  <si>
    <t>Extensión Contrato Projeto Engenharia Samarco (PV)</t>
  </si>
  <si>
    <t>SH-0095</t>
  </si>
  <si>
    <t>O-100</t>
  </si>
  <si>
    <t>Projeto Engenharia de Pré-Viabilidade ITM-I Pico</t>
  </si>
  <si>
    <t>O-99</t>
  </si>
  <si>
    <t>Projeto Engenharia de Pré-Viabilidade ITM-I Jangada</t>
  </si>
  <si>
    <t>PROYECTO CERRADO</t>
  </si>
  <si>
    <t>O-98</t>
  </si>
  <si>
    <t>GSI Ingeniería</t>
  </si>
  <si>
    <t>Prubas Hidroestaticas Concentraducto MEL</t>
  </si>
  <si>
    <t>O-97</t>
  </si>
  <si>
    <t>Análisis de Flexibilidad</t>
  </si>
  <si>
    <t>O-96</t>
  </si>
  <si>
    <t>Yomet Farias</t>
  </si>
  <si>
    <t>Externalización de Documentos II Proyecto Reemplazo Molinos</t>
  </si>
  <si>
    <t>SH-0046</t>
  </si>
  <si>
    <t>O-95</t>
  </si>
  <si>
    <t>Externalización de Documentos Proyecto Reemplazo Molinos</t>
  </si>
  <si>
    <t>SH-0045</t>
  </si>
  <si>
    <t>O-94</t>
  </si>
  <si>
    <t>Proposta Rejeitodutos</t>
  </si>
  <si>
    <t>O-93</t>
  </si>
  <si>
    <t>Gregorio Perez</t>
  </si>
  <si>
    <t>Verificación Cruzada Documentos Proyecto Quebrada Blanca</t>
  </si>
  <si>
    <t>O-92</t>
  </si>
  <si>
    <t>ICAFAL</t>
  </si>
  <si>
    <t>Jorge Kort</t>
  </si>
  <si>
    <t>Sistema de Conducción Agua Industral de ADASA</t>
  </si>
  <si>
    <t>O-91</t>
  </si>
  <si>
    <t>Bahia Mineracao</t>
  </si>
  <si>
    <t>Contraparte EPC por parte del dueño de construcción de relaves para 8,5 y 18 MTPA</t>
  </si>
  <si>
    <t>O-90</t>
  </si>
  <si>
    <t>Actualización Benchmarking Concentraductos, Desalación e impulsión</t>
  </si>
  <si>
    <t>SH-0044</t>
  </si>
  <si>
    <t>O-89</t>
  </si>
  <si>
    <t>Evaluación Mejoramiento Sector Remolienda - División Codelco Norte</t>
  </si>
  <si>
    <t>SH-0042</t>
  </si>
  <si>
    <t>EN CURSO. CIERRES A LOS 12 DE CADA MES</t>
    <phoneticPr fontId="4" type="noConversion"/>
  </si>
  <si>
    <t>O-88</t>
  </si>
  <si>
    <t>Extensión Monto Contrato SH-0019</t>
  </si>
  <si>
    <t>SH-0094</t>
  </si>
  <si>
    <t>O-87</t>
  </si>
  <si>
    <t>Extensión de Proyecto Nuevo Trazado Lamaducto</t>
  </si>
  <si>
    <t>SH-0041</t>
  </si>
  <si>
    <t>O-86</t>
  </si>
  <si>
    <t>Minas Rio</t>
  </si>
  <si>
    <t>Asistencia Ao Projeto Expansao Minas Rio</t>
  </si>
  <si>
    <t>SH-0043</t>
  </si>
  <si>
    <t>Falta 1 hh cargada en agosto</t>
  </si>
  <si>
    <t>O-85</t>
  </si>
  <si>
    <t>Projeto Engenharia Detalhada Terceiro Mineroduto da Samarco</t>
  </si>
  <si>
    <t>SH-0093</t>
  </si>
  <si>
    <t>O-84</t>
  </si>
  <si>
    <t>Trade Off Mineroductos Viga Norte Ate Viga Para Ferrous Resources</t>
  </si>
  <si>
    <t>O-83</t>
  </si>
  <si>
    <t xml:space="preserve">Pan Zhi Hua Project </t>
  </si>
  <si>
    <t>Verificación Estructural del Estanque de Concentrado y de la Plataforma de Soportación del Agitador</t>
  </si>
  <si>
    <t>SH-0040</t>
  </si>
  <si>
    <t>O-82</t>
  </si>
  <si>
    <t>Apoyo Multidisciplinario Codelco Andina</t>
  </si>
  <si>
    <t>O-81</t>
  </si>
  <si>
    <t>Ingenieria Conceptual Espesador de Relaves</t>
  </si>
  <si>
    <t>O-80</t>
  </si>
  <si>
    <t>Diagnostico Cuellos de Botella Concentrado Andina</t>
  </si>
  <si>
    <t>O-79</t>
  </si>
  <si>
    <t>Rango Operacional Relaveducto PELAMBRES</t>
  </si>
  <si>
    <t>O-78</t>
  </si>
  <si>
    <t>Servicios de Contraparte Concentraducto PELAMBRES</t>
  </si>
  <si>
    <t>O-77</t>
  </si>
  <si>
    <t>Manual de Operaciones Suministro de Aguas Frescas CHOAPA</t>
  </si>
  <si>
    <t>Posiblemente necesitan colaboración de SHIMIN para la elaboración del Manual.</t>
  </si>
  <si>
    <t>O-76</t>
  </si>
  <si>
    <t>Auditoria Tranque de Relaves</t>
  </si>
  <si>
    <t>O-75</t>
  </si>
  <si>
    <t>Extension Hill, Australia. Apoyo sistema de transporte de concentrado Mount Gibson</t>
  </si>
  <si>
    <t>SH-0039</t>
  </si>
  <si>
    <t>O-74</t>
  </si>
  <si>
    <t>Revisión y Emisión de Isometricos en 0</t>
  </si>
  <si>
    <t>SH-0076</t>
  </si>
  <si>
    <t>O-73</t>
  </si>
  <si>
    <t>Compañia Minera El Espino</t>
  </si>
  <si>
    <t>Prefactibilidad El Espino</t>
  </si>
  <si>
    <t>SH-0036</t>
  </si>
  <si>
    <t>O-72</t>
  </si>
  <si>
    <t>Minera Nueva Esperanza</t>
  </si>
  <si>
    <t>Tranque de Relaves Nueva Esperanza</t>
  </si>
  <si>
    <t>SH-0037</t>
  </si>
  <si>
    <t>O-71</t>
  </si>
  <si>
    <t>Planta de Molibdeno Chuquicamata</t>
  </si>
  <si>
    <t>O-70</t>
  </si>
  <si>
    <t>Ingeniería, Construcción y Montaje Obras Menores Depósito de Relaves Pampa Austral V Etapa</t>
  </si>
  <si>
    <t>Re-abierta</t>
  </si>
  <si>
    <t>PROYECTO CERRADO/FALTA CARGAR HORAS</t>
    <phoneticPr fontId="4" type="noConversion"/>
  </si>
  <si>
    <t>O-69</t>
  </si>
  <si>
    <t>Diseño Civil Piscinas de Emergencia Lamaducto Proyecto Caserones</t>
  </si>
  <si>
    <t>SH-0075</t>
  </si>
  <si>
    <t>O-68</t>
  </si>
  <si>
    <t>Jorge Estay</t>
  </si>
  <si>
    <t xml:space="preserve">Apoyo Mecánica-Piping </t>
  </si>
  <si>
    <t>SH-0034</t>
  </si>
  <si>
    <t>O-67</t>
  </si>
  <si>
    <t>Compañia Minera Carmen Andacollo</t>
  </si>
  <si>
    <t>Factibilidad Andacollo para KP</t>
  </si>
  <si>
    <t>PROYECTO CERRADO</t>
    <phoneticPr fontId="4" type="noConversion"/>
  </si>
  <si>
    <t>O-66</t>
  </si>
  <si>
    <t>Prestación de Servicios Proyectista Mec-Piping</t>
  </si>
  <si>
    <t>SH-0029</t>
  </si>
  <si>
    <t>O-65</t>
  </si>
  <si>
    <t>Sergio Alvarado</t>
  </si>
  <si>
    <t>Instalación Compresores Planta de Cal</t>
  </si>
  <si>
    <t>O-64</t>
  </si>
  <si>
    <t>Diseño Loop de Cal</t>
  </si>
  <si>
    <t>O-63</t>
  </si>
  <si>
    <t>Análisis de Flexibilidad Estaciones de Agua</t>
  </si>
  <si>
    <t>O-62</t>
  </si>
  <si>
    <t>Solange Sandia</t>
  </si>
  <si>
    <t>servicios de Asesoría Experta en Sistemas de Disposición de Relaves</t>
  </si>
  <si>
    <t>O-61</t>
  </si>
  <si>
    <t>Diagnostico Cascadas Canaleta de Relaves El Teniente</t>
  </si>
  <si>
    <t>O-60</t>
  </si>
  <si>
    <t>Análisis de Flexibilidad Bombeo de Relaves las Tórtolas</t>
  </si>
  <si>
    <t>SH-0028</t>
  </si>
  <si>
    <t>O-59</t>
  </si>
  <si>
    <t>Estudio de Corrosión Muelle Minera Candelaría</t>
  </si>
  <si>
    <t>O-58</t>
  </si>
  <si>
    <t>Schlumberger</t>
  </si>
  <si>
    <t>Ricardo Rian</t>
  </si>
  <si>
    <t>Asesoria Balance de Agua Cerro Colorado</t>
  </si>
  <si>
    <t>nac</t>
  </si>
  <si>
    <t>O-57</t>
  </si>
  <si>
    <t>Samarco III</t>
  </si>
  <si>
    <t>SH-0025</t>
  </si>
  <si>
    <t>O-56</t>
  </si>
  <si>
    <t>Estudio de Factibilidad Tranque El Pachón</t>
  </si>
  <si>
    <t>pp</t>
  </si>
  <si>
    <t>O-55</t>
  </si>
  <si>
    <t>Ingeniería de Detalles Pilas Franke</t>
  </si>
  <si>
    <t>SH-0026</t>
  </si>
  <si>
    <t>O-54</t>
  </si>
  <si>
    <t>Julio Olivos</t>
  </si>
  <si>
    <t>Estudio Prefactibilidad Concentraducto Hierro Santo Domingo</t>
  </si>
  <si>
    <t>SH-0027</t>
  </si>
  <si>
    <t>O-53</t>
  </si>
  <si>
    <t>Yuan Jia Cun iron concentrate</t>
  </si>
  <si>
    <t>HH: A suma Alzada</t>
  </si>
  <si>
    <t>SH-0023</t>
  </si>
  <si>
    <t>O-52</t>
  </si>
  <si>
    <t>Jorge Cornejo</t>
    <phoneticPr fontId="4" type="noConversion"/>
  </si>
  <si>
    <t>Apoyo revisión externa Civil-Estructural Ing. De Detalles de Relaves y Agua Recuperada Proyecto Caserones</t>
  </si>
  <si>
    <t>IC</t>
    <phoneticPr fontId="4" type="noConversion"/>
  </si>
  <si>
    <t>NAC</t>
    <phoneticPr fontId="4" type="noConversion"/>
  </si>
  <si>
    <t>Claudio Muñoz</t>
    <phoneticPr fontId="4" type="noConversion"/>
  </si>
  <si>
    <t>SH-0024</t>
  </si>
  <si>
    <t>O-51</t>
  </si>
  <si>
    <t>Claudio Muñoz a JRI</t>
  </si>
  <si>
    <t>SH-0022</t>
  </si>
  <si>
    <t>O-50</t>
  </si>
  <si>
    <t>Carlos Kriman</t>
  </si>
  <si>
    <t>Diseño Hidraulico Conceptual Bocatomas Teniente Rio Blanco</t>
  </si>
  <si>
    <t>Trabajo exigente en enero de 2011</t>
  </si>
  <si>
    <t>PG</t>
    <phoneticPr fontId="4" type="noConversion"/>
  </si>
  <si>
    <t>SH-0021</t>
  </si>
  <si>
    <t>O-49</t>
  </si>
  <si>
    <t>Aquara S.A.</t>
  </si>
  <si>
    <t>Jaime Horenstein</t>
  </si>
  <si>
    <t>Diseño Hidraulico Bocatoma Rio Cañadon</t>
    <phoneticPr fontId="4" type="noConversion"/>
  </si>
  <si>
    <t>Hector Buzeta</t>
    <phoneticPr fontId="4" type="noConversion"/>
  </si>
  <si>
    <t>Hector tiene reunion de inicio Hoy 27/12.</t>
    <phoneticPr fontId="4" type="noConversion"/>
  </si>
  <si>
    <t>SH-0020</t>
  </si>
  <si>
    <t>O-48</t>
  </si>
  <si>
    <t>AKER Solution</t>
    <phoneticPr fontId="4" type="noConversion"/>
  </si>
  <si>
    <t>Gilda Razetto</t>
    <phoneticPr fontId="4" type="noConversion"/>
  </si>
  <si>
    <t>Cerro Negro Norte Tranque de Relaves</t>
    <phoneticPr fontId="4" type="noConversion"/>
  </si>
  <si>
    <t>IB</t>
    <phoneticPr fontId="4" type="noConversion"/>
  </si>
  <si>
    <t>Pedro Valencia</t>
    <phoneticPr fontId="4" type="noConversion"/>
  </si>
  <si>
    <t>O-47</t>
  </si>
  <si>
    <t>Carolyn Diaz</t>
  </si>
  <si>
    <t>Apoyo a Disciplina Civil. Obras de Desvío Tranque la  Brea</t>
  </si>
  <si>
    <t>ID</t>
    <phoneticPr fontId="4" type="noConversion"/>
  </si>
  <si>
    <t>ND</t>
    <phoneticPr fontId="4" type="noConversion"/>
  </si>
  <si>
    <t>Esperando V°B° de C Diaz</t>
  </si>
  <si>
    <t>O-46</t>
  </si>
  <si>
    <t>Juan Andia</t>
  </si>
  <si>
    <t>Contrato Abierto. Incluye Disciplina OS1: Apoyo Mecanica Piping.</t>
  </si>
  <si>
    <t>Esperando Contrato.</t>
    <phoneticPr fontId="4" type="noConversion"/>
  </si>
  <si>
    <t>SH-0019</t>
  </si>
  <si>
    <t>O-45</t>
  </si>
  <si>
    <t>Cerro Negro Norte Concentraducto y Aguas</t>
    <phoneticPr fontId="4" type="noConversion"/>
  </si>
  <si>
    <t>Claudio llamara a Giggi el 7/12</t>
    <phoneticPr fontId="4" type="noConversion"/>
  </si>
  <si>
    <t>O-44</t>
  </si>
  <si>
    <t>juanesteban.fuentes@crugroup.com</t>
  </si>
  <si>
    <t>Benchmarking concentraducto, desalacion y suministro de agua.</t>
    <phoneticPr fontId="4" type="noConversion"/>
  </si>
  <si>
    <t>Reunion de Inicio a las 18:30 hrs.</t>
    <phoneticPr fontId="4" type="noConversion"/>
  </si>
  <si>
    <t>SH-0018</t>
  </si>
  <si>
    <t>O-43</t>
  </si>
  <si>
    <t xml:space="preserve">Arcadis   </t>
  </si>
  <si>
    <t>Carlos Kriman/ Rodrigo Cadis/ Mauricio Gomez</t>
    <phoneticPr fontId="4" type="noConversion"/>
  </si>
  <si>
    <t xml:space="preserve">Obras de cierre Tranques Quillayes </t>
    <phoneticPr fontId="4" type="noConversion"/>
  </si>
  <si>
    <t>Contrato posiblemente por Administracion, Trabajar con Juan Ocaña</t>
    <phoneticPr fontId="4" type="noConversion"/>
  </si>
  <si>
    <t>O-42</t>
  </si>
  <si>
    <t>ASINT</t>
    <phoneticPr fontId="4" type="noConversion"/>
  </si>
  <si>
    <t>Rodrigo Alvarez</t>
    <phoneticPr fontId="4" type="noConversion"/>
  </si>
  <si>
    <t>Asesoria ASINT. Ltda.</t>
    <phoneticPr fontId="4" type="noConversion"/>
  </si>
  <si>
    <t>Apoyo de Cristian Cid a ASINT Ltda.</t>
    <phoneticPr fontId="4" type="noConversion"/>
  </si>
  <si>
    <t>SH-0016</t>
  </si>
  <si>
    <t>O-41</t>
  </si>
  <si>
    <t>Claudio Scognadillo/Mauricio Sandobal</t>
  </si>
  <si>
    <t>Apoyo Disciplina Proyecto Ing. De Detalle Quellaveco</t>
  </si>
  <si>
    <t>Contrato por administracion 2 meses.</t>
  </si>
  <si>
    <t>SH-0015</t>
  </si>
  <si>
    <t>O-40</t>
  </si>
  <si>
    <t>Jorge Basaez/Cristian Rubilar</t>
  </si>
  <si>
    <t>Diagnóstico Preliminar Ovejería DAND</t>
  </si>
  <si>
    <t>SH-0014</t>
  </si>
  <si>
    <t>O-39</t>
  </si>
  <si>
    <t>Minera Hierro Atacama</t>
  </si>
  <si>
    <t>Alimentación Planta Magnetita y retorno relaves a Candelaria</t>
  </si>
  <si>
    <t>factor e marambio</t>
  </si>
  <si>
    <t>O-38</t>
  </si>
  <si>
    <t>Nilson Saldía</t>
  </si>
  <si>
    <t>Orden de Trabajo Apoyo Sala Operaciones</t>
  </si>
  <si>
    <t>Collahuasi dice que estamos pasamos un 16% se enviara revision E con un 8% de descuento.</t>
    <phoneticPr fontId="4" type="noConversion"/>
  </si>
  <si>
    <t>SH-0017</t>
  </si>
  <si>
    <t>O-37</t>
  </si>
  <si>
    <t>Julio Olivos</t>
    <phoneticPr fontId="4" type="noConversion"/>
  </si>
  <si>
    <t>Estudio de perfil Concentraducto de Hierro 3 MTPA en Copiapó</t>
  </si>
  <si>
    <t>SH-0013</t>
  </si>
  <si>
    <t>O-36</t>
  </si>
  <si>
    <t>Manuel Tejeda</t>
  </si>
  <si>
    <t>Ingeniería de Detalles modificación disipadora relaveductos Mauro</t>
  </si>
  <si>
    <t>O-35</t>
  </si>
  <si>
    <t>Pio Villavela</t>
  </si>
  <si>
    <t xml:space="preserve">Disciplina Hidraulica de Pulpas para llevar PELAMBRES a 197 KTPD. </t>
  </si>
  <si>
    <t>Requiere alto porcentaje de jornada de PV, HC y otro hidraulico joven.</t>
  </si>
  <si>
    <t>O-34</t>
  </si>
  <si>
    <t>Donato Pascali/Greg Hodges</t>
  </si>
  <si>
    <t>O-33</t>
  </si>
  <si>
    <t>J VENTURE CASALE-FLUOR-AMEC</t>
  </si>
  <si>
    <t>Sergio Barrera</t>
  </si>
  <si>
    <t>Revisión independiente Sistemas de Transporte de Relaves ROUGHER Y CLEANER.</t>
  </si>
  <si>
    <t>Reunion de Inicio 13 de Septiembre en ARCADIS. Entrega primera semana de Octubre</t>
  </si>
  <si>
    <t>SH-0012</t>
  </si>
  <si>
    <t>O-32</t>
  </si>
  <si>
    <t>EXETER</t>
  </si>
  <si>
    <t>Estudio Prefactibilidad Suministro de aguas y Apoyo Evaluación Servidumbres</t>
  </si>
  <si>
    <r>
      <t xml:space="preserve">Emitida el 31. Alcances no bien definidos. Posibilidad de órdenes de compra. Decision Jueves 16/09 </t>
    </r>
    <r>
      <rPr>
        <b/>
        <sz val="10"/>
        <color indexed="10"/>
        <rFont val="Arial"/>
        <family val="2"/>
      </rPr>
      <t>(Preguntar a Tammy en el Almuerzo)</t>
    </r>
  </si>
  <si>
    <t>O-31</t>
  </si>
  <si>
    <t>PRAGMA</t>
  </si>
  <si>
    <t>Marcos Pinto (Pragma), Carlos Farías (DAND)</t>
  </si>
  <si>
    <t>Estudio de Depositación de Relaves Los Leones. Reuniones con cliente SHIMIN-Pragma. Análisis hidráulicos de impulsión y transporte de relaves y agua.</t>
  </si>
  <si>
    <t>Claudio Farias encontró caro a Hatch-REG. Le preguntó a M P. parte apoyo solamente</t>
  </si>
  <si>
    <t>O-30</t>
  </si>
  <si>
    <t>Diagnóstico Línea Descarga Nuevo Espesador Fase I</t>
  </si>
  <si>
    <t xml:space="preserve">Claudio Farias encontró caro a JRI y le preguntó a Marcos Pinto. Marcos quiere que Shimin facture a Pragma, quién se quedaría con un fee. </t>
  </si>
  <si>
    <t>O-29</t>
  </si>
  <si>
    <t>Medición Niveles de Escurrimiento Canaleta de Relaves para Proyecto Fase I</t>
  </si>
  <si>
    <t>Claudio Farias encontró caro a JRI y le preguntó a Marcos Pinto. Marcos quiere que Shimin facture a Pragma, quién se quedaría con un fee. Se adjudicó a JRI</t>
  </si>
  <si>
    <t>O-28</t>
  </si>
  <si>
    <t>POLPAICO</t>
  </si>
  <si>
    <t>Angel Suarez</t>
  </si>
  <si>
    <t>Ingeniería Conceptual Aprovechamiento de Relaves</t>
  </si>
  <si>
    <t>Segunda oferta directa a cliente final (MINERA). Se compite con JRI, Optimiza y Geoalgo… Optimiza es rival fuerte por los compañeros de Angel Suarez. AS enviara bases mas precisas y solicitara nueva cotización. Arturo Chiarella, HC, Pvillarroel trabajarian si se adjudica.</t>
  </si>
  <si>
    <t>O-27</t>
  </si>
  <si>
    <t xml:space="preserve">Curso de Hidráulica, validación de parámetros de operación y procedimientos de emergencia </t>
  </si>
  <si>
    <t>Primera oferta directa a cliente final (MINERA). Cristian Jaque pidio apoyo en la sala de operaciones en turnos 7 x 7 de 12 hrs. Trabajarian HC, PV, Victor Barcazo y Arturo Chiarella, estos dos ultimos requieren capacitación. Se capacitara tb a RV para un futuro proyecto.</t>
  </si>
  <si>
    <t>O-26</t>
  </si>
  <si>
    <t>Participación Baes EPC Caserones</t>
  </si>
  <si>
    <t>Se cubren gastos de tatiana y Cristian</t>
  </si>
  <si>
    <t>SH-0011</t>
  </si>
  <si>
    <t>O-25</t>
  </si>
  <si>
    <t>Participación en PEM Esperanza</t>
  </si>
  <si>
    <t xml:space="preserve">Mario Arredondo consultó con MV y PVS. Aparentemente estraría solo en la reserva </t>
  </si>
  <si>
    <t>O-24</t>
  </si>
  <si>
    <t>María Ines Vergara / Pio Villavella</t>
  </si>
  <si>
    <t>Revisión experta Concentraducto PELAMBRES y Relaveducto a Mauro Proyecto Repotenciamiento 175 KTPD</t>
  </si>
  <si>
    <t>Por AMEC. Seguramente irá BRASS y Paterson. Orden de cambio por 20 horas más.</t>
  </si>
  <si>
    <t>SH-0010</t>
  </si>
  <si>
    <t>O-23</t>
  </si>
  <si>
    <t>Finning</t>
  </si>
  <si>
    <t>gabriel Blanc - Rodrigo Asenjo</t>
  </si>
  <si>
    <t>Revisión Geotécnica Área Campamento</t>
  </si>
  <si>
    <t>P Valencia apoyaran por estar hamburgo ocupado con EDECO</t>
  </si>
  <si>
    <t>SH-0009</t>
  </si>
  <si>
    <t>O-22</t>
  </si>
  <si>
    <t>Explorator SCM</t>
  </si>
  <si>
    <t>Oferta por ESTUDIO DE DEPOSITO DE RELAVES PROYECTO EL ESPINO</t>
  </si>
  <si>
    <t xml:space="preserve">SRK solicita oferta por parte procesos hidráulica. 2 meses de pega. Hay que entregar el 10 de julio. GANÓ PATERSON Y COOKE </t>
  </si>
  <si>
    <t>O-21</t>
  </si>
  <si>
    <t>Jose Hernandez / Hernan Ulloa</t>
  </si>
  <si>
    <t>Oferta por I Básica y de Detalles Reparación Piscina Derrames de Acido</t>
  </si>
  <si>
    <t>Pedro Villarroel / Pedro Valencia</t>
  </si>
  <si>
    <t>Se perdió una de las 4 ofertas. Están buscando. Se espera decisión antes del 15 de julio</t>
  </si>
  <si>
    <t>O-20</t>
  </si>
  <si>
    <t>RA ingenieros</t>
  </si>
  <si>
    <t>Alto Norte</t>
  </si>
  <si>
    <t>Rodrigo Asenjo</t>
  </si>
  <si>
    <t>Disciplina Mecánica Piping. Climatización, Aire Comprimido, Incendio</t>
  </si>
  <si>
    <t>Rodrigo Asenjo quería mas y mas rebaja. Finalmente lo hará con otros</t>
  </si>
  <si>
    <t>O-19</t>
  </si>
  <si>
    <t>SBDT</t>
  </si>
  <si>
    <t>Juan Rayo / Malekmohamadi</t>
  </si>
  <si>
    <t>Mineroducto de Bauxita en Guinea</t>
  </si>
  <si>
    <t>Reunión en Santiago con Malekmohamadi y Luigui Sainas. Se emitió informe. Esperando respuesta hasta el 10/07. Si no, proyecto termina</t>
  </si>
  <si>
    <t>SH-0007</t>
  </si>
  <si>
    <t>O-18</t>
  </si>
  <si>
    <t>P. Lara / F. Morales / S. Pinto</t>
  </si>
  <si>
    <t>Proyecto Lomas Bayas 45 y 90 KTPD. Alternativas Hondonada y Fortuna</t>
  </si>
  <si>
    <t>P Valencia, M basaez, O basaez, H Castro. Apurara el tranco para entregar el 15/07</t>
  </si>
  <si>
    <t>SH-0006</t>
  </si>
  <si>
    <t>O-17</t>
  </si>
  <si>
    <t>Visita y preparación Oferta IB/ID</t>
    <phoneticPr fontId="4" type="noConversion"/>
  </si>
  <si>
    <t>Se pagan gastos de oferta. Se entrega el lunes 14/06. PROYECTO TERMINADO</t>
  </si>
  <si>
    <t>SH-0008</t>
  </si>
  <si>
    <t>O-16</t>
  </si>
  <si>
    <t>Minera de Oro Sur Argentina</t>
  </si>
  <si>
    <t>Ingeniería de Perfil Captación y Conducción Agua de Mar</t>
    <phoneticPr fontId="4" type="noConversion"/>
  </si>
  <si>
    <t>PROYECTO TERMINADO</t>
  </si>
  <si>
    <t>SH-0005</t>
  </si>
  <si>
    <t>O-15</t>
  </si>
  <si>
    <t>Sino Iron Project-Water Tank and Distribution Boxes Estimate</t>
  </si>
  <si>
    <t>Ling avisó que lo haría el propio proveedor</t>
  </si>
  <si>
    <t>Gerente Técnico</t>
  </si>
  <si>
    <t>O-14</t>
  </si>
  <si>
    <t>Minera Florida de Yamana Gold</t>
  </si>
  <si>
    <t>Instalación V Celda EW</t>
  </si>
  <si>
    <t>Cliente encontró un presupuesto cercano al 50% de Alquimia. Se necesita presupuesto por M Fuentes y R Alarcón</t>
  </si>
  <si>
    <t>O-13</t>
  </si>
  <si>
    <t>Sino Iron Project-Thickeners Earthworks</t>
  </si>
  <si>
    <t>Incluye EDP1,2,3,4,5,6 Hasta el 30/11</t>
  </si>
  <si>
    <t>SH-0004</t>
  </si>
  <si>
    <t>O-12</t>
  </si>
  <si>
    <t>Obras Especiales (Empresa Española)</t>
  </si>
  <si>
    <t>EPA. Energía Patagonia y Aysen</t>
  </si>
  <si>
    <t>Carlos Perez Saiz y Francisco Flores</t>
  </si>
  <si>
    <t>Ingeniería Detalles para EPC Obras Hidráulicas y Civiles asociadas a central La Arena</t>
  </si>
  <si>
    <t>P Valencia, P Villarroel y C Umaña. Obras Especiales estaba comprometido con empresa de Ingeniería que loo ayudó en la oferta. Oferta de Shimin no los encantó… Se envió como la de JEJ, pero sin rebaja.</t>
  </si>
  <si>
    <t>O-11</t>
  </si>
  <si>
    <t>Hydropower</t>
  </si>
  <si>
    <t>Oscar Sergio Lanza Fernandez</t>
  </si>
  <si>
    <t>Juan Fernando Araya</t>
  </si>
  <si>
    <t>Ingeniría de perfil Central Río Indio y Estero Collihuanqui</t>
  </si>
  <si>
    <t>Combo</t>
  </si>
  <si>
    <t>O-10</t>
  </si>
  <si>
    <t>Ingeniría de perfil Central Río Indio</t>
  </si>
  <si>
    <t>Cliente no tendría intenciones de gastar $ en Ingeniería. Busca apoyo Corfo</t>
  </si>
  <si>
    <t>O-9</t>
  </si>
  <si>
    <t>Pablo Fuentes Risopatron y Margarita Garces Echeverria</t>
  </si>
  <si>
    <t>Ingeniría de perfil Central Estero Collihuanqui</t>
  </si>
  <si>
    <t>O-8</t>
  </si>
  <si>
    <t>Jorge Basaez</t>
  </si>
  <si>
    <t>Pedro Valencia / Pedro Villarroel</t>
  </si>
  <si>
    <t xml:space="preserve"> Esperar invitación en Octubre. Trabajos se iniciarían en Enero 2011. Hablar con LHR y PVG. Jueves 16 atencion a Jorge Basaez viajan Gabriel Blanc, Pedro Villarroel y Pedro Valencia. Leticia conversara con su hermana Eliana (ATM) para un consorcio Alquimia-ATM-SHIMIN.</t>
  </si>
  <si>
    <t>O-7</t>
  </si>
  <si>
    <t>Erwin Cortes</t>
  </si>
  <si>
    <t>Estudio de Diagnóstico Línea Muros Tranque Talabre</t>
  </si>
  <si>
    <t>Se debe hacer contacto con Erwin Cortes. DCN no considera Línea muro por estar pensando en construcción mecánica con material de Mina Sur.</t>
  </si>
  <si>
    <t>O-6</t>
  </si>
  <si>
    <t>Besalco construcciones</t>
  </si>
  <si>
    <t>Asesoría al Comisionamiento y Entrega de obras Civiles Central Hidroeléctrica El Paso</t>
  </si>
  <si>
    <t>Tres meses?. Se debe entregar adelanto el viernes 23/04. Postergado para fines de 2010</t>
  </si>
  <si>
    <t>O-5</t>
  </si>
  <si>
    <t xml:space="preserve">Revisión Experta Planta PRECO 2 </t>
  </si>
  <si>
    <t>Se presentaron 2 ofertas. Valle Central y CRU. SRk y AWP se excusaron. Se define 15 de julio. CLIENTE DIJO QUE TODOS PASARON PRESUPUESTO!</t>
  </si>
  <si>
    <t>O-4</t>
  </si>
  <si>
    <t>Constructora Santa Ana</t>
  </si>
  <si>
    <t>Nelson Urra</t>
  </si>
  <si>
    <t>P Valencia, P Villarroel y C Umaña. Ganó constructora española Obras Especiales. Competía Besalco y Santa Ana</t>
  </si>
  <si>
    <t>O-3</t>
  </si>
  <si>
    <t>Benchmarking Desalación y Diseño Captación e Impulsión Agua Desalada a Alto Norte y Lomas Bayas</t>
  </si>
  <si>
    <t>P Valencia, R Videla. PROYECTO TERMINADO</t>
  </si>
  <si>
    <t>SH-0003</t>
  </si>
  <si>
    <t>O-2</t>
  </si>
  <si>
    <t>Estudio Concentraducto Andina-Saladillo</t>
    <phoneticPr fontId="4" type="noConversion"/>
  </si>
  <si>
    <t>Solo P Valencia. PROYECTO TERMINADO</t>
  </si>
  <si>
    <t>SH-0002</t>
  </si>
  <si>
    <t>O-1</t>
  </si>
  <si>
    <t>Eric Marambio</t>
  </si>
  <si>
    <t>Preparación Oferta ASISTEP para Apoyo Operacional PEM Esperanza</t>
    <phoneticPr fontId="4" type="noConversion"/>
  </si>
  <si>
    <t>Trabajo para ASISTEP (E marambio). Shimin podría participar en administración. PROYECTO TERMINADO</t>
  </si>
  <si>
    <t>SH-0001</t>
  </si>
  <si>
    <t>PV/ CC</t>
  </si>
  <si>
    <t>Razones de no adjudicación</t>
  </si>
  <si>
    <t>Costo</t>
  </si>
  <si>
    <t>Alcance</t>
  </si>
  <si>
    <t>Metodología</t>
  </si>
  <si>
    <t>Trabajo previo ejecutado por competidor adjudicado</t>
  </si>
  <si>
    <t>Otras</t>
  </si>
  <si>
    <t>Modulo</t>
  </si>
  <si>
    <t>Letra</t>
  </si>
  <si>
    <t>Descripcion</t>
  </si>
  <si>
    <t>Años de Experiencia</t>
  </si>
  <si>
    <t>Módulo A</t>
  </si>
  <si>
    <t>Ingeniería estructural</t>
  </si>
  <si>
    <t>Módulo B</t>
  </si>
  <si>
    <t>Ingeniería de Mantenimiento y Confiabilidad</t>
  </si>
  <si>
    <t>&gt; = 8 Años</t>
  </si>
  <si>
    <t>Módulo C</t>
  </si>
  <si>
    <t>Hidráulica, manejo de pulpas y Análisis CFD</t>
  </si>
  <si>
    <t>&gt; = 5 Años</t>
  </si>
  <si>
    <t>Módulo D</t>
  </si>
  <si>
    <t>Mecánica aplicada y Análisis FEA</t>
  </si>
  <si>
    <t>Módulo E</t>
  </si>
  <si>
    <t>Diseño de sistemas de transporte y manejo de sólidos a granel y análisis DEM</t>
  </si>
  <si>
    <t>Módulo F</t>
  </si>
  <si>
    <t>Diseño de máquinas y soluciones de Mantenibilidad</t>
  </si>
  <si>
    <t>Módulo G</t>
  </si>
  <si>
    <t>Electricidad e Instrumentación</t>
  </si>
  <si>
    <t>Módulo H</t>
  </si>
  <si>
    <t>Reingeniería</t>
  </si>
  <si>
    <t>T. Promedio</t>
  </si>
  <si>
    <t>SH-0158 OS14</t>
  </si>
  <si>
    <t>SH0158-OS09</t>
  </si>
  <si>
    <t>SH0171</t>
  </si>
  <si>
    <t>SH0170</t>
  </si>
  <si>
    <t>SH0158-OS08</t>
  </si>
  <si>
    <t>SH0158-OS07</t>
  </si>
  <si>
    <t>SH0158-OS06</t>
  </si>
  <si>
    <t>SH0169</t>
  </si>
  <si>
    <t>SH0172</t>
  </si>
  <si>
    <t>SH0158-OS05</t>
  </si>
  <si>
    <t>SH0158-OS04</t>
  </si>
  <si>
    <t>SH0113-OS82</t>
  </si>
  <si>
    <t>SH0113-OS81</t>
  </si>
  <si>
    <t>SH0113-OS80</t>
  </si>
  <si>
    <t>SH0113-OS79</t>
  </si>
  <si>
    <t>SH0113-OS78</t>
  </si>
  <si>
    <t>SH-0133 - OS77</t>
  </si>
  <si>
    <t>SH0113 - OS76</t>
  </si>
  <si>
    <t>SH0113 - OS75</t>
  </si>
  <si>
    <t>SH0113 - OS71</t>
  </si>
  <si>
    <t>SH0113 - OS70</t>
  </si>
  <si>
    <t>SH0113 - OS69</t>
  </si>
  <si>
    <t>SH0113 - OS67</t>
  </si>
  <si>
    <t>SH0113 - OS68</t>
  </si>
  <si>
    <t>SH0113 - OS66</t>
  </si>
  <si>
    <t>SH0113 - OS57@OS64</t>
  </si>
  <si>
    <t>SH0113-OS55</t>
  </si>
  <si>
    <t>SH0113 - OS65</t>
  </si>
  <si>
    <t>SH0113-OS53</t>
  </si>
  <si>
    <t>SH0113-OS52</t>
  </si>
  <si>
    <t>SH0113-OS51</t>
  </si>
  <si>
    <t>SH0113-OS54</t>
  </si>
  <si>
    <t>SH0113-OS50</t>
  </si>
  <si>
    <t>SH0113-OS45</t>
  </si>
  <si>
    <t>SH0113-OS46</t>
  </si>
  <si>
    <t>SH0113-OS44</t>
  </si>
  <si>
    <t>SH0113-OS43</t>
  </si>
  <si>
    <t>SH0113-OS36</t>
  </si>
  <si>
    <t>SH0113-OS42</t>
  </si>
  <si>
    <t>SH0113-OS41</t>
  </si>
  <si>
    <t>SH0113-OS37</t>
  </si>
  <si>
    <t>SH0113-OS32</t>
  </si>
  <si>
    <t>SH0113-OS35</t>
  </si>
  <si>
    <t>SH0113-OS29</t>
  </si>
  <si>
    <t>SH0113-OS33</t>
  </si>
  <si>
    <t>SH0113-OS34</t>
  </si>
  <si>
    <t>SH0113-OS25</t>
  </si>
  <si>
    <t>SH0113-OS28</t>
  </si>
  <si>
    <t>SH0113-OS23</t>
  </si>
  <si>
    <t>SH0113-OS22</t>
  </si>
  <si>
    <t>SH0113-OS21</t>
  </si>
  <si>
    <t>SH0113-OS20</t>
  </si>
  <si>
    <t>SH0113-OS19</t>
  </si>
  <si>
    <t>SH0113-OS18</t>
  </si>
  <si>
    <t>SH0113-OS17</t>
  </si>
  <si>
    <t>SH0113-OS11</t>
  </si>
  <si>
    <t>SH0113-OS13</t>
  </si>
  <si>
    <t>SH0113-OS14</t>
  </si>
  <si>
    <t>SH0113-OS8</t>
  </si>
  <si>
    <t>SH0113-OS7</t>
  </si>
  <si>
    <t>Sh-0048</t>
  </si>
  <si>
    <t>HH EJECUTADAS</t>
  </si>
  <si>
    <t>AÑOS</t>
  </si>
  <si>
    <t>NEGOCIACIÓN DIRECTA</t>
  </si>
  <si>
    <t>LICITACIÓN MÚLTIPLE</t>
  </si>
  <si>
    <t>AÑO</t>
  </si>
  <si>
    <t>HH REALES</t>
  </si>
  <si>
    <t>ND: Negociación Directa</t>
  </si>
  <si>
    <t>STATUS (a la fecha)</t>
  </si>
  <si>
    <t>Can.</t>
  </si>
  <si>
    <t>%</t>
  </si>
  <si>
    <t>hh Lic.</t>
  </si>
  <si>
    <t>% hh</t>
  </si>
  <si>
    <t>M$ Lic.</t>
  </si>
  <si>
    <t>% M$</t>
  </si>
  <si>
    <t>LM: Licitación Multiple</t>
  </si>
  <si>
    <t>Totales</t>
  </si>
  <si>
    <t>AC: Apoyo Contratos</t>
  </si>
  <si>
    <t>Propuestas Ganadas</t>
  </si>
  <si>
    <t>LC: Licitación Contrato Abierto</t>
  </si>
  <si>
    <t>Propuestas Perdidas</t>
  </si>
  <si>
    <t>N/A: No Aplica</t>
  </si>
  <si>
    <t>Propuestas Desiertas</t>
  </si>
  <si>
    <t>Propuestas en Preparación</t>
  </si>
  <si>
    <t>LISTA CORTA</t>
  </si>
  <si>
    <t>PRECALIFICACIONES</t>
  </si>
  <si>
    <t>KPI</t>
  </si>
  <si>
    <t>&gt;50%</t>
  </si>
  <si>
    <t>HISTÓRICO</t>
  </si>
  <si>
    <t>STATUS HISTÓRICO</t>
  </si>
  <si>
    <t xml:space="preserve"> TIPO                                              AÑO</t>
  </si>
  <si>
    <t>UNIDAD/AREA DE NEGOCIOS</t>
  </si>
  <si>
    <t>Administración de la Construcción</t>
  </si>
  <si>
    <t>BENEFITION PLANT</t>
  </si>
  <si>
    <t>PLANTA (INCLUYE ESPESADORES)</t>
  </si>
  <si>
    <t>Adquisiciones</t>
  </si>
  <si>
    <t>LIX-SX-TF-EW-PLANT, PIPELINES AND TAILINGS</t>
  </si>
  <si>
    <t>APLICA A CONTRATOS ABIERTOS</t>
  </si>
  <si>
    <t>Asesoría Experta</t>
  </si>
  <si>
    <t>PLANT, PIPELINES AND TAILINGS</t>
  </si>
  <si>
    <t>Apoyo a Operaciones, Manual de Operaciones y Mantención</t>
  </si>
  <si>
    <t>COURSES</t>
  </si>
  <si>
    <t>CURSOS CAPACITACIÓN</t>
  </si>
  <si>
    <t>Apoyo a Proyecto</t>
  </si>
  <si>
    <t>COMMISIONING / START UP</t>
  </si>
  <si>
    <t>PUESTA EN MARCHA (INCLUYE OPERACIÓN E ING TERRENO)</t>
  </si>
  <si>
    <t>Análisis de Riesgos</t>
  </si>
  <si>
    <t>I + D + I</t>
  </si>
  <si>
    <t>INVESTIGACIÓN Y DESARROLLO (INCLUYE LABORATORIO)</t>
  </si>
  <si>
    <t>Auditorías Técnicas</t>
  </si>
  <si>
    <t>LIX-SX-TF-EW</t>
  </si>
  <si>
    <t>PROYECTOS HIDROMETALURGIA</t>
  </si>
  <si>
    <t>Estudio de Benchmarking</t>
  </si>
  <si>
    <t>OTROS VARIOS</t>
  </si>
  <si>
    <t>Contratos Abiertos</t>
  </si>
  <si>
    <t>MINE CLOSURE</t>
  </si>
  <si>
    <t>CIERRE DE FAENAS</t>
  </si>
  <si>
    <t>Contratos Marco</t>
  </si>
  <si>
    <t>Comisiones de Confianza</t>
  </si>
  <si>
    <t>PIPELINE</t>
  </si>
  <si>
    <t>CONDUCCIÓN A LARGAS DISTANCIAS, INCLUYE DESALADORAS</t>
  </si>
  <si>
    <t>Ingeniería de Contraparte</t>
  </si>
  <si>
    <t>PIPELINE INCLUDING TAILINGS</t>
  </si>
  <si>
    <t>TRANSPORTE INCLUYENDO DISPOSICIÓN</t>
  </si>
  <si>
    <t>Capacitación a Terceros</t>
  </si>
  <si>
    <t>TAILINGS</t>
  </si>
  <si>
    <t>Comisionamiento</t>
  </si>
  <si>
    <t>Declaración de Impacto Ambiental</t>
  </si>
  <si>
    <t>TAILINGS INCLUDING TRANSPORT</t>
  </si>
  <si>
    <t>RELAVES INCLUYENDO TRANSPORTE</t>
  </si>
  <si>
    <t>Estudio de Diagnóstico</t>
  </si>
  <si>
    <t>EIA</t>
  </si>
  <si>
    <t>Estudio de Impacto Ambiental</t>
  </si>
  <si>
    <t xml:space="preserve">Ingeniería de Detalle, Adquisición </t>
  </si>
  <si>
    <t>Ingeniería de Detalle, Adquisición y Construcción</t>
  </si>
  <si>
    <t>EPCM</t>
  </si>
  <si>
    <t>Ingeniería de Detalle, Adquisición y Administración de la Construcción</t>
  </si>
  <si>
    <t>Ingeniería Básica</t>
  </si>
  <si>
    <t>Ingeniería Bas/Det</t>
  </si>
  <si>
    <t>Ingeniería Conceptual</t>
  </si>
  <si>
    <t>Ingeniería Con/Bas/Det</t>
  </si>
  <si>
    <t>Ingeniería Conceptual / Detalles</t>
  </si>
  <si>
    <t>Ingeniería de Detalle</t>
  </si>
  <si>
    <t>Ingeniería General</t>
  </si>
  <si>
    <t>Integridad</t>
  </si>
  <si>
    <t>Ingeniería de Perfil</t>
  </si>
  <si>
    <t>Inspección Técnica de Obras, Ingeniería de Terreno</t>
  </si>
  <si>
    <t>Puesta en Marcha</t>
  </si>
  <si>
    <t>Pruebas de Laboratorio</t>
  </si>
  <si>
    <t>Revision Experta</t>
  </si>
  <si>
    <t>Scoping Study</t>
  </si>
  <si>
    <t>Estudios de Trade Off</t>
  </si>
  <si>
    <t>Transferencia de Profesionales</t>
  </si>
  <si>
    <t>Decisión Pendiente</t>
  </si>
  <si>
    <t>No Licitada</t>
  </si>
  <si>
    <t xml:space="preserve">Tabla Resumen                        </t>
  </si>
  <si>
    <t>Todas Las Ofertas</t>
  </si>
  <si>
    <t>Licitación Multiple</t>
  </si>
  <si>
    <t>Licitación Corta</t>
  </si>
  <si>
    <t>Años</t>
  </si>
  <si>
    <t>Al 15/09/2022</t>
  </si>
  <si>
    <t>Rango de HH</t>
  </si>
  <si>
    <t>HH &lt; 500</t>
  </si>
  <si>
    <t>500 ≥ HH &lt; 2.500</t>
  </si>
  <si>
    <t>2.500 ≥ HH &lt; 10.000</t>
  </si>
  <si>
    <t>10.000 ≥ HH &lt; 50.000</t>
  </si>
  <si>
    <t>HH ≥ 50.000</t>
  </si>
  <si>
    <t>Propuestas Preparadas</t>
  </si>
  <si>
    <t>&lt;200</t>
  </si>
  <si>
    <t>200≥HH&lt;1.000</t>
  </si>
  <si>
    <t>1000≥HH&lt;5.000</t>
  </si>
  <si>
    <t>≥5.000</t>
  </si>
  <si>
    <t>Porcentaje (%)</t>
  </si>
  <si>
    <t>¿ 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</si>
</sst>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 #,##0.00_-;\-&quot;$&quot;\ * #,##0.00_-;_-&quot;$&quot;\ * &quot;-&quot;??_-;_-@_-"/>
    <numFmt numFmtId="165" formatCode="[$-C0A]d\ &quot;de&quot;\ mmmm\ &quot;de&quot;\ yyyy;@"/>
    <numFmt numFmtId="166" formatCode="d\-m\-yy\ h:mm;@"/>
    <numFmt numFmtId="167" formatCode="0.0"/>
    <numFmt numFmtId="168" formatCode="#,##0.0"/>
    <numFmt numFmtId="169" formatCode="#,##0.000"/>
    <numFmt numFmtId="170" formatCode="0.0%"/>
    <numFmt numFmtId="171" formatCode="dd/mm/yy;@"/>
    <numFmt numFmtId="172" formatCode="_-&quot;$&quot;\ * #,##0_-;\-&quot;$&quot;\ * #,##0_-;_-&quot;$&quot;\ * &quot;-&quot;??_-;_-@_-"/>
  </numFmts>
  <fonts count="50">
    <font>
      <sz val="10"/>
      <name val="Arial"/>
      <family val="2"/>
    </font>
    <font>
      <sz val="11"/>
      <color theme="1"/>
      <name val="Calibri"/>
      <family val="2"/>
      <scheme val="minor"/>
    </font>
    <font>
      <sz val="10"/>
      <name val="Arial"/>
      <family val="2"/>
    </font>
    <font>
      <u/>
      <sz val="10"/>
      <color indexed="12"/>
      <name val="Arial"/>
      <family val="2"/>
    </font>
    <font>
      <sz val="8"/>
      <name val="Arial"/>
      <family val="2"/>
    </font>
    <font>
      <b/>
      <sz val="10"/>
      <name val="Calibri"/>
      <family val="2"/>
      <scheme val="minor"/>
    </font>
    <font>
      <sz val="10"/>
      <name val="Calibri"/>
      <family val="2"/>
      <scheme val="minor"/>
    </font>
    <font>
      <sz val="9"/>
      <name val="Calibri"/>
      <family val="2"/>
      <scheme val="minor"/>
    </font>
    <font>
      <u/>
      <sz val="10"/>
      <color theme="11"/>
      <name val="Arial"/>
      <family val="2"/>
    </font>
    <font>
      <b/>
      <sz val="10"/>
      <name val="Arial"/>
      <family val="2"/>
    </font>
    <font>
      <sz val="12"/>
      <name val="Calibri"/>
      <family val="2"/>
      <scheme val="minor"/>
    </font>
    <font>
      <sz val="10"/>
      <color indexed="12"/>
      <name val="Arial"/>
      <family val="2"/>
    </font>
    <font>
      <b/>
      <sz val="10"/>
      <color indexed="10"/>
      <name val="Arial"/>
      <family val="2"/>
    </font>
    <font>
      <sz val="10"/>
      <name val="Calibri"/>
      <family val="2"/>
      <scheme val="minor"/>
    </font>
    <font>
      <b/>
      <sz val="10"/>
      <name val="Calibri"/>
      <family val="2"/>
      <scheme val="minor"/>
    </font>
    <font>
      <b/>
      <u/>
      <sz val="10"/>
      <name val="Calibri"/>
      <family val="2"/>
      <scheme val="minor"/>
    </font>
    <font>
      <sz val="10"/>
      <color theme="3"/>
      <name val="Calibri"/>
      <family val="2"/>
      <scheme val="minor"/>
    </font>
    <font>
      <b/>
      <sz val="10"/>
      <color theme="3"/>
      <name val="Calibri"/>
      <family val="2"/>
      <scheme val="minor"/>
    </font>
    <font>
      <u/>
      <sz val="10"/>
      <color theme="3"/>
      <name val="Calibri"/>
      <family val="2"/>
      <scheme val="minor"/>
    </font>
    <font>
      <sz val="10"/>
      <color rgb="FFFF0000"/>
      <name val="Calibri"/>
      <family val="2"/>
      <scheme val="minor"/>
    </font>
    <font>
      <u/>
      <sz val="10"/>
      <color indexed="12"/>
      <name val="Calibri"/>
      <family val="2"/>
      <scheme val="minor"/>
    </font>
    <font>
      <u/>
      <sz val="10"/>
      <name val="Calibri"/>
      <family val="2"/>
      <scheme val="minor"/>
    </font>
    <font>
      <sz val="10"/>
      <color rgb="FF202124"/>
      <name val="Calibri"/>
      <family val="2"/>
      <scheme val="minor"/>
    </font>
    <font>
      <vertAlign val="superscript"/>
      <sz val="10"/>
      <name val="Calibri"/>
      <family val="2"/>
      <scheme val="minor"/>
    </font>
    <font>
      <b/>
      <sz val="9"/>
      <name val="Arial"/>
      <family val="2"/>
    </font>
    <font>
      <sz val="11"/>
      <name val="Arial"/>
      <family val="2"/>
    </font>
    <font>
      <b/>
      <sz val="11"/>
      <name val="Calibri"/>
      <family val="2"/>
      <scheme val="minor"/>
    </font>
    <font>
      <sz val="11"/>
      <name val="Calibri"/>
      <family val="2"/>
      <scheme val="minor"/>
    </font>
    <font>
      <b/>
      <sz val="10"/>
      <name val="Calibri"/>
      <family val="2"/>
      <scheme val="minor"/>
    </font>
    <font>
      <u/>
      <sz val="10"/>
      <color theme="10"/>
      <name val="Arial"/>
      <family val="2"/>
    </font>
    <font>
      <b/>
      <sz val="10"/>
      <name val="Calibri"/>
      <family val="2"/>
      <scheme val="minor"/>
    </font>
    <font>
      <b/>
      <sz val="10"/>
      <name val="Calibri"/>
      <family val="2"/>
      <scheme val="minor"/>
    </font>
    <font>
      <sz val="10"/>
      <name val="Calibri"/>
      <family val="2"/>
    </font>
    <font>
      <b/>
      <sz val="10"/>
      <name val="Calibri"/>
      <family val="2"/>
      <scheme val="minor"/>
    </font>
    <font>
      <b/>
      <sz val="10"/>
      <name val="Calibri"/>
      <family val="2"/>
      <scheme val="minor"/>
    </font>
    <font>
      <b/>
      <sz val="1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b/>
      <sz val="10"/>
      <name val="Calibri"/>
      <family val="2"/>
      <scheme val="minor"/>
    </font>
    <font>
      <b/>
      <sz val="10"/>
      <name val="Calibri"/>
      <family val="2"/>
      <scheme val="minor"/>
    </font>
    <font>
      <b/>
      <sz val="10"/>
      <name val="Calibri"/>
      <family val="2"/>
      <scheme val="minor"/>
    </font>
    <font>
      <sz val="10"/>
      <color theme="1"/>
      <name val="Calibri"/>
      <family val="2"/>
      <scheme val="minor"/>
    </font>
    <font>
      <b/>
      <sz val="10"/>
      <name val="Calibri"/>
      <family val="2"/>
      <scheme val="minor"/>
    </font>
    <font>
      <b/>
      <sz val="10"/>
      <name val="Calibri"/>
      <family val="2"/>
      <scheme val="minor"/>
    </font>
    <font>
      <vertAlign val="superscript"/>
      <sz val="10"/>
      <color rgb="FF000000"/>
      <name val="Calibri"/>
      <family val="2"/>
      <scheme val="minor"/>
    </font>
    <font>
      <b/>
      <sz val="10"/>
      <name val="Calibri"/>
      <family val="2"/>
      <scheme val="minor"/>
    </font>
    <font>
      <b/>
      <sz val="10"/>
      <name val="Calibri"/>
      <family val="2"/>
      <scheme val="minor"/>
    </font>
    <font>
      <b/>
      <sz val="10"/>
      <name val="Calibri"/>
      <family val="2"/>
      <scheme val="minor"/>
    </font>
    <font>
      <sz val="10"/>
      <name val="Calibri"/>
      <family val="2"/>
      <scheme val="minor"/>
    </font>
  </fonts>
  <fills count="13">
    <fill>
      <patternFill patternType="none"/>
    </fill>
    <fill>
      <patternFill patternType="gray125"/>
    </fill>
    <fill>
      <patternFill patternType="solid">
        <fgColor indexed="52"/>
        <bgColor indexed="64"/>
      </patternFill>
    </fill>
    <fill>
      <patternFill patternType="solid">
        <fgColor indexed="9"/>
        <bgColor indexed="64"/>
      </patternFill>
    </fill>
    <fill>
      <patternFill patternType="solid">
        <fgColor indexed="41"/>
        <bgColor indexed="64"/>
      </patternFill>
    </fill>
    <fill>
      <patternFill patternType="solid">
        <fgColor theme="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bgColor indexed="64"/>
      </patternFill>
    </fill>
    <fill>
      <patternFill patternType="solid">
        <fgColor rgb="FFFFFFFF"/>
        <bgColor rgb="FF000000"/>
      </patternFill>
    </fill>
  </fills>
  <borders count="49">
    <border>
      <left/>
      <right/>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hair">
        <color auto="1"/>
      </bottom>
      <diagonal/>
    </border>
    <border>
      <left style="medium">
        <color auto="1"/>
      </left>
      <right style="medium">
        <color auto="1"/>
      </right>
      <top/>
      <bottom style="hair">
        <color auto="1"/>
      </bottom>
      <diagonal/>
    </border>
    <border>
      <left style="thin">
        <color auto="1"/>
      </left>
      <right/>
      <top style="thin">
        <color auto="1"/>
      </top>
      <bottom style="thin">
        <color auto="1"/>
      </bottom>
      <diagonal/>
    </border>
    <border>
      <left/>
      <right style="thin">
        <color auto="1"/>
      </right>
      <top/>
      <bottom style="hair">
        <color auto="1"/>
      </bottom>
      <diagonal/>
    </border>
    <border>
      <left/>
      <right style="thin">
        <color auto="1"/>
      </right>
      <top style="hair">
        <color auto="1"/>
      </top>
      <bottom style="hair">
        <color auto="1"/>
      </bottom>
      <diagonal/>
    </border>
    <border>
      <left style="medium">
        <color auto="1"/>
      </left>
      <right style="thin">
        <color auto="1"/>
      </right>
      <top style="hair">
        <color auto="1"/>
      </top>
      <bottom style="hair">
        <color auto="1"/>
      </bottom>
      <diagonal/>
    </border>
    <border>
      <left/>
      <right style="medium">
        <color auto="1"/>
      </right>
      <top/>
      <bottom style="hair">
        <color auto="1"/>
      </bottom>
      <diagonal/>
    </border>
    <border>
      <left/>
      <right style="medium">
        <color auto="1"/>
      </right>
      <top/>
      <bottom/>
      <diagonal/>
    </border>
    <border>
      <left style="thin">
        <color auto="1"/>
      </left>
      <right style="thin">
        <color auto="1"/>
      </right>
      <top/>
      <bottom/>
      <diagonal/>
    </border>
    <border>
      <left style="thin">
        <color auto="1"/>
      </left>
      <right style="thin">
        <color auto="1"/>
      </right>
      <top style="hair">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
      <left/>
      <right/>
      <top style="hair">
        <color indexed="64"/>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rgb="FF000000"/>
      </left>
      <right style="thin">
        <color auto="1"/>
      </right>
      <top style="medium">
        <color auto="1"/>
      </top>
      <bottom/>
      <diagonal/>
    </border>
    <border>
      <left style="medium">
        <color rgb="FF000000"/>
      </left>
      <right style="thin">
        <color auto="1"/>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indexed="64"/>
      </right>
      <top/>
      <bottom style="thin">
        <color indexed="64"/>
      </bottom>
      <diagonal/>
    </border>
  </borders>
  <cellStyleXfs count="12">
    <xf numFmtId="0" fontId="0" fillId="0" borderId="0"/>
    <xf numFmtId="9" fontId="2"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 fillId="0" borderId="0"/>
    <xf numFmtId="164" fontId="2"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416">
    <xf numFmtId="0" fontId="0" fillId="0" borderId="0" xfId="0"/>
    <xf numFmtId="165" fontId="5" fillId="0" borderId="0" xfId="0" applyNumberFormat="1" applyFont="1" applyAlignment="1">
      <alignment horizontal="center" vertical="center"/>
    </xf>
    <xf numFmtId="0" fontId="6" fillId="0" borderId="0" xfId="0" applyFont="1" applyAlignment="1">
      <alignment vertical="center"/>
    </xf>
    <xf numFmtId="0" fontId="6" fillId="0" borderId="0" xfId="0" applyFont="1" applyAlignment="1">
      <alignment horizontal="left" vertical="center"/>
    </xf>
    <xf numFmtId="0" fontId="5" fillId="4" borderId="8" xfId="0" applyFont="1" applyFill="1" applyBorder="1" applyAlignment="1">
      <alignment horizontal="center" vertical="center"/>
    </xf>
    <xf numFmtId="0" fontId="5" fillId="0" borderId="5" xfId="0" applyFont="1" applyBorder="1" applyAlignment="1">
      <alignment horizontal="center" vertical="center"/>
    </xf>
    <xf numFmtId="0" fontId="6" fillId="4" borderId="8" xfId="0" applyFont="1" applyFill="1" applyBorder="1" applyAlignment="1">
      <alignment horizontal="center" vertical="center"/>
    </xf>
    <xf numFmtId="3" fontId="6" fillId="0" borderId="5" xfId="0" applyNumberFormat="1" applyFont="1" applyBorder="1" applyAlignment="1">
      <alignment horizontal="center" vertical="center"/>
    </xf>
    <xf numFmtId="3" fontId="6" fillId="0" borderId="0" xfId="0" applyNumberFormat="1" applyFont="1" applyAlignment="1">
      <alignment horizontal="center" vertical="center"/>
    </xf>
    <xf numFmtId="0" fontId="5" fillId="0" borderId="0" xfId="0" applyFont="1" applyAlignment="1">
      <alignment horizontal="center"/>
    </xf>
    <xf numFmtId="0" fontId="5" fillId="0" borderId="5" xfId="0" applyFont="1" applyBorder="1" applyAlignment="1">
      <alignment horizontal="center"/>
    </xf>
    <xf numFmtId="0" fontId="0" fillId="0" borderId="5" xfId="0" applyBorder="1"/>
    <xf numFmtId="0" fontId="5" fillId="0" borderId="0" xfId="0" applyFont="1" applyAlignment="1">
      <alignment horizontal="center" vertical="center"/>
    </xf>
    <xf numFmtId="9" fontId="6" fillId="0" borderId="0" xfId="1" applyFont="1" applyAlignment="1">
      <alignment horizontal="center" vertical="center"/>
    </xf>
    <xf numFmtId="0" fontId="9" fillId="0" borderId="5" xfId="0" applyFont="1" applyBorder="1" applyAlignment="1">
      <alignment horizontal="center"/>
    </xf>
    <xf numFmtId="0" fontId="0" fillId="0" borderId="0" xfId="0" applyAlignment="1">
      <alignment horizontal="center"/>
    </xf>
    <xf numFmtId="0" fontId="0" fillId="0" borderId="5" xfId="0" applyBorder="1" applyAlignment="1">
      <alignment horizontal="center"/>
    </xf>
    <xf numFmtId="1" fontId="0" fillId="0" borderId="5" xfId="0" applyNumberFormat="1" applyBorder="1" applyAlignment="1">
      <alignment horizontal="center"/>
    </xf>
    <xf numFmtId="1" fontId="0" fillId="5" borderId="5" xfId="0" applyNumberFormat="1" applyFill="1" applyBorder="1" applyAlignment="1">
      <alignment horizontal="center"/>
    </xf>
    <xf numFmtId="9" fontId="6" fillId="0" borderId="5" xfId="1" applyFont="1" applyBorder="1" applyAlignment="1">
      <alignment horizontal="center" vertical="center"/>
    </xf>
    <xf numFmtId="0" fontId="5" fillId="0" borderId="8" xfId="0" applyFont="1" applyBorder="1" applyAlignment="1">
      <alignment horizontal="center" vertical="center"/>
    </xf>
    <xf numFmtId="3" fontId="6" fillId="0" borderId="8" xfId="0" applyNumberFormat="1" applyFont="1" applyBorder="1" applyAlignment="1">
      <alignment horizontal="center" vertical="center"/>
    </xf>
    <xf numFmtId="0" fontId="6" fillId="4" borderId="5" xfId="0" applyFont="1" applyFill="1" applyBorder="1" applyAlignment="1">
      <alignment horizontal="left" vertical="center" indent="1"/>
    </xf>
    <xf numFmtId="1" fontId="6" fillId="0" borderId="5" xfId="1" applyNumberFormat="1" applyFont="1" applyBorder="1" applyAlignment="1">
      <alignment horizontal="center" vertical="center"/>
    </xf>
    <xf numFmtId="167" fontId="6" fillId="0" borderId="5" xfId="1" applyNumberFormat="1" applyFont="1" applyBorder="1" applyAlignment="1">
      <alignment horizontal="center" vertical="center"/>
    </xf>
    <xf numFmtId="0" fontId="6" fillId="4" borderId="5" xfId="0" applyFont="1" applyFill="1" applyBorder="1" applyAlignment="1">
      <alignment horizontal="center" vertical="center"/>
    </xf>
    <xf numFmtId="167" fontId="6" fillId="8" borderId="5" xfId="1" applyNumberFormat="1" applyFont="1" applyFill="1" applyBorder="1" applyAlignment="1">
      <alignment horizontal="center" vertical="center"/>
    </xf>
    <xf numFmtId="0" fontId="5" fillId="4" borderId="5" xfId="0" applyFont="1" applyFill="1" applyBorder="1" applyAlignment="1">
      <alignment horizontal="center" vertical="center"/>
    </xf>
    <xf numFmtId="9" fontId="6" fillId="8" borderId="5" xfId="1" applyFont="1" applyFill="1" applyBorder="1" applyAlignment="1">
      <alignment horizontal="center" vertical="center"/>
    </xf>
    <xf numFmtId="9" fontId="0" fillId="0" borderId="0" xfId="1" applyFont="1"/>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18" xfId="0" applyFont="1" applyBorder="1" applyAlignment="1">
      <alignment vertical="center" wrapText="1"/>
    </xf>
    <xf numFmtId="16" fontId="6" fillId="0" borderId="19" xfId="0" applyNumberFormat="1" applyFont="1" applyBorder="1" applyAlignment="1">
      <alignment horizontal="center" vertical="center" wrapText="1"/>
    </xf>
    <xf numFmtId="16" fontId="6" fillId="0" borderId="20" xfId="0" applyNumberFormat="1" applyFont="1" applyBorder="1" applyAlignment="1">
      <alignment horizontal="center" vertical="center" wrapText="1"/>
    </xf>
    <xf numFmtId="16" fontId="6" fillId="0" borderId="20" xfId="0" applyNumberFormat="1" applyFont="1" applyBorder="1" applyAlignment="1">
      <alignment horizontal="left" vertical="center" wrapText="1"/>
    </xf>
    <xf numFmtId="0" fontId="5" fillId="0" borderId="21" xfId="0" applyFont="1" applyBorder="1" applyAlignment="1">
      <alignment vertical="center" wrapText="1"/>
    </xf>
    <xf numFmtId="16" fontId="6" fillId="0" borderId="22" xfId="0" applyNumberFormat="1" applyFont="1" applyBorder="1" applyAlignment="1">
      <alignment horizontal="center" vertical="center" wrapText="1"/>
    </xf>
    <xf numFmtId="16" fontId="6" fillId="0" borderId="5" xfId="0" applyNumberFormat="1" applyFont="1" applyBorder="1" applyAlignment="1">
      <alignment horizontal="center" vertical="center" wrapText="1"/>
    </xf>
    <xf numFmtId="16" fontId="6" fillId="0" borderId="5" xfId="0" applyNumberFormat="1" applyFont="1" applyBorder="1" applyAlignment="1">
      <alignment horizontal="left" vertical="center" wrapText="1"/>
    </xf>
    <xf numFmtId="0" fontId="5" fillId="0" borderId="23" xfId="0" applyFont="1" applyBorder="1" applyAlignment="1">
      <alignment vertical="center" wrapText="1"/>
    </xf>
    <xf numFmtId="16" fontId="6" fillId="0" borderId="24" xfId="0" applyNumberFormat="1" applyFont="1" applyBorder="1" applyAlignment="1">
      <alignment horizontal="center" vertical="center" wrapText="1"/>
    </xf>
    <xf numFmtId="16" fontId="6" fillId="0" borderId="25" xfId="0" applyNumberFormat="1" applyFont="1" applyBorder="1" applyAlignment="1">
      <alignment horizontal="center" vertical="center" wrapText="1"/>
    </xf>
    <xf numFmtId="16" fontId="6" fillId="0" borderId="25" xfId="0" applyNumberFormat="1" applyFont="1" applyBorder="1" applyAlignment="1">
      <alignment horizontal="left" vertical="center" wrapText="1"/>
    </xf>
    <xf numFmtId="0" fontId="5" fillId="0" borderId="26" xfId="0" applyFont="1" applyBorder="1" applyAlignment="1">
      <alignment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center" vertical="center" wrapText="1"/>
    </xf>
    <xf numFmtId="0" fontId="16"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vertical="center"/>
    </xf>
    <xf numFmtId="0" fontId="13" fillId="5" borderId="0" xfId="0" applyFont="1" applyFill="1" applyAlignment="1">
      <alignment vertical="center"/>
    </xf>
    <xf numFmtId="166" fontId="15" fillId="0" borderId="0" xfId="0" applyNumberFormat="1" applyFont="1" applyAlignment="1">
      <alignment horizontal="left" vertical="center"/>
    </xf>
    <xf numFmtId="0" fontId="13" fillId="5" borderId="0" xfId="0" applyFont="1" applyFill="1" applyAlignment="1">
      <alignment horizontal="left" vertical="center"/>
    </xf>
    <xf numFmtId="0" fontId="14" fillId="0" borderId="0" xfId="0" applyFont="1" applyAlignment="1">
      <alignment vertical="center" wrapText="1"/>
    </xf>
    <xf numFmtId="168" fontId="18" fillId="0" borderId="1" xfId="10" applyNumberFormat="1" applyFont="1" applyBorder="1" applyAlignment="1" applyProtection="1">
      <alignment horizontal="center" vertical="center" wrapText="1"/>
    </xf>
    <xf numFmtId="0" fontId="14" fillId="9" borderId="0" xfId="0" applyFont="1" applyFill="1" applyAlignment="1">
      <alignment vertical="center" wrapText="1"/>
    </xf>
    <xf numFmtId="0" fontId="20" fillId="0" borderId="10" xfId="10" applyFont="1" applyBorder="1" applyAlignment="1" applyProtection="1">
      <alignment horizontal="center" vertical="center" wrapText="1"/>
    </xf>
    <xf numFmtId="0" fontId="20" fillId="0" borderId="1" xfId="10" applyFont="1" applyBorder="1" applyAlignment="1" applyProtection="1">
      <alignment horizontal="center" vertical="center" wrapText="1"/>
    </xf>
    <xf numFmtId="168" fontId="18" fillId="5" borderId="1" xfId="10" applyNumberFormat="1" applyFont="1" applyFill="1" applyBorder="1" applyAlignment="1" applyProtection="1">
      <alignment horizontal="center" vertical="center" wrapText="1"/>
    </xf>
    <xf numFmtId="168" fontId="18" fillId="0" borderId="14" xfId="10" applyNumberFormat="1" applyFont="1" applyBorder="1" applyAlignment="1" applyProtection="1">
      <alignment horizontal="center" vertical="center" wrapText="1"/>
    </xf>
    <xf numFmtId="168" fontId="18" fillId="8" borderId="1" xfId="10" applyNumberFormat="1" applyFont="1" applyFill="1" applyBorder="1" applyAlignment="1" applyProtection="1">
      <alignment horizontal="center" vertical="center" wrapText="1"/>
    </xf>
    <xf numFmtId="0" fontId="16" fillId="0" borderId="1" xfId="0" applyFont="1" applyBorder="1" applyAlignment="1">
      <alignment horizontal="center" vertical="center" wrapText="1"/>
    </xf>
    <xf numFmtId="168" fontId="18" fillId="0" borderId="2" xfId="10" applyNumberFormat="1" applyFont="1" applyBorder="1" applyAlignment="1" applyProtection="1">
      <alignment horizontal="center" vertical="center" wrapText="1"/>
    </xf>
    <xf numFmtId="168" fontId="20" fillId="0" borderId="2" xfId="10" applyNumberFormat="1" applyFont="1" applyBorder="1" applyAlignment="1" applyProtection="1">
      <alignment horizontal="center" vertical="center" wrapText="1"/>
    </xf>
    <xf numFmtId="0" fontId="20" fillId="0" borderId="2" xfId="10" applyFont="1" applyBorder="1" applyAlignment="1" applyProtection="1">
      <alignment horizontal="center" vertical="center" wrapText="1"/>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16" fontId="6" fillId="0" borderId="1" xfId="0" applyNumberFormat="1" applyFont="1" applyBorder="1" applyAlignment="1">
      <alignment horizontal="center" vertical="center" wrapText="1"/>
    </xf>
    <xf numFmtId="0" fontId="6" fillId="0" borderId="2" xfId="0" applyFont="1" applyBorder="1" applyAlignment="1">
      <alignment horizontal="center" vertical="center" wrapText="1"/>
    </xf>
    <xf numFmtId="16" fontId="6" fillId="5" borderId="10" xfId="0"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6" fillId="0" borderId="1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5" borderId="1" xfId="0" applyFont="1" applyFill="1" applyBorder="1" applyAlignment="1">
      <alignment horizontal="center" vertical="center" wrapText="1"/>
    </xf>
    <xf numFmtId="172" fontId="0" fillId="0" borderId="0" xfId="9" applyNumberFormat="1" applyFont="1"/>
    <xf numFmtId="2" fontId="0" fillId="0" borderId="0" xfId="0" applyNumberFormat="1"/>
    <xf numFmtId="172" fontId="0" fillId="0" borderId="0" xfId="0" applyNumberFormat="1"/>
    <xf numFmtId="171" fontId="6" fillId="0" borderId="1" xfId="0" applyNumberFormat="1" applyFont="1" applyBorder="1" applyAlignment="1">
      <alignment horizontal="center" vertical="center" wrapText="1"/>
    </xf>
    <xf numFmtId="0" fontId="6" fillId="0" borderId="9" xfId="0" applyFont="1" applyBorder="1" applyAlignment="1">
      <alignment horizontal="center" vertical="center" wrapText="1"/>
    </xf>
    <xf numFmtId="16" fontId="6" fillId="0" borderId="10" xfId="0" applyNumberFormat="1" applyFont="1" applyBorder="1" applyAlignment="1">
      <alignment horizontal="center" vertical="center" wrapText="1"/>
    </xf>
    <xf numFmtId="3" fontId="6" fillId="0" borderId="15" xfId="0" applyNumberFormat="1" applyFont="1" applyBorder="1" applyAlignment="1">
      <alignment horizontal="center" vertical="center" wrapText="1"/>
    </xf>
    <xf numFmtId="14" fontId="6" fillId="0" borderId="10" xfId="0" applyNumberFormat="1" applyFont="1" applyBorder="1" applyAlignment="1">
      <alignment horizontal="center" vertical="center" wrapText="1"/>
    </xf>
    <xf numFmtId="0" fontId="21" fillId="0" borderId="10" xfId="0" applyFont="1" applyBorder="1" applyAlignment="1">
      <alignment horizontal="center" vertical="center" wrapText="1"/>
    </xf>
    <xf numFmtId="0" fontId="5" fillId="0" borderId="0" xfId="0" applyFont="1" applyAlignment="1">
      <alignment horizontal="center" vertical="center" wrapText="1"/>
    </xf>
    <xf numFmtId="9" fontId="6" fillId="0" borderId="1" xfId="1" applyFont="1" applyBorder="1" applyAlignment="1">
      <alignment horizontal="center" vertical="center" wrapText="1"/>
    </xf>
    <xf numFmtId="0" fontId="6" fillId="0" borderId="1" xfId="0" applyFont="1" applyBorder="1" applyAlignment="1">
      <alignment vertical="center" wrapText="1"/>
    </xf>
    <xf numFmtId="0" fontId="5" fillId="0" borderId="0" xfId="0" applyFont="1" applyAlignment="1">
      <alignment vertical="center" wrapText="1"/>
    </xf>
    <xf numFmtId="9" fontId="6" fillId="0" borderId="1" xfId="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6" fillId="8" borderId="1" xfId="0" applyFont="1" applyFill="1" applyBorder="1" applyAlignment="1">
      <alignment horizontal="center" vertical="center" wrapText="1"/>
    </xf>
    <xf numFmtId="0" fontId="6" fillId="0" borderId="1" xfId="0" applyFont="1" applyBorder="1" applyAlignment="1" applyProtection="1">
      <alignment horizontal="center" vertical="center" wrapText="1"/>
      <protection locked="0"/>
    </xf>
    <xf numFmtId="9" fontId="6" fillId="0" borderId="5" xfId="1" applyFont="1" applyFill="1" applyBorder="1" applyAlignment="1">
      <alignment horizontal="center" vertical="center"/>
    </xf>
    <xf numFmtId="0" fontId="0" fillId="5" borderId="0" xfId="0" applyFill="1"/>
    <xf numFmtId="0" fontId="5" fillId="5" borderId="0" xfId="0" applyFont="1" applyFill="1" applyAlignment="1">
      <alignment horizontal="center"/>
    </xf>
    <xf numFmtId="0" fontId="5" fillId="5" borderId="0" xfId="0" applyFont="1" applyFill="1" applyAlignment="1">
      <alignment horizontal="center" vertical="center"/>
    </xf>
    <xf numFmtId="0" fontId="0" fillId="5" borderId="5" xfId="0" applyFill="1" applyBorder="1"/>
    <xf numFmtId="0" fontId="7" fillId="5" borderId="0" xfId="0" applyFont="1" applyFill="1"/>
    <xf numFmtId="3" fontId="6" fillId="5" borderId="0" xfId="0" applyNumberFormat="1" applyFont="1" applyFill="1" applyAlignment="1">
      <alignment horizontal="center" vertical="center"/>
    </xf>
    <xf numFmtId="167" fontId="6" fillId="5" borderId="0" xfId="1" applyNumberFormat="1" applyFont="1" applyFill="1" applyAlignment="1">
      <alignment horizontal="center" vertical="center"/>
    </xf>
    <xf numFmtId="9" fontId="6" fillId="5" borderId="0" xfId="1" applyFont="1" applyFill="1" applyAlignment="1">
      <alignment horizontal="center" vertical="center"/>
    </xf>
    <xf numFmtId="0" fontId="10" fillId="5" borderId="5" xfId="8" applyFont="1" applyFill="1" applyBorder="1" applyAlignment="1">
      <alignment horizontal="center"/>
    </xf>
    <xf numFmtId="3" fontId="10" fillId="5" borderId="5" xfId="8" applyNumberFormat="1" applyFont="1" applyFill="1" applyBorder="1" applyAlignment="1">
      <alignment horizontal="center"/>
    </xf>
    <xf numFmtId="3" fontId="0" fillId="5" borderId="0" xfId="0" applyNumberFormat="1" applyFill="1"/>
    <xf numFmtId="9" fontId="0" fillId="5" borderId="0" xfId="1" applyFont="1" applyFill="1"/>
    <xf numFmtId="0" fontId="5" fillId="5" borderId="5" xfId="0" applyFont="1" applyFill="1" applyBorder="1" applyAlignment="1">
      <alignment horizontal="center"/>
    </xf>
    <xf numFmtId="0" fontId="0" fillId="5" borderId="0" xfId="0" applyFill="1" applyAlignment="1">
      <alignment horizontal="center"/>
    </xf>
    <xf numFmtId="0" fontId="20" fillId="0" borderId="10" xfId="10" applyFont="1" applyFill="1" applyBorder="1" applyAlignment="1" applyProtection="1">
      <alignment horizontal="center" vertical="center" wrapText="1"/>
    </xf>
    <xf numFmtId="168" fontId="18" fillId="0" borderId="1" xfId="10" applyNumberFormat="1" applyFont="1" applyFill="1" applyBorder="1" applyAlignment="1" applyProtection="1">
      <alignment horizontal="center" vertical="center" wrapText="1"/>
    </xf>
    <xf numFmtId="3" fontId="6" fillId="0" borderId="14" xfId="0" applyNumberFormat="1" applyFont="1" applyBorder="1" applyAlignment="1">
      <alignment horizontal="center" vertical="center" wrapText="1"/>
    </xf>
    <xf numFmtId="3" fontId="6" fillId="0" borderId="5" xfId="0" applyNumberFormat="1" applyFont="1" applyBorder="1" applyAlignment="1">
      <alignment horizontal="center" vertical="center" wrapText="1"/>
    </xf>
    <xf numFmtId="9" fontId="0" fillId="0" borderId="0" xfId="0" applyNumberFormat="1"/>
    <xf numFmtId="0" fontId="16" fillId="5" borderId="0" xfId="0" applyFont="1" applyFill="1" applyAlignment="1">
      <alignment horizontal="center" vertical="center" wrapText="1"/>
    </xf>
    <xf numFmtId="0" fontId="16" fillId="5" borderId="0" xfId="0" applyFont="1" applyFill="1" applyAlignment="1">
      <alignment horizontal="left" vertical="center"/>
    </xf>
    <xf numFmtId="0" fontId="16" fillId="5" borderId="0" xfId="0" applyFont="1" applyFill="1" applyAlignment="1">
      <alignment vertical="center"/>
    </xf>
    <xf numFmtId="170" fontId="6" fillId="0" borderId="5" xfId="1" applyNumberFormat="1" applyFont="1" applyBorder="1" applyAlignment="1">
      <alignment horizontal="center" vertical="center"/>
    </xf>
    <xf numFmtId="0" fontId="0" fillId="0" borderId="27" xfId="0" applyBorder="1" applyAlignment="1">
      <alignment horizontal="center"/>
    </xf>
    <xf numFmtId="9" fontId="0" fillId="0" borderId="27" xfId="1" applyFont="1" applyBorder="1" applyAlignment="1">
      <alignment horizontal="center"/>
    </xf>
    <xf numFmtId="0" fontId="0" fillId="0" borderId="1" xfId="0" applyBorder="1" applyAlignment="1">
      <alignment horizontal="center"/>
    </xf>
    <xf numFmtId="9" fontId="0" fillId="0" borderId="1" xfId="1" applyFont="1" applyBorder="1" applyAlignment="1">
      <alignment horizontal="center"/>
    </xf>
    <xf numFmtId="0" fontId="0" fillId="0" borderId="28" xfId="0" applyBorder="1" applyAlignment="1">
      <alignment horizontal="center"/>
    </xf>
    <xf numFmtId="9" fontId="0" fillId="0" borderId="28" xfId="1" applyFont="1" applyBorder="1" applyAlignment="1">
      <alignment horizontal="center"/>
    </xf>
    <xf numFmtId="0" fontId="9" fillId="10" borderId="5" xfId="0" applyFont="1" applyFill="1" applyBorder="1" applyAlignment="1">
      <alignment horizontal="center" vertical="center"/>
    </xf>
    <xf numFmtId="0" fontId="6" fillId="5" borderId="0" xfId="0" applyFont="1" applyFill="1" applyAlignment="1">
      <alignment horizontal="center" vertical="center"/>
    </xf>
    <xf numFmtId="0" fontId="24" fillId="5" borderId="0" xfId="0" applyFont="1" applyFill="1" applyAlignment="1">
      <alignment horizontal="center"/>
    </xf>
    <xf numFmtId="0" fontId="5" fillId="4" borderId="29" xfId="0" applyFont="1" applyFill="1" applyBorder="1" applyAlignment="1">
      <alignment horizontal="center" vertical="center"/>
    </xf>
    <xf numFmtId="0" fontId="25" fillId="5" borderId="0" xfId="0" applyFont="1" applyFill="1"/>
    <xf numFmtId="0" fontId="25" fillId="0" borderId="0" xfId="0" applyFont="1"/>
    <xf numFmtId="0" fontId="26" fillId="11" borderId="8" xfId="0" applyFont="1" applyFill="1" applyBorder="1" applyAlignment="1">
      <alignment horizontal="center" vertical="center"/>
    </xf>
    <xf numFmtId="0" fontId="26" fillId="11" borderId="5" xfId="0" applyFont="1" applyFill="1" applyBorder="1" applyAlignment="1">
      <alignment horizontal="center" vertical="center"/>
    </xf>
    <xf numFmtId="17" fontId="26" fillId="11" borderId="5" xfId="0" applyNumberFormat="1" applyFont="1" applyFill="1" applyBorder="1" applyAlignment="1">
      <alignment horizontal="center" vertical="center"/>
    </xf>
    <xf numFmtId="0" fontId="26" fillId="4" borderId="8" xfId="0" applyFont="1" applyFill="1" applyBorder="1" applyAlignment="1">
      <alignment vertical="center"/>
    </xf>
    <xf numFmtId="3" fontId="27" fillId="5" borderId="5" xfId="0" applyNumberFormat="1" applyFont="1" applyFill="1" applyBorder="1" applyAlignment="1">
      <alignment horizontal="center" vertical="center"/>
    </xf>
    <xf numFmtId="9" fontId="27" fillId="5" borderId="5" xfId="0" applyNumberFormat="1" applyFont="1" applyFill="1" applyBorder="1" applyAlignment="1">
      <alignment horizontal="center" vertical="center"/>
    </xf>
    <xf numFmtId="0" fontId="5" fillId="0" borderId="0" xfId="0" applyFont="1" applyAlignment="1">
      <alignment vertical="center"/>
    </xf>
    <xf numFmtId="0" fontId="5" fillId="0" borderId="0" xfId="0" applyFont="1" applyAlignment="1">
      <alignment horizontal="left" vertical="center"/>
    </xf>
    <xf numFmtId="0" fontId="5" fillId="9" borderId="0" xfId="0" applyFont="1" applyFill="1" applyAlignment="1">
      <alignment horizontal="center" vertical="center" wrapText="1"/>
    </xf>
    <xf numFmtId="0" fontId="26" fillId="5" borderId="0" xfId="0" applyFont="1" applyFill="1" applyAlignment="1">
      <alignment horizontal="center" vertical="center"/>
    </xf>
    <xf numFmtId="0" fontId="26" fillId="5" borderId="0" xfId="0" applyFont="1" applyFill="1" applyAlignment="1">
      <alignment vertical="center"/>
    </xf>
    <xf numFmtId="3" fontId="27" fillId="5" borderId="0" xfId="0" applyNumberFormat="1" applyFont="1" applyFill="1" applyAlignment="1">
      <alignment horizontal="center" vertical="center"/>
    </xf>
    <xf numFmtId="9" fontId="27" fillId="5" borderId="0" xfId="0" applyNumberFormat="1" applyFont="1" applyFill="1" applyAlignment="1">
      <alignment horizontal="center" vertical="center"/>
    </xf>
    <xf numFmtId="3" fontId="6" fillId="0" borderId="1" xfId="0" quotePrefix="1" applyNumberFormat="1" applyFont="1" applyBorder="1" applyAlignment="1">
      <alignment horizontal="center" vertical="center" wrapText="1"/>
    </xf>
    <xf numFmtId="0" fontId="6" fillId="0" borderId="10" xfId="0" applyFont="1" applyBorder="1" applyAlignment="1">
      <alignment horizontal="justify" vertical="center" wrapText="1"/>
    </xf>
    <xf numFmtId="0" fontId="6" fillId="8" borderId="1" xfId="0" applyFont="1" applyFill="1" applyBorder="1" applyAlignment="1">
      <alignment vertical="center" wrapText="1"/>
    </xf>
    <xf numFmtId="3" fontId="6" fillId="0" borderId="13" xfId="0" applyNumberFormat="1" applyFont="1" applyBorder="1" applyAlignment="1">
      <alignment horizontal="center" vertical="center" wrapText="1"/>
    </xf>
    <xf numFmtId="9" fontId="0" fillId="5" borderId="0" xfId="0" applyNumberFormat="1" applyFill="1"/>
    <xf numFmtId="3" fontId="6" fillId="5" borderId="1" xfId="0" applyNumberFormat="1" applyFont="1" applyFill="1" applyBorder="1" applyAlignment="1">
      <alignment horizontal="center" vertical="center" wrapText="1"/>
    </xf>
    <xf numFmtId="0" fontId="6" fillId="0" borderId="13" xfId="0" applyFont="1" applyBorder="1" applyAlignment="1">
      <alignment vertical="center" wrapText="1"/>
    </xf>
    <xf numFmtId="0" fontId="20" fillId="0" borderId="0" xfId="10" applyFont="1" applyBorder="1" applyAlignment="1" applyProtection="1">
      <alignment horizontal="center" vertical="center" wrapText="1"/>
    </xf>
    <xf numFmtId="14" fontId="6" fillId="0" borderId="1" xfId="1" applyNumberFormat="1" applyFont="1" applyBorder="1" applyAlignment="1">
      <alignment horizontal="center" vertical="center" wrapText="1"/>
    </xf>
    <xf numFmtId="0" fontId="13" fillId="5" borderId="0" xfId="0" applyFont="1" applyFill="1" applyAlignment="1">
      <alignment horizontal="justify" vertical="center"/>
    </xf>
    <xf numFmtId="0" fontId="6" fillId="5" borderId="10" xfId="0" applyFont="1" applyFill="1" applyBorder="1" applyAlignment="1">
      <alignment horizontal="justify" vertical="center" wrapText="1"/>
    </xf>
    <xf numFmtId="14" fontId="6" fillId="0" borderId="14" xfId="0" applyNumberFormat="1" applyFont="1" applyBorder="1" applyAlignment="1">
      <alignment horizontal="center" vertical="center" wrapText="1"/>
    </xf>
    <xf numFmtId="16" fontId="6" fillId="0" borderId="14"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6" fillId="5" borderId="11" xfId="0" applyFont="1" applyFill="1" applyBorder="1" applyAlignment="1">
      <alignment horizontal="center" vertical="center" wrapText="1"/>
    </xf>
    <xf numFmtId="14" fontId="6" fillId="5" borderId="1" xfId="0" applyNumberFormat="1" applyFont="1" applyFill="1" applyBorder="1" applyAlignment="1">
      <alignment horizontal="center" vertical="center" wrapText="1"/>
    </xf>
    <xf numFmtId="16" fontId="6" fillId="5" borderId="1" xfId="0" applyNumberFormat="1"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2" xfId="0" applyFont="1" applyFill="1" applyBorder="1" applyAlignment="1">
      <alignment horizontal="center" vertical="center" wrapText="1"/>
    </xf>
    <xf numFmtId="14" fontId="6" fillId="5" borderId="10" xfId="0" applyNumberFormat="1" applyFont="1" applyFill="1" applyBorder="1" applyAlignment="1">
      <alignment horizontal="center" vertical="center" wrapText="1"/>
    </xf>
    <xf numFmtId="14" fontId="6" fillId="5" borderId="1" xfId="1" applyNumberFormat="1" applyFont="1" applyFill="1" applyBorder="1" applyAlignment="1">
      <alignment horizontal="center" vertical="center" wrapText="1"/>
    </xf>
    <xf numFmtId="0" fontId="14" fillId="5" borderId="0" xfId="0" applyFont="1" applyFill="1" applyAlignment="1">
      <alignment vertical="center" wrapText="1"/>
    </xf>
    <xf numFmtId="0" fontId="5" fillId="5" borderId="0" xfId="0" applyFont="1" applyFill="1" applyAlignment="1">
      <alignment vertical="center" wrapText="1"/>
    </xf>
    <xf numFmtId="0" fontId="5" fillId="5" borderId="0" xfId="0" applyFont="1" applyFill="1" applyAlignment="1">
      <alignment horizontal="center" vertical="center" wrapText="1"/>
    </xf>
    <xf numFmtId="3" fontId="6" fillId="5" borderId="15" xfId="0" applyNumberFormat="1" applyFont="1" applyFill="1" applyBorder="1" applyAlignment="1">
      <alignment horizontal="center" vertical="center" wrapText="1"/>
    </xf>
    <xf numFmtId="0" fontId="6" fillId="5" borderId="5" xfId="0" applyFont="1" applyFill="1" applyBorder="1" applyAlignment="1">
      <alignment horizontal="center" vertical="center"/>
    </xf>
    <xf numFmtId="14" fontId="6" fillId="5" borderId="0" xfId="0" applyNumberFormat="1" applyFont="1" applyFill="1" applyAlignment="1">
      <alignment vertical="center" wrapText="1"/>
    </xf>
    <xf numFmtId="0" fontId="6" fillId="5" borderId="5" xfId="0" applyFont="1" applyFill="1" applyBorder="1" applyAlignment="1">
      <alignment horizontal="center" vertical="center" wrapText="1"/>
    </xf>
    <xf numFmtId="14" fontId="6" fillId="5" borderId="5" xfId="0" applyNumberFormat="1" applyFont="1" applyFill="1" applyBorder="1" applyAlignment="1">
      <alignment horizontal="left" vertical="top" wrapText="1"/>
    </xf>
    <xf numFmtId="0" fontId="6" fillId="5" borderId="5" xfId="0" applyFont="1" applyFill="1" applyBorder="1" applyAlignment="1">
      <alignment horizontal="centerContinuous" vertical="center"/>
    </xf>
    <xf numFmtId="0" fontId="6" fillId="5" borderId="5" xfId="0" applyFont="1" applyFill="1" applyBorder="1" applyAlignment="1">
      <alignment vertical="center"/>
    </xf>
    <xf numFmtId="20" fontId="6" fillId="0" borderId="10" xfId="0" applyNumberFormat="1" applyFont="1" applyBorder="1" applyAlignment="1">
      <alignment horizontal="justify" vertical="center" wrapText="1"/>
    </xf>
    <xf numFmtId="170" fontId="6" fillId="0" borderId="1" xfId="1" applyNumberFormat="1" applyFont="1" applyBorder="1" applyAlignment="1">
      <alignment horizontal="center" vertical="center" wrapText="1"/>
    </xf>
    <xf numFmtId="1" fontId="0" fillId="0" borderId="0" xfId="0" applyNumberFormat="1" applyAlignment="1">
      <alignment horizontal="center"/>
    </xf>
    <xf numFmtId="0" fontId="20" fillId="5" borderId="10" xfId="10" applyFont="1" applyFill="1" applyBorder="1" applyAlignment="1" applyProtection="1">
      <alignment horizontal="center" vertical="center" wrapText="1"/>
    </xf>
    <xf numFmtId="14" fontId="20" fillId="5" borderId="10" xfId="10" applyNumberFormat="1" applyFont="1" applyFill="1" applyBorder="1" applyAlignment="1" applyProtection="1">
      <alignment horizontal="center" vertical="center" wrapText="1"/>
    </xf>
    <xf numFmtId="16" fontId="6" fillId="0" borderId="2" xfId="0" applyNumberFormat="1" applyFont="1" applyBorder="1" applyAlignment="1">
      <alignment horizontal="center" vertical="center" wrapText="1"/>
    </xf>
    <xf numFmtId="0" fontId="6" fillId="0" borderId="0" xfId="0" applyFont="1" applyAlignment="1">
      <alignment vertical="center" wrapText="1"/>
    </xf>
    <xf numFmtId="171" fontId="6" fillId="5" borderId="1" xfId="0" applyNumberFormat="1" applyFont="1" applyFill="1" applyBorder="1" applyAlignment="1">
      <alignment horizontal="center" vertical="center" wrapText="1"/>
    </xf>
    <xf numFmtId="0" fontId="6" fillId="0" borderId="0" xfId="0" applyFont="1" applyAlignment="1">
      <alignment horizontal="center" vertical="center" wrapText="1"/>
    </xf>
    <xf numFmtId="14" fontId="6" fillId="0" borderId="0" xfId="0" applyNumberFormat="1" applyFont="1" applyAlignment="1">
      <alignment horizontal="left" vertical="center"/>
    </xf>
    <xf numFmtId="2" fontId="6" fillId="0" borderId="0" xfId="0" applyNumberFormat="1" applyFont="1" applyAlignment="1">
      <alignment horizontal="center" vertical="center"/>
    </xf>
    <xf numFmtId="14" fontId="6" fillId="0" borderId="0" xfId="0" applyNumberFormat="1" applyFont="1" applyAlignment="1">
      <alignment horizontal="center" vertical="center" wrapText="1"/>
    </xf>
    <xf numFmtId="0" fontId="6" fillId="0" borderId="0" xfId="0" applyFont="1" applyAlignment="1">
      <alignment horizontal="center" vertical="center"/>
    </xf>
    <xf numFmtId="0" fontId="6" fillId="5" borderId="0" xfId="0" applyFont="1" applyFill="1" applyAlignment="1">
      <alignment horizontal="center" vertical="center" wrapText="1"/>
    </xf>
    <xf numFmtId="9" fontId="6" fillId="0" borderId="0" xfId="1" applyFont="1" applyAlignment="1">
      <alignment horizontal="center" vertical="center" wrapText="1"/>
    </xf>
    <xf numFmtId="3" fontId="6" fillId="0" borderId="0" xfId="0" applyNumberFormat="1" applyFont="1" applyAlignment="1">
      <alignment horizontal="center" vertical="center" wrapText="1"/>
    </xf>
    <xf numFmtId="168" fontId="6" fillId="0" borderId="0" xfId="0" applyNumberFormat="1" applyFont="1" applyAlignment="1">
      <alignment horizontal="center" vertical="center" wrapText="1"/>
    </xf>
    <xf numFmtId="0" fontId="6" fillId="0" borderId="33" xfId="0" applyFont="1" applyBorder="1" applyAlignment="1">
      <alignment horizontal="center" vertical="center" wrapText="1"/>
    </xf>
    <xf numFmtId="0" fontId="5" fillId="5" borderId="0" xfId="0" applyFont="1" applyFill="1" applyAlignment="1">
      <alignment horizontal="justify" vertical="center"/>
    </xf>
    <xf numFmtId="0" fontId="6" fillId="5" borderId="0" xfId="0" applyFont="1" applyFill="1" applyAlignment="1">
      <alignment horizontal="justify" vertical="center"/>
    </xf>
    <xf numFmtId="166" fontId="5" fillId="0" borderId="0" xfId="0" applyNumberFormat="1" applyFont="1" applyAlignment="1">
      <alignment horizontal="center" vertical="center"/>
    </xf>
    <xf numFmtId="14" fontId="5" fillId="0" borderId="0" xfId="0" applyNumberFormat="1" applyFont="1" applyAlignment="1">
      <alignment horizontal="center" vertical="center"/>
    </xf>
    <xf numFmtId="1" fontId="6" fillId="0" borderId="0" xfId="1" applyNumberFormat="1" applyFont="1" applyAlignment="1">
      <alignment horizontal="center" vertical="center" wrapText="1"/>
    </xf>
    <xf numFmtId="3" fontId="6" fillId="0" borderId="0" xfId="1" applyNumberFormat="1" applyFont="1" applyAlignment="1">
      <alignment horizontal="center" vertical="center" wrapText="1"/>
    </xf>
    <xf numFmtId="14" fontId="5" fillId="0" borderId="0" xfId="0" applyNumberFormat="1" applyFont="1" applyAlignment="1">
      <alignment horizontal="left" vertical="center"/>
    </xf>
    <xf numFmtId="0" fontId="6" fillId="0" borderId="0" xfId="0" applyFont="1" applyAlignment="1">
      <alignment horizontal="left" vertical="center" wrapText="1"/>
    </xf>
    <xf numFmtId="1" fontId="5" fillId="0" borderId="0" xfId="1" applyNumberFormat="1" applyFont="1" applyAlignment="1">
      <alignment horizontal="center" vertical="center" wrapText="1"/>
    </xf>
    <xf numFmtId="3" fontId="5" fillId="0" borderId="0" xfId="1" applyNumberFormat="1" applyFont="1" applyAlignment="1">
      <alignment horizontal="center" vertical="center" wrapText="1"/>
    </xf>
    <xf numFmtId="3" fontId="5" fillId="0" borderId="0" xfId="0" applyNumberFormat="1" applyFont="1" applyAlignment="1">
      <alignment horizontal="center" vertical="center" wrapText="1"/>
    </xf>
    <xf numFmtId="166" fontId="6" fillId="0" borderId="0" xfId="0" applyNumberFormat="1" applyFont="1" applyAlignment="1">
      <alignment horizontal="left" vertical="center"/>
    </xf>
    <xf numFmtId="14" fontId="6" fillId="0" borderId="0" xfId="0" applyNumberFormat="1" applyFont="1" applyAlignment="1">
      <alignment vertical="center"/>
    </xf>
    <xf numFmtId="166" fontId="6" fillId="0" borderId="0" xfId="0" applyNumberFormat="1" applyFont="1" applyAlignment="1">
      <alignment horizontal="justify" vertical="center"/>
    </xf>
    <xf numFmtId="169" fontId="6" fillId="0" borderId="0" xfId="0" applyNumberFormat="1" applyFont="1" applyAlignment="1">
      <alignment horizontal="center" vertical="center" wrapText="1"/>
    </xf>
    <xf numFmtId="9" fontId="6" fillId="0" borderId="14" xfId="1" applyFont="1" applyBorder="1" applyAlignment="1">
      <alignment horizontal="center" vertical="center" wrapText="1"/>
    </xf>
    <xf numFmtId="14" fontId="6" fillId="0" borderId="14" xfId="1" applyNumberFormat="1" applyFont="1" applyBorder="1" applyAlignment="1">
      <alignment horizontal="center" vertical="center" wrapText="1"/>
    </xf>
    <xf numFmtId="9" fontId="6" fillId="5" borderId="1" xfId="1" applyFont="1" applyFill="1" applyBorder="1" applyAlignment="1">
      <alignment horizontal="center" vertical="center" wrapText="1"/>
    </xf>
    <xf numFmtId="0" fontId="6" fillId="5" borderId="0" xfId="0" applyFont="1" applyFill="1" applyAlignment="1">
      <alignment vertical="center" wrapText="1"/>
    </xf>
    <xf numFmtId="169" fontId="6" fillId="5" borderId="1" xfId="0" applyNumberFormat="1" applyFont="1" applyFill="1" applyBorder="1" applyAlignment="1">
      <alignment horizontal="center" vertical="center" wrapText="1"/>
    </xf>
    <xf numFmtId="169" fontId="6" fillId="0" borderId="1" xfId="0" applyNumberFormat="1" applyFont="1" applyBorder="1" applyAlignment="1">
      <alignment horizontal="center" vertical="center" wrapText="1"/>
    </xf>
    <xf numFmtId="168" fontId="6" fillId="5" borderId="1" xfId="0" applyNumberFormat="1" applyFont="1" applyFill="1" applyBorder="1" applyAlignment="1">
      <alignment horizontal="center" vertical="center" wrapText="1"/>
    </xf>
    <xf numFmtId="168" fontId="6" fillId="0" borderId="1" xfId="0" applyNumberFormat="1" applyFont="1" applyBorder="1" applyAlignment="1">
      <alignment horizontal="center" vertical="center" wrapText="1"/>
    </xf>
    <xf numFmtId="14" fontId="6" fillId="0" borderId="1" xfId="1" applyNumberFormat="1" applyFont="1" applyFill="1" applyBorder="1" applyAlignment="1">
      <alignment horizontal="center" vertical="center" wrapText="1"/>
    </xf>
    <xf numFmtId="0" fontId="6" fillId="0" borderId="2" xfId="0" applyFont="1" applyBorder="1" applyAlignment="1">
      <alignment vertical="center" wrapText="1"/>
    </xf>
    <xf numFmtId="0" fontId="6" fillId="0" borderId="6" xfId="0" applyFont="1" applyBorder="1" applyAlignment="1">
      <alignment horizontal="center" vertical="center" wrapText="1"/>
    </xf>
    <xf numFmtId="14" fontId="6" fillId="0" borderId="2" xfId="0" applyNumberFormat="1" applyFont="1" applyBorder="1" applyAlignment="1">
      <alignment horizontal="center" vertical="center" wrapText="1"/>
    </xf>
    <xf numFmtId="16" fontId="6" fillId="5" borderId="2" xfId="0" applyNumberFormat="1" applyFont="1" applyFill="1" applyBorder="1" applyAlignment="1">
      <alignment horizontal="center" vertical="center" wrapText="1"/>
    </xf>
    <xf numFmtId="0" fontId="6" fillId="0" borderId="2" xfId="0" applyFont="1" applyBorder="1" applyAlignment="1">
      <alignment horizontal="justify" vertical="center" wrapText="1"/>
    </xf>
    <xf numFmtId="3" fontId="6" fillId="0" borderId="2" xfId="0" applyNumberFormat="1" applyFont="1" applyBorder="1" applyAlignment="1">
      <alignment horizontal="center" vertical="center" wrapText="1"/>
    </xf>
    <xf numFmtId="14" fontId="6" fillId="0" borderId="2" xfId="1" applyNumberFormat="1" applyFont="1" applyBorder="1" applyAlignment="1">
      <alignment horizontal="center" vertical="center" wrapText="1"/>
    </xf>
    <xf numFmtId="0" fontId="6" fillId="0" borderId="7" xfId="0" applyFont="1" applyBorder="1" applyAlignment="1">
      <alignment vertical="center" wrapText="1"/>
    </xf>
    <xf numFmtId="3" fontId="6" fillId="8" borderId="1" xfId="0" applyNumberFormat="1" applyFont="1" applyFill="1" applyBorder="1" applyAlignment="1">
      <alignment horizontal="center" vertical="center" wrapText="1"/>
    </xf>
    <xf numFmtId="0" fontId="6" fillId="9" borderId="0" xfId="0" applyFont="1" applyFill="1" applyAlignment="1">
      <alignment vertical="center" wrapText="1"/>
    </xf>
    <xf numFmtId="0" fontId="6" fillId="0" borderId="15" xfId="0" applyFont="1" applyBorder="1" applyAlignment="1">
      <alignment horizontal="center" vertical="center" wrapText="1"/>
    </xf>
    <xf numFmtId="14" fontId="6" fillId="0" borderId="0" xfId="1" applyNumberFormat="1" applyFont="1" applyBorder="1" applyAlignment="1">
      <alignment horizontal="center" vertical="center" wrapText="1"/>
    </xf>
    <xf numFmtId="9" fontId="6" fillId="0" borderId="10" xfId="1" applyFont="1" applyBorder="1" applyAlignment="1">
      <alignment horizontal="center" vertical="center" wrapText="1"/>
    </xf>
    <xf numFmtId="4" fontId="6"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2" xfId="0" applyFont="1" applyBorder="1" applyAlignment="1">
      <alignment vertical="center" wrapText="1"/>
    </xf>
    <xf numFmtId="168" fontId="6" fillId="0" borderId="2" xfId="0" applyNumberFormat="1" applyFont="1" applyBorder="1" applyAlignment="1">
      <alignment horizontal="center" vertical="center" wrapText="1"/>
    </xf>
    <xf numFmtId="16" fontId="6" fillId="0" borderId="9" xfId="0" applyNumberFormat="1" applyFont="1" applyBorder="1" applyAlignment="1">
      <alignment horizontal="center" vertical="center" wrapText="1"/>
    </xf>
    <xf numFmtId="0" fontId="6" fillId="0" borderId="9" xfId="0" applyFont="1" applyBorder="1" applyAlignment="1">
      <alignment horizontal="justify" vertical="center" wrapText="1"/>
    </xf>
    <xf numFmtId="9" fontId="6" fillId="0" borderId="2" xfId="1" applyFont="1" applyBorder="1" applyAlignment="1">
      <alignment horizontal="center" vertical="center" wrapText="1"/>
    </xf>
    <xf numFmtId="14" fontId="6" fillId="0" borderId="9" xfId="0" applyNumberFormat="1" applyFont="1" applyBorder="1" applyAlignment="1">
      <alignment horizontal="center" vertical="center" wrapText="1"/>
    </xf>
    <xf numFmtId="4" fontId="6" fillId="0" borderId="2" xfId="0" applyNumberFormat="1" applyFont="1" applyBorder="1" applyAlignment="1">
      <alignment horizontal="center" vertical="center" wrapText="1"/>
    </xf>
    <xf numFmtId="3" fontId="6" fillId="5" borderId="2" xfId="0" applyNumberFormat="1" applyFont="1" applyFill="1" applyBorder="1" applyAlignment="1">
      <alignment horizontal="center" vertical="center" wrapText="1"/>
    </xf>
    <xf numFmtId="168" fontId="6" fillId="5" borderId="2" xfId="0" applyNumberFormat="1" applyFont="1" applyFill="1" applyBorder="1" applyAlignment="1">
      <alignment horizontal="center" vertical="center" wrapText="1"/>
    </xf>
    <xf numFmtId="168" fontId="6" fillId="7" borderId="2" xfId="0" applyNumberFormat="1" applyFont="1" applyFill="1" applyBorder="1" applyAlignment="1">
      <alignment horizontal="center" vertical="center" wrapText="1"/>
    </xf>
    <xf numFmtId="14" fontId="6" fillId="5" borderId="0" xfId="0" applyNumberFormat="1" applyFont="1" applyFill="1" applyAlignment="1">
      <alignment horizontal="center" vertical="center"/>
    </xf>
    <xf numFmtId="0" fontId="6" fillId="5" borderId="0" xfId="0" applyFont="1" applyFill="1" applyAlignment="1">
      <alignment horizontal="left" vertical="center"/>
    </xf>
    <xf numFmtId="9" fontId="6" fillId="5" borderId="0" xfId="1" applyFont="1" applyFill="1" applyAlignment="1">
      <alignment horizontal="center" vertical="center" wrapText="1"/>
    </xf>
    <xf numFmtId="3" fontId="6" fillId="5" borderId="0" xfId="0" applyNumberFormat="1" applyFont="1" applyFill="1" applyAlignment="1">
      <alignment horizontal="center" vertical="center" wrapText="1"/>
    </xf>
    <xf numFmtId="168" fontId="6" fillId="5" borderId="0" xfId="0" applyNumberFormat="1" applyFont="1" applyFill="1" applyAlignment="1">
      <alignment horizontal="center" vertical="center" wrapText="1"/>
    </xf>
    <xf numFmtId="0" fontId="6" fillId="5" borderId="0" xfId="0" applyFont="1" applyFill="1" applyAlignment="1">
      <alignment vertical="center"/>
    </xf>
    <xf numFmtId="14" fontId="6" fillId="5" borderId="5" xfId="0" applyNumberFormat="1" applyFont="1" applyFill="1" applyBorder="1" applyAlignment="1">
      <alignment horizontal="centerContinuous" vertical="center"/>
    </xf>
    <xf numFmtId="3" fontId="6" fillId="5" borderId="0" xfId="0" applyNumberFormat="1" applyFont="1" applyFill="1" applyAlignment="1">
      <alignment horizontal="left" vertical="center"/>
    </xf>
    <xf numFmtId="0" fontId="6" fillId="5" borderId="0" xfId="0" applyFont="1" applyFill="1" applyAlignment="1">
      <alignment horizontal="left" vertical="center" wrapText="1"/>
    </xf>
    <xf numFmtId="3" fontId="6" fillId="5" borderId="0" xfId="0" applyNumberFormat="1" applyFont="1" applyFill="1" applyAlignment="1">
      <alignment vertical="center"/>
    </xf>
    <xf numFmtId="3" fontId="6" fillId="8" borderId="15"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3" fontId="6" fillId="5" borderId="5" xfId="0" applyNumberFormat="1" applyFont="1" applyFill="1" applyBorder="1" applyAlignment="1">
      <alignment horizontal="center" vertical="center" wrapText="1"/>
    </xf>
    <xf numFmtId="3" fontId="6" fillId="5" borderId="14" xfId="0" applyNumberFormat="1" applyFont="1" applyFill="1" applyBorder="1" applyAlignment="1">
      <alignment horizontal="center" vertical="center" wrapText="1"/>
    </xf>
    <xf numFmtId="168" fontId="6" fillId="8" borderId="1" xfId="0" applyNumberFormat="1" applyFont="1" applyFill="1" applyBorder="1" applyAlignment="1">
      <alignment horizontal="center" vertical="center" wrapText="1"/>
    </xf>
    <xf numFmtId="0" fontId="28" fillId="0" borderId="0" xfId="0" applyFont="1" applyAlignment="1">
      <alignment vertical="center" wrapText="1"/>
    </xf>
    <xf numFmtId="0" fontId="5" fillId="9" borderId="0" xfId="0" applyFont="1" applyFill="1" applyAlignment="1">
      <alignment vertical="center" wrapText="1"/>
    </xf>
    <xf numFmtId="0" fontId="22" fillId="0" borderId="1" xfId="0" applyFont="1" applyBorder="1" applyAlignment="1">
      <alignment horizontal="center" vertical="center" wrapText="1"/>
    </xf>
    <xf numFmtId="0" fontId="20" fillId="0" borderId="10" xfId="10" applyFont="1" applyBorder="1" applyAlignment="1" applyProtection="1">
      <alignment vertical="center" wrapText="1"/>
    </xf>
    <xf numFmtId="165" fontId="5" fillId="0" borderId="0" xfId="0" applyNumberFormat="1" applyFont="1" applyAlignment="1">
      <alignment vertical="center"/>
    </xf>
    <xf numFmtId="0" fontId="20" fillId="0" borderId="9" xfId="10" applyFont="1" applyBorder="1" applyAlignment="1" applyProtection="1">
      <alignment horizontal="center" vertical="center" wrapText="1"/>
    </xf>
    <xf numFmtId="14" fontId="6" fillId="5" borderId="2" xfId="0" applyNumberFormat="1" applyFont="1" applyFill="1" applyBorder="1" applyAlignment="1">
      <alignment horizontal="center" vertical="center" wrapText="1"/>
    </xf>
    <xf numFmtId="171" fontId="6" fillId="0" borderId="10" xfId="0" applyNumberFormat="1" applyFont="1" applyBorder="1" applyAlignment="1">
      <alignment horizontal="center" vertical="center" wrapText="1"/>
    </xf>
    <xf numFmtId="16" fontId="6" fillId="5" borderId="9" xfId="0" applyNumberFormat="1" applyFont="1" applyFill="1" applyBorder="1" applyAlignment="1">
      <alignment horizontal="center" vertical="center" wrapText="1"/>
    </xf>
    <xf numFmtId="9" fontId="6" fillId="0" borderId="10" xfId="1" applyFont="1" applyBorder="1" applyAlignment="1">
      <alignment horizontal="justify" vertical="center" wrapText="1"/>
    </xf>
    <xf numFmtId="0" fontId="5" fillId="0" borderId="2" xfId="0" applyFont="1" applyBorder="1" applyAlignment="1">
      <alignment vertical="center" wrapText="1"/>
    </xf>
    <xf numFmtId="14" fontId="6" fillId="5" borderId="9" xfId="0" applyNumberFormat="1" applyFont="1" applyFill="1" applyBorder="1" applyAlignment="1">
      <alignment horizontal="center" vertical="center" wrapText="1"/>
    </xf>
    <xf numFmtId="171" fontId="6" fillId="5" borderId="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0" fontId="6" fillId="5" borderId="9" xfId="0" applyFont="1" applyFill="1" applyBorder="1" applyAlignment="1">
      <alignment horizontal="center" vertical="center" wrapText="1"/>
    </xf>
    <xf numFmtId="3" fontId="6" fillId="0" borderId="0" xfId="0" applyNumberFormat="1" applyFont="1" applyAlignment="1">
      <alignment horizontal="left" vertical="center"/>
    </xf>
    <xf numFmtId="0" fontId="6" fillId="5" borderId="1" xfId="0" applyFont="1" applyFill="1" applyBorder="1" applyAlignment="1" applyProtection="1">
      <alignment horizontal="center" vertical="center" wrapText="1"/>
      <protection locked="0"/>
    </xf>
    <xf numFmtId="0" fontId="6" fillId="0" borderId="32" xfId="0" applyFont="1" applyBorder="1" applyAlignment="1">
      <alignment horizontal="justify" vertical="center" wrapText="1"/>
    </xf>
    <xf numFmtId="0" fontId="6" fillId="6" borderId="2" xfId="0" applyFont="1" applyFill="1" applyBorder="1" applyAlignment="1">
      <alignment horizontal="justify" vertical="center" wrapText="1"/>
    </xf>
    <xf numFmtId="0" fontId="6" fillId="4" borderId="2" xfId="0" applyFont="1" applyFill="1" applyBorder="1" applyAlignment="1">
      <alignment horizontal="justify" vertical="center" wrapText="1"/>
    </xf>
    <xf numFmtId="14" fontId="6" fillId="7" borderId="2" xfId="1"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3" fontId="6" fillId="0" borderId="7" xfId="0" applyNumberFormat="1" applyFont="1" applyBorder="1" applyAlignment="1">
      <alignment horizontal="center" vertical="center" wrapText="1"/>
    </xf>
    <xf numFmtId="0" fontId="6" fillId="5" borderId="1" xfId="0" applyFont="1" applyFill="1" applyBorder="1" applyAlignment="1">
      <alignment vertical="center" wrapText="1"/>
    </xf>
    <xf numFmtId="0" fontId="29" fillId="0" borderId="10" xfId="10" applyBorder="1" applyAlignment="1" applyProtection="1">
      <alignment horizontal="center" vertical="center" wrapText="1"/>
    </xf>
    <xf numFmtId="0" fontId="3" fillId="0" borderId="2" xfId="10" applyFont="1" applyBorder="1" applyAlignment="1" applyProtection="1">
      <alignment horizontal="center" vertical="center" wrapText="1"/>
    </xf>
    <xf numFmtId="0" fontId="5" fillId="2" borderId="34" xfId="0" applyFont="1" applyFill="1" applyBorder="1" applyAlignment="1">
      <alignment horizontal="center" vertical="center" wrapText="1"/>
    </xf>
    <xf numFmtId="14" fontId="5" fillId="2" borderId="34" xfId="0" applyNumberFormat="1" applyFont="1" applyFill="1" applyBorder="1" applyAlignment="1">
      <alignment horizontal="center" vertical="center" wrapText="1"/>
    </xf>
    <xf numFmtId="9" fontId="5" fillId="2" borderId="34" xfId="1" applyFont="1" applyFill="1" applyBorder="1" applyAlignment="1">
      <alignment horizontal="center" vertical="center" wrapText="1"/>
    </xf>
    <xf numFmtId="3" fontId="5" fillId="2" borderId="34" xfId="0" applyNumberFormat="1" applyFont="1" applyFill="1" applyBorder="1" applyAlignment="1">
      <alignment horizontal="center" vertical="center" wrapText="1"/>
    </xf>
    <xf numFmtId="168" fontId="5" fillId="2" borderId="34" xfId="0" applyNumberFormat="1" applyFont="1" applyFill="1" applyBorder="1" applyAlignment="1">
      <alignment horizontal="center" vertical="center" wrapText="1"/>
    </xf>
    <xf numFmtId="0" fontId="17" fillId="2" borderId="34" xfId="0" applyFont="1" applyFill="1" applyBorder="1" applyAlignment="1">
      <alignment horizontal="center" vertical="center" wrapText="1"/>
    </xf>
    <xf numFmtId="0" fontId="5" fillId="0" borderId="35" xfId="0" applyFont="1" applyBorder="1" applyAlignment="1">
      <alignment horizontal="center" vertical="center" wrapText="1"/>
    </xf>
    <xf numFmtId="3" fontId="5" fillId="2" borderId="36" xfId="0" applyNumberFormat="1" applyFont="1" applyFill="1" applyBorder="1" applyAlignment="1">
      <alignment horizontal="center" vertical="center" wrapText="1"/>
    </xf>
    <xf numFmtId="0" fontId="5" fillId="2" borderId="37" xfId="0" applyFont="1" applyFill="1" applyBorder="1" applyAlignment="1">
      <alignment horizontal="center" vertical="center" wrapText="1"/>
    </xf>
    <xf numFmtId="0" fontId="6" fillId="0" borderId="38" xfId="0" applyFont="1" applyBorder="1" applyAlignment="1">
      <alignment horizontal="center" vertical="center" wrapText="1"/>
    </xf>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30" fillId="0" borderId="0" xfId="0" applyFont="1" applyAlignment="1">
      <alignment vertical="center" wrapText="1"/>
    </xf>
    <xf numFmtId="0" fontId="20" fillId="0" borderId="10" xfId="10" applyFont="1" applyBorder="1" applyAlignment="1">
      <alignment horizontal="center" vertical="center" wrapText="1"/>
    </xf>
    <xf numFmtId="168" fontId="18" fillId="0" borderId="1" xfId="10" applyNumberFormat="1" applyFont="1" applyBorder="1" applyAlignment="1">
      <alignment horizontal="center" vertical="center" wrapText="1"/>
    </xf>
    <xf numFmtId="0" fontId="31" fillId="0" borderId="0" xfId="0" applyFont="1" applyAlignment="1">
      <alignment vertical="center" wrapText="1"/>
    </xf>
    <xf numFmtId="0" fontId="29" fillId="0" borderId="10" xfId="10" applyBorder="1" applyAlignment="1">
      <alignment horizontal="center" vertical="center" wrapText="1"/>
    </xf>
    <xf numFmtId="0" fontId="32" fillId="12" borderId="5" xfId="0" applyFont="1" applyFill="1" applyBorder="1"/>
    <xf numFmtId="0" fontId="32" fillId="12" borderId="17" xfId="0" applyFont="1" applyFill="1" applyBorder="1"/>
    <xf numFmtId="0" fontId="32" fillId="12" borderId="31" xfId="0" applyFont="1" applyFill="1" applyBorder="1" applyAlignment="1">
      <alignment wrapText="1"/>
    </xf>
    <xf numFmtId="0" fontId="32" fillId="12" borderId="48" xfId="0" applyFont="1" applyFill="1" applyBorder="1" applyAlignment="1">
      <alignment wrapText="1"/>
    </xf>
    <xf numFmtId="0" fontId="33" fillId="0" borderId="0" xfId="0" applyFont="1" applyAlignment="1">
      <alignment vertical="center" wrapText="1"/>
    </xf>
    <xf numFmtId="0" fontId="29" fillId="0" borderId="2" xfId="10" applyBorder="1" applyAlignment="1" applyProtection="1">
      <alignment horizontal="center" vertical="center" wrapText="1"/>
    </xf>
    <xf numFmtId="16" fontId="6" fillId="5" borderId="32" xfId="0" applyNumberFormat="1" applyFont="1" applyFill="1" applyBorder="1" applyAlignment="1">
      <alignment horizontal="center" vertical="center" wrapText="1"/>
    </xf>
    <xf numFmtId="1" fontId="0" fillId="0" borderId="0" xfId="0" applyNumberFormat="1"/>
    <xf numFmtId="0" fontId="29" fillId="0" borderId="2" xfId="10" applyBorder="1" applyAlignment="1">
      <alignment horizontal="center" vertical="center" wrapText="1"/>
    </xf>
    <xf numFmtId="168" fontId="18" fillId="0" borderId="2" xfId="10" applyNumberFormat="1" applyFont="1" applyBorder="1" applyAlignment="1">
      <alignment horizontal="center" vertical="center" wrapText="1"/>
    </xf>
    <xf numFmtId="0" fontId="34" fillId="0" borderId="0" xfId="0" applyFont="1" applyAlignment="1">
      <alignment vertical="center" wrapText="1"/>
    </xf>
    <xf numFmtId="0" fontId="36" fillId="0" borderId="0" xfId="0" applyFont="1" applyAlignment="1">
      <alignment vertical="center" wrapText="1"/>
    </xf>
    <xf numFmtId="0" fontId="35" fillId="0" borderId="0" xfId="0" applyFont="1" applyAlignment="1">
      <alignment vertical="center" wrapText="1"/>
    </xf>
    <xf numFmtId="0" fontId="20" fillId="0" borderId="10" xfId="10" applyFont="1" applyFill="1" applyBorder="1" applyAlignment="1">
      <alignment horizontal="center" vertical="center" wrapText="1"/>
    </xf>
    <xf numFmtId="0" fontId="0" fillId="0" borderId="30" xfId="0" applyBorder="1"/>
    <xf numFmtId="0" fontId="0" fillId="0" borderId="14" xfId="0" applyBorder="1"/>
    <xf numFmtId="0" fontId="0" fillId="0" borderId="31" xfId="0" applyBorder="1"/>
    <xf numFmtId="171" fontId="6" fillId="0" borderId="2" xfId="0" applyNumberFormat="1" applyFont="1" applyBorder="1" applyAlignment="1">
      <alignment horizontal="center" vertical="center" wrapText="1"/>
    </xf>
    <xf numFmtId="0" fontId="37" fillId="0" borderId="0" xfId="0" applyFont="1" applyAlignment="1">
      <alignment horizontal="center" vertical="center" wrapText="1"/>
    </xf>
    <xf numFmtId="3" fontId="37" fillId="0" borderId="0" xfId="0" applyNumberFormat="1" applyFont="1" applyAlignment="1">
      <alignment horizontal="center" vertical="center" wrapText="1"/>
    </xf>
    <xf numFmtId="169" fontId="37" fillId="0" borderId="0" xfId="0" applyNumberFormat="1" applyFont="1" applyAlignment="1">
      <alignment horizontal="center" vertical="center" wrapText="1"/>
    </xf>
    <xf numFmtId="0" fontId="38" fillId="2" borderId="34" xfId="0" applyFont="1" applyFill="1" applyBorder="1" applyAlignment="1">
      <alignment horizontal="center" vertical="center" wrapText="1"/>
    </xf>
    <xf numFmtId="168" fontId="37" fillId="0" borderId="1" xfId="10" applyNumberFormat="1" applyFont="1" applyBorder="1" applyAlignment="1">
      <alignment horizontal="center" vertical="center" wrapText="1"/>
    </xf>
    <xf numFmtId="168" fontId="37" fillId="0" borderId="1" xfId="10" applyNumberFormat="1" applyFont="1" applyBorder="1" applyAlignment="1" applyProtection="1">
      <alignment horizontal="center" vertical="center" wrapText="1"/>
    </xf>
    <xf numFmtId="0" fontId="37" fillId="0" borderId="1" xfId="0" applyFont="1" applyBorder="1" applyAlignment="1">
      <alignment horizontal="center" vertical="center" wrapText="1"/>
    </xf>
    <xf numFmtId="168" fontId="37" fillId="0" borderId="1" xfId="10" applyNumberFormat="1" applyFont="1" applyFill="1" applyBorder="1" applyAlignment="1" applyProtection="1">
      <alignment horizontal="center" vertical="center" wrapText="1"/>
    </xf>
    <xf numFmtId="168" fontId="37" fillId="0" borderId="14" xfId="10" applyNumberFormat="1" applyFont="1" applyBorder="1" applyAlignment="1" applyProtection="1">
      <alignment horizontal="center" vertical="center" wrapText="1"/>
    </xf>
    <xf numFmtId="168" fontId="37" fillId="5" borderId="1" xfId="10" applyNumberFormat="1" applyFont="1" applyFill="1" applyBorder="1" applyAlignment="1" applyProtection="1">
      <alignment horizontal="center" vertical="center" wrapText="1"/>
    </xf>
    <xf numFmtId="168" fontId="37" fillId="0" borderId="2" xfId="10" applyNumberFormat="1" applyFont="1" applyBorder="1" applyAlignment="1" applyProtection="1">
      <alignment horizontal="center" vertical="center" wrapText="1"/>
    </xf>
    <xf numFmtId="0" fontId="37" fillId="3" borderId="2" xfId="0" applyFont="1" applyFill="1" applyBorder="1" applyAlignment="1">
      <alignment horizontal="center" vertical="center" wrapText="1"/>
    </xf>
    <xf numFmtId="0" fontId="37" fillId="0" borderId="2" xfId="0" applyFont="1" applyBorder="1" applyAlignment="1">
      <alignment horizontal="center" vertical="center" wrapText="1"/>
    </xf>
    <xf numFmtId="168" fontId="37" fillId="0" borderId="2" xfId="10" applyNumberFormat="1" applyFont="1" applyBorder="1" applyAlignment="1">
      <alignment horizontal="center" vertical="center" wrapText="1"/>
    </xf>
    <xf numFmtId="16" fontId="6" fillId="0" borderId="11" xfId="0" applyNumberFormat="1" applyFont="1" applyBorder="1" applyAlignment="1">
      <alignment horizontal="center" vertical="center" wrapText="1"/>
    </xf>
    <xf numFmtId="168" fontId="37" fillId="0" borderId="1" xfId="10" applyNumberFormat="1" applyFont="1" applyFill="1" applyBorder="1" applyAlignment="1">
      <alignment horizontal="center" vertical="center" wrapText="1"/>
    </xf>
    <xf numFmtId="0" fontId="35" fillId="5" borderId="0" xfId="0" applyFont="1" applyFill="1" applyAlignment="1">
      <alignment vertical="center" wrapText="1"/>
    </xf>
    <xf numFmtId="0" fontId="29" fillId="0" borderId="2" xfId="10" applyFill="1" applyBorder="1" applyAlignment="1">
      <alignment horizontal="center" vertical="center" wrapText="1"/>
    </xf>
    <xf numFmtId="14" fontId="6" fillId="0" borderId="2" xfId="1" applyNumberFormat="1" applyFont="1" applyFill="1" applyBorder="1" applyAlignment="1">
      <alignment horizontal="center" vertical="center" wrapText="1"/>
    </xf>
    <xf numFmtId="168" fontId="37" fillId="0" borderId="2" xfId="10" applyNumberFormat="1" applyFont="1" applyFill="1" applyBorder="1" applyAlignment="1">
      <alignment horizontal="center" vertical="center" wrapText="1"/>
    </xf>
    <xf numFmtId="168" fontId="18" fillId="0" borderId="2" xfId="10" applyNumberFormat="1" applyFont="1" applyFill="1" applyBorder="1" applyAlignment="1">
      <alignment horizontal="center" vertical="center" wrapText="1"/>
    </xf>
    <xf numFmtId="0" fontId="39" fillId="0" borderId="0" xfId="0" applyFont="1" applyAlignment="1">
      <alignment vertical="center" wrapText="1"/>
    </xf>
    <xf numFmtId="0" fontId="20" fillId="0" borderId="32" xfId="10" applyFont="1" applyBorder="1" applyAlignment="1" applyProtection="1">
      <alignment horizontal="center" vertical="center" wrapText="1"/>
    </xf>
    <xf numFmtId="0" fontId="6" fillId="5" borderId="32" xfId="0" applyFont="1" applyFill="1" applyBorder="1" applyAlignment="1">
      <alignment horizontal="center" vertical="center" wrapText="1"/>
    </xf>
    <xf numFmtId="14" fontId="6" fillId="5" borderId="32" xfId="0" applyNumberFormat="1" applyFont="1" applyFill="1" applyBorder="1" applyAlignment="1">
      <alignment horizontal="center" vertical="center" wrapText="1"/>
    </xf>
    <xf numFmtId="0" fontId="40" fillId="0" borderId="0" xfId="0" applyFont="1" applyAlignment="1">
      <alignment vertical="center" wrapText="1"/>
    </xf>
    <xf numFmtId="0" fontId="6" fillId="4" borderId="9" xfId="0" applyFont="1" applyFill="1" applyBorder="1" applyAlignment="1">
      <alignment horizontal="justify" vertical="center" wrapText="1"/>
    </xf>
    <xf numFmtId="171" fontId="6" fillId="5" borderId="14" xfId="0" applyNumberFormat="1" applyFont="1" applyFill="1" applyBorder="1" applyAlignment="1">
      <alignment horizontal="center" vertical="center" wrapText="1"/>
    </xf>
    <xf numFmtId="0" fontId="20" fillId="0" borderId="2" xfId="10" applyFont="1" applyBorder="1" applyAlignment="1">
      <alignment horizontal="center" vertical="center" wrapText="1"/>
    </xf>
    <xf numFmtId="0" fontId="6" fillId="6" borderId="9" xfId="0" applyFont="1" applyFill="1" applyBorder="1" applyAlignment="1">
      <alignment horizontal="justify" vertical="center" wrapText="1"/>
    </xf>
    <xf numFmtId="0" fontId="41" fillId="0" borderId="0" xfId="0" applyFont="1" applyAlignment="1">
      <alignment vertical="center" wrapText="1"/>
    </xf>
    <xf numFmtId="3" fontId="42"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 fontId="6" fillId="0" borderId="0" xfId="0" applyNumberFormat="1" applyFont="1" applyAlignment="1">
      <alignment horizontal="center" vertical="center" wrapText="1"/>
    </xf>
    <xf numFmtId="0" fontId="6" fillId="0" borderId="10" xfId="0" applyFont="1" applyBorder="1" applyAlignment="1">
      <alignment horizontal="center" vertical="center"/>
    </xf>
    <xf numFmtId="0" fontId="6" fillId="0" borderId="10" xfId="0" applyFont="1" applyBorder="1" applyAlignment="1">
      <alignment vertical="center"/>
    </xf>
    <xf numFmtId="0" fontId="6" fillId="0" borderId="2" xfId="0" applyFont="1" applyBorder="1" applyAlignment="1">
      <alignment horizontal="center" vertical="center"/>
    </xf>
    <xf numFmtId="0" fontId="5" fillId="0" borderId="10" xfId="0" applyFont="1" applyBorder="1" applyAlignment="1">
      <alignment horizontal="center" vertical="center"/>
    </xf>
    <xf numFmtId="16" fontId="6" fillId="5" borderId="0" xfId="0" applyNumberFormat="1" applyFont="1" applyFill="1" applyAlignment="1">
      <alignment horizontal="center" vertical="center" wrapText="1"/>
    </xf>
    <xf numFmtId="0" fontId="6" fillId="5" borderId="10" xfId="0" applyFont="1" applyFill="1" applyBorder="1" applyAlignment="1">
      <alignment horizontal="justify" vertical="center"/>
    </xf>
    <xf numFmtId="0" fontId="6" fillId="0" borderId="0" xfId="0" applyFont="1" applyAlignment="1">
      <alignment horizontal="justify" vertical="center" wrapText="1"/>
    </xf>
    <xf numFmtId="9" fontId="6" fillId="0" borderId="0" xfId="1" applyFont="1" applyBorder="1" applyAlignment="1">
      <alignment horizontal="center" vertical="center" wrapText="1"/>
    </xf>
    <xf numFmtId="171" fontId="6" fillId="0" borderId="0" xfId="0" applyNumberFormat="1" applyFont="1" applyAlignment="1">
      <alignment horizontal="center" vertical="center" wrapText="1"/>
    </xf>
    <xf numFmtId="168" fontId="37" fillId="0" borderId="0" xfId="10" applyNumberFormat="1" applyFont="1" applyBorder="1" applyAlignment="1" applyProtection="1">
      <alignment horizontal="center" vertical="center" wrapText="1"/>
    </xf>
    <xf numFmtId="168" fontId="18" fillId="0" borderId="0" xfId="10" applyNumberFormat="1" applyFont="1" applyBorder="1" applyAlignment="1" applyProtection="1">
      <alignment horizontal="center" vertical="center" wrapText="1"/>
    </xf>
    <xf numFmtId="14" fontId="37" fillId="0" borderId="1" xfId="10" applyNumberFormat="1" applyFont="1" applyBorder="1" applyAlignment="1" applyProtection="1">
      <alignment horizontal="center" vertical="center" wrapText="1"/>
    </xf>
    <xf numFmtId="14" fontId="13" fillId="0" borderId="0" xfId="0" applyNumberFormat="1" applyFont="1" applyAlignment="1">
      <alignment horizontal="center" vertical="center" wrapText="1"/>
    </xf>
    <xf numFmtId="0" fontId="42" fillId="0" borderId="1" xfId="0" applyFont="1" applyBorder="1" applyAlignment="1">
      <alignment horizontal="center" vertical="center" wrapText="1"/>
    </xf>
    <xf numFmtId="0" fontId="43" fillId="0" borderId="0" xfId="0" applyFont="1" applyAlignment="1">
      <alignment vertical="center" wrapText="1"/>
    </xf>
    <xf numFmtId="10" fontId="0" fillId="5" borderId="0" xfId="1" applyNumberFormat="1" applyFont="1" applyFill="1" applyAlignment="1">
      <alignment horizontal="left" indent="1"/>
    </xf>
    <xf numFmtId="0" fontId="29" fillId="5" borderId="10" xfId="10" applyFill="1" applyBorder="1" applyAlignment="1">
      <alignment horizontal="center" vertical="center" wrapText="1"/>
    </xf>
    <xf numFmtId="14" fontId="37" fillId="5" borderId="10" xfId="0" applyNumberFormat="1" applyFont="1" applyFill="1" applyBorder="1" applyAlignment="1">
      <alignment horizontal="center" vertical="center" wrapText="1"/>
    </xf>
    <xf numFmtId="0" fontId="44" fillId="0" borderId="0" xfId="0" applyFont="1" applyAlignment="1">
      <alignment vertical="center" wrapText="1"/>
    </xf>
    <xf numFmtId="0" fontId="29" fillId="0" borderId="10" xfId="10" applyFill="1" applyBorder="1" applyAlignment="1">
      <alignment horizontal="center" vertical="center" wrapText="1"/>
    </xf>
    <xf numFmtId="0" fontId="37" fillId="0" borderId="10" xfId="0" applyFont="1" applyBorder="1" applyAlignment="1">
      <alignment horizontal="center" vertical="center" wrapText="1"/>
    </xf>
    <xf numFmtId="0" fontId="46" fillId="0" borderId="0" xfId="0" applyFont="1" applyAlignment="1">
      <alignment vertical="center" wrapText="1"/>
    </xf>
    <xf numFmtId="0" fontId="47" fillId="0" borderId="0" xfId="0" applyFont="1" applyAlignment="1">
      <alignment vertical="center" wrapText="1"/>
    </xf>
    <xf numFmtId="2" fontId="6" fillId="0" borderId="1" xfId="0" applyNumberFormat="1" applyFont="1" applyBorder="1" applyAlignment="1">
      <alignment horizontal="center" vertical="center" wrapText="1"/>
    </xf>
    <xf numFmtId="0" fontId="29" fillId="0" borderId="10" xfId="10" applyFill="1" applyBorder="1" applyAlignment="1" applyProtection="1">
      <alignment horizontal="center" vertical="center" wrapText="1"/>
    </xf>
    <xf numFmtId="0" fontId="48" fillId="0" borderId="0" xfId="0" applyFont="1" applyAlignment="1">
      <alignment vertical="center" wrapText="1"/>
    </xf>
    <xf numFmtId="14" fontId="6" fillId="0" borderId="0" xfId="1" applyNumberFormat="1" applyFont="1" applyAlignment="1">
      <alignment horizontal="center" vertical="center" wrapText="1"/>
    </xf>
    <xf numFmtId="14" fontId="5" fillId="0" borderId="0" xfId="1" applyNumberFormat="1" applyFont="1" applyAlignment="1">
      <alignment horizontal="center" vertical="center" wrapText="1"/>
    </xf>
    <xf numFmtId="0" fontId="49" fillId="0" borderId="0" xfId="0" applyFont="1" applyAlignment="1">
      <alignment vertical="center" wrapText="1"/>
    </xf>
    <xf numFmtId="0" fontId="6" fillId="8" borderId="10" xfId="0" applyFont="1" applyFill="1" applyBorder="1" applyAlignment="1">
      <alignment horizontal="center" vertical="center" wrapText="1"/>
    </xf>
    <xf numFmtId="0" fontId="6" fillId="0" borderId="9" xfId="0" applyFont="1" applyBorder="1" applyAlignment="1">
      <alignment vertical="center"/>
    </xf>
    <xf numFmtId="0" fontId="29" fillId="8" borderId="10" xfId="10" applyFill="1" applyBorder="1" applyAlignment="1">
      <alignment horizontal="center" vertical="center" wrapText="1"/>
    </xf>
    <xf numFmtId="0" fontId="29" fillId="0" borderId="10" xfId="11" applyFill="1" applyBorder="1" applyAlignment="1">
      <alignment horizontal="center" vertical="center" wrapText="1"/>
    </xf>
    <xf numFmtId="0" fontId="29" fillId="0" borderId="1" xfId="11" applyBorder="1" applyAlignment="1">
      <alignment horizontal="center" vertical="center" wrapText="1"/>
    </xf>
    <xf numFmtId="0" fontId="29" fillId="0" borderId="10" xfId="11" applyBorder="1" applyAlignment="1" applyProtection="1">
      <alignment horizontal="center" vertical="center" wrapText="1"/>
    </xf>
    <xf numFmtId="0" fontId="29" fillId="0" borderId="10" xfId="11" applyBorder="1" applyAlignment="1">
      <alignment horizontal="center" vertical="center" wrapText="1"/>
    </xf>
    <xf numFmtId="165" fontId="5" fillId="0" borderId="0" xfId="0" applyNumberFormat="1" applyFont="1" applyAlignment="1">
      <alignment horizontal="center" vertical="center"/>
    </xf>
    <xf numFmtId="0" fontId="5" fillId="0" borderId="0" xfId="0" applyFont="1" applyAlignment="1">
      <alignment horizontal="center" vertical="center"/>
    </xf>
    <xf numFmtId="0" fontId="9" fillId="5" borderId="8" xfId="0" applyFont="1" applyFill="1" applyBorder="1" applyAlignment="1">
      <alignment horizontal="center"/>
    </xf>
    <xf numFmtId="0" fontId="9" fillId="5" borderId="16" xfId="0" applyFont="1" applyFill="1" applyBorder="1" applyAlignment="1">
      <alignment horizontal="center"/>
    </xf>
    <xf numFmtId="0" fontId="9" fillId="5" borderId="17" xfId="0" applyFont="1" applyFill="1" applyBorder="1" applyAlignment="1">
      <alignment horizontal="center"/>
    </xf>
    <xf numFmtId="0" fontId="0" fillId="5" borderId="5" xfId="0" applyFill="1" applyBorder="1" applyAlignment="1">
      <alignment horizontal="center"/>
    </xf>
    <xf numFmtId="0" fontId="9" fillId="0" borderId="8" xfId="0" applyFont="1" applyBorder="1" applyAlignment="1">
      <alignment horizontal="center"/>
    </xf>
    <xf numFmtId="0" fontId="9" fillId="0" borderId="16" xfId="0" applyFont="1" applyBorder="1" applyAlignment="1">
      <alignment horizontal="center"/>
    </xf>
    <xf numFmtId="0" fontId="9" fillId="0" borderId="17" xfId="0" applyFont="1" applyBorder="1" applyAlignment="1">
      <alignment horizontal="center"/>
    </xf>
    <xf numFmtId="0" fontId="0" fillId="5" borderId="0" xfId="0" applyFill="1" applyAlignment="1">
      <alignment horizontal="center"/>
    </xf>
    <xf numFmtId="0" fontId="9" fillId="0" borderId="5" xfId="0" applyFont="1" applyBorder="1" applyAlignment="1">
      <alignment horizontal="center" vertical="center" wrapText="1"/>
    </xf>
    <xf numFmtId="0" fontId="9" fillId="0" borderId="5" xfId="0" applyFont="1" applyBorder="1" applyAlignment="1">
      <alignment horizontal="center"/>
    </xf>
    <xf numFmtId="17" fontId="26" fillId="11" borderId="8" xfId="0" applyNumberFormat="1" applyFont="1" applyFill="1" applyBorder="1" applyAlignment="1">
      <alignment horizontal="center" vertical="center"/>
    </xf>
    <xf numFmtId="0" fontId="26" fillId="11" borderId="16" xfId="0" applyFont="1" applyFill="1" applyBorder="1" applyAlignment="1">
      <alignment horizontal="center" vertical="center"/>
    </xf>
    <xf numFmtId="0" fontId="26" fillId="11" borderId="17" xfId="0" applyFont="1" applyFill="1" applyBorder="1" applyAlignment="1">
      <alignment horizontal="center" vertical="center"/>
    </xf>
    <xf numFmtId="0" fontId="26" fillId="11" borderId="8" xfId="0" applyFont="1" applyFill="1" applyBorder="1" applyAlignment="1">
      <alignment horizontal="center" vertical="center"/>
    </xf>
    <xf numFmtId="0" fontId="26" fillId="11" borderId="30" xfId="0" applyFont="1" applyFill="1" applyBorder="1" applyAlignment="1">
      <alignment horizontal="center" vertical="center"/>
    </xf>
    <xf numFmtId="0" fontId="26" fillId="11" borderId="31" xfId="0" applyFont="1" applyFill="1" applyBorder="1" applyAlignment="1">
      <alignment horizontal="center" vertical="center"/>
    </xf>
    <xf numFmtId="0" fontId="26" fillId="5" borderId="0" xfId="0" applyFont="1" applyFill="1" applyAlignment="1">
      <alignment horizontal="center" vertical="center"/>
    </xf>
    <xf numFmtId="17" fontId="26" fillId="5" borderId="0" xfId="0" applyNumberFormat="1" applyFont="1" applyFill="1" applyAlignment="1">
      <alignment horizontal="center" vertical="center"/>
    </xf>
  </cellXfs>
  <cellStyles count="12">
    <cellStyle name="Hipervínculo" xfId="10" builtinId="8"/>
    <cellStyle name="Hipervínculo visitado" xfId="7" builtinId="9" hidden="1"/>
    <cellStyle name="Hipervínculo visitado" xfId="6" builtinId="9" hidden="1"/>
    <cellStyle name="Hipervínculo visitado" xfId="4" builtinId="9" hidden="1"/>
    <cellStyle name="Hipervínculo visitado" xfId="5" builtinId="9" hidden="1"/>
    <cellStyle name="Hipervínculo visitado" xfId="2" builtinId="9" hidden="1"/>
    <cellStyle name="Hipervínculo visitado" xfId="3" builtinId="9" hidden="1"/>
    <cellStyle name="Hyperlink" xfId="11" xr:uid="{00000000-000B-0000-0000-000008000000}"/>
    <cellStyle name="Moneda" xfId="9" builtinId="4"/>
    <cellStyle name="Normal" xfId="0" builtinId="0"/>
    <cellStyle name="Normal 2" xfId="8" xr:uid="{00000000-0005-0000-0000-00000A000000}"/>
    <cellStyle name="Porcentaje" xfId="1" builtinId="5"/>
  </cellStyles>
  <dxfs count="114">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auto="1"/>
      </font>
      <fill>
        <patternFill>
          <bgColor rgb="FF66FF33"/>
        </patternFill>
      </fill>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9C0006"/>
      </font>
      <fill>
        <patternFill>
          <bgColor rgb="FFFFC7CE"/>
        </patternFill>
      </fill>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
      <font>
        <color rgb="FFFF0000"/>
      </font>
      <fill>
        <patternFill>
          <bgColor theme="0" tint="-0.24994659260841701"/>
        </patternFill>
      </fill>
    </dxf>
    <dxf>
      <font>
        <color rgb="FFFF0000"/>
      </font>
      <fill>
        <patternFill>
          <bgColor rgb="FFCCFF66"/>
        </patternFill>
      </fill>
    </dxf>
    <dxf>
      <font>
        <color theme="3" tint="-0.24994659260841701"/>
      </font>
    </dxf>
    <dxf>
      <font>
        <strike/>
      </font>
    </dxf>
  </dxfs>
  <tableStyles count="0" defaultTableStyle="TableStyleMedium9" defaultPivotStyle="PivotStyleMedium4"/>
  <colors>
    <mruColors>
      <color rgb="FF00FFFF"/>
      <color rgb="FF66FFFF"/>
      <color rgb="FFCCFFFF"/>
      <color rgb="FF66FF33"/>
      <color rgb="FFCCFF33"/>
      <color rgb="FF99FF33"/>
      <color rgb="FF8964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20/07/relationships/rdRichValueWebImage" Target="richData/rdRichValueWebImage.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Array" Target="richData/rdarray.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Negociación Directa</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L"/>
        </a:p>
      </c:txPr>
    </c:title>
    <c:autoTitleDeleted val="0"/>
    <c:plotArea>
      <c:layout>
        <c:manualLayout>
          <c:layoutTarget val="inner"/>
          <c:xMode val="edge"/>
          <c:yMode val="edge"/>
          <c:x val="8.7470991499196932E-2"/>
          <c:y val="0.22664964861746242"/>
          <c:w val="0.89063846123712143"/>
          <c:h val="0.62242579302210443"/>
        </c:manualLayout>
      </c:layout>
      <c:barChart>
        <c:barDir val="col"/>
        <c:grouping val="clustered"/>
        <c:varyColors val="0"/>
        <c:ser>
          <c:idx val="0"/>
          <c:order val="0"/>
          <c:tx>
            <c:strRef>
              <c:f>'Graficos-Ind 2'!$M$6</c:f>
              <c:strCache>
                <c:ptCount val="1"/>
                <c:pt idx="0">
                  <c:v>PG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2'!$M$7:$M$20</c:f>
              <c:numCache>
                <c:formatCode>0</c:formatCode>
                <c:ptCount val="14"/>
                <c:pt idx="0">
                  <c:v>21</c:v>
                </c:pt>
                <c:pt idx="1">
                  <c:v>25</c:v>
                </c:pt>
                <c:pt idx="2">
                  <c:v>22</c:v>
                </c:pt>
                <c:pt idx="3">
                  <c:v>20</c:v>
                </c:pt>
                <c:pt idx="4">
                  <c:v>30</c:v>
                </c:pt>
                <c:pt idx="5">
                  <c:v>64</c:v>
                </c:pt>
                <c:pt idx="6">
                  <c:v>45</c:v>
                </c:pt>
                <c:pt idx="7">
                  <c:v>23</c:v>
                </c:pt>
                <c:pt idx="8">
                  <c:v>37</c:v>
                </c:pt>
                <c:pt idx="9">
                  <c:v>26</c:v>
                </c:pt>
                <c:pt idx="10">
                  <c:v>39</c:v>
                </c:pt>
                <c:pt idx="11">
                  <c:v>23</c:v>
                </c:pt>
                <c:pt idx="12">
                  <c:v>41</c:v>
                </c:pt>
                <c:pt idx="13">
                  <c:v>84</c:v>
                </c:pt>
              </c:numCache>
            </c:numRef>
          </c:val>
          <c:extLst>
            <c:ext xmlns:c16="http://schemas.microsoft.com/office/drawing/2014/chart" uri="{C3380CC4-5D6E-409C-BE32-E72D297353CC}">
              <c16:uniqueId val="{00000000-1FCA-4AC4-ADDE-57666111D5A5}"/>
            </c:ext>
          </c:extLst>
        </c:ser>
        <c:ser>
          <c:idx val="1"/>
          <c:order val="1"/>
          <c:tx>
            <c:strRef>
              <c:f>'Graficos-Ind 2'!$N$6</c:f>
              <c:strCache>
                <c:ptCount val="1"/>
                <c:pt idx="0">
                  <c:v>PP</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2'!$N$7:$N$20</c:f>
              <c:numCache>
                <c:formatCode>0</c:formatCode>
                <c:ptCount val="14"/>
                <c:pt idx="0">
                  <c:v>24</c:v>
                </c:pt>
                <c:pt idx="1">
                  <c:v>17</c:v>
                </c:pt>
                <c:pt idx="2">
                  <c:v>30</c:v>
                </c:pt>
                <c:pt idx="3">
                  <c:v>40</c:v>
                </c:pt>
                <c:pt idx="4">
                  <c:v>34</c:v>
                </c:pt>
                <c:pt idx="5">
                  <c:v>37</c:v>
                </c:pt>
                <c:pt idx="6">
                  <c:v>30</c:v>
                </c:pt>
                <c:pt idx="7">
                  <c:v>48</c:v>
                </c:pt>
                <c:pt idx="8">
                  <c:v>63</c:v>
                </c:pt>
                <c:pt idx="9">
                  <c:v>30</c:v>
                </c:pt>
                <c:pt idx="10">
                  <c:v>32</c:v>
                </c:pt>
                <c:pt idx="11">
                  <c:v>49</c:v>
                </c:pt>
                <c:pt idx="12">
                  <c:v>45</c:v>
                </c:pt>
                <c:pt idx="13">
                  <c:v>42</c:v>
                </c:pt>
              </c:numCache>
            </c:numRef>
          </c:val>
          <c:extLst>
            <c:ext xmlns:c16="http://schemas.microsoft.com/office/drawing/2014/chart" uri="{C3380CC4-5D6E-409C-BE32-E72D297353CC}">
              <c16:uniqueId val="{00000001-1FCA-4AC4-ADDE-57666111D5A5}"/>
            </c:ext>
          </c:extLst>
        </c:ser>
        <c:ser>
          <c:idx val="2"/>
          <c:order val="2"/>
          <c:tx>
            <c:strRef>
              <c:f>'Graficos-Ind 2'!$O$6</c:f>
              <c:strCache>
                <c:ptCount val="1"/>
                <c:pt idx="0">
                  <c:v>PD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2'!$O$7:$O$20</c:f>
              <c:numCache>
                <c:formatCode>0</c:formatCode>
                <c:ptCount val="14"/>
                <c:pt idx="0">
                  <c:v>0</c:v>
                </c:pt>
                <c:pt idx="1">
                  <c:v>0</c:v>
                </c:pt>
                <c:pt idx="2">
                  <c:v>0</c:v>
                </c:pt>
                <c:pt idx="3">
                  <c:v>0</c:v>
                </c:pt>
                <c:pt idx="4">
                  <c:v>0</c:v>
                </c:pt>
                <c:pt idx="5">
                  <c:v>0</c:v>
                </c:pt>
                <c:pt idx="6">
                  <c:v>0</c:v>
                </c:pt>
                <c:pt idx="7">
                  <c:v>0</c:v>
                </c:pt>
                <c:pt idx="8">
                  <c:v>1</c:v>
                </c:pt>
                <c:pt idx="9">
                  <c:v>0</c:v>
                </c:pt>
                <c:pt idx="10">
                  <c:v>1</c:v>
                </c:pt>
                <c:pt idx="11">
                  <c:v>1</c:v>
                </c:pt>
                <c:pt idx="12">
                  <c:v>0</c:v>
                </c:pt>
                <c:pt idx="13">
                  <c:v>6</c:v>
                </c:pt>
              </c:numCache>
            </c:numRef>
          </c:val>
          <c:extLst>
            <c:ext xmlns:c16="http://schemas.microsoft.com/office/drawing/2014/chart" uri="{C3380CC4-5D6E-409C-BE32-E72D297353CC}">
              <c16:uniqueId val="{00000002-1FCA-4AC4-ADDE-57666111D5A5}"/>
            </c:ext>
          </c:extLst>
        </c:ser>
        <c:ser>
          <c:idx val="3"/>
          <c:order val="3"/>
          <c:tx>
            <c:strRef>
              <c:f>'Graficos-Ind 2'!$P$6</c:f>
              <c:strCache>
                <c:ptCount val="1"/>
                <c:pt idx="0">
                  <c:v>DP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2'!$P$7:$P$20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14</c:v>
                </c:pt>
              </c:numCache>
            </c:numRef>
          </c:val>
          <c:extLst>
            <c:ext xmlns:c16="http://schemas.microsoft.com/office/drawing/2014/chart" uri="{C3380CC4-5D6E-409C-BE32-E72D297353CC}">
              <c16:uniqueId val="{00000003-1FCA-4AC4-ADDE-57666111D5A5}"/>
            </c:ext>
          </c:extLst>
        </c:ser>
        <c:ser>
          <c:idx val="4"/>
          <c:order val="4"/>
          <c:tx>
            <c:strRef>
              <c:f>'Graficos-Ind 2'!$Q$6</c:f>
              <c:strCache>
                <c:ptCount val="1"/>
                <c:pt idx="0">
                  <c:v>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2'!$Q$7:$Q$20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3</c:v>
                </c:pt>
              </c:numCache>
            </c:numRef>
          </c:val>
          <c:extLst>
            <c:ext xmlns:c16="http://schemas.microsoft.com/office/drawing/2014/chart" uri="{C3380CC4-5D6E-409C-BE32-E72D297353CC}">
              <c16:uniqueId val="{00000004-1FCA-4AC4-ADDE-57666111D5A5}"/>
            </c:ext>
          </c:extLst>
        </c:ser>
        <c:dLbls>
          <c:showLegendKey val="0"/>
          <c:showVal val="0"/>
          <c:showCatName val="0"/>
          <c:showSerName val="0"/>
          <c:showPercent val="0"/>
          <c:showBubbleSize val="0"/>
        </c:dLbls>
        <c:gapWidth val="164"/>
        <c:overlap val="-22"/>
        <c:axId val="441728288"/>
        <c:axId val="441728680"/>
      </c:barChart>
      <c:catAx>
        <c:axId val="4417282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s-CL"/>
                  <a:t>Años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1728680"/>
        <c:crosses val="autoZero"/>
        <c:auto val="1"/>
        <c:lblAlgn val="ctr"/>
        <c:lblOffset val="100"/>
        <c:noMultiLvlLbl val="0"/>
      </c:catAx>
      <c:valAx>
        <c:axId val="4417286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172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L"/>
              <a:t>LICITACIÓN MULTIPLE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L"/>
        </a:p>
      </c:txPr>
    </c:title>
    <c:autoTitleDeleted val="0"/>
    <c:plotArea>
      <c:layout/>
      <c:barChart>
        <c:barDir val="col"/>
        <c:grouping val="clustered"/>
        <c:varyColors val="0"/>
        <c:ser>
          <c:idx val="0"/>
          <c:order val="0"/>
          <c:tx>
            <c:strRef>
              <c:f>'Graficos-Ind 2'!$V$6</c:f>
              <c:strCache>
                <c:ptCount val="1"/>
                <c:pt idx="0">
                  <c:v>PG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2'!$V$7:$V$20</c:f>
              <c:numCache>
                <c:formatCode>0</c:formatCode>
                <c:ptCount val="14"/>
                <c:pt idx="0">
                  <c:v>0</c:v>
                </c:pt>
                <c:pt idx="1">
                  <c:v>0</c:v>
                </c:pt>
                <c:pt idx="2">
                  <c:v>1</c:v>
                </c:pt>
                <c:pt idx="3">
                  <c:v>1</c:v>
                </c:pt>
                <c:pt idx="4">
                  <c:v>3</c:v>
                </c:pt>
                <c:pt idx="5">
                  <c:v>3</c:v>
                </c:pt>
                <c:pt idx="6">
                  <c:v>7</c:v>
                </c:pt>
                <c:pt idx="7">
                  <c:v>22</c:v>
                </c:pt>
                <c:pt idx="8">
                  <c:v>6</c:v>
                </c:pt>
                <c:pt idx="9">
                  <c:v>2</c:v>
                </c:pt>
                <c:pt idx="10">
                  <c:v>5</c:v>
                </c:pt>
                <c:pt idx="11">
                  <c:v>4</c:v>
                </c:pt>
                <c:pt idx="12">
                  <c:v>5</c:v>
                </c:pt>
                <c:pt idx="13">
                  <c:v>19</c:v>
                </c:pt>
              </c:numCache>
            </c:numRef>
          </c:val>
          <c:extLst>
            <c:ext xmlns:c16="http://schemas.microsoft.com/office/drawing/2014/chart" uri="{C3380CC4-5D6E-409C-BE32-E72D297353CC}">
              <c16:uniqueId val="{00000000-97BF-4D8F-82CF-9CF95643C799}"/>
            </c:ext>
          </c:extLst>
        </c:ser>
        <c:ser>
          <c:idx val="1"/>
          <c:order val="1"/>
          <c:tx>
            <c:strRef>
              <c:f>'Graficos-Ind 2'!$W$6</c:f>
              <c:strCache>
                <c:ptCount val="1"/>
                <c:pt idx="0">
                  <c:v>PP</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2'!$W$7:$W$20</c:f>
              <c:numCache>
                <c:formatCode>0</c:formatCode>
                <c:ptCount val="14"/>
                <c:pt idx="0">
                  <c:v>6</c:v>
                </c:pt>
                <c:pt idx="1">
                  <c:v>8</c:v>
                </c:pt>
                <c:pt idx="2">
                  <c:v>7</c:v>
                </c:pt>
                <c:pt idx="3">
                  <c:v>8</c:v>
                </c:pt>
                <c:pt idx="4">
                  <c:v>20</c:v>
                </c:pt>
                <c:pt idx="5">
                  <c:v>27</c:v>
                </c:pt>
                <c:pt idx="6">
                  <c:v>22</c:v>
                </c:pt>
                <c:pt idx="7">
                  <c:v>51</c:v>
                </c:pt>
                <c:pt idx="8">
                  <c:v>17</c:v>
                </c:pt>
                <c:pt idx="9">
                  <c:v>12</c:v>
                </c:pt>
                <c:pt idx="10">
                  <c:v>34</c:v>
                </c:pt>
                <c:pt idx="11">
                  <c:v>33</c:v>
                </c:pt>
                <c:pt idx="12">
                  <c:v>33</c:v>
                </c:pt>
                <c:pt idx="13">
                  <c:v>42</c:v>
                </c:pt>
              </c:numCache>
            </c:numRef>
          </c:val>
          <c:extLst>
            <c:ext xmlns:c16="http://schemas.microsoft.com/office/drawing/2014/chart" uri="{C3380CC4-5D6E-409C-BE32-E72D297353CC}">
              <c16:uniqueId val="{00000001-97BF-4D8F-82CF-9CF95643C799}"/>
            </c:ext>
          </c:extLst>
        </c:ser>
        <c:ser>
          <c:idx val="2"/>
          <c:order val="2"/>
          <c:tx>
            <c:strRef>
              <c:f>'Graficos-Ind 2'!$X$6</c:f>
              <c:strCache>
                <c:ptCount val="1"/>
                <c:pt idx="0">
                  <c:v>PD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2'!$X$7:$X$20</c:f>
              <c:numCache>
                <c:formatCode>0</c:formatCode>
                <c:ptCount val="14"/>
                <c:pt idx="0">
                  <c:v>0</c:v>
                </c:pt>
                <c:pt idx="1">
                  <c:v>0</c:v>
                </c:pt>
                <c:pt idx="2">
                  <c:v>0</c:v>
                </c:pt>
                <c:pt idx="3">
                  <c:v>0</c:v>
                </c:pt>
                <c:pt idx="4">
                  <c:v>0</c:v>
                </c:pt>
                <c:pt idx="5">
                  <c:v>0</c:v>
                </c:pt>
                <c:pt idx="6">
                  <c:v>0</c:v>
                </c:pt>
                <c:pt idx="7">
                  <c:v>0</c:v>
                </c:pt>
                <c:pt idx="8">
                  <c:v>0</c:v>
                </c:pt>
                <c:pt idx="9">
                  <c:v>1</c:v>
                </c:pt>
                <c:pt idx="10">
                  <c:v>0</c:v>
                </c:pt>
                <c:pt idx="11">
                  <c:v>3</c:v>
                </c:pt>
                <c:pt idx="12">
                  <c:v>3</c:v>
                </c:pt>
                <c:pt idx="13">
                  <c:v>9</c:v>
                </c:pt>
              </c:numCache>
            </c:numRef>
          </c:val>
          <c:extLst>
            <c:ext xmlns:c16="http://schemas.microsoft.com/office/drawing/2014/chart" uri="{C3380CC4-5D6E-409C-BE32-E72D297353CC}">
              <c16:uniqueId val="{00000002-97BF-4D8F-82CF-9CF95643C799}"/>
            </c:ext>
          </c:extLst>
        </c:ser>
        <c:ser>
          <c:idx val="3"/>
          <c:order val="3"/>
          <c:tx>
            <c:strRef>
              <c:f>'Graficos-Ind 2'!$Y$6</c:f>
              <c:strCache>
                <c:ptCount val="1"/>
                <c:pt idx="0">
                  <c:v>DP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2'!$Y$7:$Y$20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13</c:v>
                </c:pt>
              </c:numCache>
            </c:numRef>
          </c:val>
          <c:extLst>
            <c:ext xmlns:c16="http://schemas.microsoft.com/office/drawing/2014/chart" uri="{C3380CC4-5D6E-409C-BE32-E72D297353CC}">
              <c16:uniqueId val="{00000003-97BF-4D8F-82CF-9CF95643C799}"/>
            </c:ext>
          </c:extLst>
        </c:ser>
        <c:ser>
          <c:idx val="4"/>
          <c:order val="4"/>
          <c:tx>
            <c:strRef>
              <c:f>'Graficos-Ind 2'!$Z$6</c:f>
              <c:strCache>
                <c:ptCount val="1"/>
                <c:pt idx="0">
                  <c:v>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2'!$Z$7:$Z$20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extLst>
            <c:ext xmlns:c16="http://schemas.microsoft.com/office/drawing/2014/chart" uri="{C3380CC4-5D6E-409C-BE32-E72D297353CC}">
              <c16:uniqueId val="{00000004-97BF-4D8F-82CF-9CF95643C799}"/>
            </c:ext>
          </c:extLst>
        </c:ser>
        <c:dLbls>
          <c:showLegendKey val="0"/>
          <c:showVal val="0"/>
          <c:showCatName val="0"/>
          <c:showSerName val="0"/>
          <c:showPercent val="0"/>
          <c:showBubbleSize val="0"/>
        </c:dLbls>
        <c:gapWidth val="164"/>
        <c:overlap val="-22"/>
        <c:axId val="441729464"/>
        <c:axId val="442037784"/>
      </c:barChart>
      <c:catAx>
        <c:axId val="4417294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s-CL"/>
                  <a:t>Años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37784"/>
        <c:crosses val="autoZero"/>
        <c:auto val="1"/>
        <c:lblAlgn val="ctr"/>
        <c:lblOffset val="100"/>
        <c:noMultiLvlLbl val="0"/>
      </c:catAx>
      <c:valAx>
        <c:axId val="4420377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s-CL"/>
                  <a:t>Cantidad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1729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L"/>
              <a:t>Todas las Ofertas</a:t>
            </a:r>
          </a:p>
          <a:p>
            <a:pPr>
              <a:defRPr/>
            </a:pPr>
            <a:endParaRPr lang="es-CL"/>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L"/>
        </a:p>
      </c:txPr>
    </c:title>
    <c:autoTitleDeleted val="0"/>
    <c:plotArea>
      <c:layout>
        <c:manualLayout>
          <c:layoutTarget val="inner"/>
          <c:xMode val="edge"/>
          <c:yMode val="edge"/>
          <c:x val="3.26887256630497E-2"/>
          <c:y val="0.13068259456972303"/>
          <c:w val="0.94443448524302442"/>
          <c:h val="0.81086295540185538"/>
        </c:manualLayout>
      </c:layout>
      <c:barChart>
        <c:barDir val="col"/>
        <c:grouping val="clustered"/>
        <c:varyColors val="0"/>
        <c:ser>
          <c:idx val="0"/>
          <c:order val="0"/>
          <c:tx>
            <c:strRef>
              <c:f>'Graficos-Ind 2'!$C$6</c:f>
              <c:strCache>
                <c:ptCount val="1"/>
                <c:pt idx="0">
                  <c:v>PG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2'!$C$7:$C$20</c:f>
              <c:numCache>
                <c:formatCode>0</c:formatCode>
                <c:ptCount val="14"/>
                <c:pt idx="0">
                  <c:v>21</c:v>
                </c:pt>
                <c:pt idx="1">
                  <c:v>25</c:v>
                </c:pt>
                <c:pt idx="2">
                  <c:v>23</c:v>
                </c:pt>
                <c:pt idx="3">
                  <c:v>21</c:v>
                </c:pt>
                <c:pt idx="4">
                  <c:v>33</c:v>
                </c:pt>
                <c:pt idx="5">
                  <c:v>67</c:v>
                </c:pt>
                <c:pt idx="6">
                  <c:v>52</c:v>
                </c:pt>
                <c:pt idx="7">
                  <c:v>45</c:v>
                </c:pt>
                <c:pt idx="8">
                  <c:v>47</c:v>
                </c:pt>
                <c:pt idx="9">
                  <c:v>36</c:v>
                </c:pt>
                <c:pt idx="10">
                  <c:v>57</c:v>
                </c:pt>
                <c:pt idx="11">
                  <c:v>44</c:v>
                </c:pt>
                <c:pt idx="12">
                  <c:v>81</c:v>
                </c:pt>
                <c:pt idx="13">
                  <c:v>152</c:v>
                </c:pt>
              </c:numCache>
            </c:numRef>
          </c:val>
          <c:extLst>
            <c:ext xmlns:c16="http://schemas.microsoft.com/office/drawing/2014/chart" uri="{C3380CC4-5D6E-409C-BE32-E72D297353CC}">
              <c16:uniqueId val="{00000000-5D94-463C-B8A6-254BF8D0F0C1}"/>
            </c:ext>
          </c:extLst>
        </c:ser>
        <c:ser>
          <c:idx val="1"/>
          <c:order val="1"/>
          <c:tx>
            <c:strRef>
              <c:f>'Graficos-Ind 2'!$D$6</c:f>
              <c:strCache>
                <c:ptCount val="1"/>
                <c:pt idx="0">
                  <c:v>PP</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2'!$D$7:$D$20</c:f>
              <c:numCache>
                <c:formatCode>0</c:formatCode>
                <c:ptCount val="14"/>
                <c:pt idx="0">
                  <c:v>30</c:v>
                </c:pt>
                <c:pt idx="1">
                  <c:v>25</c:v>
                </c:pt>
                <c:pt idx="2">
                  <c:v>37</c:v>
                </c:pt>
                <c:pt idx="3">
                  <c:v>48</c:v>
                </c:pt>
                <c:pt idx="4">
                  <c:v>54</c:v>
                </c:pt>
                <c:pt idx="5">
                  <c:v>64</c:v>
                </c:pt>
                <c:pt idx="6">
                  <c:v>52</c:v>
                </c:pt>
                <c:pt idx="7">
                  <c:v>99</c:v>
                </c:pt>
                <c:pt idx="8">
                  <c:v>97</c:v>
                </c:pt>
                <c:pt idx="9">
                  <c:v>54</c:v>
                </c:pt>
                <c:pt idx="10">
                  <c:v>79</c:v>
                </c:pt>
                <c:pt idx="11">
                  <c:v>87</c:v>
                </c:pt>
                <c:pt idx="12">
                  <c:v>92</c:v>
                </c:pt>
                <c:pt idx="13">
                  <c:v>141</c:v>
                </c:pt>
              </c:numCache>
            </c:numRef>
          </c:val>
          <c:extLst>
            <c:ext xmlns:c16="http://schemas.microsoft.com/office/drawing/2014/chart" uri="{C3380CC4-5D6E-409C-BE32-E72D297353CC}">
              <c16:uniqueId val="{00000001-5D94-463C-B8A6-254BF8D0F0C1}"/>
            </c:ext>
          </c:extLst>
        </c:ser>
        <c:ser>
          <c:idx val="2"/>
          <c:order val="2"/>
          <c:tx>
            <c:strRef>
              <c:f>'Graficos-Ind 2'!$E$6</c:f>
              <c:strCache>
                <c:ptCount val="1"/>
                <c:pt idx="0">
                  <c:v>PD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2'!$E$7:$E$20</c:f>
              <c:numCache>
                <c:formatCode>0</c:formatCode>
                <c:ptCount val="14"/>
                <c:pt idx="0">
                  <c:v>0</c:v>
                </c:pt>
                <c:pt idx="1">
                  <c:v>0</c:v>
                </c:pt>
                <c:pt idx="2">
                  <c:v>0</c:v>
                </c:pt>
                <c:pt idx="3">
                  <c:v>0</c:v>
                </c:pt>
                <c:pt idx="4">
                  <c:v>0</c:v>
                </c:pt>
                <c:pt idx="5">
                  <c:v>0</c:v>
                </c:pt>
                <c:pt idx="6">
                  <c:v>0</c:v>
                </c:pt>
                <c:pt idx="7">
                  <c:v>0</c:v>
                </c:pt>
                <c:pt idx="8">
                  <c:v>1</c:v>
                </c:pt>
                <c:pt idx="9">
                  <c:v>1</c:v>
                </c:pt>
                <c:pt idx="10">
                  <c:v>1</c:v>
                </c:pt>
                <c:pt idx="11">
                  <c:v>2</c:v>
                </c:pt>
                <c:pt idx="12">
                  <c:v>4</c:v>
                </c:pt>
                <c:pt idx="13">
                  <c:v>24</c:v>
                </c:pt>
              </c:numCache>
            </c:numRef>
          </c:val>
          <c:extLst>
            <c:ext xmlns:c16="http://schemas.microsoft.com/office/drawing/2014/chart" uri="{C3380CC4-5D6E-409C-BE32-E72D297353CC}">
              <c16:uniqueId val="{00000002-5D94-463C-B8A6-254BF8D0F0C1}"/>
            </c:ext>
          </c:extLst>
        </c:ser>
        <c:ser>
          <c:idx val="3"/>
          <c:order val="3"/>
          <c:tx>
            <c:strRef>
              <c:f>'Graficos-Ind 2'!$F$6</c:f>
              <c:strCache>
                <c:ptCount val="1"/>
                <c:pt idx="0">
                  <c:v>DP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2'!$F$7:$F$20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37</c:v>
                </c:pt>
              </c:numCache>
            </c:numRef>
          </c:val>
          <c:extLst>
            <c:ext xmlns:c16="http://schemas.microsoft.com/office/drawing/2014/chart" uri="{C3380CC4-5D6E-409C-BE32-E72D297353CC}">
              <c16:uniqueId val="{00000003-5D94-463C-B8A6-254BF8D0F0C1}"/>
            </c:ext>
          </c:extLst>
        </c:ser>
        <c:ser>
          <c:idx val="4"/>
          <c:order val="4"/>
          <c:tx>
            <c:strRef>
              <c:f>'Graficos-Ind 2'!$G$6</c:f>
              <c:strCache>
                <c:ptCount val="1"/>
                <c:pt idx="0">
                  <c:v>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2'!$G$7:$G$20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5</c:v>
                </c:pt>
              </c:numCache>
            </c:numRef>
          </c:val>
          <c:extLst>
            <c:ext xmlns:c16="http://schemas.microsoft.com/office/drawing/2014/chart" uri="{C3380CC4-5D6E-409C-BE32-E72D297353CC}">
              <c16:uniqueId val="{00000004-5D94-463C-B8A6-254BF8D0F0C1}"/>
            </c:ext>
          </c:extLst>
        </c:ser>
        <c:dLbls>
          <c:showLegendKey val="0"/>
          <c:showVal val="0"/>
          <c:showCatName val="0"/>
          <c:showSerName val="0"/>
          <c:showPercent val="0"/>
          <c:showBubbleSize val="0"/>
        </c:dLbls>
        <c:gapWidth val="164"/>
        <c:overlap val="-22"/>
        <c:axId val="442038568"/>
        <c:axId val="442038960"/>
      </c:barChart>
      <c:catAx>
        <c:axId val="442038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Años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38960"/>
        <c:crosses val="autoZero"/>
        <c:auto val="1"/>
        <c:lblAlgn val="ctr"/>
        <c:lblOffset val="100"/>
        <c:noMultiLvlLbl val="0"/>
      </c:catAx>
      <c:valAx>
        <c:axId val="442038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38568"/>
        <c:crosses val="autoZero"/>
        <c:crossBetween val="between"/>
      </c:valAx>
      <c:spPr>
        <a:noFill/>
        <a:ln>
          <a:noFill/>
        </a:ln>
        <a:effectLst/>
      </c:spPr>
    </c:plotArea>
    <c:legend>
      <c:legendPos val="t"/>
      <c:layout>
        <c:manualLayout>
          <c:xMode val="edge"/>
          <c:yMode val="edge"/>
          <c:x val="0.39869149657733244"/>
          <c:y val="0.10578843879607998"/>
          <c:w val="0.20261687183951371"/>
          <c:h val="5.20715240579994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CL"/>
              <a:t>TODAS LAS OFERTAS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6.1025371828521434E-2"/>
          <c:y val="9.6939043543948819E-2"/>
          <c:w val="0.90286351706036749"/>
          <c:h val="0.77401986714177284"/>
        </c:manualLayout>
      </c:layout>
      <c:lineChart>
        <c:grouping val="standard"/>
        <c:varyColors val="0"/>
        <c:ser>
          <c:idx val="0"/>
          <c:order val="0"/>
          <c:tx>
            <c:strRef>
              <c:f>'Graficos-Ind 2'!$C$6</c:f>
              <c:strCache>
                <c:ptCount val="1"/>
                <c:pt idx="0">
                  <c:v>PG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Lbl>
              <c:idx val="11"/>
              <c:layout>
                <c:manualLayout>
                  <c:x val="-1.2920172731884625E-2"/>
                  <c:y val="-3.73641119748123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53-4501-92D9-E3C4B0861C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2'!$C$7:$C$20</c:f>
              <c:numCache>
                <c:formatCode>0</c:formatCode>
                <c:ptCount val="14"/>
                <c:pt idx="0">
                  <c:v>21</c:v>
                </c:pt>
                <c:pt idx="1">
                  <c:v>25</c:v>
                </c:pt>
                <c:pt idx="2">
                  <c:v>23</c:v>
                </c:pt>
                <c:pt idx="3">
                  <c:v>21</c:v>
                </c:pt>
                <c:pt idx="4">
                  <c:v>33</c:v>
                </c:pt>
                <c:pt idx="5">
                  <c:v>67</c:v>
                </c:pt>
                <c:pt idx="6">
                  <c:v>52</c:v>
                </c:pt>
                <c:pt idx="7">
                  <c:v>45</c:v>
                </c:pt>
                <c:pt idx="8">
                  <c:v>47</c:v>
                </c:pt>
                <c:pt idx="9">
                  <c:v>36</c:v>
                </c:pt>
                <c:pt idx="10">
                  <c:v>57</c:v>
                </c:pt>
                <c:pt idx="11">
                  <c:v>44</c:v>
                </c:pt>
                <c:pt idx="12">
                  <c:v>81</c:v>
                </c:pt>
                <c:pt idx="13">
                  <c:v>152</c:v>
                </c:pt>
              </c:numCache>
            </c:numRef>
          </c:val>
          <c:smooth val="0"/>
          <c:extLst>
            <c:ext xmlns:c16="http://schemas.microsoft.com/office/drawing/2014/chart" uri="{C3380CC4-5D6E-409C-BE32-E72D297353CC}">
              <c16:uniqueId val="{00000000-9F56-4C8E-B3FD-9755456E7625}"/>
            </c:ext>
          </c:extLst>
        </c:ser>
        <c:ser>
          <c:idx val="1"/>
          <c:order val="1"/>
          <c:tx>
            <c:strRef>
              <c:f>'Graficos-Ind 2'!$D$6</c:f>
              <c:strCache>
                <c:ptCount val="1"/>
                <c:pt idx="0">
                  <c:v>PP</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11"/>
              <c:layout>
                <c:manualLayout>
                  <c:x val="-1.4629190289012363E-2"/>
                  <c:y val="-3.73641119748124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0F-4D6E-8ABF-EA0505143E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2'!$D$7:$D$20</c:f>
              <c:numCache>
                <c:formatCode>0</c:formatCode>
                <c:ptCount val="14"/>
                <c:pt idx="0">
                  <c:v>30</c:v>
                </c:pt>
                <c:pt idx="1">
                  <c:v>25</c:v>
                </c:pt>
                <c:pt idx="2">
                  <c:v>37</c:v>
                </c:pt>
                <c:pt idx="3">
                  <c:v>48</c:v>
                </c:pt>
                <c:pt idx="4">
                  <c:v>54</c:v>
                </c:pt>
                <c:pt idx="5">
                  <c:v>64</c:v>
                </c:pt>
                <c:pt idx="6">
                  <c:v>52</c:v>
                </c:pt>
                <c:pt idx="7">
                  <c:v>99</c:v>
                </c:pt>
                <c:pt idx="8">
                  <c:v>97</c:v>
                </c:pt>
                <c:pt idx="9">
                  <c:v>54</c:v>
                </c:pt>
                <c:pt idx="10">
                  <c:v>79</c:v>
                </c:pt>
                <c:pt idx="11">
                  <c:v>87</c:v>
                </c:pt>
                <c:pt idx="12">
                  <c:v>92</c:v>
                </c:pt>
                <c:pt idx="13">
                  <c:v>141</c:v>
                </c:pt>
              </c:numCache>
            </c:numRef>
          </c:val>
          <c:smooth val="0"/>
          <c:extLst>
            <c:ext xmlns:c16="http://schemas.microsoft.com/office/drawing/2014/chart" uri="{C3380CC4-5D6E-409C-BE32-E72D297353CC}">
              <c16:uniqueId val="{00000001-9F56-4C8E-B3FD-9755456E7625}"/>
            </c:ext>
          </c:extLst>
        </c:ser>
        <c:ser>
          <c:idx val="2"/>
          <c:order val="2"/>
          <c:tx>
            <c:strRef>
              <c:f>'Graficos-Ind 2'!$E$6</c:f>
              <c:strCache>
                <c:ptCount val="1"/>
                <c:pt idx="0">
                  <c:v>PD</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dLbl>
              <c:idx val="11"/>
              <c:layout>
                <c:manualLayout>
                  <c:x val="-7.3145951445061815E-3"/>
                  <c:y val="-1.72333913629471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53-4501-92D9-E3C4B0861C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2'!$E$7:$E$20</c:f>
              <c:numCache>
                <c:formatCode>0</c:formatCode>
                <c:ptCount val="14"/>
                <c:pt idx="0">
                  <c:v>0</c:v>
                </c:pt>
                <c:pt idx="1">
                  <c:v>0</c:v>
                </c:pt>
                <c:pt idx="2">
                  <c:v>0</c:v>
                </c:pt>
                <c:pt idx="3">
                  <c:v>0</c:v>
                </c:pt>
                <c:pt idx="4">
                  <c:v>0</c:v>
                </c:pt>
                <c:pt idx="5">
                  <c:v>0</c:v>
                </c:pt>
                <c:pt idx="6">
                  <c:v>0</c:v>
                </c:pt>
                <c:pt idx="7">
                  <c:v>0</c:v>
                </c:pt>
                <c:pt idx="8">
                  <c:v>1</c:v>
                </c:pt>
                <c:pt idx="9">
                  <c:v>1</c:v>
                </c:pt>
                <c:pt idx="10">
                  <c:v>1</c:v>
                </c:pt>
                <c:pt idx="11">
                  <c:v>2</c:v>
                </c:pt>
                <c:pt idx="12">
                  <c:v>4</c:v>
                </c:pt>
                <c:pt idx="13">
                  <c:v>24</c:v>
                </c:pt>
              </c:numCache>
            </c:numRef>
          </c:val>
          <c:smooth val="0"/>
          <c:extLst>
            <c:ext xmlns:c16="http://schemas.microsoft.com/office/drawing/2014/chart" uri="{C3380CC4-5D6E-409C-BE32-E72D297353CC}">
              <c16:uniqueId val="{00000002-9F56-4C8E-B3FD-9755456E7625}"/>
            </c:ext>
          </c:extLst>
        </c:ser>
        <c:ser>
          <c:idx val="3"/>
          <c:order val="3"/>
          <c:tx>
            <c:strRef>
              <c:f>'Graficos-Ind 2'!$F$6</c:f>
              <c:strCache>
                <c:ptCount val="1"/>
                <c:pt idx="0">
                  <c:v>DP</c:v>
                </c:pt>
              </c:strCache>
            </c:strRef>
          </c:tx>
          <c:spPr>
            <a:ln w="22225" cap="rnd">
              <a:solidFill>
                <a:schemeClr val="accent4"/>
              </a:solidFill>
              <a:round/>
            </a:ln>
            <a:effectLst/>
          </c:spPr>
          <c:marker>
            <c:symbol val="x"/>
            <c:size val="6"/>
            <c:spPr>
              <a:noFill/>
              <a:ln w="9525">
                <a:solidFill>
                  <a:schemeClr val="accent4"/>
                </a:solidFill>
                <a:round/>
              </a:ln>
              <a:effectLst/>
            </c:spPr>
          </c:marker>
          <c:dLbls>
            <c:dLbl>
              <c:idx val="5"/>
              <c:delete val="1"/>
              <c:extLst>
                <c:ext xmlns:c15="http://schemas.microsoft.com/office/drawing/2012/chart" uri="{CE6537A1-D6FC-4f65-9D91-7224C49458BB}"/>
                <c:ext xmlns:c16="http://schemas.microsoft.com/office/drawing/2014/chart" uri="{C3380CC4-5D6E-409C-BE32-E72D297353CC}">
                  <c16:uniqueId val="{00000009-4B53-4501-92D9-E3C4B0861CBC}"/>
                </c:ext>
              </c:extLst>
            </c:dLbl>
            <c:dLbl>
              <c:idx val="6"/>
              <c:delete val="1"/>
              <c:extLst>
                <c:ext xmlns:c15="http://schemas.microsoft.com/office/drawing/2012/chart" uri="{CE6537A1-D6FC-4f65-9D91-7224C49458BB}"/>
                <c:ext xmlns:c16="http://schemas.microsoft.com/office/drawing/2014/chart" uri="{C3380CC4-5D6E-409C-BE32-E72D297353CC}">
                  <c16:uniqueId val="{00000008-4B53-4501-92D9-E3C4B0861CBC}"/>
                </c:ext>
              </c:extLst>
            </c:dLbl>
            <c:dLbl>
              <c:idx val="7"/>
              <c:delete val="1"/>
              <c:extLst>
                <c:ext xmlns:c15="http://schemas.microsoft.com/office/drawing/2012/chart" uri="{CE6537A1-D6FC-4f65-9D91-7224C49458BB}"/>
                <c:ext xmlns:c16="http://schemas.microsoft.com/office/drawing/2014/chart" uri="{C3380CC4-5D6E-409C-BE32-E72D297353CC}">
                  <c16:uniqueId val="{00000007-4B53-4501-92D9-E3C4B0861CBC}"/>
                </c:ext>
              </c:extLst>
            </c:dLbl>
            <c:dLbl>
              <c:idx val="8"/>
              <c:delete val="1"/>
              <c:extLst>
                <c:ext xmlns:c15="http://schemas.microsoft.com/office/drawing/2012/chart" uri="{CE6537A1-D6FC-4f65-9D91-7224C49458BB}"/>
                <c:ext xmlns:c16="http://schemas.microsoft.com/office/drawing/2014/chart" uri="{C3380CC4-5D6E-409C-BE32-E72D297353CC}">
                  <c16:uniqueId val="{00000006-4B53-4501-92D9-E3C4B0861CBC}"/>
                </c:ext>
              </c:extLst>
            </c:dLbl>
            <c:dLbl>
              <c:idx val="9"/>
              <c:delete val="1"/>
              <c:extLst>
                <c:ext xmlns:c15="http://schemas.microsoft.com/office/drawing/2012/chart" uri="{CE6537A1-D6FC-4f65-9D91-7224C49458BB}"/>
                <c:ext xmlns:c16="http://schemas.microsoft.com/office/drawing/2014/chart" uri="{C3380CC4-5D6E-409C-BE32-E72D297353CC}">
                  <c16:uniqueId val="{00000005-4B53-4501-92D9-E3C4B0861CBC}"/>
                </c:ext>
              </c:extLst>
            </c:dLbl>
            <c:dLbl>
              <c:idx val="10"/>
              <c:layout>
                <c:manualLayout>
                  <c:x val="-3.6846418531671324E-2"/>
                  <c:y val="-3.73641119748123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53-4501-92D9-E3C4B0861CBC}"/>
                </c:ext>
              </c:extLst>
            </c:dLbl>
            <c:dLbl>
              <c:idx val="11"/>
              <c:layout>
                <c:manualLayout>
                  <c:x val="-1.4629190289012363E-2"/>
                  <c:y val="-3.44882947445459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53-4501-92D9-E3C4B0861C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2'!$F$7:$F$20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37</c:v>
                </c:pt>
              </c:numCache>
            </c:numRef>
          </c:val>
          <c:smooth val="0"/>
          <c:extLst>
            <c:ext xmlns:c16="http://schemas.microsoft.com/office/drawing/2014/chart" uri="{C3380CC4-5D6E-409C-BE32-E72D297353CC}">
              <c16:uniqueId val="{00000003-9F56-4C8E-B3FD-9755456E7625}"/>
            </c:ext>
          </c:extLst>
        </c:ser>
        <c:ser>
          <c:idx val="4"/>
          <c:order val="4"/>
          <c:tx>
            <c:strRef>
              <c:f>'Graficos-Ind 2'!$G$6</c:f>
              <c:strCache>
                <c:ptCount val="1"/>
                <c:pt idx="0">
                  <c:v>EP</c:v>
                </c:pt>
              </c:strCache>
            </c:strRef>
          </c:tx>
          <c:spPr>
            <a:ln w="22225" cap="rnd">
              <a:solidFill>
                <a:schemeClr val="accent5"/>
              </a:solidFill>
              <a:round/>
            </a:ln>
            <a:effectLst/>
          </c:spPr>
          <c:marker>
            <c:symbol val="star"/>
            <c:size val="6"/>
            <c:spPr>
              <a:noFill/>
              <a:ln w="9525">
                <a:solidFill>
                  <a:schemeClr val="accent5"/>
                </a:solidFill>
                <a:round/>
              </a:ln>
              <a:effectLst/>
            </c:spPr>
          </c:marker>
          <c:dLbls>
            <c:dLbl>
              <c:idx val="8"/>
              <c:delete val="1"/>
              <c:extLst>
                <c:ext xmlns:c15="http://schemas.microsoft.com/office/drawing/2012/chart" uri="{CE6537A1-D6FC-4f65-9D91-7224C49458BB}"/>
                <c:ext xmlns:c16="http://schemas.microsoft.com/office/drawing/2014/chart" uri="{C3380CC4-5D6E-409C-BE32-E72D297353CC}">
                  <c16:uniqueId val="{00000002-4B53-4501-92D9-E3C4B0861CBC}"/>
                </c:ext>
              </c:extLst>
            </c:dLbl>
            <c:dLbl>
              <c:idx val="10"/>
              <c:delete val="1"/>
              <c:extLst>
                <c:ext xmlns:c15="http://schemas.microsoft.com/office/drawing/2012/chart" uri="{CE6537A1-D6FC-4f65-9D91-7224C49458BB}"/>
                <c:ext xmlns:c16="http://schemas.microsoft.com/office/drawing/2014/chart" uri="{C3380CC4-5D6E-409C-BE32-E72D297353CC}">
                  <c16:uniqueId val="{00000004-4B53-4501-92D9-E3C4B0861CBC}"/>
                </c:ext>
              </c:extLst>
            </c:dLbl>
            <c:dLbl>
              <c:idx val="11"/>
              <c:layout>
                <c:manualLayout>
                  <c:x val="1.230492641131881E-3"/>
                  <c:y val="2.1512018651599498E-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3-4501-92D9-E3C4B0861C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2'!$B$7:$B$20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2'!$G$7:$G$20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5</c:v>
                </c:pt>
              </c:numCache>
            </c:numRef>
          </c:val>
          <c:smooth val="0"/>
          <c:extLst>
            <c:ext xmlns:c16="http://schemas.microsoft.com/office/drawing/2014/chart" uri="{C3380CC4-5D6E-409C-BE32-E72D297353CC}">
              <c16:uniqueId val="{00000004-9F56-4C8E-B3FD-9755456E7625}"/>
            </c:ext>
          </c:extLst>
        </c:ser>
        <c:dLbls>
          <c:dLblPos val="t"/>
          <c:showLegendKey val="0"/>
          <c:showVal val="1"/>
          <c:showCatName val="0"/>
          <c:showSerName val="0"/>
          <c:showPercent val="0"/>
          <c:showBubbleSize val="0"/>
        </c:dLbls>
        <c:marker val="1"/>
        <c:smooth val="0"/>
        <c:axId val="442039744"/>
        <c:axId val="442040136"/>
      </c:lineChart>
      <c:catAx>
        <c:axId val="442039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CL"/>
                  <a:t>Años</a:t>
                </a:r>
              </a:p>
              <a:p>
                <a:pPr>
                  <a:defRPr/>
                </a:pPr>
                <a:endParaRPr lang="es-CL"/>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L"/>
          </a:p>
        </c:txPr>
        <c:crossAx val="442040136"/>
        <c:crosses val="autoZero"/>
        <c:auto val="1"/>
        <c:lblAlgn val="ctr"/>
        <c:lblOffset val="100"/>
        <c:noMultiLvlLbl val="0"/>
      </c:catAx>
      <c:valAx>
        <c:axId val="4420401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39744"/>
        <c:crosses val="autoZero"/>
        <c:crossBetween val="between"/>
      </c:valAx>
      <c:spPr>
        <a:noFill/>
        <a:ln>
          <a:noFill/>
        </a:ln>
        <a:effectLst/>
      </c:spPr>
    </c:plotArea>
    <c:legend>
      <c:legendPos val="r"/>
      <c:layout>
        <c:manualLayout>
          <c:xMode val="edge"/>
          <c:yMode val="edge"/>
          <c:x val="0.87467774253583208"/>
          <c:y val="0.10963883358664679"/>
          <c:w val="6.8924678078956608E-2"/>
          <c:h val="0.30247952080663465"/>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NEGOCIACIÓN DIRECTA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8.1124377033104475E-2"/>
          <c:y val="0.10756798429605122"/>
          <c:w val="0.88057092719815666"/>
          <c:h val="0.76365406371188482"/>
        </c:manualLayout>
      </c:layout>
      <c:lineChart>
        <c:grouping val="standard"/>
        <c:varyColors val="0"/>
        <c:ser>
          <c:idx val="0"/>
          <c:order val="0"/>
          <c:tx>
            <c:strRef>
              <c:f>'Graficos-Ind 2'!$M$6</c:f>
              <c:strCache>
                <c:ptCount val="1"/>
                <c:pt idx="0">
                  <c:v>PG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2'!$M$7:$M$20</c:f>
              <c:numCache>
                <c:formatCode>0</c:formatCode>
                <c:ptCount val="14"/>
                <c:pt idx="0">
                  <c:v>21</c:v>
                </c:pt>
                <c:pt idx="1">
                  <c:v>25</c:v>
                </c:pt>
                <c:pt idx="2">
                  <c:v>22</c:v>
                </c:pt>
                <c:pt idx="3">
                  <c:v>20</c:v>
                </c:pt>
                <c:pt idx="4">
                  <c:v>30</c:v>
                </c:pt>
                <c:pt idx="5">
                  <c:v>64</c:v>
                </c:pt>
                <c:pt idx="6">
                  <c:v>45</c:v>
                </c:pt>
                <c:pt idx="7">
                  <c:v>23</c:v>
                </c:pt>
                <c:pt idx="8">
                  <c:v>37</c:v>
                </c:pt>
                <c:pt idx="9">
                  <c:v>26</c:v>
                </c:pt>
                <c:pt idx="10">
                  <c:v>39</c:v>
                </c:pt>
                <c:pt idx="11">
                  <c:v>23</c:v>
                </c:pt>
                <c:pt idx="12">
                  <c:v>41</c:v>
                </c:pt>
                <c:pt idx="13">
                  <c:v>84</c:v>
                </c:pt>
              </c:numCache>
            </c:numRef>
          </c:val>
          <c:smooth val="0"/>
          <c:extLst>
            <c:ext xmlns:c16="http://schemas.microsoft.com/office/drawing/2014/chart" uri="{C3380CC4-5D6E-409C-BE32-E72D297353CC}">
              <c16:uniqueId val="{00000000-0665-4646-B84C-E65DEE42B648}"/>
            </c:ext>
          </c:extLst>
        </c:ser>
        <c:ser>
          <c:idx val="1"/>
          <c:order val="1"/>
          <c:tx>
            <c:strRef>
              <c:f>'Graficos-Ind 2'!$N$6</c:f>
              <c:strCache>
                <c:ptCount val="1"/>
                <c:pt idx="0">
                  <c:v>PP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2'!$N$7:$N$20</c:f>
              <c:numCache>
                <c:formatCode>0</c:formatCode>
                <c:ptCount val="14"/>
                <c:pt idx="0">
                  <c:v>24</c:v>
                </c:pt>
                <c:pt idx="1">
                  <c:v>17</c:v>
                </c:pt>
                <c:pt idx="2">
                  <c:v>30</c:v>
                </c:pt>
                <c:pt idx="3">
                  <c:v>40</c:v>
                </c:pt>
                <c:pt idx="4">
                  <c:v>34</c:v>
                </c:pt>
                <c:pt idx="5">
                  <c:v>37</c:v>
                </c:pt>
                <c:pt idx="6">
                  <c:v>30</c:v>
                </c:pt>
                <c:pt idx="7">
                  <c:v>48</c:v>
                </c:pt>
                <c:pt idx="8">
                  <c:v>63</c:v>
                </c:pt>
                <c:pt idx="9">
                  <c:v>30</c:v>
                </c:pt>
                <c:pt idx="10">
                  <c:v>32</c:v>
                </c:pt>
                <c:pt idx="11">
                  <c:v>49</c:v>
                </c:pt>
                <c:pt idx="12">
                  <c:v>45</c:v>
                </c:pt>
                <c:pt idx="13">
                  <c:v>42</c:v>
                </c:pt>
              </c:numCache>
            </c:numRef>
          </c:val>
          <c:smooth val="0"/>
          <c:extLst>
            <c:ext xmlns:c16="http://schemas.microsoft.com/office/drawing/2014/chart" uri="{C3380CC4-5D6E-409C-BE32-E72D297353CC}">
              <c16:uniqueId val="{00000001-0665-4646-B84C-E65DEE42B648}"/>
            </c:ext>
          </c:extLst>
        </c:ser>
        <c:ser>
          <c:idx val="2"/>
          <c:order val="2"/>
          <c:tx>
            <c:strRef>
              <c:f>'Graficos-Ind 2'!$O$6</c:f>
              <c:strCache>
                <c:ptCount val="1"/>
                <c:pt idx="0">
                  <c:v>PD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1"/>
              <c:delete val="1"/>
              <c:extLst>
                <c:ext xmlns:c15="http://schemas.microsoft.com/office/drawing/2012/chart" uri="{CE6537A1-D6FC-4f65-9D91-7224C49458BB}"/>
                <c:ext xmlns:c16="http://schemas.microsoft.com/office/drawing/2014/chart" uri="{C3380CC4-5D6E-409C-BE32-E72D297353CC}">
                  <c16:uniqueId val="{00000003-F184-4473-9A4F-7F1464706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2'!$O$7:$O$20</c:f>
              <c:numCache>
                <c:formatCode>0</c:formatCode>
                <c:ptCount val="14"/>
                <c:pt idx="0">
                  <c:v>0</c:v>
                </c:pt>
                <c:pt idx="1">
                  <c:v>0</c:v>
                </c:pt>
                <c:pt idx="2">
                  <c:v>0</c:v>
                </c:pt>
                <c:pt idx="3">
                  <c:v>0</c:v>
                </c:pt>
                <c:pt idx="4">
                  <c:v>0</c:v>
                </c:pt>
                <c:pt idx="5">
                  <c:v>0</c:v>
                </c:pt>
                <c:pt idx="6">
                  <c:v>0</c:v>
                </c:pt>
                <c:pt idx="7">
                  <c:v>0</c:v>
                </c:pt>
                <c:pt idx="8">
                  <c:v>1</c:v>
                </c:pt>
                <c:pt idx="9">
                  <c:v>0</c:v>
                </c:pt>
                <c:pt idx="10">
                  <c:v>1</c:v>
                </c:pt>
                <c:pt idx="11">
                  <c:v>1</c:v>
                </c:pt>
                <c:pt idx="12">
                  <c:v>0</c:v>
                </c:pt>
                <c:pt idx="13">
                  <c:v>6</c:v>
                </c:pt>
              </c:numCache>
            </c:numRef>
          </c:val>
          <c:smooth val="0"/>
          <c:extLst>
            <c:ext xmlns:c16="http://schemas.microsoft.com/office/drawing/2014/chart" uri="{C3380CC4-5D6E-409C-BE32-E72D297353CC}">
              <c16:uniqueId val="{00000002-0665-4646-B84C-E65DEE42B648}"/>
            </c:ext>
          </c:extLst>
        </c:ser>
        <c:ser>
          <c:idx val="3"/>
          <c:order val="3"/>
          <c:tx>
            <c:strRef>
              <c:f>'Graficos-Ind 2'!$P$6</c:f>
              <c:strCache>
                <c:ptCount val="1"/>
                <c:pt idx="0">
                  <c:v>DP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8"/>
              <c:delete val="1"/>
              <c:extLst>
                <c:ext xmlns:c15="http://schemas.microsoft.com/office/drawing/2012/chart" uri="{CE6537A1-D6FC-4f65-9D91-7224C49458BB}"/>
                <c:ext xmlns:c16="http://schemas.microsoft.com/office/drawing/2014/chart" uri="{C3380CC4-5D6E-409C-BE32-E72D297353CC}">
                  <c16:uniqueId val="{00000006-F184-4473-9A4F-7F14647066DA}"/>
                </c:ext>
              </c:extLst>
            </c:dLbl>
            <c:dLbl>
              <c:idx val="10"/>
              <c:layout>
                <c:manualLayout>
                  <c:x val="-3.4228199782098567E-2"/>
                  <c:y val="-4.20310361253850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84-4473-9A4F-7F1464706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2'!$P$7:$P$20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14</c:v>
                </c:pt>
              </c:numCache>
            </c:numRef>
          </c:val>
          <c:smooth val="0"/>
          <c:extLst>
            <c:ext xmlns:c16="http://schemas.microsoft.com/office/drawing/2014/chart" uri="{C3380CC4-5D6E-409C-BE32-E72D297353CC}">
              <c16:uniqueId val="{00000003-0665-4646-B84C-E65DEE42B648}"/>
            </c:ext>
          </c:extLst>
        </c:ser>
        <c:ser>
          <c:idx val="4"/>
          <c:order val="4"/>
          <c:tx>
            <c:strRef>
              <c:f>'Graficos-Ind 2'!$Q$6</c:f>
              <c:strCache>
                <c:ptCount val="1"/>
                <c:pt idx="0">
                  <c:v>EP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8"/>
              <c:delete val="1"/>
              <c:extLst>
                <c:ext xmlns:c15="http://schemas.microsoft.com/office/drawing/2012/chart" uri="{CE6537A1-D6FC-4f65-9D91-7224C49458BB}"/>
                <c:ext xmlns:c16="http://schemas.microsoft.com/office/drawing/2014/chart" uri="{C3380CC4-5D6E-409C-BE32-E72D297353CC}">
                  <c16:uniqueId val="{00000005-F184-4473-9A4F-7F14647066DA}"/>
                </c:ext>
              </c:extLst>
            </c:dLbl>
            <c:dLbl>
              <c:idx val="10"/>
              <c:delete val="1"/>
              <c:extLst>
                <c:ext xmlns:c15="http://schemas.microsoft.com/office/drawing/2012/chart" uri="{CE6537A1-D6FC-4f65-9D91-7224C49458BB}"/>
                <c:ext xmlns:c16="http://schemas.microsoft.com/office/drawing/2014/chart" uri="{C3380CC4-5D6E-409C-BE32-E72D297353CC}">
                  <c16:uniqueId val="{00000004-F184-4473-9A4F-7F14647066DA}"/>
                </c:ext>
              </c:extLst>
            </c:dLbl>
            <c:dLbl>
              <c:idx val="11"/>
              <c:layout>
                <c:manualLayout>
                  <c:x val="2.1908921161677727E-3"/>
                  <c:y val="-1.8829529671666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84-4473-9A4F-7F1464706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2'!$L$7:$L$20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2'!$Q$7:$Q$20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3</c:v>
                </c:pt>
              </c:numCache>
            </c:numRef>
          </c:val>
          <c:smooth val="0"/>
          <c:extLst>
            <c:ext xmlns:c16="http://schemas.microsoft.com/office/drawing/2014/chart" uri="{C3380CC4-5D6E-409C-BE32-E72D297353CC}">
              <c16:uniqueId val="{00000004-0665-4646-B84C-E65DEE42B648}"/>
            </c:ext>
          </c:extLst>
        </c:ser>
        <c:dLbls>
          <c:dLblPos val="t"/>
          <c:showLegendKey val="0"/>
          <c:showVal val="1"/>
          <c:showCatName val="0"/>
          <c:showSerName val="0"/>
          <c:showPercent val="0"/>
          <c:showBubbleSize val="0"/>
        </c:dLbls>
        <c:marker val="1"/>
        <c:smooth val="0"/>
        <c:axId val="442040920"/>
        <c:axId val="442041312"/>
      </c:lineChart>
      <c:catAx>
        <c:axId val="442040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41312"/>
        <c:crosses val="autoZero"/>
        <c:auto val="1"/>
        <c:lblAlgn val="ctr"/>
        <c:lblOffset val="100"/>
        <c:noMultiLvlLbl val="0"/>
      </c:catAx>
      <c:valAx>
        <c:axId val="44204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040920"/>
        <c:crosses val="autoZero"/>
        <c:crossBetween val="between"/>
      </c:valAx>
      <c:spPr>
        <a:noFill/>
        <a:ln>
          <a:noFill/>
        </a:ln>
        <a:effectLst/>
      </c:spPr>
    </c:plotArea>
    <c:legend>
      <c:legendPos val="r"/>
      <c:layout>
        <c:manualLayout>
          <c:xMode val="edge"/>
          <c:yMode val="edge"/>
          <c:x val="0.87370045694255027"/>
          <c:y val="9.0659201384052077E-2"/>
          <c:w val="7.2425146758238995E-2"/>
          <c:h val="0.2447051010886895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LICITACIÓN MULTIPLE</a:t>
            </a:r>
          </a:p>
          <a:p>
            <a:pPr>
              <a:defRPr/>
            </a:pP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8.1308390022675731E-2"/>
          <c:y val="0.15796280991735537"/>
          <c:w val="0.89649900793650794"/>
          <c:h val="0.71257851239669423"/>
        </c:manualLayout>
      </c:layout>
      <c:lineChart>
        <c:grouping val="standard"/>
        <c:varyColors val="0"/>
        <c:ser>
          <c:idx val="0"/>
          <c:order val="0"/>
          <c:tx>
            <c:strRef>
              <c:f>'Graficos-Ind 2'!$V$6</c:f>
              <c:strCache>
                <c:ptCount val="1"/>
                <c:pt idx="0">
                  <c:v>PG</c:v>
                </c:pt>
              </c:strCache>
            </c:strRef>
          </c:tx>
          <c:spPr>
            <a:ln w="28575" cap="rnd">
              <a:solidFill>
                <a:schemeClr val="accent1"/>
              </a:solidFill>
              <a:round/>
            </a:ln>
            <a:effectLst/>
          </c:spPr>
          <c:marker>
            <c:symbol val="none"/>
          </c:marker>
          <c:dLbls>
            <c:dLbl>
              <c:idx val="11"/>
              <c:layout>
                <c:manualLayout>
                  <c:x val="3.9957482993197282E-3"/>
                  <c:y val="-2.7675619834710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36-4148-B53E-61EE1618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2'!$V$7:$V$20</c:f>
              <c:numCache>
                <c:formatCode>0</c:formatCode>
                <c:ptCount val="14"/>
                <c:pt idx="0">
                  <c:v>0</c:v>
                </c:pt>
                <c:pt idx="1">
                  <c:v>0</c:v>
                </c:pt>
                <c:pt idx="2">
                  <c:v>1</c:v>
                </c:pt>
                <c:pt idx="3">
                  <c:v>1</c:v>
                </c:pt>
                <c:pt idx="4">
                  <c:v>3</c:v>
                </c:pt>
                <c:pt idx="5">
                  <c:v>3</c:v>
                </c:pt>
                <c:pt idx="6">
                  <c:v>7</c:v>
                </c:pt>
                <c:pt idx="7">
                  <c:v>22</c:v>
                </c:pt>
                <c:pt idx="8">
                  <c:v>6</c:v>
                </c:pt>
                <c:pt idx="9">
                  <c:v>2</c:v>
                </c:pt>
                <c:pt idx="10">
                  <c:v>5</c:v>
                </c:pt>
                <c:pt idx="11">
                  <c:v>4</c:v>
                </c:pt>
                <c:pt idx="12">
                  <c:v>5</c:v>
                </c:pt>
                <c:pt idx="13">
                  <c:v>19</c:v>
                </c:pt>
              </c:numCache>
            </c:numRef>
          </c:val>
          <c:smooth val="0"/>
          <c:extLst>
            <c:ext xmlns:c16="http://schemas.microsoft.com/office/drawing/2014/chart" uri="{C3380CC4-5D6E-409C-BE32-E72D297353CC}">
              <c16:uniqueId val="{00000000-A874-48D1-904C-AEB42FB8FDE1}"/>
            </c:ext>
          </c:extLst>
        </c:ser>
        <c:ser>
          <c:idx val="1"/>
          <c:order val="1"/>
          <c:tx>
            <c:strRef>
              <c:f>'Graficos-Ind 2'!$W$6</c:f>
              <c:strCache>
                <c:ptCount val="1"/>
                <c:pt idx="0">
                  <c:v>PP</c:v>
                </c:pt>
              </c:strCache>
            </c:strRef>
          </c:tx>
          <c:spPr>
            <a:ln w="28575" cap="rnd">
              <a:solidFill>
                <a:schemeClr val="accent2"/>
              </a:solidFill>
              <a:round/>
            </a:ln>
            <a:effectLst/>
          </c:spPr>
          <c:marker>
            <c:symbol val="none"/>
          </c:marker>
          <c:dLbls>
            <c:dLbl>
              <c:idx val="8"/>
              <c:layout>
                <c:manualLayout>
                  <c:x val="-9.1074263038550072E-3"/>
                  <c:y val="-3.64221763085399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3436-4148-B53E-61EE16189609}"/>
                </c:ext>
              </c:extLst>
            </c:dLbl>
            <c:dLbl>
              <c:idx val="11"/>
              <c:layout>
                <c:manualLayout>
                  <c:x val="-1.4039115646259823E-3"/>
                  <c:y val="-4.8084251606978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36-4148-B53E-61EE1618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2'!$W$7:$W$20</c:f>
              <c:numCache>
                <c:formatCode>0</c:formatCode>
                <c:ptCount val="14"/>
                <c:pt idx="0">
                  <c:v>6</c:v>
                </c:pt>
                <c:pt idx="1">
                  <c:v>8</c:v>
                </c:pt>
                <c:pt idx="2">
                  <c:v>7</c:v>
                </c:pt>
                <c:pt idx="3">
                  <c:v>8</c:v>
                </c:pt>
                <c:pt idx="4">
                  <c:v>20</c:v>
                </c:pt>
                <c:pt idx="5">
                  <c:v>27</c:v>
                </c:pt>
                <c:pt idx="6">
                  <c:v>22</c:v>
                </c:pt>
                <c:pt idx="7">
                  <c:v>51</c:v>
                </c:pt>
                <c:pt idx="8">
                  <c:v>17</c:v>
                </c:pt>
                <c:pt idx="9">
                  <c:v>12</c:v>
                </c:pt>
                <c:pt idx="10">
                  <c:v>34</c:v>
                </c:pt>
                <c:pt idx="11">
                  <c:v>33</c:v>
                </c:pt>
                <c:pt idx="12">
                  <c:v>33</c:v>
                </c:pt>
                <c:pt idx="13">
                  <c:v>42</c:v>
                </c:pt>
              </c:numCache>
            </c:numRef>
          </c:val>
          <c:smooth val="0"/>
          <c:extLst>
            <c:ext xmlns:c16="http://schemas.microsoft.com/office/drawing/2014/chart" uri="{C3380CC4-5D6E-409C-BE32-E72D297353CC}">
              <c16:uniqueId val="{00000001-A874-48D1-904C-AEB42FB8FDE1}"/>
            </c:ext>
          </c:extLst>
        </c:ser>
        <c:ser>
          <c:idx val="2"/>
          <c:order val="2"/>
          <c:tx>
            <c:strRef>
              <c:f>'Graficos-Ind 2'!$X$6</c:f>
              <c:strCache>
                <c:ptCount val="1"/>
                <c:pt idx="0">
                  <c:v>PD</c:v>
                </c:pt>
              </c:strCache>
            </c:strRef>
          </c:tx>
          <c:spPr>
            <a:ln w="28575" cap="rnd">
              <a:solidFill>
                <a:schemeClr val="accent3"/>
              </a:solidFill>
              <a:round/>
            </a:ln>
            <a:effectLst/>
          </c:spPr>
          <c:marker>
            <c:symbol val="none"/>
          </c:marker>
          <c:dLbls>
            <c:dLbl>
              <c:idx val="2"/>
              <c:delete val="1"/>
              <c:extLst>
                <c:ext xmlns:c15="http://schemas.microsoft.com/office/drawing/2012/chart" uri="{CE6537A1-D6FC-4f65-9D91-7224C49458BB}"/>
                <c:ext xmlns:c16="http://schemas.microsoft.com/office/drawing/2014/chart" uri="{C3380CC4-5D6E-409C-BE32-E72D297353CC}">
                  <c16:uniqueId val="{00000007-3436-4148-B53E-61EE16189609}"/>
                </c:ext>
              </c:extLst>
            </c:dLbl>
            <c:dLbl>
              <c:idx val="3"/>
              <c:delete val="1"/>
              <c:extLst>
                <c:ext xmlns:c15="http://schemas.microsoft.com/office/drawing/2012/chart" uri="{CE6537A1-D6FC-4f65-9D91-7224C49458BB}"/>
                <c:ext xmlns:c16="http://schemas.microsoft.com/office/drawing/2014/chart" uri="{C3380CC4-5D6E-409C-BE32-E72D297353CC}">
                  <c16:uniqueId val="{00000005-3436-4148-B53E-61EE16189609}"/>
                </c:ext>
              </c:extLst>
            </c:dLbl>
            <c:dLbl>
              <c:idx val="4"/>
              <c:delete val="1"/>
              <c:extLst>
                <c:ext xmlns:c15="http://schemas.microsoft.com/office/drawing/2012/chart" uri="{CE6537A1-D6FC-4f65-9D91-7224C49458BB}"/>
                <c:ext xmlns:c16="http://schemas.microsoft.com/office/drawing/2014/chart" uri="{C3380CC4-5D6E-409C-BE32-E72D297353CC}">
                  <c16:uniqueId val="{00000009-3436-4148-B53E-61EE16189609}"/>
                </c:ext>
              </c:extLst>
            </c:dLbl>
            <c:dLbl>
              <c:idx val="5"/>
              <c:delete val="1"/>
              <c:extLst>
                <c:ext xmlns:c15="http://schemas.microsoft.com/office/drawing/2012/chart" uri="{CE6537A1-D6FC-4f65-9D91-7224C49458BB}"/>
                <c:ext xmlns:c16="http://schemas.microsoft.com/office/drawing/2014/chart" uri="{C3380CC4-5D6E-409C-BE32-E72D297353CC}">
                  <c16:uniqueId val="{0000000B-3436-4148-B53E-61EE16189609}"/>
                </c:ext>
              </c:extLst>
            </c:dLbl>
            <c:dLbl>
              <c:idx val="6"/>
              <c:delete val="1"/>
              <c:extLst>
                <c:ext xmlns:c15="http://schemas.microsoft.com/office/drawing/2012/chart" uri="{CE6537A1-D6FC-4f65-9D91-7224C49458BB}"/>
                <c:ext xmlns:c16="http://schemas.microsoft.com/office/drawing/2014/chart" uri="{C3380CC4-5D6E-409C-BE32-E72D297353CC}">
                  <c16:uniqueId val="{0000000D-3436-4148-B53E-61EE16189609}"/>
                </c:ext>
              </c:extLst>
            </c:dLbl>
            <c:dLbl>
              <c:idx val="9"/>
              <c:delete val="1"/>
              <c:extLst>
                <c:ext xmlns:c15="http://schemas.microsoft.com/office/drawing/2012/chart" uri="{CE6537A1-D6FC-4f65-9D91-7224C49458BB}"/>
                <c:ext xmlns:c16="http://schemas.microsoft.com/office/drawing/2014/chart" uri="{C3380CC4-5D6E-409C-BE32-E72D297353CC}">
                  <c16:uniqueId val="{00000011-3436-4148-B53E-61EE16189609}"/>
                </c:ext>
              </c:extLst>
            </c:dLbl>
            <c:dLbl>
              <c:idx val="10"/>
              <c:delete val="1"/>
              <c:extLst>
                <c:ext xmlns:c15="http://schemas.microsoft.com/office/drawing/2012/chart" uri="{CE6537A1-D6FC-4f65-9D91-7224C49458BB}"/>
                <c:ext xmlns:c16="http://schemas.microsoft.com/office/drawing/2014/chart" uri="{C3380CC4-5D6E-409C-BE32-E72D297353CC}">
                  <c16:uniqueId val="{0000000F-3436-4148-B53E-61EE1618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2'!$X$7:$X$20</c:f>
              <c:numCache>
                <c:formatCode>0</c:formatCode>
                <c:ptCount val="14"/>
                <c:pt idx="0">
                  <c:v>0</c:v>
                </c:pt>
                <c:pt idx="1">
                  <c:v>0</c:v>
                </c:pt>
                <c:pt idx="2">
                  <c:v>0</c:v>
                </c:pt>
                <c:pt idx="3">
                  <c:v>0</c:v>
                </c:pt>
                <c:pt idx="4">
                  <c:v>0</c:v>
                </c:pt>
                <c:pt idx="5">
                  <c:v>0</c:v>
                </c:pt>
                <c:pt idx="6">
                  <c:v>0</c:v>
                </c:pt>
                <c:pt idx="7">
                  <c:v>0</c:v>
                </c:pt>
                <c:pt idx="8">
                  <c:v>0</c:v>
                </c:pt>
                <c:pt idx="9">
                  <c:v>1</c:v>
                </c:pt>
                <c:pt idx="10">
                  <c:v>0</c:v>
                </c:pt>
                <c:pt idx="11">
                  <c:v>3</c:v>
                </c:pt>
                <c:pt idx="12">
                  <c:v>3</c:v>
                </c:pt>
                <c:pt idx="13">
                  <c:v>9</c:v>
                </c:pt>
              </c:numCache>
            </c:numRef>
          </c:val>
          <c:smooth val="0"/>
          <c:extLst>
            <c:ext xmlns:c16="http://schemas.microsoft.com/office/drawing/2014/chart" uri="{C3380CC4-5D6E-409C-BE32-E72D297353CC}">
              <c16:uniqueId val="{00000002-A874-48D1-904C-AEB42FB8FDE1}"/>
            </c:ext>
          </c:extLst>
        </c:ser>
        <c:ser>
          <c:idx val="3"/>
          <c:order val="3"/>
          <c:tx>
            <c:strRef>
              <c:f>'Graficos-Ind 2'!$Y$6</c:f>
              <c:strCache>
                <c:ptCount val="1"/>
                <c:pt idx="0">
                  <c:v>DP</c:v>
                </c:pt>
              </c:strCache>
            </c:strRef>
          </c:tx>
          <c:spPr>
            <a:ln w="28575" cap="rnd">
              <a:solidFill>
                <a:schemeClr val="accent4"/>
              </a:solidFill>
              <a:round/>
            </a:ln>
            <a:effectLst/>
          </c:spPr>
          <c:marker>
            <c:symbol val="none"/>
          </c:marker>
          <c:dLbls>
            <c:dLbl>
              <c:idx val="2"/>
              <c:delete val="1"/>
              <c:extLst>
                <c:ext xmlns:c15="http://schemas.microsoft.com/office/drawing/2012/chart" uri="{CE6537A1-D6FC-4f65-9D91-7224C49458BB}"/>
                <c:ext xmlns:c16="http://schemas.microsoft.com/office/drawing/2014/chart" uri="{C3380CC4-5D6E-409C-BE32-E72D297353CC}">
                  <c16:uniqueId val="{00000017-3436-4148-B53E-61EE16189609}"/>
                </c:ext>
              </c:extLst>
            </c:dLbl>
            <c:dLbl>
              <c:idx val="3"/>
              <c:delete val="1"/>
              <c:extLst>
                <c:ext xmlns:c15="http://schemas.microsoft.com/office/drawing/2012/chart" uri="{CE6537A1-D6FC-4f65-9D91-7224C49458BB}"/>
                <c:ext xmlns:c16="http://schemas.microsoft.com/office/drawing/2014/chart" uri="{C3380CC4-5D6E-409C-BE32-E72D297353CC}">
                  <c16:uniqueId val="{00000016-3436-4148-B53E-61EE16189609}"/>
                </c:ext>
              </c:extLst>
            </c:dLbl>
            <c:dLbl>
              <c:idx val="4"/>
              <c:delete val="1"/>
              <c:extLst>
                <c:ext xmlns:c15="http://schemas.microsoft.com/office/drawing/2012/chart" uri="{CE6537A1-D6FC-4f65-9D91-7224C49458BB}"/>
                <c:ext xmlns:c16="http://schemas.microsoft.com/office/drawing/2014/chart" uri="{C3380CC4-5D6E-409C-BE32-E72D297353CC}">
                  <c16:uniqueId val="{00000018-3436-4148-B53E-61EE16189609}"/>
                </c:ext>
              </c:extLst>
            </c:dLbl>
            <c:dLbl>
              <c:idx val="5"/>
              <c:delete val="1"/>
              <c:extLst>
                <c:ext xmlns:c15="http://schemas.microsoft.com/office/drawing/2012/chart" uri="{CE6537A1-D6FC-4f65-9D91-7224C49458BB}"/>
                <c:ext xmlns:c16="http://schemas.microsoft.com/office/drawing/2014/chart" uri="{C3380CC4-5D6E-409C-BE32-E72D297353CC}">
                  <c16:uniqueId val="{00000019-3436-4148-B53E-61EE16189609}"/>
                </c:ext>
              </c:extLst>
            </c:dLbl>
            <c:dLbl>
              <c:idx val="7"/>
              <c:delete val="1"/>
              <c:extLst>
                <c:ext xmlns:c15="http://schemas.microsoft.com/office/drawing/2012/chart" uri="{CE6537A1-D6FC-4f65-9D91-7224C49458BB}"/>
                <c:ext xmlns:c16="http://schemas.microsoft.com/office/drawing/2014/chart" uri="{C3380CC4-5D6E-409C-BE32-E72D297353CC}">
                  <c16:uniqueId val="{0000001A-3436-4148-B53E-61EE16189609}"/>
                </c:ext>
              </c:extLst>
            </c:dLbl>
            <c:dLbl>
              <c:idx val="8"/>
              <c:delete val="1"/>
              <c:extLst>
                <c:ext xmlns:c15="http://schemas.microsoft.com/office/drawing/2012/chart" uri="{CE6537A1-D6FC-4f65-9D91-7224C49458BB}"/>
                <c:ext xmlns:c16="http://schemas.microsoft.com/office/drawing/2014/chart" uri="{C3380CC4-5D6E-409C-BE32-E72D297353CC}">
                  <c16:uniqueId val="{00000015-3436-4148-B53E-61EE16189609}"/>
                </c:ext>
              </c:extLst>
            </c:dLbl>
            <c:dLbl>
              <c:idx val="9"/>
              <c:delete val="1"/>
              <c:extLst>
                <c:ext xmlns:c15="http://schemas.microsoft.com/office/drawing/2012/chart" uri="{CE6537A1-D6FC-4f65-9D91-7224C49458BB}"/>
                <c:ext xmlns:c16="http://schemas.microsoft.com/office/drawing/2014/chart" uri="{C3380CC4-5D6E-409C-BE32-E72D297353CC}">
                  <c16:uniqueId val="{00000003-3436-4148-B53E-61EE16189609}"/>
                </c:ext>
              </c:extLst>
            </c:dLbl>
            <c:dLbl>
              <c:idx val="11"/>
              <c:layout>
                <c:manualLayout>
                  <c:x val="-4.6401077097505801E-2"/>
                  <c:y val="-3.93376951331497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436-4148-B53E-61EE1618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2'!$Y$7:$Y$20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13</c:v>
                </c:pt>
              </c:numCache>
            </c:numRef>
          </c:val>
          <c:smooth val="0"/>
          <c:extLst>
            <c:ext xmlns:c16="http://schemas.microsoft.com/office/drawing/2014/chart" uri="{C3380CC4-5D6E-409C-BE32-E72D297353CC}">
              <c16:uniqueId val="{00000003-A874-48D1-904C-AEB42FB8FDE1}"/>
            </c:ext>
          </c:extLst>
        </c:ser>
        <c:ser>
          <c:idx val="4"/>
          <c:order val="4"/>
          <c:tx>
            <c:strRef>
              <c:f>'Graficos-Ind 2'!$Z$6</c:f>
              <c:strCache>
                <c:ptCount val="1"/>
                <c:pt idx="0">
                  <c:v>EP</c:v>
                </c:pt>
              </c:strCache>
            </c:strRef>
          </c:tx>
          <c:spPr>
            <a:ln w="28575" cap="rnd">
              <a:solidFill>
                <a:schemeClr val="accent5"/>
              </a:solidFill>
              <a:round/>
            </a:ln>
            <a:effectLst/>
          </c:spPr>
          <c:marker>
            <c:symbol val="none"/>
          </c:marker>
          <c:dLbls>
            <c:dLbl>
              <c:idx val="2"/>
              <c:delete val="1"/>
              <c:extLst>
                <c:ext xmlns:c15="http://schemas.microsoft.com/office/drawing/2012/chart" uri="{CE6537A1-D6FC-4f65-9D91-7224C49458BB}"/>
                <c:ext xmlns:c16="http://schemas.microsoft.com/office/drawing/2014/chart" uri="{C3380CC4-5D6E-409C-BE32-E72D297353CC}">
                  <c16:uniqueId val="{00000008-3436-4148-B53E-61EE16189609}"/>
                </c:ext>
              </c:extLst>
            </c:dLbl>
            <c:dLbl>
              <c:idx val="3"/>
              <c:delete val="1"/>
              <c:extLst>
                <c:ext xmlns:c15="http://schemas.microsoft.com/office/drawing/2012/chart" uri="{CE6537A1-D6FC-4f65-9D91-7224C49458BB}"/>
                <c:ext xmlns:c16="http://schemas.microsoft.com/office/drawing/2014/chart" uri="{C3380CC4-5D6E-409C-BE32-E72D297353CC}">
                  <c16:uniqueId val="{00000006-3436-4148-B53E-61EE16189609}"/>
                </c:ext>
              </c:extLst>
            </c:dLbl>
            <c:dLbl>
              <c:idx val="4"/>
              <c:delete val="1"/>
              <c:extLst>
                <c:ext xmlns:c15="http://schemas.microsoft.com/office/drawing/2012/chart" uri="{CE6537A1-D6FC-4f65-9D91-7224C49458BB}"/>
                <c:ext xmlns:c16="http://schemas.microsoft.com/office/drawing/2014/chart" uri="{C3380CC4-5D6E-409C-BE32-E72D297353CC}">
                  <c16:uniqueId val="{0000000A-3436-4148-B53E-61EE16189609}"/>
                </c:ext>
              </c:extLst>
            </c:dLbl>
            <c:dLbl>
              <c:idx val="5"/>
              <c:delete val="1"/>
              <c:extLst>
                <c:ext xmlns:c15="http://schemas.microsoft.com/office/drawing/2012/chart" uri="{CE6537A1-D6FC-4f65-9D91-7224C49458BB}"/>
                <c:ext xmlns:c16="http://schemas.microsoft.com/office/drawing/2014/chart" uri="{C3380CC4-5D6E-409C-BE32-E72D297353CC}">
                  <c16:uniqueId val="{0000000C-3436-4148-B53E-61EE16189609}"/>
                </c:ext>
              </c:extLst>
            </c:dLbl>
            <c:dLbl>
              <c:idx val="6"/>
              <c:delete val="1"/>
              <c:extLst>
                <c:ext xmlns:c15="http://schemas.microsoft.com/office/drawing/2012/chart" uri="{CE6537A1-D6FC-4f65-9D91-7224C49458BB}"/>
                <c:ext xmlns:c16="http://schemas.microsoft.com/office/drawing/2014/chart" uri="{C3380CC4-5D6E-409C-BE32-E72D297353CC}">
                  <c16:uniqueId val="{0000000E-3436-4148-B53E-61EE16189609}"/>
                </c:ext>
              </c:extLst>
            </c:dLbl>
            <c:dLbl>
              <c:idx val="8"/>
              <c:delete val="1"/>
              <c:extLst>
                <c:ext xmlns:c15="http://schemas.microsoft.com/office/drawing/2012/chart" uri="{CE6537A1-D6FC-4f65-9D91-7224C49458BB}"/>
                <c:ext xmlns:c16="http://schemas.microsoft.com/office/drawing/2014/chart" uri="{C3380CC4-5D6E-409C-BE32-E72D297353CC}">
                  <c16:uniqueId val="{00000004-3436-4148-B53E-61EE16189609}"/>
                </c:ext>
              </c:extLst>
            </c:dLbl>
            <c:dLbl>
              <c:idx val="9"/>
              <c:delete val="1"/>
              <c:extLst>
                <c:ext xmlns:c15="http://schemas.microsoft.com/office/drawing/2012/chart" uri="{CE6537A1-D6FC-4f65-9D91-7224C49458BB}"/>
                <c:ext xmlns:c16="http://schemas.microsoft.com/office/drawing/2014/chart" uri="{C3380CC4-5D6E-409C-BE32-E72D297353CC}">
                  <c16:uniqueId val="{00000012-3436-4148-B53E-61EE16189609}"/>
                </c:ext>
              </c:extLst>
            </c:dLbl>
            <c:dLbl>
              <c:idx val="10"/>
              <c:delete val="1"/>
              <c:extLst>
                <c:ext xmlns:c15="http://schemas.microsoft.com/office/drawing/2012/chart" uri="{CE6537A1-D6FC-4f65-9D91-7224C49458BB}"/>
                <c:ext xmlns:c16="http://schemas.microsoft.com/office/drawing/2014/chart" uri="{C3380CC4-5D6E-409C-BE32-E72D297353CC}">
                  <c16:uniqueId val="{00000010-3436-4148-B53E-61EE16189609}"/>
                </c:ext>
              </c:extLst>
            </c:dLbl>
            <c:dLbl>
              <c:idx val="11"/>
              <c:layout>
                <c:manualLayout>
                  <c:x val="-1.9402777777777911E-2"/>
                  <c:y val="-5.6830808080808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436-4148-B53E-61EE1618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2'!$U$7:$U$20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2'!$Z$7:$Z$20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smooth val="0"/>
          <c:extLst>
            <c:ext xmlns:c16="http://schemas.microsoft.com/office/drawing/2014/chart" uri="{C3380CC4-5D6E-409C-BE32-E72D297353CC}">
              <c16:uniqueId val="{00000004-A874-48D1-904C-AEB42FB8FDE1}"/>
            </c:ext>
          </c:extLst>
        </c:ser>
        <c:dLbls>
          <c:dLblPos val="t"/>
          <c:showLegendKey val="0"/>
          <c:showVal val="1"/>
          <c:showCatName val="0"/>
          <c:showSerName val="0"/>
          <c:showPercent val="0"/>
          <c:showBubbleSize val="0"/>
        </c:dLbls>
        <c:smooth val="0"/>
        <c:axId val="442498624"/>
        <c:axId val="442499016"/>
      </c:lineChart>
      <c:catAx>
        <c:axId val="44249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499016"/>
        <c:crosses val="autoZero"/>
        <c:auto val="1"/>
        <c:lblAlgn val="ctr"/>
        <c:lblOffset val="100"/>
        <c:noMultiLvlLbl val="0"/>
      </c:catAx>
      <c:valAx>
        <c:axId val="442499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42498624"/>
        <c:crosses val="autoZero"/>
        <c:crossBetween val="between"/>
      </c:valAx>
      <c:spPr>
        <a:noFill/>
        <a:ln>
          <a:noFill/>
        </a:ln>
        <a:effectLst/>
      </c:spPr>
    </c:plotArea>
    <c:legend>
      <c:legendPos val="r"/>
      <c:layout>
        <c:manualLayout>
          <c:xMode val="edge"/>
          <c:yMode val="edge"/>
          <c:x val="0.8680143140589569"/>
          <c:y val="0.17171900826446282"/>
          <c:w val="7.2589427437641726E-2"/>
          <c:h val="0.24599862258953167"/>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L"/>
              <a:t>LICITACIÓN CORTA</a:t>
            </a:r>
          </a:p>
        </c:rich>
      </c:tx>
      <c:overlay val="0"/>
      <c:spPr>
        <a:noFill/>
        <a:ln>
          <a:noFill/>
        </a:ln>
        <a:effectLst/>
      </c:spPr>
    </c:title>
    <c:autoTitleDeleted val="0"/>
    <c:plotArea>
      <c:layout/>
      <c:barChart>
        <c:barDir val="col"/>
        <c:grouping val="clustered"/>
        <c:varyColors val="0"/>
        <c:ser>
          <c:idx val="0"/>
          <c:order val="0"/>
          <c:tx>
            <c:strRef>
              <c:f>'Graficos-Ind 2'!$AE$6</c:f>
              <c:strCache>
                <c:ptCount val="1"/>
                <c:pt idx="0">
                  <c:v>PG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540000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2'!$AE$7:$AE$20</c:f>
              <c:numCache>
                <c:formatCode>0</c:formatCode>
                <c:ptCount val="14"/>
                <c:pt idx="0">
                  <c:v>0</c:v>
                </c:pt>
                <c:pt idx="1">
                  <c:v>0</c:v>
                </c:pt>
                <c:pt idx="2">
                  <c:v>0</c:v>
                </c:pt>
                <c:pt idx="3">
                  <c:v>0</c:v>
                </c:pt>
                <c:pt idx="4">
                  <c:v>0</c:v>
                </c:pt>
                <c:pt idx="5">
                  <c:v>0</c:v>
                </c:pt>
                <c:pt idx="6">
                  <c:v>0</c:v>
                </c:pt>
                <c:pt idx="7">
                  <c:v>0</c:v>
                </c:pt>
                <c:pt idx="8">
                  <c:v>4</c:v>
                </c:pt>
                <c:pt idx="9">
                  <c:v>8</c:v>
                </c:pt>
                <c:pt idx="10">
                  <c:v>13</c:v>
                </c:pt>
                <c:pt idx="11">
                  <c:v>17</c:v>
                </c:pt>
                <c:pt idx="12">
                  <c:v>35</c:v>
                </c:pt>
                <c:pt idx="13">
                  <c:v>49</c:v>
                </c:pt>
              </c:numCache>
            </c:numRef>
          </c:val>
          <c:extLst>
            <c:ext xmlns:c16="http://schemas.microsoft.com/office/drawing/2014/chart" uri="{C3380CC4-5D6E-409C-BE32-E72D297353CC}">
              <c16:uniqueId val="{00000000-3519-4E97-BDEA-790DCD4F6BBA}"/>
            </c:ext>
          </c:extLst>
        </c:ser>
        <c:ser>
          <c:idx val="1"/>
          <c:order val="1"/>
          <c:tx>
            <c:strRef>
              <c:f>'Graficos-Ind 2'!$AF$6</c:f>
              <c:strCache>
                <c:ptCount val="1"/>
                <c:pt idx="0">
                  <c:v>PP</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5400000" spcFirstLastPara="1" vertOverflow="ellipsis" wrap="square" lIns="720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2'!$AF$7:$AF$20</c:f>
              <c:numCache>
                <c:formatCode>0</c:formatCode>
                <c:ptCount val="14"/>
                <c:pt idx="0">
                  <c:v>0</c:v>
                </c:pt>
                <c:pt idx="1">
                  <c:v>0</c:v>
                </c:pt>
                <c:pt idx="2">
                  <c:v>0</c:v>
                </c:pt>
                <c:pt idx="3">
                  <c:v>0</c:v>
                </c:pt>
                <c:pt idx="4">
                  <c:v>0</c:v>
                </c:pt>
                <c:pt idx="5">
                  <c:v>0</c:v>
                </c:pt>
                <c:pt idx="6">
                  <c:v>0</c:v>
                </c:pt>
                <c:pt idx="7">
                  <c:v>0</c:v>
                </c:pt>
                <c:pt idx="8">
                  <c:v>17</c:v>
                </c:pt>
                <c:pt idx="9">
                  <c:v>12</c:v>
                </c:pt>
                <c:pt idx="10">
                  <c:v>12</c:v>
                </c:pt>
                <c:pt idx="11">
                  <c:v>14</c:v>
                </c:pt>
                <c:pt idx="12">
                  <c:v>14</c:v>
                </c:pt>
                <c:pt idx="13">
                  <c:v>57</c:v>
                </c:pt>
              </c:numCache>
            </c:numRef>
          </c:val>
          <c:extLst>
            <c:ext xmlns:c16="http://schemas.microsoft.com/office/drawing/2014/chart" uri="{C3380CC4-5D6E-409C-BE32-E72D297353CC}">
              <c16:uniqueId val="{00000001-3519-4E97-BDEA-790DCD4F6BBA}"/>
            </c:ext>
          </c:extLst>
        </c:ser>
        <c:ser>
          <c:idx val="2"/>
          <c:order val="2"/>
          <c:tx>
            <c:strRef>
              <c:f>'Graficos-Ind 2'!$AG$6</c:f>
              <c:strCache>
                <c:ptCount val="1"/>
                <c:pt idx="0">
                  <c:v>PD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6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2'!$AG$7:$AG$20</c:f>
              <c:numCache>
                <c:formatCode>0</c:formatCode>
                <c:ptCount val="14"/>
                <c:pt idx="0">
                  <c:v>0</c:v>
                </c:pt>
                <c:pt idx="1">
                  <c:v>0</c:v>
                </c:pt>
                <c:pt idx="2">
                  <c:v>0</c:v>
                </c:pt>
                <c:pt idx="3">
                  <c:v>0</c:v>
                </c:pt>
                <c:pt idx="4">
                  <c:v>0</c:v>
                </c:pt>
                <c:pt idx="5">
                  <c:v>0</c:v>
                </c:pt>
                <c:pt idx="6">
                  <c:v>0</c:v>
                </c:pt>
                <c:pt idx="7">
                  <c:v>0</c:v>
                </c:pt>
                <c:pt idx="8">
                  <c:v>0</c:v>
                </c:pt>
                <c:pt idx="9">
                  <c:v>0</c:v>
                </c:pt>
                <c:pt idx="10">
                  <c:v>0</c:v>
                </c:pt>
                <c:pt idx="11">
                  <c:v>1</c:v>
                </c:pt>
                <c:pt idx="12">
                  <c:v>1</c:v>
                </c:pt>
                <c:pt idx="13">
                  <c:v>9</c:v>
                </c:pt>
              </c:numCache>
            </c:numRef>
          </c:val>
          <c:extLst>
            <c:ext xmlns:c16="http://schemas.microsoft.com/office/drawing/2014/chart" uri="{C3380CC4-5D6E-409C-BE32-E72D297353CC}">
              <c16:uniqueId val="{00000002-3519-4E97-BDEA-790DCD4F6BBA}"/>
            </c:ext>
          </c:extLst>
        </c:ser>
        <c:ser>
          <c:idx val="3"/>
          <c:order val="3"/>
          <c:tx>
            <c:strRef>
              <c:f>'Graficos-Ind 2'!$AH$6</c:f>
              <c:strCache>
                <c:ptCount val="1"/>
                <c:pt idx="0">
                  <c:v>DP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2'!$AH$7:$AH$20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10</c:v>
                </c:pt>
              </c:numCache>
            </c:numRef>
          </c:val>
          <c:extLst>
            <c:ext xmlns:c16="http://schemas.microsoft.com/office/drawing/2014/chart" uri="{C3380CC4-5D6E-409C-BE32-E72D297353CC}">
              <c16:uniqueId val="{00000003-3519-4E97-BDEA-790DCD4F6BBA}"/>
            </c:ext>
          </c:extLst>
        </c:ser>
        <c:ser>
          <c:idx val="4"/>
          <c:order val="4"/>
          <c:tx>
            <c:strRef>
              <c:f>'Graficos-Ind 2'!$AI$6</c:f>
              <c:strCache>
                <c:ptCount val="1"/>
                <c:pt idx="0">
                  <c:v>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2'!$AI$7:$AI$20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extLst>
            <c:ext xmlns:c16="http://schemas.microsoft.com/office/drawing/2014/chart" uri="{C3380CC4-5D6E-409C-BE32-E72D297353CC}">
              <c16:uniqueId val="{00000004-3519-4E97-BDEA-790DCD4F6BBA}"/>
            </c:ext>
          </c:extLst>
        </c:ser>
        <c:dLbls>
          <c:showLegendKey val="0"/>
          <c:showVal val="0"/>
          <c:showCatName val="0"/>
          <c:showSerName val="0"/>
          <c:showPercent val="0"/>
          <c:showBubbleSize val="0"/>
        </c:dLbls>
        <c:gapWidth val="164"/>
        <c:overlap val="-22"/>
        <c:axId val="272786800"/>
        <c:axId val="498128960"/>
      </c:barChart>
      <c:catAx>
        <c:axId val="272786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Años</a:t>
                </a:r>
              </a:p>
            </c:rich>
          </c:tx>
          <c:overlay val="0"/>
          <c:spPr>
            <a:noFill/>
            <a:ln>
              <a:noFill/>
            </a:ln>
            <a:effectLst/>
          </c:sp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98128960"/>
        <c:crosses val="autoZero"/>
        <c:auto val="1"/>
        <c:lblAlgn val="ctr"/>
        <c:lblOffset val="100"/>
        <c:noMultiLvlLbl val="0"/>
      </c:catAx>
      <c:valAx>
        <c:axId val="498128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7278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CL" sz="1400" b="0" i="0" u="none" strike="noStrike" kern="1200" spc="0" baseline="0">
                <a:solidFill>
                  <a:sysClr val="windowText" lastClr="000000">
                    <a:lumMod val="65000"/>
                    <a:lumOff val="35000"/>
                  </a:sysClr>
                </a:solidFill>
                <a:latin typeface="+mn-lt"/>
                <a:ea typeface="+mn-ea"/>
                <a:cs typeface="+mn-cs"/>
              </a:defRPr>
            </a:pPr>
            <a:r>
              <a:rPr lang="es-CL" sz="1400" b="0" i="0" u="none" strike="noStrike" kern="1200" spc="0" baseline="0">
                <a:solidFill>
                  <a:sysClr val="windowText" lastClr="000000">
                    <a:lumMod val="65000"/>
                    <a:lumOff val="35000"/>
                  </a:sysClr>
                </a:solidFill>
                <a:latin typeface="+mn-lt"/>
                <a:ea typeface="+mn-ea"/>
                <a:cs typeface="+mn-cs"/>
              </a:rPr>
              <a:t>LICITACIÓN CORTA</a:t>
            </a:r>
          </a:p>
        </c:rich>
      </c:tx>
      <c:overlay val="0"/>
      <c:spPr>
        <a:noFill/>
        <a:ln>
          <a:noFill/>
        </a:ln>
        <a:effectLst/>
      </c:spPr>
      <c:txPr>
        <a:bodyPr rot="0" spcFirstLastPara="1" vertOverflow="ellipsis" vert="horz" wrap="square" anchor="ctr" anchorCtr="1"/>
        <a:lstStyle/>
        <a:p>
          <a:pPr algn="ctr" rtl="0">
            <a:defRPr lang="es-CL" sz="1400" b="0" i="0" u="none" strike="noStrike" kern="1200" spc="0" baseline="0">
              <a:solidFill>
                <a:sysClr val="windowText" lastClr="000000">
                  <a:lumMod val="65000"/>
                  <a:lumOff val="35000"/>
                </a:sysClr>
              </a:solidFill>
              <a:latin typeface="+mn-lt"/>
              <a:ea typeface="+mn-ea"/>
              <a:cs typeface="+mn-cs"/>
            </a:defRPr>
          </a:pPr>
          <a:endParaRPr lang="es-CL"/>
        </a:p>
      </c:txPr>
    </c:title>
    <c:autoTitleDeleted val="0"/>
    <c:plotArea>
      <c:layout/>
      <c:lineChart>
        <c:grouping val="standard"/>
        <c:varyColors val="0"/>
        <c:ser>
          <c:idx val="0"/>
          <c:order val="0"/>
          <c:tx>
            <c:strRef>
              <c:f>'Graficos-Ind 2'!$AE$5:$AE$6</c:f>
              <c:strCache>
                <c:ptCount val="2"/>
                <c:pt idx="0">
                  <c:v>Licitación Corta</c:v>
                </c:pt>
                <c:pt idx="1">
                  <c:v>PG</c:v>
                </c:pt>
              </c:strCache>
            </c:strRef>
          </c:tx>
          <c:spPr>
            <a:ln w="28575" cap="rnd">
              <a:solidFill>
                <a:schemeClr val="accent1">
                  <a:alpha val="9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2'!$AE$7:$AE$20</c:f>
              <c:numCache>
                <c:formatCode>0</c:formatCode>
                <c:ptCount val="14"/>
                <c:pt idx="0">
                  <c:v>0</c:v>
                </c:pt>
                <c:pt idx="1">
                  <c:v>0</c:v>
                </c:pt>
                <c:pt idx="2">
                  <c:v>0</c:v>
                </c:pt>
                <c:pt idx="3">
                  <c:v>0</c:v>
                </c:pt>
                <c:pt idx="4">
                  <c:v>0</c:v>
                </c:pt>
                <c:pt idx="5">
                  <c:v>0</c:v>
                </c:pt>
                <c:pt idx="6">
                  <c:v>0</c:v>
                </c:pt>
                <c:pt idx="7">
                  <c:v>0</c:v>
                </c:pt>
                <c:pt idx="8">
                  <c:v>4</c:v>
                </c:pt>
                <c:pt idx="9">
                  <c:v>8</c:v>
                </c:pt>
                <c:pt idx="10">
                  <c:v>13</c:v>
                </c:pt>
                <c:pt idx="11">
                  <c:v>17</c:v>
                </c:pt>
                <c:pt idx="12">
                  <c:v>35</c:v>
                </c:pt>
                <c:pt idx="13">
                  <c:v>49</c:v>
                </c:pt>
              </c:numCache>
            </c:numRef>
          </c:val>
          <c:smooth val="0"/>
          <c:extLst>
            <c:ext xmlns:c16="http://schemas.microsoft.com/office/drawing/2014/chart" uri="{C3380CC4-5D6E-409C-BE32-E72D297353CC}">
              <c16:uniqueId val="{00000000-2B85-4857-8E05-D5167B13CF8C}"/>
            </c:ext>
          </c:extLst>
        </c:ser>
        <c:ser>
          <c:idx val="1"/>
          <c:order val="1"/>
          <c:tx>
            <c:strRef>
              <c:f>'Graficos-Ind 2'!$AF$5:$AF$6</c:f>
              <c:strCache>
                <c:ptCount val="2"/>
                <c:pt idx="0">
                  <c:v>Licitación Corta</c:v>
                </c:pt>
                <c:pt idx="1">
                  <c:v>PP</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2'!$AF$7:$AF$20</c:f>
              <c:numCache>
                <c:formatCode>0</c:formatCode>
                <c:ptCount val="14"/>
                <c:pt idx="0">
                  <c:v>0</c:v>
                </c:pt>
                <c:pt idx="1">
                  <c:v>0</c:v>
                </c:pt>
                <c:pt idx="2">
                  <c:v>0</c:v>
                </c:pt>
                <c:pt idx="3">
                  <c:v>0</c:v>
                </c:pt>
                <c:pt idx="4">
                  <c:v>0</c:v>
                </c:pt>
                <c:pt idx="5">
                  <c:v>0</c:v>
                </c:pt>
                <c:pt idx="6">
                  <c:v>0</c:v>
                </c:pt>
                <c:pt idx="7">
                  <c:v>0</c:v>
                </c:pt>
                <c:pt idx="8">
                  <c:v>17</c:v>
                </c:pt>
                <c:pt idx="9">
                  <c:v>12</c:v>
                </c:pt>
                <c:pt idx="10">
                  <c:v>12</c:v>
                </c:pt>
                <c:pt idx="11">
                  <c:v>14</c:v>
                </c:pt>
                <c:pt idx="12">
                  <c:v>14</c:v>
                </c:pt>
                <c:pt idx="13">
                  <c:v>57</c:v>
                </c:pt>
              </c:numCache>
            </c:numRef>
          </c:val>
          <c:smooth val="0"/>
          <c:extLst>
            <c:ext xmlns:c16="http://schemas.microsoft.com/office/drawing/2014/chart" uri="{C3380CC4-5D6E-409C-BE32-E72D297353CC}">
              <c16:uniqueId val="{00000001-2B85-4857-8E05-D5167B13CF8C}"/>
            </c:ext>
          </c:extLst>
        </c:ser>
        <c:ser>
          <c:idx val="2"/>
          <c:order val="2"/>
          <c:tx>
            <c:strRef>
              <c:f>'Graficos-Ind 2'!$AG$5:$AG$6</c:f>
              <c:strCache>
                <c:ptCount val="2"/>
                <c:pt idx="0">
                  <c:v>Licitación Corta</c:v>
                </c:pt>
                <c:pt idx="1">
                  <c:v>PD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2'!$AG$7:$AG$20</c:f>
              <c:numCache>
                <c:formatCode>0</c:formatCode>
                <c:ptCount val="14"/>
                <c:pt idx="0">
                  <c:v>0</c:v>
                </c:pt>
                <c:pt idx="1">
                  <c:v>0</c:v>
                </c:pt>
                <c:pt idx="2">
                  <c:v>0</c:v>
                </c:pt>
                <c:pt idx="3">
                  <c:v>0</c:v>
                </c:pt>
                <c:pt idx="4">
                  <c:v>0</c:v>
                </c:pt>
                <c:pt idx="5">
                  <c:v>0</c:v>
                </c:pt>
                <c:pt idx="6">
                  <c:v>0</c:v>
                </c:pt>
                <c:pt idx="7">
                  <c:v>0</c:v>
                </c:pt>
                <c:pt idx="8">
                  <c:v>0</c:v>
                </c:pt>
                <c:pt idx="9">
                  <c:v>0</c:v>
                </c:pt>
                <c:pt idx="10">
                  <c:v>0</c:v>
                </c:pt>
                <c:pt idx="11">
                  <c:v>1</c:v>
                </c:pt>
                <c:pt idx="12">
                  <c:v>1</c:v>
                </c:pt>
                <c:pt idx="13">
                  <c:v>9</c:v>
                </c:pt>
              </c:numCache>
            </c:numRef>
          </c:val>
          <c:smooth val="0"/>
          <c:extLst>
            <c:ext xmlns:c16="http://schemas.microsoft.com/office/drawing/2014/chart" uri="{C3380CC4-5D6E-409C-BE32-E72D297353CC}">
              <c16:uniqueId val="{00000002-2B85-4857-8E05-D5167B13CF8C}"/>
            </c:ext>
          </c:extLst>
        </c:ser>
        <c:ser>
          <c:idx val="3"/>
          <c:order val="3"/>
          <c:tx>
            <c:strRef>
              <c:f>'Graficos-Ind 2'!$AH$5:$AH$6</c:f>
              <c:strCache>
                <c:ptCount val="2"/>
                <c:pt idx="0">
                  <c:v>Licitación Corta</c:v>
                </c:pt>
                <c:pt idx="1">
                  <c:v>DP</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2'!$AH$7:$AH$20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10</c:v>
                </c:pt>
              </c:numCache>
            </c:numRef>
          </c:val>
          <c:smooth val="0"/>
          <c:extLst>
            <c:ext xmlns:c16="http://schemas.microsoft.com/office/drawing/2014/chart" uri="{C3380CC4-5D6E-409C-BE32-E72D297353CC}">
              <c16:uniqueId val="{00000003-2B85-4857-8E05-D5167B13CF8C}"/>
            </c:ext>
          </c:extLst>
        </c:ser>
        <c:ser>
          <c:idx val="4"/>
          <c:order val="4"/>
          <c:tx>
            <c:strRef>
              <c:f>'Graficos-Ind 2'!$AI$5:$AI$6</c:f>
              <c:strCache>
                <c:ptCount val="2"/>
                <c:pt idx="0">
                  <c:v>Licitación Corta</c:v>
                </c:pt>
                <c:pt idx="1">
                  <c:v>EP</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'Graficos-Ind 2'!$AD$7:$AD$20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'Graficos-Ind 2'!$AI$7:$AI$20</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smooth val="0"/>
          <c:extLst>
            <c:ext xmlns:c16="http://schemas.microsoft.com/office/drawing/2014/chart" uri="{C3380CC4-5D6E-409C-BE32-E72D297353CC}">
              <c16:uniqueId val="{00000004-2B85-4857-8E05-D5167B13CF8C}"/>
            </c:ext>
          </c:extLst>
        </c:ser>
        <c:dLbls>
          <c:dLblPos val="t"/>
          <c:showLegendKey val="0"/>
          <c:showVal val="1"/>
          <c:showCatName val="0"/>
          <c:showSerName val="0"/>
          <c:showPercent val="0"/>
          <c:showBubbleSize val="0"/>
        </c:dLbls>
        <c:smooth val="0"/>
        <c:axId val="72168128"/>
        <c:axId val="2065388864"/>
      </c:lineChart>
      <c:catAx>
        <c:axId val="72168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65388864"/>
        <c:crosses val="autoZero"/>
        <c:auto val="1"/>
        <c:lblAlgn val="ctr"/>
        <c:lblOffset val="100"/>
        <c:noMultiLvlLbl val="0"/>
      </c:catAx>
      <c:valAx>
        <c:axId val="206538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216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E80EAE09-142F-6445-AFA8-D2CD4B1D249C}">
    <Anchor>
      <Comment id="{D8E17F4E-DE7C-6246-BC70-70165C358B4F}"/>
    </Anchor>
    <History>
      <Event time="2024-03-11T11:51:51.07" id="{A40D4760-A81A-D64C-BA37-41BAC0CBF159}">
        <Attribution userId="S::christian.ihle@shimin.cl::8b26a3f3-f57f-4fb7-896f-7a192f3d3ba3" userName="Christian Ihle" userProvider="AD"/>
        <Anchor>
          <Comment id="{D8E17F4E-DE7C-6246-BC70-70165C358B4F}"/>
        </Anchor>
        <Create/>
      </Event>
      <Event time="2024-03-11T11:51:51.07" id="{A09537FF-E446-2D42-8F97-23D76F89D0AE}">
        <Attribution userId="S::christian.ihle@shimin.cl::8b26a3f3-f57f-4fb7-896f-7a192f3d3ba3" userName="Christian Ihle" userProvider="AD"/>
        <Anchor>
          <Comment id="{D8E17F4E-DE7C-6246-BC70-70165C358B4F}"/>
        </Anchor>
        <Assign userId="S::tfernandez@shimin.cl::6e3ae0e0-bf20-436d-825b-6c57149789a2" userName="Tomas Fernandez" userProvider="AD"/>
      </Event>
      <Event time="2024-03-11T11:51:51.07" id="{ED7B3EA8-704B-4840-AB55-D266F44484AC}">
        <Attribution userId="S::christian.ihle@shimin.cl::8b26a3f3-f57f-4fb7-896f-7a192f3d3ba3" userName="Christian Ihle" userProvider="AD"/>
        <Anchor>
          <Comment id="{D8E17F4E-DE7C-6246-BC70-70165C358B4F}"/>
        </Anchor>
        <SetTitle title="@Tomas Fernandez Hola, tengo anotado que Matías Muñoz debe trabajar en esta propuesta, pero figura como ganada, por favor aclarar. @David Ceron"/>
      </Event>
    </History>
  </Task>
</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49356</xdr:colOff>
      <xdr:row>24</xdr:row>
      <xdr:rowOff>107619</xdr:rowOff>
    </xdr:from>
    <xdr:to>
      <xdr:col>19</xdr:col>
      <xdr:colOff>104775</xdr:colOff>
      <xdr:row>51</xdr:row>
      <xdr:rowOff>0</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407286</xdr:colOff>
      <xdr:row>24</xdr:row>
      <xdr:rowOff>98962</xdr:rowOff>
    </xdr:from>
    <xdr:to>
      <xdr:col>29</xdr:col>
      <xdr:colOff>98618</xdr:colOff>
      <xdr:row>50</xdr:row>
      <xdr:rowOff>46636</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37110</xdr:colOff>
      <xdr:row>24</xdr:row>
      <xdr:rowOff>98961</xdr:rowOff>
    </xdr:from>
    <xdr:to>
      <xdr:col>9</xdr:col>
      <xdr:colOff>609170</xdr:colOff>
      <xdr:row>50</xdr:row>
      <xdr:rowOff>81954</xdr:rowOff>
    </xdr:to>
    <xdr:graphicFrame macro="">
      <xdr:nvGraphicFramePr>
        <xdr:cNvPr id="7" name="Gráfico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86591</xdr:colOff>
      <xdr:row>51</xdr:row>
      <xdr:rowOff>61852</xdr:rowOff>
    </xdr:from>
    <xdr:to>
      <xdr:col>9</xdr:col>
      <xdr:colOff>615229</xdr:colOff>
      <xdr:row>78</xdr:row>
      <xdr:rowOff>136072</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721177</xdr:colOff>
      <xdr:row>51</xdr:row>
      <xdr:rowOff>61851</xdr:rowOff>
    </xdr:from>
    <xdr:to>
      <xdr:col>18</xdr:col>
      <xdr:colOff>544285</xdr:colOff>
      <xdr:row>78</xdr:row>
      <xdr:rowOff>98961</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758595</xdr:colOff>
      <xdr:row>53</xdr:row>
      <xdr:rowOff>33336</xdr:rowOff>
    </xdr:from>
    <xdr:to>
      <xdr:col>28</xdr:col>
      <xdr:colOff>305927</xdr:colOff>
      <xdr:row>80</xdr:row>
      <xdr:rowOff>47421</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339311</xdr:colOff>
      <xdr:row>24</xdr:row>
      <xdr:rowOff>130008</xdr:rowOff>
    </xdr:from>
    <xdr:to>
      <xdr:col>38</xdr:col>
      <xdr:colOff>142875</xdr:colOff>
      <xdr:row>50</xdr:row>
      <xdr:rowOff>76199</xdr:rowOff>
    </xdr:to>
    <xdr:graphicFrame macro="">
      <xdr:nvGraphicFramePr>
        <xdr:cNvPr id="10" name="Gráfico 9">
          <a:extLst>
            <a:ext uri="{FF2B5EF4-FFF2-40B4-BE49-F238E27FC236}">
              <a16:creationId xmlns:a16="http://schemas.microsoft.com/office/drawing/2014/main" id="{7B98ADE4-CC44-3F9E-4D7A-ED370A39A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171449</xdr:colOff>
      <xdr:row>52</xdr:row>
      <xdr:rowOff>152399</xdr:rowOff>
    </xdr:from>
    <xdr:to>
      <xdr:col>38</xdr:col>
      <xdr:colOff>219074</xdr:colOff>
      <xdr:row>79</xdr:row>
      <xdr:rowOff>85725</xdr:rowOff>
    </xdr:to>
    <xdr:graphicFrame macro="">
      <xdr:nvGraphicFramePr>
        <xdr:cNvPr id="11" name="Gráfico 10">
          <a:extLst>
            <a:ext uri="{FF2B5EF4-FFF2-40B4-BE49-F238E27FC236}">
              <a16:creationId xmlns:a16="http://schemas.microsoft.com/office/drawing/2014/main" id="{F0CB47D1-228B-D251-BA0A-5407E2A36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B" id="{358F2973-AFAE-4832-8154-FD10C04B2E23}">
    <nsvFilter filterId="{00000000-0001-0000-0000-000000000000}" ref="A22:BM2757" tableId="0">
      <sortRules>
        <sortRule colId="0">
          <sortCondition descending="1" ref="A22:A2757"/>
        </sortRule>
      </sortRules>
    </nsvFilter>
  </namedSheetView>
  <namedSheetView name="Ver1" id="{E12E7A0F-D5D4-45A3-8A9E-3FA9030E2981}">
    <nsvFilter filterId="{00000000-0001-0000-0000-000000000000}" ref="A22:BM2757" tableId="0">
      <sortRules>
        <sortRule colId="1">
          <sortCondition descending="1" ref="B22:B2757"/>
        </sortRule>
      </sortRules>
    </nsvFilter>
  </namedSheetView>
  <namedSheetView name="Ver2" id="{746E4BF8-32AB-44A4-B2EF-001509303427}">
    <nsvFilter filterId="{00000000-0001-0000-0000-000000000000}" ref="A22:BM2757" tableId="0">
      <sortRules>
        <sortRule colId="1">
          <sortCondition descending="1" ref="B22:B2757"/>
        </sortRule>
      </sortRules>
    </nsvFilter>
  </namedSheetView>
  <namedSheetView name="Ver3" id="{D0CC057A-E847-4A25-88C3-939495F24E5C}">
    <nsvFilter filterId="{00000000-0001-0000-0000-000000000000}" ref="A22:BM2757" tableId="0">
      <sortRules>
        <sortRule colId="1">
          <sortCondition descending="1" ref="B22:B2757"/>
        </sortRule>
      </sortRules>
    </nsvFilter>
  </namedSheetView>
  <namedSheetView name="Vista 1" id="{30A64119-2EB8-4792-93B1-2AAE8787067D}">
    <nsvFilter filterId="{00000000-0001-0000-0000-000000000000}" ref="A22:BM2757" tableId="0">
      <columnFilter colId="3">
        <filter colId="3">
          <x:filters>
            <x:filter val="AngloAmerican"/>
          </x:filters>
        </filter>
      </columnFilter>
      <columnFilter colId="4">
        <filter colId="4">
          <x:filters>
            <x:filter val="AngloAmerican"/>
            <x:filter val="AngloAmerican El Soldado"/>
          </x:filters>
        </filter>
      </columnFilter>
      <columnFilter colId="18">
        <filter colId="18">
          <x:filters>
            <x:filter val="PG"/>
          </x:filters>
        </filter>
      </columnFilter>
      <sortRules>
        <sortRule colId="0">
          <sortCondition descending="1" ref="A22:A2757"/>
        </sortRule>
      </sortRules>
    </nsvFilter>
  </namedSheetView>
</namedSheetViews>
</file>

<file path=xl/persons/person.xml><?xml version="1.0" encoding="utf-8"?>
<personList xmlns="http://schemas.microsoft.com/office/spreadsheetml/2018/threadedcomments" xmlns:x="http://schemas.openxmlformats.org/spreadsheetml/2006/main">
  <person displayName="David Ceron" id="{505408CE-2895-4E2D-882B-B625FC8D75F8}" userId="dceron@shimin.cl" providerId="PeoplePicker"/>
  <person displayName="Tomas Fernandez" id="{7096C6DC-5CBD-4013-A822-2E266983C3F2}" userId="tfernandez@shimin.cl" providerId="PeoplePicker"/>
  <person displayName="Christian Ihle" id="{A12091EE-E396-4FF2-BA56-E53965C6993F}" userId="christian.ihle@shimin.cl" providerId="PeoplePicker"/>
  <person displayName="David Ceron" id="{4AF8C2F5-B0E1-49B2-BA75-A416FF716419}" userId="S::dceron@shimin.cl::ee44a903-9b66-4501-9450-a184365f0810" providerId="AD"/>
  <person displayName="Tomas Fernandez" id="{B59D56F1-1806-4D96-A447-DF67A051BDC9}" userId="S::tfernandez@shimin.cl::6e3ae0e0-bf20-436d-825b-6c57149789a2" providerId="AD"/>
  <person displayName="Christian Ihle" id="{C21E7422-E644-6F4B-8DE1-0A0BBB48385A}" userId="S::christian.ihle@shimin.cl::8b26a3f3-f57f-4fb7-896f-7a192f3d3ba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Videla" refreshedDate="44179.701181365737" createdVersion="6" refreshedVersion="6" minRefreshableVersion="3" recordCount="1262" xr:uid="{46C69B9B-2C21-47F4-84B9-390BBA6A74AB}">
  <cacheSource type="worksheet">
    <worksheetSource ref="C22:AG2765" sheet="Ofertas"/>
  </cacheSource>
  <cacheFields count="25">
    <cacheField name="Código Prop." numFmtId="0">
      <sharedItems containsBlank="1"/>
    </cacheField>
    <cacheField name="Fecha Recep." numFmtId="14">
      <sharedItems containsNonDate="0" containsDate="1" containsString="0" containsBlank="1" minDate="2010-02-15T00:00:00" maxDate="2020-12-19T00:00:00"/>
    </cacheField>
    <cacheField name="Cliente Directo" numFmtId="0">
      <sharedItems containsBlank="1" count="255">
        <m/>
        <s v="Antamina - Acciona"/>
        <s v="Vale Brasil"/>
        <s v="SGSCM"/>
        <s v="Cayara"/>
        <s v="Anglo American"/>
        <s v="ECSA"/>
        <s v="Fluor"/>
        <s v="ARCADIS"/>
        <s v="Conpax"/>
        <s v="Scotta"/>
        <s v="Codelco SALVADOR"/>
        <s v="Zaldivar"/>
        <s v="Sierra Gorda"/>
        <s v="SNC Lavalin"/>
        <s v="CAP Mineria"/>
        <s v="CANDELARIA"/>
        <s v="Codelco TENIENTE"/>
        <s v="Aguas CAP"/>
        <s v="Codelco"/>
        <s v="TGC"/>
        <s v="Pucobre"/>
        <s v="Centinela"/>
        <s v="CASERONES"/>
        <s v="Key Process"/>
        <s v="SODEXO"/>
        <s v="HATCH"/>
        <s v="Minera Valle Central"/>
        <s v="Sierra Atacama"/>
        <s v="SQM"/>
        <s v="Marcobre"/>
        <s v="SRK"/>
        <s v="SNC LAVALIN "/>
        <s v="Expande"/>
        <s v="TANDP"/>
        <s v="Abengoa"/>
        <s v="EMIN"/>
        <s v="INCOLUR"/>
        <s v="HS Services"/>
        <s v="SEDGMAN"/>
        <s v="Mantos Blancos"/>
        <s v="BHP BILLITON"/>
        <s v="Sercabol"/>
        <s v="ENAMI"/>
        <s v="El Soldado"/>
        <s v="PELAMBRES"/>
        <s v="SOCONOR"/>
        <s v="Movitec"/>
        <s v="SALFA"/>
        <s v="VALKO"/>
        <s v="GOLDER"/>
        <s v="COLLAHUASI"/>
        <s v="AMSA"/>
        <s v="Codelco ANDINA"/>
        <s v="VP Codelco"/>
        <s v="TetraTech"/>
        <s v="TECK"/>
        <s v="EL ESPINO"/>
        <s v="KORDA"/>
        <s v="MetalQuim"/>
        <s v="ACCIONA"/>
        <s v="Haultrax"/>
        <s v="Repulpeo SPA"/>
        <s v="Codelco Norte"/>
        <s v="Codelco DMH"/>
        <s v="QUEBRADA HONDA"/>
        <s v="CEMIN"/>
        <s v="INAMAR"/>
        <s v="Rosen Group"/>
        <s v="MARAMBIO"/>
        <s v="HARPRET"/>
        <s v="ANTUCOYA"/>
        <s v="ATC"/>
        <s v="SONACOL"/>
        <s v="JEJ"/>
        <s v="RS Ingenieria y Servicios"/>
        <s v="Knight Piésold Consulting"/>
        <s v="Chinalco"/>
        <s v="CALTRA"/>
        <s v="ASMIN"/>
        <s v="Ingenieros Emetres"/>
        <s v="SOLID SOLUTIONS"/>
        <s v="LAS CENIZAS"/>
        <s v="CESI"/>
        <s v="Pipeline Intelligence"/>
        <s v="DAN"/>
        <s v="Tedagua"/>
        <s v="AXIS"/>
        <s v="EDYCE"/>
        <s v="Codelco CHUQUI"/>
        <s v="Minera Cerro Negro "/>
        <s v="Constructora SERGENCO "/>
        <s v="CNN"/>
        <s v="OHL Peru"/>
        <s v="Consorcio ATCW"/>
        <s v="Grupo Cobra Chile"/>
        <s v="Optima"/>
        <s v="Consorcio JEJ"/>
        <s v="SEDGMAN-ATC"/>
        <s v="Trends"/>
        <s v="R&amp;Q Ingeniería"/>
        <s v="Weir Minerals"/>
        <s v="Exsa"/>
        <s v="Techint"/>
        <s v="Kairos Mining"/>
        <s v="LAS BAMBAS"/>
        <s v="CODELCO - DIVISION VENTANAS"/>
        <s v="ENGIE"/>
        <s v="Jacobs"/>
        <s v="GLEMANS"/>
        <s v="Puerto Ventanas"/>
        <s v="CODICE"/>
        <s v="Maestranza Istria"/>
        <s v="Prodiel"/>
        <s v="Industria y Minería"/>
        <s v="PSEI"/>
        <s v="Amphos21"/>
        <s v="CRU Strategies"/>
        <s v="ENAP"/>
        <s v="YOKOGAWA"/>
        <s v="ARAUCO SA"/>
        <s v="Metallurgical Service"/>
        <s v="Ecometales"/>
        <s v="IMSPatagonia"/>
        <s v="Coloma"/>
        <s v="Alma"/>
        <s v="Geopark"/>
        <s v="Sun Action Trackers"/>
        <s v="Aguas Andinas"/>
        <s v="SEMOC"/>
        <s v="ESVAL"/>
        <s v="FLSmith"/>
        <s v="Paragominas"/>
        <s v="Jianzang"/>
        <s v="FAM América Latina Ltda"/>
        <s v="BAS Concesionaria"/>
        <s v="SAXUM Engineered Solutions"/>
        <s v="KDM Energía"/>
        <s v="MMG"/>
        <s v="RyQ"/>
        <s v="Corfo"/>
        <s v="Canal Culipran"/>
        <s v="Codelco División Radomiro Tomic"/>
        <s v="Instituto Nacional de Hidraulica"/>
        <s v="CDM SMITH"/>
        <s v="BAMIN"/>
        <s v="Codelco División Norte"/>
        <s v="SIBELCO"/>
        <s v="Guacolda"/>
        <s v="Consorcio"/>
        <s v="MN Ingenieros"/>
        <s v="Empírica Consultores"/>
        <s v="Besalco Ingeniería"/>
        <s v="CDM Smith "/>
        <s v="Edoctum"/>
        <s v="Metalex"/>
        <s v="Dessau Chile"/>
        <s v="Atacama Kozan"/>
        <s v="AXA Ingenieros"/>
        <s v="Minera Nyrstar El Toqui"/>
        <s v="Brass "/>
        <s v="Ingeniería CAC"/>
        <s v="Promon Engenharia"/>
        <s v="EPC Engenharia"/>
        <s v="Amec"/>
        <s v="Cathpro"/>
        <s v="AUSENCO Chile"/>
        <s v="Nutram S.A."/>
        <s v="Antolin Cisternas"/>
        <s v="SALFA montajes"/>
        <s v="Fundición Altonorte – Glencore"/>
        <s v="Worleyparsons"/>
        <s v="Black &amp;  Veatch "/>
        <s v="Guillermo Tamblay"/>
        <s v="Minera  las Bambas"/>
        <s v=" Glemans"/>
        <s v="PSC"/>
        <s v="Macrosteel"/>
        <s v="KP"/>
        <s v="U Chile"/>
        <s v="FDA"/>
        <s v="Fraser Alexander"/>
        <s v="Metaproject"/>
        <s v="K Piesold"/>
        <s v="Aristo"/>
        <s v="M Ruiz"/>
        <s v="MEL"/>
        <s v="Tenova"/>
        <s v="Constructura El Sauce"/>
        <s v="Dragados"/>
        <s v="Universidad de Chile"/>
        <s v="TetraTech Metalica"/>
        <s v="Subterra"/>
        <s v="Minera Can Can"/>
        <s v="ACOTEC"/>
        <s v="Minera Ojos del Salado"/>
        <s v="MVC"/>
        <s v="Yamana Gold"/>
        <s v="Jamieson Group"/>
        <s v="Minera Eloisa"/>
        <s v="Minera Alumbrera"/>
        <s v="Kinross Paracatu"/>
        <s v="Katanga Mining Services"/>
        <s v="Servitrans"/>
        <s v="AMEC Brasil"/>
        <s v="Thermal Engineering"/>
        <s v="Xstrata Copper"/>
        <s v="Apires Holding"/>
        <s v="IEG Ltda"/>
        <s v="SIGSE"/>
        <s v="ECM"/>
        <s v="Antamina"/>
        <s v="Universidade Federal de Minas Gerais"/>
        <s v="Anglogold Ashanti"/>
        <s v="Xstrata Copper Peru"/>
        <s v="Minera Esperanza"/>
        <s v="Lyon Engenharia"/>
        <s v="Manabi"/>
        <s v="Keypro"/>
        <s v="MOPE"/>
        <s v="COPRIM"/>
        <s v="Zanaga Iron Ore Company"/>
        <s v="SKM Minmetal"/>
        <s v="Propipe"/>
        <s v="ALQUIMIA CONCEPTOS"/>
        <s v="Coemin S.A."/>
        <s v="Grupo AR"/>
        <s v="Ruiz Tagle"/>
        <s v="JRQ"/>
        <s v="Comunidad Las Palmas"/>
        <s v="Minerconsult"/>
        <s v="Foster Wheeler Chile"/>
        <s v="Golder Associates"/>
        <s v="VALE"/>
        <s v="Ausenco Brasil"/>
        <s v="GSI Ingeniería"/>
        <s v="ICAFAL"/>
        <s v="Bahia Mineracao"/>
        <s v="PSI China"/>
        <s v="PSI"/>
        <s v="JRI Ingeniería"/>
        <s v="Schlumberger"/>
        <s v="PSI Brasil"/>
        <s v="CAUSSE S.A."/>
        <s v="AQUARA S.A."/>
        <s v="AKER Solution"/>
        <s v="ASINT"/>
        <s v="Minera Hierro Atacama"/>
        <s v="PRAGMA"/>
        <s v="POLPAICO"/>
        <s v="Hamburgo - RA ingenieros"/>
        <s v="RA ingenieros"/>
        <s v="Obras Especiales (Empresa Española)"/>
        <s v="Hydropower"/>
        <s v="ASISTEP"/>
      </sharedItems>
    </cacheField>
    <cacheField name="Cliente Final" numFmtId="0">
      <sharedItems containsBlank="1"/>
    </cacheField>
    <cacheField name="Contacto" numFmtId="0">
      <sharedItems containsBlank="1"/>
    </cacheField>
    <cacheField name="Email" numFmtId="0">
      <sharedItems containsBlank="1"/>
    </cacheField>
    <cacheField name="Título" numFmtId="0">
      <sharedItems containsBlank="1" longText="1"/>
    </cacheField>
    <cacheField name="Tipo Serv." numFmtId="0">
      <sharedItems containsBlank="1" count="41">
        <m/>
        <s v="ID"/>
        <s v="IC"/>
        <s v="OS"/>
        <s v="AO"/>
        <s v="IB"/>
        <s v="INT"/>
        <s v="AT"/>
        <s v="RE"/>
        <s v="CA"/>
        <s v="ED"/>
        <s v="ITO"/>
        <s v="CO"/>
        <s v="NT"/>
        <s v="IG"/>
        <s v="IB/ID"/>
        <s v="IC/IB"/>
        <s v="CT"/>
        <s v="TP"/>
        <s v="IV"/>
        <s v="IF"/>
        <s v="IC/IB/ID"/>
        <s v="AP"/>
        <s v="EC"/>
        <s v="PEM"/>
        <s v="AD"/>
        <s v="EPC"/>
        <s v="IP"/>
        <s v="BENCH"/>
        <s v="CC"/>
        <s v="SE"/>
        <s v="ED/ID"/>
        <s v="IB/IC"/>
        <s v="DIA"/>
        <s v="Factibilidad"/>
        <s v="EF"/>
        <s v="JD"/>
        <s v="AF"/>
        <s v="AR"/>
        <s v="LM"/>
        <s v="EP"/>
      </sharedItems>
    </cacheField>
    <cacheField name="Tipo Negoc." numFmtId="0">
      <sharedItems containsBlank="1"/>
    </cacheField>
    <cacheField name="Ámbito" numFmtId="0">
      <sharedItems containsBlank="1"/>
    </cacheField>
    <cacheField name="Pais" numFmtId="0">
      <sharedItems containsBlank="1"/>
    </cacheField>
    <cacheField name="Fecha Entrega" numFmtId="0">
      <sharedItems containsDate="1" containsBlank="1" containsMixedTypes="1" minDate="1900-06-27T00:00:00" maxDate="2109-05-04T00:00:00"/>
    </cacheField>
    <cacheField name="Líder Técnico" numFmtId="0">
      <sharedItems containsBlank="1"/>
    </cacheField>
    <cacheField name="Comentario" numFmtId="0">
      <sharedItems containsBlank="1" longText="1"/>
    </cacheField>
    <cacheField name="Estado" numFmtId="0">
      <sharedItems containsBlank="1" count="7">
        <m/>
        <s v="EP"/>
        <s v="DP"/>
        <s v="PP"/>
        <s v="NL"/>
        <s v="PG"/>
        <s v="PD"/>
      </sharedItems>
    </cacheField>
    <cacheField name="Probabilidad" numFmtId="9">
      <sharedItems containsString="0" containsBlank="1" containsNumber="1" minValue="0" maxValue="5"/>
    </cacheField>
    <cacheField name="Fecha Estado" numFmtId="0">
      <sharedItems containsDate="1" containsBlank="1" containsMixedTypes="1" minDate="1900-01-09T00:00:00" maxDate="2020-12-12T00:00:00"/>
    </cacheField>
    <cacheField name="Horas Lic (hh) " numFmtId="0">
      <sharedItems containsBlank="1" containsMixedTypes="1" containsNumber="1" minValue="7.2222222222222215E-2" maxValue="95733"/>
    </cacheField>
    <cacheField name="Monto (M$)" numFmtId="0">
      <sharedItems containsBlank="1" containsMixedTypes="1" containsNumber="1" minValue="0" maxValue="4149.0999000000002"/>
    </cacheField>
    <cacheField name="Tarifa Promedio" numFmtId="0">
      <sharedItems containsBlank="1" containsMixedTypes="1" containsNumber="1" minValue="0" maxValue="299487.97094870632"/>
    </cacheField>
    <cacheField name="Código Proy." numFmtId="0">
      <sharedItems containsBlank="1"/>
    </cacheField>
    <cacheField name="HH Reales" numFmtId="0">
      <sharedItems containsBlank="1"/>
    </cacheField>
    <cacheField name="Coord." numFmtId="0">
      <sharedItems containsBlank="1"/>
    </cacheField>
    <cacheField name="Seguimiento (Consultar)" numFmtId="0">
      <sharedItems containsBlank="1"/>
    </cacheField>
    <cacheField name="Año" numFmtId="0">
      <sharedItems containsString="0" containsBlank="1" containsNumber="1" containsInteger="1" minValue="1900" maxValue="2020" count="13">
        <n v="1900"/>
        <m/>
        <n v="2020"/>
        <n v="2019"/>
        <n v="2018"/>
        <n v="2017"/>
        <n v="2016"/>
        <n v="2015"/>
        <n v="2014"/>
        <n v="2013"/>
        <n v="2012"/>
        <n v="2011"/>
        <n v="201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Videla" refreshedDate="45377.637229745371" createdVersion="8" refreshedVersion="8" minRefreshableVersion="3" recordCount="512" xr:uid="{8A0F838D-AE4C-46A0-A61D-2BC8D8628AB1}">
  <cacheSource type="worksheet">
    <worksheetSource ref="B22:AG1254" sheet="Ofertas"/>
  </cacheSource>
  <cacheFields count="27">
    <cacheField name="Numero " numFmtId="3">
      <sharedItems containsString="0" containsBlank="1" containsNumber="1" containsInteger="1" minValue="1501" maxValue="2010"/>
    </cacheField>
    <cacheField name="Código Prop." numFmtId="0">
      <sharedItems containsBlank="1" count="511">
        <m/>
        <s v="O-2010"/>
        <s v="O-2009"/>
        <s v="O-2008"/>
        <s v="O-2007"/>
        <s v="O-2006"/>
        <s v="O-2005"/>
        <s v="O-2004"/>
        <s v="O-2003"/>
        <s v="O-2002"/>
        <s v="O-2001"/>
        <s v="O-2000"/>
        <s v="O-1999"/>
        <s v="O-1998"/>
        <s v="O-1997"/>
        <s v="O-1996"/>
        <s v="O-1995"/>
        <s v="O-1994"/>
        <s v="O-1993"/>
        <s v="O-1992"/>
        <s v="O-1991"/>
        <s v="O-1990"/>
        <s v="O-1989"/>
        <s v="O-1988"/>
        <s v="O-1987"/>
        <s v="O-1986"/>
        <s v="O-1985"/>
        <s v="O-1984"/>
        <s v="O-1983"/>
        <s v="O-1982"/>
        <s v="O-1981"/>
        <s v="O-1980"/>
        <s v="O-1979"/>
        <s v="O-1978"/>
        <s v="O-1977"/>
        <s v="O-1976"/>
        <s v="O-1975"/>
        <s v="O-1974"/>
        <s v="O-1973"/>
        <s v="O-1972"/>
        <s v="O-1971"/>
        <s v="O-1970"/>
        <s v="O-1969"/>
        <s v="O-1968"/>
        <s v="O-1967"/>
        <s v="O-1966"/>
        <s v="O-1965"/>
        <s v="O-1964"/>
        <s v="O-1963"/>
        <s v="O-1962"/>
        <s v="O-1961"/>
        <s v="O-1960"/>
        <s v="O-1959"/>
        <s v="O-1958"/>
        <s v="O-1957"/>
        <s v="O-1956"/>
        <s v="O-1955"/>
        <s v="O-1954"/>
        <s v="O-1953"/>
        <s v="O-1952"/>
        <s v="O-1951"/>
        <s v="O-1950"/>
        <s v="O-1949"/>
        <s v="O-1948"/>
        <s v="O-1947"/>
        <s v="O-1946"/>
        <s v="O-1945"/>
        <s v="O-1944"/>
        <s v="O-1943"/>
        <s v="O-1942"/>
        <s v="O-1941"/>
        <s v="O-1940"/>
        <s v="O-1939"/>
        <s v="O-1938"/>
        <s v="O-1937"/>
        <s v="O-1936"/>
        <s v="O-1935"/>
        <s v="O-1934"/>
        <s v="O-1933"/>
        <s v="O-1932"/>
        <s v="O-1931"/>
        <s v="O-1930"/>
        <s v="O-1929"/>
        <s v="O-1928"/>
        <s v="O-1927"/>
        <s v="O-1926"/>
        <s v="O-1925"/>
        <s v="O-1924"/>
        <s v="O-1923"/>
        <s v="O-1922"/>
        <s v="O-1921"/>
        <s v="O-1920"/>
        <s v="O-1919"/>
        <s v="O-1918"/>
        <s v="O-1917"/>
        <s v="O-1916"/>
        <s v="O-1915"/>
        <s v="O-1914"/>
        <s v="O-1913"/>
        <s v="O-1912"/>
        <s v="O-1911"/>
        <s v="O-1910"/>
        <s v="O-1909"/>
        <s v="O-1908"/>
        <s v="O-1907"/>
        <s v="O-1906"/>
        <s v="O-1905"/>
        <s v="O-1904"/>
        <s v="O-1903"/>
        <s v="O-1902"/>
        <s v="O-1901"/>
        <s v="O-1900"/>
        <s v="O-1899"/>
        <s v="O-1898"/>
        <s v="O-1897"/>
        <s v="O-1896"/>
        <s v="O-1895"/>
        <s v="O-1894"/>
        <s v="O-1893"/>
        <s v="O-1892"/>
        <s v="O-1891"/>
        <s v="O-1890"/>
        <s v="O-1889"/>
        <s v="O-1888"/>
        <s v="O-1887"/>
        <s v="O-1886"/>
        <s v="O-1885"/>
        <s v="O-1884"/>
        <s v="O-1883"/>
        <s v="O-1882"/>
        <s v="O-1881"/>
        <s v="O-1880"/>
        <s v="O-1879"/>
        <s v="O-1878"/>
        <s v="O-1877"/>
        <s v="O-1876"/>
        <s v="O-1875"/>
        <s v="O-1874"/>
        <s v="O-1873"/>
        <s v="O-1872"/>
        <s v="O-1871"/>
        <s v="O-1870"/>
        <s v="O-1869"/>
        <s v="O-1868"/>
        <s v="O-1867"/>
        <s v="O-1866"/>
        <s v="O-1865"/>
        <s v="O-1864"/>
        <s v="O-1863"/>
        <s v="O-1862"/>
        <s v="O-1861"/>
        <s v="O-1860"/>
        <s v="O-1859"/>
        <s v="O-1858"/>
        <s v="O-1857"/>
        <s v="O-1856"/>
        <s v="O-1855"/>
        <s v="O-1854"/>
        <s v="O-1853"/>
        <s v="O-1852"/>
        <s v="O-1851"/>
        <s v="O-1850"/>
        <s v="O-1849"/>
        <s v="O-1848"/>
        <s v="O-1847"/>
        <s v="O-1846"/>
        <s v="O-1845"/>
        <s v="O-1844"/>
        <s v="O-1843"/>
        <s v="O-1842"/>
        <s v="O-1841"/>
        <s v="O-1840"/>
        <s v="O-1839"/>
        <s v="O-1838"/>
        <s v="O-1837"/>
        <s v="O-1836"/>
        <s v="O-1835"/>
        <s v="O-1834"/>
        <s v="O-1833"/>
        <s v="O-1832"/>
        <s v="O-1831"/>
        <s v="O-1830"/>
        <s v="O-1829"/>
        <s v="O-1828"/>
        <s v="O-1827"/>
        <s v="O-1826"/>
        <s v="O-1825"/>
        <s v="O-1824"/>
        <s v="O-1823"/>
        <s v="O-1822"/>
        <s v="O-1821"/>
        <s v="O-1820"/>
        <s v="O-1819"/>
        <s v="O-1818"/>
        <s v="O-1817"/>
        <s v="O-1816"/>
        <s v="O-1815"/>
        <s v="O-1814"/>
        <s v="O-1813"/>
        <s v="O-1812"/>
        <s v="O-1811"/>
        <s v="O-1810"/>
        <s v="O-1809"/>
        <s v="O-1808"/>
        <s v="O-1807"/>
        <s v="O-1806"/>
        <s v="O-1805"/>
        <s v="O-1804"/>
        <s v="O-1803"/>
        <s v="O-1802"/>
        <s v="O-1801"/>
        <s v="O-1800"/>
        <s v="O-1799"/>
        <s v="O-1798"/>
        <s v="O-1797"/>
        <s v="O-1796"/>
        <s v="O-1795"/>
        <s v="O-1794"/>
        <s v="O-1793"/>
        <s v="O-1792"/>
        <s v="O-1791"/>
        <s v="O-1790"/>
        <s v="O-1789"/>
        <s v="O-1788"/>
        <s v="O-1787"/>
        <s v="O-1786"/>
        <s v="O-1785"/>
        <s v="O-1784"/>
        <s v="O-1783"/>
        <s v="O-1782"/>
        <s v="O-1781"/>
        <s v="O-1780"/>
        <s v="O-1779"/>
        <s v="O-1778"/>
        <s v="O-1777"/>
        <s v="O-1776"/>
        <s v="O-1775"/>
        <s v="O-1774"/>
        <s v="O-1773"/>
        <s v="O-1772"/>
        <s v="O-1771"/>
        <s v="O-1770"/>
        <s v="O-1769"/>
        <s v="O-1768"/>
        <s v="O-1767"/>
        <s v="O-1766"/>
        <s v="O-1765"/>
        <s v="O-1764"/>
        <s v="O-1763"/>
        <s v="O-1762"/>
        <s v="O-1761"/>
        <s v="O-1760"/>
        <s v="O-1759"/>
        <s v="O-1758"/>
        <s v="O-1757"/>
        <s v="O-1756"/>
        <s v="O-1755"/>
        <s v="O-1754"/>
        <s v="O-1753"/>
        <s v="O-1752"/>
        <s v="O-1751"/>
        <s v="O-1750"/>
        <s v="O-1749"/>
        <s v="O-1748"/>
        <s v="O-1747"/>
        <s v="O-1746"/>
        <s v="O-1745"/>
        <s v="O-1744"/>
        <s v="O-1743"/>
        <s v="O-1742"/>
        <s v="O-1741"/>
        <s v="O-1740"/>
        <s v="O-1739"/>
        <s v="O-1738"/>
        <s v="O-1737"/>
        <s v="O-1736"/>
        <s v="O-1735"/>
        <s v="O-1734"/>
        <s v="O-1733"/>
        <s v="O-1732"/>
        <s v="O-1731"/>
        <s v="O-1730"/>
        <s v="O-1729"/>
        <s v="O-1728"/>
        <s v="O-1727"/>
        <s v="O-1726"/>
        <s v="O-1725"/>
        <s v="O-1724"/>
        <s v="O-1723"/>
        <s v="O-1722"/>
        <s v="O-1721"/>
        <s v="O-1720"/>
        <s v="O-1719"/>
        <s v="O-1718"/>
        <s v="O-1717"/>
        <s v="O-1716"/>
        <s v="O-1715"/>
        <s v="O-1714"/>
        <s v="O-1713"/>
        <s v="O-1712"/>
        <s v="O-1711"/>
        <s v="O-1710"/>
        <s v="O-1709"/>
        <s v="O-1708"/>
        <s v="O-1707"/>
        <s v="O-1706"/>
        <s v="O-1705"/>
        <s v="O-1704"/>
        <s v="O-1703"/>
        <s v="O-1702"/>
        <s v="O-1701"/>
        <s v="O-1700"/>
        <s v="O-1699"/>
        <s v="O-1698"/>
        <s v="O-1697"/>
        <s v="O-1696"/>
        <s v="O-1695"/>
        <s v="O-1694"/>
        <s v="O-1693"/>
        <s v="O-1692"/>
        <s v="O-1691"/>
        <s v="O-1690"/>
        <s v="O-1689"/>
        <s v="O-1688"/>
        <s v="O-1687"/>
        <s v="O-1686"/>
        <s v="O-1685"/>
        <s v="O-1684"/>
        <s v="O-1683"/>
        <s v="O-1682"/>
        <s v="O-1681"/>
        <s v="O-1680"/>
        <s v="O-1679"/>
        <s v="O-1678"/>
        <s v="O-1677"/>
        <s v="O-1676"/>
        <s v="O-1675"/>
        <s v="O-1674"/>
        <s v="O-1673"/>
        <s v="O-1672"/>
        <s v="O-1671"/>
        <s v="O-1670"/>
        <s v="O-1669"/>
        <s v="O-1668"/>
        <s v="O-1667"/>
        <s v="O-1666"/>
        <s v="O-1665"/>
        <s v="O-1664"/>
        <s v="O-1663"/>
        <s v="O-1662"/>
        <s v="O-1661"/>
        <s v="O-1660"/>
        <s v="O-1659"/>
        <s v="O-1658"/>
        <s v="O-1657"/>
        <s v="O-1656"/>
        <s v="O-1655"/>
        <s v="O-1654"/>
        <s v="O-1653"/>
        <s v="O-1652"/>
        <s v="O-1651"/>
        <s v="O-1650"/>
        <s v="O-1649"/>
        <s v="O-1648"/>
        <s v="O-1647"/>
        <s v="O-1646"/>
        <s v="O-1645"/>
        <s v="O-1644"/>
        <s v="O-1643"/>
        <s v="O-1642"/>
        <s v="O-1641"/>
        <s v="O-1640"/>
        <s v="O-1639"/>
        <s v="O-1638"/>
        <s v="O-1637"/>
        <s v="O-1636"/>
        <s v="O-1635"/>
        <s v="O-1634"/>
        <s v="O-1633"/>
        <s v="O-1632"/>
        <s v="O-1631"/>
        <s v="O-1630"/>
        <s v="O-1629"/>
        <s v="O-1628"/>
        <s v="O-1627"/>
        <s v="O-1626"/>
        <s v="O-1625"/>
        <s v="O-1624"/>
        <s v="O-1623"/>
        <s v="O-1622"/>
        <s v="O-1621"/>
        <s v="O-1620"/>
        <s v="O-1619"/>
        <s v="O-1618"/>
        <s v="O-1617"/>
        <s v="O-1616"/>
        <s v="O-1615"/>
        <s v="O-1614"/>
        <s v="O-1613"/>
        <s v="O-1612"/>
        <s v="O-1611"/>
        <s v="O-1610"/>
        <s v="O-1609"/>
        <s v="O-1608"/>
        <s v="O-1607"/>
        <s v="O-1606"/>
        <s v="O-1605"/>
        <s v="O-1604"/>
        <s v="O-1603"/>
        <s v="O-1602"/>
        <s v="O-1601"/>
        <s v="O-1600"/>
        <s v="O-1599"/>
        <s v="O-1598"/>
        <s v="O-1597"/>
        <s v="O-1596"/>
        <s v="O-1595"/>
        <s v="O-1594"/>
        <s v="O-1593"/>
        <s v="O-1592"/>
        <s v="O-1591"/>
        <s v="O-1590"/>
        <s v="O-1589"/>
        <s v="O-1588"/>
        <s v="O-1587"/>
        <s v="O-1586"/>
        <s v="O-1585"/>
        <s v="O-1584"/>
        <s v="O-1583"/>
        <s v="O-1582"/>
        <s v="O-1581"/>
        <s v="O-1580"/>
        <s v="O-1579"/>
        <s v="O-1578"/>
        <s v="O-1577"/>
        <s v="O-1576"/>
        <s v="O-1575"/>
        <s v="O-1574"/>
        <s v="O-1573"/>
        <s v="O-1572"/>
        <s v="O-1571"/>
        <s v="O-1570"/>
        <s v="O-1569"/>
        <s v="O-1568"/>
        <s v="O-1567"/>
        <s v="O-1566"/>
        <s v="O-1565"/>
        <s v="O-1564"/>
        <s v="O-1563"/>
        <s v="O-1562"/>
        <s v="O-1561"/>
        <s v="O-1560"/>
        <s v="O-1559"/>
        <s v="O-1558"/>
        <s v="O-1557"/>
        <s v="O-1556"/>
        <s v="O-1555"/>
        <s v="O-1554"/>
        <s v="O-1553"/>
        <s v="O-1552"/>
        <s v="O-1551"/>
        <s v="O-1550"/>
        <s v="O-1549"/>
        <s v="O-1548"/>
        <s v="O-1547"/>
        <s v="O-1546"/>
        <s v="O-1545"/>
        <s v="O-1544"/>
        <s v="O-1543"/>
        <s v="O-1542"/>
        <s v="O-1541"/>
        <s v="O-1540"/>
        <s v="O-1539"/>
        <s v="O-1538"/>
        <s v="O-1537"/>
        <s v="O-1536"/>
        <s v="O-1535"/>
        <s v="O-1534"/>
        <s v="O-1533"/>
        <s v="O-1532"/>
        <s v="O-1531"/>
        <s v="O-1530"/>
        <s v="O-1529"/>
        <s v="O-1528"/>
        <s v="O-1527"/>
        <s v="O-1526"/>
        <s v="O-1525"/>
        <s v="O-1524"/>
        <s v="O-1523"/>
        <s v="O-1522"/>
        <s v="O-1521"/>
        <s v="O-1520"/>
        <s v="O-1519"/>
        <s v="O-1518"/>
        <s v="O-1517"/>
        <s v="O-1516"/>
        <s v="O-1515"/>
        <s v="O-1514"/>
        <s v="O-1513"/>
        <s v="O-1512"/>
        <s v="O-1511"/>
        <s v="O-1510"/>
        <s v="O-1509"/>
        <s v="O-1508"/>
        <s v="O-1507"/>
        <s v="O-1506"/>
        <s v="O-1505"/>
        <s v="O-1504"/>
        <s v="O-1503"/>
        <s v="O-1502"/>
        <s v="O-1501"/>
      </sharedItems>
    </cacheField>
    <cacheField name="Fecha Recep." numFmtId="14">
      <sharedItems containsNonDate="0" containsDate="1" containsString="0" containsBlank="1" minDate="2021-08-23T00:00:00" maxDate="2024-03-27T00:00:00"/>
    </cacheField>
    <cacheField name="Cliente Directo" numFmtId="0">
      <sharedItems containsBlank="1"/>
    </cacheField>
    <cacheField name="Cliente Final" numFmtId="0">
      <sharedItems containsBlank="1"/>
    </cacheField>
    <cacheField name="Contacto" numFmtId="0">
      <sharedItems containsBlank="1"/>
    </cacheField>
    <cacheField name="Email" numFmtId="0">
      <sharedItems containsBlank="1"/>
    </cacheField>
    <cacheField name="Título" numFmtId="0">
      <sharedItems containsBlank="1"/>
    </cacheField>
    <cacheField name="Tipo Serv." numFmtId="0">
      <sharedItems containsBlank="1"/>
    </cacheField>
    <cacheField name="Tipo Licitación." numFmtId="0">
      <sharedItems containsBlank="1"/>
    </cacheField>
    <cacheField name="Ámbito" numFmtId="0">
      <sharedItems containsBlank="1"/>
    </cacheField>
    <cacheField name="País" numFmtId="0">
      <sharedItems containsBlank="1"/>
    </cacheField>
    <cacheField name="Fecha Entrega" numFmtId="14">
      <sharedItems containsDate="1" containsBlank="1" containsMixedTypes="1" minDate="2022-04-28T00:00:00" maxDate="2024-04-16T00:00:00"/>
    </cacheField>
    <cacheField name="Líder Técnico" numFmtId="0">
      <sharedItems containsBlank="1"/>
    </cacheField>
    <cacheField name="Unidad de Negocio" numFmtId="0">
      <sharedItems containsBlank="1"/>
    </cacheField>
    <cacheField name="Comentario" numFmtId="0">
      <sharedItems containsDate="1" containsBlank="1" containsMixedTypes="1" minDate="1899-12-30T12:00:00" maxDate="1899-12-30T12:00:00"/>
    </cacheField>
    <cacheField name="Estado" numFmtId="0">
      <sharedItems containsBlank="1"/>
    </cacheField>
    <cacheField name="Probabilidad" numFmtId="0">
      <sharedItems containsString="0" containsBlank="1" containsNumber="1" minValue="0" maxValue="0.99"/>
    </cacheField>
    <cacheField name="Fecha Estado" numFmtId="0">
      <sharedItems containsNonDate="0" containsDate="1" containsString="0" containsBlank="1" minDate="2022-05-04T00:00:00" maxDate="2024-03-27T00:00:00"/>
    </cacheField>
    <cacheField name="Horas Lic (hh) " numFmtId="3">
      <sharedItems containsBlank="1" containsMixedTypes="1" containsNumber="1" minValue="0" maxValue="114810"/>
    </cacheField>
    <cacheField name="Monto (M$)" numFmtId="0">
      <sharedItems containsBlank="1" containsMixedTypes="1" containsNumber="1" minValue="0" maxValue="4704.5909819999997"/>
    </cacheField>
    <cacheField name="Tarifa Promedio" numFmtId="3">
      <sharedItems containsBlank="1" containsMixedTypes="1" containsNumber="1" minValue="0" maxValue="99218.955555555556"/>
    </cacheField>
    <cacheField name="Código Proy." numFmtId="0">
      <sharedItems containsBlank="1"/>
    </cacheField>
    <cacheField name="Posible Adjudicación" numFmtId="14">
      <sharedItems containsNonDate="0" containsDate="1" containsString="0" containsBlank="1" minDate="2023-06-15T00:00:00" maxDate="2023-08-16T00:00:00"/>
    </cacheField>
    <cacheField name="Coord." numFmtId="0">
      <sharedItems containsNonDate="0" containsString="0" containsBlank="1"/>
    </cacheField>
    <cacheField name="Seguimiento (Consultar)" numFmtId="0">
      <sharedItems containsBlank="1"/>
    </cacheField>
    <cacheField name="Año" numFmtId="0">
      <sharedItems containsString="0" containsBlank="1" containsNumber="1" containsInteger="1" minValue="2022" maxValue="2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2">
  <r>
    <m/>
    <m/>
    <x v="0"/>
    <m/>
    <m/>
    <m/>
    <m/>
    <x v="0"/>
    <m/>
    <m/>
    <m/>
    <m/>
    <m/>
    <m/>
    <x v="0"/>
    <m/>
    <m/>
    <m/>
    <m/>
    <m/>
    <m/>
    <m/>
    <m/>
    <m/>
    <x v="0"/>
  </r>
  <r>
    <m/>
    <m/>
    <x v="0"/>
    <m/>
    <m/>
    <m/>
    <m/>
    <x v="0"/>
    <m/>
    <m/>
    <m/>
    <m/>
    <m/>
    <m/>
    <x v="0"/>
    <m/>
    <m/>
    <m/>
    <m/>
    <m/>
    <m/>
    <m/>
    <m/>
    <m/>
    <x v="1"/>
  </r>
  <r>
    <s v="O-1252"/>
    <d v="2020-12-10T00:00:00"/>
    <x v="1"/>
    <s v="Antamina - Acciona"/>
    <m/>
    <m/>
    <s v="Revision Programacion e Implementacion Sistema Impulsion de Relaves - Antamina - Acciona"/>
    <x v="0"/>
    <s v="ND"/>
    <s v="NAC"/>
    <s v="Chile"/>
    <m/>
    <m/>
    <m/>
    <x v="1"/>
    <m/>
    <m/>
    <m/>
    <m/>
    <m/>
    <m/>
    <m/>
    <m/>
    <m/>
    <x v="2"/>
  </r>
  <r>
    <s v="O-1251"/>
    <d v="2020-12-10T00:00:00"/>
    <x v="2"/>
    <s v="Vale Brasil"/>
    <m/>
    <m/>
    <s v="Adecuacion PNR Proteccion Catodica V11 - Vale"/>
    <x v="0"/>
    <s v="ND"/>
    <s v="NAC"/>
    <s v="Chile"/>
    <m/>
    <s v="Pedro Valencia"/>
    <m/>
    <x v="1"/>
    <m/>
    <m/>
    <m/>
    <m/>
    <m/>
    <m/>
    <m/>
    <m/>
    <m/>
    <x v="2"/>
  </r>
  <r>
    <s v="O-1250"/>
    <d v="2020-12-10T00:00:00"/>
    <x v="2"/>
    <s v="Vale Brasil"/>
    <m/>
    <m/>
    <s v="Adecuacion PNR Proteccion Catodica V12 - Vale"/>
    <x v="0"/>
    <s v="ND"/>
    <s v="NAC"/>
    <s v="Chile"/>
    <m/>
    <s v="Pedro Valencia"/>
    <m/>
    <x v="0"/>
    <m/>
    <m/>
    <m/>
    <m/>
    <m/>
    <m/>
    <m/>
    <m/>
    <m/>
    <x v="2"/>
  </r>
  <r>
    <s v="O-1249"/>
    <d v="2020-12-09T00:00:00"/>
    <x v="3"/>
    <s v="SGSCM"/>
    <m/>
    <m/>
    <s v="Capacitación Operadores SGSCM"/>
    <x v="0"/>
    <s v="ND"/>
    <s v="NAC"/>
    <s v="Chile"/>
    <m/>
    <s v="Pedro Valencia"/>
    <m/>
    <x v="2"/>
    <m/>
    <d v="2020-12-11T00:00:00"/>
    <n v="442"/>
    <n v="21.907515"/>
    <n v="49564.513574660639"/>
    <m/>
    <m/>
    <m/>
    <m/>
    <x v="2"/>
  </r>
  <r>
    <s v="O-1248"/>
    <d v="2020-12-07T00:00:00"/>
    <x v="3"/>
    <s v="SGSCM"/>
    <m/>
    <m/>
    <s v="Modificaciones ID mejoramiento Transporte de Relaves Sierra Gorda - SGSCM"/>
    <x v="1"/>
    <s v="ND"/>
    <s v="NAC"/>
    <s v="Chile"/>
    <m/>
    <s v="Pedro Valencia"/>
    <m/>
    <x v="1"/>
    <m/>
    <m/>
    <m/>
    <m/>
    <m/>
    <m/>
    <m/>
    <m/>
    <m/>
    <x v="2"/>
  </r>
  <r>
    <s v="O-1247"/>
    <d v="2020-12-01T00:00:00"/>
    <x v="4"/>
    <s v="Cayara"/>
    <m/>
    <m/>
    <s v="Tradeoff Transporte de Cal - Cayara"/>
    <x v="2"/>
    <s v="ND"/>
    <s v="NAC"/>
    <s v="Chile"/>
    <m/>
    <s v="Pedro Valencia"/>
    <m/>
    <x v="1"/>
    <m/>
    <d v="2020-12-02T00:00:00"/>
    <m/>
    <m/>
    <m/>
    <m/>
    <m/>
    <m/>
    <m/>
    <x v="2"/>
  </r>
  <r>
    <s v="O-1246"/>
    <d v="2020-11-27T00:00:00"/>
    <x v="5"/>
    <s v="Anglo American"/>
    <m/>
    <m/>
    <s v=" Ingenieria by-pass Cortador Arenas - AA"/>
    <x v="1"/>
    <s v="ND"/>
    <s v="NAC"/>
    <s v="Chile"/>
    <m/>
    <s v="Pedro Valencia"/>
    <m/>
    <x v="1"/>
    <m/>
    <d v="2020-12-02T00:00:00"/>
    <m/>
    <m/>
    <m/>
    <m/>
    <m/>
    <m/>
    <m/>
    <x v="2"/>
  </r>
  <r>
    <s v="O-1245"/>
    <d v="2020-11-27T00:00:00"/>
    <x v="5"/>
    <s v="Anglo American"/>
    <m/>
    <m/>
    <s v="Ingenieria Verificacion Impulsion de Lamas por Plataformas de Colas - AA"/>
    <x v="1"/>
    <s v="ND"/>
    <s v="NAC"/>
    <s v="Chile"/>
    <m/>
    <s v="Pedro Valencia"/>
    <m/>
    <x v="1"/>
    <m/>
    <d v="2020-12-02T00:00:00"/>
    <m/>
    <m/>
    <m/>
    <m/>
    <m/>
    <m/>
    <m/>
    <x v="2"/>
  </r>
  <r>
    <s v="O-1244"/>
    <d v="2020-11-25T00:00:00"/>
    <x v="6"/>
    <s v="ECSA"/>
    <m/>
    <m/>
    <s v="ID Peralte Tranque de Relaves Quimi - ECSA (Ecuador)"/>
    <x v="1"/>
    <s v="ND"/>
    <s v="INT"/>
    <s v="Ecuador"/>
    <m/>
    <s v="Pedro Valencia"/>
    <m/>
    <x v="2"/>
    <m/>
    <d v="2020-11-26T00:00:00"/>
    <m/>
    <m/>
    <m/>
    <m/>
    <m/>
    <m/>
    <m/>
    <x v="2"/>
  </r>
  <r>
    <s v="O-1243"/>
    <d v="2020-11-20T00:00:00"/>
    <x v="7"/>
    <s v="Codelco"/>
    <m/>
    <m/>
    <s v="Modelación CFD Proyecto Mejoramiento Recuperación de Agua Espesador"/>
    <x v="3"/>
    <s v="LC"/>
    <s v="NAC"/>
    <s v="Chile"/>
    <m/>
    <s v="Pedro Valencia"/>
    <m/>
    <x v="1"/>
    <m/>
    <m/>
    <m/>
    <m/>
    <s v="N/A"/>
    <m/>
    <m/>
    <m/>
    <m/>
    <x v="2"/>
  </r>
  <r>
    <s v="O-1242"/>
    <d v="2020-11-18T00:00:00"/>
    <x v="8"/>
    <s v="Quellaveco"/>
    <m/>
    <m/>
    <s v="Apoyo Obras Tranque Cortadera Quellaveco"/>
    <x v="0"/>
    <s v="LC"/>
    <s v="NAC"/>
    <s v="Chile"/>
    <m/>
    <s v="Pedro Valencia"/>
    <m/>
    <x v="3"/>
    <m/>
    <d v="2020-11-25T00:00:00"/>
    <n v="386"/>
    <n v="12.369199999999999"/>
    <n v="32044.559585492225"/>
    <m/>
    <m/>
    <m/>
    <m/>
    <x v="2"/>
  </r>
  <r>
    <s v="O-1241"/>
    <d v="2020-11-17T00:00:00"/>
    <x v="9"/>
    <s v="Mantoverde"/>
    <m/>
    <m/>
    <s v="ID Tranque de Relaves Proyecto Desarrollo Mantoverde"/>
    <x v="1"/>
    <s v="LM"/>
    <s v="NAC"/>
    <s v="Chile"/>
    <m/>
    <s v="Pedro Valencia"/>
    <m/>
    <x v="1"/>
    <m/>
    <m/>
    <m/>
    <m/>
    <s v="N/A"/>
    <m/>
    <m/>
    <m/>
    <m/>
    <x v="2"/>
  </r>
  <r>
    <s v="O-1240"/>
    <d v="2020-11-17T00:00:00"/>
    <x v="10"/>
    <s v="Hidroelectrica Caren"/>
    <m/>
    <m/>
    <s v="Pruebas Hidrostaticas Hidroelectrica Caren"/>
    <x v="4"/>
    <s v="ND"/>
    <s v="NAC"/>
    <s v="Chile"/>
    <d v="2020-11-17T00:00:00"/>
    <s v="Claudio Muñoz"/>
    <m/>
    <x v="2"/>
    <m/>
    <d v="2020-11-25T00:00:00"/>
    <n v="230"/>
    <n v="13.294"/>
    <n v="57800.000000000007"/>
    <m/>
    <m/>
    <m/>
    <m/>
    <x v="2"/>
  </r>
  <r>
    <s v="O-1239"/>
    <d v="2020-11-16T00:00:00"/>
    <x v="11"/>
    <s v="Codelco"/>
    <m/>
    <m/>
    <s v="Prefactibilidad Normalización Salas Electricas Planta Concentradora"/>
    <x v="5"/>
    <s v="LM"/>
    <s v="NAC"/>
    <s v="Chile"/>
    <m/>
    <s v="Oriol Tucas"/>
    <s v="Carta Excusa"/>
    <x v="4"/>
    <m/>
    <m/>
    <m/>
    <m/>
    <s v="N/A"/>
    <m/>
    <m/>
    <m/>
    <m/>
    <x v="2"/>
  </r>
  <r>
    <s v="O-1238"/>
    <d v="2020-11-12T00:00:00"/>
    <x v="12"/>
    <s v="Zaldivar"/>
    <m/>
    <m/>
    <s v="Asesoria Integridad Muelle SIAM"/>
    <x v="6"/>
    <s v="LM"/>
    <s v="NAC"/>
    <s v="Chile"/>
    <d v="2020-11-20T00:00:00"/>
    <s v="Pedro Valencia"/>
    <m/>
    <x v="2"/>
    <m/>
    <d v="2020-11-25T00:00:00"/>
    <n v="996"/>
    <n v="56.351506000000001"/>
    <n v="56577.817269076302"/>
    <m/>
    <m/>
    <m/>
    <m/>
    <x v="2"/>
  </r>
  <r>
    <s v="O-1237"/>
    <d v="2020-11-12T00:00:00"/>
    <x v="13"/>
    <s v="Sierra Gorda"/>
    <m/>
    <m/>
    <s v="ODC ID Mejoramiento en Transporte y Distribucuón de Relaves"/>
    <x v="1"/>
    <s v="ND"/>
    <s v="NAC"/>
    <s v="Chile"/>
    <d v="2020-11-13T00:00:00"/>
    <s v="Pedro Valencia"/>
    <m/>
    <x v="5"/>
    <m/>
    <m/>
    <n v="765"/>
    <n v="28.757726999999999"/>
    <n v="37591.800000000003"/>
    <s v="SH-0234"/>
    <m/>
    <m/>
    <m/>
    <x v="2"/>
  </r>
  <r>
    <s v="O-1236"/>
    <d v="2020-11-12T00:00:00"/>
    <x v="14"/>
    <s v="Vale Brasil"/>
    <m/>
    <m/>
    <s v="Consultoria Tecnica Tubulacao e Processos"/>
    <x v="4"/>
    <s v="ND"/>
    <s v="INT"/>
    <s v="Brasil"/>
    <d v="2020-11-12T00:00:00"/>
    <s v="Pedro Valencia"/>
    <m/>
    <x v="2"/>
    <m/>
    <d v="2020-11-25T00:00:00"/>
    <n v="15"/>
    <n v="0.33450000000000002"/>
    <n v="22300"/>
    <m/>
    <m/>
    <m/>
    <m/>
    <x v="2"/>
  </r>
  <r>
    <s v="O-1235"/>
    <d v="2020-11-09T00:00:00"/>
    <x v="15"/>
    <s v="CAP Mineria"/>
    <m/>
    <m/>
    <s v="Auditoría Operativa Area Relaves CNN - Depósito"/>
    <x v="7"/>
    <s v="LM"/>
    <s v="NAC"/>
    <s v="Chile"/>
    <d v="2020-11-10T00:00:00"/>
    <s v="Pedro Valencia"/>
    <m/>
    <x v="2"/>
    <m/>
    <d v="2020-11-25T00:00:00"/>
    <n v="1130"/>
    <n v="55.488"/>
    <n v="49104.424778761066"/>
    <m/>
    <m/>
    <m/>
    <m/>
    <x v="2"/>
  </r>
  <r>
    <s v="O-1234"/>
    <d v="2020-11-09T00:00:00"/>
    <x v="15"/>
    <s v="CAP Mineria"/>
    <m/>
    <m/>
    <s v="Auditoría Operativa Area Relaves CNN - Espesamiento"/>
    <x v="7"/>
    <s v="LM"/>
    <s v="NAC"/>
    <s v="Chile"/>
    <d v="2020-11-10T00:00:00"/>
    <s v="Pedro Valencia"/>
    <m/>
    <x v="2"/>
    <m/>
    <d v="2020-11-25T00:00:00"/>
    <n v="392"/>
    <n v="24.276"/>
    <n v="61928.571428571428"/>
    <m/>
    <m/>
    <m/>
    <m/>
    <x v="2"/>
  </r>
  <r>
    <s v="O-1233"/>
    <d v="2020-11-09T00:00:00"/>
    <x v="15"/>
    <s v="CAP Mineria"/>
    <m/>
    <m/>
    <s v="Auditoría Operativa Area Relaves CNN - Transporte"/>
    <x v="7"/>
    <s v="LM"/>
    <s v="NAC"/>
    <s v="Chile"/>
    <d v="2020-11-10T00:00:00"/>
    <s v="Pedro Valencia"/>
    <m/>
    <x v="2"/>
    <m/>
    <d v="2020-11-25T00:00:00"/>
    <n v="942"/>
    <n v="49.072200000000002"/>
    <n v="52093.630573248411"/>
    <m/>
    <m/>
    <m/>
    <m/>
    <x v="2"/>
  </r>
  <r>
    <s v="O-1232"/>
    <d v="2020-11-05T00:00:00"/>
    <x v="0"/>
    <m/>
    <m/>
    <m/>
    <s v="Revisión Expera Depósito de Relaves Quimi "/>
    <x v="8"/>
    <s v="ND"/>
    <s v="INT"/>
    <s v="Ecuador"/>
    <m/>
    <s v="Claudio Muñoz"/>
    <m/>
    <x v="1"/>
    <m/>
    <m/>
    <m/>
    <m/>
    <s v="N/A"/>
    <m/>
    <m/>
    <m/>
    <m/>
    <x v="2"/>
  </r>
  <r>
    <s v="O-1231"/>
    <d v="2020-11-04T00:00:00"/>
    <x v="16"/>
    <s v="CANDELARIA"/>
    <m/>
    <m/>
    <s v="Contrato Marco Ingenieria Menor"/>
    <x v="9"/>
    <s v="LM"/>
    <s v="NAC"/>
    <s v="Chile"/>
    <d v="2020-11-20T00:00:00"/>
    <s v="Claudio Muñoz"/>
    <s v="Enviar Consultas y Ant Adm 10-11"/>
    <x v="1"/>
    <m/>
    <m/>
    <m/>
    <m/>
    <s v="N/A"/>
    <m/>
    <m/>
    <m/>
    <m/>
    <x v="2"/>
  </r>
  <r>
    <s v="O-1230"/>
    <d v="2020-11-03T00:00:00"/>
    <x v="17"/>
    <s v="Codelco"/>
    <m/>
    <m/>
    <s v="ID Construcción Río Blanco - Asociación JEJ"/>
    <x v="1"/>
    <s v="LM"/>
    <s v="NAC"/>
    <s v="Chile"/>
    <d v="2020-11-18T00:00:00"/>
    <s v="Claudio Muñoz"/>
    <m/>
    <x v="1"/>
    <m/>
    <m/>
    <m/>
    <m/>
    <s v="N/A"/>
    <m/>
    <m/>
    <m/>
    <m/>
    <x v="2"/>
  </r>
  <r>
    <s v="O-1229"/>
    <d v="2020-11-02T00:00:00"/>
    <x v="5"/>
    <s v="Anglo American"/>
    <m/>
    <m/>
    <s v="Actividades Prioritarias Ingenieria Detalles Estación ECMP 20 KTPD"/>
    <x v="1"/>
    <s v="ND"/>
    <s v="NAC"/>
    <s v="Chile"/>
    <d v="2020-11-02T00:00:00"/>
    <s v="Pedro Valencia"/>
    <m/>
    <x v="2"/>
    <m/>
    <m/>
    <n v="1038"/>
    <n v="37.941400000000002"/>
    <n v="36552.408477842"/>
    <m/>
    <m/>
    <m/>
    <m/>
    <x v="2"/>
  </r>
  <r>
    <s v="O-1228"/>
    <d v="2020-10-21T00:00:00"/>
    <x v="18"/>
    <s v="Aguas CAP"/>
    <m/>
    <m/>
    <s v="Ingenieria Mejoramiento Acueducto CNN Tramo EB2 - EB3"/>
    <x v="2"/>
    <s v="LM"/>
    <s v="NAC"/>
    <s v="Chile"/>
    <m/>
    <s v="Claudio Muñoz"/>
    <m/>
    <x v="3"/>
    <m/>
    <d v="2020-11-09T00:00:00"/>
    <n v="825"/>
    <n v="41.34"/>
    <n v="50109.090909090919"/>
    <m/>
    <m/>
    <m/>
    <m/>
    <x v="2"/>
  </r>
  <r>
    <s v="O-1227"/>
    <d v="2020-10-16T00:00:00"/>
    <x v="12"/>
    <s v="Zaldivar"/>
    <m/>
    <m/>
    <s v=" Servicio de Ingenieria Multidisciplinaria Contrato Marco - Zaldivar"/>
    <x v="9"/>
    <s v="LM"/>
    <s v="NAC"/>
    <s v="Chile"/>
    <d v="2020-11-17T00:00:00"/>
    <s v="Claudio Muñoz"/>
    <m/>
    <x v="1"/>
    <m/>
    <m/>
    <m/>
    <m/>
    <s v="N/A"/>
    <m/>
    <m/>
    <m/>
    <m/>
    <x v="2"/>
  </r>
  <r>
    <s v="O-1226"/>
    <d v="2020-10-14T00:00:00"/>
    <x v="19"/>
    <s v="Codelco"/>
    <m/>
    <m/>
    <s v="EPC Repotenciamiento Plantas de Cal - ANDINA - CODELCO"/>
    <x v="1"/>
    <s v="ND"/>
    <s v="NAC"/>
    <s v="Chile"/>
    <m/>
    <s v="Claudio Muñoz"/>
    <s v="Precalificación Presentada sin respuesta"/>
    <x v="2"/>
    <m/>
    <m/>
    <m/>
    <m/>
    <s v="N/A"/>
    <m/>
    <m/>
    <m/>
    <m/>
    <x v="2"/>
  </r>
  <r>
    <s v="O-1225"/>
    <d v="2020-10-13T00:00:00"/>
    <x v="19"/>
    <s v="Codelco"/>
    <m/>
    <m/>
    <s v="Adicionales Actualización Disposición de Cañerías Estación de Bombeo PS3 - CODELCO"/>
    <x v="1"/>
    <s v="ND"/>
    <s v="NAC"/>
    <s v="Chile"/>
    <m/>
    <s v="Claudio Muñoz"/>
    <m/>
    <x v="5"/>
    <m/>
    <d v="2020-10-14T00:00:00"/>
    <n v="283"/>
    <n v="10.472630000000001"/>
    <n v="37005.75971731449"/>
    <s v="SH-0241"/>
    <m/>
    <m/>
    <m/>
    <x v="2"/>
  </r>
  <r>
    <s v="O-1224"/>
    <d v="2020-10-09T00:00:00"/>
    <x v="19"/>
    <s v="Codelco"/>
    <m/>
    <m/>
    <s v="Actualización Reologia y Analisis Hidraulico Canaleta de Relaves DET"/>
    <x v="10"/>
    <s v="LM"/>
    <s v="NAC"/>
    <s v="Chile"/>
    <m/>
    <s v="Pedro Valencia"/>
    <m/>
    <x v="2"/>
    <m/>
    <d v="2020-11-09T00:00:00"/>
    <n v="1570"/>
    <n v="57.040716000000003"/>
    <n v="36331.66624203822"/>
    <m/>
    <m/>
    <m/>
    <m/>
    <x v="2"/>
  </r>
  <r>
    <s v="O-1223"/>
    <d v="2020-10-06T00:00:00"/>
    <x v="5"/>
    <s v="Anglo American"/>
    <m/>
    <m/>
    <s v="Ingenieria de Terreno Estacion ECMP 20 KTPD"/>
    <x v="11"/>
    <s v="ND"/>
    <s v="NAC"/>
    <s v="Chile"/>
    <m/>
    <s v="Pedro Valencia"/>
    <m/>
    <x v="1"/>
    <m/>
    <m/>
    <m/>
    <m/>
    <s v="N/A"/>
    <m/>
    <m/>
    <m/>
    <m/>
    <x v="2"/>
  </r>
  <r>
    <s v="O-1222"/>
    <d v="2020-10-06T00:00:00"/>
    <x v="2"/>
    <s v="Vale Brasil"/>
    <m/>
    <m/>
    <s v="Padrao LDS"/>
    <x v="5"/>
    <s v="ND"/>
    <s v="NAC"/>
    <s v="Brasil"/>
    <d v="2020-10-06T00:00:00"/>
    <s v="Pedro Valencia"/>
    <m/>
    <x v="2"/>
    <m/>
    <d v="2020-10-13T00:00:00"/>
    <n v="1500"/>
    <n v="99.45"/>
    <n v="66300"/>
    <m/>
    <m/>
    <m/>
    <m/>
    <x v="2"/>
  </r>
  <r>
    <s v="O-1221"/>
    <d v="2020-10-05T00:00:00"/>
    <x v="14"/>
    <s v="Vale Brasil"/>
    <m/>
    <m/>
    <s v="IB Cambio de Ubicacion Densimetro Nuclear - Gelado"/>
    <x v="5"/>
    <s v="ND"/>
    <s v="NAC"/>
    <s v="Brasil"/>
    <d v="2020-10-05T00:00:00"/>
    <s v="Pedro Valencia"/>
    <m/>
    <x v="2"/>
    <m/>
    <d v="2020-10-13T00:00:00"/>
    <n v="76"/>
    <n v="1.48722"/>
    <n v="19568.684210526313"/>
    <m/>
    <m/>
    <m/>
    <m/>
    <x v="2"/>
  </r>
  <r>
    <s v="O-1220"/>
    <d v="2020-09-28T00:00:00"/>
    <x v="19"/>
    <s v="Codelco"/>
    <m/>
    <m/>
    <s v="Ingeniería de Detalles Sistema Impulsión Coya Sapos"/>
    <x v="1"/>
    <s v="LM"/>
    <s v="NAC"/>
    <s v="Chile"/>
    <d v="2020-10-26T00:00:00"/>
    <s v="Claudio Muñoz"/>
    <m/>
    <x v="2"/>
    <m/>
    <d v="2020-11-09T00:00:00"/>
    <n v="6455"/>
    <n v="211.65671499999999"/>
    <n v="32789.57629744384"/>
    <m/>
    <m/>
    <m/>
    <m/>
    <x v="2"/>
  </r>
  <r>
    <s v="O-1219"/>
    <d v="2020-09-25T00:00:00"/>
    <x v="20"/>
    <s v="Tipiel"/>
    <m/>
    <m/>
    <s v="Informe Técnicao Terminal Gas Caldera (DS108 y DS160)"/>
    <x v="10"/>
    <s v="ND"/>
    <s v="NAC"/>
    <s v="Chile"/>
    <d v="2020-09-30T00:00:00"/>
    <s v="Claudio Muñoz"/>
    <m/>
    <x v="2"/>
    <m/>
    <d v="2020-10-13T00:00:00"/>
    <m/>
    <m/>
    <m/>
    <m/>
    <m/>
    <m/>
    <m/>
    <x v="2"/>
  </r>
  <r>
    <s v="O-1218"/>
    <d v="2020-09-24T00:00:00"/>
    <x v="21"/>
    <s v="Pucobre"/>
    <m/>
    <m/>
    <s v="Estudio Trazado Alternativas SIAM - Pucobre"/>
    <x v="2"/>
    <s v="LM"/>
    <s v="NAC"/>
    <s v="Chile"/>
    <d v="2020-10-05T00:00:00"/>
    <s v="Pedro Valencia"/>
    <m/>
    <x v="2"/>
    <m/>
    <d v="2020-10-13T00:00:00"/>
    <n v="3594"/>
    <n v="125.521871"/>
    <n v="34925.395381190872"/>
    <m/>
    <m/>
    <m/>
    <m/>
    <x v="2"/>
  </r>
  <r>
    <s v="O-1217"/>
    <d v="2020-09-23T00:00:00"/>
    <x v="22"/>
    <s v="Centinela"/>
    <m/>
    <m/>
    <s v="Ingenieria Contraparte Prefactibilidad Planta Chancado - Centinela"/>
    <x v="12"/>
    <s v="LM"/>
    <s v="NAC"/>
    <s v="Chile"/>
    <d v="2020-10-22T00:00:00"/>
    <s v="Juan Carlos Tapia"/>
    <s v="Enviada Aclaración N° 1"/>
    <x v="2"/>
    <m/>
    <d v="2020-11-09T00:00:00"/>
    <n v="3356"/>
    <n v="164.69782000000001"/>
    <n v="49075.631704410014"/>
    <m/>
    <m/>
    <m/>
    <m/>
    <x v="2"/>
  </r>
  <r>
    <s v="O-1216"/>
    <d v="2020-09-22T00:00:00"/>
    <x v="19"/>
    <s v="Codelco"/>
    <m/>
    <m/>
    <s v="Modelo Hidrogeologico Transporte Tranque Colihues y Cauquenes - DET - CODELCO"/>
    <x v="9"/>
    <s v="LM"/>
    <s v="NAC"/>
    <s v="Chile"/>
    <d v="2020-11-03T00:00:00"/>
    <s v="Claudio Muñoz"/>
    <s v="Buscando Personal Clave en conjunto con ROKO (María Fernanda Rojas)"/>
    <x v="1"/>
    <m/>
    <m/>
    <m/>
    <m/>
    <m/>
    <m/>
    <m/>
    <m/>
    <m/>
    <x v="2"/>
  </r>
  <r>
    <s v="O-1215"/>
    <d v="2020-09-22T00:00:00"/>
    <x v="19"/>
    <s v="Codelco"/>
    <m/>
    <m/>
    <s v="Ingenieria Complementaria Construccion 7ma Embalse Caren - JEJ - CODELCO"/>
    <x v="1"/>
    <s v="LM"/>
    <s v="NAC"/>
    <s v="Chile"/>
    <d v="2020-10-08T00:00:00"/>
    <s v="Pedro Valencia"/>
    <s v="Precalificación Presentanda"/>
    <x v="2"/>
    <m/>
    <d v="2020-10-09T00:00:00"/>
    <m/>
    <m/>
    <m/>
    <m/>
    <m/>
    <m/>
    <m/>
    <x v="2"/>
  </r>
  <r>
    <s v="O-1214"/>
    <d v="2020-09-16T00:00:00"/>
    <x v="5"/>
    <s v="Anglo American"/>
    <m/>
    <m/>
    <s v=" ID Estacion ECMP 20KTPD - AA"/>
    <x v="1"/>
    <s v="ND"/>
    <s v="NAC"/>
    <s v="Chile"/>
    <d v="2020-09-17T00:00:00"/>
    <s v="Pedro Valencia"/>
    <m/>
    <x v="5"/>
    <m/>
    <d v="2020-10-19T00:00:00"/>
    <n v="7382"/>
    <n v="285.30669999999998"/>
    <n v="38648.970468707666"/>
    <s v="SH-0254"/>
    <m/>
    <m/>
    <m/>
    <x v="2"/>
  </r>
  <r>
    <s v="O-1213"/>
    <d v="2020-09-15T00:00:00"/>
    <x v="19"/>
    <s v="Codelco"/>
    <m/>
    <m/>
    <s v="Servicio de Ingenierias Especializadas DET - CODELCO"/>
    <x v="9"/>
    <s v="LM"/>
    <s v="NAC"/>
    <s v="Chile"/>
    <d v="2020-09-28T00:00:00"/>
    <s v="Juan Carlos Tapia"/>
    <s v="Propuesta Presentada"/>
    <x v="2"/>
    <m/>
    <d v="2020-11-09T00:00:00"/>
    <m/>
    <m/>
    <m/>
    <m/>
    <m/>
    <m/>
    <m/>
    <x v="2"/>
  </r>
  <r>
    <s v="O-1212"/>
    <d v="2020-09-09T00:00:00"/>
    <x v="5"/>
    <s v="Anglo American"/>
    <m/>
    <m/>
    <s v=" Informe Impacto Granulometria Sistema de Impulsion El Torito - AA"/>
    <x v="2"/>
    <s v="ND"/>
    <s v="NAC"/>
    <s v="Chile"/>
    <d v="2020-09-10T00:00:00"/>
    <s v="Pedro Valencia"/>
    <s v="llamar a Renè lagas"/>
    <x v="5"/>
    <m/>
    <d v="2020-09-10T00:00:00"/>
    <n v="483"/>
    <n v="17.519096000000001"/>
    <n v="36271.420289855079"/>
    <s v="SH-0253"/>
    <m/>
    <m/>
    <m/>
    <x v="2"/>
  </r>
  <r>
    <s v="O-1211"/>
    <d v="2020-09-07T00:00:00"/>
    <x v="23"/>
    <s v="CASERONES"/>
    <m/>
    <m/>
    <s v="Regulacion flujos WP1 - WP2 - MLCC"/>
    <x v="1"/>
    <s v="ND"/>
    <s v="NAC"/>
    <s v="Chile"/>
    <d v="1900-06-27T00:00:00"/>
    <s v="Claudio Muñoz"/>
    <m/>
    <x v="2"/>
    <m/>
    <d v="2020-09-21T00:00:00"/>
    <n v="1226"/>
    <n v="40.5244"/>
    <n v="33054.159869494288"/>
    <m/>
    <m/>
    <m/>
    <m/>
    <x v="2"/>
  </r>
  <r>
    <s v="O-1210"/>
    <d v="2020-09-07T00:00:00"/>
    <x v="23"/>
    <s v="CASERONES"/>
    <m/>
    <m/>
    <s v="Solución Flujos Guagua Rusa - MLCC"/>
    <x v="1"/>
    <s v="ND"/>
    <s v="NAC"/>
    <s v="Chile"/>
    <d v="2020-09-10T00:00:00"/>
    <s v="Pedro Valencia"/>
    <s v="Enviar ppt 21/09/20"/>
    <x v="5"/>
    <m/>
    <d v="2020-09-10T00:00:00"/>
    <n v="1476"/>
    <n v="42.877800000000001"/>
    <n v="29050"/>
    <s v="SH-0219 OS13"/>
    <m/>
    <m/>
    <m/>
    <x v="2"/>
  </r>
  <r>
    <s v="O-1209"/>
    <d v="2020-09-07T00:00:00"/>
    <x v="23"/>
    <s v="CASERONES"/>
    <m/>
    <m/>
    <s v="Liberacion Cuellos de Botella Area Flotacion - MLCC"/>
    <x v="1"/>
    <s v="ND"/>
    <s v="NAC"/>
    <s v="Chile"/>
    <d v="2020-09-11T00:00:00"/>
    <s v="Juan Carlos Tapia"/>
    <s v="Consultas enviadas de JCT a C Merlo"/>
    <x v="5"/>
    <m/>
    <d v="2020-09-11T00:00:00"/>
    <n v="3030"/>
    <n v="85.669499999999999"/>
    <n v="28273.762376237621"/>
    <s v="SH-0219 OS14"/>
    <m/>
    <m/>
    <m/>
    <x v="2"/>
  </r>
  <r>
    <s v="O-1208"/>
    <d v="2020-09-07T00:00:00"/>
    <x v="5"/>
    <s v="CASERONES"/>
    <m/>
    <m/>
    <s v=" Extension Asesoria Experta Tranque de Relaves Las Tortolas - AA"/>
    <x v="8"/>
    <s v="ND"/>
    <s v="NAC"/>
    <s v="Chile"/>
    <d v="2020-09-07T00:00:00"/>
    <s v="Pedro Valencia"/>
    <m/>
    <x v="2"/>
    <n v="0.1"/>
    <d v="2020-09-07T00:00:00"/>
    <n v="630"/>
    <n v="32.5458"/>
    <n v="51660"/>
    <m/>
    <m/>
    <m/>
    <m/>
    <x v="2"/>
  </r>
  <r>
    <s v="O-1207"/>
    <d v="2020-09-06T00:00:00"/>
    <x v="23"/>
    <s v="CASERONES"/>
    <m/>
    <m/>
    <s v="Análisis Presiones Máximas Tramos EB3-EB4 y EB4-EB5"/>
    <x v="2"/>
    <s v="ND"/>
    <s v="NAC"/>
    <s v="Chile"/>
    <d v="2020-09-07T00:00:00"/>
    <s v="Pedro Valencia"/>
    <m/>
    <x v="5"/>
    <m/>
    <d v="2020-09-07T00:00:00"/>
    <n v="150"/>
    <n v="5.4817"/>
    <n v="36544.666666666672"/>
    <s v="SH-0252"/>
    <m/>
    <m/>
    <m/>
    <x v="2"/>
  </r>
  <r>
    <s v="O-1206"/>
    <d v="2020-09-01T00:00:00"/>
    <x v="14"/>
    <s v="CASERONES"/>
    <m/>
    <m/>
    <s v="Desenvolvimento de Sistema LDS para Gelado - SNC"/>
    <x v="1"/>
    <s v="ND"/>
    <s v="INT"/>
    <s v="Brasil"/>
    <m/>
    <s v="Dolglas Souza"/>
    <m/>
    <x v="2"/>
    <n v="0.3"/>
    <m/>
    <m/>
    <m/>
    <m/>
    <m/>
    <m/>
    <m/>
    <m/>
    <x v="2"/>
  </r>
  <r>
    <s v="O-1205"/>
    <d v="2020-09-01T00:00:00"/>
    <x v="23"/>
    <s v="CASERONES"/>
    <m/>
    <m/>
    <s v="ID Pozos de Remediacion La Brea - MLCC"/>
    <x v="1"/>
    <s v="ND"/>
    <s v="NAC"/>
    <s v="Chile"/>
    <d v="2020-09-01T00:00:00"/>
    <s v="Pedro Valencia"/>
    <s v="Terminar IC y ajustar"/>
    <x v="5"/>
    <n v="0.5"/>
    <d v="2020-09-01T00:00:00"/>
    <n v="1040"/>
    <n v="28.3843"/>
    <n v="27292.596153846152"/>
    <s v="SH-2019 OS17"/>
    <m/>
    <m/>
    <m/>
    <x v="2"/>
  </r>
  <r>
    <s v="O-1204"/>
    <d v="2020-08-28T00:00:00"/>
    <x v="21"/>
    <s v="Pucobre"/>
    <m/>
    <m/>
    <s v="Holding Tank Alimentacion Filtros Ceramicos Relaves - Pucobre"/>
    <x v="1"/>
    <s v="ND"/>
    <s v="NAC"/>
    <s v="Chile"/>
    <d v="2020-08-27T00:00:00"/>
    <s v="Pedro Valencia"/>
    <m/>
    <x v="5"/>
    <m/>
    <d v="2020-08-28T00:00:00"/>
    <n v="571"/>
    <n v="19.61645"/>
    <n v="34354.553415061295"/>
    <s v="SH-0251"/>
    <m/>
    <m/>
    <m/>
    <x v="2"/>
  </r>
  <r>
    <s v="O-1203"/>
    <d v="2020-08-27T00:00:00"/>
    <x v="24"/>
    <s v="Teck Quebrada Blanca"/>
    <m/>
    <m/>
    <s v="ID Sistema de Dosificacion de Reactivo Agua Desalada - QB2 - Key Process"/>
    <x v="1"/>
    <s v="LM"/>
    <s v="NAC"/>
    <s v="Chile"/>
    <m/>
    <s v="Juan Carlos Tapia"/>
    <s v="Extensión solicitada"/>
    <x v="4"/>
    <m/>
    <m/>
    <m/>
    <m/>
    <m/>
    <m/>
    <m/>
    <m/>
    <m/>
    <x v="2"/>
  </r>
  <r>
    <s v="O-1202"/>
    <d v="2020-08-27T00:00:00"/>
    <x v="25"/>
    <s v="SODEXO"/>
    <m/>
    <m/>
    <s v="Actualizacion Estudio Captacion y Evacuacion Aguas Lluvias CPA - Sodexo"/>
    <x v="5"/>
    <s v="ND"/>
    <s v="NAC"/>
    <s v="Chile"/>
    <d v="2020-09-03T00:00:00"/>
    <s v="Claudio Muñoz"/>
    <s v="Rafael preguntar"/>
    <x v="2"/>
    <n v="0.2"/>
    <d v="2020-09-07T00:00:00"/>
    <n v="279"/>
    <n v="9.8154000000000003"/>
    <n v="35180.645161290326"/>
    <m/>
    <m/>
    <m/>
    <m/>
    <x v="2"/>
  </r>
  <r>
    <s v="O-1201"/>
    <d v="2020-08-26T00:00:00"/>
    <x v="23"/>
    <s v="CASERONES"/>
    <m/>
    <m/>
    <s v="Ingenieria Reparacion Estructural Muros Laterales Cajon 2100-CV-001 - MLCC"/>
    <x v="1"/>
    <s v="ND"/>
    <s v="NAC"/>
    <s v="Chile"/>
    <d v="2020-08-27T00:00:00"/>
    <s v="Claudio Muñoz"/>
    <m/>
    <x v="2"/>
    <n v="0.05"/>
    <d v="2020-08-27T00:00:00"/>
    <n v="1399"/>
    <n v="46.321800000000003"/>
    <n v="33110.650464617589"/>
    <m/>
    <m/>
    <m/>
    <m/>
    <x v="2"/>
  </r>
  <r>
    <s v="O-1200"/>
    <d v="2020-08-25T00:00:00"/>
    <x v="26"/>
    <s v="HATCH"/>
    <m/>
    <m/>
    <s v="Tradeoff Estanque Agitado vs Hormigon - HATCH"/>
    <x v="2"/>
    <s v="ND"/>
    <s v="NAC"/>
    <s v="Chile"/>
    <d v="2020-08-26T00:00:00"/>
    <s v="Pedro Valencia"/>
    <m/>
    <x v="2"/>
    <n v="0.01"/>
    <d v="2020-08-26T00:00:00"/>
    <n v="165"/>
    <n v="5.9009999999999998"/>
    <n v="35763.636363636368"/>
    <m/>
    <m/>
    <m/>
    <m/>
    <x v="2"/>
  </r>
  <r>
    <s v="O-1199"/>
    <d v="2020-08-25T00:00:00"/>
    <x v="23"/>
    <s v="CASERONES"/>
    <m/>
    <m/>
    <s v="Verificacion Chequeo Puente Los Loros - MLCC"/>
    <x v="1"/>
    <s v="ND"/>
    <s v="NAC"/>
    <s v="Chile"/>
    <d v="2020-08-25T00:00:00"/>
    <s v="Claudio Muñoz"/>
    <m/>
    <x v="5"/>
    <m/>
    <d v="2020-09-07T00:00:00"/>
    <n v="24"/>
    <m/>
    <m/>
    <s v="SH-0219 NT-001"/>
    <m/>
    <m/>
    <m/>
    <x v="2"/>
  </r>
  <r>
    <s v="O-1198"/>
    <d v="2020-08-23T00:00:00"/>
    <x v="27"/>
    <s v="Minera Valle Central"/>
    <m/>
    <m/>
    <s v="Memo Tecnico Observaciones SMA - MVC"/>
    <x v="13"/>
    <s v="ND"/>
    <s v="NAC"/>
    <s v="Chile"/>
    <d v="2020-08-21T00:00:00"/>
    <s v="Claudio Muñoz"/>
    <m/>
    <x v="5"/>
    <m/>
    <d v="2020-08-24T00:00:00"/>
    <n v="40"/>
    <n v="2.3247"/>
    <n v="58117.5"/>
    <s v="SH-0250"/>
    <m/>
    <m/>
    <m/>
    <x v="2"/>
  </r>
  <r>
    <s v="O-1197"/>
    <d v="2020-08-21T00:00:00"/>
    <x v="28"/>
    <s v="Sierra Atacama"/>
    <m/>
    <m/>
    <s v="ID Conducción PLS - Minera Sierra Atacama"/>
    <x v="1"/>
    <s v="ND"/>
    <s v="NAC"/>
    <s v="Chile"/>
    <d v="2020-08-21T00:00:00"/>
    <s v="Claudio Muñoz"/>
    <s v="Cliente llamó a Hernan Castro"/>
    <x v="2"/>
    <n v="0.01"/>
    <d v="2020-09-07T00:00:00"/>
    <n v="37844"/>
    <n v="1737.7850000000001"/>
    <n v="45919.696649402809"/>
    <m/>
    <m/>
    <m/>
    <m/>
    <x v="2"/>
  </r>
  <r>
    <s v="O-1196"/>
    <d v="2020-08-19T00:00:00"/>
    <x v="29"/>
    <s v="SQM"/>
    <m/>
    <m/>
    <s v=" IBA Pozas Evaporacion Sur Viejo - SQM"/>
    <x v="5"/>
    <s v="LM"/>
    <s v="NAC"/>
    <s v="Chile"/>
    <d v="2020-09-02T00:00:00"/>
    <s v="Claudio Muñoz"/>
    <m/>
    <x v="4"/>
    <m/>
    <m/>
    <m/>
    <m/>
    <m/>
    <m/>
    <m/>
    <m/>
    <m/>
    <x v="2"/>
  </r>
  <r>
    <s v="O-1195"/>
    <d v="2020-08-18T00:00:00"/>
    <x v="30"/>
    <s v="Marcobre"/>
    <m/>
    <m/>
    <s v="Revision Capacidad de Carga Chanchado Grueso y Fino - Mina Justa - Marcobre"/>
    <x v="8"/>
    <s v="LM"/>
    <s v="NAC"/>
    <s v="Perù"/>
    <d v="2020-10-05T00:00:00"/>
    <s v="Juan Carlos Tapia"/>
    <m/>
    <x v="2"/>
    <m/>
    <d v="2020-11-09T00:00:00"/>
    <n v="6223"/>
    <n v="266.03202599999997"/>
    <m/>
    <m/>
    <m/>
    <m/>
    <m/>
    <x v="2"/>
  </r>
  <r>
    <s v="O-1194"/>
    <d v="2020-08-14T00:00:00"/>
    <x v="13"/>
    <s v="Sierra Gorda"/>
    <m/>
    <m/>
    <s v="Auditoría Gestión Tranque de Relaves"/>
    <x v="7"/>
    <s v="LM"/>
    <s v="NAC"/>
    <s v="Chile"/>
    <d v="2020-08-28T00:00:00"/>
    <s v="Claudio Muñoz"/>
    <s v="Rafael preguntar"/>
    <x v="2"/>
    <n v="0.1"/>
    <d v="2020-09-07T00:00:00"/>
    <n v="1036"/>
    <n v="44.699060000000003"/>
    <n v="43145.810810810814"/>
    <m/>
    <m/>
    <m/>
    <m/>
    <x v="2"/>
  </r>
  <r>
    <s v="O-1193"/>
    <d v="2020-08-14T00:00:00"/>
    <x v="29"/>
    <s v="SQM"/>
    <m/>
    <m/>
    <s v="Actualización Costos Impulsión de Agua de Mar Pampa Orcoma"/>
    <x v="14"/>
    <s v="ND"/>
    <s v="NAC"/>
    <s v="Chile"/>
    <d v="2020-08-17T00:00:00"/>
    <s v="Pedro Valencia"/>
    <s v="PVZ llamará primera semana de septiembre"/>
    <x v="3"/>
    <m/>
    <d v="2020-08-24T00:00:00"/>
    <n v="640"/>
    <n v="25.715199999999999"/>
    <n v="40180"/>
    <m/>
    <m/>
    <m/>
    <m/>
    <x v="2"/>
  </r>
  <r>
    <s v="O-1192"/>
    <d v="2020-08-14T00:00:00"/>
    <x v="19"/>
    <s v="Codelco División Radomiro Tomic"/>
    <m/>
    <m/>
    <s v="Precalificación ITO e Ingenierias Recursos Hídricos RT"/>
    <x v="9"/>
    <s v="LM"/>
    <s v="NAC"/>
    <s v="Chile"/>
    <d v="2020-10-13T00:00:00"/>
    <s v="Claudio Muñoz"/>
    <s v="Clasificados"/>
    <x v="2"/>
    <n v="0.2"/>
    <d v="2020-08-24T00:00:00"/>
    <m/>
    <m/>
    <m/>
    <m/>
    <m/>
    <m/>
    <m/>
    <x v="2"/>
  </r>
  <r>
    <s v="O-1191"/>
    <d v="2020-08-14T00:00:00"/>
    <x v="31"/>
    <s v="SRK"/>
    <m/>
    <m/>
    <s v="Informe Impulsión de Relaves Mina el Romeros a Depósito El Trigo"/>
    <x v="14"/>
    <s v="ND"/>
    <s v="NAC"/>
    <s v="Chile"/>
    <d v="2020-08-17T00:00:00"/>
    <s v="Hernán Castro"/>
    <m/>
    <x v="3"/>
    <m/>
    <d v="2020-08-24T00:00:00"/>
    <n v="200"/>
    <n v="9.7579999999999991"/>
    <n v="48789.999999999993"/>
    <m/>
    <m/>
    <m/>
    <m/>
    <x v="2"/>
  </r>
  <r>
    <s v="O-1190"/>
    <d v="2020-08-12T00:00:00"/>
    <x v="13"/>
    <s v="Sierra Gorda"/>
    <m/>
    <m/>
    <s v="Ingeniería Básica Avazada Agua Tratada Campamento a Piscina de Procesos"/>
    <x v="15"/>
    <s v="ND"/>
    <s v="NAC"/>
    <s v="Chile"/>
    <d v="2020-08-14T00:00:00"/>
    <s v="Pedro Valencia"/>
    <s v="PV llamará a C Avendaño"/>
    <x v="5"/>
    <m/>
    <d v="2020-08-17T00:00:00"/>
    <n v="590"/>
    <n v="19.984999999999999"/>
    <n v="33872.881355932201"/>
    <s v="SH-0247"/>
    <m/>
    <m/>
    <m/>
    <x v="2"/>
  </r>
  <r>
    <s v="O-1189"/>
    <d v="2020-08-12T00:00:00"/>
    <x v="8"/>
    <s v="Centinela"/>
    <m/>
    <m/>
    <s v="Factibilidad Impulsión de Relaves a Rajo Centinela Sulfuros"/>
    <x v="5"/>
    <s v="ND"/>
    <s v="NAC"/>
    <s v="Chile"/>
    <m/>
    <s v="Pedro Valencia"/>
    <m/>
    <x v="2"/>
    <m/>
    <d v="2020-09-07T00:00:00"/>
    <n v="4576"/>
    <n v="188.15186"/>
    <n v="41117.102272727272"/>
    <m/>
    <m/>
    <m/>
    <m/>
    <x v="2"/>
  </r>
  <r>
    <s v="O-1188"/>
    <d v="2020-08-10T00:00:00"/>
    <x v="23"/>
    <s v="CASERONES"/>
    <m/>
    <m/>
    <s v="Ingeniería de Detalles Pozos Remediación  El Tampo"/>
    <x v="1"/>
    <s v="ND"/>
    <s v="NAC"/>
    <s v="Chile"/>
    <d v="2020-07-12T00:00:00"/>
    <s v="Pedro Valencia"/>
    <m/>
    <x v="5"/>
    <m/>
    <d v="2020-08-17T00:00:00"/>
    <n v="1460"/>
    <n v="41.241900000000001"/>
    <n v="28247.876712328765"/>
    <s v="SH-2019 OS16"/>
    <m/>
    <m/>
    <m/>
    <x v="2"/>
  </r>
  <r>
    <s v="O-1187"/>
    <d v="2020-08-10T00:00:00"/>
    <x v="32"/>
    <s v="Vale Brasil"/>
    <m/>
    <m/>
    <s v="Placas de Orificina Proyecto Gelado"/>
    <x v="1"/>
    <s v="ND"/>
    <s v="INT"/>
    <s v="Brasil"/>
    <d v="2020-06-10T00:00:00"/>
    <s v="Pedro Valencia"/>
    <m/>
    <x v="5"/>
    <m/>
    <d v="2020-08-17T00:00:00"/>
    <n v="15"/>
    <n v="0.29249999999999998"/>
    <n v="19500"/>
    <m/>
    <m/>
    <m/>
    <m/>
    <x v="2"/>
  </r>
  <r>
    <s v="O-1186"/>
    <d v="2020-08-06T00:00:00"/>
    <x v="5"/>
    <s v="Anglo American"/>
    <m/>
    <m/>
    <s v="Mejoramiento Transporte Chancado Terciario Acopio"/>
    <x v="1"/>
    <s v="ND"/>
    <s v="INT"/>
    <s v="Brasil"/>
    <m/>
    <s v="Claudio Muñoz"/>
    <m/>
    <x v="2"/>
    <n v="0.05"/>
    <d v="2020-08-17T00:00:00"/>
    <n v="3838"/>
    <n v="116.63500000000001"/>
    <n v="30389.52579468473"/>
    <m/>
    <m/>
    <m/>
    <m/>
    <x v="2"/>
  </r>
  <r>
    <s v="O-1185"/>
    <d v="2020-08-05T00:00:00"/>
    <x v="5"/>
    <s v="Anglo American"/>
    <m/>
    <m/>
    <s v="Verificación Estructural Cruce - El Soldado"/>
    <x v="1"/>
    <s v="ND"/>
    <s v="INT"/>
    <s v="Brasil"/>
    <d v="2020-08-05T00:00:00"/>
    <s v="Claudio Muñoz"/>
    <m/>
    <x v="2"/>
    <n v="0.05"/>
    <d v="2020-08-06T00:00:00"/>
    <n v="149"/>
    <n v="4.7080000000000002"/>
    <n v="31597.315436241613"/>
    <m/>
    <m/>
    <m/>
    <m/>
    <x v="2"/>
  </r>
  <r>
    <s v="O-1184"/>
    <d v="2020-07-31T00:00:00"/>
    <x v="21"/>
    <s v="Pucobre"/>
    <m/>
    <m/>
    <s v="Ingeniería Factibilidad Planta El Espino 14 KTPD"/>
    <x v="5"/>
    <s v="LM"/>
    <s v="NAC"/>
    <s v="Chile"/>
    <d v="2020-09-16T00:00:00"/>
    <s v="Juan Carlos Tapia"/>
    <s v="Esperando respuestas (200)"/>
    <x v="2"/>
    <m/>
    <d v="2020-09-28T00:00:00"/>
    <n v="20313"/>
    <n v="676.19811700000002"/>
    <n v="33288.934032393052"/>
    <m/>
    <m/>
    <m/>
    <m/>
    <x v="2"/>
  </r>
  <r>
    <s v="O-1183"/>
    <d v="2020-07-29T00:00:00"/>
    <x v="33"/>
    <s v="Expande"/>
    <m/>
    <m/>
    <s v=" BHP Tailings Challenge - Expande"/>
    <x v="0"/>
    <s v="LM"/>
    <s v="NAC"/>
    <s v="Chile"/>
    <d v="2020-09-04T00:00:00"/>
    <s v="Pablo Vasquez"/>
    <s v="NO NOS PRESENTAREMOS"/>
    <x v="4"/>
    <m/>
    <m/>
    <m/>
    <m/>
    <m/>
    <m/>
    <m/>
    <m/>
    <m/>
    <x v="2"/>
  </r>
  <r>
    <s v="O-1182"/>
    <d v="2020-07-24T00:00:00"/>
    <x v="5"/>
    <s v="Anglo American"/>
    <m/>
    <m/>
    <s v="Revision Experta Tranque de Relaves Las Tortolas - Los Bronces - Anglo"/>
    <x v="8"/>
    <s v="ND"/>
    <s v="NAC"/>
    <s v="Chile"/>
    <d v="2020-07-30T00:00:00"/>
    <s v="Pedro Valencia"/>
    <m/>
    <x v="5"/>
    <n v="0.69"/>
    <d v="2020-08-10T00:00:00"/>
    <n v="538"/>
    <n v="27.293700000000001"/>
    <n v="50731.784386617102"/>
    <s v="SH-0245"/>
    <m/>
    <m/>
    <m/>
    <x v="2"/>
  </r>
  <r>
    <s v="O-1181"/>
    <d v="2020-07-24T00:00:00"/>
    <x v="34"/>
    <s v="AMSA"/>
    <m/>
    <s v="pcortes@tandp.cl"/>
    <s v=" Apoyo Elaboracion BT Etapas ID EPC Expansion Centinela - AMSA - TANDP"/>
    <x v="10"/>
    <s v="ND"/>
    <s v="NAC"/>
    <s v="Chile"/>
    <d v="2020-08-05T00:00:00"/>
    <s v="Juan Carlos Tapia"/>
    <s v="Pedro Cortés no tiene noticias"/>
    <x v="2"/>
    <n v="0.05"/>
    <d v="2020-08-06T00:00:00"/>
    <n v="2280"/>
    <n v="119.105"/>
    <n v="52239.035087719298"/>
    <m/>
    <m/>
    <m/>
    <m/>
    <x v="2"/>
  </r>
  <r>
    <s v="O-1180"/>
    <d v="2020-07-23T00:00:00"/>
    <x v="35"/>
    <s v="ABENGOA"/>
    <m/>
    <s v="claudio.pavez@abengoa.com"/>
    <s v="Ingenieria en Terreno Normalizacion Almacenamiento Sustancias Peligrosas - ABENGOA"/>
    <x v="11"/>
    <s v="LM"/>
    <s v="NAC"/>
    <s v="Chile"/>
    <d v="2020-07-30T00:00:00"/>
    <s v="Claudio Muñoz"/>
    <m/>
    <x v="2"/>
    <n v="0.05"/>
    <d v="2020-08-24T00:00:00"/>
    <n v="16481"/>
    <n v="821.19295999999997"/>
    <n v="49826.646441356708"/>
    <m/>
    <m/>
    <m/>
    <m/>
    <x v="2"/>
  </r>
  <r>
    <s v="O-1179"/>
    <d v="2020-07-20T00:00:00"/>
    <x v="19"/>
    <s v="Codelco"/>
    <m/>
    <s v="ramon.valdivia@hatch.com"/>
    <s v="Analisis de Flexibilidad IB Relaves Espesados Talabre - HATCH - CODELCO"/>
    <x v="5"/>
    <s v="ND"/>
    <s v="NAC"/>
    <s v="Chile"/>
    <d v="2020-07-24T00:00:00"/>
    <s v="Pedro Valencia"/>
    <m/>
    <x v="5"/>
    <m/>
    <d v="2020-07-23T00:00:00"/>
    <n v="812"/>
    <n v="25.388321999999999"/>
    <n v="31266.406403940884"/>
    <s v="SH-0240"/>
    <m/>
    <m/>
    <m/>
    <x v="2"/>
  </r>
  <r>
    <s v="O-1178"/>
    <d v="2020-07-20T00:00:00"/>
    <x v="19"/>
    <s v="Codelco"/>
    <m/>
    <s v="ramon.valdivia@hatch.com"/>
    <s v="Tradeoff Bombeo Relaves Espesados y AF IB Relaves Espesados Talabre - HATCH - CODELCO"/>
    <x v="10"/>
    <s v="ND"/>
    <s v="NAC"/>
    <s v="Chile"/>
    <d v="2020-07-24T00:00:00"/>
    <s v="Pedro Valencia"/>
    <m/>
    <x v="3"/>
    <m/>
    <d v="2020-07-21T00:00:00"/>
    <n v="850"/>
    <n v="29.953499999999998"/>
    <n v="35239.411764705881"/>
    <m/>
    <m/>
    <m/>
    <m/>
    <x v="2"/>
  </r>
  <r>
    <s v="O-1177"/>
    <d v="2020-07-09T00:00:00"/>
    <x v="36"/>
    <s v="Codelco"/>
    <m/>
    <m/>
    <s v="Ingeniería de Terreno Normalización Almacenameinto Sustancias Peligrosas"/>
    <x v="11"/>
    <s v="LM"/>
    <s v="NAC"/>
    <s v="Chile"/>
    <d v="2020-08-03T00:00:00"/>
    <s v="Claudio Muñoz"/>
    <m/>
    <x v="2"/>
    <n v="0.05"/>
    <d v="2020-08-24T00:00:00"/>
    <n v="16481"/>
    <n v="707.71272999999997"/>
    <n v="42941.12796553607"/>
    <m/>
    <m/>
    <m/>
    <m/>
    <x v="2"/>
  </r>
  <r>
    <s v="O-1176"/>
    <d v="2020-07-17T00:00:00"/>
    <x v="2"/>
    <s v="Vale Brasil"/>
    <m/>
    <m/>
    <s v="Engenharia Sistema Bombeamento Vargem Grande"/>
    <x v="16"/>
    <s v="LM"/>
    <s v="INT"/>
    <s v="Brasil"/>
    <d v="2020-07-24T00:00:00"/>
    <s v="Pedro Valencia"/>
    <s v="Dolglas pregunta a Simone"/>
    <x v="2"/>
    <n v="0.3"/>
    <d v="2020-07-24T00:00:00"/>
    <n v="4518"/>
    <n v="88.831640800000002"/>
    <n v="19661.717751217355"/>
    <m/>
    <m/>
    <m/>
    <m/>
    <x v="2"/>
  </r>
  <r>
    <s v="O-1175"/>
    <d v="2020-07-15T00:00:00"/>
    <x v="2"/>
    <s v="Vale Brasil"/>
    <m/>
    <s v="simone.pereira@vale.com"/>
    <s v="Servico Especializados em Transporte de Polpa, Agua e Rejeito - VALE"/>
    <x v="9"/>
    <s v="LM"/>
    <s v="INT"/>
    <s v="Brasil"/>
    <d v="2020-08-08T00:00:00"/>
    <s v="Pedro Valencia"/>
    <s v="Dolglas pregunta a Simone"/>
    <x v="2"/>
    <n v="0.1"/>
    <d v="2020-08-06T00:00:00"/>
    <m/>
    <m/>
    <m/>
    <m/>
    <m/>
    <m/>
    <m/>
    <x v="2"/>
  </r>
  <r>
    <s v="O-1174"/>
    <d v="2020-07-14T00:00:00"/>
    <x v="23"/>
    <s v="CASERONES"/>
    <m/>
    <m/>
    <s v="Repotenciamiento Sistema Recirculacion de Agua La Brea - MLCC"/>
    <x v="1"/>
    <s v="ND"/>
    <s v="NAC"/>
    <s v="Chile"/>
    <d v="2020-08-17T00:00:00"/>
    <s v="Pedro Valencia"/>
    <s v="Adjudicado solo Actualización IC"/>
    <x v="5"/>
    <m/>
    <m/>
    <n v="439"/>
    <n v="15.727600000000001"/>
    <n v="35825.96810933941"/>
    <s v="SH-0219 OS15"/>
    <m/>
    <m/>
    <m/>
    <x v="2"/>
  </r>
  <r>
    <s v="O-1173"/>
    <d v="2020-07-13T00:00:00"/>
    <x v="19"/>
    <s v="Codelco"/>
    <m/>
    <m/>
    <s v="Estudio Levantamiento Vulnerabilidades Cambios Relaves - DET - Codelco"/>
    <x v="1"/>
    <s v="ND"/>
    <s v="NAC"/>
    <s v="Chile"/>
    <m/>
    <s v="Pedro Valencia"/>
    <s v="PVZ llamar"/>
    <x v="2"/>
    <n v="0.6"/>
    <d v="2020-07-17T00:00:00"/>
    <n v="1749"/>
    <n v="70.228899999999996"/>
    <n v="40153.744997141221"/>
    <m/>
    <m/>
    <m/>
    <m/>
    <x v="2"/>
  </r>
  <r>
    <s v="O-1172"/>
    <d v="2020-07-13T00:00:00"/>
    <x v="2"/>
    <s v="Vale Brasil"/>
    <m/>
    <m/>
    <s v="Padrao Proteccion Catodica - VALE"/>
    <x v="10"/>
    <s v="ND"/>
    <s v="INT"/>
    <s v="Brasil"/>
    <m/>
    <s v="Pedro Valencia"/>
    <m/>
    <x v="5"/>
    <m/>
    <d v="2020-07-17T00:00:00"/>
    <n v="180"/>
    <n v="12.6453135"/>
    <n v="70251.741666666669"/>
    <s v="SH-0235 OS03"/>
    <m/>
    <m/>
    <m/>
    <x v="2"/>
  </r>
  <r>
    <s v="O-1171"/>
    <d v="2020-07-13T00:00:00"/>
    <x v="37"/>
    <s v="Codelco"/>
    <m/>
    <m/>
    <s v="Ingeniería de Detalles y Permisos Conexión Ruta 1"/>
    <x v="1"/>
    <s v="LM"/>
    <s v="NAC"/>
    <s v="Chile"/>
    <m/>
    <s v="Claudio Muñoz"/>
    <s v="CMQ nviará correo"/>
    <x v="2"/>
    <n v="0.2"/>
    <d v="2020-07-28T00:00:00"/>
    <m/>
    <n v="37.597000000000001"/>
    <s v="N/A"/>
    <m/>
    <m/>
    <m/>
    <m/>
    <x v="2"/>
  </r>
  <r>
    <s v="O-1170"/>
    <d v="2020-07-09T00:00:00"/>
    <x v="38"/>
    <s v="Codelco"/>
    <m/>
    <m/>
    <s v="Ingeniería de Terreno Normalización Almacenameinto Sustancias Peligrosas"/>
    <x v="11"/>
    <s v="LM"/>
    <s v="NAC"/>
    <s v="Chile"/>
    <d v="2020-08-03T00:00:00"/>
    <s v="Claudio Muñoz"/>
    <m/>
    <x v="2"/>
    <n v="0.05"/>
    <d v="2020-08-17T00:00:00"/>
    <n v="16841"/>
    <n v="727.4"/>
    <n v="43192.2094887477"/>
    <m/>
    <m/>
    <m/>
    <m/>
    <x v="2"/>
  </r>
  <r>
    <s v="O-1169"/>
    <d v="2020-07-09T00:00:00"/>
    <x v="5"/>
    <s v="Anglo American"/>
    <m/>
    <m/>
    <s v="Apoyo Permisos Tramos F-121 Proyecto ID Suministro Agua Fresca El Soldado"/>
    <x v="1"/>
    <s v="ND"/>
    <s v="NAC"/>
    <s v="Chile"/>
    <m/>
    <s v="Hernán Castro"/>
    <m/>
    <x v="5"/>
    <m/>
    <d v="2020-07-13T00:00:00"/>
    <n v="625"/>
    <n v="19.741"/>
    <n v="31585.599999999999"/>
    <s v="SH-0233"/>
    <m/>
    <m/>
    <m/>
    <x v="2"/>
  </r>
  <r>
    <s v="O-1168"/>
    <d v="2020-07-01T00:00:00"/>
    <x v="19"/>
    <s v="Codelco"/>
    <m/>
    <m/>
    <s v="Servicios de Monitoreo Hidrico y Meteorologico Periodo 2021-2022-CODELCO"/>
    <x v="0"/>
    <s v="LM"/>
    <s v="NAC"/>
    <s v="Chile"/>
    <m/>
    <s v="Hernan castro"/>
    <s v="Aclaracion Económica Enviada"/>
    <x v="2"/>
    <m/>
    <d v="2020-11-09T00:00:00"/>
    <n v="10752"/>
    <n v="761.66053199999999"/>
    <n v="70838.963169642855"/>
    <m/>
    <m/>
    <m/>
    <m/>
    <x v="2"/>
  </r>
  <r>
    <s v="O-1167"/>
    <d v="2020-07-01T00:00:00"/>
    <x v="39"/>
    <s v="AMSA"/>
    <m/>
    <m/>
    <s v="Informe PEA Proyecto Encierro"/>
    <x v="2"/>
    <s v="ND"/>
    <s v="NAC"/>
    <s v="Chile"/>
    <m/>
    <s v="Claudio Muñoz"/>
    <s v="CM llamarà a Paul"/>
    <x v="3"/>
    <m/>
    <d v="2020-07-28T00:00:00"/>
    <n v="1509"/>
    <n v="86.1"/>
    <n v="57057.654075546714"/>
    <m/>
    <m/>
    <m/>
    <m/>
    <x v="2"/>
  </r>
  <r>
    <s v="O-1166"/>
    <d v="2020-07-01T00:00:00"/>
    <x v="23"/>
    <s v="CASERONES"/>
    <m/>
    <m/>
    <s v="Ingenieria Conceptual Pozos de Remediacion La Brea y El Tambo - MLCC"/>
    <x v="2"/>
    <s v="ND"/>
    <s v="NAC"/>
    <s v="Chile"/>
    <m/>
    <s v="Hernan castro"/>
    <s v="Ricardo Yañez conrato aparte"/>
    <x v="5"/>
    <m/>
    <d v="2020-07-28T00:00:00"/>
    <n v="385"/>
    <n v="13.0585"/>
    <n v="33918.181818181816"/>
    <s v="SH-0248"/>
    <m/>
    <m/>
    <m/>
    <x v="2"/>
  </r>
  <r>
    <s v="O-1165"/>
    <d v="2020-07-01T00:00:00"/>
    <x v="19"/>
    <s v="Codelco"/>
    <m/>
    <m/>
    <s v="Monitoreo Hidrologico Hidrogeologico Futuro Andina - CODELCO"/>
    <x v="0"/>
    <s v="LM"/>
    <s v="NAC"/>
    <s v="Chile"/>
    <m/>
    <s v="Hernan castro"/>
    <s v="Precalificación Presentada sin respuesta"/>
    <x v="2"/>
    <n v="0.01"/>
    <d v="2020-07-27T00:00:00"/>
    <m/>
    <m/>
    <s v="N/A"/>
    <m/>
    <m/>
    <m/>
    <m/>
    <x v="2"/>
  </r>
  <r>
    <s v="O-1164"/>
    <d v="2020-07-01T00:00:00"/>
    <x v="40"/>
    <s v="Mantos Blancos"/>
    <m/>
    <m/>
    <s v="Calculo Distancia Peligrosa Deposito Relaves Finos y Gruesos - Mantos Blancos"/>
    <x v="2"/>
    <m/>
    <s v="NAC"/>
    <s v="Chile"/>
    <d v="2020-07-30T00:00:00"/>
    <s v="Pablo Vasquez"/>
    <s v="Evaluación Pendiente"/>
    <x v="2"/>
    <n v="0.01"/>
    <d v="2020-08-03T00:00:00"/>
    <n v="110"/>
    <n v="3.5588000000000002"/>
    <n v="32352.727272727276"/>
    <m/>
    <m/>
    <m/>
    <m/>
    <x v="2"/>
  </r>
  <r>
    <s v="O-1163"/>
    <d v="2020-07-02T00:00:00"/>
    <x v="41"/>
    <s v="BHP BILLITON"/>
    <m/>
    <m/>
    <s v=" Asesoria Experta Estudio Fases SPS-DPS Sistema Clasificacion Transporte y Distribucion de Relaves - SGO BHP"/>
    <x v="4"/>
    <s v="LC"/>
    <s v="NAC"/>
    <s v="Chile"/>
    <m/>
    <s v="Pedro Valencia"/>
    <s v="descuento de 5%. Llamara RV. Esperando Carta de adjudicación"/>
    <x v="5"/>
    <m/>
    <d v="2020-08-03T00:00:00"/>
    <n v="1272"/>
    <n v="60.262999999999998"/>
    <n v="47376.572327044021"/>
    <s v="SH-0249"/>
    <m/>
    <m/>
    <m/>
    <x v="2"/>
  </r>
  <r>
    <s v="O-1162"/>
    <d v="2020-06-26T00:00:00"/>
    <x v="42"/>
    <s v="Sercabol"/>
    <m/>
    <m/>
    <s v="ID Estanque Vertical - Sercabol"/>
    <x v="1"/>
    <s v="ND"/>
    <s v="NAC"/>
    <s v="Chile"/>
    <m/>
    <s v="Claudio Muñoz"/>
    <s v="Cliente averiguando"/>
    <x v="2"/>
    <n v="0.01"/>
    <d v="2020-07-27T00:00:00"/>
    <n v="3939"/>
    <n v="154.1788"/>
    <n v="39141.60954556994"/>
    <m/>
    <m/>
    <m/>
    <m/>
    <x v="2"/>
  </r>
  <r>
    <s v="O-1161"/>
    <d v="2020-06-26T00:00:00"/>
    <x v="19"/>
    <s v="Codelco"/>
    <m/>
    <m/>
    <s v="Monitoreo Hidrologico Hidrogeologico Proyecto Futuro Andina - CODELCO"/>
    <x v="0"/>
    <s v="LM"/>
    <s v="NAC"/>
    <s v="Chile"/>
    <m/>
    <s v="Claudio Muñoz"/>
    <s v="Nula - Repetida"/>
    <x v="4"/>
    <m/>
    <m/>
    <m/>
    <m/>
    <s v="N/A"/>
    <m/>
    <m/>
    <m/>
    <m/>
    <x v="2"/>
  </r>
  <r>
    <s v="O-1160"/>
    <d v="2020-06-23T00:00:00"/>
    <x v="19"/>
    <s v="VALKO"/>
    <m/>
    <m/>
    <s v=" Ingenieria Sistema de Bombeo Recirculacion Temporal 7ma Etapa Caren - Codelco - VALKO"/>
    <x v="1"/>
    <s v="ND"/>
    <s v="NAC"/>
    <s v="Chile"/>
    <m/>
    <s v="Pedro Valencia"/>
    <s v="PVZ llamará a italiano"/>
    <x v="1"/>
    <n v="0.01"/>
    <m/>
    <m/>
    <m/>
    <s v="N/A"/>
    <m/>
    <m/>
    <m/>
    <m/>
    <x v="2"/>
  </r>
  <r>
    <s v="O-1159"/>
    <d v="2020-06-18T00:00:00"/>
    <x v="43"/>
    <s v="ENAMI"/>
    <m/>
    <m/>
    <s v="Estudios Peraltamiento Muro de Refuerzo del Murode Pie Planta JAM - ENAMI"/>
    <x v="1"/>
    <s v="LM"/>
    <s v="NAC"/>
    <s v="Chile"/>
    <m/>
    <s v="Claudio Muñoz"/>
    <s v="Propuesta Desierta"/>
    <x v="4"/>
    <m/>
    <d v="2020-07-20T00:00:00"/>
    <m/>
    <m/>
    <s v="N/A"/>
    <m/>
    <m/>
    <m/>
    <m/>
    <x v="2"/>
  </r>
  <r>
    <s v="O-1158"/>
    <d v="2020-06-11T00:00:00"/>
    <x v="23"/>
    <s v="CASERONES"/>
    <m/>
    <m/>
    <s v="IC Habilitacion Nuevos Pozos Remediacion El Tambo - La Brea - MLCC"/>
    <x v="2"/>
    <s v="ND"/>
    <s v="NAC"/>
    <s v="Chile"/>
    <m/>
    <s v="Pedro Valencia"/>
    <m/>
    <x v="5"/>
    <m/>
    <d v="2020-06-11T00:00:00"/>
    <n v="36"/>
    <n v="1.2915000000000001"/>
    <n v="35875.000000000007"/>
    <s v="SH-0219 OS12"/>
    <m/>
    <m/>
    <m/>
    <x v="2"/>
  </r>
  <r>
    <s v="O-1157"/>
    <d v="2020-06-08T00:00:00"/>
    <x v="44"/>
    <s v="Anglo American"/>
    <m/>
    <m/>
    <s v="IC Nuevo Deposito de Relaves Filtrados - El Soldado - AAS"/>
    <x v="2"/>
    <s v="LM"/>
    <s v="NAC"/>
    <s v="Chile"/>
    <m/>
    <s v="Juan Carlos Tapia"/>
    <s v="PRECALIFICADOS. ESPERANDO BASES"/>
    <x v="1"/>
    <m/>
    <d v="2020-06-11T00:00:00"/>
    <m/>
    <m/>
    <s v="N/A"/>
    <m/>
    <m/>
    <m/>
    <m/>
    <x v="2"/>
  </r>
  <r>
    <s v="O-1156"/>
    <d v="2020-06-01T00:00:00"/>
    <x v="45"/>
    <s v="PELAMBRES"/>
    <m/>
    <m/>
    <s v="Servicios de Capacitación GTFT MLP"/>
    <x v="17"/>
    <s v="ND"/>
    <s v="NAC"/>
    <s v="Chile"/>
    <m/>
    <s v="Pablo Vásquez"/>
    <m/>
    <x v="5"/>
    <m/>
    <d v="2020-07-27T00:00:00"/>
    <n v="1349"/>
    <n v="57.658299999999997"/>
    <n v="42741.512231282424"/>
    <s v="SH-0244"/>
    <m/>
    <m/>
    <m/>
    <x v="2"/>
  </r>
  <r>
    <s v="O-1155"/>
    <d v="2020-06-01T00:00:00"/>
    <x v="13"/>
    <s v="Sierra Gorda"/>
    <m/>
    <m/>
    <s v="ITO Especializado Implementación Spigots"/>
    <x v="11"/>
    <s v="ND"/>
    <s v="NAC"/>
    <s v="Chile"/>
    <m/>
    <s v="Pedro Valencia"/>
    <m/>
    <x v="5"/>
    <m/>
    <d v="2020-06-11T00:00:00"/>
    <n v="1640"/>
    <n v="35.4"/>
    <n v="21585.365853658535"/>
    <s v="SH-0247"/>
    <m/>
    <m/>
    <m/>
    <x v="2"/>
  </r>
  <r>
    <s v="O-1154"/>
    <d v="2020-05-28T00:00:00"/>
    <x v="5"/>
    <s v="Anglo American"/>
    <m/>
    <m/>
    <s v="ID Suministro de Agua Fresca - Análisis Económico Comparativo para Compra de Agua - El Soldado"/>
    <x v="1"/>
    <s v="ND"/>
    <s v="NAC"/>
    <s v="Chile"/>
    <m/>
    <s v="Hernán Castro"/>
    <m/>
    <x v="5"/>
    <m/>
    <d v="2020-06-11T00:00:00"/>
    <n v="845"/>
    <n v="25.6"/>
    <n v="30295.857988165684"/>
    <s v="SH-0233 NOC3"/>
    <m/>
    <m/>
    <m/>
    <x v="2"/>
  </r>
  <r>
    <s v="O-1153"/>
    <d v="2020-05-20T00:00:00"/>
    <x v="46"/>
    <s v="ENAMI"/>
    <m/>
    <m/>
    <s v=" Revision Ingenieria Deposito Interior Relaves Espesados - Planta Vallenar - ENAMI - SOCONOR"/>
    <x v="1"/>
    <s v="LM"/>
    <s v="NAC"/>
    <s v="Chile"/>
    <m/>
    <s v="Claudio Muñoz"/>
    <m/>
    <x v="3"/>
    <m/>
    <m/>
    <n v="4735"/>
    <n v="203.8"/>
    <n v="43041.182682154169"/>
    <m/>
    <m/>
    <m/>
    <m/>
    <x v="2"/>
  </r>
  <r>
    <s v="O-1152"/>
    <d v="2020-05-20T00:00:00"/>
    <x v="5"/>
    <s v="Anglo American"/>
    <m/>
    <m/>
    <s v="ID Suministro de Agua Fresca - Análisis para Protección de Cañería de Transporte de Agua Tramo EB El Melón - El Soldado"/>
    <x v="1"/>
    <s v="ND"/>
    <s v="NAC"/>
    <s v="Chile"/>
    <m/>
    <s v="Hernán Castro"/>
    <m/>
    <x v="3"/>
    <m/>
    <d v="2020-05-26T00:00:00"/>
    <n v="1095"/>
    <n v="31.5"/>
    <n v="28767.123287671231"/>
    <m/>
    <m/>
    <m/>
    <m/>
    <x v="2"/>
  </r>
  <r>
    <s v="O-1151"/>
    <d v="2020-05-20T00:00:00"/>
    <x v="47"/>
    <s v="MEL"/>
    <m/>
    <m/>
    <s v="Servicio Integral para Sistemas de Riesgo Pilas Lixiviacion - Escondida - Movitec"/>
    <x v="1"/>
    <s v="LM"/>
    <s v="NAC"/>
    <s v="Chile"/>
    <m/>
    <s v="Claudio Muñoz"/>
    <s v="Postergada 30/09/20"/>
    <x v="2"/>
    <n v="0.1"/>
    <d v="2020-06-15T00:00:00"/>
    <n v="24921"/>
    <n v="866.30399999999986"/>
    <n v="34762.007945106532"/>
    <m/>
    <m/>
    <m/>
    <m/>
    <x v="2"/>
  </r>
  <r>
    <s v="O-1150"/>
    <d v="2020-05-20T00:00:00"/>
    <x v="48"/>
    <s v="ENAMI"/>
    <m/>
    <m/>
    <s v=" Revision Ingenieria Deposito Interior Relaves Espesados - Planta Vallenar - ENAMI "/>
    <x v="1"/>
    <s v="LM"/>
    <s v="NAC"/>
    <s v="Chile"/>
    <m/>
    <s v="Claudio Muñoz"/>
    <m/>
    <x v="3"/>
    <m/>
    <m/>
    <n v="4735"/>
    <n v="203.8"/>
    <n v="43041.182682154169"/>
    <m/>
    <m/>
    <m/>
    <m/>
    <x v="2"/>
  </r>
  <r>
    <s v="O-1149"/>
    <d v="2020-05-20T00:00:00"/>
    <x v="49"/>
    <s v="ENAMI"/>
    <m/>
    <m/>
    <s v=" Revision Ingenieria Deposito Interior Relaves Espesados - Planta Vallenar - ENAMI - VALKO"/>
    <x v="1"/>
    <s v="LM"/>
    <s v="NAC"/>
    <s v="Chile"/>
    <m/>
    <s v="Pedro Valencia"/>
    <m/>
    <x v="3"/>
    <m/>
    <m/>
    <n v="4735"/>
    <n v="203.8"/>
    <n v="43041.182682154169"/>
    <m/>
    <m/>
    <m/>
    <m/>
    <x v="2"/>
  </r>
  <r>
    <s v="O-1148"/>
    <d v="2020-05-20T00:00:00"/>
    <x v="37"/>
    <s v="ENAMI"/>
    <m/>
    <m/>
    <s v=" Revision Ingenieria Deposito Interior Relaves Espesados - Planta Vallenar - ENAMI - INCOLUR"/>
    <x v="1"/>
    <s v="LM"/>
    <s v="NAC"/>
    <s v="Chile"/>
    <m/>
    <s v="Pedro Valencia"/>
    <m/>
    <x v="5"/>
    <m/>
    <d v="2020-05-22T00:00:00"/>
    <n v="4775"/>
    <n v="203.7413"/>
    <n v="42668.33507853403"/>
    <s v="SH-0243"/>
    <m/>
    <m/>
    <m/>
    <x v="2"/>
  </r>
  <r>
    <s v="O-1147"/>
    <d v="2020-05-19T00:00:00"/>
    <x v="23"/>
    <s v="CASERONES"/>
    <m/>
    <m/>
    <s v="ID Canales de Contorno - MLCC"/>
    <x v="1"/>
    <s v="ND"/>
    <s v="NAC"/>
    <s v="Chile"/>
    <m/>
    <s v="Pedro Valencia"/>
    <m/>
    <x v="5"/>
    <m/>
    <d v="2020-06-01T00:00:00"/>
    <n v="917"/>
    <n v="28.7"/>
    <n v="31297.709923664126"/>
    <s v="SH-2019 OS11"/>
    <m/>
    <m/>
    <m/>
    <x v="2"/>
  </r>
  <r>
    <s v="O-1146"/>
    <d v="2020-05-06T00:00:00"/>
    <x v="26"/>
    <s v="CODELCO"/>
    <m/>
    <m/>
    <s v="Apoyo Especializado Hidráulica Proyecto Ingeniería Básica Relaves Espesados Talabre"/>
    <x v="1"/>
    <s v="ND"/>
    <s v="NAC"/>
    <s v="Chile"/>
    <d v="2020-05-06T00:00:00"/>
    <s v="Claudio Muñoz"/>
    <m/>
    <x v="5"/>
    <m/>
    <d v="2020-05-06T00:00:00"/>
    <n v="1189"/>
    <n v="33.947000000000003"/>
    <n v="28550.883095037847"/>
    <s v="SH-0240"/>
    <m/>
    <m/>
    <m/>
    <x v="2"/>
  </r>
  <r>
    <s v="O-1145"/>
    <d v="2020-05-05T00:00:00"/>
    <x v="5"/>
    <s v="Anglo American"/>
    <m/>
    <m/>
    <s v="NDC Analisis Porteo desde los Litres al El Soldado - AAES"/>
    <x v="1"/>
    <s v="ND"/>
    <s v="NAC"/>
    <s v="Chile"/>
    <d v="2020-05-06T00:00:00"/>
    <s v="Claudio Muñoz"/>
    <m/>
    <x v="3"/>
    <m/>
    <d v="2020-05-06T00:00:00"/>
    <n v="275"/>
    <n v="7.6252139999999997"/>
    <n v="27728.050909090907"/>
    <m/>
    <m/>
    <m/>
    <m/>
    <x v="2"/>
  </r>
  <r>
    <s v="O-1144"/>
    <d v="2020-05-04T00:00:00"/>
    <x v="8"/>
    <s v="ARCADIS"/>
    <m/>
    <m/>
    <s v="Apoyo Profesionales Andina - Arcadis"/>
    <x v="18"/>
    <s v="ND"/>
    <s v="NAC"/>
    <s v="Chile"/>
    <m/>
    <s v="Claudio Muñoz"/>
    <m/>
    <x v="4"/>
    <m/>
    <d v="2020-05-06T00:00:00"/>
    <m/>
    <m/>
    <s v="N/A"/>
    <m/>
    <m/>
    <m/>
    <m/>
    <x v="2"/>
  </r>
  <r>
    <s v="O-1143"/>
    <d v="2020-04-30T00:00:00"/>
    <x v="23"/>
    <s v="CASERONES"/>
    <m/>
    <m/>
    <s v="Estudio Pertinencia Ambiental Canales de Contorno Oriente 2 y 3 – MLCC //_x000a_Contrato Nº 4600000261 Servicios Multidisciplinarios de Ingeniería."/>
    <x v="1"/>
    <s v="ND"/>
    <s v="NAC"/>
    <s v="Chile"/>
    <d v="2020-04-30T00:00:00"/>
    <s v="Claudio Muñoz"/>
    <m/>
    <x v="3"/>
    <m/>
    <d v="2020-05-06T00:00:00"/>
    <n v="116"/>
    <n v="5.0225"/>
    <n v="43297.413793103449"/>
    <m/>
    <m/>
    <m/>
    <m/>
    <x v="2"/>
  </r>
  <r>
    <s v="O-1142"/>
    <d v="2020-03-09T00:00:00"/>
    <x v="41"/>
    <s v="BHP BILLITON"/>
    <m/>
    <m/>
    <s v="Actividades Documentales Area Relaves SGO"/>
    <x v="10"/>
    <s v="ND"/>
    <s v="NAC"/>
    <s v="Chile"/>
    <m/>
    <s v="Pablo Vasquez"/>
    <s v="Cristian Cano no pesca"/>
    <x v="3"/>
    <m/>
    <d v="2020-06-15T00:00:00"/>
    <m/>
    <m/>
    <s v="N/A"/>
    <m/>
    <m/>
    <m/>
    <m/>
    <x v="2"/>
  </r>
  <r>
    <s v="O-1141"/>
    <d v="2020-04-22T00:00:00"/>
    <x v="23"/>
    <s v="CASERONES"/>
    <m/>
    <m/>
    <s v="Ingenieria Mejoramiento Integral (Cuba) Molienda- MLCC"/>
    <x v="1"/>
    <s v="ND"/>
    <s v="NAC"/>
    <s v="Chile"/>
    <d v="2020-04-24T00:00:00"/>
    <s v="Claudio Muñoz"/>
    <m/>
    <x v="3"/>
    <m/>
    <d v="2020-05-06T00:00:00"/>
    <n v="780"/>
    <n v="25.686499999999999"/>
    <n v="32931.410256410258"/>
    <m/>
    <m/>
    <m/>
    <m/>
    <x v="2"/>
  </r>
  <r>
    <s v="O-1140"/>
    <d v="2020-04-22T00:00:00"/>
    <x v="23"/>
    <s v="CASERONES"/>
    <m/>
    <m/>
    <s v="Ingeniería Adecuaciones Reboses (Cuba) Molienda- MLCC"/>
    <x v="1"/>
    <s v="ND"/>
    <s v="NAC"/>
    <s v="Chile"/>
    <d v="2020-04-22T00:00:00"/>
    <s v="Claudio Muñoz"/>
    <m/>
    <x v="3"/>
    <m/>
    <d v="2020-05-06T00:00:00"/>
    <n v="250"/>
    <n v="7.8925000000000001"/>
    <n v="31570"/>
    <m/>
    <m/>
    <m/>
    <m/>
    <x v="2"/>
  </r>
  <r>
    <s v="O-1139"/>
    <d v="2020-04-22T00:00:00"/>
    <x v="37"/>
    <s v="Anglo American"/>
    <m/>
    <m/>
    <s v="Revisión Proyecto Impulsión de Yesos Efluentes Planta de Neutralización San Francisco."/>
    <x v="7"/>
    <s v="ND"/>
    <s v="NAC"/>
    <s v="Chile"/>
    <d v="2020-04-17T00:00:00"/>
    <s v="Claudio Muñoz"/>
    <m/>
    <x v="5"/>
    <m/>
    <d v="2020-05-06T00:00:00"/>
    <n v="169"/>
    <n v="7.4619999999999997"/>
    <n v="44153.846153846156"/>
    <s v="SH-0236"/>
    <m/>
    <m/>
    <m/>
    <x v="2"/>
  </r>
  <r>
    <s v="O-1138"/>
    <d v="2020-04-20T00:00:00"/>
    <x v="19"/>
    <s v="CODELCO"/>
    <m/>
    <m/>
    <s v="Actualización Disposición de Cañerías Estación de Bombeo PS3"/>
    <x v="1"/>
    <s v="ND"/>
    <s v="NAC"/>
    <s v="Chile"/>
    <d v="2020-05-05T00:00:00"/>
    <s v="Claudio Muñoz"/>
    <m/>
    <x v="5"/>
    <m/>
    <d v="2020-05-06T00:00:00"/>
    <n v="397"/>
    <n v="13.173299999999999"/>
    <n v="33182.115869017631"/>
    <s v="SH-0241"/>
    <m/>
    <m/>
    <m/>
    <x v="2"/>
  </r>
  <r>
    <s v="O-1137"/>
    <d v="2020-04-15T00:00:00"/>
    <x v="38"/>
    <s v="ENAMI"/>
    <m/>
    <m/>
    <s v="Ingenieria de Enlace Deposito Interior Relaves Espesados - Planta Vallenar - ENAMI - HS"/>
    <x v="1"/>
    <s v="LM"/>
    <s v="NAC"/>
    <s v="Chile"/>
    <m/>
    <s v="Claudio Muñoz"/>
    <m/>
    <x v="3"/>
    <m/>
    <d v="2020-05-06T00:00:00"/>
    <m/>
    <m/>
    <s v="N/A"/>
    <m/>
    <m/>
    <m/>
    <m/>
    <x v="2"/>
  </r>
  <r>
    <s v="O-1136"/>
    <d v="2020-04-13T00:00:00"/>
    <x v="50"/>
    <s v="ANTAMINA"/>
    <m/>
    <m/>
    <s v="Simulación Cajón Distribuidor CFD"/>
    <x v="10"/>
    <s v="ND"/>
    <s v="NAC"/>
    <s v="Chile"/>
    <d v="2020-04-16T00:00:00"/>
    <s v="Hernán Castro"/>
    <m/>
    <x v="3"/>
    <m/>
    <d v="2020-05-06T00:00:00"/>
    <n v="550"/>
    <n v="21.381499999999999"/>
    <n v="38875.454545454544"/>
    <m/>
    <m/>
    <m/>
    <m/>
    <x v="2"/>
  </r>
  <r>
    <s v="O-1135"/>
    <d v="2020-04-13T00:00:00"/>
    <x v="41"/>
    <s v="BHP BILLITON"/>
    <m/>
    <m/>
    <s v="Manuales de Operación Proyecto Relaves Spence "/>
    <x v="4"/>
    <s v="ND"/>
    <s v="NAC"/>
    <s v="Chile"/>
    <m/>
    <s v="Pablo Vasquez"/>
    <s v="Cristian Cano no pesca"/>
    <x v="3"/>
    <m/>
    <d v="2020-06-15T00:00:00"/>
    <n v="552"/>
    <n v="28.7287"/>
    <n v="52044.746376811592"/>
    <m/>
    <m/>
    <m/>
    <m/>
    <x v="2"/>
  </r>
  <r>
    <s v="O-1134"/>
    <d v="2020-04-13T00:00:00"/>
    <x v="23"/>
    <s v="CASERONES"/>
    <m/>
    <m/>
    <s v="Ingeniería Conducción de Derrames Molienda"/>
    <x v="19"/>
    <s v="ND"/>
    <s v="NAC"/>
    <s v="Chile"/>
    <d v="2020-04-15T00:00:00"/>
    <s v="Pedro Valencia"/>
    <m/>
    <x v="3"/>
    <m/>
    <d v="2020-05-06T00:00:00"/>
    <n v="1627"/>
    <n v="51.631300000000003"/>
    <n v="31734.050399508302"/>
    <m/>
    <m/>
    <m/>
    <m/>
    <x v="2"/>
  </r>
  <r>
    <s v="O-1133"/>
    <d v="2020-04-13T00:00:00"/>
    <x v="23"/>
    <s v="CASERONES"/>
    <m/>
    <m/>
    <s v="Ingeniería de Detalles Remoción Harneros"/>
    <x v="1"/>
    <s v="ND"/>
    <s v="NAC"/>
    <s v="Chile"/>
    <d v="2020-04-15T00:00:00"/>
    <s v="Claudio Muñoz"/>
    <m/>
    <x v="3"/>
    <m/>
    <d v="2020-05-06T00:00:00"/>
    <m/>
    <m/>
    <s v="N/A"/>
    <m/>
    <m/>
    <m/>
    <m/>
    <x v="2"/>
  </r>
  <r>
    <s v="O-1132"/>
    <d v="2020-04-08T00:00:00"/>
    <x v="51"/>
    <s v="COLLAHUASI"/>
    <m/>
    <m/>
    <s v="ITO Fabricación y Reparación de Spools y Ductos"/>
    <x v="11"/>
    <s v="LC"/>
    <s v="NAC"/>
    <s v="Chile"/>
    <d v="2020-04-22T00:00:00"/>
    <s v="Claudio Muñoz"/>
    <m/>
    <x v="5"/>
    <m/>
    <d v="2020-05-06T00:00:00"/>
    <n v="2460"/>
    <n v="99.120649999999998"/>
    <n v="40292.947154471542"/>
    <s v="SH-0239"/>
    <m/>
    <m/>
    <m/>
    <x v="2"/>
  </r>
  <r>
    <s v="O-1131"/>
    <d v="2020-04-06T00:00:00"/>
    <x v="37"/>
    <s v="Anglo American"/>
    <m/>
    <m/>
    <s v="Revisión Experta Impulsión de Yesos Disciplinas Mecánica - Piping"/>
    <x v="7"/>
    <s v="ND"/>
    <s v="NAC"/>
    <s v="Chile"/>
    <d v="2020-04-15T00:00:00"/>
    <s v="Pedro Valencia"/>
    <m/>
    <x v="5"/>
    <m/>
    <d v="2020-05-06T00:00:00"/>
    <n v="815"/>
    <n v="42.332500000000003"/>
    <n v="51941.717791411043"/>
    <s v="SH-0237"/>
    <m/>
    <m/>
    <m/>
    <x v="2"/>
  </r>
  <r>
    <s v="O-1130"/>
    <d v="2020-04-02T00:00:00"/>
    <x v="2"/>
    <s v="Vale Brasil"/>
    <m/>
    <m/>
    <s v="Padrões para caracterização de polpas em transporte hidráulico a longa distancia "/>
    <x v="10"/>
    <s v="ND"/>
    <s v="INT"/>
    <s v="Brasil"/>
    <d v="2020-04-17T00:00:00"/>
    <s v="Pedro Valencia"/>
    <s v="Trabajo ultimo trimestre 2020"/>
    <x v="5"/>
    <m/>
    <d v="2020-05-06T00:00:00"/>
    <n v="989"/>
    <n v="65.908000000000001"/>
    <n v="66641.051567239643"/>
    <s v="SH-0235 OS02"/>
    <m/>
    <m/>
    <m/>
    <x v="2"/>
  </r>
  <r>
    <s v="O-1129"/>
    <d v="2020-04-02T00:00:00"/>
    <x v="2"/>
    <s v="Vale Brasil"/>
    <m/>
    <m/>
    <s v="Padrões para Inspeção com PIGS instrumentais em tubulações a longa distancia"/>
    <x v="10"/>
    <s v="ND"/>
    <s v="INT"/>
    <s v="Brasil"/>
    <d v="2020-04-17T00:00:00"/>
    <s v="Pedro Valencia"/>
    <m/>
    <x v="5"/>
    <m/>
    <d v="2020-05-06T00:00:00"/>
    <n v="998"/>
    <n v="67.912000000000006"/>
    <n v="68048.096192384779"/>
    <s v="SH-0235 OS01"/>
    <m/>
    <m/>
    <m/>
    <x v="2"/>
  </r>
  <r>
    <s v="O-1128"/>
    <d v="2020-03-09T00:00:00"/>
    <x v="23"/>
    <s v="CASERONES"/>
    <m/>
    <m/>
    <s v="ID Solucion Remocion Equipos de Bombeo Alimentacion Ciclones Molienda"/>
    <x v="1"/>
    <s v="ND"/>
    <s v="NAC"/>
    <s v="Chile"/>
    <m/>
    <s v="Pedro Valencia"/>
    <m/>
    <x v="3"/>
    <m/>
    <d v="2020-03-18T00:00:00"/>
    <n v="329"/>
    <n v="11.086499999999999"/>
    <n v="33697.568389057749"/>
    <m/>
    <m/>
    <m/>
    <m/>
    <x v="2"/>
  </r>
  <r>
    <s v="O-1127"/>
    <d v="2020-03-09T00:00:00"/>
    <x v="23"/>
    <s v="CASERONES"/>
    <m/>
    <m/>
    <s v="Peralte Cajon sobre Tamaño (Cuba) Molienda"/>
    <x v="2"/>
    <s v="ND"/>
    <s v="NAC"/>
    <s v="Chile"/>
    <m/>
    <s v="Pedro Valencia"/>
    <m/>
    <x v="5"/>
    <m/>
    <d v="2020-03-18T00:00:00"/>
    <n v="370"/>
    <n v="12.5685"/>
    <n v="33968.91891891892"/>
    <s v="SH-2019 OS10"/>
    <m/>
    <m/>
    <m/>
    <x v="2"/>
  </r>
  <r>
    <s v="O-1126"/>
    <d v="2020-03-09T00:00:00"/>
    <x v="23"/>
    <s v="CASERONES"/>
    <m/>
    <m/>
    <s v="ID Sistema de Manejo y Recuperacion de Bolas Molienda"/>
    <x v="1"/>
    <s v="ND"/>
    <s v="NAC"/>
    <s v="Chile"/>
    <m/>
    <m/>
    <m/>
    <x v="4"/>
    <m/>
    <d v="2020-03-11T00:00:00"/>
    <m/>
    <m/>
    <m/>
    <m/>
    <m/>
    <m/>
    <m/>
    <x v="2"/>
  </r>
  <r>
    <s v="O-1125"/>
    <d v="2020-03-09T00:00:00"/>
    <x v="23"/>
    <s v="CASERONES"/>
    <m/>
    <m/>
    <s v="ID Plataforma Remocion y Retiro Harneros"/>
    <x v="1"/>
    <s v="ND"/>
    <s v="NAC"/>
    <s v="Chile"/>
    <m/>
    <s v="Pedro Valencia"/>
    <m/>
    <x v="3"/>
    <m/>
    <d v="2020-03-11T00:00:00"/>
    <m/>
    <m/>
    <m/>
    <m/>
    <m/>
    <m/>
    <m/>
    <x v="2"/>
  </r>
  <r>
    <s v="O-1124"/>
    <d v="2020-03-09T00:00:00"/>
    <x v="23"/>
    <s v="CASERONES"/>
    <m/>
    <m/>
    <s v="Ingeniería Conceptual Plataformas Remoción y Retiro Harneros - Edificio Molienda -_x000a_MLCC// Contrato Nº 4600000261"/>
    <x v="2"/>
    <s v="ND"/>
    <s v="NAC"/>
    <s v="Chile"/>
    <d v="2020-03-10T00:00:00"/>
    <s v="Claudio Muñoz"/>
    <m/>
    <x v="5"/>
    <m/>
    <d v="2020-03-11T00:00:00"/>
    <n v="516"/>
    <n v="16.971726449999998"/>
    <n v="32890.942732558142"/>
    <s v="SH-0219 OS09"/>
    <m/>
    <m/>
    <m/>
    <x v="2"/>
  </r>
  <r>
    <s v="O-1123"/>
    <d v="2020-02-12T00:00:00"/>
    <x v="23"/>
    <s v="CASERONES"/>
    <m/>
    <m/>
    <s v="ID Plataforma Acceso Harneros"/>
    <x v="1"/>
    <s v="ND"/>
    <s v="NAC"/>
    <s v="Chile"/>
    <m/>
    <s v="Pedro Valencia"/>
    <m/>
    <x v="4"/>
    <m/>
    <d v="2020-03-11T00:00:00"/>
    <m/>
    <m/>
    <m/>
    <m/>
    <m/>
    <m/>
    <m/>
    <x v="2"/>
  </r>
  <r>
    <s v="O-1122"/>
    <d v="2020-03-09T00:00:00"/>
    <x v="23"/>
    <s v="CASERONES"/>
    <m/>
    <m/>
    <s v="Mejoramiento Bombeo Piscina de Emergencia Flotación - MLCC// Contrato Nº 4600000261"/>
    <x v="5"/>
    <s v="ND"/>
    <s v="NAC"/>
    <s v="Chile"/>
    <m/>
    <s v="Pedro Valencia"/>
    <m/>
    <x v="3"/>
    <m/>
    <d v="2020-03-11T00:00:00"/>
    <n v="183"/>
    <n v="6.7316427599999997"/>
    <n v="36784.933114754094"/>
    <m/>
    <m/>
    <m/>
    <m/>
    <x v="2"/>
  </r>
  <r>
    <s v="O-1121"/>
    <d v="2020-03-06T00:00:00"/>
    <x v="39"/>
    <s v="SEDGMAN"/>
    <m/>
    <m/>
    <s v="Línea Relaves Finos Mantos Blancos"/>
    <x v="0"/>
    <s v="ND"/>
    <s v="NAC"/>
    <s v="Chile"/>
    <d v="2020-03-06T00:00:00"/>
    <s v="Pedro Valencia"/>
    <m/>
    <x v="3"/>
    <m/>
    <d v="2020-03-18T00:00:00"/>
    <n v="1180"/>
    <n v="48.421500000000002"/>
    <n v="41035.169491525427"/>
    <m/>
    <m/>
    <m/>
    <m/>
    <x v="2"/>
  </r>
  <r>
    <s v="O-1120"/>
    <d v="2020-02-25T00:00:00"/>
    <x v="52"/>
    <s v="AMSA"/>
    <m/>
    <m/>
    <s v="Estudio Hidrico - Antofagasta Minerals"/>
    <x v="0"/>
    <m/>
    <m/>
    <m/>
    <m/>
    <m/>
    <m/>
    <x v="4"/>
    <m/>
    <d v="2020-03-11T00:00:00"/>
    <m/>
    <m/>
    <m/>
    <m/>
    <m/>
    <m/>
    <m/>
    <x v="2"/>
  </r>
  <r>
    <s v="O-1119"/>
    <d v="2020-02-19T00:00:00"/>
    <x v="16"/>
    <s v="CANDELARIA"/>
    <m/>
    <m/>
    <s v="Licitacion Servicios de Ingenierías Mantencion Concentradora"/>
    <x v="1"/>
    <s v="LM"/>
    <s v="NAC"/>
    <s v="Chile"/>
    <d v="2020-03-04T00:00:00"/>
    <s v="Pedro Valencia"/>
    <s v="RV consultará"/>
    <x v="2"/>
    <n v="0.01"/>
    <d v="2020-06-15T00:00:00"/>
    <n v="11724"/>
    <n v="517.91962599999999"/>
    <n v="44176.017229614466"/>
    <m/>
    <m/>
    <m/>
    <m/>
    <x v="2"/>
  </r>
  <r>
    <s v="O-1118"/>
    <d v="2020-02-18T00:00:00"/>
    <x v="19"/>
    <s v="Codelco"/>
    <m/>
    <m/>
    <s v="Ingenieria de Detalles Adquisicion y MO"/>
    <x v="0"/>
    <m/>
    <m/>
    <m/>
    <m/>
    <m/>
    <m/>
    <x v="4"/>
    <m/>
    <d v="2020-03-11T00:00:00"/>
    <m/>
    <m/>
    <m/>
    <m/>
    <m/>
    <m/>
    <m/>
    <x v="2"/>
  </r>
  <r>
    <s v="O-1117"/>
    <d v="2020-02-17T00:00:00"/>
    <x v="32"/>
    <s v="Vale Brasil"/>
    <m/>
    <m/>
    <s v="Elaboração De Manual De Operações Mineroduto Gelado"/>
    <x v="4"/>
    <s v="ND"/>
    <s v="INT"/>
    <s v="Brasil"/>
    <d v="2020-02-18T00:00:00"/>
    <s v="Pedro Valencia"/>
    <m/>
    <x v="5"/>
    <m/>
    <d v="2020-03-11T00:00:00"/>
    <n v="369"/>
    <n v="9.2659350000000007"/>
    <n v="25110.934959349594"/>
    <s v="SH-0223"/>
    <m/>
    <m/>
    <m/>
    <x v="2"/>
  </r>
  <r>
    <s v="O-1116"/>
    <d v="2020-02-24T00:00:00"/>
    <x v="11"/>
    <s v="Codelco SALVADOR"/>
    <m/>
    <m/>
    <s v="Verificación Fundaciones Existentes"/>
    <x v="0"/>
    <s v="ND"/>
    <s v="NAC"/>
    <s v="Chile"/>
    <d v="2020-02-19T00:00:00"/>
    <s v="Pedro Valencia"/>
    <m/>
    <x v="3"/>
    <m/>
    <d v="2020-06-15T00:00:00"/>
    <n v="542"/>
    <n v="38.393182859999996"/>
    <n v="70836.13073800737"/>
    <m/>
    <m/>
    <m/>
    <m/>
    <x v="2"/>
  </r>
  <r>
    <s v="O-1115"/>
    <d v="2020-02-12T00:00:00"/>
    <x v="32"/>
    <s v="SNC LAVALIN "/>
    <m/>
    <m/>
    <s v="Atividades de Engenharia inerentes a disciplina de Tubulação 􀂱 Contrato 5854"/>
    <x v="5"/>
    <s v="ND"/>
    <s v="INT"/>
    <s v="Brasil"/>
    <d v="2020-02-12T00:00:00"/>
    <s v="Pedro Valencia"/>
    <m/>
    <x v="5"/>
    <m/>
    <d v="2020-03-11T00:00:00"/>
    <n v="67"/>
    <n v="1.4319999999999999"/>
    <n v="21373.134328358206"/>
    <s v="SH0197"/>
    <m/>
    <m/>
    <m/>
    <x v="2"/>
  </r>
  <r>
    <s v="O-1114"/>
    <d v="2020-02-06T00:00:00"/>
    <x v="32"/>
    <s v="Vale Brasil"/>
    <m/>
    <m/>
    <s v="E Basica Bombeio Rejeitoduto - Vale - SNC"/>
    <x v="5"/>
    <s v="ND"/>
    <s v="INT"/>
    <s v="Brasil"/>
    <m/>
    <s v="Pedro Valencia"/>
    <m/>
    <x v="4"/>
    <m/>
    <d v="2020-03-11T00:00:00"/>
    <m/>
    <m/>
    <m/>
    <m/>
    <m/>
    <m/>
    <m/>
    <x v="2"/>
  </r>
  <r>
    <s v="O-1113"/>
    <d v="2020-02-28T00:00:00"/>
    <x v="41"/>
    <s v="BHP BILLITON"/>
    <m/>
    <m/>
    <s v="Licitación Remediacion de Pisos, Fundaciones y Muros Tank Farm - Minera Cerro Colorado"/>
    <x v="0"/>
    <s v="LM"/>
    <s v="NAC"/>
    <s v="Chile"/>
    <d v="2020-02-28T00:00:00"/>
    <s v="Claudio Muñoz"/>
    <s v="RV consultará"/>
    <x v="3"/>
    <m/>
    <d v="2020-07-28T00:00:00"/>
    <n v="3121"/>
    <n v="132.01137600000001"/>
    <n v="42297.781480294783"/>
    <m/>
    <m/>
    <m/>
    <m/>
    <x v="2"/>
  </r>
  <r>
    <s v="O-1112"/>
    <d v="2020-02-06T00:00:00"/>
    <x v="53"/>
    <s v="Codelco ANDINA"/>
    <m/>
    <m/>
    <s v="Precalificacion: Servicio de Ingenieria Contraparte"/>
    <x v="0"/>
    <s v="LM"/>
    <s v="NAC"/>
    <s v="Chile"/>
    <d v="2020-02-12T00:00:00"/>
    <s v="Pedro Valencia"/>
    <s v="RV consultó. Aún en evaluación"/>
    <x v="2"/>
    <n v="0.01"/>
    <d v="2020-07-28T00:00:00"/>
    <m/>
    <m/>
    <m/>
    <m/>
    <m/>
    <m/>
    <m/>
    <x v="2"/>
  </r>
  <r>
    <s v="O-1111"/>
    <d v="2020-02-05T00:00:00"/>
    <x v="54"/>
    <s v="VP Codelco"/>
    <m/>
    <m/>
    <s v="IF Sistema de Clasificación e Infraestructura Proyecto Tranque Ovejeria: Dren Longitudinal Etapa 8 y Obras diferidas sobre cota 648 msnm"/>
    <x v="20"/>
    <s v="LM"/>
    <s v="NAC"/>
    <s v="Chile"/>
    <d v="2020-02-10T00:00:00"/>
    <s v="Pedro Valencia"/>
    <m/>
    <x v="3"/>
    <m/>
    <d v="2020-07-28T00:00:00"/>
    <m/>
    <m/>
    <m/>
    <m/>
    <m/>
    <m/>
    <m/>
    <x v="2"/>
  </r>
  <r>
    <s v="O-1110"/>
    <d v="2020-01-30T00:00:00"/>
    <x v="44"/>
    <s v="Anglo American"/>
    <m/>
    <m/>
    <s v="Actualizacion Presupuestaria - Ingenieria de Detalles Mejora Suministro Aguas El Soldado "/>
    <x v="1"/>
    <s v="ND"/>
    <s v="NAC"/>
    <s v="Chile"/>
    <d v="2020-02-03T00:00:00"/>
    <s v="Pedro Valencia"/>
    <m/>
    <x v="5"/>
    <m/>
    <d v="2020-03-11T00:00:00"/>
    <n v="2540"/>
    <n v="70.426218000000006"/>
    <n v="27726.85748031496"/>
    <s v="SH-0233"/>
    <m/>
    <m/>
    <m/>
    <x v="2"/>
  </r>
  <r>
    <s v="O-1109"/>
    <d v="2020-01-28T00:00:00"/>
    <x v="8"/>
    <s v="Codelco ANDINA"/>
    <m/>
    <m/>
    <s v="Plan de Remoción de Relaves Tranque Piuquenes"/>
    <x v="0"/>
    <s v="ND"/>
    <s v="NAC"/>
    <s v="Chile"/>
    <d v="2020-02-04T00:00:00"/>
    <s v="Pedro Valencia"/>
    <m/>
    <x v="5"/>
    <m/>
    <d v="2020-03-11T00:00:00"/>
    <n v="292"/>
    <n v="12.46494867"/>
    <n v="42688.180376712327"/>
    <s v="SH-0232"/>
    <m/>
    <m/>
    <m/>
    <x v="2"/>
  </r>
  <r>
    <s v="O-1108"/>
    <d v="2020-01-27T00:00:00"/>
    <x v="55"/>
    <s v="TetraTech"/>
    <m/>
    <m/>
    <s v="Serviços De Consolidação De Projeto Conceitual E Desenvolvimento De Projeto Básico – Sistema De Bombeio De Rejeitos Arenosos E Rejeitos De Lamas"/>
    <x v="2"/>
    <s v="ND"/>
    <s v="INT"/>
    <s v="Brasil"/>
    <d v="2020-02-14T00:00:00"/>
    <s v="Pedro Valencia"/>
    <m/>
    <x v="5"/>
    <m/>
    <d v="2020-03-11T00:00:00"/>
    <n v="2095"/>
    <n v="49.47"/>
    <n v="23613.365155131261"/>
    <s v="SH-0242"/>
    <m/>
    <m/>
    <m/>
    <x v="2"/>
  </r>
  <r>
    <s v="O-1107"/>
    <d v="2020-01-27T00:00:00"/>
    <x v="5"/>
    <s v="Anglo American"/>
    <m/>
    <m/>
    <s v="ID Nueva Correa Transportadora Chancado Secundario Seccion 3-El Soldado-Anglo"/>
    <x v="1"/>
    <s v="ND"/>
    <s v="NAC"/>
    <s v="Chile"/>
    <d v="2020-02-25T00:00:00"/>
    <s v="Pedro Valencia"/>
    <s v="Propuesta congelada por contigencias COVID"/>
    <x v="6"/>
    <m/>
    <d v="2020-06-15T00:00:00"/>
    <n v="1400"/>
    <n v="46.491512"/>
    <n v="33208.222857142857"/>
    <m/>
    <m/>
    <m/>
    <m/>
    <x v="2"/>
  </r>
  <r>
    <s v="O-1106"/>
    <d v="2020-01-24T00:00:00"/>
    <x v="41"/>
    <s v="BHP BILLITON"/>
    <m/>
    <m/>
    <s v="Diseño Zanjas Transporte de Relaves - Sistema Supresión de Polvos Orden de Compra N° 4506332326"/>
    <x v="4"/>
    <s v="ND"/>
    <s v="NAC"/>
    <s v="Chile"/>
    <d v="2020-01-27T00:00:00"/>
    <s v="Pablo Vasquez"/>
    <s v="Pablo conversará con Mauricio Olivares"/>
    <x v="2"/>
    <n v="0.01"/>
    <d v="2020-06-15T00:00:00"/>
    <n v="523"/>
    <n v="22.020458519999998"/>
    <n v="42104.127189292536"/>
    <m/>
    <m/>
    <m/>
    <m/>
    <x v="2"/>
  </r>
  <r>
    <s v="O-1105"/>
    <d v="2020-01-23T00:00:00"/>
    <x v="23"/>
    <s v="CASERONES"/>
    <m/>
    <m/>
    <s v="Estudio de Mecánica de Suelo Rehabilitación Módulo W-10 Dormitorio Campamento_x000a_Carrizalillo- MLCC // Contrato Nº 4600000261"/>
    <x v="21"/>
    <s v="ND"/>
    <s v="NAC"/>
    <s v="Chile"/>
    <d v="2020-01-23T00:00:00"/>
    <s v="Claudio Muñoz"/>
    <m/>
    <x v="3"/>
    <m/>
    <d v="2020-06-15T00:00:00"/>
    <n v="160"/>
    <n v="7.1024535899999997"/>
    <n v="44390.334937499996"/>
    <m/>
    <m/>
    <m/>
    <m/>
    <x v="2"/>
  </r>
  <r>
    <s v="O-1104"/>
    <d v="2020-01-21T00:00:00"/>
    <x v="54"/>
    <s v="VP Codelco"/>
    <m/>
    <m/>
    <s v="Precalificacion: Ingenieria de Factibilidad Sistema de Clasificacion e Infraestructura Proyecto Tranque Ovejeria: Dren Longitudinal Etapa 8 y Obras Diferidas dobre Cota 648 msnm"/>
    <x v="1"/>
    <s v="LM"/>
    <s v="NAC"/>
    <s v="Chile"/>
    <m/>
    <s v="Pedro Valencia"/>
    <m/>
    <x v="4"/>
    <m/>
    <d v="2020-03-11T00:00:00"/>
    <m/>
    <m/>
    <m/>
    <m/>
    <m/>
    <m/>
    <m/>
    <x v="2"/>
  </r>
  <r>
    <s v="O-1103"/>
    <d v="2020-01-21T00:00:00"/>
    <x v="44"/>
    <s v="Anglo American"/>
    <m/>
    <m/>
    <s v="ID Mejoramiento Suministro Aguas El Soldado - Anglo"/>
    <x v="1"/>
    <s v="ND"/>
    <s v="NAC"/>
    <s v="Chile"/>
    <d v="2020-01-21T00:00:00"/>
    <s v="Pedro Valencia"/>
    <m/>
    <x v="5"/>
    <m/>
    <d v="2020-03-11T00:00:00"/>
    <n v="3400"/>
    <n v="95.503017"/>
    <n v="28089.122647058823"/>
    <s v="SH-0233"/>
    <m/>
    <m/>
    <m/>
    <x v="2"/>
  </r>
  <r>
    <s v="O-1102"/>
    <d v="2020-01-16T00:00:00"/>
    <x v="23"/>
    <s v="CASERONES"/>
    <m/>
    <m/>
    <s v="Ingenieria Grua de Edificio Molienda"/>
    <x v="1"/>
    <s v="LC"/>
    <s v="NAC"/>
    <s v="Chile"/>
    <d v="2020-02-26T00:00:00"/>
    <s v="Pedro Valencia"/>
    <m/>
    <x v="3"/>
    <m/>
    <d v="2020-06-15T00:00:00"/>
    <n v="3545"/>
    <n v="111.92782284"/>
    <n v="31573.433805359666"/>
    <m/>
    <m/>
    <m/>
    <m/>
    <x v="2"/>
  </r>
  <r>
    <s v="O-1101"/>
    <d v="2020-01-15T00:00:00"/>
    <x v="23"/>
    <s v="CASERONES"/>
    <m/>
    <m/>
    <s v="Estudio factibilidad conducción por tubería Canales de Contorno Oriente 2 y 3 – MLCC_x000a_// Contrato Nº 4600000261"/>
    <x v="1"/>
    <s v="LC"/>
    <s v="NAC"/>
    <s v="Chile"/>
    <d v="2020-01-24T00:00:00"/>
    <s v="Pedro Valencia"/>
    <m/>
    <x v="5"/>
    <m/>
    <d v="2020-03-11T00:00:00"/>
    <n v="175"/>
    <n v="5.1343037999999996"/>
    <n v="29338.878857142856"/>
    <s v="SH0219-OS08"/>
    <m/>
    <m/>
    <m/>
    <x v="2"/>
  </r>
  <r>
    <s v="O-1100"/>
    <d v="2020-01-15T00:00:00"/>
    <x v="15"/>
    <s v="CAP Mineria"/>
    <m/>
    <m/>
    <s v="Término Ingeniería con Información Vendor - CEDRE"/>
    <x v="1"/>
    <s v="ND"/>
    <s v="NAC"/>
    <s v="Chile"/>
    <d v="2020-01-20T00:00:00"/>
    <s v="Pedro Valencia"/>
    <m/>
    <x v="3"/>
    <m/>
    <d v="2020-03-11T00:00:00"/>
    <n v="1393"/>
    <n v="52.198755299999995"/>
    <n v="37472.186145010768"/>
    <m/>
    <m/>
    <m/>
    <m/>
    <x v="2"/>
  </r>
  <r>
    <s v="O-1099"/>
    <d v="2020-01-15T00:00:00"/>
    <x v="44"/>
    <s v="Anglo American"/>
    <m/>
    <m/>
    <s v="Ingenieria Nuevo Tramo Cañería Agua Fresca Los Litres El Melon"/>
    <x v="1"/>
    <s v="LM"/>
    <s v="NAC"/>
    <s v="Chile"/>
    <d v="2020-01-20T00:00:00"/>
    <s v="Pedro Valencia"/>
    <s v="Propuesta Adjudicada O1103"/>
    <x v="3"/>
    <m/>
    <d v="2020-01-20T00:00:00"/>
    <n v="2236"/>
    <n v="64.318177000000006"/>
    <n v="28764.837656529518"/>
    <m/>
    <m/>
    <m/>
    <m/>
    <x v="2"/>
  </r>
  <r>
    <s v="O-1098"/>
    <d v="2020-01-08T00:00:00"/>
    <x v="8"/>
    <s v="Codelco ANDINA"/>
    <m/>
    <m/>
    <s v="Apoyo Repulpeo Tranque Piuquenes DAND"/>
    <x v="22"/>
    <s v="ND"/>
    <s v="NAC"/>
    <s v="Chile"/>
    <d v="2020-01-08T00:00:00"/>
    <s v="Pablo Vasquez"/>
    <m/>
    <x v="5"/>
    <m/>
    <d v="2020-01-20T00:00:00"/>
    <n v="133"/>
    <n v="6.7919999999999998"/>
    <n v="51067.669172932328"/>
    <s v="SH0232"/>
    <m/>
    <m/>
    <m/>
    <x v="2"/>
  </r>
  <r>
    <s v="O-1097"/>
    <d v="2019-12-31T00:00:00"/>
    <x v="23"/>
    <s v="CASERONES"/>
    <m/>
    <m/>
    <s v="Estudio Sistema Detección de Fugas Piscinas Emergencias Sector Refino"/>
    <x v="10"/>
    <s v="LC"/>
    <s v="NAC"/>
    <s v="Chile"/>
    <d v="2020-01-13T00:00:00"/>
    <s v="Pedro Valencia"/>
    <m/>
    <x v="3"/>
    <m/>
    <d v="2020-06-15T00:00:00"/>
    <n v="1110"/>
    <n v="32.460099999999997"/>
    <n v="29243.333333333328"/>
    <m/>
    <m/>
    <m/>
    <m/>
    <x v="3"/>
  </r>
  <r>
    <s v="O-1096"/>
    <d v="2019-12-27T00:00:00"/>
    <x v="51"/>
    <s v="COLLAHUASI"/>
    <m/>
    <m/>
    <s v="Levantamiento Instalaciones Mineroductos"/>
    <x v="3"/>
    <s v="ND"/>
    <s v="NAC"/>
    <s v="Chile"/>
    <d v="2020-01-17T00:00:00"/>
    <s v="Claudio Muñoz"/>
    <m/>
    <x v="3"/>
    <m/>
    <d v="2020-06-15T00:00:00"/>
    <n v="3246"/>
    <n v="169.74340000000001"/>
    <n v="52293.099199014177"/>
    <m/>
    <m/>
    <m/>
    <m/>
    <x v="3"/>
  </r>
  <r>
    <s v="O-1095"/>
    <d v="2020-12-18T00:00:00"/>
    <x v="44"/>
    <s v="Anglo American"/>
    <m/>
    <m/>
    <s v="Ingenieria General Impulsión Agua Fresca por Ruta F-121"/>
    <x v="1"/>
    <s v="LM"/>
    <s v="NAC"/>
    <s v="Chile"/>
    <d v="2019-12-24T00:00:00"/>
    <s v="Pedro Valencia"/>
    <s v="Propuesta Adjudicada O1103"/>
    <x v="3"/>
    <m/>
    <d v="2020-01-20T00:00:00"/>
    <n v="1849"/>
    <n v="58.713999999999999"/>
    <n v="31754.461871281772"/>
    <m/>
    <m/>
    <m/>
    <m/>
    <x v="2"/>
  </r>
  <r>
    <s v="O-1094"/>
    <d v="2019-12-18T00:00:00"/>
    <x v="23"/>
    <s v="CASERONES"/>
    <m/>
    <m/>
    <s v="Estudio Transiente Sistema Golpe Ariete Línea Refino"/>
    <x v="10"/>
    <s v="LC"/>
    <s v="NAC"/>
    <s v="Chile"/>
    <d v="2019-12-23T00:00:00"/>
    <s v="Pedro Valencia"/>
    <m/>
    <x v="5"/>
    <m/>
    <d v="2020-01-20T00:00:00"/>
    <n v="258"/>
    <n v="9.8483999999999998"/>
    <n v="38172.093023255809"/>
    <s v="SH0219-OS07"/>
    <m/>
    <m/>
    <m/>
    <x v="3"/>
  </r>
  <r>
    <s v="O-1093"/>
    <d v="2019-12-09T00:00:00"/>
    <x v="41"/>
    <s v="BHP BILLITON"/>
    <m/>
    <m/>
    <s v="Validacion Diseño Sistemas Transporte, Distribución y Clasificación Relaves Spence"/>
    <x v="4"/>
    <s v="ND"/>
    <s v="NAC"/>
    <s v="Chile"/>
    <d v="2019-12-11T00:00:00"/>
    <s v="Pedro Valencia"/>
    <s v="Reemplazada por la O1163"/>
    <x v="3"/>
    <m/>
    <d v="2020-06-15T00:00:00"/>
    <n v="1462"/>
    <n v="68.609579249999996"/>
    <n v="46928.576778385774"/>
    <m/>
    <m/>
    <m/>
    <m/>
    <x v="3"/>
  </r>
  <r>
    <s v="O-1092"/>
    <d v="2019-12-05T00:00:00"/>
    <x v="43"/>
    <s v="ENAMI"/>
    <m/>
    <m/>
    <s v="Nueva Linea Chancado y Molienda Escoria Planta Matta"/>
    <x v="1"/>
    <s v="LM"/>
    <s v="NAC"/>
    <s v="Chile"/>
    <d v="2019-12-23T00:00:00"/>
    <s v="Claudio Muñoz"/>
    <m/>
    <x v="3"/>
    <m/>
    <d v="2019-12-12T00:00:00"/>
    <n v="23303"/>
    <n v="1037.8459"/>
    <n v="44537.008110543706"/>
    <m/>
    <m/>
    <m/>
    <m/>
    <x v="3"/>
  </r>
  <r>
    <s v="O-1091"/>
    <d v="2019-12-04T00:00:00"/>
    <x v="51"/>
    <s v="COLLAHUASI"/>
    <m/>
    <m/>
    <s v="Ingeniería Cambio de Trazado Línea de Relave"/>
    <x v="5"/>
    <s v="ND"/>
    <s v="NAC"/>
    <s v="Chile"/>
    <d v="2019-12-05T00:00:00"/>
    <s v="Pedro Valencia"/>
    <s v="Oferta enviada a Jaime Riquelme Serey"/>
    <x v="5"/>
    <m/>
    <d v="2019-12-12T00:00:00"/>
    <n v="247"/>
    <n v="9.9674219999999991"/>
    <n v="40353.935222672058"/>
    <s v="SH0231"/>
    <m/>
    <m/>
    <m/>
    <x v="3"/>
  </r>
  <r>
    <s v="O-1090"/>
    <d v="2019-12-03T00:00:00"/>
    <x v="41"/>
    <s v="BHP BILLITON"/>
    <m/>
    <m/>
    <s v="Entrenamiento Operacional Sistema Disposición de Relaves Proyecto Spence Grow Option"/>
    <x v="4"/>
    <s v="ND"/>
    <s v="NAC"/>
    <s v="Chile"/>
    <d v="2019-12-04T00:00:00"/>
    <s v="Pablo Vasquez"/>
    <m/>
    <x v="5"/>
    <m/>
    <d v="2019-12-12T00:00:00"/>
    <n v="399"/>
    <n v="20.461684000000002"/>
    <n v="51282.416040100252"/>
    <s v="SH-0238"/>
    <m/>
    <m/>
    <m/>
    <x v="3"/>
  </r>
  <r>
    <s v="O-1089"/>
    <d v="2019-11-26T00:00:00"/>
    <x v="51"/>
    <s v="COLLAHUASI"/>
    <m/>
    <m/>
    <s v="Estudio Sistema de Monitoreo en Línea"/>
    <x v="10"/>
    <s v="ND"/>
    <s v="NAC"/>
    <s v="Chile"/>
    <d v="2019-12-05T00:00:00"/>
    <s v="Claudio Muñoz"/>
    <m/>
    <x v="3"/>
    <m/>
    <d v="2020-06-15T00:00:00"/>
    <n v="570"/>
    <n v="23.703704999999999"/>
    <n v="41585.447368421046"/>
    <m/>
    <m/>
    <m/>
    <m/>
    <x v="3"/>
  </r>
  <r>
    <s v="O-1088"/>
    <d v="2019-11-25T00:00:00"/>
    <x v="56"/>
    <s v="TECK"/>
    <m/>
    <m/>
    <s v="Comisionamiento y Operación Concentraducto y Acueducto QB2"/>
    <x v="4"/>
    <s v="ND"/>
    <s v="NAC"/>
    <s v="Chile"/>
    <m/>
    <m/>
    <m/>
    <x v="4"/>
    <m/>
    <d v="2019-12-12T00:00:00"/>
    <m/>
    <m/>
    <m/>
    <m/>
    <m/>
    <m/>
    <m/>
    <x v="3"/>
  </r>
  <r>
    <s v="O-1087"/>
    <d v="2019-11-19T00:00:00"/>
    <x v="57"/>
    <s v="PUCOBRE"/>
    <m/>
    <m/>
    <s v="ID Sistema Impulsion Agua de Mar"/>
    <x v="1"/>
    <s v="ND"/>
    <s v="NAC"/>
    <s v="Chile"/>
    <d v="2019-12-02T00:00:00"/>
    <s v="Pedro Valencia"/>
    <s v="PVZ llamar a Juan Pablo Saavedra"/>
    <x v="4"/>
    <m/>
    <d v="2020-07-28T00:00:00"/>
    <n v="51121"/>
    <n v="2765.2779"/>
    <n v="54092.797480487476"/>
    <m/>
    <m/>
    <m/>
    <m/>
    <x v="3"/>
  </r>
  <r>
    <s v="O-1086"/>
    <d v="2019-11-08T00:00:00"/>
    <x v="50"/>
    <s v="CODELCO"/>
    <m/>
    <m/>
    <s v="Estudio CFD de Estanque de Distribución y Simulación Depositación de Relaves"/>
    <x v="10"/>
    <s v="ND"/>
    <s v="NAC"/>
    <s v="Chile"/>
    <d v="2019-11-13T00:00:00"/>
    <s v="Pedro Valencia"/>
    <m/>
    <x v="3"/>
    <m/>
    <d v="2019-11-14T00:00:00"/>
    <n v="935"/>
    <n v="42.868000000000002"/>
    <n v="45848.128342245989"/>
    <m/>
    <m/>
    <m/>
    <m/>
    <x v="3"/>
  </r>
  <r>
    <s v="O-1085"/>
    <d v="2019-11-04T00:00:00"/>
    <x v="13"/>
    <s v="Sierra Gorda"/>
    <m/>
    <m/>
    <s v="Ingeniería Contraparte ID Captación, Impulsión y Conducción Agua de Mar"/>
    <x v="12"/>
    <s v="ND"/>
    <s v="NAC"/>
    <s v="Chile"/>
    <d v="2019-11-12T00:00:00"/>
    <s v="Pedro Valencia"/>
    <s v="PVZ consultará a Cristián Avendaño. Seguidor de lino (despedido)"/>
    <x v="3"/>
    <m/>
    <d v="2020-07-28T00:00:00"/>
    <n v="931"/>
    <n v="39.348478"/>
    <n v="42264.745435016113"/>
    <m/>
    <m/>
    <m/>
    <m/>
    <x v="3"/>
  </r>
  <r>
    <s v="O-1084"/>
    <d v="2019-11-04T00:00:00"/>
    <x v="13"/>
    <s v="Sierra Gorda"/>
    <m/>
    <m/>
    <s v="ODT N° 3 Paquete Técnico Modificación Spigots"/>
    <x v="1"/>
    <s v="ND"/>
    <s v="NAC"/>
    <s v="Chile"/>
    <d v="2019-11-04T00:00:00"/>
    <s v="Pedro Valencia"/>
    <m/>
    <x v="5"/>
    <m/>
    <d v="2019-11-14T00:00:00"/>
    <n v="245"/>
    <n v="8.7693499999999993"/>
    <n v="35793.265306122441"/>
    <s v="SH0193 ODT N 3"/>
    <m/>
    <m/>
    <m/>
    <x v="3"/>
  </r>
  <r>
    <s v="O-1083"/>
    <d v="2019-10-30T00:00:00"/>
    <x v="23"/>
    <s v="CASERONES"/>
    <m/>
    <m/>
    <s v="Ingeniería Diseño Captación Agua Norte y Agua Recuperada Dropbox"/>
    <x v="1"/>
    <s v="ND"/>
    <s v="NAC"/>
    <s v="Chile"/>
    <d v="2019-10-30T00:00:00"/>
    <s v="Pedro Valencia"/>
    <m/>
    <x v="5"/>
    <m/>
    <d v="2020-12-10T00:00:00"/>
    <n v="513"/>
    <n v="14.856491999999999"/>
    <n v="28960.023391812865"/>
    <s v="SH0219-OS06"/>
    <m/>
    <m/>
    <m/>
    <x v="3"/>
  </r>
  <r>
    <s v="O-1082"/>
    <d v="2019-10-24T00:00:00"/>
    <x v="21"/>
    <s v="PUCOBRE"/>
    <m/>
    <m/>
    <s v="INGENIERÍA DRENAJE MINA GRANATE"/>
    <x v="1"/>
    <s v="ND"/>
    <s v="NAC"/>
    <s v="Chile"/>
    <d v="2019-10-25T00:00:00"/>
    <s v="Pedro Valencia"/>
    <m/>
    <x v="3"/>
    <m/>
    <d v="2019-10-25T00:00:00"/>
    <n v="766"/>
    <n v="27.943999999999999"/>
    <n v="36480.417754569185"/>
    <m/>
    <m/>
    <m/>
    <m/>
    <x v="3"/>
  </r>
  <r>
    <s v="O-1081"/>
    <d v="2019-10-16T00:00:00"/>
    <x v="51"/>
    <s v="COLLAHUASI"/>
    <m/>
    <m/>
    <s v="Asistencia a Inspección Técnica de Obras"/>
    <x v="11"/>
    <s v="ND"/>
    <s v="NAC"/>
    <s v="Chile"/>
    <d v="2019-10-21T00:00:00"/>
    <s v="Pedro Valencia"/>
    <m/>
    <x v="3"/>
    <m/>
    <d v="2019-10-25T00:00:00"/>
    <n v="420"/>
    <n v="15.9"/>
    <n v="37857.142857142862"/>
    <m/>
    <m/>
    <m/>
    <m/>
    <x v="3"/>
  </r>
  <r>
    <s v="O-1080"/>
    <d v="2019-10-14T00:00:00"/>
    <x v="19"/>
    <s v="CODELCO"/>
    <m/>
    <m/>
    <s v="Servicios de Ingenieria Especializada"/>
    <x v="1"/>
    <s v="LM"/>
    <s v="NAC"/>
    <s v="Chile"/>
    <d v="2019-10-22T00:00:00"/>
    <s v="Pedro Valencia"/>
    <s v="Propuesta Desierta"/>
    <x v="3"/>
    <m/>
    <d v="2020-06-15T00:00:00"/>
    <m/>
    <m/>
    <m/>
    <m/>
    <m/>
    <m/>
    <m/>
    <x v="3"/>
  </r>
  <r>
    <s v="O-1079"/>
    <d v="2019-10-11T00:00:00"/>
    <x v="58"/>
    <s v="KORDA"/>
    <m/>
    <m/>
    <s v="Ingeniería de Detalle Harneros Korda"/>
    <x v="1"/>
    <s v="ND"/>
    <s v="NAC"/>
    <s v="Chile"/>
    <d v="2019-10-16T00:00:00"/>
    <s v="Claudio Muñoz"/>
    <m/>
    <x v="3"/>
    <m/>
    <d v="2019-10-25T00:00:00"/>
    <n v="3812"/>
    <n v="55.3"/>
    <n v="14506.820566631688"/>
    <m/>
    <m/>
    <m/>
    <m/>
    <x v="3"/>
  </r>
  <r>
    <s v="O-1078"/>
    <d v="2019-10-02T00:00:00"/>
    <x v="2"/>
    <s v="Vale Brasil"/>
    <m/>
    <m/>
    <s v="Servicos Varios e Integridade para Gestao de Ativos Sistemas de Bombeamento"/>
    <x v="6"/>
    <s v="ND"/>
    <s v="INT"/>
    <s v="Brasil"/>
    <d v="2019-10-25T00:00:00"/>
    <s v="Pedro Valencia"/>
    <s v="Licitacion Preparada por Dolglas_x000a_se envia por email la oferta"/>
    <x v="5"/>
    <m/>
    <d v="2020-01-20T00:00:00"/>
    <n v="18026"/>
    <n v="780.59015999999997"/>
    <n v="43303.570398313546"/>
    <s v="SH-0235"/>
    <m/>
    <m/>
    <m/>
    <x v="3"/>
  </r>
  <r>
    <s v="O-1077"/>
    <d v="2019-09-11T00:00:00"/>
    <x v="41"/>
    <s v="SGS"/>
    <m/>
    <m/>
    <s v="Apoyo Relaves Escondida"/>
    <x v="0"/>
    <s v="ND"/>
    <s v="NAC"/>
    <s v="Chile"/>
    <m/>
    <m/>
    <m/>
    <x v="4"/>
    <m/>
    <m/>
    <m/>
    <m/>
    <m/>
    <m/>
    <m/>
    <m/>
    <m/>
    <x v="3"/>
  </r>
  <r>
    <s v="O-1076"/>
    <d v="2019-09-05T00:00:00"/>
    <x v="15"/>
    <s v="CAP Mineria"/>
    <m/>
    <m/>
    <s v="ID y Enlace HAF TRF y CV-001"/>
    <x v="1"/>
    <s v="LC"/>
    <s v="NAC"/>
    <s v="Chile"/>
    <d v="2019-11-08T00:00:00"/>
    <s v="Ramón Arévalo"/>
    <m/>
    <x v="3"/>
    <m/>
    <d v="2020-06-15T00:00:00"/>
    <n v="7609"/>
    <n v="279.25940000000003"/>
    <n v="36701.195952161921"/>
    <m/>
    <m/>
    <m/>
    <m/>
    <x v="3"/>
  </r>
  <r>
    <s v="O-1075"/>
    <d v="2019-08-23T00:00:00"/>
    <x v="41"/>
    <s v="BHP BILLITON"/>
    <s v="Silvana Dal Pozzo"/>
    <m/>
    <s v="Adicional Tareas ITRB Apoyo Operacional Experto de Relaves Proyecto Spence Grow Option (SGO) "/>
    <x v="0"/>
    <s v="ND"/>
    <s v="NAC"/>
    <s v="Chile"/>
    <d v="2019-08-23T00:00:00"/>
    <s v="Pablo Vasquez"/>
    <s v="Propuesta Incorporada a O1036"/>
    <x v="5"/>
    <m/>
    <d v="2019-08-26T00:00:00"/>
    <n v="840"/>
    <n v="37.379475999999997"/>
    <n v="44499.376190476185"/>
    <s v="SH0178"/>
    <m/>
    <m/>
    <m/>
    <x v="3"/>
  </r>
  <r>
    <s v="O-1074"/>
    <d v="2019-08-22T00:00:00"/>
    <x v="15"/>
    <s v="CAP Mineria"/>
    <m/>
    <m/>
    <s v="Ingenierías de Factibilidad Mejoras Operacionales Planta CNN"/>
    <x v="5"/>
    <s v="ND"/>
    <s v="NAC"/>
    <s v="Chile"/>
    <d v="2019-08-22T00:00:00"/>
    <s v="Pedro Valencia"/>
    <s v="Adjudicada Rev 3"/>
    <x v="5"/>
    <m/>
    <d v="2019-11-14T00:00:00"/>
    <n v="2210"/>
    <n v="84.186000000000007"/>
    <n v="38093.212669683264"/>
    <s v="SH0230"/>
    <m/>
    <m/>
    <m/>
    <x v="3"/>
  </r>
  <r>
    <s v="O-1073"/>
    <d v="2019-08-20T00:00:00"/>
    <x v="5"/>
    <s v="Anglo American"/>
    <s v="Osvaldo Pérez"/>
    <m/>
    <s v="Participación Taller Eficiencia Hídrica "/>
    <x v="0"/>
    <s v="ND"/>
    <s v="NAC"/>
    <s v="Chile"/>
    <d v="2019-08-20T00:00:00"/>
    <s v="Pedro Valencia"/>
    <m/>
    <x v="5"/>
    <m/>
    <d v="2019-08-26T00:00:00"/>
    <n v="10"/>
    <n v="0.91800000000000004"/>
    <n v="91800"/>
    <m/>
    <m/>
    <m/>
    <m/>
    <x v="3"/>
  </r>
  <r>
    <s v="O-1072"/>
    <d v="2019-08-12T00:00:00"/>
    <x v="19"/>
    <s v="CODELCO"/>
    <m/>
    <m/>
    <s v="Servicios de Ingeniería Especilidades Agua y Relaves"/>
    <x v="21"/>
    <s v="LM"/>
    <s v="NAC"/>
    <s v="Chile"/>
    <d v="2019-09-10T00:00:00"/>
    <s v="Claudio Muñoz"/>
    <s v="Entrega de Licitacion 11-11-2019_x000a_Se entrega Nueva Oferta Economica en Rev 1 10/12/2019, solicitado por Codelco"/>
    <x v="3"/>
    <m/>
    <d v="2019-08-26T00:00:00"/>
    <n v="20300"/>
    <n v="680.32411320000006"/>
    <n v="33513.503113300496"/>
    <m/>
    <m/>
    <m/>
    <m/>
    <x v="3"/>
  </r>
  <r>
    <s v="O-1071"/>
    <d v="2019-08-08T00:00:00"/>
    <x v="15"/>
    <s v="CAP Mineria"/>
    <s v="Felipe Carmona"/>
    <m/>
    <s v="Retratamiento Relaves CCMC"/>
    <x v="21"/>
    <s v="ND"/>
    <s v="NAC"/>
    <s v="Chile"/>
    <d v="2019-08-12T00:00:00"/>
    <s v="Pedro Valencia"/>
    <m/>
    <x v="4"/>
    <m/>
    <d v="2019-08-26T00:00:00"/>
    <n v="7.2222222222222215E-2"/>
    <n v="52.65"/>
    <m/>
    <m/>
    <m/>
    <m/>
    <m/>
    <x v="3"/>
  </r>
  <r>
    <s v="O-1070"/>
    <d v="2019-08-08T00:00:00"/>
    <x v="19"/>
    <s v="CODELCO"/>
    <m/>
    <m/>
    <s v="Contrato Marco de Ingeniería Menores"/>
    <x v="21"/>
    <s v="LM"/>
    <s v="NAC"/>
    <s v="Chile"/>
    <d v="2019-08-26T00:00:00"/>
    <s v="Pedro Valencia"/>
    <s v="No precalificamos."/>
    <x v="4"/>
    <m/>
    <d v="2019-08-26T00:00:00"/>
    <m/>
    <m/>
    <m/>
    <m/>
    <m/>
    <m/>
    <m/>
    <x v="3"/>
  </r>
  <r>
    <s v="O-1069"/>
    <d v="2019-08-05T00:00:00"/>
    <x v="23"/>
    <s v="CASERONES"/>
    <m/>
    <m/>
    <s v="ID Manejo Aluviones Quebrada Angelica - MLCC"/>
    <x v="21"/>
    <s v="ND"/>
    <s v="NAC"/>
    <s v="Chile"/>
    <m/>
    <m/>
    <m/>
    <x v="4"/>
    <m/>
    <d v="2019-08-26T00:00:00"/>
    <m/>
    <m/>
    <m/>
    <m/>
    <m/>
    <m/>
    <m/>
    <x v="3"/>
  </r>
  <r>
    <s v="O-1068"/>
    <d v="2019-08-05T00:00:00"/>
    <x v="15"/>
    <s v="CAP Mineria"/>
    <s v="Mauricio Villalobos"/>
    <m/>
    <s v="Ingeniería Harneros de Alimentación Espesador de Concentrado de Hierro – Planta Cerro Negro Norte"/>
    <x v="21"/>
    <s v="ND"/>
    <s v="NAC"/>
    <s v="Chile"/>
    <d v="2019-08-16T00:00:00"/>
    <s v="Ramón Arévalo"/>
    <m/>
    <x v="5"/>
    <m/>
    <d v="2019-08-26T00:00:00"/>
    <n v="1352"/>
    <n v="51.771999999999998"/>
    <n v="38292.899408284022"/>
    <s v="SH0229"/>
    <m/>
    <m/>
    <m/>
    <x v="3"/>
  </r>
  <r>
    <s v="O-1067"/>
    <d v="2019-08-02T00:00:00"/>
    <x v="15"/>
    <s v="CAP Mineria"/>
    <s v="Hector Guerra"/>
    <m/>
    <s v="Visita Técnica Proyecto Mejoras Operacionales Planta Cerro Negro Norte"/>
    <x v="21"/>
    <s v="ND"/>
    <s v="NAC"/>
    <s v="Chile"/>
    <d v="2019-08-05T00:00:00"/>
    <s v="Pedro Valencia"/>
    <s v="Servicio incluido en la O-1074"/>
    <x v="4"/>
    <m/>
    <d v="2019-08-26T00:00:00"/>
    <n v="399"/>
    <n v="16.713000000000001"/>
    <n v="41887.218045112786"/>
    <m/>
    <m/>
    <m/>
    <m/>
    <x v="3"/>
  </r>
  <r>
    <s v="O-1066"/>
    <d v="2019-07-29T00:00:00"/>
    <x v="13"/>
    <s v="Sierra Gorda"/>
    <m/>
    <m/>
    <s v="SERVICIOS DE INGENIERÍA PARA EL ÁREA AGUAS Y RELAVES_x000a_ADICIONAL MODIFICACION DE SPIGOTS Y REBOSES "/>
    <x v="21"/>
    <s v="ND"/>
    <s v="NAC"/>
    <s v="Chile"/>
    <d v="2019-08-06T00:00:00"/>
    <s v="Pedro Valencia"/>
    <m/>
    <x v="3"/>
    <m/>
    <d v="2019-08-26T00:00:00"/>
    <n v="581"/>
    <n v="19.986999999999998"/>
    <n v="34401.032702237513"/>
    <m/>
    <m/>
    <m/>
    <m/>
    <x v="3"/>
  </r>
  <r>
    <s v="O-1065"/>
    <d v="2019-07-29T00:00:00"/>
    <x v="15"/>
    <s v="CAP Mineria"/>
    <m/>
    <m/>
    <s v="Proyecto Mejoras CNN"/>
    <x v="21"/>
    <s v="ND"/>
    <s v="NAC"/>
    <s v="Chile"/>
    <m/>
    <m/>
    <m/>
    <x v="0"/>
    <m/>
    <d v="2019-08-26T00:00:00"/>
    <m/>
    <m/>
    <m/>
    <m/>
    <m/>
    <m/>
    <m/>
    <x v="3"/>
  </r>
  <r>
    <s v="O-1064"/>
    <d v="2019-07-26T00:00:00"/>
    <x v="8"/>
    <s v="Arcadis"/>
    <s v="Hugo Andrade"/>
    <m/>
    <s v="Consultoría Pedro Valencia - Proyecto Quellaveco"/>
    <x v="21"/>
    <s v="ND"/>
    <s v="NAC"/>
    <s v="Chile"/>
    <d v="2019-07-26T00:00:00"/>
    <s v="Pedro Valencia"/>
    <m/>
    <x v="5"/>
    <m/>
    <d v="2019-08-26T00:00:00"/>
    <n v="50"/>
    <n v="4.05"/>
    <n v="81000"/>
    <s v="SH0225"/>
    <m/>
    <m/>
    <m/>
    <x v="3"/>
  </r>
  <r>
    <s v="O-1063"/>
    <d v="2019-07-23T00:00:00"/>
    <x v="15"/>
    <s v="CAP Mineria"/>
    <s v="Leonel Meza"/>
    <m/>
    <s v="Análisis de Permisos aplicables y Elaboración de los expedientes para el Proyecto CEDRE- CAP – Ingeniería Básica Avanzada Proyecto Cese Descarga De Relaves al Mar"/>
    <x v="21"/>
    <s v="ND"/>
    <s v="NAC"/>
    <s v="Chile"/>
    <d v="2019-07-31T00:00:00"/>
    <s v="Jorge Gonzalez"/>
    <m/>
    <x v="3"/>
    <m/>
    <d v="2019-08-26T00:00:00"/>
    <n v="444"/>
    <n v="17.765999999999998"/>
    <n v="40013.513513513513"/>
    <m/>
    <m/>
    <m/>
    <m/>
    <x v="3"/>
  </r>
  <r>
    <s v="O-1062"/>
    <d v="2019-07-23T00:00:00"/>
    <x v="15"/>
    <s v="CAP Mineria"/>
    <s v="Leonel Meza"/>
    <m/>
    <s v="Desarrollo Informe Inversiones Proyecto CEDRE- CAP – Ingeniería Básica Avanzada Proyecto Cese Descarga De Relaves al Mar."/>
    <x v="21"/>
    <s v="ND"/>
    <s v="NAC"/>
    <s v="Chile"/>
    <d v="2019-07-29T00:00:00"/>
    <s v="Pedro Valencia"/>
    <m/>
    <x v="5"/>
    <m/>
    <d v="2019-08-26T00:00:00"/>
    <n v="745"/>
    <n v="33.533999999999999"/>
    <n v="45012.080536912756"/>
    <s v="SH0224"/>
    <m/>
    <m/>
    <m/>
    <x v="3"/>
  </r>
  <r>
    <s v="O-1061"/>
    <d v="2019-08-13T00:00:00"/>
    <x v="19"/>
    <s v="CODELCO"/>
    <m/>
    <m/>
    <s v="Servicios de Ingeniería Especilidades Agua y Relaves"/>
    <x v="21"/>
    <s v="LM"/>
    <s v="NAC"/>
    <s v="Chile"/>
    <d v="2019-09-10T00:00:00"/>
    <s v="Claudio Muñoz"/>
    <s v="Oferta Precalificacion Reemplaza por IDEM O1072_x000a_PRECALIFICAMOS"/>
    <x v="4"/>
    <m/>
    <d v="2019-08-26T00:00:00"/>
    <m/>
    <m/>
    <m/>
    <m/>
    <m/>
    <m/>
    <m/>
    <x v="3"/>
  </r>
  <r>
    <s v="O-1060"/>
    <d v="2019-07-19T00:00:00"/>
    <x v="23"/>
    <s v="CASERONES"/>
    <m/>
    <m/>
    <s v=" ID Unidad Hidráulica para Válvulas de 18” - MLCC// Contrato Nº 4600000261 _x000a__x0009__x0009_Servicios Multidisciplinarios de Ingeniería."/>
    <x v="1"/>
    <s v="ND"/>
    <s v="NAC"/>
    <s v="Chile"/>
    <d v="2019-07-19T00:00:00"/>
    <s v="Pedro Valencia"/>
    <m/>
    <x v="5"/>
    <m/>
    <d v="2019-08-22T00:00:00"/>
    <n v="416"/>
    <n v="12.46"/>
    <n v="29951.923076923078"/>
    <s v="SH0219-OS05"/>
    <m/>
    <m/>
    <m/>
    <x v="3"/>
  </r>
  <r>
    <s v="O-1059"/>
    <d v="2019-07-19T00:00:00"/>
    <x v="23"/>
    <s v="CASERONES"/>
    <m/>
    <m/>
    <s v="Ingeniería Detalles Disco de Ruptura Línea 18” - MLCC// Contrato Nº 4600000261 _x000a__x0009__x0009_Servicios Multidisciplinarios de Ingeniería"/>
    <x v="1"/>
    <s v="ND"/>
    <s v="NAC"/>
    <s v="Chile"/>
    <d v="2019-07-19T00:00:00"/>
    <s v="Pedro Valencia"/>
    <m/>
    <x v="5"/>
    <m/>
    <d v="2019-08-22T00:00:00"/>
    <n v="386"/>
    <n v="12.124000000000001"/>
    <n v="31409.326424870465"/>
    <s v="SH0219-OS04"/>
    <m/>
    <m/>
    <m/>
    <x v="3"/>
  </r>
  <r>
    <s v="O-1058"/>
    <d v="2019-06-28T00:00:00"/>
    <x v="19"/>
    <s v="CODELCO"/>
    <m/>
    <m/>
    <s v="Servicio de Ingenieria de Terreno y Apoyo a Construccion"/>
    <x v="0"/>
    <s v="LM"/>
    <s v="NAC"/>
    <s v="Chile"/>
    <d v="2019-07-18T00:00:00"/>
    <s v="Claudio Muñoz"/>
    <s v="Respuestas de Precalificacion 25-07-2019_x000a_AUN NO HAY RESPUESTAS"/>
    <x v="4"/>
    <m/>
    <d v="2019-12-12T00:00:00"/>
    <m/>
    <m/>
    <m/>
    <m/>
    <m/>
    <m/>
    <m/>
    <x v="3"/>
  </r>
  <r>
    <s v="O-1057"/>
    <d v="2019-07-03T00:00:00"/>
    <x v="19"/>
    <s v="CODELCO"/>
    <m/>
    <m/>
    <s v="Servicios de Ingenieria y Apoyo a la Superintendencia de relaves "/>
    <x v="0"/>
    <s v="LM"/>
    <s v="NAC"/>
    <s v="Chile"/>
    <d v="2019-08-19T00:00:00"/>
    <s v="Claudio Muñoz"/>
    <s v="Se envio Carta Excusa por no encontrar el Ingeniero de Gestion (Personal Clave)"/>
    <x v="4"/>
    <m/>
    <d v="2019-08-22T00:00:00"/>
    <m/>
    <m/>
    <m/>
    <m/>
    <m/>
    <m/>
    <m/>
    <x v="3"/>
  </r>
  <r>
    <s v="O-1056"/>
    <d v="2019-07-01T00:00:00"/>
    <x v="23"/>
    <s v="CASERONES"/>
    <m/>
    <m/>
    <s v="ID By Pass Cajón 6620-DI-024 - MLCC // Contrato Nº 4600000261 _x000a__x0009__x0009_Servicios Multidisciplinarios de Ingeniería"/>
    <x v="1"/>
    <s v="ND"/>
    <s v="NAC"/>
    <s v="Chile"/>
    <d v="2019-07-01T00:00:00"/>
    <s v="Pedro Valencia"/>
    <m/>
    <x v="5"/>
    <m/>
    <d v="2019-08-22T00:00:00"/>
    <n v="795"/>
    <n v="23.733000000000001"/>
    <n v="29852.830188679247"/>
    <s v="SH0219-OS03"/>
    <m/>
    <m/>
    <m/>
    <x v="3"/>
  </r>
  <r>
    <s v="O-1055"/>
    <d v="2019-07-01T00:00:00"/>
    <x v="16"/>
    <s v="CANDELARIA"/>
    <m/>
    <m/>
    <s v="INGENIERÍA OPTIMIZACIÓN SUMINISTRO AIRE PLANTA"/>
    <x v="0"/>
    <s v="ND"/>
    <s v="NAC"/>
    <s v="Chile"/>
    <d v="2019-07-17T00:00:00"/>
    <s v="Ramón Arévalo"/>
    <m/>
    <x v="3"/>
    <m/>
    <d v="2019-08-22T00:00:00"/>
    <n v="14938"/>
    <n v="506.93480299999999"/>
    <n v="33935.922010978713"/>
    <m/>
    <m/>
    <m/>
    <m/>
    <x v="3"/>
  </r>
  <r>
    <s v="O-1054"/>
    <d v="2019-06-26T00:00:00"/>
    <x v="14"/>
    <s v="SNC LAVALIN"/>
    <m/>
    <m/>
    <s v="ATUALIZAÇÃO DA FILOSOFIA DE OPERAÇÃO DO MINERODUTO E CALHA TUBULAR DO PROJETO GELADO"/>
    <x v="0"/>
    <s v="ND"/>
    <s v="INT"/>
    <s v="Brasil"/>
    <d v="2019-06-26T00:00:00"/>
    <s v="Pedro Valencia"/>
    <m/>
    <x v="3"/>
    <m/>
    <d v="2019-08-22T00:00:00"/>
    <n v="120"/>
    <n v="3.0591590000000002"/>
    <n v="25492.991666666669"/>
    <m/>
    <m/>
    <m/>
    <m/>
    <x v="3"/>
  </r>
  <r>
    <s v="O-1053"/>
    <d v="2019-06-24T00:00:00"/>
    <x v="19"/>
    <s v="CODELCO"/>
    <m/>
    <m/>
    <s v="Contrato N° 4501810637 Ingeniería de Terreno Fase II – Ampliación Tranque Talabre VIII Etapa"/>
    <x v="11"/>
    <s v="ND"/>
    <s v="NAC"/>
    <s v="Chile"/>
    <d v="2019-06-24T00:00:00"/>
    <s v="Claudio Muñoz"/>
    <m/>
    <x v="5"/>
    <m/>
    <d v="2019-08-22T00:00:00"/>
    <n v="175"/>
    <n v="3.2632789999999998"/>
    <n v="18647.30857142857"/>
    <s v="SH0202-OSXX"/>
    <m/>
    <m/>
    <m/>
    <x v="3"/>
  </r>
  <r>
    <s v="O-1052"/>
    <d v="2019-06-21T00:00:00"/>
    <x v="14"/>
    <s v="SNC LAVALIN"/>
    <m/>
    <m/>
    <s v="ESTUDOS DETALHADO DE ANÁLISE DE FLEXIBILIDADE PARA O PROJETO GELADO VALE"/>
    <x v="0"/>
    <s v="ND"/>
    <s v="INT"/>
    <s v="Brasil"/>
    <d v="2019-06-21T00:00:00"/>
    <s v="Pedro Valencia"/>
    <m/>
    <x v="5"/>
    <m/>
    <d v="2019-08-22T00:00:00"/>
    <n v="160"/>
    <n v="3.9079430000000004"/>
    <n v="24424.643750000003"/>
    <s v="SH0197"/>
    <m/>
    <m/>
    <m/>
    <x v="3"/>
  </r>
  <r>
    <s v="O-1051"/>
    <d v="2019-06-18T00:00:00"/>
    <x v="59"/>
    <s v="MetalQuim"/>
    <m/>
    <m/>
    <s v="Asesoría Hidráulica Experta "/>
    <x v="0"/>
    <s v="ND"/>
    <s v="NAC"/>
    <s v="Chile"/>
    <d v="2019-06-18T00:00:00"/>
    <s v="Pedro Valencia"/>
    <m/>
    <x v="3"/>
    <m/>
    <d v="2019-08-22T00:00:00"/>
    <n v="315"/>
    <n v="13.337999999999999"/>
    <n v="42342.857142857138"/>
    <m/>
    <m/>
    <m/>
    <m/>
    <x v="3"/>
  </r>
  <r>
    <s v="O-1050"/>
    <d v="2019-06-14T00:00:00"/>
    <x v="51"/>
    <s v="COLLAHUASI"/>
    <m/>
    <m/>
    <s v="Línea impulsión independiente – MTP Portal del Inca"/>
    <x v="1"/>
    <s v="ND"/>
    <s v="NAC"/>
    <s v="Chile"/>
    <d v="2019-08-22T00:00:00"/>
    <s v="Pedro Valencia"/>
    <m/>
    <x v="5"/>
    <m/>
    <d v="2019-08-22T00:00:00"/>
    <n v="4048"/>
    <n v="155.986999"/>
    <n v="38534.337697628456"/>
    <s v="SH0228"/>
    <m/>
    <m/>
    <m/>
    <x v="3"/>
  </r>
  <r>
    <s v="O-1049"/>
    <d v="2019-06-12T00:00:00"/>
    <x v="14"/>
    <s v="SNC LAVALIN"/>
    <m/>
    <m/>
    <s v="Estudo Analise Hidraulica - Calha"/>
    <x v="0"/>
    <s v="ND"/>
    <s v="INT"/>
    <s v="Brasil"/>
    <m/>
    <s v="Pedro Valencia"/>
    <m/>
    <x v="4"/>
    <m/>
    <m/>
    <m/>
    <m/>
    <m/>
    <m/>
    <m/>
    <m/>
    <m/>
    <x v="3"/>
  </r>
  <r>
    <s v="O-1048"/>
    <d v="2019-06-12T00:00:00"/>
    <x v="19"/>
    <s v="CODELCO"/>
    <m/>
    <m/>
    <s v="Apoyo Control de Documentos Oficina VP Santiago "/>
    <x v="0"/>
    <s v="ND"/>
    <s v="NAC"/>
    <s v="Chile"/>
    <d v="2019-07-12T00:00:00"/>
    <s v="Claudio Muñoz"/>
    <m/>
    <x v="5"/>
    <m/>
    <d v="2019-08-22T00:00:00"/>
    <n v="70"/>
    <n v="1.8859999999999999"/>
    <n v="26942.857142857141"/>
    <s v="SH-0202"/>
    <m/>
    <m/>
    <m/>
    <x v="3"/>
  </r>
  <r>
    <s v="O-1047"/>
    <d v="2019-06-10T00:00:00"/>
    <x v="60"/>
    <s v="Minera Santo Domingo"/>
    <m/>
    <m/>
    <s v="Ingenieria Detalle Impulsion Agua Desalada - Acciona - Santo Domingo"/>
    <x v="1"/>
    <s v="ND"/>
    <s v="NAC"/>
    <s v="Chile"/>
    <d v="2019-07-14T00:00:00"/>
    <s v="Pedro Valencia"/>
    <s v="PVZ llamar a Waldo Lopez"/>
    <x v="3"/>
    <m/>
    <d v="2019-12-12T00:00:00"/>
    <n v="16669"/>
    <n v="621.44717864999996"/>
    <n v="37281.611293418922"/>
    <m/>
    <m/>
    <m/>
    <m/>
    <x v="3"/>
  </r>
  <r>
    <s v="O-1046"/>
    <d v="2019-06-10T00:00:00"/>
    <x v="61"/>
    <s v="AMSA"/>
    <m/>
    <m/>
    <s v="Estudio Tradeoff Alternativas Transporte Polo Sur - Haultrax - AMSA"/>
    <x v="2"/>
    <s v="ND"/>
    <s v="NAC"/>
    <s v="Chile"/>
    <d v="2019-07-17T00:00:00"/>
    <s v="Ramón Arévalo"/>
    <m/>
    <x v="3"/>
    <m/>
    <d v="2019-08-26T00:00:00"/>
    <n v="2676"/>
    <n v="101.655"/>
    <n v="37987.66816143498"/>
    <m/>
    <m/>
    <m/>
    <m/>
    <x v="3"/>
  </r>
  <r>
    <s v="O-1045"/>
    <d v="2019-06-06T00:00:00"/>
    <x v="43"/>
    <s v="ENAMI"/>
    <m/>
    <m/>
    <s v="IC Aumento Vida Util Deposito de Relaves Espesados Planta Delta"/>
    <x v="2"/>
    <s v="LM"/>
    <s v="NAC"/>
    <s v="Chile"/>
    <d v="2019-06-10T00:00:00"/>
    <s v="Claudio Muñoz"/>
    <m/>
    <x v="3"/>
    <m/>
    <d v="2019-06-10T00:00:00"/>
    <n v="2820"/>
    <n v="134.49817999999999"/>
    <n v="47694.390070921982"/>
    <m/>
    <m/>
    <m/>
    <m/>
    <x v="3"/>
  </r>
  <r>
    <s v="O-1044"/>
    <d v="2019-06-04T00:00:00"/>
    <x v="14"/>
    <s v="SNC LAVALIN"/>
    <m/>
    <m/>
    <s v="Proposta Analise Pacote de Valvulas Mineroduto Gelado"/>
    <x v="3"/>
    <s v="ND"/>
    <s v="NAC"/>
    <s v="Chile"/>
    <d v="2019-06-05T00:00:00"/>
    <s v="Pedro Valencia"/>
    <s v="Leandro Consultará."/>
    <x v="3"/>
    <m/>
    <d v="2019-06-10T00:00:00"/>
    <n v="182"/>
    <n v="5.1571300000000004"/>
    <n v="28335.879120879123"/>
    <m/>
    <m/>
    <m/>
    <m/>
    <x v="3"/>
  </r>
  <r>
    <s v="O-1043"/>
    <d v="2019-06-03T00:00:00"/>
    <x v="19"/>
    <s v="CODELCO"/>
    <m/>
    <m/>
    <s v="Analisis Hidraulico PS2 - PS3"/>
    <x v="3"/>
    <s v="ND"/>
    <s v="NAC"/>
    <s v="Chile"/>
    <d v="2019-06-06T00:00:00"/>
    <s v="Claudio Muñoz"/>
    <m/>
    <x v="5"/>
    <m/>
    <d v="2019-06-05T00:00:00"/>
    <n v="110"/>
    <n v="1.9838"/>
    <n v="18034.545454545456"/>
    <s v="SH-0202"/>
    <m/>
    <m/>
    <m/>
    <x v="3"/>
  </r>
  <r>
    <s v="O-1042"/>
    <d v="2019-05-23T00:00:00"/>
    <x v="23"/>
    <s v="CASERONES"/>
    <m/>
    <m/>
    <s v="Elaboracion Notas Tecnicas Ctto 4600000261"/>
    <x v="1"/>
    <s v="ND"/>
    <s v="NAC"/>
    <s v="Chile"/>
    <d v="2019-05-23T00:00:00"/>
    <s v="Pedro Valencia"/>
    <m/>
    <x v="5"/>
    <m/>
    <d v="2019-06-05T00:00:00"/>
    <n v="1200"/>
    <n v="46.496957039999998"/>
    <n v="38747.464199999995"/>
    <s v="SH0219-OS1"/>
    <m/>
    <m/>
    <m/>
    <x v="3"/>
  </r>
  <r>
    <s v="O-1041"/>
    <d v="2019-05-29T00:00:00"/>
    <x v="62"/>
    <s v="PELAMBRES"/>
    <m/>
    <m/>
    <s v="Servicio de Operacion y Mantencion Repulpeo Quillayes"/>
    <x v="4"/>
    <s v="ND"/>
    <s v="NAC"/>
    <s v="Chile"/>
    <d v="2019-06-14T00:00:00"/>
    <s v="Pablo Vasquez"/>
    <m/>
    <x v="4"/>
    <m/>
    <d v="2019-06-05T00:00:00"/>
    <m/>
    <m/>
    <m/>
    <m/>
    <m/>
    <m/>
    <m/>
    <x v="3"/>
  </r>
  <r>
    <s v="O-1040"/>
    <d v="2019-05-17T00:00:00"/>
    <x v="54"/>
    <s v="VP Codelco"/>
    <m/>
    <m/>
    <s v="Servicio Topograficos"/>
    <x v="11"/>
    <s v="ND"/>
    <s v="NAC"/>
    <s v="Chile"/>
    <d v="2019-05-22T00:00:00"/>
    <s v="Pedro Valencia"/>
    <m/>
    <x v="4"/>
    <m/>
    <d v="2019-06-05T00:00:00"/>
    <n v="1080.1920437673441"/>
    <n v="30.003371000000001"/>
    <n v="27775.960000000003"/>
    <m/>
    <m/>
    <m/>
    <m/>
    <x v="3"/>
  </r>
  <r>
    <s v="O-1039"/>
    <d v="2019-05-15T00:00:00"/>
    <x v="13"/>
    <s v="Sierra Gorda"/>
    <m/>
    <m/>
    <s v="Complemento IB Mejoramiento Transporte Relaves"/>
    <x v="5"/>
    <s v="ND"/>
    <s v="NAC"/>
    <s v="Chile"/>
    <d v="2019-06-05T00:00:00"/>
    <s v="Pedro Valencia"/>
    <s v="Se confirmará visita a terreno."/>
    <x v="5"/>
    <m/>
    <d v="2019-06-05T00:00:00"/>
    <n v="1831"/>
    <n v="63.184226000000002"/>
    <n v="34508.042599672313"/>
    <s v="SH0193-ODT 2"/>
    <m/>
    <m/>
    <m/>
    <x v="3"/>
  </r>
  <r>
    <s v="O-1038"/>
    <d v="2019-05-14T00:00:00"/>
    <x v="23"/>
    <s v="CASERONES"/>
    <m/>
    <m/>
    <s v=" Ingenieria Estructura de Proteccion Piscina Colectiva"/>
    <x v="1"/>
    <s v="ND"/>
    <s v="NAC"/>
    <s v="Chile"/>
    <d v="2019-05-23T00:00:00"/>
    <s v="Pedro Valencia"/>
    <m/>
    <x v="3"/>
    <m/>
    <d v="2019-06-05T00:00:00"/>
    <n v="340"/>
    <n v="10.6937446"/>
    <n v="31452.190000000006"/>
    <m/>
    <m/>
    <m/>
    <m/>
    <x v="3"/>
  </r>
  <r>
    <s v="O-1037"/>
    <d v="2019-05-10T00:00:00"/>
    <x v="15"/>
    <s v="CAP Mineria"/>
    <m/>
    <m/>
    <s v=" IB Implementacion  Harneros AF - Planta Concentradora"/>
    <x v="5"/>
    <s v="ND"/>
    <s v="NAC"/>
    <s v="Chile"/>
    <d v="2019-05-20T00:00:00"/>
    <s v="Ramón Arévalo"/>
    <s v="Keypro gano por precio."/>
    <x v="3"/>
    <m/>
    <d v="2019-06-05T00:00:00"/>
    <n v="2876"/>
    <n v="119.21303152199998"/>
    <n v="41450.984534770512"/>
    <m/>
    <m/>
    <m/>
    <m/>
    <x v="3"/>
  </r>
  <r>
    <s v="O-1036"/>
    <d v="2019-05-06T00:00:00"/>
    <x v="41"/>
    <s v="BHP BILLITON"/>
    <m/>
    <m/>
    <s v="Adicionales Apoyo Operacional Experto Relaves OC 4506332326"/>
    <x v="1"/>
    <s v="ND"/>
    <s v="NAC"/>
    <s v="Chile"/>
    <d v="2019-05-13T00:00:00"/>
    <s v="Pablo Vasquez"/>
    <m/>
    <x v="5"/>
    <m/>
    <d v="2019-06-05T00:00:00"/>
    <n v="1250"/>
    <n v="101.02813268000001"/>
    <n v="80822.506144000014"/>
    <s v="SH0178"/>
    <m/>
    <m/>
    <m/>
    <x v="3"/>
  </r>
  <r>
    <s v="O-1035"/>
    <d v="2019-05-02T00:00:00"/>
    <x v="55"/>
    <s v="TetraTech"/>
    <m/>
    <m/>
    <s v="Sistema de Bombeamento ao SP25"/>
    <x v="3"/>
    <s v="ND"/>
    <s v="NAC"/>
    <s v="Chile"/>
    <m/>
    <m/>
    <m/>
    <x v="3"/>
    <m/>
    <m/>
    <m/>
    <m/>
    <m/>
    <m/>
    <m/>
    <m/>
    <m/>
    <x v="3"/>
  </r>
  <r>
    <s v="O-1034"/>
    <d v="2019-04-25T00:00:00"/>
    <x v="54"/>
    <s v="VP Codelco"/>
    <m/>
    <m/>
    <s v="Bypass Canaleta de Relaves"/>
    <x v="11"/>
    <s v="LC"/>
    <s v="NAC"/>
    <s v="Chile"/>
    <d v="2109-05-03T00:00:00"/>
    <s v="Pedro Valencia"/>
    <m/>
    <x v="5"/>
    <m/>
    <d v="2019-04-25T00:00:00"/>
    <n v="2585"/>
    <n v="48.707459"/>
    <n v="18842.343907156675"/>
    <s v="SH0202-OSXX"/>
    <m/>
    <m/>
    <m/>
    <x v="3"/>
  </r>
  <r>
    <s v="O-1033"/>
    <d v="2019-04-24T00:00:00"/>
    <x v="63"/>
    <s v="Codelco Norte"/>
    <m/>
    <m/>
    <s v="IC Recuperacion Energia Aducciones Cordillera"/>
    <x v="2"/>
    <s v="LC"/>
    <s v="NAC"/>
    <s v="Chile"/>
    <m/>
    <s v="Pedro Valencia"/>
    <s v="PV llamar a Recursos Hídricos Codelco (datos aducciones)"/>
    <x v="4"/>
    <m/>
    <d v="2019-04-25T00:00:00"/>
    <m/>
    <m/>
    <m/>
    <m/>
    <m/>
    <m/>
    <m/>
    <x v="3"/>
  </r>
  <r>
    <s v="O-1032"/>
    <d v="2019-04-24T00:00:00"/>
    <x v="64"/>
    <s v="Codelco DMH"/>
    <m/>
    <m/>
    <s v="Estudio Conceptual Sedimentador Lamelar Overflow Espesador de Concentrado"/>
    <x v="23"/>
    <s v="LC"/>
    <s v="NAC"/>
    <s v="Chile"/>
    <d v="2019-06-13T00:00:00"/>
    <s v="Pedro Valencia"/>
    <s v="PV enviar propuesta 10/06"/>
    <x v="3"/>
    <m/>
    <d v="2019-12-12T00:00:00"/>
    <n v="807"/>
    <n v="32.407460999999998"/>
    <m/>
    <m/>
    <m/>
    <m/>
    <m/>
    <x v="3"/>
  </r>
  <r>
    <s v="O-1031"/>
    <d v="2019-04-24T00:00:00"/>
    <x v="13"/>
    <s v="Sierra Gorda"/>
    <m/>
    <m/>
    <s v="Estudio Conceptual Sedimentador Lamelar Overflow Espesador de Concentrado"/>
    <x v="23"/>
    <s v="LC"/>
    <s v="NAC"/>
    <s v="Chile"/>
    <m/>
    <s v="Pedro Valencia"/>
    <s v="PV preguntar a Guido Aedo"/>
    <x v="3"/>
    <m/>
    <d v="2019-04-25T00:00:00"/>
    <n v="807"/>
    <n v="32.407460999999998"/>
    <n v="40157.944237918215"/>
    <m/>
    <m/>
    <m/>
    <m/>
    <x v="3"/>
  </r>
  <r>
    <s v="O-1030"/>
    <d v="2019-02-20T00:00:00"/>
    <x v="13"/>
    <s v="Sierra Gorda"/>
    <m/>
    <m/>
    <s v="Modelo Optimizacion de Agua en Funcion Parametros Operaciones"/>
    <x v="23"/>
    <s v="LC"/>
    <s v="NAC"/>
    <s v="Chile"/>
    <d v="2019-04-30T00:00:00"/>
    <s v="Christian Ihle"/>
    <s v="PV preguntar a Guido Aedo / C Avendaño"/>
    <x v="3"/>
    <m/>
    <d v="2019-04-25T00:00:00"/>
    <n v="1286"/>
    <n v="50.509414"/>
    <n v="39276.371695178852"/>
    <m/>
    <m/>
    <m/>
    <m/>
    <x v="3"/>
  </r>
  <r>
    <s v="O-1029"/>
    <d v="2019-04-24T00:00:00"/>
    <x v="64"/>
    <s v="Codelco DMH"/>
    <m/>
    <m/>
    <s v="Modelo Optimizacion de Agua en Funcion Parametros Operaciones"/>
    <x v="23"/>
    <s v="LC"/>
    <s v="NAC"/>
    <s v="Chile"/>
    <d v="2019-06-13T00:00:00"/>
    <s v="Pedro Valencia"/>
    <s v="PV enviar propuesta 10/06"/>
    <x v="3"/>
    <m/>
    <d v="2019-04-25T00:00:00"/>
    <n v="471"/>
    <n v="17.329765859999998"/>
    <n v="36793.558089171973"/>
    <m/>
    <m/>
    <m/>
    <m/>
    <x v="3"/>
  </r>
  <r>
    <s v="O-1028"/>
    <d v="2019-04-24T00:00:00"/>
    <x v="13"/>
    <s v="Sierra Gorda"/>
    <m/>
    <m/>
    <s v="Estudio Mejoras Especificas Operacion Relaves"/>
    <x v="1"/>
    <s v="LC"/>
    <s v="NAC"/>
    <s v="Chile"/>
    <d v="2019-04-30T00:00:00"/>
    <s v="Pedro Valencia"/>
    <s v="PV preguntar a Guido Aedo en la visita a terreno."/>
    <x v="3"/>
    <m/>
    <d v="2019-04-25T00:00:00"/>
    <n v="975"/>
    <n v="35.329692999999999"/>
    <n v="36235.582564102566"/>
    <m/>
    <m/>
    <m/>
    <m/>
    <x v="3"/>
  </r>
  <r>
    <s v="O-1027"/>
    <d v="2019-04-15T00:00:00"/>
    <x v="41"/>
    <s v="BHP BILLITON"/>
    <m/>
    <m/>
    <s v="Mejoramiento Ingeniería de Detalles Balsas BHP"/>
    <x v="1"/>
    <s v="ND"/>
    <s v="NAC"/>
    <s v="Chile"/>
    <d v="2019-04-15T00:00:00"/>
    <s v="Ramón Arévalo"/>
    <s v="Reemplazada por la O-1035"/>
    <x v="4"/>
    <m/>
    <d v="2019-04-15T00:00:00"/>
    <n v="150"/>
    <n v="5.3620009199999998"/>
    <n v="35746.6728"/>
    <m/>
    <m/>
    <m/>
    <m/>
    <x v="3"/>
  </r>
  <r>
    <s v="O-1026"/>
    <d v="2019-04-15T00:00:00"/>
    <x v="41"/>
    <s v="BHP BILLITON"/>
    <m/>
    <m/>
    <s v="Manuales de Puesta en Marcha Proyecto Relaves Spence "/>
    <x v="24"/>
    <s v="ND"/>
    <s v="NAC"/>
    <s v="Chile"/>
    <d v="2019-04-15T00:00:00"/>
    <s v="Pablo Vasquez"/>
    <s v="Reemplazada por la O-1035"/>
    <x v="4"/>
    <m/>
    <d v="2019-04-15T00:00:00"/>
    <m/>
    <m/>
    <m/>
    <m/>
    <m/>
    <m/>
    <m/>
    <x v="3"/>
  </r>
  <r>
    <s v="O-1025"/>
    <d v="2019-04-15T00:00:00"/>
    <x v="13"/>
    <s v="Sierra Gorda"/>
    <m/>
    <m/>
    <s v="Ingeniería Detalles Transporte de Relaves"/>
    <x v="1"/>
    <s v="LC"/>
    <s v="NAC"/>
    <s v="Chile"/>
    <d v="2019-04-24T00:00:00"/>
    <s v="Pedro Valencia"/>
    <s v="Una vez finalizada la ODT -2 se emitirá."/>
    <x v="5"/>
    <m/>
    <d v="2019-04-23T00:00:00"/>
    <n v="9924"/>
    <n v="309.05130300000002"/>
    <n v="31141.808041112457"/>
    <s v="SH-0234"/>
    <m/>
    <m/>
    <m/>
    <x v="2"/>
  </r>
  <r>
    <s v="O-1024"/>
    <d v="2019-04-11T00:00:00"/>
    <x v="19"/>
    <s v="CODELCO"/>
    <m/>
    <m/>
    <s v="Ingeniería Básica, Proyecto Construcciín IX Etapa Tranque Talabre, Etapa Factibilidad"/>
    <x v="5"/>
    <s v="LM"/>
    <s v="NAC"/>
    <s v="Chile"/>
    <d v="2019-05-06T00:00:00"/>
    <s v="Claudio Muñoz"/>
    <s v="No precalificamos."/>
    <x v="3"/>
    <m/>
    <d v="2019-05-06T00:00:00"/>
    <m/>
    <m/>
    <m/>
    <m/>
    <m/>
    <m/>
    <m/>
    <x v="3"/>
  </r>
  <r>
    <s v="O-1023"/>
    <d v="2019-04-11T00:00:00"/>
    <x v="15"/>
    <s v="CAP Mineria"/>
    <m/>
    <m/>
    <s v="IB Avanzada Harneros AF - Planta Beneficio"/>
    <x v="5"/>
    <s v="LC"/>
    <s v="NAC"/>
    <s v="Chile"/>
    <d v="2019-04-15T00:00:00"/>
    <s v="Ramón Arévalo"/>
    <s v="Reemplazada por la O1037"/>
    <x v="4"/>
    <m/>
    <d v="2019-04-15T00:00:00"/>
    <n v="4826"/>
    <n v="170.09151371999999"/>
    <n v="35244.822569415664"/>
    <m/>
    <m/>
    <m/>
    <m/>
    <x v="3"/>
  </r>
  <r>
    <s v="O-1022"/>
    <d v="2019-04-03T00:00:00"/>
    <x v="65"/>
    <s v="SOUTHERN COPPER"/>
    <m/>
    <m/>
    <s v="Rehabilitación Linea de Agua Quebrada Honda Southern Copper"/>
    <x v="1"/>
    <s v="LM"/>
    <s v="INT"/>
    <s v="Perú"/>
    <m/>
    <s v="Claudio Muñoz"/>
    <s v="CM preguntará"/>
    <x v="3"/>
    <m/>
    <m/>
    <n v="15622"/>
    <n v="1417.4576893000001"/>
    <n v="90734.71318013058"/>
    <m/>
    <m/>
    <m/>
    <m/>
    <x v="3"/>
  </r>
  <r>
    <s v="O-1021"/>
    <d v="2019-04-01T00:00:00"/>
    <x v="39"/>
    <s v="SEDGMAN"/>
    <m/>
    <m/>
    <s v="Ingeniería Etapa Feed"/>
    <x v="2"/>
    <s v="ND"/>
    <s v="NAC"/>
    <s v="Chile"/>
    <d v="2019-03-01T00:00:00"/>
    <s v="Claudio Muñoz"/>
    <m/>
    <x v="5"/>
    <m/>
    <d v="2019-03-01T00:00:00"/>
    <n v="427.18124999999998"/>
    <n v="16.75"/>
    <n v="39210.522465581067"/>
    <s v="SH0212"/>
    <m/>
    <m/>
    <m/>
    <x v="3"/>
  </r>
  <r>
    <s v="O-1020"/>
    <d v="2019-04-01T00:00:00"/>
    <x v="19"/>
    <s v="CODELCO"/>
    <m/>
    <m/>
    <s v="Ingenieria Básica Sistema de Transporte, Espesamiento y Depositación de Relaves Proyecto Relaves Espesados Talabre"/>
    <x v="5"/>
    <s v="LM"/>
    <s v="NAC"/>
    <s v="Chile"/>
    <d v="2019-05-09T00:00:00"/>
    <s v="Amanda Hevia"/>
    <s v="No precalificamos."/>
    <x v="3"/>
    <m/>
    <d v="2019-05-09T00:00:00"/>
    <m/>
    <m/>
    <m/>
    <m/>
    <m/>
    <m/>
    <m/>
    <x v="3"/>
  </r>
  <r>
    <s v="O-1019"/>
    <d v="2019-04-01T00:00:00"/>
    <x v="19"/>
    <s v="CODELCO"/>
    <m/>
    <m/>
    <s v="Ingeniería de Factibilidad Sistema de Clasificación e Infraestructura Proyecto Tranque Ovejería Etapa 8"/>
    <x v="5"/>
    <s v="LM"/>
    <s v="NAC"/>
    <s v="Chile"/>
    <d v="2019-04-12T00:00:00"/>
    <s v="Amanda Hevia"/>
    <s v="Precalificacion"/>
    <x v="3"/>
    <m/>
    <d v="2019-04-15T00:00:00"/>
    <m/>
    <m/>
    <m/>
    <m/>
    <m/>
    <m/>
    <m/>
    <x v="3"/>
  </r>
  <r>
    <s v="O-1018"/>
    <d v="2019-04-01T00:00:00"/>
    <x v="19"/>
    <s v="CODELCO"/>
    <m/>
    <m/>
    <s v="Ingeniería de Factibilidad Sistema de Drenaje Proyecto Tranque Ovejería Etapa 8"/>
    <x v="5"/>
    <s v="LM"/>
    <s v="NAC"/>
    <s v="Chile"/>
    <d v="2019-04-12T00:00:00"/>
    <s v="Amanda Hevia"/>
    <s v="Precalificacion"/>
    <x v="3"/>
    <m/>
    <d v="2019-04-15T00:00:00"/>
    <m/>
    <m/>
    <m/>
    <m/>
    <m/>
    <m/>
    <m/>
    <x v="3"/>
  </r>
  <r>
    <s v="O-1017"/>
    <d v="2019-04-01T00:00:00"/>
    <x v="66"/>
    <s v="CEMIN"/>
    <m/>
    <m/>
    <s v="Evaluación Bombeos de Soluciones con adición de cloruro Planta Amalia"/>
    <x v="2"/>
    <s v="ND"/>
    <s v="NAC"/>
    <s v="Chile"/>
    <d v="2019-03-29T00:00:00"/>
    <s v="Pedro Valencia"/>
    <m/>
    <x v="5"/>
    <m/>
    <d v="2019-04-15T00:00:00"/>
    <n v="396"/>
    <n v="16.925000000000001"/>
    <n v="42739.898989898997"/>
    <s v="SH0216"/>
    <m/>
    <m/>
    <m/>
    <x v="3"/>
  </r>
  <r>
    <s v="O-1016"/>
    <d v="2019-03-28T00:00:00"/>
    <x v="23"/>
    <s v="CASERONES"/>
    <m/>
    <m/>
    <s v="ID Reubicacion Cajon Despiedrador en Sector Venteo 1 "/>
    <x v="1"/>
    <s v="ND"/>
    <s v="NAC"/>
    <s v="Chile"/>
    <d v="2109-03-28T00:00:00"/>
    <s v="Pedro Valencia"/>
    <s v="Preguntar a F. Perez (PV)"/>
    <x v="3"/>
    <m/>
    <d v="2019-03-28T00:00:00"/>
    <n v="1322"/>
    <n v="34.870686399999997"/>
    <n v="26377.221180030254"/>
    <m/>
    <m/>
    <m/>
    <m/>
    <x v="3"/>
  </r>
  <r>
    <s v="O-1015"/>
    <d v="2019-03-21T00:00:00"/>
    <x v="45"/>
    <s v="PELAMBRES"/>
    <m/>
    <m/>
    <s v="Homologacion Operacional"/>
    <x v="0"/>
    <s v="LM"/>
    <s v="NAC"/>
    <s v="Chile"/>
    <d v="2019-03-21T00:00:00"/>
    <s v="Pablo Vasquez"/>
    <m/>
    <x v="5"/>
    <m/>
    <d v="2019-03-28T00:00:00"/>
    <n v="1645"/>
    <n v="82.697280000000006"/>
    <n v="50271.902735562311"/>
    <s v="SH0222"/>
    <m/>
    <m/>
    <m/>
    <x v="3"/>
  </r>
  <r>
    <s v="O-1014"/>
    <d v="2019-03-21T00:00:00"/>
    <x v="60"/>
    <s v="ENAMI"/>
    <m/>
    <m/>
    <s v="IB Conduccion de Agua Desalada"/>
    <x v="5"/>
    <s v="ND"/>
    <s v="NAC"/>
    <s v="Chile"/>
    <d v="2109-03-28T00:00:00"/>
    <s v="Pedro Valencia"/>
    <s v="PVZ llamar a Waldo Lopez"/>
    <x v="3"/>
    <m/>
    <d v="2019-03-28T00:00:00"/>
    <n v="2270"/>
    <n v="97.637921919999982"/>
    <n v="43012.300405286333"/>
    <m/>
    <m/>
    <m/>
    <m/>
    <x v="3"/>
  </r>
  <r>
    <s v="O-1013"/>
    <d v="2019-03-18T00:00:00"/>
    <x v="51"/>
    <s v="COLLAHUASI"/>
    <m/>
    <m/>
    <s v=" ID Extension Loop de Cal"/>
    <x v="1"/>
    <s v="ND"/>
    <s v="NAC"/>
    <s v="Chile"/>
    <d v="2019-03-26T00:00:00"/>
    <s v="Pedro Valencia"/>
    <s v="PVZ llamar a Pedro Alegre (CMDIC)"/>
    <x v="3"/>
    <m/>
    <d v="2019-03-28T00:00:00"/>
    <n v="983"/>
    <n v="18.43130961"/>
    <n v="18750.060640895219"/>
    <m/>
    <m/>
    <m/>
    <m/>
    <x v="3"/>
  </r>
  <r>
    <s v="O-1012"/>
    <d v="2019-03-18T00:00:00"/>
    <x v="19"/>
    <s v="CODELCO"/>
    <m/>
    <m/>
    <s v="Servicios de Apoyo Operacion y Controles Criticos Relaves DET"/>
    <x v="4"/>
    <s v="LM"/>
    <s v="NAC"/>
    <s v="Chile"/>
    <m/>
    <m/>
    <m/>
    <x v="4"/>
    <m/>
    <d v="2019-03-28T00:00:00"/>
    <m/>
    <m/>
    <m/>
    <m/>
    <m/>
    <m/>
    <m/>
    <x v="3"/>
  </r>
  <r>
    <s v="O-1011"/>
    <d v="2019-03-18T00:00:00"/>
    <x v="43"/>
    <s v="ENAMI"/>
    <m/>
    <m/>
    <s v="Asesoria y Control Geotecnico Tranque de Relaves N 3 - Planta Matta "/>
    <x v="4"/>
    <s v="LM"/>
    <s v="NAC"/>
    <s v="Chile"/>
    <d v="2019-03-29T00:00:00"/>
    <m/>
    <m/>
    <x v="3"/>
    <m/>
    <d v="2019-03-28T00:00:00"/>
    <m/>
    <m/>
    <m/>
    <m/>
    <m/>
    <m/>
    <m/>
    <x v="3"/>
  </r>
  <r>
    <s v="O-1010"/>
    <d v="2019-03-14T00:00:00"/>
    <x v="13"/>
    <s v="Sierra Gorda"/>
    <m/>
    <m/>
    <s v="Consultoria Depositacion de Relaves, Ingenieria, Ensayos Deposito de Relaves"/>
    <x v="0"/>
    <s v="LM"/>
    <s v="NAC"/>
    <s v="Chile"/>
    <d v="2019-03-29T00:00:00"/>
    <m/>
    <m/>
    <x v="3"/>
    <m/>
    <d v="2019-03-28T00:00:00"/>
    <m/>
    <m/>
    <m/>
    <m/>
    <m/>
    <m/>
    <m/>
    <x v="3"/>
  </r>
  <r>
    <s v="O-1009"/>
    <d v="2019-03-11T00:00:00"/>
    <x v="60"/>
    <s v="ANTAMINA"/>
    <m/>
    <m/>
    <s v="Talleres Relaves Antamina"/>
    <x v="0"/>
    <s v="LM"/>
    <s v="NAC"/>
    <s v="Chile"/>
    <d v="2019-03-29T00:00:00"/>
    <s v="Pedro Valencia"/>
    <s v="PVZ llamar a Waldo Lopez"/>
    <x v="3"/>
    <m/>
    <d v="2019-03-28T00:00:00"/>
    <n v="945"/>
    <n v="61.330581000000002"/>
    <n v="64900.085714285713"/>
    <m/>
    <m/>
    <m/>
    <m/>
    <x v="3"/>
  </r>
  <r>
    <s v="O-1008"/>
    <d v="2019-03-11T00:00:00"/>
    <x v="15"/>
    <s v="CAP Mineria"/>
    <m/>
    <m/>
    <s v="ID Mejoras Especificas Proyecto"/>
    <x v="1"/>
    <s v="ND"/>
    <s v="NAC"/>
    <s v="Chile"/>
    <d v="2019-03-21T00:00:00"/>
    <s v="Ramón Arévalo"/>
    <s v="Se emitira nueva revisión 50% horas aprox."/>
    <x v="3"/>
    <m/>
    <d v="2019-03-28T00:00:00"/>
    <n v="20364"/>
    <n v="713.87048671999992"/>
    <n v="35055.513981536045"/>
    <m/>
    <m/>
    <m/>
    <m/>
    <x v="3"/>
  </r>
  <r>
    <s v="O-1007"/>
    <d v="2019-03-08T00:00:00"/>
    <x v="45"/>
    <s v="PELAMBRES"/>
    <m/>
    <m/>
    <s v="Ingenierias Menores GTFT"/>
    <x v="15"/>
    <s v="LM"/>
    <s v="NAC"/>
    <s v="Chile"/>
    <m/>
    <s v="Pablo Vasquez"/>
    <s v="Durante junio enviarán la resolución"/>
    <x v="3"/>
    <m/>
    <d v="2019-07-31T00:00:00"/>
    <m/>
    <m/>
    <m/>
    <m/>
    <m/>
    <m/>
    <m/>
    <x v="3"/>
  </r>
  <r>
    <s v="O-1006"/>
    <d v="2019-03-08T00:00:00"/>
    <x v="23"/>
    <s v="CASERONES"/>
    <m/>
    <m/>
    <s v="ID Sistema Atrapa Piedras"/>
    <x v="1"/>
    <s v="ND"/>
    <s v="NAC"/>
    <s v="Chile"/>
    <d v="2019-03-14T00:00:00"/>
    <s v="Pedro Valencia"/>
    <s v="Reemplazada por la O-1016"/>
    <x v="4"/>
    <m/>
    <d v="2019-03-28T00:00:00"/>
    <n v="267"/>
    <n v="7.5254524799999993"/>
    <n v="28185.215280898872"/>
    <m/>
    <m/>
    <m/>
    <m/>
    <x v="3"/>
  </r>
  <r>
    <s v="O-1005"/>
    <d v="2019-03-07T00:00:00"/>
    <x v="13"/>
    <s v="Sierra Gorda"/>
    <m/>
    <m/>
    <s v="IB Desripiador Canaletas de Relaves"/>
    <x v="5"/>
    <s v="ND"/>
    <s v="NAC"/>
    <s v="Chile"/>
    <d v="2019-03-13T00:00:00"/>
    <s v="Pedro Valencia"/>
    <s v="PVZ preguntará en visita a Terreno"/>
    <x v="3"/>
    <m/>
    <d v="2019-03-28T00:00:00"/>
    <n v="2796"/>
    <n v="99.307302000000007"/>
    <n v="35517.633047210307"/>
    <m/>
    <m/>
    <m/>
    <m/>
    <x v="3"/>
  </r>
  <r>
    <s v="O-1004"/>
    <d v="2019-03-07T00:00:00"/>
    <x v="13"/>
    <s v="Sierra Gorda"/>
    <m/>
    <m/>
    <s v="Medicion de Flujo Rebose Cajon"/>
    <x v="2"/>
    <s v="ND"/>
    <s v="NAC"/>
    <s v="Chile"/>
    <d v="2019-03-14T00:00:00"/>
    <s v="Pedro Valencia"/>
    <s v="PVZ preguntará en visita a Terreno"/>
    <x v="3"/>
    <m/>
    <d v="2019-03-28T00:00:00"/>
    <n v="432"/>
    <n v="15.101184"/>
    <n v="34956.444444444445"/>
    <m/>
    <m/>
    <m/>
    <m/>
    <x v="3"/>
  </r>
  <r>
    <s v="O-1003"/>
    <d v="2019-02-25T00:00:00"/>
    <x v="23"/>
    <s v="CASERONES"/>
    <m/>
    <m/>
    <s v="Ctto Marco Ingenieria Multidisciplinaria - Caserones"/>
    <x v="15"/>
    <s v="LM"/>
    <s v="NAC"/>
    <s v="Chile"/>
    <m/>
    <s v="Pedro Valencia"/>
    <m/>
    <x v="5"/>
    <m/>
    <m/>
    <m/>
    <m/>
    <m/>
    <s v="SH-0219"/>
    <m/>
    <m/>
    <m/>
    <x v="3"/>
  </r>
  <r>
    <s v="O-1002"/>
    <d v="2019-01-29T00:00:00"/>
    <x v="15"/>
    <s v="CAP Mineria"/>
    <m/>
    <m/>
    <s v="Estudio Diagnostico Espesador de Relaves Huasco - CAP"/>
    <x v="2"/>
    <s v="ND"/>
    <s v="NAC"/>
    <s v="Chile"/>
    <m/>
    <s v="Ramón Arévalo"/>
    <m/>
    <x v="5"/>
    <m/>
    <d v="2019-03-04T00:00:00"/>
    <n v="454"/>
    <n v="12.512694"/>
    <n v="27561"/>
    <s v="SH0215"/>
    <m/>
    <m/>
    <m/>
    <x v="3"/>
  </r>
  <r>
    <s v="O-1001"/>
    <d v="2019-02-07T00:00:00"/>
    <x v="14"/>
    <s v="SNC LAVALIN"/>
    <m/>
    <m/>
    <s v="Mineroduto Calha Projeto Gelado (Escopo reducido) - SNC"/>
    <x v="0"/>
    <s v="ND"/>
    <s v="INT"/>
    <s v="Brasil"/>
    <m/>
    <s v="Pedro Valencia"/>
    <m/>
    <x v="5"/>
    <m/>
    <d v="2019-02-20T00:00:00"/>
    <n v="150"/>
    <n v="4.0086255"/>
    <n v="26724.17"/>
    <s v="SH0197"/>
    <m/>
    <m/>
    <m/>
    <x v="3"/>
  </r>
  <r>
    <s v="O-1000"/>
    <d v="2019-02-07T00:00:00"/>
    <x v="16"/>
    <s v="CANDELARIA"/>
    <m/>
    <m/>
    <s v="Ingenieria Repotenciamiento Correa CV004"/>
    <x v="1"/>
    <s v="LC"/>
    <s v="NAC"/>
    <s v="Chile"/>
    <d v="2019-02-26T00:00:00"/>
    <s v="Pedro Valencia"/>
    <m/>
    <x v="3"/>
    <m/>
    <m/>
    <n v="4589"/>
    <n v="157.80323000000001"/>
    <n v="34387.280453257794"/>
    <m/>
    <m/>
    <m/>
    <m/>
    <x v="3"/>
  </r>
  <r>
    <s v="O-999"/>
    <d v="2019-02-07T00:00:00"/>
    <x v="51"/>
    <s v="COLLAHUASI"/>
    <m/>
    <m/>
    <s v="Asistencia a Pruebas de Recalificación"/>
    <x v="4"/>
    <s v="LC"/>
    <s v="NAC"/>
    <s v="Chile"/>
    <d v="2019-02-15T00:00:00"/>
    <s v="Claudio Muñoz"/>
    <m/>
    <x v="5"/>
    <m/>
    <d v="2019-02-19T00:00:00"/>
    <n v="315"/>
    <n v="18.425000000000001"/>
    <n v="58492.063492063491"/>
    <s v="SH0214"/>
    <m/>
    <m/>
    <m/>
    <x v="3"/>
  </r>
  <r>
    <s v="O-998"/>
    <d v="2019-02-01T00:00:00"/>
    <x v="21"/>
    <s v="PUCOBRE"/>
    <m/>
    <m/>
    <s v="Ingenieria Prefactibilidad Procesamiento de Relaves"/>
    <x v="5"/>
    <s v="ND"/>
    <s v="NAC"/>
    <s v="Chile"/>
    <d v="2019-02-25T00:00:00"/>
    <s v="Pedro Valencia"/>
    <s v="Propuesta Congelada"/>
    <x v="4"/>
    <m/>
    <m/>
    <m/>
    <m/>
    <m/>
    <m/>
    <m/>
    <m/>
    <m/>
    <x v="3"/>
  </r>
  <r>
    <s v="O-997"/>
    <d v="2019-01-29T00:00:00"/>
    <x v="36"/>
    <s v="PELAMBRES"/>
    <m/>
    <m/>
    <s v=" Suministro Agua Chacay -  PELAMBRES - EMIN"/>
    <x v="1"/>
    <s v="ND"/>
    <s v="NAC"/>
    <s v="Chile"/>
    <d v="2019-02-07T00:00:00"/>
    <s v="Claudio Muñoz"/>
    <s v="La realizará directo Bechtel - PELAMBRES"/>
    <x v="3"/>
    <m/>
    <d v="2019-02-19T00:00:00"/>
    <n v="8371"/>
    <n v="303.4896"/>
    <n v="36254.87994265918"/>
    <m/>
    <m/>
    <m/>
    <m/>
    <x v="3"/>
  </r>
  <r>
    <s v="O-996"/>
    <d v="2019-01-29T00:00:00"/>
    <x v="14"/>
    <s v="SNC LAVALIN"/>
    <m/>
    <m/>
    <s v="Engenharia Detalhada Mineroduto e Calha Tubular - Regimen Permanente"/>
    <x v="1"/>
    <s v="ND"/>
    <s v="INT"/>
    <s v="Brasil"/>
    <d v="2019-01-25T00:00:00"/>
    <s v="Pedro Valencia"/>
    <m/>
    <x v="5"/>
    <m/>
    <d v="2019-02-19T00:00:00"/>
    <n v="122"/>
    <n v="2.9659"/>
    <n v="24310.655737704918"/>
    <s v="SH0197"/>
    <m/>
    <m/>
    <m/>
    <x v="3"/>
  </r>
  <r>
    <s v="O-995"/>
    <d v="2018-12-12T00:00:00"/>
    <x v="60"/>
    <s v="ANTAMINA"/>
    <m/>
    <s v="waldocesar.lopez.gonzalez@acciona.com"/>
    <s v="Gerenciamiento Proyecto Relaves Antamina"/>
    <x v="18"/>
    <s v="ND"/>
    <s v="INT"/>
    <s v="Perú"/>
    <d v="2019-01-25T00:00:00"/>
    <s v="Pedro Valencia"/>
    <s v="PVZ llamar a Waldo Lopez"/>
    <x v="3"/>
    <m/>
    <d v="2019-01-28T00:00:00"/>
    <n v="2160"/>
    <n v="120.6"/>
    <n v="55833.333333333328"/>
    <m/>
    <m/>
    <m/>
    <m/>
    <x v="4"/>
  </r>
  <r>
    <s v="O-994"/>
    <d v="2019-01-24T00:00:00"/>
    <x v="67"/>
    <s v="Minera Spence"/>
    <m/>
    <s v="pdiaz@inamarvapor.cl'"/>
    <s v="Ingeniería de Detalle Trap Box – RQ 13609"/>
    <x v="1"/>
    <s v="ND"/>
    <s v="NAC"/>
    <s v="Chile"/>
    <d v="2019-01-24T00:00:00"/>
    <s v="Claudio Muñoz"/>
    <s v="CM preguntar a Pablo Díaz"/>
    <x v="3"/>
    <m/>
    <d v="2019-01-28T00:00:00"/>
    <n v="2026"/>
    <n v="89.127499999999998"/>
    <n v="43991.855873642649"/>
    <m/>
    <m/>
    <m/>
    <m/>
    <x v="3"/>
  </r>
  <r>
    <s v="O-993"/>
    <d v="2019-01-23T00:00:00"/>
    <x v="19"/>
    <s v="CODELCO"/>
    <m/>
    <m/>
    <s v="Precalificación Servicio de Ingeniería Multidisciplinaria"/>
    <x v="1"/>
    <s v="ND"/>
    <s v="NAC"/>
    <s v="Chile"/>
    <d v="2019-02-01T00:00:00"/>
    <s v="Pedro Valencia"/>
    <s v="No precalificamos."/>
    <x v="3"/>
    <m/>
    <d v="2019-11-14T00:00:00"/>
    <m/>
    <m/>
    <s v="N/A"/>
    <m/>
    <m/>
    <m/>
    <m/>
    <x v="3"/>
  </r>
  <r>
    <s v="O-992"/>
    <d v="2019-01-23T00:00:00"/>
    <x v="14"/>
    <s v="Vale Brasil"/>
    <m/>
    <m/>
    <s v="Engenharia Detalhada Mineroduto e calha Tubular - Projeto Gelado"/>
    <x v="1"/>
    <s v="ND"/>
    <s v="INT"/>
    <s v="Brasil"/>
    <m/>
    <s v="Pedro Valencia"/>
    <m/>
    <x v="5"/>
    <m/>
    <d v="2019-01-25T00:00:00"/>
    <n v="652"/>
    <n v="15.004300000000001"/>
    <n v="23012.730061349695"/>
    <s v="SH0197"/>
    <m/>
    <m/>
    <m/>
    <x v="3"/>
  </r>
  <r>
    <s v="O-991"/>
    <d v="2019-01-18T00:00:00"/>
    <x v="15"/>
    <s v="CAP Mineria"/>
    <m/>
    <m/>
    <s v="Ingeniería Básica Abatimiento So2 y Nox"/>
    <x v="5"/>
    <s v="LC"/>
    <s v="NAC"/>
    <s v="Chile"/>
    <d v="2019-01-30T00:00:00"/>
    <s v="Pedro Valencia"/>
    <m/>
    <x v="3"/>
    <m/>
    <d v="2019-02-19T00:00:00"/>
    <n v="5316"/>
    <n v="188.04810000000001"/>
    <n v="35373.984198645594"/>
    <m/>
    <m/>
    <m/>
    <m/>
    <x v="3"/>
  </r>
  <r>
    <s v="O-990"/>
    <d v="2019-01-15T00:00:00"/>
    <x v="45"/>
    <s v="PELAMBRES"/>
    <m/>
    <m/>
    <s v="Estandarización de Operación Sala de Control STF y STR"/>
    <x v="4"/>
    <s v="LC"/>
    <s v="NAC"/>
    <s v="Chile"/>
    <d v="2019-01-21T00:00:00"/>
    <s v="Pablo Vasquez"/>
    <m/>
    <x v="4"/>
    <m/>
    <d v="2019-01-28T00:00:00"/>
    <n v="1279"/>
    <n v="63.222499999999997"/>
    <n v="49431.196247068023"/>
    <m/>
    <m/>
    <m/>
    <m/>
    <x v="3"/>
  </r>
  <r>
    <s v="O-989"/>
    <d v="2019-01-18T00:00:00"/>
    <x v="15"/>
    <s v="CAP Mineria"/>
    <m/>
    <m/>
    <s v="Estudio Modernización Planta de Cal"/>
    <x v="2"/>
    <s v="LC"/>
    <s v="NAC"/>
    <s v="Chile"/>
    <d v="2019-01-30T00:00:00"/>
    <s v="Pedro Valencia"/>
    <s v="Sin feedback."/>
    <x v="3"/>
    <m/>
    <d v="2019-02-19T00:00:00"/>
    <n v="2912"/>
    <n v="113.6568"/>
    <n v="39030.494505494506"/>
    <m/>
    <m/>
    <m/>
    <m/>
    <x v="3"/>
  </r>
  <r>
    <s v="O-988"/>
    <d v="2019-01-11T00:00:00"/>
    <x v="15"/>
    <s v="CAP Mineria"/>
    <m/>
    <m/>
    <s v="EETT Mecánica de Suelos - Ingeniería Básica Estanques Huasco"/>
    <x v="5"/>
    <s v="ND"/>
    <s v="NAC"/>
    <s v="Chile"/>
    <d v="2019-01-14T00:00:00"/>
    <s v="Claudio Muñoz"/>
    <s v="Cobrar a Leonal Meza"/>
    <x v="5"/>
    <m/>
    <d v="2019-01-11T00:00:00"/>
    <n v="30"/>
    <n v="1.21"/>
    <n v="40333.333333333336"/>
    <m/>
    <m/>
    <m/>
    <m/>
    <x v="3"/>
  </r>
  <r>
    <s v="O-987"/>
    <d v="2019-01-10T00:00:00"/>
    <x v="51"/>
    <s v="COLLAHUASI"/>
    <m/>
    <m/>
    <s v="Inspección Técnica de Obras Fabricación y Reparación de Spools"/>
    <x v="11"/>
    <s v="LC"/>
    <s v="NAC"/>
    <s v="Chile"/>
    <d v="2019-01-24T00:00:00"/>
    <s v="Claudio Muñoz"/>
    <m/>
    <x v="3"/>
    <m/>
    <d v="2019-03-01T00:00:00"/>
    <n v="2341"/>
    <n v="185.3064"/>
    <n v="79156.941478000852"/>
    <m/>
    <m/>
    <m/>
    <m/>
    <x v="3"/>
  </r>
  <r>
    <s v="O-986"/>
    <d v="2019-01-08T00:00:00"/>
    <x v="23"/>
    <s v="CASERONES"/>
    <m/>
    <m/>
    <s v="Ingeniería de Detalles By Pass Cajón 6620-DI-023 - MLCC"/>
    <x v="1"/>
    <s v="ND"/>
    <s v="NAC"/>
    <s v="Chile"/>
    <d v="2019-01-08T00:00:00"/>
    <s v="Pedro Valencia"/>
    <s v="PVZ preguntará a JSLM y Fperez"/>
    <x v="3"/>
    <m/>
    <d v="2019-01-28T00:00:00"/>
    <n v="771"/>
    <n v="21.1692"/>
    <n v="27456.809338521402"/>
    <m/>
    <m/>
    <m/>
    <m/>
    <x v="3"/>
  </r>
  <r>
    <s v="O-985"/>
    <d v="2019-01-08T00:00:00"/>
    <x v="23"/>
    <s v="CASERONES"/>
    <m/>
    <m/>
    <s v="Ingeniería de Detalles By Pass Cajón 6620-DI-024 - MLCC"/>
    <x v="1"/>
    <s v="ND"/>
    <s v="NAC"/>
    <s v="Chile"/>
    <d v="2019-01-08T00:00:00"/>
    <s v="Pedro Valencia"/>
    <s v="PVZ preguntará a JSLM y Fperez"/>
    <x v="3"/>
    <m/>
    <d v="2019-01-28T00:00:00"/>
    <n v="851"/>
    <n v="23.7636"/>
    <n v="27924.324324324323"/>
    <m/>
    <m/>
    <m/>
    <m/>
    <x v="3"/>
  </r>
  <r>
    <s v="O-984"/>
    <d v="2019-01-07T00:00:00"/>
    <x v="15"/>
    <s v="CAP Mineria"/>
    <m/>
    <m/>
    <s v="Verificación Estructural Correa CV-01 Cerro Negro norte"/>
    <x v="1"/>
    <s v="ND"/>
    <s v="NAC"/>
    <s v="Chile"/>
    <d v="2019-01-07T00:00:00"/>
    <s v="Claudio Muñoz"/>
    <m/>
    <x v="3"/>
    <m/>
    <d v="2019-01-28T00:00:00"/>
    <n v="1795"/>
    <n v="62.403599999999997"/>
    <n v="34765.236768802228"/>
    <m/>
    <m/>
    <m/>
    <m/>
    <x v="3"/>
  </r>
  <r>
    <s v="O-983"/>
    <d v="2018-12-31T00:00:00"/>
    <x v="68"/>
    <s v="Los Pelambres"/>
    <m/>
    <m/>
    <s v=" Ingeniero de Registro - PELAMBRES"/>
    <x v="0"/>
    <s v="LC"/>
    <s v="NAC"/>
    <s v="Chile"/>
    <m/>
    <s v="Claudio Muñoz"/>
    <s v="Apoyo en Licitación a Rosen Group"/>
    <x v="3"/>
    <m/>
    <d v="2018-01-04T00:00:00"/>
    <m/>
    <m/>
    <s v="N/A"/>
    <m/>
    <m/>
    <m/>
    <m/>
    <x v="4"/>
  </r>
  <r>
    <s v="O-982"/>
    <m/>
    <x v="0"/>
    <m/>
    <m/>
    <m/>
    <m/>
    <x v="0"/>
    <m/>
    <m/>
    <m/>
    <m/>
    <m/>
    <s v="Propuesta O992"/>
    <x v="4"/>
    <m/>
    <m/>
    <m/>
    <m/>
    <s v="N/A"/>
    <m/>
    <m/>
    <m/>
    <m/>
    <x v="0"/>
  </r>
  <r>
    <s v="O-981"/>
    <d v="2018-12-31T00:00:00"/>
    <x v="23"/>
    <s v="CASERONES"/>
    <m/>
    <m/>
    <s v=" ID Bypass Cajones 23 y 24 - MLCC"/>
    <x v="1"/>
    <s v="ND"/>
    <s v="NAC"/>
    <s v="Chile"/>
    <m/>
    <m/>
    <s v="Propuesta divida y emitda en los numeros O985/986"/>
    <x v="4"/>
    <m/>
    <m/>
    <m/>
    <m/>
    <s v="N/A"/>
    <m/>
    <m/>
    <m/>
    <m/>
    <x v="4"/>
  </r>
  <r>
    <s v="O-980"/>
    <d v="2018-12-20T00:00:00"/>
    <x v="69"/>
    <s v="MARAMBIO"/>
    <m/>
    <m/>
    <s v=" Propuesta Clientes Problemas Bombeo - Marambio"/>
    <x v="3"/>
    <s v="NC"/>
    <s v="NAC"/>
    <s v="Chile"/>
    <m/>
    <s v="Pedro Valencia"/>
    <m/>
    <x v="3"/>
    <m/>
    <d v="2019-01-28T00:00:00"/>
    <m/>
    <m/>
    <s v="N/A"/>
    <m/>
    <m/>
    <m/>
    <m/>
    <x v="4"/>
  </r>
  <r>
    <s v="O-979"/>
    <d v="2018-12-20T00:00:00"/>
    <x v="0"/>
    <m/>
    <m/>
    <m/>
    <s v="Retiro Estacion Balsa N° 7 Mauro - PELAMBRES"/>
    <x v="0"/>
    <m/>
    <m/>
    <m/>
    <m/>
    <m/>
    <s v="Propuesta fuera de nuestro alcance"/>
    <x v="4"/>
    <m/>
    <m/>
    <m/>
    <m/>
    <m/>
    <m/>
    <m/>
    <m/>
    <m/>
    <x v="4"/>
  </r>
  <r>
    <s v="O-978"/>
    <d v="2018-12-19T00:00:00"/>
    <x v="23"/>
    <s v="CASERONES"/>
    <m/>
    <m/>
    <s v="Estudio Puntos de Conexion VDF PEF 2 y 3 MLCC R0"/>
    <x v="10"/>
    <s v="ND"/>
    <s v="NAC"/>
    <s v="Chile"/>
    <m/>
    <s v="Oriol Tucas"/>
    <m/>
    <x v="3"/>
    <m/>
    <d v="2018-12-19T00:00:00"/>
    <n v="50"/>
    <n v="1.5125"/>
    <n v="30250"/>
    <m/>
    <m/>
    <m/>
    <m/>
    <x v="4"/>
  </r>
  <r>
    <s v="O-977"/>
    <d v="2018-12-18T00:00:00"/>
    <x v="70"/>
    <s v="HARPRET"/>
    <m/>
    <m/>
    <s v="Licitacion Antucoya HARPRET"/>
    <x v="0"/>
    <s v="LC"/>
    <s v="NAC"/>
    <s v="Chile"/>
    <m/>
    <s v="Claudio Muñoz"/>
    <m/>
    <x v="3"/>
    <n v="5"/>
    <d v="2018-12-21T00:00:00"/>
    <n v="200"/>
    <n v="15.675000000000001"/>
    <n v="78375"/>
    <m/>
    <m/>
    <m/>
    <m/>
    <x v="4"/>
  </r>
  <r>
    <s v="O-976"/>
    <d v="2018-12-18T00:00:00"/>
    <x v="14"/>
    <s v="SNC LAVALIN"/>
    <m/>
    <m/>
    <s v="Analise Flexibilidade CMOC - SNC - Brasil"/>
    <x v="10"/>
    <s v="ND"/>
    <s v="INT"/>
    <s v="Brasil"/>
    <m/>
    <s v="Pedro Valencia"/>
    <m/>
    <x v="5"/>
    <m/>
    <d v="2019-01-28T00:00:00"/>
    <n v="100"/>
    <n v="2.76925"/>
    <n v="27692.5"/>
    <m/>
    <m/>
    <m/>
    <m/>
    <x v="4"/>
  </r>
  <r>
    <s v="O-975"/>
    <d v="2018-12-12T00:00:00"/>
    <x v="71"/>
    <s v="ANTUCOYA"/>
    <m/>
    <m/>
    <s v="ID Construccion Infraestructura Prueba Semi-Industrial Pila ROM - KP - ANTUCOYA"/>
    <x v="1"/>
    <s v="LM"/>
    <s v="NAC"/>
    <s v="Chile"/>
    <m/>
    <s v="Claudio Muñoz"/>
    <m/>
    <x v="3"/>
    <m/>
    <d v="2019-02-19T00:00:00"/>
    <n v="5446"/>
    <n v="202.66272699999999"/>
    <n v="37213.133859713555"/>
    <m/>
    <m/>
    <m/>
    <m/>
    <x v="4"/>
  </r>
  <r>
    <s v="O-974"/>
    <d v="2018-12-05T00:00:00"/>
    <x v="21"/>
    <s v="PUCOBRE"/>
    <m/>
    <m/>
    <s v="Ingenieria de Diseño Cajon Muestreo de Concentrado - Pucobre"/>
    <x v="1"/>
    <s v="ND"/>
    <s v="NAC"/>
    <s v="Chile"/>
    <m/>
    <s v="Pedro Valencia"/>
    <m/>
    <x v="5"/>
    <m/>
    <d v="2018-12-18T00:00:00"/>
    <n v="304"/>
    <n v="11"/>
    <n v="36184.210526315794"/>
    <s v="SH-0209"/>
    <m/>
    <m/>
    <m/>
    <x v="4"/>
  </r>
  <r>
    <s v="O-973"/>
    <d v="2018-12-03T00:00:00"/>
    <x v="41"/>
    <s v="BHP BILLITON"/>
    <m/>
    <m/>
    <s v="Apoyo Operacional Experto Relaves Proyecto SGO 2019 - 2020 - BHP"/>
    <x v="0"/>
    <s v="ND"/>
    <s v="NAC"/>
    <s v="Chile"/>
    <m/>
    <s v="Pablo_x000a_Vásquez"/>
    <m/>
    <x v="3"/>
    <m/>
    <d v="2018-12-03T00:00:00"/>
    <n v="1420"/>
    <n v="91.96"/>
    <n v="64760.563380281688"/>
    <m/>
    <m/>
    <m/>
    <m/>
    <x v="4"/>
  </r>
  <r>
    <s v="O-972"/>
    <d v="2018-11-27T00:00:00"/>
    <x v="5"/>
    <s v="Anglo American"/>
    <m/>
    <m/>
    <s v="ID Sistema Impulsion Aguas Quebradas Tranque el Torito - El Soldado - AAS"/>
    <x v="1"/>
    <s v="LM"/>
    <s v="NAC"/>
    <s v="Chile"/>
    <m/>
    <s v="Pedro Valencia"/>
    <s v="Propuesta Perdida, Tarifas Altas"/>
    <x v="3"/>
    <m/>
    <d v="2018-12-18T00:00:00"/>
    <n v="6193"/>
    <n v="224.19912400000001"/>
    <n v="36202.022283222992"/>
    <m/>
    <m/>
    <m/>
    <m/>
    <x v="4"/>
  </r>
  <r>
    <s v="O-971"/>
    <d v="2018-11-26T00:00:00"/>
    <x v="14"/>
    <s v="SNC LAVALIN"/>
    <m/>
    <m/>
    <s v="Analise de Flexibilidad Salobo - SNC"/>
    <x v="1"/>
    <s v="ND"/>
    <s v="INT"/>
    <s v="Brasil"/>
    <m/>
    <s v="Pedro Valencia"/>
    <m/>
    <x v="3"/>
    <m/>
    <d v="2019-02-19T00:00:00"/>
    <n v="306"/>
    <n v="11.637499999999999"/>
    <n v="38031.045751633981"/>
    <m/>
    <m/>
    <m/>
    <m/>
    <x v="4"/>
  </r>
  <r>
    <s v="O-970"/>
    <d v="2018-11-22T00:00:00"/>
    <x v="14"/>
    <s v="SNC LAVALIN"/>
    <m/>
    <m/>
    <s v="Ferrous SNC Brasil"/>
    <x v="0"/>
    <m/>
    <m/>
    <m/>
    <m/>
    <s v="Pedro Valencia"/>
    <m/>
    <x v="3"/>
    <m/>
    <d v="2018-12-05T00:00:00"/>
    <n v="4523"/>
    <n v="0.82843267999999992"/>
    <n v="183.15999999999997"/>
    <m/>
    <m/>
    <m/>
    <m/>
    <x v="4"/>
  </r>
  <r>
    <s v="O-969"/>
    <d v="2018-11-21T00:00:00"/>
    <x v="16"/>
    <s v="CANDELARIA"/>
    <m/>
    <m/>
    <s v="IC Bypass y Descarga Espesadores de Relaves - Candelaria"/>
    <x v="2"/>
    <s v="LC"/>
    <s v="NAC"/>
    <s v="Chile"/>
    <m/>
    <s v="Pedro Valencia"/>
    <m/>
    <x v="3"/>
    <m/>
    <d v="2019-02-19T00:00:00"/>
    <n v="594"/>
    <n v="26.454999999999998"/>
    <n v="44537.037037037036"/>
    <m/>
    <m/>
    <m/>
    <m/>
    <x v="4"/>
  </r>
  <r>
    <s v="O-968"/>
    <d v="2018-11-20T00:00:00"/>
    <x v="14"/>
    <s v="SNC LAVALIN"/>
    <m/>
    <m/>
    <s v=" Analise de Flexibilidade Vargem Grande - SNC"/>
    <x v="10"/>
    <s v="ND"/>
    <s v="INT"/>
    <s v="Brasil"/>
    <m/>
    <s v="Pedro Valencia"/>
    <m/>
    <x v="5"/>
    <m/>
    <d v="2018-11-20T00:00:00"/>
    <n v="90"/>
    <n v="2.2253813999999998"/>
    <n v="24726.46"/>
    <m/>
    <m/>
    <m/>
    <m/>
    <x v="4"/>
  </r>
  <r>
    <s v="O-967"/>
    <d v="2018-11-19T00:00:00"/>
    <x v="13"/>
    <s v="Sierra Gorda"/>
    <m/>
    <m/>
    <s v=" Ingenieria Basica Transporte de Relaves - SGSCM"/>
    <x v="5"/>
    <s v="ND"/>
    <s v="NAC"/>
    <s v="Chile"/>
    <m/>
    <s v="Pedro Valencia"/>
    <m/>
    <x v="5"/>
    <m/>
    <d v="2018-11-23T00:00:00"/>
    <n v="3674"/>
    <n v="141.277263"/>
    <n v="38453.256124115404"/>
    <s v="SH0193-ODT1"/>
    <m/>
    <m/>
    <m/>
    <x v="3"/>
  </r>
  <r>
    <s v="O-966"/>
    <d v="2018-11-14T00:00:00"/>
    <x v="25"/>
    <s v="SODEXO"/>
    <m/>
    <m/>
    <s v="Ingenieria Captacion y Evacuacion de Aguas Lluvias EPA - Sodexo"/>
    <x v="10"/>
    <s v="ND"/>
    <s v="NAC"/>
    <s v="Chile"/>
    <m/>
    <s v="Pedro Valencia"/>
    <m/>
    <x v="5"/>
    <m/>
    <d v="2018-11-21T00:00:00"/>
    <n v="396"/>
    <n v="13.673260000000001"/>
    <n v="34528.434343434346"/>
    <s v="SH-0210"/>
    <m/>
    <m/>
    <m/>
    <x v="4"/>
  </r>
  <r>
    <s v="O-965"/>
    <d v="2018-11-14T00:00:00"/>
    <x v="23"/>
    <s v="CASERONES"/>
    <m/>
    <m/>
    <s v=" Plan Maestro Depositos de Relaves Caserones - MLCC"/>
    <x v="1"/>
    <s v="LC"/>
    <s v="NAC"/>
    <s v="Chile"/>
    <m/>
    <s v="Claudio Muñoz"/>
    <s v="Aclaraciones enviadas el 18-02"/>
    <x v="3"/>
    <m/>
    <d v="2019-02-19T00:00:00"/>
    <n v="2962"/>
    <n v="102.08412"/>
    <n v="34464.591492234977"/>
    <m/>
    <m/>
    <m/>
    <m/>
    <x v="4"/>
  </r>
  <r>
    <s v="O-964"/>
    <d v="2018-11-12T00:00:00"/>
    <x v="41"/>
    <s v="BHP BILLITON"/>
    <m/>
    <m/>
    <s v=" Revision - Validacion Ingenieria SGO Area Relaves - BHP"/>
    <x v="0"/>
    <s v="ND"/>
    <s v="NAC"/>
    <s v="Chile"/>
    <m/>
    <s v="Pablo_x000a_Vásquez"/>
    <m/>
    <x v="3"/>
    <m/>
    <d v="2018-11-19T00:00:00"/>
    <n v="1850"/>
    <n v="107.28039796"/>
    <n v="57989.404302702707"/>
    <m/>
    <m/>
    <m/>
    <m/>
    <x v="4"/>
  </r>
  <r>
    <s v="O-963"/>
    <d v="2018-11-12T00:00:00"/>
    <x v="23"/>
    <s v="CASERONES"/>
    <m/>
    <m/>
    <s v=" Manuales de Operacion Planta Concentradora - MLCC"/>
    <x v="4"/>
    <s v="ND"/>
    <s v="NAC"/>
    <s v="Chile"/>
    <m/>
    <s v="Pedro Valencia"/>
    <s v="Enviada Revisión 1"/>
    <x v="3"/>
    <m/>
    <d v="2019-02-19T00:00:00"/>
    <n v="1540"/>
    <n v="52.669397520000004"/>
    <n v="34200.907480519483"/>
    <m/>
    <m/>
    <m/>
    <m/>
    <x v="4"/>
  </r>
  <r>
    <s v="O-962"/>
    <d v="2018-11-12T00:00:00"/>
    <x v="14"/>
    <s v="SNC LAVALIN"/>
    <m/>
    <m/>
    <s v="Revisao Esp Tecnica Tubulacao Gelado - SNC Brasil"/>
    <x v="25"/>
    <s v="ND"/>
    <s v="INT"/>
    <s v="Brasil"/>
    <m/>
    <s v="Pedro Valencia"/>
    <m/>
    <x v="5"/>
    <m/>
    <d v="2018-11-13T00:00:00"/>
    <n v="145"/>
    <n v="3.6393170000000001"/>
    <n v="25098.737931034484"/>
    <m/>
    <m/>
    <m/>
    <m/>
    <x v="4"/>
  </r>
  <r>
    <s v="O-961"/>
    <d v="2018-11-12T00:00:00"/>
    <x v="14"/>
    <s v="SNC LAVALIN"/>
    <m/>
    <m/>
    <s v="Analise de Flexibilidade Gelado - SNC Brasil"/>
    <x v="10"/>
    <s v="ND"/>
    <s v="INT"/>
    <s v="Brasil"/>
    <m/>
    <s v="Pedro Valencia"/>
    <m/>
    <x v="5"/>
    <m/>
    <d v="2018-11-12T00:00:00"/>
    <n v="110"/>
    <n v="2.6990150000000002"/>
    <n v="24536.500000000004"/>
    <s v="SH-0197"/>
    <m/>
    <m/>
    <m/>
    <x v="4"/>
  </r>
  <r>
    <s v="O-960"/>
    <d v="2018-11-12T00:00:00"/>
    <x v="14"/>
    <s v="SNC LAVALIN"/>
    <m/>
    <m/>
    <s v=" Analise de Flexibilidade CMOC - SNC Brasil"/>
    <x v="10"/>
    <s v="ND"/>
    <s v="INT"/>
    <s v="Brasil"/>
    <m/>
    <s v="Pedro Valencia"/>
    <m/>
    <x v="3"/>
    <m/>
    <d v="2018-11-12T00:00:00"/>
    <n v="116"/>
    <n v="2.7599605"/>
    <n v="23792.762931034486"/>
    <m/>
    <m/>
    <m/>
    <m/>
    <x v="4"/>
  </r>
  <r>
    <s v="O-959"/>
    <d v="2018-11-08T00:00:00"/>
    <x v="15"/>
    <s v="CAP Mineria"/>
    <m/>
    <m/>
    <s v="Adquisiciones, Apoyo a Construcción y PEM Estanque Relaves Huasco - CAP"/>
    <x v="26"/>
    <s v="ND"/>
    <s v="NAC"/>
    <s v="Chile"/>
    <m/>
    <s v="Pedro Valencia"/>
    <s v="Alcance integrado a la Propuesta O953"/>
    <x v="4"/>
    <m/>
    <d v="2018-11-09T00:00:00"/>
    <n v="14081"/>
    <n v="633.37274972"/>
    <n v="44980.665415808537"/>
    <m/>
    <m/>
    <m/>
    <m/>
    <x v="4"/>
  </r>
  <r>
    <s v="O-958"/>
    <d v="2018-11-07T00:00:00"/>
    <x v="23"/>
    <s v="CASERONES"/>
    <m/>
    <m/>
    <s v="Manual de Operaciones Planta Moly"/>
    <x v="4"/>
    <s v="ND"/>
    <s v="NAC"/>
    <s v="Chile"/>
    <m/>
    <s v="Pedro Valencia"/>
    <m/>
    <x v="5"/>
    <m/>
    <d v="2018-11-21T00:00:00"/>
    <n v="120"/>
    <n v="4.0472849599999998"/>
    <n v="33727.374666666663"/>
    <s v="SH0158 OS25"/>
    <m/>
    <m/>
    <m/>
    <x v="4"/>
  </r>
  <r>
    <s v="O-957"/>
    <d v="2018-11-05T00:00:00"/>
    <x v="51"/>
    <s v="COLLAHUASI"/>
    <m/>
    <m/>
    <s v="ID Estanque Gemelo Coposa Norte - COLLAHUASI"/>
    <x v="1"/>
    <s v="ND"/>
    <s v="NAC"/>
    <s v="Chile"/>
    <m/>
    <s v="Pedro Valencia"/>
    <s v="Se licitará durante marzo 2019._x000a_"/>
    <x v="3"/>
    <m/>
    <d v="2019-02-19T00:00:00"/>
    <n v="3582"/>
    <n v="210.32"/>
    <n v="58715.801228364042"/>
    <m/>
    <m/>
    <m/>
    <m/>
    <x v="4"/>
  </r>
  <r>
    <s v="O-956"/>
    <d v="2018-10-30T00:00:00"/>
    <x v="72"/>
    <s v="SOUTHERN COPPER"/>
    <m/>
    <m/>
    <s v="O-956 Quebrada Honda"/>
    <x v="0"/>
    <s v="ND"/>
    <s v="INT"/>
    <s v="Perú"/>
    <m/>
    <s v="Claudio Muñoz"/>
    <s v="Cobrar ATC"/>
    <x v="3"/>
    <m/>
    <m/>
    <m/>
    <m/>
    <m/>
    <m/>
    <m/>
    <m/>
    <m/>
    <x v="4"/>
  </r>
  <r>
    <s v="O-955"/>
    <d v="2018-08-16T00:00:00"/>
    <x v="51"/>
    <s v="COLLAHUASI"/>
    <m/>
    <m/>
    <s v=" Modificacion ID Loop de Cal - COLLAHUASI"/>
    <x v="1"/>
    <s v="ND"/>
    <s v="NAC"/>
    <s v="Chile"/>
    <m/>
    <s v="Claudio Muñoz"/>
    <m/>
    <x v="3"/>
    <m/>
    <d v="2018-10-30T00:00:00"/>
    <m/>
    <n v="14"/>
    <s v="N/A"/>
    <m/>
    <m/>
    <m/>
    <m/>
    <x v="4"/>
  </r>
  <r>
    <s v="O-954"/>
    <d v="2018-10-29T00:00:00"/>
    <x v="23"/>
    <s v="CASERONES"/>
    <m/>
    <m/>
    <s v="Ingenieria Perfil Sistema Dewatering Mina -MLCC"/>
    <x v="27"/>
    <s v="ND"/>
    <s v="NAC"/>
    <s v="Chile"/>
    <m/>
    <s v="Pedro Valencia"/>
    <m/>
    <x v="3"/>
    <m/>
    <d v="2018-11-02T00:00:00"/>
    <n v="3028"/>
    <n v="79.66041276"/>
    <n v="26307.930237780711"/>
    <m/>
    <m/>
    <m/>
    <m/>
    <x v="4"/>
  </r>
  <r>
    <s v="O-953"/>
    <d v="2019-07-17T00:00:00"/>
    <x v="15"/>
    <s v="CAP Mineria"/>
    <m/>
    <m/>
    <s v="Servicios de Ingenieria y Apoyo a la Implentacion Estanques Reguladores Huasco IB Avanzada - CAP"/>
    <x v="5"/>
    <s v="ND"/>
    <s v="NAC"/>
    <s v="Chile"/>
    <m/>
    <s v="Pedro Valencia"/>
    <m/>
    <x v="5"/>
    <m/>
    <d v="2019-11-14T00:00:00"/>
    <n v="11500"/>
    <n v="412.3075"/>
    <n v="35852.82608695652"/>
    <s v="SH0224"/>
    <m/>
    <m/>
    <m/>
    <x v="3"/>
  </r>
  <r>
    <s v="O-952"/>
    <d v="2018-10-29T00:00:00"/>
    <x v="14"/>
    <s v="SNC lavalin Brasil"/>
    <m/>
    <m/>
    <s v="FEL 2 - Mineroducto CMOC - SNC"/>
    <x v="2"/>
    <s v="ND"/>
    <s v="INT"/>
    <s v="Brasil"/>
    <m/>
    <s v="Pedro Valencia"/>
    <m/>
    <x v="3"/>
    <m/>
    <d v="2018-10-29T00:00:00"/>
    <n v="312"/>
    <n v="8.1341400000000004"/>
    <n v="26070.961538461539"/>
    <m/>
    <m/>
    <m/>
    <m/>
    <x v="4"/>
  </r>
  <r>
    <s v="O-951"/>
    <d v="2018-10-24T00:00:00"/>
    <x v="15"/>
    <s v="CAP Mineria"/>
    <m/>
    <m/>
    <s v="Consultoria Especializada MOPE - Proyecto Adecuaciones CNN -  CAP"/>
    <x v="0"/>
    <s v="ND"/>
    <s v="NAC"/>
    <s v="Chile"/>
    <m/>
    <s v="Claudio Muñoz"/>
    <s v="Dentro del contrato Adecuaciones (cto tipo abierto)"/>
    <x v="5"/>
    <m/>
    <d v="2018-10-24T00:00:00"/>
    <m/>
    <n v="35.463684000000001"/>
    <s v="N/A"/>
    <m/>
    <m/>
    <m/>
    <m/>
    <x v="4"/>
  </r>
  <r>
    <s v="O-950"/>
    <d v="2018-10-24T00:00:00"/>
    <x v="5"/>
    <s v="Anglo American"/>
    <m/>
    <m/>
    <s v="Servicios Multidisciplinarios de Ingenieria Civil - Relaves - Geotecnia - Las Tortolas - Anglo"/>
    <x v="0"/>
    <s v="LC"/>
    <s v="NAC"/>
    <s v="Chile"/>
    <m/>
    <m/>
    <s v="Ctto Marco Tarifas Enviadas Rev 1"/>
    <x v="3"/>
    <m/>
    <d v="2018-12-03T00:00:00"/>
    <m/>
    <m/>
    <m/>
    <m/>
    <m/>
    <m/>
    <m/>
    <x v="4"/>
  </r>
  <r>
    <s v="O-949"/>
    <d v="2018-10-22T00:00:00"/>
    <x v="21"/>
    <s v="PUCOBRE"/>
    <m/>
    <m/>
    <s v="Ingenieria Perfil Tradeoff Acidoducto Biocobre - Pucobre"/>
    <x v="27"/>
    <s v="ND"/>
    <s v="NAC"/>
    <s v="Chile"/>
    <m/>
    <s v="Pedro Valencia"/>
    <s v="Pidieron rebajar a 450 UF. Emitida la revisión 1"/>
    <x v="5"/>
    <m/>
    <d v="2018-10-22T00:00:00"/>
    <n v="320"/>
    <n v="12.305934000000001"/>
    <n v="38456.043750000004"/>
    <s v="SH-0206"/>
    <m/>
    <m/>
    <m/>
    <x v="4"/>
  </r>
  <r>
    <s v="O-948"/>
    <d v="2018-10-22T00:00:00"/>
    <x v="73"/>
    <s v="SONACOL"/>
    <m/>
    <m/>
    <s v="Actualización Estudios de Costos - Sonacol"/>
    <x v="28"/>
    <s v="ND"/>
    <s v="NAC"/>
    <s v="Chile"/>
    <m/>
    <s v="Claudio Muñoz"/>
    <s v="Proyecto congelado"/>
    <x v="3"/>
    <m/>
    <d v="2018-10-22T00:00:00"/>
    <n v="130"/>
    <n v="6.9733626000000006"/>
    <n v="53641.25076923077"/>
    <m/>
    <m/>
    <m/>
    <m/>
    <x v="4"/>
  </r>
  <r>
    <s v="O-947"/>
    <d v="2018-10-22T00:00:00"/>
    <x v="50"/>
    <s v="GOLDER"/>
    <m/>
    <m/>
    <s v="Simulacion Cajon de Relaves - El Abra - Golder"/>
    <x v="0"/>
    <s v="ND"/>
    <s v="NAC"/>
    <s v="Chile"/>
    <m/>
    <s v="Pedro Valencia"/>
    <m/>
    <x v="3"/>
    <m/>
    <d v="2018-10-26T00:00:00"/>
    <n v="392"/>
    <n v="17.829931039999998"/>
    <n v="45484.517959183671"/>
    <m/>
    <m/>
    <m/>
    <m/>
    <x v="4"/>
  </r>
  <r>
    <s v="O-946"/>
    <d v="2018-10-12T00:00:00"/>
    <x v="21"/>
    <s v="PUCOBRE"/>
    <m/>
    <m/>
    <s v=" Ingenieria Basica Acidoducto Biocobre - Pucobre"/>
    <x v="5"/>
    <s v="ND"/>
    <s v="NAC"/>
    <s v="Chile"/>
    <m/>
    <s v="Pedro Valencia"/>
    <m/>
    <x v="3"/>
    <m/>
    <d v="2018-10-18T00:00:00"/>
    <n v="2782"/>
    <n v="101.150675502"/>
    <n v="36358.977534867001"/>
    <m/>
    <m/>
    <m/>
    <m/>
    <x v="4"/>
  </r>
  <r>
    <s v="O-945"/>
    <d v="2018-10-11T00:00:00"/>
    <x v="74"/>
    <s v="JEJ"/>
    <m/>
    <m/>
    <s v="ID Nueva Conduccion PLS Oxido Encuentro AMSA JEJ"/>
    <x v="1"/>
    <s v="ND"/>
    <s v="NAC"/>
    <s v="Chile"/>
    <m/>
    <s v="Pedro Valencia"/>
    <m/>
    <x v="3"/>
    <m/>
    <d v="2018-10-16T00:00:00"/>
    <n v="1337"/>
    <n v="54.693040000000003"/>
    <n v="40907.284966342566"/>
    <m/>
    <m/>
    <m/>
    <m/>
    <x v="4"/>
  </r>
  <r>
    <s v="O-944"/>
    <d v="2018-10-08T00:00:00"/>
    <x v="45"/>
    <s v="PELAMBRES"/>
    <m/>
    <m/>
    <s v="Homologación operación de los supervisores PELAMBRES"/>
    <x v="4"/>
    <s v="ND"/>
    <s v="NAC"/>
    <s v="Chile"/>
    <m/>
    <s v="Pablo_x000a_Vásquez"/>
    <s v="Propuesta Desierta. Se amplio alcance en licitacion O990"/>
    <x v="6"/>
    <m/>
    <d v="2018-10-08T00:00:00"/>
    <n v="792"/>
    <n v="50.645755039999997"/>
    <n v="63946.660404040398"/>
    <m/>
    <m/>
    <m/>
    <m/>
    <x v="4"/>
  </r>
  <r>
    <s v="O-943"/>
    <d v="2018-10-08T00:00:00"/>
    <x v="75"/>
    <s v="RS Ingenieria y Servicios"/>
    <m/>
    <m/>
    <s v="Ingeniería Cambio de Línea Acero Alvenius a HDPE 16 Diámetro - RSServicios"/>
    <x v="1"/>
    <s v="ND"/>
    <s v="NAC"/>
    <s v="Chile"/>
    <m/>
    <s v="Claudio Muñoz"/>
    <m/>
    <x v="3"/>
    <m/>
    <d v="2018-10-09T00:00:00"/>
    <n v="5161"/>
    <n v="187.29631547999998"/>
    <n v="36290.702476264283"/>
    <m/>
    <m/>
    <m/>
    <m/>
    <x v="4"/>
  </r>
  <r>
    <s v="O-942"/>
    <d v="2018-10-08T00:00:00"/>
    <x v="23"/>
    <s v="CASERONES"/>
    <m/>
    <m/>
    <s v=" Ingeniería Aspesores Mata espuma Cajón #3 Área Rougher - MLCC"/>
    <x v="1"/>
    <s v="ND"/>
    <s v="NAC"/>
    <s v="Chile"/>
    <m/>
    <s v="Pedro Valencia"/>
    <m/>
    <x v="3"/>
    <m/>
    <d v="2018-10-09T00:00:00"/>
    <n v="597"/>
    <n v="15.5875164"/>
    <n v="26109.742713567837"/>
    <m/>
    <m/>
    <m/>
    <m/>
    <x v="4"/>
  </r>
  <r>
    <s v="O-941"/>
    <d v="2018-10-08T00:00:00"/>
    <x v="23"/>
    <s v="CASERONES"/>
    <m/>
    <m/>
    <s v="Ingeniería mejoramiento de carpeta vial Ruta N°1, sector 5 curvas - MLCC"/>
    <x v="1"/>
    <s v="ND"/>
    <s v="NAC"/>
    <s v="Chile"/>
    <m/>
    <s v="Claudio Muñoz"/>
    <m/>
    <x v="3"/>
    <m/>
    <d v="2018-10-18T00:00:00"/>
    <n v="6359"/>
    <n v="165.09094124000001"/>
    <n v="25961.777203962887"/>
    <m/>
    <m/>
    <m/>
    <m/>
    <x v="4"/>
  </r>
  <r>
    <s v="O-940"/>
    <d v="2018-10-02T00:00:00"/>
    <x v="43"/>
    <s v="ENAMI"/>
    <m/>
    <m/>
    <s v="Tradeoff Alternativas de Conexion Planta Tal Tal - ENAMI"/>
    <x v="2"/>
    <s v="ND"/>
    <s v="NAC"/>
    <s v="Chile"/>
    <m/>
    <s v="Claudio Muñoz"/>
    <m/>
    <x v="3"/>
    <m/>
    <d v="2018-10-02T00:00:00"/>
    <n v="340"/>
    <n v="26.006540519999998"/>
    <n v="76489.825058823524"/>
    <m/>
    <m/>
    <m/>
    <m/>
    <x v="4"/>
  </r>
  <r>
    <s v="O-939"/>
    <d v="2018-09-28T00:00:00"/>
    <x v="15"/>
    <s v="CAP Mineria"/>
    <m/>
    <m/>
    <s v="Levantamiento Topográfico Totoralillo"/>
    <x v="4"/>
    <s v="ND"/>
    <s v="NAC"/>
    <s v="Chile"/>
    <m/>
    <s v="Claudio Muñoz"/>
    <m/>
    <x v="3"/>
    <m/>
    <d v="2018-09-28T00:00:00"/>
    <m/>
    <n v="39.02348404"/>
    <s v="N/A"/>
    <m/>
    <m/>
    <m/>
    <m/>
    <x v="4"/>
  </r>
  <r>
    <s v="O-938"/>
    <d v="2018-09-28T00:00:00"/>
    <x v="76"/>
    <s v="Knight Piésold Consulting"/>
    <m/>
    <m/>
    <s v="Depósito de Relaves Espesados Minera Santo Domingo – Ingeniería Complementaria para la DGA - KP"/>
    <x v="1"/>
    <s v="ND"/>
    <s v="NAC"/>
    <s v="Chile"/>
    <m/>
    <m/>
    <m/>
    <x v="3"/>
    <m/>
    <d v="2018-10-03T00:00:00"/>
    <n v="1004"/>
    <n v="45"/>
    <n v="44820.717131474106"/>
    <m/>
    <m/>
    <m/>
    <m/>
    <x v="4"/>
  </r>
  <r>
    <s v="O-937"/>
    <d v="2018-09-26T00:00:00"/>
    <x v="15"/>
    <s v="CAP Mineria"/>
    <m/>
    <m/>
    <s v="Pruebas Pulpa Puerto - CAP"/>
    <x v="0"/>
    <s v="ND"/>
    <s v="NAC"/>
    <s v="Chile"/>
    <m/>
    <m/>
    <s v="SIN REGISTROS"/>
    <x v="4"/>
    <m/>
    <m/>
    <m/>
    <m/>
    <m/>
    <m/>
    <m/>
    <m/>
    <m/>
    <x v="4"/>
  </r>
  <r>
    <s v="O-936"/>
    <d v="2018-09-25T00:00:00"/>
    <x v="15"/>
    <s v="CAP Mineria"/>
    <m/>
    <m/>
    <s v="Levantamiento Correas - CAP"/>
    <x v="11"/>
    <s v="ND"/>
    <s v="NAC"/>
    <s v="Chile"/>
    <m/>
    <s v="Claudio Muñoz"/>
    <m/>
    <x v="3"/>
    <m/>
    <d v="2018-09-26T00:00:00"/>
    <n v="5142.5"/>
    <n v="135.63873919999997"/>
    <n v="26376.030957705392"/>
    <m/>
    <m/>
    <m/>
    <m/>
    <x v="4"/>
  </r>
  <r>
    <s v="O-935"/>
    <d v="2018-09-25T00:00:00"/>
    <x v="15"/>
    <s v="CAP Mineria"/>
    <m/>
    <m/>
    <s v="Topografia 3D - CAP"/>
    <x v="11"/>
    <s v="ND"/>
    <s v="NAC"/>
    <s v="Chile"/>
    <m/>
    <s v="Claudio Muñoz"/>
    <m/>
    <x v="3"/>
    <m/>
    <d v="2018-09-28T00:00:00"/>
    <n v="552.5"/>
    <n v="65.54960844"/>
    <n v="118641.82523076923"/>
    <m/>
    <m/>
    <m/>
    <m/>
    <x v="4"/>
  </r>
  <r>
    <s v="O-934"/>
    <d v="2018-09-21T00:00:00"/>
    <x v="21"/>
    <s v="PUCOBRE"/>
    <m/>
    <m/>
    <s v="IC Sistema de Impulsion de Relaves PSJ a Tranque TLC - Pucobre"/>
    <x v="2"/>
    <s v="ND"/>
    <s v="NAC"/>
    <s v="Chile"/>
    <m/>
    <s v="Pedro Valencia"/>
    <m/>
    <x v="5"/>
    <m/>
    <d v="2018-10-16T00:00:00"/>
    <n v="1022"/>
    <n v="38.374875000000003"/>
    <n v="37548.801369863017"/>
    <s v="SH-0205"/>
    <m/>
    <m/>
    <m/>
    <x v="4"/>
  </r>
  <r>
    <s v="O-933"/>
    <d v="2018-09-20T00:00:00"/>
    <x v="23"/>
    <s v="CASERONES"/>
    <m/>
    <m/>
    <s v="Apoyo Técnico Pozos PEF2 y PEF3 - MLCC"/>
    <x v="22"/>
    <s v="ND"/>
    <s v="NAC"/>
    <s v="Chile"/>
    <m/>
    <s v="Oriol Tucas"/>
    <m/>
    <x v="5"/>
    <m/>
    <d v="2018-09-21T00:00:00"/>
    <n v="360"/>
    <n v="9.0243515999999993"/>
    <n v="25067.64333333333"/>
    <s v="SH0158-OS24"/>
    <m/>
    <m/>
    <m/>
    <x v="4"/>
  </r>
  <r>
    <s v="O-932"/>
    <d v="2018-09-20T00:00:00"/>
    <x v="51"/>
    <s v="COLLAHUASI"/>
    <m/>
    <m/>
    <s v="Asistencia Prueba Hidrostaticas - COLLAHUASI"/>
    <x v="0"/>
    <s v="ND"/>
    <s v="NAC"/>
    <s v="Chile"/>
    <m/>
    <s v="Pedro Valencia"/>
    <m/>
    <x v="5"/>
    <m/>
    <d v="2018-09-21T00:00:00"/>
    <n v="179"/>
    <n v="10.345000000000001"/>
    <n v="57793.296089385476"/>
    <s v="SH-0203"/>
    <m/>
    <m/>
    <m/>
    <x v="4"/>
  </r>
  <r>
    <s v="O-931"/>
    <d v="2018-08-28T00:00:00"/>
    <x v="77"/>
    <s v="Chinalco"/>
    <m/>
    <m/>
    <s v="Diagnóstico y Propuesta de Mejoa Sistema de Relaves - Toromocho"/>
    <x v="10"/>
    <s v="ND"/>
    <s v="INT"/>
    <s v="Perú"/>
    <m/>
    <s v="Pablo_x000a_Vásquez"/>
    <m/>
    <x v="3"/>
    <m/>
    <d v="2018-09-03T00:00:00"/>
    <n v="11631"/>
    <n v="1347.22930488"/>
    <n v="115830.90919783337"/>
    <m/>
    <m/>
    <m/>
    <m/>
    <x v="4"/>
  </r>
  <r>
    <s v="O-930"/>
    <d v="2018-08-28T00:00:00"/>
    <x v="23"/>
    <s v="CASERONES"/>
    <m/>
    <m/>
    <s v="Oferta Apoyo Técnico Adquisiciones Materiales Variante 2 MLCC"/>
    <x v="22"/>
    <s v="ND"/>
    <s v="NAC"/>
    <s v="NAC"/>
    <m/>
    <s v="Pedro Valencia"/>
    <m/>
    <x v="3"/>
    <m/>
    <d v="2018-08-28T00:00:00"/>
    <n v="350"/>
    <n v="10.77452888"/>
    <n v="30784.368228571428"/>
    <m/>
    <m/>
    <m/>
    <m/>
    <x v="4"/>
  </r>
  <r>
    <s v="O-929"/>
    <d v="2018-08-28T00:00:00"/>
    <x v="19"/>
    <m/>
    <m/>
    <m/>
    <s v="Ingenieria Sistema de Disposicion de Relaves - Andina - CODELCO"/>
    <x v="0"/>
    <s v="LC"/>
    <s v="NAC"/>
    <s v="Chile"/>
    <m/>
    <s v="Claudio Muñoz"/>
    <m/>
    <x v="4"/>
    <m/>
    <d v="2018-09-04T00:00:00"/>
    <m/>
    <m/>
    <m/>
    <m/>
    <m/>
    <m/>
    <m/>
    <x v="4"/>
  </r>
  <r>
    <s v="O-928"/>
    <d v="2018-08-28T00:00:00"/>
    <x v="19"/>
    <s v="Codelco"/>
    <m/>
    <m/>
    <s v="Servicio Multidisciplinario Experto Apoyo a Divisiones - CODELCO"/>
    <x v="0"/>
    <s v="LC"/>
    <s v="NAC"/>
    <s v="NAC"/>
    <m/>
    <s v="Claudio Muñoz"/>
    <s v="Antecedentes enviados fuera de tiempo"/>
    <x v="3"/>
    <m/>
    <m/>
    <m/>
    <m/>
    <m/>
    <m/>
    <m/>
    <m/>
    <m/>
    <x v="4"/>
  </r>
  <r>
    <s v="O-927"/>
    <d v="2018-08-23T00:00:00"/>
    <x v="51"/>
    <s v="COLLAHUASI"/>
    <m/>
    <m/>
    <s v="Ingenierías Prioritarias en Agua - CDMIC"/>
    <x v="1"/>
    <s v="ND"/>
    <s v="NAC"/>
    <s v="Chile"/>
    <m/>
    <s v="Pedro Valencia"/>
    <m/>
    <x v="4"/>
    <m/>
    <d v="2018-08-23T00:00:00"/>
    <n v="1845"/>
    <n v="102.67870000000001"/>
    <n v="55652.411924119246"/>
    <m/>
    <m/>
    <m/>
    <m/>
    <x v="4"/>
  </r>
  <r>
    <s v="O-926"/>
    <d v="2018-08-22T00:00:00"/>
    <x v="23"/>
    <s v="CASERONES"/>
    <m/>
    <m/>
    <s v="IC Reubicacion Estanque TK-652 MLCC"/>
    <x v="2"/>
    <s v="ND"/>
    <s v="NAC"/>
    <s v="Chile"/>
    <m/>
    <s v="Pedro Valencia"/>
    <m/>
    <x v="4"/>
    <m/>
    <d v="2018-08-27T00:00:00"/>
    <n v="383"/>
    <n v="10.938608"/>
    <n v="28560.334203655351"/>
    <m/>
    <m/>
    <m/>
    <m/>
    <x v="4"/>
  </r>
  <r>
    <s v="O-925"/>
    <d v="2018-08-22T00:00:00"/>
    <x v="51"/>
    <s v="COLLAHUASI"/>
    <m/>
    <m/>
    <s v="Ingeniería de Detalles – Torre N° 5 de Recuperación de Agua"/>
    <x v="1"/>
    <s v="LC"/>
    <s v="NAC"/>
    <s v="Chile"/>
    <m/>
    <s v="Pablo_x000a_Vásquez"/>
    <m/>
    <x v="3"/>
    <m/>
    <d v="2018-10-25T00:00:00"/>
    <n v="16508"/>
    <n v="721.64570000000003"/>
    <n v="43714.907923431063"/>
    <m/>
    <m/>
    <m/>
    <m/>
    <x v="4"/>
  </r>
  <r>
    <s v="O-924"/>
    <d v="2018-08-16T00:00:00"/>
    <x v="51"/>
    <s v="COLLAHUASI"/>
    <m/>
    <m/>
    <s v="Monitoreo Estaciones de Valvulas - COLLAHUASI"/>
    <x v="5"/>
    <s v="ND"/>
    <s v="NAC"/>
    <s v="Chile"/>
    <m/>
    <s v="Pedro Valencia"/>
    <m/>
    <x v="4"/>
    <m/>
    <m/>
    <m/>
    <m/>
    <m/>
    <m/>
    <m/>
    <m/>
    <m/>
    <x v="4"/>
  </r>
  <r>
    <s v="O-923"/>
    <d v="2018-08-16T00:00:00"/>
    <x v="21"/>
    <s v="PUCOBRE"/>
    <m/>
    <m/>
    <s v="SERVICIOS DE INGENIERÍAS PARA PLANTA SAN JOSÉ Y PLANTA BIOCOBRE"/>
    <x v="5"/>
    <s v="LC"/>
    <s v="NAC"/>
    <s v="Chile"/>
    <m/>
    <s v="Claudio Muñoz"/>
    <s v="PROPUESTA CON TARIFAS PUCOBRE"/>
    <x v="5"/>
    <m/>
    <d v="2018-08-23T00:00:00"/>
    <m/>
    <m/>
    <m/>
    <s v="SH-0205"/>
    <m/>
    <m/>
    <m/>
    <x v="4"/>
  </r>
  <r>
    <s v="O-922"/>
    <d v="2018-08-09T00:00:00"/>
    <x v="51"/>
    <s v="COLLAHUASI"/>
    <m/>
    <m/>
    <s v="Manejo de Relaves Antucoya - BEKA"/>
    <x v="0"/>
    <m/>
    <s v="NAC"/>
    <s v="Chile"/>
    <m/>
    <m/>
    <m/>
    <x v="4"/>
    <m/>
    <m/>
    <m/>
    <m/>
    <s v="N/A"/>
    <m/>
    <m/>
    <m/>
    <m/>
    <x v="4"/>
  </r>
  <r>
    <s v="O-921"/>
    <d v="2018-07-24T00:00:00"/>
    <x v="78"/>
    <s v="CALTRA"/>
    <m/>
    <m/>
    <s v="E Basica Assegurar Reducao Canal Rejeito P3 - MOPE - CALTRA"/>
    <x v="5"/>
    <m/>
    <s v="INT"/>
    <s v="Brasil"/>
    <m/>
    <s v="Pedro Valencia"/>
    <m/>
    <x v="4"/>
    <m/>
    <m/>
    <m/>
    <m/>
    <s v="N/A"/>
    <m/>
    <m/>
    <m/>
    <m/>
    <x v="4"/>
  </r>
  <r>
    <s v="O-920"/>
    <d v="2018-08-09T00:00:00"/>
    <x v="51"/>
    <s v="COLLAHUASI"/>
    <m/>
    <m/>
    <s v="Nueva Estrategia de Recalificación de Mineroductos de 8&quot; y7&quot;"/>
    <x v="0"/>
    <s v="ND"/>
    <s v="NAC"/>
    <s v="Chile"/>
    <m/>
    <s v="Pedro Valencia"/>
    <m/>
    <x v="3"/>
    <m/>
    <d v="2018-08-10T00:00:00"/>
    <n v="904"/>
    <n v="62.44"/>
    <n v="69070.796460176978"/>
    <m/>
    <m/>
    <m/>
    <m/>
    <x v="4"/>
  </r>
  <r>
    <s v="O-919"/>
    <d v="2018-08-08T00:00:00"/>
    <x v="79"/>
    <s v="ASMIN"/>
    <m/>
    <m/>
    <s v="Caracterización reológica de los relaves del proyecto Spence Growth Option (SGO) – BHP - BILLITON"/>
    <x v="0"/>
    <s v="ND"/>
    <s v="NAC"/>
    <s v="Chile"/>
    <m/>
    <s v="Pedro Valencia"/>
    <m/>
    <x v="3"/>
    <m/>
    <d v="2018-08-16T00:00:00"/>
    <n v="300"/>
    <n v="15.314179889999998"/>
    <n v="51047.266299999996"/>
    <m/>
    <m/>
    <m/>
    <m/>
    <x v="4"/>
  </r>
  <r>
    <s v="O-918"/>
    <d v="2018-08-06T00:00:00"/>
    <x v="15"/>
    <s v="CAP Mineria"/>
    <m/>
    <m/>
    <s v="Ingeniería Prefactibilidad Etapa 1 Expansión"/>
    <x v="2"/>
    <s v="ND"/>
    <s v="NAC"/>
    <s v="Chile"/>
    <m/>
    <s v="Pedro Valencia"/>
    <m/>
    <x v="4"/>
    <m/>
    <d v="2018-06-27T00:00:00"/>
    <m/>
    <m/>
    <s v="N/A"/>
    <m/>
    <m/>
    <m/>
    <m/>
    <x v="4"/>
  </r>
  <r>
    <s v="O-917"/>
    <d v="2018-08-03T00:00:00"/>
    <x v="80"/>
    <s v="Ingenieros Emetres"/>
    <m/>
    <m/>
    <s v="Servicio Ingeniería Contraparte Ducto de Ventilación MH"/>
    <x v="12"/>
    <s v="ND"/>
    <s v="NAC"/>
    <s v="Chile"/>
    <m/>
    <s v="Claudio Muñoz"/>
    <m/>
    <x v="3"/>
    <m/>
    <d v="2018-08-06T00:00:00"/>
    <m/>
    <m/>
    <s v="N/A"/>
    <m/>
    <m/>
    <m/>
    <m/>
    <x v="4"/>
  </r>
  <r>
    <s v="O-916"/>
    <d v="2018-07-31T00:00:00"/>
    <x v="51"/>
    <s v="COLLAHUASI"/>
    <m/>
    <m/>
    <s v="Servicio Contraparte Hidráulica"/>
    <x v="12"/>
    <s v="LC"/>
    <s v="NAC"/>
    <s v="Chile"/>
    <m/>
    <s v="Pedro Valencia"/>
    <m/>
    <x v="4"/>
    <m/>
    <m/>
    <m/>
    <m/>
    <s v="N/A"/>
    <m/>
    <m/>
    <m/>
    <m/>
    <x v="4"/>
  </r>
  <r>
    <s v="O-915"/>
    <d v="2018-07-23T00:00:00"/>
    <x v="23"/>
    <s v="CASERONES"/>
    <m/>
    <m/>
    <s v="Ingeniería Detalles Flexibilización Bombas NASH // Contrato Marco N° 01867"/>
    <x v="1"/>
    <s v="ND"/>
    <s v="NAC"/>
    <s v="Chile"/>
    <m/>
    <s v="Pedro Valencia"/>
    <m/>
    <x v="3"/>
    <m/>
    <d v="2018-07-25T00:00:00"/>
    <n v="565"/>
    <n v="15.259760999999999"/>
    <n v="27008.426548672564"/>
    <m/>
    <m/>
    <m/>
    <m/>
    <x v="4"/>
  </r>
  <r>
    <s v="O-914"/>
    <d v="2018-07-23T00:00:00"/>
    <x v="17"/>
    <s v="Codelco TENIENTE"/>
    <m/>
    <m/>
    <s v="Estudios Lineas Bases e Ingenierías de Perfil &quot;Agua Fresca y Agua Contacto Mina&quot; y &quot;Solución Definitiva ACM&quot; DET"/>
    <x v="1"/>
    <s v="LC"/>
    <s v="NAC"/>
    <s v="Chile"/>
    <m/>
    <s v="Claudio Muñoz"/>
    <s v="Precalificación"/>
    <x v="3"/>
    <m/>
    <m/>
    <m/>
    <m/>
    <s v="N/A"/>
    <m/>
    <m/>
    <m/>
    <m/>
    <x v="4"/>
  </r>
  <r>
    <s v="O-913"/>
    <d v="2018-06-06T00:00:00"/>
    <x v="14"/>
    <s v="SNC lavalin Brasil"/>
    <m/>
    <m/>
    <s v="Estudo Basico para Segregacao de Rejeitos de Brucutu"/>
    <x v="5"/>
    <s v="ND"/>
    <s v="INT"/>
    <s v="Brasil"/>
    <m/>
    <s v="Pedro Valencia"/>
    <m/>
    <x v="3"/>
    <m/>
    <d v="2018-11-23T00:00:00"/>
    <n v="290"/>
    <n v="7.8038499999999997"/>
    <n v="26909.827586206895"/>
    <m/>
    <m/>
    <m/>
    <m/>
    <x v="4"/>
  </r>
  <r>
    <s v="O-912"/>
    <d v="2018-07-23T00:00:00"/>
    <x v="14"/>
    <s v="SNC lavalin Brasil"/>
    <m/>
    <m/>
    <s v="ESTUDOS CONCEITUAL PARA SEGREGAÇÃO DE REJEITOS DE BRUCUTU"/>
    <x v="2"/>
    <s v="ND"/>
    <s v="INT"/>
    <s v="Brasil"/>
    <m/>
    <s v="Pedro Valencia"/>
    <m/>
    <x v="5"/>
    <m/>
    <d v="2018-07-23T00:00:00"/>
    <n v="271"/>
    <n v="6.6535799999999998"/>
    <n v="24551.955719557194"/>
    <s v="SH-0196"/>
    <m/>
    <m/>
    <m/>
    <x v="4"/>
  </r>
  <r>
    <s v="O-911"/>
    <d v="2018-07-23T00:00:00"/>
    <x v="15"/>
    <s v="CAP Mineria"/>
    <m/>
    <m/>
    <s v="Ingeniería Prefectabilidad Estanque Regulador Relaves Huasco"/>
    <x v="2"/>
    <s v="ND"/>
    <s v="NAC"/>
    <s v="Chile"/>
    <m/>
    <s v="Pedro Valencia"/>
    <m/>
    <x v="5"/>
    <m/>
    <d v="2018-07-27T00:00:00"/>
    <n v="792"/>
    <n v="28.588251"/>
    <n v="36096.276515151512"/>
    <s v="SH-0200"/>
    <m/>
    <m/>
    <m/>
    <x v="4"/>
  </r>
  <r>
    <s v="O-910"/>
    <d v="2018-07-19T00:00:00"/>
    <x v="23"/>
    <s v="CASERONES"/>
    <m/>
    <m/>
    <s v="Solución Constructiva Descarga 2 de Lamas"/>
    <x v="26"/>
    <s v="ND"/>
    <s v="NAC"/>
    <s v="Chile"/>
    <m/>
    <s v="Pedro Valencia"/>
    <m/>
    <x v="3"/>
    <m/>
    <d v="2018-07-23T00:00:00"/>
    <n v="415"/>
    <n v="10.8804"/>
    <n v="26217.831325301202"/>
    <m/>
    <m/>
    <m/>
    <m/>
    <x v="4"/>
  </r>
  <r>
    <s v="O-909"/>
    <d v="2018-07-18T00:00:00"/>
    <x v="23"/>
    <s v="CASERONES"/>
    <m/>
    <m/>
    <s v="Ingeniería Detalles Celdas Columna "/>
    <x v="1"/>
    <s v="ND"/>
    <s v="NAC"/>
    <s v="Chile"/>
    <m/>
    <s v="Pedro Valencia"/>
    <m/>
    <x v="3"/>
    <m/>
    <d v="2018-07-18T00:00:00"/>
    <n v="2734"/>
    <n v="70.015373999999994"/>
    <n v="25609.134601316749"/>
    <m/>
    <m/>
    <m/>
    <m/>
    <x v="4"/>
  </r>
  <r>
    <s v="O-908"/>
    <d v="2018-07-17T00:00:00"/>
    <x v="14"/>
    <s v="SNC lavalin Brasil"/>
    <m/>
    <m/>
    <s v="Estudio de Analisis y Flexibilidad  - Proyecto Aripuana"/>
    <x v="10"/>
    <s v="ND"/>
    <s v="INT"/>
    <s v="Brasil"/>
    <m/>
    <s v="Pedro Valencia"/>
    <m/>
    <x v="3"/>
    <m/>
    <d v="2018-07-17T00:00:00"/>
    <n v="235"/>
    <n v="4.7367400000000002"/>
    <n v="20156.340425531918"/>
    <m/>
    <m/>
    <m/>
    <m/>
    <x v="4"/>
  </r>
  <r>
    <s v="O-907"/>
    <d v="2018-07-17T00:00:00"/>
    <x v="72"/>
    <s v="SOUTHERN COPPER"/>
    <m/>
    <m/>
    <s v="Analisis de Riesgos Sistema de Manejo Relaves Quebrada Honda - ATC "/>
    <x v="4"/>
    <s v="LC"/>
    <s v="INT"/>
    <s v="Perú"/>
    <m/>
    <s v="Claudio Muñoz"/>
    <s v="Cobrar ATC"/>
    <x v="3"/>
    <m/>
    <m/>
    <m/>
    <m/>
    <m/>
    <m/>
    <m/>
    <m/>
    <m/>
    <x v="4"/>
  </r>
  <r>
    <s v="O-906"/>
    <d v="2018-07-13T00:00:00"/>
    <x v="81"/>
    <s v="SOLID SOLUTIONS"/>
    <m/>
    <m/>
    <s v="Revisión de Contraparte de Espesamiento Relaves - División El Salvador"/>
    <x v="12"/>
    <s v="ND"/>
    <s v="NAC"/>
    <s v="Chile"/>
    <m/>
    <s v="Pedro Valencia"/>
    <m/>
    <x v="3"/>
    <m/>
    <d v="2018-07-18T00:00:00"/>
    <n v="1620"/>
    <n v="72.082650000000001"/>
    <n v="44495.462962962964"/>
    <m/>
    <m/>
    <m/>
    <m/>
    <x v="4"/>
  </r>
  <r>
    <s v="O-905"/>
    <d v="2018-07-09T00:00:00"/>
    <x v="23"/>
    <s v="CASERONES"/>
    <m/>
    <m/>
    <s v=" Ingenieria de Detalles Dragados Agua Recuperada a Cancha 2 - MLCC "/>
    <x v="1"/>
    <s v="ND"/>
    <s v="NAC"/>
    <s v="Chile"/>
    <m/>
    <s v="Pedro Valencia"/>
    <m/>
    <x v="3"/>
    <m/>
    <d v="2018-07-18T00:00:00"/>
    <n v="610"/>
    <n v="17.327037000000001"/>
    <n v="28404.978688524592"/>
    <m/>
    <m/>
    <m/>
    <m/>
    <x v="4"/>
  </r>
  <r>
    <s v="O-904"/>
    <d v="2018-07-09T00:00:00"/>
    <x v="23"/>
    <s v="CASERONES"/>
    <m/>
    <m/>
    <s v="Elaboración de Notas Técnicas Julio Diciembre 2018 Contrato 01867"/>
    <x v="1"/>
    <s v="ND"/>
    <s v="NAC"/>
    <s v="Chile"/>
    <m/>
    <s v="Pedro Valencia"/>
    <m/>
    <x v="5"/>
    <m/>
    <d v="2018-07-09T00:00:00"/>
    <n v="1080"/>
    <n v="37.210968000000001"/>
    <n v="34454.6"/>
    <s v="SH0158-OS09"/>
    <m/>
    <m/>
    <m/>
    <x v="4"/>
  </r>
  <r>
    <s v="O-093"/>
    <d v="2018-07-05T00:00:00"/>
    <x v="73"/>
    <s v="SONACOL"/>
    <m/>
    <m/>
    <s v="Estudio de Costo de Operación y Mantenimiento Acueducto RT"/>
    <x v="28"/>
    <s v="ND"/>
    <s v="NAC"/>
    <s v="Chile"/>
    <m/>
    <s v="Hernan castro"/>
    <m/>
    <x v="5"/>
    <m/>
    <d v="2018-07-11T00:00:00"/>
    <n v="791"/>
    <n v="42.542363999999999"/>
    <n v="53783.01390644753"/>
    <s v="SH-0198"/>
    <m/>
    <m/>
    <m/>
    <x v="4"/>
  </r>
  <r>
    <s v="O-902"/>
    <d v="2018-07-04T00:00:00"/>
    <x v="51"/>
    <s v="COLLAHUASI"/>
    <m/>
    <m/>
    <s v="Gestión de Compra Tubería Reemplazo Mineroducto de 8&quot;"/>
    <x v="4"/>
    <s v="LC"/>
    <s v="NAC"/>
    <s v="Chile"/>
    <m/>
    <s v="Pedro Valencia"/>
    <m/>
    <x v="3"/>
    <m/>
    <d v="2018-07-11T00:00:00"/>
    <n v="485"/>
    <n v="22.64"/>
    <n v="46680.412371134022"/>
    <m/>
    <m/>
    <m/>
    <m/>
    <x v="4"/>
  </r>
  <r>
    <s v="O-901"/>
    <d v="2018-07-03T00:00:00"/>
    <x v="14"/>
    <s v="SNC lavalin Brasil"/>
    <m/>
    <m/>
    <s v="Mineroducto Mina Pau Branco"/>
    <x v="2"/>
    <s v="ND"/>
    <s v="INT"/>
    <s v="Brasil"/>
    <m/>
    <s v="Pedro Valencia"/>
    <m/>
    <x v="3"/>
    <m/>
    <d v="2018-07-05T00:00:00"/>
    <n v="1867"/>
    <n v="34.985700000000001"/>
    <n v="18738.993036957687"/>
    <m/>
    <m/>
    <m/>
    <m/>
    <x v="4"/>
  </r>
  <r>
    <s v="O-900"/>
    <d v="2018-06-29T00:00:00"/>
    <x v="82"/>
    <s v="LAS CENIZAS"/>
    <m/>
    <m/>
    <s v="Optimización de la Pendiente de Depositación de Relaves Espesados"/>
    <x v="2"/>
    <s v="LC"/>
    <s v="NAC"/>
    <s v="Chile"/>
    <m/>
    <s v="Pedro Valencia"/>
    <m/>
    <x v="3"/>
    <m/>
    <d v="2018-07-25T00:00:00"/>
    <n v="1692"/>
    <n v="151.49324939999997"/>
    <n v="89535.017375886513"/>
    <m/>
    <m/>
    <m/>
    <m/>
    <x v="4"/>
  </r>
  <r>
    <s v="O-899"/>
    <d v="2018-06-27T00:00:00"/>
    <x v="83"/>
    <s v="CESI"/>
    <m/>
    <m/>
    <s v="Suministro de Agua Subterranea Central TermoElectrica Quillota"/>
    <x v="1"/>
    <s v="ND"/>
    <s v="NAC"/>
    <s v="Chile"/>
    <m/>
    <s v="Pedro Valencia"/>
    <m/>
    <x v="3"/>
    <m/>
    <d v="2018-07-17T00:00:00"/>
    <n v="2851"/>
    <n v="89.670400000000001"/>
    <n v="31452.262364082781"/>
    <m/>
    <m/>
    <m/>
    <m/>
    <x v="4"/>
  </r>
  <r>
    <s v="O-898"/>
    <d v="2018-06-26T00:00:00"/>
    <x v="84"/>
    <s v="PIPELINE INTELIGENCE"/>
    <m/>
    <m/>
    <s v="ID Lanzadores de PIG Gasco PI"/>
    <x v="1"/>
    <s v="ND"/>
    <s v="NAC"/>
    <s v="Chile"/>
    <m/>
    <s v="Ramón Arévalo"/>
    <m/>
    <x v="3"/>
    <m/>
    <d v="2018-07-26T00:00:00"/>
    <n v="2013"/>
    <n v="83.044652999999997"/>
    <n v="41254.174366616993"/>
    <m/>
    <m/>
    <m/>
    <m/>
    <x v="4"/>
  </r>
  <r>
    <s v="O-897"/>
    <d v="2018-06-22T00:00:00"/>
    <x v="77"/>
    <s v="Chinalco"/>
    <m/>
    <m/>
    <s v="Soporte Operacional Relaveducto Toromocho"/>
    <x v="4"/>
    <s v="ND"/>
    <s v="INT"/>
    <s v="Perú"/>
    <m/>
    <s v="Claudio Muñoz"/>
    <m/>
    <x v="5"/>
    <m/>
    <d v="2018-06-22T00:00:00"/>
    <n v="305"/>
    <n v="12.864255999999999"/>
    <n v="42177.888524590162"/>
    <s v="SH-0192"/>
    <m/>
    <m/>
    <m/>
    <x v="4"/>
  </r>
  <r>
    <s v="O-896"/>
    <d v="2018-06-18T00:00:00"/>
    <x v="23"/>
    <s v="CASERONES"/>
    <m/>
    <m/>
    <s v="Actualizacion Prefactibilidad Potenciamiento SAR"/>
    <x v="5"/>
    <s v="ND"/>
    <s v="NAC"/>
    <s v="Chile"/>
    <m/>
    <s v="Pedro Valencia"/>
    <m/>
    <x v="3"/>
    <m/>
    <d v="2018-06-18T00:00:00"/>
    <n v="631"/>
    <n v="17.036999999999999"/>
    <n v="27000"/>
    <m/>
    <m/>
    <m/>
    <m/>
    <x v="4"/>
  </r>
  <r>
    <s v="O-895"/>
    <d v="2018-06-18T00:00:00"/>
    <x v="43"/>
    <s v="ENAMI"/>
    <m/>
    <m/>
    <s v="Estudio Deposito de Relaves Hijuelas N 10 Planta Vallenar"/>
    <x v="10"/>
    <s v="LM"/>
    <s v="NAC"/>
    <s v="Chile"/>
    <m/>
    <s v="Pedro Valencia"/>
    <m/>
    <x v="5"/>
    <m/>
    <d v="2018-06-18T00:00:00"/>
    <n v="2346"/>
    <n v="91.092659999999995"/>
    <n v="38828.925831202047"/>
    <s v="SH-0201"/>
    <m/>
    <m/>
    <m/>
    <x v="4"/>
  </r>
  <r>
    <s v="O-894"/>
    <d v="2018-06-13T00:00:00"/>
    <x v="14"/>
    <s v="SNC lavalin Brasil_x000a_"/>
    <m/>
    <m/>
    <s v="Bombeamento Brucutu"/>
    <x v="2"/>
    <s v="ND"/>
    <s v="INT"/>
    <s v="Brasil"/>
    <m/>
    <s v="Pedro Valencia"/>
    <m/>
    <x v="4"/>
    <m/>
    <m/>
    <m/>
    <m/>
    <m/>
    <m/>
    <m/>
    <m/>
    <m/>
    <x v="4"/>
  </r>
  <r>
    <s v="O-893"/>
    <d v="2018-06-14T00:00:00"/>
    <x v="51"/>
    <s v="COLLAHUASI"/>
    <m/>
    <m/>
    <s v="Manual de Operaciones Integrado "/>
    <x v="4"/>
    <s v="ND"/>
    <s v="NAC"/>
    <s v="Chile"/>
    <m/>
    <s v="Pedro Valencia"/>
    <m/>
    <x v="3"/>
    <m/>
    <d v="2018-06-14T00:00:00"/>
    <n v="1189"/>
    <n v="49.075000000000003"/>
    <n v="41274.179983179143"/>
    <m/>
    <m/>
    <m/>
    <m/>
    <x v="4"/>
  </r>
  <r>
    <s v="O-892"/>
    <d v="2018-06-12T00:00:00"/>
    <x v="85"/>
    <s v="CODELCO"/>
    <m/>
    <m/>
    <s v="ID Levantamiento Vulnerabilidades Sistema de Clasificacion de Relaves Tranque Ovejeria"/>
    <x v="1"/>
    <s v="ND"/>
    <s v="NAC"/>
    <s v="Chile"/>
    <m/>
    <s v="Pablo Vasquez"/>
    <m/>
    <x v="3"/>
    <m/>
    <d v="2018-06-27T00:00:00"/>
    <n v="7004"/>
    <n v="218.30719300000001"/>
    <n v="31168.931039406056"/>
    <m/>
    <m/>
    <m/>
    <m/>
    <x v="4"/>
  </r>
  <r>
    <s v="O-891"/>
    <d v="2018-06-07T00:00:00"/>
    <x v="51"/>
    <s v="COLLAHUASI"/>
    <s v="Marcela Herrera"/>
    <m/>
    <s v="Revisión Experta Ingeniería Pruebas Hidrostáticas."/>
    <x v="4"/>
    <s v="ND"/>
    <s v="NAC"/>
    <s v="Chile"/>
    <m/>
    <s v="Claudio Muñoz"/>
    <m/>
    <x v="5"/>
    <m/>
    <d v="2018-06-07T00:00:00"/>
    <n v="628"/>
    <n v="27.52"/>
    <n v="43821.656050955411"/>
    <s v="SH-0191"/>
    <m/>
    <m/>
    <m/>
    <x v="4"/>
  </r>
  <r>
    <s v="O-890"/>
    <d v="2018-06-08T00:00:00"/>
    <x v="15"/>
    <s v="CAP Mineria"/>
    <m/>
    <m/>
    <s v="Ingenieria Conceptual Adecuaciones para Optimizacion de Produccion Planta Cerro Negro Norte"/>
    <x v="2"/>
    <s v="ND"/>
    <s v="NAC"/>
    <s v="Chile"/>
    <m/>
    <s v="Pedro Valencia"/>
    <m/>
    <x v="5"/>
    <m/>
    <d v="2018-06-08T00:00:00"/>
    <n v="10120"/>
    <n v="384.86250000000001"/>
    <n v="38029.891304347831"/>
    <s v="SH-0194"/>
    <m/>
    <m/>
    <m/>
    <x v="4"/>
  </r>
  <r>
    <s v="O-889"/>
    <d v="2018-06-05T00:00:00"/>
    <x v="86"/>
    <s v="Tedagua"/>
    <s v="Sergio Merlo"/>
    <s v="Sergio.merlo@tedagua.com"/>
    <s v="Estudio Conceptual Lanzador de Pig"/>
    <x v="2"/>
    <s v="ND"/>
    <s v="NAC"/>
    <s v="Chile"/>
    <m/>
    <s v="Pedro Valencia"/>
    <m/>
    <x v="3"/>
    <m/>
    <d v="2018-06-05T00:00:00"/>
    <m/>
    <n v="2.403"/>
    <s v="N/A"/>
    <m/>
    <m/>
    <m/>
    <m/>
    <x v="4"/>
  </r>
  <r>
    <s v="O-888"/>
    <d v="2018-06-05T00:00:00"/>
    <x v="23"/>
    <s v="CASERONES"/>
    <s v="Felipe Pérez Martínez"/>
    <s v="fperez@caserones.cl "/>
    <s v="Elaboración de Notas Técnicas 2018 Contrato 01867 "/>
    <x v="1"/>
    <s v="ND"/>
    <s v="NAC"/>
    <s v="Chile"/>
    <m/>
    <s v="Pedro Valencia"/>
    <m/>
    <x v="5"/>
    <m/>
    <d v="2018-06-05T00:00:00"/>
    <n v="240"/>
    <n v="8.2080000000000002"/>
    <n v="34200"/>
    <s v="SH0158-OS09"/>
    <m/>
    <m/>
    <m/>
    <x v="4"/>
  </r>
  <r>
    <s v="O-887"/>
    <d v="2018-06-05T00:00:00"/>
    <x v="15"/>
    <s v="CAP Mineria"/>
    <m/>
    <m/>
    <s v="Apoyo Proyecto Expansion"/>
    <x v="4"/>
    <s v="ND"/>
    <s v="NAC"/>
    <s v="Chile"/>
    <m/>
    <m/>
    <m/>
    <x v="4"/>
    <m/>
    <m/>
    <m/>
    <m/>
    <s v="N/A"/>
    <m/>
    <m/>
    <m/>
    <m/>
    <x v="4"/>
  </r>
  <r>
    <s v="O-886"/>
    <d v="2018-06-05T00:00:00"/>
    <x v="87"/>
    <s v="AXIS"/>
    <s v="José Alberto Díaz "/>
    <s v="jdiaz@serviciosaxis.cl "/>
    <s v="Plan Constructibilidad Tubería Agua Desalada"/>
    <x v="26"/>
    <s v="ND"/>
    <s v="NAC"/>
    <s v="Chile"/>
    <m/>
    <s v="Marcelo Agular"/>
    <m/>
    <x v="3"/>
    <m/>
    <d v="2018-06-05T00:00:00"/>
    <n v="365"/>
    <n v="14.175000000000001"/>
    <n v="38835.61643835617"/>
    <m/>
    <m/>
    <m/>
    <m/>
    <x v="4"/>
  </r>
  <r>
    <s v="O-885"/>
    <d v="2018-06-05T00:00:00"/>
    <x v="88"/>
    <s v="ENAP"/>
    <m/>
    <m/>
    <s v="ID Nuevo Estanque T-1001 y sus Interconexiones Planta San Fernando"/>
    <x v="1"/>
    <s v="LM"/>
    <s v="NAC"/>
    <s v="Chile"/>
    <m/>
    <s v="Miguel Parra"/>
    <m/>
    <x v="3"/>
    <m/>
    <d v="2018-06-05T00:00:00"/>
    <n v="1479"/>
    <n v="46.369799999999998"/>
    <n v="31352.129817444216"/>
    <m/>
    <m/>
    <m/>
    <m/>
    <x v="4"/>
  </r>
  <r>
    <s v="O-884"/>
    <d v="2018-06-05T00:00:00"/>
    <x v="88"/>
    <s v="ENAP"/>
    <m/>
    <m/>
    <s v="ID Nuevo Estanque T-1003 y sus Interconexiones Planta Maipu Disciplina Electricidad e Instrumentacion"/>
    <x v="1"/>
    <s v="LM"/>
    <s v="NAC"/>
    <s v="Chile"/>
    <m/>
    <s v="Miguel Parra"/>
    <m/>
    <x v="3"/>
    <m/>
    <d v="2018-06-05T00:00:00"/>
    <n v="1365"/>
    <n v="43.575299999999999"/>
    <n v="31923.296703296703"/>
    <m/>
    <m/>
    <m/>
    <m/>
    <x v="4"/>
  </r>
  <r>
    <s v="O-883"/>
    <d v="2018-05-30T00:00:00"/>
    <x v="14"/>
    <s v="Vale Brasil"/>
    <m/>
    <m/>
    <s v="ID Segregacion de Rejeito de Brucutu"/>
    <x v="1"/>
    <s v="ND"/>
    <s v="INT"/>
    <s v="Brasil"/>
    <m/>
    <s v="Pedro Valencia"/>
    <m/>
    <x v="4"/>
    <m/>
    <m/>
    <m/>
    <m/>
    <m/>
    <m/>
    <m/>
    <m/>
    <m/>
    <x v="4"/>
  </r>
  <r>
    <s v="O-882"/>
    <d v="2018-05-29T00:00:00"/>
    <x v="77"/>
    <s v="Chinalco"/>
    <s v="Eric Escalante "/>
    <m/>
    <s v="Análisis Hidráulico y Condiciones Operación Relaveducto Toromocho"/>
    <x v="3"/>
    <s v="ND"/>
    <s v="INT"/>
    <s v="Perú"/>
    <m/>
    <s v="Pedro Valencia"/>
    <m/>
    <x v="5"/>
    <m/>
    <d v="2018-05-30T00:00:00"/>
    <n v="70"/>
    <n v="9.8091000000000008"/>
    <n v="140130"/>
    <s v="SH-0166"/>
    <m/>
    <m/>
    <m/>
    <x v="4"/>
  </r>
  <r>
    <s v="O-881"/>
    <d v="2018-05-28T00:00:00"/>
    <x v="45"/>
    <s v="PELAMBRES"/>
    <m/>
    <m/>
    <s v="Ctto Marco Servicios de Ingenieria"/>
    <x v="14"/>
    <s v="LM"/>
    <s v="NAC"/>
    <s v="Chile"/>
    <m/>
    <s v="Pedro Valencia"/>
    <s v="No calificamos en las tres empresas menores adjudicadas"/>
    <x v="3"/>
    <m/>
    <d v="2018-05-29T00:00:00"/>
    <m/>
    <m/>
    <m/>
    <m/>
    <m/>
    <m/>
    <m/>
    <x v="4"/>
  </r>
  <r>
    <s v="O-880"/>
    <d v="2018-05-29T00:00:00"/>
    <x v="15"/>
    <s v="CAP Mineria"/>
    <s v="Guillermo Moreno"/>
    <s v="gmoreno@pe.cmp.cl "/>
    <s v="Revisión Experta Ingeniería de Detalles Nueva Tubería Acueducto CNN"/>
    <x v="1"/>
    <s v="ND"/>
    <s v="NAC"/>
    <s v="Chile"/>
    <m/>
    <s v="Pedro Valencia"/>
    <m/>
    <x v="5"/>
    <m/>
    <d v="2018-05-29T00:00:00"/>
    <n v="630"/>
    <n v="35.316000000000003"/>
    <n v="56057.142857142862"/>
    <s v="SH0190"/>
    <m/>
    <m/>
    <m/>
    <x v="4"/>
  </r>
  <r>
    <s v="O-879"/>
    <d v="2018-05-25T00:00:00"/>
    <x v="16"/>
    <s v="CANDELARIA"/>
    <s v="Marco Martin Misle"/>
    <s v="marco.a.martin@lundinmining.com"/>
    <s v=" IC Diseño De Una Etapa Secundaria De Chancado Para Minerales Subterráneos Candelaria"/>
    <x v="2"/>
    <s v="LM"/>
    <s v="NAC"/>
    <s v="Chile"/>
    <m/>
    <s v="Claudio Muñoz"/>
    <m/>
    <x v="3"/>
    <m/>
    <d v="2018-06-18T00:00:00"/>
    <n v="1992"/>
    <n v="3.6480000000000001"/>
    <n v="1831.3253012048192"/>
    <m/>
    <m/>
    <m/>
    <m/>
    <x v="4"/>
  </r>
  <r>
    <s v="O-878"/>
    <d v="2018-06-26T00:00:00"/>
    <x v="16"/>
    <s v="CANDELARIA"/>
    <s v="Marco Martin Misle"/>
    <s v="marco.a.martin@lundinmining.com"/>
    <s v=" Estudio Ingenierías Para Re-Impulsión Relaves Ojos Del Salado"/>
    <x v="1"/>
    <s v="LM"/>
    <s v="NAC"/>
    <s v="Chile"/>
    <m/>
    <s v="Pedro Valencia"/>
    <s v="Licitación Desierta"/>
    <x v="4"/>
    <m/>
    <d v="2018-06-19T00:00:00"/>
    <n v="8544"/>
    <n v="341.68185"/>
    <n v="39990.853230337074"/>
    <m/>
    <m/>
    <m/>
    <m/>
    <x v="4"/>
  </r>
  <r>
    <s v="O-877"/>
    <d v="2018-05-30T00:00:00"/>
    <x v="23"/>
    <s v="CASERONES"/>
    <s v="Felipe Pérez Martínez"/>
    <s v="fperez@caserones.cl "/>
    <s v="Ingeniería Conducción Auxiliar de Lamas la Brea "/>
    <x v="1"/>
    <s v="ND"/>
    <s v="NAC"/>
    <s v="Chile"/>
    <m/>
    <s v="Pedro Valencia"/>
    <m/>
    <x v="5"/>
    <m/>
    <d v="2018-05-30T00:00:00"/>
    <n v="731"/>
    <n v="18.63"/>
    <n v="25485.636114911078"/>
    <s v="SH0158-OS22"/>
    <m/>
    <m/>
    <m/>
    <x v="4"/>
  </r>
  <r>
    <s v="O-876"/>
    <d v="2018-05-22T00:00:00"/>
    <x v="15"/>
    <s v="CAP Mineria"/>
    <s v="Guillermo Moreno"/>
    <s v="gmoreno@pe.cmp.cl "/>
    <s v="Revision Independiente Ingenieria de Detalles Acueducto de 20 Pul"/>
    <x v="3"/>
    <s v="ND"/>
    <s v="NAC"/>
    <s v="Chile"/>
    <m/>
    <s v="Pedro Valencia"/>
    <m/>
    <x v="4"/>
    <m/>
    <m/>
    <m/>
    <m/>
    <m/>
    <m/>
    <m/>
    <m/>
    <m/>
    <x v="4"/>
  </r>
  <r>
    <s v="O-875"/>
    <d v="2018-05-22T00:00:00"/>
    <x v="15"/>
    <s v="CAP Mineria"/>
    <s v="Guillermo Moreno"/>
    <s v="gmoreno@pe.cmp.cl "/>
    <s v="Revisión Especificacion compra tuberia Acueducto Agua Desalada"/>
    <x v="3"/>
    <s v="ND"/>
    <s v="NAC"/>
    <s v="Chile"/>
    <m/>
    <s v="Pedro Valencia"/>
    <m/>
    <x v="5"/>
    <m/>
    <d v="2018-05-22T00:00:00"/>
    <n v="120"/>
    <n v="8.1"/>
    <n v="67499.999999999985"/>
    <s v="SH-0189"/>
    <m/>
    <m/>
    <m/>
    <x v="4"/>
  </r>
  <r>
    <s v="O-874"/>
    <d v="2018-05-17T00:00:00"/>
    <x v="39"/>
    <s v="Sedgman"/>
    <s v="Pablo Escobar"/>
    <s v="Pablo.Escobar@sedgman.com"/>
    <s v="Solicitud de Ingeniero Piping "/>
    <x v="3"/>
    <s v="ND"/>
    <s v="NAC"/>
    <s v="Chile"/>
    <m/>
    <s v="Pedro Valencia"/>
    <m/>
    <x v="5"/>
    <m/>
    <d v="2018-05-17T00:00:00"/>
    <n v="44"/>
    <n v="1.89"/>
    <n v="42954.545454545456"/>
    <s v="SH-0188"/>
    <m/>
    <m/>
    <m/>
    <x v="4"/>
  </r>
  <r>
    <s v="O-873"/>
    <d v="2018-05-17T00:00:00"/>
    <x v="23"/>
    <s v="CASERONES"/>
    <s v="José Luis Moreno "/>
    <s v="jmoreno.esed@caserones.cl"/>
    <s v="Ingeniería de Detalles Complementaria Planta Moly"/>
    <x v="1"/>
    <s v="ND"/>
    <s v="NAC"/>
    <s v="Chile"/>
    <m/>
    <s v="Pedro Valencia"/>
    <m/>
    <x v="5"/>
    <m/>
    <d v="2018-05-17T00:00:00"/>
    <n v="370"/>
    <n v="10.016999999999999"/>
    <n v="27072.97297297297"/>
    <s v="SH0158-OS21"/>
    <m/>
    <m/>
    <m/>
    <x v="4"/>
  </r>
  <r>
    <s v="O-872"/>
    <d v="2018-05-17T00:00:00"/>
    <x v="23"/>
    <s v="CASERONES"/>
    <s v="José Luis Moreno "/>
    <s v="jmoreno.esed@caserones.cl"/>
    <s v="Heat tracing Planta Moly"/>
    <x v="1"/>
    <s v="ND"/>
    <s v="NAC"/>
    <s v="Chile"/>
    <m/>
    <s v="Pedro Valencia"/>
    <m/>
    <x v="5"/>
    <m/>
    <d v="2018-05-17T00:00:00"/>
    <n v="184"/>
    <n v="4.9950000000000001"/>
    <n v="27146.739130434784"/>
    <s v="SH0158-OS20"/>
    <m/>
    <m/>
    <m/>
    <x v="4"/>
  </r>
  <r>
    <s v="O-871"/>
    <d v="2018-05-16T00:00:00"/>
    <x v="89"/>
    <s v="Codelco CHUQUI"/>
    <m/>
    <m/>
    <s v="Servicios de Ingenieria de Factibilidad, Detalle y Terreno Cartera de Proyectos 2018-2021"/>
    <x v="27"/>
    <s v="LM"/>
    <s v="NAC"/>
    <s v="Chile"/>
    <m/>
    <s v="Pedro Valencia"/>
    <m/>
    <x v="4"/>
    <m/>
    <s v="NA"/>
    <s v="NA"/>
    <s v="NA"/>
    <s v="NA"/>
    <m/>
    <m/>
    <m/>
    <m/>
    <x v="4"/>
  </r>
  <r>
    <s v="O-870"/>
    <d v="2018-05-16T00:00:00"/>
    <x v="89"/>
    <s v="Codelco CHUQUI"/>
    <m/>
    <m/>
    <s v="Servicios de Ingenieria de Perfil y Prefactibilidad Cartera de Proyectos 2018-2021"/>
    <x v="27"/>
    <s v="LM"/>
    <s v="NAC"/>
    <s v="Chile"/>
    <m/>
    <s v="Pedro Valencia"/>
    <m/>
    <x v="4"/>
    <m/>
    <s v="NA"/>
    <s v="NA"/>
    <s v="NA"/>
    <s v="NA"/>
    <m/>
    <m/>
    <m/>
    <m/>
    <x v="4"/>
  </r>
  <r>
    <s v="O-869"/>
    <d v="2018-05-10T00:00:00"/>
    <x v="14"/>
    <s v="Vale Brasil"/>
    <m/>
    <m/>
    <s v="Assesoria testes de laboratorio"/>
    <x v="3"/>
    <s v="ND"/>
    <s v="INT"/>
    <s v="Brasil"/>
    <m/>
    <s v="Pedro Valencia"/>
    <m/>
    <x v="3"/>
    <m/>
    <d v="2018-05-10T00:00:00"/>
    <n v="100"/>
    <n v="2.5459999999999998"/>
    <n v="25459.999999999996"/>
    <m/>
    <m/>
    <m/>
    <m/>
    <x v="4"/>
  </r>
  <r>
    <s v="O-868"/>
    <d v="2018-05-09T00:00:00"/>
    <x v="90"/>
    <s v="Minera Cerro Negro "/>
    <s v="Víctor Lungoci "/>
    <s v="victor.lungoci@cerronegro.cl"/>
    <s v="Ingeniería Básica Piscina de Emergencia Derrames y Sistema Limpieza. Minera Cerro Negro "/>
    <x v="5"/>
    <s v="ND"/>
    <s v="NAC"/>
    <s v="Chile"/>
    <m/>
    <s v="Pedro Valencia"/>
    <m/>
    <x v="3"/>
    <m/>
    <d v="2018-05-09T00:00:00"/>
    <n v="249"/>
    <n v="7.3710000000000004"/>
    <n v="29602.409638554218"/>
    <m/>
    <m/>
    <m/>
    <m/>
    <x v="4"/>
  </r>
  <r>
    <s v="O-867"/>
    <d v="2018-05-03T00:00:00"/>
    <x v="39"/>
    <s v="Sedgman"/>
    <m/>
    <m/>
    <s v="EPC Manto Verde"/>
    <x v="26"/>
    <s v="ND"/>
    <s v="NAC"/>
    <s v="Chile"/>
    <m/>
    <s v="Pedro Valencia"/>
    <m/>
    <x v="3"/>
    <m/>
    <d v="2019-06-06T00:00:00"/>
    <n v="95733"/>
    <n v="4149.0999000000002"/>
    <n v="43340.330920372289"/>
    <m/>
    <m/>
    <m/>
    <m/>
    <x v="4"/>
  </r>
  <r>
    <s v="O-866"/>
    <d v="2018-04-19T00:00:00"/>
    <x v="19"/>
    <s v="Codelco"/>
    <m/>
    <m/>
    <s v="Ingenieria de Detalles e Integracion Proyecto Obras Sobre Cota 640 MSNM Tranque Ovejeria Etapa 2"/>
    <x v="1"/>
    <s v="LM"/>
    <s v="NAC"/>
    <s v="Chile"/>
    <m/>
    <s v="Pedro Valencia"/>
    <m/>
    <x v="3"/>
    <m/>
    <d v="2018-04-27T00:00:00"/>
    <m/>
    <m/>
    <m/>
    <m/>
    <m/>
    <m/>
    <m/>
    <x v="4"/>
  </r>
  <r>
    <s v="O-865"/>
    <d v="2018-05-14T00:00:00"/>
    <x v="89"/>
    <s v="Codelco CHUQUI"/>
    <m/>
    <m/>
    <s v=" Ingeniería de Terreno Fase II - Proyecto Ampliación Tranque Talabre VIII Etapa"/>
    <x v="11"/>
    <s v="LM"/>
    <s v="NAC"/>
    <s v="Chile"/>
    <m/>
    <s v="Pedro Valencia"/>
    <m/>
    <x v="5"/>
    <m/>
    <d v="2018-06-11T00:00:00"/>
    <n v="40208"/>
    <n v="1537.7161194100001"/>
    <n v="38244.034008406292"/>
    <s v="SH-0202"/>
    <m/>
    <m/>
    <m/>
    <x v="4"/>
  </r>
  <r>
    <s v="O-864"/>
    <d v="2018-04-26T00:00:00"/>
    <x v="0"/>
    <s v="Doosan"/>
    <m/>
    <m/>
    <s v="Soporte Operacional Sistema de Transporte Agua Desalada"/>
    <x v="0"/>
    <m/>
    <m/>
    <m/>
    <m/>
    <m/>
    <m/>
    <x v="4"/>
    <m/>
    <m/>
    <m/>
    <m/>
    <m/>
    <m/>
    <m/>
    <m/>
    <m/>
    <x v="1"/>
  </r>
  <r>
    <s v="O-863"/>
    <d v="2018-04-30T00:00:00"/>
    <x v="23"/>
    <s v="Caserones"/>
    <s v="José Luis Moreno "/>
    <s v="jmoreno.esed@caserones.cl"/>
    <s v="Ingeniería de Detalles Aspersores en Celda de Flotación Molibdeno y Fundación Bomba Espesador Concentrado de Cobre - MLCC // Contrato"/>
    <x v="1"/>
    <s v="ND"/>
    <s v="NAC"/>
    <s v="Chile"/>
    <m/>
    <s v="Pedro Valencia"/>
    <m/>
    <x v="3"/>
    <m/>
    <d v="2018-04-30T00:00:00"/>
    <n v="575"/>
    <n v="16.361999999999998"/>
    <n v="28455.65217391304"/>
    <m/>
    <m/>
    <m/>
    <m/>
    <x v="4"/>
  </r>
  <r>
    <s v="O-862"/>
    <d v="2018-05-02T00:00:00"/>
    <x v="90"/>
    <s v="Minera Cerro Negro "/>
    <s v="Víctor Lungoci "/>
    <s v="victor.lungoci@cerronegro.cl"/>
    <s v="Ingeniería Básica, EPC y Operación Repulpeo de Relaves Minera Cerro Negro"/>
    <x v="5"/>
    <s v="ND"/>
    <s v="NAC"/>
    <s v="Chile"/>
    <m/>
    <s v="Pedro Valencia"/>
    <m/>
    <x v="3"/>
    <m/>
    <s v="02-05-218"/>
    <n v="1096"/>
    <n v="228.01499999999999"/>
    <n v="208042.88321167883"/>
    <m/>
    <m/>
    <m/>
    <m/>
    <x v="4"/>
  </r>
  <r>
    <s v="O-861"/>
    <d v="2018-05-10T00:00:00"/>
    <x v="13"/>
    <s v="Sierra Gorda"/>
    <m/>
    <m/>
    <s v="Servicio de Ingenieria Desarrollo Area Tranque y Relaves - Sierra Gorda"/>
    <x v="14"/>
    <s v="LM"/>
    <s v="NAC"/>
    <s v="Chile"/>
    <m/>
    <s v="Pedro Valencia"/>
    <m/>
    <x v="5"/>
    <m/>
    <d v="2018-05-10T00:00:00"/>
    <m/>
    <m/>
    <m/>
    <s v="SH-0193"/>
    <m/>
    <m/>
    <m/>
    <x v="4"/>
  </r>
  <r>
    <s v="O-860"/>
    <d v="2018-05-04T00:00:00"/>
    <x v="51"/>
    <s v="COLLAHUASI"/>
    <s v="Rodolfo Arévalo "/>
    <m/>
    <s v="Estudio Flexibilidad Operacional Mineroducto de 7” y 8”"/>
    <x v="10"/>
    <s v="ND"/>
    <s v="NAC"/>
    <s v="Chile"/>
    <m/>
    <s v="Pedro Valencia"/>
    <m/>
    <x v="3"/>
    <m/>
    <d v="2018-05-04T00:00:00"/>
    <n v="383"/>
    <n v="14.7"/>
    <n v="38381.20104438642"/>
    <m/>
    <m/>
    <m/>
    <m/>
    <x v="4"/>
  </r>
  <r>
    <s v="O-859"/>
    <d v="2018-06-06T00:00:00"/>
    <x v="53"/>
    <s v="Codelco ANDINA"/>
    <m/>
    <m/>
    <s v="Precalificacion Ingenieria de Detalles e Integracion Tranque Ovejeria Etapa 2"/>
    <x v="1"/>
    <s v="LM"/>
    <s v="NAC"/>
    <s v="Chile"/>
    <m/>
    <s v="Pedro Valencia"/>
    <m/>
    <x v="3"/>
    <m/>
    <d v="2018-06-06T00:00:00"/>
    <m/>
    <m/>
    <m/>
    <m/>
    <m/>
    <m/>
    <m/>
    <x v="4"/>
  </r>
  <r>
    <s v="O-858"/>
    <d v="2018-04-19T00:00:00"/>
    <x v="91"/>
    <s v="Constructora SERGENCO "/>
    <s v="Miguel Angel Campos A"/>
    <m/>
    <s v="Estudio Hidrológico y Diseño de Drenaje y Canalizaciones - Alma ISFA Project"/>
    <x v="10"/>
    <s v="ND"/>
    <s v="NAC"/>
    <s v="Chile"/>
    <m/>
    <s v="Pedro Valencia"/>
    <m/>
    <x v="3"/>
    <m/>
    <d v="2018-04-19T00:00:00"/>
    <n v="200"/>
    <n v="6.75"/>
    <n v="33750"/>
    <m/>
    <m/>
    <m/>
    <m/>
    <x v="4"/>
  </r>
  <r>
    <s v="O-857"/>
    <d v="2018-04-12T00:00:00"/>
    <x v="23"/>
    <s v="Caserones"/>
    <m/>
    <m/>
    <s v="Ingenieria Implementación Planta de Almacenaje de Nitrogeno "/>
    <x v="1"/>
    <s v="LC"/>
    <s v="NAC"/>
    <s v="Chile"/>
    <m/>
    <s v="Pedro Valencia"/>
    <m/>
    <x v="3"/>
    <m/>
    <d v="2018-07-18T00:00:00"/>
    <n v="974"/>
    <n v="25.271999999999998"/>
    <n v="25946.611909650921"/>
    <m/>
    <m/>
    <m/>
    <m/>
    <x v="4"/>
  </r>
  <r>
    <s v="O-856"/>
    <d v="2018-04-12T00:00:00"/>
    <x v="23"/>
    <s v="CASERONES"/>
    <m/>
    <m/>
    <s v="Ingeniería de Detalles actualización Diseño Despiedradores de Arenas"/>
    <x v="1"/>
    <s v="ND"/>
    <s v="NAC"/>
    <s v="Chile"/>
    <m/>
    <s v="Pedro Valencia"/>
    <m/>
    <x v="5"/>
    <m/>
    <d v="2018-07-18T00:00:00"/>
    <n v="656"/>
    <n v="16.550999999999998"/>
    <n v="25230.182926829268"/>
    <s v="SH0158-OS19"/>
    <m/>
    <m/>
    <m/>
    <x v="4"/>
  </r>
  <r>
    <s v="O-855"/>
    <d v="2018-04-12T00:00:00"/>
    <x v="14"/>
    <s v="Vale Brasil"/>
    <m/>
    <m/>
    <s v="Estudo Conceitual Bombeamento dos Espessadores Ate Filtragrem Caue"/>
    <x v="2"/>
    <s v="LC"/>
    <s v="INT"/>
    <s v="Brasil"/>
    <m/>
    <s v="Pedro Valencia"/>
    <m/>
    <x v="3"/>
    <m/>
    <d v="2018-07-18T00:00:00"/>
    <n v="252"/>
    <n v="6.2889999999999997"/>
    <n v="24956.349206349205"/>
    <m/>
    <m/>
    <m/>
    <m/>
    <x v="4"/>
  </r>
  <r>
    <s v="O-854"/>
    <d v="2018-04-11T00:00:00"/>
    <x v="29"/>
    <s v="SQM"/>
    <s v="Jaime Barrio"/>
    <m/>
    <s v="Ingenieria Civil Estructural Galpón Cancha 9 Puerto Tocopilla"/>
    <x v="1"/>
    <s v="LM"/>
    <s v="NAC"/>
    <s v="Chile"/>
    <m/>
    <s v="Claudio Muñoz"/>
    <m/>
    <x v="3"/>
    <m/>
    <d v="2018-07-18T00:00:00"/>
    <n v="1400"/>
    <n v="38.826000000000001"/>
    <n v="27732.857142857141"/>
    <m/>
    <m/>
    <m/>
    <m/>
    <x v="4"/>
  </r>
  <r>
    <s v="O-853"/>
    <d v="2018-04-10T00:00:00"/>
    <x v="39"/>
    <s v="NEXA"/>
    <m/>
    <m/>
    <s v="Estudio Perfil Planta de Concentrado y Relavera Shalipayco"/>
    <x v="27"/>
    <s v="ND"/>
    <s v="INT"/>
    <s v="Perú"/>
    <m/>
    <s v="Pablo Vasquez"/>
    <m/>
    <x v="3"/>
    <m/>
    <d v="2018-04-18T00:00:00"/>
    <n v="633"/>
    <n v="25.539000000000001"/>
    <n v="40345.971563981046"/>
    <m/>
    <m/>
    <m/>
    <m/>
    <x v="4"/>
  </r>
  <r>
    <s v="O-852"/>
    <d v="2018-04-09T00:00:00"/>
    <x v="14"/>
    <s v="Vale Brasil"/>
    <m/>
    <m/>
    <s v="Estudo Basico de Analise Flexibilidade Projeto Trombetas Mineracao Rio do Norte (MRN)"/>
    <x v="10"/>
    <s v="LM"/>
    <s v="INT"/>
    <s v="Brasil"/>
    <m/>
    <s v="Pedro Valencia"/>
    <m/>
    <x v="5"/>
    <m/>
    <d v="2018-04-18T00:00:00"/>
    <n v="94"/>
    <n v="2.1280000000000001"/>
    <n v="22638.297872340427"/>
    <s v="SH-0185"/>
    <m/>
    <m/>
    <m/>
    <x v="4"/>
  </r>
  <r>
    <s v="O-851"/>
    <d v="2018-04-04T00:00:00"/>
    <x v="51"/>
    <s v="COLLAHUASI"/>
    <m/>
    <m/>
    <s v="Ingenieria Eficiencia Hídrica Procesos Agua"/>
    <x v="5"/>
    <s v="LM"/>
    <s v="NAC"/>
    <s v="Chile"/>
    <m/>
    <s v="Pedro Valencia"/>
    <m/>
    <x v="3"/>
    <m/>
    <d v="2018-04-18T00:00:00"/>
    <n v="15531"/>
    <n v="439.04700000000003"/>
    <n v="28269.074753718371"/>
    <m/>
    <m/>
    <m/>
    <m/>
    <x v="4"/>
  </r>
  <r>
    <s v="O-850"/>
    <d v="2018-04-05T00:00:00"/>
    <x v="92"/>
    <s v="CNN"/>
    <s v="Cristian Valdes"/>
    <s v="cvaldes@cmp.cl"/>
    <s v="Estudio de Diagnóstico Concentraducto Cerro Negro Norte"/>
    <x v="10"/>
    <s v="LM"/>
    <s v="NAC"/>
    <s v="Chile"/>
    <m/>
    <s v="Claudio Muñoz"/>
    <m/>
    <x v="3"/>
    <m/>
    <d v="2018-04-19T00:00:00"/>
    <n v="510"/>
    <n v="32.4"/>
    <n v="63529.411764705874"/>
    <m/>
    <m/>
    <m/>
    <m/>
    <x v="4"/>
  </r>
  <r>
    <s v="O-849"/>
    <d v="2018-04-12T00:00:00"/>
    <x v="14"/>
    <s v="SNC Lavalin Brasil"/>
    <m/>
    <m/>
    <s v="Analise Transiente Bombeo Rejeito Dragado"/>
    <x v="10"/>
    <s v="LC"/>
    <s v="NAC"/>
    <s v="Chile"/>
    <m/>
    <s v="Pedro Valencia"/>
    <m/>
    <x v="3"/>
    <m/>
    <d v="2018-04-04T00:00:00"/>
    <n v="100"/>
    <n v="2.3182"/>
    <n v="23182"/>
    <m/>
    <m/>
    <m/>
    <m/>
    <x v="4"/>
  </r>
  <r>
    <s v="O-848"/>
    <d v="2018-04-12T00:00:00"/>
    <x v="43"/>
    <s v="ENAMI"/>
    <m/>
    <m/>
    <s v="Ingenieria Manejo y Disposicion de Relave de Escoria Filtrada Fundicion Hernan Videla Lira "/>
    <x v="5"/>
    <s v="LM"/>
    <s v="NAC"/>
    <s v="Chile"/>
    <m/>
    <s v="Pedro Valencia"/>
    <m/>
    <x v="5"/>
    <m/>
    <d v="2018-05-09T00:00:00"/>
    <n v="3320"/>
    <n v="139.40720200000001"/>
    <n v="41990.121084337356"/>
    <s v="SH-0195"/>
    <m/>
    <m/>
    <m/>
    <x v="4"/>
  </r>
  <r>
    <s v="O-847"/>
    <d v="2018-04-12T00:00:00"/>
    <x v="51"/>
    <s v="COLLAHUASI"/>
    <s v="Renzo Rosa"/>
    <m/>
    <s v="Ingeniería Mejoras Sistemas de Distribución de Agua Potable y Tratamiento"/>
    <x v="5"/>
    <s v="LM"/>
    <s v="NAC"/>
    <s v="Chile"/>
    <m/>
    <s v="Pedro Valencia"/>
    <m/>
    <x v="3"/>
    <m/>
    <d v="2018-04-12T00:00:00"/>
    <n v="12190"/>
    <n v="341.46089999999998"/>
    <n v="28011.558654634944"/>
    <m/>
    <m/>
    <m/>
    <m/>
    <x v="4"/>
  </r>
  <r>
    <s v="O-846"/>
    <d v="2018-04-09T00:00:00"/>
    <x v="23"/>
    <s v="CASERONES"/>
    <m/>
    <m/>
    <s v="Ingeniería Detalles Mejoras Planta Moly"/>
    <x v="1"/>
    <s v="ND"/>
    <s v="NAC"/>
    <s v="Chile"/>
    <m/>
    <s v="Pedro Valencia"/>
    <m/>
    <x v="5"/>
    <m/>
    <d v="2018-04-11T00:00:00"/>
    <n v="1249"/>
    <n v="32.103000000000002"/>
    <n v="25702.962369895919"/>
    <s v="SH0158-OS17"/>
    <m/>
    <m/>
    <m/>
    <x v="4"/>
  </r>
  <r>
    <s v="O-845"/>
    <d v="2018-03-29T00:00:00"/>
    <x v="23"/>
    <s v="Caserones"/>
    <m/>
    <m/>
    <s v="Ingeniería Detalles Flexibilidad EB6 y Estación Intermedia"/>
    <x v="1"/>
    <s v="ND"/>
    <s v="NAC"/>
    <s v="Chile"/>
    <m/>
    <s v="Pedro Valencia"/>
    <m/>
    <x v="3"/>
    <m/>
    <d v="2018-03-29T00:00:00"/>
    <n v="723"/>
    <n v="19.305"/>
    <n v="26701.244813278008"/>
    <m/>
    <m/>
    <m/>
    <m/>
    <x v="4"/>
  </r>
  <r>
    <s v="O-844"/>
    <d v="2018-03-26T00:00:00"/>
    <x v="14"/>
    <s v="Vale Brasil"/>
    <m/>
    <m/>
    <s v="Estudo Conceitual Bombeamento do Rejeito e da Lama"/>
    <x v="2"/>
    <s v="LM"/>
    <s v="INT"/>
    <s v="Brasil"/>
    <m/>
    <s v="Pedro Valencia"/>
    <m/>
    <x v="3"/>
    <m/>
    <d v="2018-03-26T00:00:00"/>
    <n v="357"/>
    <n v="7.8337000000000003"/>
    <n v="21943.137254901962"/>
    <m/>
    <m/>
    <m/>
    <m/>
    <x v="4"/>
  </r>
  <r>
    <s v="O-843"/>
    <d v="2018-03-23T00:00:00"/>
    <x v="14"/>
    <s v="Vale Brasil"/>
    <m/>
    <m/>
    <s v="Servico de Consultoria de Engenharia na Especialidade de Sistema Transporte Hidraulico"/>
    <x v="9"/>
    <s v="ND"/>
    <s v="INT"/>
    <s v="Brasil"/>
    <m/>
    <s v="Pedro Valencia"/>
    <s v="Contrato Marco de Ingeniería"/>
    <x v="5"/>
    <m/>
    <m/>
    <m/>
    <m/>
    <m/>
    <m/>
    <m/>
    <m/>
    <m/>
    <x v="4"/>
  </r>
  <r>
    <s v="O-842"/>
    <d v="2018-03-20T00:00:00"/>
    <x v="93"/>
    <s v="Minera Antamina"/>
    <m/>
    <m/>
    <s v="Precalificación EPC Sistema de Bombeo de Relaves Linea Norte y Sur"/>
    <x v="26"/>
    <s v="LM"/>
    <s v="INT"/>
    <s v="Perú"/>
    <m/>
    <s v="Claudio Muñoz"/>
    <s v="Antecedentes de Precalificación enviados"/>
    <x v="3"/>
    <m/>
    <m/>
    <m/>
    <m/>
    <m/>
    <m/>
    <m/>
    <m/>
    <m/>
    <x v="4"/>
  </r>
  <r>
    <s v="O-841"/>
    <d v="2018-03-20T00:00:00"/>
    <x v="66"/>
    <s v="CEMIN"/>
    <m/>
    <m/>
    <s v="Estudio de Diagnostico Bombeo de Relaves Espesados"/>
    <x v="10"/>
    <s v="ND"/>
    <s v="NAC"/>
    <s v="Chile"/>
    <m/>
    <s v="Pedro Valencia"/>
    <m/>
    <x v="3"/>
    <m/>
    <m/>
    <m/>
    <m/>
    <m/>
    <m/>
    <m/>
    <m/>
    <m/>
    <x v="4"/>
  </r>
  <r>
    <s v="O-840"/>
    <d v="2018-03-12T00:00:00"/>
    <x v="45"/>
    <s v="PELAMBRES"/>
    <m/>
    <m/>
    <s v="Servicio de Operación y Mantención Repulpeo Quillayes"/>
    <x v="3"/>
    <s v="LM"/>
    <s v="NAC"/>
    <s v="Chile"/>
    <m/>
    <s v="Pedro Valencia"/>
    <s v="Licitación Desierta"/>
    <x v="4"/>
    <m/>
    <m/>
    <m/>
    <m/>
    <m/>
    <m/>
    <m/>
    <m/>
    <m/>
    <x v="4"/>
  </r>
  <r>
    <s v="O-839"/>
    <d v="2018-03-12T00:00:00"/>
    <x v="14"/>
    <s v="Vale Brasil"/>
    <m/>
    <m/>
    <s v="Engenharia Basica Alteracao Rota Bombamento Caue CB-3 "/>
    <x v="5"/>
    <s v="ND"/>
    <s v="INT"/>
    <s v="Brasil"/>
    <m/>
    <s v="Pedro Valencia"/>
    <s v="Adjudicada Brass Brasil"/>
    <x v="3"/>
    <m/>
    <d v="2018-03-27T00:00:00"/>
    <n v="120"/>
    <n v="3.0150000000000001"/>
    <n v="25125"/>
    <m/>
    <m/>
    <m/>
    <m/>
    <x v="4"/>
  </r>
  <r>
    <s v="O-838"/>
    <d v="2018-03-12T00:00:00"/>
    <x v="56"/>
    <s v="Teck"/>
    <s v="John Pottie"/>
    <m/>
    <s v="Asesoría Experta Taller de Relaves Proyecto Hipógeno Quebrada Blanca 2- TECK"/>
    <x v="3"/>
    <s v="ND"/>
    <s v="NAC"/>
    <s v="Chile"/>
    <m/>
    <s v="Pablo Vasquez"/>
    <m/>
    <x v="5"/>
    <m/>
    <d v="2018-03-12T00:00:00"/>
    <n v="36"/>
    <n v="2.8944000000000001"/>
    <n v="80400"/>
    <s v="SH-0183"/>
    <m/>
    <m/>
    <m/>
    <x v="4"/>
  </r>
  <r>
    <s v="O-837"/>
    <d v="2018-03-11T00:00:00"/>
    <x v="51"/>
    <s v="COLLAHUASI"/>
    <m/>
    <m/>
    <s v="Análisis Obras Tempranas Contención de Fugas Estaciones de Válvulas_x000a_Mineroductos de 7” y 8”"/>
    <x v="10"/>
    <s v="ND"/>
    <s v="NAC"/>
    <s v="Chile"/>
    <m/>
    <s v="Pedro Valencia"/>
    <m/>
    <x v="3"/>
    <m/>
    <d v="2018-03-27T00:00:00"/>
    <n v="317"/>
    <n v="12.086"/>
    <n v="38126.182965299689"/>
    <m/>
    <m/>
    <m/>
    <m/>
    <x v="4"/>
  </r>
  <r>
    <s v="O-836"/>
    <d v="2018-02-28T00:00:00"/>
    <x v="23"/>
    <s v="CASERONES"/>
    <m/>
    <m/>
    <s v="Ingeniería de Detalles Desarenador Acopio de Arenas"/>
    <x v="1"/>
    <s v="ND"/>
    <s v="NAC"/>
    <s v="Chile"/>
    <m/>
    <s v="Pedro Valencia"/>
    <m/>
    <x v="5"/>
    <m/>
    <d v="2018-03-27T00:00:00"/>
    <n v="470"/>
    <n v="12.446999999999999"/>
    <n v="26482.978723404252"/>
    <s v="SH0158-OS16"/>
    <m/>
    <m/>
    <m/>
    <x v="4"/>
  </r>
  <r>
    <s v="O-835"/>
    <d v="2018-02-28T00:00:00"/>
    <x v="23"/>
    <s v="CASERONES"/>
    <m/>
    <m/>
    <s v="Ingeniería de Detalles Drenes laterales Arenas"/>
    <x v="1"/>
    <s v="ND"/>
    <s v="NAC"/>
    <s v="Chile"/>
    <m/>
    <s v="Pedro Valencia"/>
    <m/>
    <x v="5"/>
    <m/>
    <d v="2018-03-27T00:00:00"/>
    <n v="385"/>
    <n v="9.7739999999999991"/>
    <n v="25387.012987012986"/>
    <s v="SH0158-OS18"/>
    <m/>
    <m/>
    <m/>
    <x v="4"/>
  </r>
  <r>
    <s v="O-834"/>
    <d v="2018-02-28T00:00:00"/>
    <x v="23"/>
    <s v="Caserones"/>
    <m/>
    <m/>
    <s v="Ingeniería Protección Línea de Impulsión de Refino"/>
    <x v="1"/>
    <s v="ND"/>
    <s v="NAC"/>
    <s v="Chile"/>
    <m/>
    <s v="Pedro Valencia"/>
    <m/>
    <x v="3"/>
    <m/>
    <d v="2018-03-27T00:00:00"/>
    <n v="445"/>
    <n v="10.664999999999999"/>
    <n v="23966.292134831459"/>
    <m/>
    <m/>
    <m/>
    <m/>
    <x v="4"/>
  </r>
  <r>
    <s v="O-833"/>
    <d v="2018-02-28T00:00:00"/>
    <x v="23"/>
    <s v="Caserones"/>
    <m/>
    <m/>
    <s v="Ingeniería Implementación Sistema de Conducción Rebalses de Línea de_x000a_Refino"/>
    <x v="1"/>
    <s v="ND"/>
    <s v="NAC"/>
    <s v="Chile"/>
    <m/>
    <s v="Pedro Valencia"/>
    <m/>
    <x v="3"/>
    <m/>
    <d v="2018-03-27T00:00:00"/>
    <n v="290"/>
    <n v="7.56"/>
    <n v="26068.965517241377"/>
    <m/>
    <m/>
    <m/>
    <m/>
    <x v="4"/>
  </r>
  <r>
    <s v="O-832"/>
    <d v="2018-02-27T00:00:00"/>
    <x v="14"/>
    <s v="Vale Brasil"/>
    <m/>
    <m/>
    <s v="Estudo Conceitual Mineroducto Aereo Rejeitos Projeto Gelado"/>
    <x v="2"/>
    <s v="ND"/>
    <s v="INT"/>
    <s v="Brasil"/>
    <m/>
    <s v="Pedro Valencia"/>
    <m/>
    <x v="5"/>
    <m/>
    <d v="2018-03-27T00:00:00"/>
    <n v="320"/>
    <n v="8.2539999999999996"/>
    <n v="25793.749999999996"/>
    <s v="SH-0184"/>
    <m/>
    <m/>
    <m/>
    <x v="4"/>
  </r>
  <r>
    <s v="O-831"/>
    <d v="2018-02-27T00:00:00"/>
    <x v="14"/>
    <s v="Vale Brasil"/>
    <m/>
    <m/>
    <s v="CONSOLIDAÇÃO DO BÁSICO E PROJETO DETALHADO VARGEM GRANDE"/>
    <x v="5"/>
    <s v="ND"/>
    <s v="INT"/>
    <s v="Brasil"/>
    <m/>
    <s v="Pedro Valencia"/>
    <m/>
    <x v="3"/>
    <m/>
    <d v="2018-03-27T00:00:00"/>
    <n v="9717"/>
    <n v="230.00299999999999"/>
    <n v="23670.165688998659"/>
    <m/>
    <m/>
    <m/>
    <m/>
    <x v="4"/>
  </r>
  <r>
    <s v="O-830"/>
    <d v="2018-02-22T00:00:00"/>
    <x v="14"/>
    <s v="Vale Brasil"/>
    <m/>
    <m/>
    <s v="Estudo Conceitual Transporte rejeitos Finos e Grossos Brucutu"/>
    <x v="2"/>
    <s v="ND"/>
    <s v="INT"/>
    <s v="Brasil"/>
    <m/>
    <s v="Pedro Valencia"/>
    <m/>
    <x v="3"/>
    <m/>
    <d v="2018-03-27T00:00:00"/>
    <n v="275"/>
    <n v="6.6050000000000004"/>
    <n v="24018.18181818182"/>
    <m/>
    <m/>
    <m/>
    <m/>
    <x v="4"/>
  </r>
  <r>
    <s v="O-829"/>
    <d v="2018-02-22T00:00:00"/>
    <x v="94"/>
    <s v="Centinela"/>
    <m/>
    <m/>
    <s v="Servicio Ingeniero de Registros Depósito de Relaves Espesados"/>
    <x v="11"/>
    <s v="LM"/>
    <s v="NAC"/>
    <s v="Chile"/>
    <m/>
    <s v="Pablo Vasquez"/>
    <m/>
    <x v="3"/>
    <m/>
    <d v="2018-03-27T00:00:00"/>
    <n v="1728"/>
    <n v="83.98"/>
    <n v="48599.537037037036"/>
    <m/>
    <m/>
    <m/>
    <m/>
    <x v="4"/>
  </r>
  <r>
    <s v="O-828"/>
    <d v="2018-02-22T00:00:00"/>
    <x v="23"/>
    <s v="CASERONES"/>
    <m/>
    <m/>
    <s v="Extensión Contrato Marco de Ingeniería N° 01867 Periodo 2018 - 2019"/>
    <x v="9"/>
    <s v="ND"/>
    <s v="NAC"/>
    <s v="Chile"/>
    <m/>
    <s v="Pedro Valencia"/>
    <m/>
    <x v="5"/>
    <m/>
    <d v="2018-03-27T00:00:00"/>
    <m/>
    <m/>
    <m/>
    <m/>
    <m/>
    <m/>
    <m/>
    <x v="4"/>
  </r>
  <r>
    <s v="O-827"/>
    <d v="2018-02-22T00:00:00"/>
    <x v="17"/>
    <s v="Codelco TENIENTE"/>
    <m/>
    <m/>
    <s v="Precalificación Ingeniería Solución Corto Plazo Tranque Barahona"/>
    <x v="2"/>
    <s v="LM"/>
    <s v="NAC"/>
    <s v="Chile"/>
    <m/>
    <s v="Pedro Valencia"/>
    <m/>
    <x v="3"/>
    <m/>
    <d v="2018-03-08T00:00:00"/>
    <m/>
    <m/>
    <m/>
    <m/>
    <m/>
    <m/>
    <m/>
    <x v="4"/>
  </r>
  <r>
    <s v="O-826"/>
    <d v="2018-02-19T00:00:00"/>
    <x v="53"/>
    <s v="Codelco ANDINA"/>
    <m/>
    <m/>
    <s v="Precalificación Ingeniería de Terreno Proyecto Ampliación Tranque Talabre VIII Etapa"/>
    <x v="11"/>
    <s v="LM"/>
    <s v="NAC"/>
    <s v="Chile"/>
    <m/>
    <s v="Pedro Valencia"/>
    <s v="Propuesta Reemplazada por la O865"/>
    <x v="4"/>
    <m/>
    <d v="2018-03-05T00:00:00"/>
    <m/>
    <m/>
    <m/>
    <m/>
    <m/>
    <m/>
    <m/>
    <x v="4"/>
  </r>
  <r>
    <s v="O-825"/>
    <d v="2018-02-12T00:00:00"/>
    <x v="77"/>
    <s v="Chinalco"/>
    <m/>
    <m/>
    <s v="Inspección Fabricación de Equipos en Chile - Proyecto Reubicación de la Tubería de Relaves"/>
    <x v="11"/>
    <s v="LC"/>
    <s v="INT"/>
    <s v="Perú"/>
    <m/>
    <s v="Claudio Muñoz"/>
    <m/>
    <x v="3"/>
    <m/>
    <d v="2018-02-13T00:00:00"/>
    <n v="405"/>
    <n v="21.87"/>
    <n v="54000"/>
    <m/>
    <m/>
    <m/>
    <m/>
    <x v="4"/>
  </r>
  <r>
    <s v="O-824"/>
    <d v="2018-02-09T00:00:00"/>
    <x v="14"/>
    <s v="Vale Brasil"/>
    <m/>
    <m/>
    <s v="Engenharia Detalhada do Mineroduto e Calha Tubular dos Espessadores de Lama - Projeto Gelado"/>
    <x v="1"/>
    <s v="ND"/>
    <s v="INT"/>
    <s v="Brasil"/>
    <m/>
    <s v="Pedro Valencia"/>
    <s v="Revision 4"/>
    <x v="5"/>
    <m/>
    <d v="2018-07-27T00:00:00"/>
    <n v="1310"/>
    <n v="34.710299999999997"/>
    <n v="26496.412213740456"/>
    <s v="SH-0197"/>
    <m/>
    <m/>
    <m/>
    <x v="4"/>
  </r>
  <r>
    <s v="O-823"/>
    <d v="2018-02-08T00:00:00"/>
    <x v="8"/>
    <s v="Arcadis"/>
    <m/>
    <m/>
    <s v="Apoyo Disciplina Civil Geotecnia Especialidad Relaves"/>
    <x v="18"/>
    <s v="ND"/>
    <s v="NAC"/>
    <s v="Chile"/>
    <m/>
    <s v="Claudio Muñoz"/>
    <m/>
    <x v="3"/>
    <m/>
    <d v="2018-02-13T00:00:00"/>
    <n v="170"/>
    <n v="5.5824400000000001"/>
    <n v="32837.882352941175"/>
    <m/>
    <m/>
    <m/>
    <m/>
    <x v="4"/>
  </r>
  <r>
    <s v="O-822"/>
    <d v="2018-02-07T00:00:00"/>
    <x v="95"/>
    <s v="Grupo Cobra Chile"/>
    <m/>
    <m/>
    <s v="Ingeniería de Detalle Sistema Lanzamiento Pigs Inmisario"/>
    <x v="1"/>
    <s v="ND"/>
    <s v="NAC"/>
    <s v="Chile"/>
    <m/>
    <s v="Pedro Valencia"/>
    <m/>
    <x v="3"/>
    <m/>
    <d v="2018-02-13T00:00:00"/>
    <n v="945"/>
    <n v="34.17"/>
    <n v="36158.730158730163"/>
    <m/>
    <m/>
    <m/>
    <m/>
    <x v="4"/>
  </r>
  <r>
    <s v="O-821"/>
    <d v="2018-02-06T00:00:00"/>
    <x v="43"/>
    <s v="ENAMI"/>
    <m/>
    <m/>
    <s v="Ingeniería Básica para el Aumento de Capacidad Fase III del Tranque de relaves N°3 Planta Matta"/>
    <x v="5"/>
    <s v="LM"/>
    <s v="NAC"/>
    <s v="Chile"/>
    <m/>
    <s v="Pedro Valencia"/>
    <m/>
    <x v="5"/>
    <m/>
    <d v="2018-03-13T00:00:00"/>
    <n v="8606"/>
    <n v="274.97000000000003"/>
    <n v="31950.964443411576"/>
    <s v="SH-0199"/>
    <m/>
    <m/>
    <m/>
    <x v="4"/>
  </r>
  <r>
    <s v="O-820"/>
    <d v="2018-02-05T00:00:00"/>
    <x v="8"/>
    <s v="Arcadis"/>
    <m/>
    <m/>
    <s v="Asesoría Revisión Externa Pablo Vasquez Proyecto Quellaveco"/>
    <x v="29"/>
    <s v="ND"/>
    <s v="NAC"/>
    <s v="Chile"/>
    <m/>
    <s v="Pablo Vasquez"/>
    <m/>
    <x v="5"/>
    <m/>
    <d v="2018-02-13T00:00:00"/>
    <n v="47"/>
    <n v="3.7787999999999999"/>
    <n v="80400"/>
    <s v="SH-0180"/>
    <m/>
    <m/>
    <m/>
    <x v="4"/>
  </r>
  <r>
    <s v="O-819"/>
    <d v="2018-01-30T00:00:00"/>
    <x v="23"/>
    <s v="Caserones"/>
    <m/>
    <m/>
    <s v="ID Habilitación temporal y definitiva de los pozos PBC-01 y PBC-03 El Tambo //_x000a_Contrato Marco N° 01867"/>
    <x v="1"/>
    <s v="LC"/>
    <s v="NAC"/>
    <s v="Chile"/>
    <m/>
    <s v="Pedro Valencia"/>
    <m/>
    <x v="3"/>
    <m/>
    <d v="2018-02-02T00:00:00"/>
    <n v="535"/>
    <n v="13.4"/>
    <n v="25046.728971962621"/>
    <m/>
    <m/>
    <m/>
    <m/>
    <x v="4"/>
  </r>
  <r>
    <s v="O-818"/>
    <d v="2018-01-30T00:00:00"/>
    <x v="23"/>
    <s v="CASERONES"/>
    <m/>
    <m/>
    <s v="Ingeniería Reducción Capex Plan B Sur"/>
    <x v="1"/>
    <s v="LC"/>
    <s v="NAC"/>
    <s v="Chile"/>
    <m/>
    <s v="Pedro Valencia"/>
    <m/>
    <x v="5"/>
    <m/>
    <d v="2018-01-31T00:00:00"/>
    <n v="723"/>
    <n v="18.760000000000002"/>
    <n v="25947.441217150765"/>
    <s v="SH0158-OS15"/>
    <m/>
    <m/>
    <m/>
    <x v="4"/>
  </r>
  <r>
    <s v="O-817"/>
    <d v="2018-01-30T00:00:00"/>
    <x v="25"/>
    <s v="Sodexo"/>
    <s v="Ruben Deocares"/>
    <m/>
    <s v="Estudio de Mejoras Establecimiento Penitenciario de Antofagasta"/>
    <x v="2"/>
    <s v="ND"/>
    <s v="NAC"/>
    <s v="Chile"/>
    <m/>
    <s v="Pedro Valencia"/>
    <m/>
    <x v="3"/>
    <m/>
    <d v="2018-02-02T00:00:00"/>
    <n v="62"/>
    <n v="2.68"/>
    <n v="43225.806451612909"/>
    <m/>
    <m/>
    <m/>
    <m/>
    <x v="4"/>
  </r>
  <r>
    <s v="O-816"/>
    <d v="2018-01-30T00:00:00"/>
    <x v="51"/>
    <s v="COLLAHUASI"/>
    <m/>
    <m/>
    <s v="Ingeniería de Detalles Loop de Lechada de Cal"/>
    <x v="1"/>
    <s v="ND"/>
    <s v="NAC"/>
    <s v="Chile"/>
    <m/>
    <s v="Pedro Valencia"/>
    <m/>
    <x v="5"/>
    <m/>
    <d v="2018-05-09T00:00:00"/>
    <n v="4511"/>
    <n v="122.767"/>
    <n v="27215.029926845487"/>
    <s v="SH0186"/>
    <m/>
    <m/>
    <m/>
    <x v="4"/>
  </r>
  <r>
    <s v="O-815"/>
    <d v="2018-01-29T00:00:00"/>
    <x v="14"/>
    <m/>
    <m/>
    <m/>
    <s v="Lamas Pontal caue SNC Brasil"/>
    <x v="2"/>
    <s v="LC"/>
    <s v="NAC"/>
    <s v="Brasil"/>
    <m/>
    <s v="Pedro Valencia"/>
    <m/>
    <x v="5"/>
    <m/>
    <d v="2018-02-02T00:00:00"/>
    <n v="975"/>
    <n v="23.945"/>
    <n v="24558.974358974359"/>
    <s v="SH-0182"/>
    <m/>
    <m/>
    <m/>
    <x v="4"/>
  </r>
  <r>
    <s v="O-814"/>
    <d v="2018-01-25T00:00:00"/>
    <x v="96"/>
    <s v="Optima"/>
    <m/>
    <m/>
    <s v="Estudios de Prefactibilidad para la Exportación de Aguas Residuales Cuenca del Lago Atitlan"/>
    <x v="2"/>
    <s v="LM"/>
    <s v="INT"/>
    <s v="Guatemala"/>
    <m/>
    <s v="Pedro Valencia"/>
    <s v="Enviado antecedentes para calificación técnica"/>
    <x v="6"/>
    <m/>
    <d v="2018-01-30T00:00:00"/>
    <m/>
    <m/>
    <m/>
    <m/>
    <m/>
    <m/>
    <m/>
    <x v="4"/>
  </r>
  <r>
    <s v="O-813"/>
    <d v="2018-01-25T00:00:00"/>
    <x v="51"/>
    <s v="COLLAHUASI"/>
    <m/>
    <m/>
    <s v="IP Manejo Derrame por Roturas Tramo Inicial Mineroducto 8”"/>
    <x v="2"/>
    <s v="ND"/>
    <s v="NAC"/>
    <s v="Chile"/>
    <m/>
    <s v="Pablo Vasquez"/>
    <m/>
    <x v="5"/>
    <m/>
    <d v="2018-01-26T00:00:00"/>
    <n v="166"/>
    <n v="5.4756558000000002"/>
    <n v="32985.878313253008"/>
    <s v="SH-0181"/>
    <m/>
    <m/>
    <m/>
    <x v="4"/>
  </r>
  <r>
    <s v="O-812"/>
    <d v="2018-01-25T00:00:00"/>
    <x v="51"/>
    <s v="COLLAHUASI"/>
    <m/>
    <m/>
    <s v="Manejo de Derrames de Concentrado Estanque y EB."/>
    <x v="10"/>
    <s v="ND"/>
    <s v="NAC"/>
    <s v="Chile"/>
    <m/>
    <s v="Pablo Vasquez"/>
    <m/>
    <x v="3"/>
    <m/>
    <d v="2018-01-26T00:00:00"/>
    <n v="330"/>
    <n v="9.1039200000000005"/>
    <n v="27587.636363636368"/>
    <m/>
    <m/>
    <m/>
    <m/>
    <x v="4"/>
  </r>
  <r>
    <s v="O-811"/>
    <d v="2018-01-25T00:00:00"/>
    <x v="51"/>
    <s v="COLLAHUASI"/>
    <m/>
    <m/>
    <s v="Revisión Hidráulica Canaleta y Tubería de Relaves"/>
    <x v="10"/>
    <s v="ND"/>
    <s v="NAC"/>
    <s v="Chile"/>
    <m/>
    <s v="Pablo Vasquez"/>
    <m/>
    <x v="3"/>
    <m/>
    <d v="2018-01-26T00:00:00"/>
    <n v="130"/>
    <n v="4.3012480000000002"/>
    <n v="33086.523076923077"/>
    <m/>
    <m/>
    <m/>
    <m/>
    <x v="4"/>
  </r>
  <r>
    <s v="O-810"/>
    <d v="2018-01-25T00:00:00"/>
    <x v="51"/>
    <s v="COLLAHUASI"/>
    <m/>
    <m/>
    <s v="Ingeniería Cambio de Trazado Línea de Relave"/>
    <x v="1"/>
    <s v="ND"/>
    <s v="NAC"/>
    <s v="Chile"/>
    <m/>
    <s v="Pablo Vasquez"/>
    <m/>
    <x v="5"/>
    <m/>
    <d v="2018-01-26T00:00:00"/>
    <n v="200"/>
    <n v="5.8544210000000003"/>
    <n v="29272.105000000003"/>
    <s v="SH0187"/>
    <m/>
    <m/>
    <m/>
    <x v="4"/>
  </r>
  <r>
    <s v="O-809"/>
    <d v="2018-01-23T00:00:00"/>
    <x v="23"/>
    <s v="Caserones"/>
    <m/>
    <m/>
    <s v="Ingeniería Conducción desde Rebose de Emergencia en Sentina El Tambo hasta Estación de Bombeo 5"/>
    <x v="1"/>
    <s v="LC"/>
    <s v="NAC"/>
    <s v="Chile"/>
    <m/>
    <s v="Pedro Valencia"/>
    <m/>
    <x v="3"/>
    <m/>
    <d v="2018-01-25T00:00:00"/>
    <n v="1104"/>
    <n v="26.8"/>
    <n v="24275.36231884058"/>
    <m/>
    <m/>
    <m/>
    <m/>
    <x v="4"/>
  </r>
  <r>
    <s v="O-808"/>
    <d v="2018-01-23T00:00:00"/>
    <x v="97"/>
    <s v="CODELCO"/>
    <m/>
    <m/>
    <s v="Servicios de Ingeniería de Detalles y Terreno para sistema de Manejo de Mineral, Sistema Electrico y Drenaje Proyecto Nuevo Nivel Mina Andes Norte"/>
    <x v="1"/>
    <s v="LM"/>
    <s v="NAC"/>
    <s v="Chile"/>
    <m/>
    <s v="Pedro Valencia"/>
    <s v="Enviados antecedentes para precalificación"/>
    <x v="3"/>
    <m/>
    <d v="2018-01-29T00:00:00"/>
    <m/>
    <m/>
    <m/>
    <m/>
    <m/>
    <m/>
    <m/>
    <x v="4"/>
  </r>
  <r>
    <s v="O-807"/>
    <d v="2018-01-19T00:00:00"/>
    <x v="2"/>
    <s v="Vale Brasil"/>
    <m/>
    <m/>
    <s v="Ingeniería Conceptual Mineroducto Serpentina"/>
    <x v="2"/>
    <s v="LC"/>
    <s v="INT"/>
    <s v="Brasil"/>
    <m/>
    <s v="Pedro Valencia"/>
    <m/>
    <x v="3"/>
    <m/>
    <d v="2018-01-25T00:00:00"/>
    <n v="1990"/>
    <n v="49.28"/>
    <n v="24763.819095477385"/>
    <m/>
    <m/>
    <m/>
    <m/>
    <x v="4"/>
  </r>
  <r>
    <s v="O-806"/>
    <d v="2018-01-17T00:00:00"/>
    <x v="98"/>
    <s v="CODELCO"/>
    <m/>
    <m/>
    <s v="Asesoria Experta y Contraparte de Ingeniería Codelco"/>
    <x v="12"/>
    <s v="LM"/>
    <s v="NAC"/>
    <s v="Chile"/>
    <m/>
    <s v="Pedro Valencia"/>
    <m/>
    <x v="3"/>
    <m/>
    <m/>
    <m/>
    <m/>
    <m/>
    <m/>
    <m/>
    <m/>
    <m/>
    <x v="4"/>
  </r>
  <r>
    <s v="O-805"/>
    <d v="2018-01-17T00:00:00"/>
    <x v="56"/>
    <s v="Teck"/>
    <s v="John Pottie"/>
    <m/>
    <s v="Apoyo Experto Relaves Proyecto Hipogeno Quebrada Blanca"/>
    <x v="4"/>
    <s v="ND"/>
    <s v="NAC"/>
    <s v="Chile"/>
    <m/>
    <s v="Pablo Vasquez"/>
    <m/>
    <x v="5"/>
    <m/>
    <d v="2018-01-18T00:00:00"/>
    <n v="1040"/>
    <n v="66.581999999999994"/>
    <n v="64021.153846153837"/>
    <s v="SH-0183"/>
    <m/>
    <m/>
    <m/>
    <x v="4"/>
  </r>
  <r>
    <s v="O-804"/>
    <d v="2018-01-10T00:00:00"/>
    <x v="99"/>
    <s v="Trends"/>
    <m/>
    <m/>
    <s v="Estudio Suministro Agua de Mar"/>
    <x v="2"/>
    <s v="LC"/>
    <s v="NAC"/>
    <s v="Chile"/>
    <m/>
    <s v="Claudio Muñoz"/>
    <m/>
    <x v="3"/>
    <m/>
    <d v="2018-01-12T00:00:00"/>
    <n v="250"/>
    <n v="10.586"/>
    <n v="42344"/>
    <m/>
    <m/>
    <m/>
    <m/>
    <x v="4"/>
  </r>
  <r>
    <s v="O-803"/>
    <d v="2018-01-09T00:00:00"/>
    <x v="100"/>
    <s v="COLLAHUASI"/>
    <m/>
    <m/>
    <s v="Apoyo Implementación Proyectos Operacionales Puerto COLLAHUASI"/>
    <x v="4"/>
    <s v="LC"/>
    <s v="NAC"/>
    <s v="Chile"/>
    <m/>
    <s v="Claudio Muñoz"/>
    <m/>
    <x v="3"/>
    <m/>
    <d v="2018-01-09T00:00:00"/>
    <n v="6060"/>
    <n v="224.48"/>
    <n v="37042.90429042904"/>
    <m/>
    <m/>
    <m/>
    <m/>
    <x v="4"/>
  </r>
  <r>
    <s v="O-802"/>
    <d v="2018-01-05T00:00:00"/>
    <x v="22"/>
    <s v="Centinela"/>
    <m/>
    <m/>
    <s v="Ingeniería de Detalle Sistema Impulsión RO"/>
    <x v="1"/>
    <s v="LC"/>
    <s v="NAC"/>
    <s v="Chile"/>
    <m/>
    <s v="Claudio Muñoz"/>
    <s v="Cliente canalizó el requerimiento por otra vía"/>
    <x v="4"/>
    <m/>
    <m/>
    <m/>
    <m/>
    <m/>
    <m/>
    <m/>
    <m/>
    <m/>
    <x v="4"/>
  </r>
  <r>
    <s v="O-801"/>
    <d v="2018-01-05T00:00:00"/>
    <x v="23"/>
    <s v="CASERONES"/>
    <s v="Luis Rojas"/>
    <m/>
    <s v="Verificación Recambio de Tuberías Impulsión EI a PAR"/>
    <x v="10"/>
    <s v="LC"/>
    <s v="NAC"/>
    <s v="Chile"/>
    <m/>
    <s v="Pedro Valencia"/>
    <m/>
    <x v="5"/>
    <m/>
    <d v="2018-01-05T00:00:00"/>
    <n v="100"/>
    <n v="3.2160000000000002"/>
    <m/>
    <s v="SH-0177"/>
    <m/>
    <m/>
    <m/>
    <x v="4"/>
  </r>
  <r>
    <s v="O-800"/>
    <d v="2018-01-04T00:00:00"/>
    <x v="23"/>
    <s v="CASERONES"/>
    <m/>
    <m/>
    <s v="Ingeniería Impulsión Agua desde PAR a PAF"/>
    <x v="1"/>
    <s v="LC"/>
    <s v="NAC"/>
    <s v="Chile"/>
    <m/>
    <s v="Pedro Valencia"/>
    <m/>
    <x v="5"/>
    <m/>
    <d v="2018-01-09T00:00:00"/>
    <n v="1883"/>
    <n v="47.248399999999997"/>
    <n v="25092.087095061073"/>
    <s v="SH0158-OS14"/>
    <m/>
    <m/>
    <m/>
    <x v="4"/>
  </r>
  <r>
    <s v="O-799"/>
    <d v="2018-01-02T00:00:00"/>
    <x v="74"/>
    <s v="Caserones"/>
    <m/>
    <m/>
    <s v="Asesoría Experta Filtro Moly"/>
    <x v="22"/>
    <s v="ND"/>
    <s v="NAC"/>
    <s v="Chile"/>
    <m/>
    <s v="Pedro Valencia"/>
    <s v="El cliente decidio no desarollar el servicio."/>
    <x v="3"/>
    <m/>
    <d v="2018-01-10T00:00:00"/>
    <n v="36"/>
    <n v="1.9296"/>
    <n v="53600"/>
    <m/>
    <m/>
    <m/>
    <m/>
    <x v="4"/>
  </r>
  <r>
    <s v="O-798"/>
    <d v="2017-12-18T00:00:00"/>
    <x v="51"/>
    <s v="COLLAHUASI"/>
    <s v="Luis López"/>
    <m/>
    <s v="Ingeniería Básica y Detalles Mejoramiento Distribución Relaves Pampa Pabellon"/>
    <x v="15"/>
    <s v="ND"/>
    <s v="NAC"/>
    <s v="Chile"/>
    <m/>
    <s v="Pedro Valencia"/>
    <m/>
    <x v="3"/>
    <m/>
    <d v="2017-12-21T00:00:00"/>
    <n v="2273"/>
    <n v="77.686999999999998"/>
    <n v="34178.178618565769"/>
    <m/>
    <m/>
    <m/>
    <m/>
    <x v="5"/>
  </r>
  <r>
    <s v="O-797"/>
    <d v="2017-12-18T00:00:00"/>
    <x v="101"/>
    <m/>
    <s v="Manuel Espinoza"/>
    <m/>
    <s v="Ingeniería Conceptual Sistema Impulsión de Relabes Planta Pueblo Viejo"/>
    <x v="2"/>
    <s v="ND"/>
    <s v="NAC"/>
    <s v="Chile"/>
    <m/>
    <s v="Pablo Vasquez"/>
    <m/>
    <x v="3"/>
    <m/>
    <d v="2017-12-21T00:00:00"/>
    <n v="815"/>
    <n v="32.506599999999999"/>
    <n v="39885.398773006134"/>
    <m/>
    <m/>
    <m/>
    <m/>
    <x v="5"/>
  </r>
  <r>
    <s v="O-796"/>
    <d v="2017-12-13T00:00:00"/>
    <x v="23"/>
    <s v="CASERONES"/>
    <m/>
    <m/>
    <s v="Cambio de Diseño Ingeniería Flexibilización Cajon DI-004"/>
    <x v="1"/>
    <s v="LM"/>
    <s v="NAC"/>
    <s v="Chile"/>
    <m/>
    <s v="Pedro Valencia"/>
    <m/>
    <x v="5"/>
    <m/>
    <d v="2017-12-21T00:00:00"/>
    <n v="441"/>
    <n v="11.172000000000001"/>
    <n v="25333.333333333336"/>
    <s v="SH-0158 OS13"/>
    <m/>
    <m/>
    <m/>
    <x v="5"/>
  </r>
  <r>
    <s v="O-795"/>
    <d v="2017-12-11T00:00:00"/>
    <x v="51"/>
    <s v="COLLAHUASI"/>
    <s v="Luis Lopez"/>
    <m/>
    <s v="Estudio de Diagnóstico Sistema Transporte Agua Fresca "/>
    <x v="10"/>
    <s v="LM"/>
    <s v="NAC"/>
    <s v="Chile"/>
    <m/>
    <s v="Pedro Valencia"/>
    <m/>
    <x v="3"/>
    <m/>
    <d v="2017-12-21T00:00:00"/>
    <n v="1100"/>
    <n v="37.565494999999999"/>
    <n v="34150.449999999997"/>
    <m/>
    <m/>
    <m/>
    <m/>
    <x v="5"/>
  </r>
  <r>
    <s v="O-794"/>
    <d v="2017-12-06T00:00:00"/>
    <x v="23"/>
    <s v="Caserones"/>
    <s v="Rodrigo Hormazaval"/>
    <m/>
    <s v="Ingeniería de Detalles Crecimiento Depósito La Brea - Etapas 7,8 y 9"/>
    <x v="1"/>
    <s v="LM"/>
    <s v="NAC"/>
    <s v="Chile"/>
    <m/>
    <s v="Pablo Vasquez"/>
    <s v="Propuesta asignada a Arcadis"/>
    <x v="3"/>
    <m/>
    <d v="2018-02-13T00:00:00"/>
    <n v="6996"/>
    <n v="270.727915"/>
    <n v="38697.529302458548"/>
    <m/>
    <m/>
    <m/>
    <m/>
    <x v="5"/>
  </r>
  <r>
    <s v="O-793"/>
    <d v="2017-12-05T00:00:00"/>
    <x v="41"/>
    <s v="BHP BILLITON"/>
    <s v="Silvana Dal Pozzo"/>
    <m/>
    <s v="Acompañamiento Experto Operaciones Relaves Proyecto Spence Grow Option (SGO) – BHP BILLITON - BILLITON"/>
    <x v="4"/>
    <s v="ND"/>
    <s v="NAC"/>
    <s v="Chile"/>
    <m/>
    <s v="Pedro Valencia"/>
    <m/>
    <x v="5"/>
    <m/>
    <d v="2017-12-12T00:00:00"/>
    <n v="1750"/>
    <n v="134"/>
    <n v="76571.428571428565"/>
    <s v="SH-0178"/>
    <m/>
    <m/>
    <m/>
    <x v="5"/>
  </r>
  <r>
    <s v="O-792"/>
    <d v="2017-12-05T00:00:00"/>
    <x v="29"/>
    <s v="SQM"/>
    <s v="David Rousselle"/>
    <m/>
    <s v="Ingeniería Aumento Capacidad NPT 3"/>
    <x v="1"/>
    <s v="LM"/>
    <s v="NAC"/>
    <s v="Chile"/>
    <m/>
    <s v="Claudio Muñoz"/>
    <m/>
    <x v="3"/>
    <m/>
    <d v="2018-01-10T00:00:00"/>
    <n v="27123"/>
    <n v="1064.4423999999999"/>
    <n v="39245.009770305645"/>
    <m/>
    <m/>
    <m/>
    <m/>
    <x v="5"/>
  </r>
  <r>
    <s v="O-791"/>
    <d v="2017-12-05T00:00:00"/>
    <x v="102"/>
    <s v="Exsa"/>
    <s v="Ernesto Escobar"/>
    <m/>
    <s v="Planos de Fabricación y Montaje Estructura Metálicas"/>
    <x v="1"/>
    <s v="LM"/>
    <s v="NAC"/>
    <s v="Chile"/>
    <m/>
    <s v="Claudio Muñoz"/>
    <m/>
    <x v="3"/>
    <m/>
    <d v="2017-12-12T00:00:00"/>
    <m/>
    <m/>
    <m/>
    <m/>
    <m/>
    <m/>
    <m/>
    <x v="5"/>
  </r>
  <r>
    <s v="O-790"/>
    <d v="2017-11-30T00:00:00"/>
    <x v="23"/>
    <s v="Caserones"/>
    <m/>
    <m/>
    <s v="Estudio Mejora Integral"/>
    <x v="1"/>
    <s v="LM"/>
    <s v="NAC"/>
    <s v="Chile"/>
    <d v="2017-12-27T00:00:00"/>
    <s v="Pedro Valencia"/>
    <m/>
    <x v="3"/>
    <m/>
    <d v="2017-12-12T00:00:00"/>
    <m/>
    <m/>
    <m/>
    <m/>
    <m/>
    <m/>
    <m/>
    <x v="5"/>
  </r>
  <r>
    <s v="O-789"/>
    <d v="2017-11-30T00:00:00"/>
    <x v="23"/>
    <s v="Caserones"/>
    <s v="José Luis Moreno"/>
    <m/>
    <s v="Ingeniería Sistema de Filtros en los cajones ZM-03 y ZM-04 – Solución Canastillo"/>
    <x v="1"/>
    <s v="LM"/>
    <s v="NAC"/>
    <s v="Chile"/>
    <m/>
    <s v="Pedro Valencia"/>
    <m/>
    <x v="3"/>
    <m/>
    <d v="2017-12-12T00:00:00"/>
    <n v="770"/>
    <n v="19.063800000000001"/>
    <n v="24758.18181818182"/>
    <m/>
    <m/>
    <m/>
    <m/>
    <x v="5"/>
  </r>
  <r>
    <s v="O-789"/>
    <d v="2017-11-30T00:00:00"/>
    <x v="23"/>
    <s v="CASERONES"/>
    <s v="José Luis Moreno"/>
    <m/>
    <s v="Ingeniería Sistema de Filtros en los cajones ZM-03 y ZM-04 – Solución Cajón_x000a_Desripeador"/>
    <x v="1"/>
    <s v="LM"/>
    <s v="NAC"/>
    <s v="Chile"/>
    <m/>
    <s v="Pedro Valencia"/>
    <m/>
    <x v="5"/>
    <m/>
    <d v="2017-12-12T00:00:00"/>
    <n v="1315"/>
    <n v="32.387099999999997"/>
    <n v="24628.973384030418"/>
    <s v="SH-0158 OS12"/>
    <m/>
    <m/>
    <m/>
    <x v="5"/>
  </r>
  <r>
    <s v="O-788"/>
    <d v="2017-11-28T00:00:00"/>
    <x v="81"/>
    <s v="Cerro Negro Norte"/>
    <s v="Carlos Jimenez"/>
    <m/>
    <s v="Ingeniería de Perfil Alternativas de Proceso Ampliación CNN"/>
    <x v="2"/>
    <s v="LM"/>
    <s v="NAC"/>
    <s v="Chile"/>
    <m/>
    <s v="Pedro Valencia"/>
    <m/>
    <x v="3"/>
    <m/>
    <d v="2017-12-21T00:00:00"/>
    <n v="1460"/>
    <n v="59.584000000000003"/>
    <n v="40810.958904109597"/>
    <m/>
    <m/>
    <m/>
    <m/>
    <x v="5"/>
  </r>
  <r>
    <s v="O-787"/>
    <d v="2017-11-23T00:00:00"/>
    <x v="9"/>
    <s v="CONPAX"/>
    <m/>
    <m/>
    <s v="Subestación Los Ciruelos"/>
    <x v="1"/>
    <s v="LM"/>
    <s v="NAC"/>
    <s v="Chile"/>
    <m/>
    <s v="Claudio Muñoz"/>
    <m/>
    <x v="3"/>
    <m/>
    <d v="2017-12-28T00:00:00"/>
    <n v="1565"/>
    <n v="57.36495"/>
    <n v="36654.920127795522"/>
    <m/>
    <m/>
    <m/>
    <m/>
    <x v="5"/>
  </r>
  <r>
    <s v="O-786"/>
    <d v="2017-11-15T00:00:00"/>
    <x v="23"/>
    <s v="CASERONES"/>
    <s v="Felipe Perez"/>
    <m/>
    <s v="Estudio de Protecciones Plan B Sur"/>
    <x v="10"/>
    <s v="LM"/>
    <s v="NAC"/>
    <s v="Chile"/>
    <m/>
    <s v="Pedro Valencia"/>
    <m/>
    <x v="5"/>
    <m/>
    <d v="2017-12-12T00:00:00"/>
    <n v="37"/>
    <n v="1.4418"/>
    <n v="38967.567567567567"/>
    <s v="SH-0158 OS11"/>
    <m/>
    <m/>
    <m/>
    <x v="5"/>
  </r>
  <r>
    <s v="O-785"/>
    <d v="2017-11-09T00:00:00"/>
    <x v="29"/>
    <s v="SQM"/>
    <m/>
    <m/>
    <s v="Ingeniería Básica Avanzada"/>
    <x v="5"/>
    <s v="LM"/>
    <s v="NAC"/>
    <s v="Chile"/>
    <m/>
    <s v="Claudio Muñoz"/>
    <s v="Carta Excusa enviada por falta de definición de bases técnicas"/>
    <x v="4"/>
    <m/>
    <m/>
    <m/>
    <m/>
    <m/>
    <m/>
    <m/>
    <m/>
    <m/>
    <x v="5"/>
  </r>
  <r>
    <s v="O-784"/>
    <d v="2017-11-07T00:00:00"/>
    <x v="51"/>
    <s v="COLLAHUASI"/>
    <s v="Jaime Riquelme Serey"/>
    <m/>
    <s v="Manual de operaciones Sistema de Transporte de Concentrado 7&quot;"/>
    <x v="10"/>
    <s v="LM"/>
    <s v="NAC"/>
    <s v="Chile"/>
    <m/>
    <s v="Pedro Valencia"/>
    <m/>
    <x v="5"/>
    <m/>
    <d v="2017-12-12T00:00:00"/>
    <n v="1065"/>
    <n v="34.591489000000003"/>
    <n v="32480.271361502346"/>
    <s v="SH-0176"/>
    <m/>
    <m/>
    <m/>
    <x v="5"/>
  </r>
  <r>
    <s v="O-783"/>
    <d v="2017-11-06T00:00:00"/>
    <x v="23"/>
    <s v="CASERONES"/>
    <s v="Felipe Perez"/>
    <m/>
    <s v="Ingeniería Reubicación Sala Eléctrica y Piping Bombeo Agua Relaves desde_x000a_Lagunas"/>
    <x v="1"/>
    <s v="LM"/>
    <s v="NAC"/>
    <s v="Chile"/>
    <m/>
    <s v="Pedro Valencia"/>
    <m/>
    <x v="5"/>
    <m/>
    <d v="2017-12-12T00:00:00"/>
    <n v="1144"/>
    <n v="29.476800000000001"/>
    <n v="25766.433566433567"/>
    <s v="SH-0158 OS10"/>
    <m/>
    <m/>
    <m/>
    <x v="5"/>
  </r>
  <r>
    <s v="O-782"/>
    <d v="2017-10-26T00:00:00"/>
    <x v="103"/>
    <s v="SQM"/>
    <s v="Enzo Caneo"/>
    <m/>
    <s v="Ingeniería Básica Avanzada Impulsión de Agua Mar Primera Región"/>
    <x v="1"/>
    <s v="LM"/>
    <s v="NAC"/>
    <s v="Chile"/>
    <m/>
    <s v="Claudio Muñoz"/>
    <m/>
    <x v="3"/>
    <m/>
    <d v="2017-12-12T00:00:00"/>
    <n v="6778"/>
    <n v="231.6328"/>
    <n v="34174.210681616998"/>
    <m/>
    <m/>
    <m/>
    <m/>
    <x v="5"/>
  </r>
  <r>
    <s v="O-781"/>
    <d v="2017-10-19T00:00:00"/>
    <x v="84"/>
    <s v="PELAMBRES"/>
    <s v="Juan Manuel Silva"/>
    <m/>
    <s v="Ingenieria Trampa PELAMBRES"/>
    <x v="1"/>
    <s v="ND"/>
    <s v="NAC"/>
    <s v="Chile"/>
    <m/>
    <s v="Claudio Muñoz"/>
    <m/>
    <x v="3"/>
    <m/>
    <d v="2017-12-06T00:00:00"/>
    <n v="1005"/>
    <m/>
    <m/>
    <m/>
    <m/>
    <m/>
    <m/>
    <x v="5"/>
  </r>
  <r>
    <s v="O-780"/>
    <d v="2017-10-18T00:00:00"/>
    <x v="29"/>
    <s v="SQM"/>
    <s v="David Rousselle"/>
    <m/>
    <s v="Ingeniería de Detalle Coya Sur"/>
    <x v="1"/>
    <s v="LM"/>
    <s v="NAC"/>
    <s v="Chile"/>
    <m/>
    <s v="Claudio Muñoz"/>
    <m/>
    <x v="3"/>
    <m/>
    <d v="2017-12-06T00:00:00"/>
    <n v="28332"/>
    <n v="699.35310000000004"/>
    <n v="24684.212198221092"/>
    <m/>
    <m/>
    <m/>
    <m/>
    <x v="5"/>
  </r>
  <r>
    <s v="O-779"/>
    <d v="2017-10-18T00:00:00"/>
    <x v="11"/>
    <s v="Codelco SALVADOR"/>
    <s v="David Agüero"/>
    <m/>
    <s v="Ingeniería Complementaria Sistema Captación Polvo "/>
    <x v="1"/>
    <s v="ND"/>
    <s v="NAC"/>
    <s v="Chile"/>
    <m/>
    <s v="Claudio Muñoz"/>
    <m/>
    <x v="5"/>
    <m/>
    <d v="2017-12-06T00:00:00"/>
    <n v="109"/>
    <n v="2.560908"/>
    <n v="23494.568807339449"/>
    <s v="SH-0173"/>
    <m/>
    <m/>
    <m/>
    <x v="5"/>
  </r>
  <r>
    <s v="O-778"/>
    <d v="2017-10-06T00:00:00"/>
    <x v="44"/>
    <s v="Anglo American"/>
    <m/>
    <m/>
    <s v="Contrato Marco por Servicios de Ingeniería - El Soldado"/>
    <x v="9"/>
    <s v="LM"/>
    <s v="NAC"/>
    <s v="Chile"/>
    <m/>
    <s v="Pedro Valencia"/>
    <m/>
    <x v="5"/>
    <m/>
    <d v="2017-12-06T00:00:00"/>
    <m/>
    <m/>
    <m/>
    <s v="SH-0179"/>
    <m/>
    <m/>
    <m/>
    <x v="5"/>
  </r>
  <r>
    <s v="O-777"/>
    <d v="2017-09-10T00:00:00"/>
    <x v="104"/>
    <s v="Codelco ANDINA"/>
    <s v="Rodrigo Toro Olmedo"/>
    <s v="rodrigo.toro@honeywell.com"/>
    <s v="Habilitación Simulador Operacional Sistema de Relaves, División Andina_x000a_"/>
    <x v="0"/>
    <s v="LM"/>
    <s v="NAC"/>
    <s v="Chile"/>
    <m/>
    <s v="Pablo Vasquez"/>
    <m/>
    <x v="3"/>
    <m/>
    <d v="2017-10-10T00:00:00"/>
    <n v="24"/>
    <n v="1.2245798000000001"/>
    <n v="51024.15833333334"/>
    <m/>
    <m/>
    <m/>
    <m/>
    <x v="5"/>
  </r>
  <r>
    <s v="O-776"/>
    <d v="2017-10-10T00:00:00"/>
    <x v="17"/>
    <s v="Codelco TENIENTE"/>
    <m/>
    <m/>
    <s v="Confeccion Manuales Emergencia Deposito Relaves DET"/>
    <x v="4"/>
    <s v="LM"/>
    <s v="NAC"/>
    <s v="Chile"/>
    <m/>
    <s v="Pablo Vasquez"/>
    <m/>
    <x v="5"/>
    <m/>
    <d v="2017-10-10T00:00:00"/>
    <n v="800"/>
    <n v="26.124748"/>
    <n v="32655.934999999998"/>
    <s v="SH-0174"/>
    <m/>
    <m/>
    <m/>
    <x v="5"/>
  </r>
  <r>
    <s v="O-775"/>
    <d v="2017-09-22T00:00:00"/>
    <x v="105"/>
    <s v="LAS BAMBAS"/>
    <s v="Olimpia Cabrera"/>
    <m/>
    <s v="Ingeniería Factibilidad Sistema Auxiliar Mantenimiento Cajón "/>
    <x v="1"/>
    <s v="ND"/>
    <s v="INT"/>
    <s v="Perú"/>
    <m/>
    <s v="Pedro Valencia"/>
    <m/>
    <x v="3"/>
    <m/>
    <d v="2017-09-25T00:00:00"/>
    <n v="198"/>
    <n v="7.4263599999999999"/>
    <n v="37506.868686868685"/>
    <m/>
    <m/>
    <m/>
    <m/>
    <x v="5"/>
  </r>
  <r>
    <s v="O-774"/>
    <d v="2017-09-22T00:00:00"/>
    <x v="29"/>
    <s v="SQM"/>
    <s v="David Rousselle"/>
    <m/>
    <s v="Ingenieria Básica Impulsión Agua de Mar Nueva Victoria "/>
    <x v="5"/>
    <s v="LM"/>
    <s v="NAC"/>
    <s v="Chile"/>
    <m/>
    <s v="Claudio Muñoz"/>
    <m/>
    <x v="3"/>
    <m/>
    <d v="2017-12-21T00:00:00"/>
    <n v="8983"/>
    <n v="249.64500000000001"/>
    <n v="27790.827117889348"/>
    <m/>
    <m/>
    <m/>
    <m/>
    <x v="5"/>
  </r>
  <r>
    <s v="O-773"/>
    <d v="2017-09-21T00:00:00"/>
    <x v="23"/>
    <s v="Caserones"/>
    <s v="Felipe Perez"/>
    <m/>
    <s v="Ingeniería Diseño Plataforma Soporte Molienda"/>
    <x v="1"/>
    <s v="LM"/>
    <s v="NAC"/>
    <s v="Chile"/>
    <d v="2017-10-03T00:00:00"/>
    <s v="Pedro Valencia"/>
    <m/>
    <x v="3"/>
    <m/>
    <d v="2017-10-10T00:00:00"/>
    <n v="396"/>
    <n v="10.90480299"/>
    <n v="27537.38128787879"/>
    <m/>
    <m/>
    <m/>
    <m/>
    <x v="5"/>
  </r>
  <r>
    <s v="O-772"/>
    <d v="2017-09-21T00:00:00"/>
    <x v="23"/>
    <s v="Caserones"/>
    <s v="Felipe Perez"/>
    <m/>
    <s v="Ingenieria Diseño Revestimiento Intercambiadores de Calor SW"/>
    <x v="1"/>
    <s v="LM"/>
    <s v="NAC"/>
    <s v="Chile"/>
    <d v="2017-10-03T00:00:00"/>
    <s v="Pedro Valencia"/>
    <m/>
    <x v="3"/>
    <m/>
    <d v="2017-10-10T00:00:00"/>
    <n v="430"/>
    <n v="11.997949500000001"/>
    <n v="27902.208139534883"/>
    <m/>
    <m/>
    <m/>
    <m/>
    <x v="5"/>
  </r>
  <r>
    <s v="O-771"/>
    <d v="2017-09-21T00:00:00"/>
    <x v="23"/>
    <s v="Caserones"/>
    <s v="Felipe Perez"/>
    <m/>
    <s v="Ingenieria Diseño Revestimiento Protección SW"/>
    <x v="1"/>
    <s v="LM"/>
    <s v="NAC"/>
    <s v="Chile"/>
    <d v="2017-10-03T00:00:00"/>
    <s v="Pedro Valencia"/>
    <m/>
    <x v="3"/>
    <m/>
    <d v="2017-10-10T00:00:00"/>
    <n v="379"/>
    <n v="10.504871339999999"/>
    <n v="27717.338627968336"/>
    <m/>
    <m/>
    <m/>
    <m/>
    <x v="5"/>
  </r>
  <r>
    <s v="O-770"/>
    <d v="2017-09-21T00:00:00"/>
    <x v="23"/>
    <s v="Caserones"/>
    <s v="Felipe Perez"/>
    <m/>
    <s v="Ingeniería Diseño Protección Sistema de Lubricación Pebbles 3 Unidades"/>
    <x v="1"/>
    <s v="LM"/>
    <s v="NAC"/>
    <s v="Chile"/>
    <d v="2017-10-03T00:00:00"/>
    <s v="Pedro Valencia"/>
    <m/>
    <x v="3"/>
    <m/>
    <d v="2017-10-10T00:00:00"/>
    <n v="363"/>
    <n v="9.4383869399999991"/>
    <n v="26001.06595041322"/>
    <m/>
    <m/>
    <m/>
    <m/>
    <x v="5"/>
  </r>
  <r>
    <s v="O-769"/>
    <d v="2017-09-21T00:00:00"/>
    <x v="23"/>
    <s v="Caserones"/>
    <s v="Felipe Perez"/>
    <m/>
    <s v="Ingeniería Diseño Acceso Feeder Electroimán Pebbles 3 Uninades"/>
    <x v="1"/>
    <s v="LM"/>
    <s v="NAC"/>
    <s v="Chile"/>
    <d v="2017-10-03T00:00:00"/>
    <s v="Pedro Valencia"/>
    <m/>
    <x v="3"/>
    <m/>
    <d v="2017-10-10T00:00:00"/>
    <n v="383"/>
    <n v="10.02495336"/>
    <n v="26174.812950391643"/>
    <m/>
    <m/>
    <m/>
    <m/>
    <x v="5"/>
  </r>
  <r>
    <s v="O-768"/>
    <d v="2017-09-21T00:00:00"/>
    <x v="23"/>
    <s v="Caserones"/>
    <s v="Felipe Perez"/>
    <m/>
    <s v="Ingenieria Diseño Acceso Plataforma a Válvulas Dump Leach"/>
    <x v="1"/>
    <s v="LM"/>
    <s v="NAC"/>
    <s v="Chile"/>
    <d v="2017-10-03T00:00:00"/>
    <s v="Pedro Valencia"/>
    <m/>
    <x v="3"/>
    <m/>
    <d v="2017-10-10T00:00:00"/>
    <n v="495"/>
    <n v="12.95778546"/>
    <n v="26177.344363636366"/>
    <m/>
    <m/>
    <m/>
    <m/>
    <x v="5"/>
  </r>
  <r>
    <s v="O-767"/>
    <d v="2017-09-12T00:00:00"/>
    <x v="19"/>
    <s v="CODELCO"/>
    <m/>
    <m/>
    <s v="Ingeniería Conceptual Mejoramiento Planta Molibdeno División Chuquicamata"/>
    <x v="2"/>
    <s v="LM"/>
    <s v="NAC"/>
    <s v="Chile"/>
    <m/>
    <s v="Pedro Valencia"/>
    <s v="Precalificación solicitaba experiencia de 4 años en proyectos de Molibdeno"/>
    <x v="4"/>
    <m/>
    <s v="NA"/>
    <s v="NA"/>
    <s v="NA"/>
    <s v="NA"/>
    <m/>
    <m/>
    <m/>
    <m/>
    <x v="5"/>
  </r>
  <r>
    <s v="O-766"/>
    <d v="2017-09-07T00:00:00"/>
    <x v="43"/>
    <s v="Enami"/>
    <m/>
    <m/>
    <s v="Ingenieria Básica Aumento Capacidad Tranque Relaves N° 3 Planta Matta"/>
    <x v="5"/>
    <s v="LM"/>
    <s v="NAC"/>
    <s v="Chile"/>
    <m/>
    <s v="Pedro Valencia"/>
    <s v="Descalificados Técnicamente"/>
    <x v="3"/>
    <m/>
    <d v="2017-12-06T00:00:00"/>
    <n v="4397"/>
    <n v="139.13042999999999"/>
    <n v="31642.12644985217"/>
    <m/>
    <m/>
    <m/>
    <m/>
    <x v="5"/>
  </r>
  <r>
    <s v="O-765"/>
    <d v="2017-09-07T00:00:00"/>
    <x v="23"/>
    <s v="Caserones"/>
    <s v="Claudio Garcia"/>
    <m/>
    <s v="Ingenieria Desarenador Acopia de Arenas"/>
    <x v="1"/>
    <s v="LM"/>
    <s v="NAC"/>
    <s v="Chile"/>
    <m/>
    <s v="Pedro Valencia"/>
    <s v="Reemplazada por la O-789"/>
    <x v="4"/>
    <m/>
    <s v="NA"/>
    <s v="NA"/>
    <s v="NA"/>
    <s v="NA"/>
    <m/>
    <m/>
    <m/>
    <m/>
    <x v="5"/>
  </r>
  <r>
    <s v="O-764"/>
    <d v="2017-09-07T00:00:00"/>
    <x v="51"/>
    <s v="COLLAHUASI"/>
    <s v="Luis Lopez"/>
    <m/>
    <s v="Servicio de Recalificación de Mineroducto de 8&quot; "/>
    <x v="0"/>
    <s v="LM"/>
    <s v="NAC"/>
    <s v="Chile"/>
    <m/>
    <s v="Pablo Vasquez"/>
    <m/>
    <x v="4"/>
    <m/>
    <s v="NA"/>
    <s v="NA"/>
    <s v="NA"/>
    <s v="NA"/>
    <m/>
    <m/>
    <m/>
    <m/>
    <x v="5"/>
  </r>
  <r>
    <s v="O-763"/>
    <d v="2017-09-06T00:00:00"/>
    <x v="19"/>
    <s v="CODELCO"/>
    <s v="Rodrigo Fernandez"/>
    <m/>
    <s v="Estandarización Corporativa del Balance de Aguas"/>
    <x v="10"/>
    <s v="LM"/>
    <s v="NAC"/>
    <s v="Chile"/>
    <d v="2017-09-26T00:00:00"/>
    <s v="Pablo Vasquez"/>
    <m/>
    <x v="3"/>
    <m/>
    <d v="2017-10-02T00:00:00"/>
    <n v="495"/>
    <n v="17.140094999999999"/>
    <n v="34626.454545454544"/>
    <m/>
    <m/>
    <m/>
    <m/>
    <x v="5"/>
  </r>
  <r>
    <s v="O-762"/>
    <d v="2017-09-06T00:00:00"/>
    <x v="106"/>
    <s v="Codelco División Ventanas"/>
    <m/>
    <m/>
    <s v="Ingeniería Básica Reemplazo Torre Absorción K6 PAS"/>
    <x v="5"/>
    <s v="LM"/>
    <s v="NAC"/>
    <s v="Chile"/>
    <d v="2017-09-22T00:00:00"/>
    <s v="Claudio Muñoz"/>
    <s v="No se cumplian los requisitos de experiencia mínima"/>
    <x v="4"/>
    <m/>
    <s v="NA"/>
    <s v="NA"/>
    <s v="NA"/>
    <s v="NA"/>
    <m/>
    <m/>
    <m/>
    <m/>
    <x v="5"/>
  </r>
  <r>
    <s v="O-761"/>
    <d v="2017-08-25T00:00:00"/>
    <x v="17"/>
    <s v="Codelco TENIENTE"/>
    <m/>
    <m/>
    <s v="Servicios de Ingenierías Especializadas Superintendencia de Mantenimiento de Plantas GTPA"/>
    <x v="4"/>
    <s v="LM"/>
    <s v="NAC"/>
    <s v="Chile"/>
    <d v="2017-09-26T00:00:00"/>
    <s v="Claudio Muñoz"/>
    <s v="Calificados Técnicamente, Contrato Adjudicado a SIGA/Dessau/Propipe"/>
    <x v="3"/>
    <m/>
    <m/>
    <m/>
    <m/>
    <m/>
    <m/>
    <m/>
    <m/>
    <m/>
    <x v="5"/>
  </r>
  <r>
    <s v="O-760"/>
    <d v="2017-08-23T00:00:00"/>
    <x v="23"/>
    <s v="Caserones"/>
    <s v="Felipe Perez"/>
    <m/>
    <s v="Estudio de Factibilidad de Enlace Inalámbrico Revisión 1"/>
    <x v="10"/>
    <s v="LM"/>
    <s v="NAC"/>
    <s v="Chile"/>
    <d v="2017-08-23T00:00:00"/>
    <s v="Pedro Valencia"/>
    <m/>
    <x v="3"/>
    <m/>
    <d v="2017-08-23T00:00:00"/>
    <n v="55"/>
    <n v="1.57206"/>
    <n v="28582.909090909092"/>
    <m/>
    <m/>
    <m/>
    <m/>
    <x v="5"/>
  </r>
  <r>
    <s v="O-759"/>
    <d v="2017-08-23T00:00:00"/>
    <x v="23"/>
    <s v="CASERONES"/>
    <s v="Felipe Perez"/>
    <m/>
    <s v="Elaboración Notas Técnicas Contrato 01867"/>
    <x v="3"/>
    <s v="LM"/>
    <s v="NAC"/>
    <s v="Chile"/>
    <d v="2017-08-23T00:00:00"/>
    <s v="Pedro Valencia"/>
    <m/>
    <x v="5"/>
    <m/>
    <d v="2017-08-23T00:00:00"/>
    <n v="240"/>
    <n v="8.0863999999999994"/>
    <n v="33693.333333333328"/>
    <s v="SH0158-OS09"/>
    <m/>
    <m/>
    <m/>
    <x v="5"/>
  </r>
  <r>
    <s v="O-758"/>
    <d v="2017-08-21T00:00:00"/>
    <x v="107"/>
    <s v="ENGIE"/>
    <m/>
    <m/>
    <s v="Prefactibilidad Desalación e Impulsión Tocopilla"/>
    <x v="2"/>
    <s v="LM"/>
    <s v="NAC"/>
    <s v="Chile"/>
    <d v="2017-09-07T00:00:00"/>
    <s v="Pedro Valencia"/>
    <m/>
    <x v="3"/>
    <m/>
    <d v="2017-09-11T00:00:00"/>
    <n v="858"/>
    <n v="26.6"/>
    <n v="31002.331002331004"/>
    <m/>
    <m/>
    <m/>
    <m/>
    <x v="5"/>
  </r>
  <r>
    <s v="O-757"/>
    <d v="2017-08-21T00:00:00"/>
    <x v="12"/>
    <s v="ZALDIVAR"/>
    <m/>
    <m/>
    <s v="Análisis Complementario Tasa de Corrosión con Aumento de Cloruro"/>
    <x v="2"/>
    <s v="ND"/>
    <s v="NAC"/>
    <s v="Chile"/>
    <d v="2017-08-22T00:00:00"/>
    <s v="Pedro Valencia"/>
    <m/>
    <x v="5"/>
    <m/>
    <d v="2017-08-24T00:00:00"/>
    <n v="80"/>
    <n v="2.9260000000000002"/>
    <n v="36575"/>
    <s v="SH0171"/>
    <m/>
    <m/>
    <m/>
    <x v="5"/>
  </r>
  <r>
    <s v="O-756"/>
    <d v="2017-08-18T00:00:00"/>
    <x v="108"/>
    <s v="Codelco TENIENTE"/>
    <s v="Alejandro Gonzalez"/>
    <m/>
    <s v="Revisión Sistema de Transporte de Relaves de Escoria (Relaveducto)"/>
    <x v="7"/>
    <s v="LM"/>
    <s v="NAC"/>
    <s v="Chile"/>
    <d v="2017-08-24T00:00:00"/>
    <s v="Pedro Valencia"/>
    <m/>
    <x v="3"/>
    <m/>
    <d v="2017-08-24T00:00:00"/>
    <n v="640"/>
    <n v="24.605"/>
    <n v="38445.3125"/>
    <m/>
    <m/>
    <m/>
    <m/>
    <x v="5"/>
  </r>
  <r>
    <s v="O-755"/>
    <d v="2017-08-18T00:00:00"/>
    <x v="29"/>
    <s v="SQM"/>
    <s v="David Rousselle"/>
    <m/>
    <s v="Ingenieria de Perfil Coya Sur"/>
    <x v="2"/>
    <s v="ND"/>
    <s v="NAC"/>
    <s v="Chile"/>
    <d v="2017-08-18T00:00:00"/>
    <s v="Claudio Muñoz"/>
    <m/>
    <x v="5"/>
    <m/>
    <d v="2017-08-22T00:00:00"/>
    <n v="232"/>
    <n v="7.5011999999999999"/>
    <n v="32332.758620689656"/>
    <s v="SH0170"/>
    <m/>
    <m/>
    <m/>
    <x v="5"/>
  </r>
  <r>
    <s v="O-754"/>
    <d v="2017-08-16T00:00:00"/>
    <x v="100"/>
    <s v="COLLAHUASI"/>
    <s v="Javier Wold"/>
    <m/>
    <s v="Contato Marco de Ingeniería"/>
    <x v="9"/>
    <s v="LM"/>
    <s v="NAC"/>
    <s v="Chile"/>
    <d v="2017-09-07T00:00:00"/>
    <s v="Pedro Valencia"/>
    <m/>
    <x v="3"/>
    <m/>
    <d v="2018-01-09T00:00:00"/>
    <n v="33312"/>
    <n v="929.42158387500001"/>
    <n v="27900.503838706773"/>
    <m/>
    <m/>
    <m/>
    <m/>
    <x v="5"/>
  </r>
  <r>
    <s v="O-753"/>
    <d v="2017-08-11T00:00:00"/>
    <x v="109"/>
    <s v="ENAP"/>
    <s v="Juan Manuel Silva"/>
    <m/>
    <s v="Elaboración Planos As-Built_x000a_Proyecto “Construcción Línea de Reinyección Pozos Daniel N° 55 y Cañadon N° 44 – Batería 1 Daniel Continente”"/>
    <x v="1"/>
    <s v="ND"/>
    <s v="NAC"/>
    <s v="Chile"/>
    <d v="2017-09-11T00:00:00"/>
    <s v="Claudio Muñoz"/>
    <m/>
    <x v="5"/>
    <m/>
    <d v="2017-08-22T00:00:00"/>
    <n v="30"/>
    <n v="0.7238"/>
    <n v="24126.666666666668"/>
    <m/>
    <m/>
    <m/>
    <m/>
    <x v="5"/>
  </r>
  <r>
    <s v="O-752"/>
    <d v="2017-08-09T00:00:00"/>
    <x v="23"/>
    <s v="CASERONES"/>
    <s v="Felipe Perez"/>
    <m/>
    <s v="Adición de agua para lavado – Sistema de Transporte de Arenas"/>
    <x v="2"/>
    <s v="LM"/>
    <s v="NAC"/>
    <s v="Chile"/>
    <d v="2017-08-09T00:00:00"/>
    <s v="Pedro Valencia"/>
    <s v="Se solicita revisión 1 (costos)"/>
    <x v="5"/>
    <m/>
    <d v="2017-08-22T00:00:00"/>
    <n v="525"/>
    <n v="12.635"/>
    <n v="24066.666666666668"/>
    <s v="SH0158-OS08"/>
    <m/>
    <m/>
    <m/>
    <x v="5"/>
  </r>
  <r>
    <s v="O-751"/>
    <d v="2017-08-09T00:00:00"/>
    <x v="23"/>
    <s v="CASERONES"/>
    <s v="Felipe Perez"/>
    <m/>
    <s v="Flexibilidad Descarga de Arenas desde Cajones 6720-DI-003 y 6720-DI-004."/>
    <x v="1"/>
    <s v="LM"/>
    <s v="NAC"/>
    <s v="Chile"/>
    <d v="2017-08-09T00:00:00"/>
    <s v="Pedro Valencia"/>
    <s v="Se solicita revisión 1 (plazos)"/>
    <x v="5"/>
    <m/>
    <d v="2017-08-22T00:00:00"/>
    <n v="1240"/>
    <n v="27.664000000000001"/>
    <n v="22309.677419354841"/>
    <s v="SH0158-OS07"/>
    <m/>
    <m/>
    <m/>
    <x v="5"/>
  </r>
  <r>
    <s v="O-750"/>
    <d v="2017-08-09T00:00:00"/>
    <x v="23"/>
    <s v="Caserones"/>
    <s v="Felipe Perez"/>
    <m/>
    <s v="Conexión Underflow Batería 1 a línea de 14&quot; Cajón 6720-ZC-002"/>
    <x v="1"/>
    <s v="LM"/>
    <s v="NAC"/>
    <s v="Chile"/>
    <d v="2017-08-09T00:00:00"/>
    <s v="Pedro Valencia"/>
    <s v="Desechada por Felipe Perez"/>
    <x v="3"/>
    <m/>
    <d v="2017-08-22T00:00:00"/>
    <n v="585"/>
    <n v="14.124599999999999"/>
    <n v="24144.615384615383"/>
    <m/>
    <m/>
    <m/>
    <m/>
    <x v="5"/>
  </r>
  <r>
    <s v="O-749"/>
    <d v="2017-08-04T00:00:00"/>
    <x v="51"/>
    <s v="COLLAHUASI"/>
    <s v="Jaime Riquelme Serey"/>
    <m/>
    <s v="Manual de Operaciones Depósito de Relaves COLLAHUASI"/>
    <x v="4"/>
    <s v="ND"/>
    <s v="NAC"/>
    <s v="Chile"/>
    <m/>
    <s v="Pedro Valencia"/>
    <m/>
    <x v="3"/>
    <m/>
    <d v="2017-10-10T00:00:00"/>
    <n v="940"/>
    <n v="28.522406"/>
    <n v="30342.985106382977"/>
    <m/>
    <m/>
    <m/>
    <m/>
    <x v="5"/>
  </r>
  <r>
    <s v="O-748"/>
    <d v="2017-07-31T00:00:00"/>
    <x v="110"/>
    <s v="Puerto Ventanas"/>
    <m/>
    <m/>
    <s v="Ingenieria para Descarga de Graneles Líquidos en Sitio 2"/>
    <x v="5"/>
    <s v="LM"/>
    <s v="NAC"/>
    <s v="Chile"/>
    <m/>
    <m/>
    <m/>
    <x v="4"/>
    <m/>
    <m/>
    <m/>
    <m/>
    <m/>
    <m/>
    <m/>
    <m/>
    <m/>
    <x v="5"/>
  </r>
  <r>
    <s v="O-747"/>
    <d v="2017-07-25T00:00:00"/>
    <x v="22"/>
    <s v="Centinela"/>
    <m/>
    <m/>
    <s v="Estudio Perfil Obras de Desembanque y Limpieza al Interior de Espesadores de Relaves"/>
    <x v="27"/>
    <s v="LM"/>
    <s v="NAC"/>
    <s v="Chile"/>
    <d v="2017-08-09T00:00:00"/>
    <s v="Pedro Valencia"/>
    <m/>
    <x v="3"/>
    <m/>
    <d v="2017-08-22T00:00:00"/>
    <n v="1309"/>
    <n v="40.587040000000002"/>
    <n v="31006.14209320092"/>
    <m/>
    <m/>
    <m/>
    <m/>
    <x v="5"/>
  </r>
  <r>
    <s v="O-746"/>
    <d v="2017-07-24T00:00:00"/>
    <x v="111"/>
    <s v="COLLAHUASI"/>
    <m/>
    <m/>
    <s v="Servicio Contraparte"/>
    <x v="9"/>
    <s v="LM"/>
    <s v="NAC"/>
    <s v="Chile"/>
    <d v="2017-07-24T00:00:00"/>
    <s v="Pedro Valencia"/>
    <m/>
    <x v="4"/>
    <m/>
    <s v="NA"/>
    <s v="NA"/>
    <s v="NA"/>
    <s v="NA"/>
    <m/>
    <m/>
    <m/>
    <m/>
    <x v="5"/>
  </r>
  <r>
    <s v="O-745"/>
    <d v="2017-07-20T00:00:00"/>
    <x v="23"/>
    <s v="CASERONES"/>
    <s v="Jose Luis Moreno"/>
    <m/>
    <s v="Servicio Ingeniería Análisis de Prefactibilidad Neutralización Agua Recuperada_x000a_Depósito de Arenas // Contrato Marco 01867"/>
    <x v="2"/>
    <s v="LM"/>
    <s v="NAC"/>
    <s v="Chile"/>
    <d v="2017-07-24T00:00:00"/>
    <s v="Pablo Vasquez"/>
    <m/>
    <x v="5"/>
    <m/>
    <d v="2017-07-25T00:00:00"/>
    <n v="942"/>
    <n v="25.024125399999999"/>
    <n v="26564.888959660297"/>
    <s v="SH0158-OS06"/>
    <m/>
    <m/>
    <m/>
    <x v="5"/>
  </r>
  <r>
    <s v="O-744"/>
    <d v="2017-07-20T00:00:00"/>
    <x v="23"/>
    <s v="Caserones"/>
    <s v="Jose Luis Moreno"/>
    <m/>
    <s v="Servicio Ingeniería Conducción desde Piscina de Filtraciones - Estación_x000a_Intermedia // Contrato Marco 01867"/>
    <x v="1"/>
    <s v="LM"/>
    <s v="NAC"/>
    <s v="Chile"/>
    <d v="2017-07-24T00:00:00"/>
    <s v="Pedro Valencia"/>
    <m/>
    <x v="3"/>
    <m/>
    <d v="2017-07-25T00:00:00"/>
    <n v="361"/>
    <n v="9.3174934999999994"/>
    <n v="25810.231301939057"/>
    <m/>
    <m/>
    <m/>
    <m/>
    <x v="5"/>
  </r>
  <r>
    <s v="O-743"/>
    <d v="2017-07-20T00:00:00"/>
    <x v="23"/>
    <s v="Caserones"/>
    <s v="Jose Luis Moreno"/>
    <m/>
    <s v="Servicio Ingeniería Verificación Ampliación Bombeo desde Estación Intermedia -_x000a_PAR // Contrato Marco 01867"/>
    <x v="2"/>
    <s v="LM"/>
    <s v="NAC"/>
    <s v="Chile"/>
    <d v="2017-07-21T00:00:00"/>
    <s v="Pedro Valencia"/>
    <m/>
    <x v="3"/>
    <m/>
    <d v="2017-07-25T00:00:00"/>
    <n v="481"/>
    <n v="11.985830999999999"/>
    <n v="24918.567567567567"/>
    <m/>
    <m/>
    <m/>
    <m/>
    <x v="5"/>
  </r>
  <r>
    <s v="O-742"/>
    <d v="2017-07-17T00:00:00"/>
    <x v="11"/>
    <s v="Codelco SALVADOR"/>
    <s v="David Agüero"/>
    <m/>
    <s v="Ingenieria Contraparte Equipos Captacion de Polvo"/>
    <x v="0"/>
    <s v="ND"/>
    <s v="NAC"/>
    <s v="Chile"/>
    <d v="2017-07-17T00:00:00"/>
    <s v="Claudio Muñoz"/>
    <m/>
    <x v="5"/>
    <m/>
    <d v="2017-07-25T00:00:00"/>
    <n v="175"/>
    <n v="3.8182610000000001"/>
    <n v="21818.634285714284"/>
    <s v="SH0169"/>
    <m/>
    <m/>
    <m/>
    <x v="5"/>
  </r>
  <r>
    <s v="O-741"/>
    <d v="2017-07-17T00:00:00"/>
    <x v="29"/>
    <s v="SQM"/>
    <s v="David Rousselle"/>
    <m/>
    <s v="Modelo BIM Planta NK"/>
    <x v="1"/>
    <s v="ND"/>
    <s v="NAC"/>
    <s v="Chile"/>
    <m/>
    <s v="Claudio Muñoz"/>
    <m/>
    <x v="4"/>
    <m/>
    <d v="2017-07-25T00:00:00"/>
    <m/>
    <m/>
    <m/>
    <m/>
    <m/>
    <m/>
    <m/>
    <x v="5"/>
  </r>
  <r>
    <s v="O-738"/>
    <d v="2017-07-13T00:00:00"/>
    <x v="53"/>
    <s v="Codelco ANDINA"/>
    <m/>
    <m/>
    <s v="Precalificacion Licitacion Servicios de Ingenieria Aguas Relaves y Procesos"/>
    <x v="9"/>
    <s v="LM"/>
    <s v="NAC"/>
    <s v="Chile"/>
    <m/>
    <s v="Pedro Valencia"/>
    <s v="Antecedentes Precalificacion Enviados Consorcio MYMA"/>
    <x v="3"/>
    <m/>
    <m/>
    <m/>
    <m/>
    <m/>
    <m/>
    <m/>
    <m/>
    <m/>
    <x v="5"/>
  </r>
  <r>
    <s v="O-739"/>
    <d v="2017-07-12T00:00:00"/>
    <x v="51"/>
    <s v="COLLAHUASI"/>
    <s v="Rodolfo Arevalo"/>
    <m/>
    <s v="IB Loop de Lechada de Cal Planta Concentradora"/>
    <x v="5"/>
    <s v="LM"/>
    <s v="NAC"/>
    <s v="Chile"/>
    <d v="2017-08-10T00:00:00"/>
    <s v="Hernán Castro"/>
    <s v="Se solicita Revisión 1"/>
    <x v="5"/>
    <m/>
    <d v="2017-08-22T00:00:00"/>
    <n v="1934"/>
    <n v="54.418964000000003"/>
    <n v="28138.037228541885"/>
    <s v="SH0172"/>
    <m/>
    <m/>
    <m/>
    <x v="5"/>
  </r>
  <r>
    <s v="O-737"/>
    <d v="2017-07-11T00:00:00"/>
    <x v="23"/>
    <s v="Caserones"/>
    <s v="Felipe Perez"/>
    <m/>
    <s v="Servicio Ingeniería regulación desde Estación Intermedia // Contrato_x000a_Marco 01867"/>
    <x v="5"/>
    <s v="LM"/>
    <s v="NAC"/>
    <s v="Chile"/>
    <d v="2017-07-13T00:00:00"/>
    <s v="Pedro Valencia"/>
    <m/>
    <x v="3"/>
    <m/>
    <d v="2017-07-25T00:00:00"/>
    <n v="416"/>
    <n v="11.7849355"/>
    <n v="28329.171875"/>
    <m/>
    <m/>
    <m/>
    <m/>
    <x v="5"/>
  </r>
  <r>
    <s v="O-736"/>
    <d v="2017-07-11T00:00:00"/>
    <x v="23"/>
    <s v="CASERONES"/>
    <s v="Felipe Perez"/>
    <m/>
    <s v="Integración CIO Sist Complementarios de Recirculación de Aguas La_x000a_Brea – MLCC// Contrato Marco 01867"/>
    <x v="1"/>
    <s v="LM"/>
    <s v="NAC"/>
    <s v="Chile"/>
    <d v="2017-07-12T00:00:00"/>
    <s v="Pedro Valencia"/>
    <m/>
    <x v="5"/>
    <m/>
    <d v="2017-07-25T00:00:00"/>
    <n v="396"/>
    <n v="10.66372"/>
    <n v="26928.585858585855"/>
    <s v="SH0158-OS05"/>
    <m/>
    <m/>
    <m/>
    <x v="5"/>
  </r>
  <r>
    <s v="O-735"/>
    <d v="2017-07-08T00:00:00"/>
    <x v="51"/>
    <s v="COLLAHUASI"/>
    <s v="Luis Lopez"/>
    <m/>
    <s v="Readecuación y Presentación Explicativa O699 y O656"/>
    <x v="0"/>
    <s v="ND"/>
    <s v="NAC"/>
    <s v="Chile"/>
    <d v="2017-07-11T00:00:00"/>
    <s v="Pedro Valencia"/>
    <m/>
    <x v="3"/>
    <n v="0.1"/>
    <d v="2017-07-25T00:00:00"/>
    <n v="705"/>
    <n v="21.662224999999999"/>
    <n v="30726.560283687941"/>
    <m/>
    <m/>
    <m/>
    <m/>
    <x v="5"/>
  </r>
  <r>
    <s v="O-734"/>
    <d v="2017-07-08T00:00:00"/>
    <x v="51"/>
    <s v="COLLAHUASI"/>
    <s v="Luis Lopez"/>
    <m/>
    <s v="Ing. Conceptual Mejora Sistema Impulsión Coposa Norte a Coposa Central"/>
    <x v="2"/>
    <s v="ND"/>
    <s v="NAC"/>
    <s v="Chile"/>
    <m/>
    <s v="Pedro Valencia"/>
    <m/>
    <x v="3"/>
    <n v="0.1"/>
    <d v="2017-07-12T00:00:00"/>
    <n v="668"/>
    <n v="25.011769999999999"/>
    <n v="37442.769461077842"/>
    <m/>
    <m/>
    <m/>
    <m/>
    <x v="5"/>
  </r>
  <r>
    <s v="O-733"/>
    <d v="2017-07-08T00:00:00"/>
    <x v="51"/>
    <s v="COLLAHUASI"/>
    <s v="Luis Lopez"/>
    <m/>
    <s v="Ingeniería de Detalles piping de conexión – Aducción Reservorio #501"/>
    <x v="1"/>
    <s v="ND"/>
    <s v="NAC"/>
    <s v="Chile"/>
    <m/>
    <s v="Pedro Valencia"/>
    <m/>
    <x v="3"/>
    <m/>
    <d v="2017-07-12T00:00:00"/>
    <n v="533"/>
    <n v="19.464169999999999"/>
    <n v="36518.142589118193"/>
    <m/>
    <m/>
    <m/>
    <m/>
    <x v="5"/>
  </r>
  <r>
    <s v="O-740"/>
    <d v="2017-07-07T00:00:00"/>
    <x v="43"/>
    <s v="ENAMI"/>
    <s v="Jorge Martinez"/>
    <m/>
    <s v="IC Nuevo Deposito de Relaves Planta Matta"/>
    <x v="2"/>
    <s v="LM"/>
    <s v="NAC"/>
    <s v="Chile"/>
    <d v="2017-08-11T00:00:00"/>
    <s v="Pedro Valencia"/>
    <s v="Consorcio con Codice"/>
    <x v="3"/>
    <n v="0.1"/>
    <d v="2017-07-25T00:00:00"/>
    <n v="2112"/>
    <n v="78.055040000000005"/>
    <n v="36957.878787878792"/>
    <m/>
    <m/>
    <m/>
    <m/>
    <x v="5"/>
  </r>
  <r>
    <s v="O-732"/>
    <d v="2017-07-06T00:00:00"/>
    <x v="11"/>
    <s v="Codelco SALVADOR"/>
    <m/>
    <m/>
    <s v="Preclasificación Licitación Servicios de Contraparte de Ingenieria y Apoyo PEM"/>
    <x v="12"/>
    <s v="LM"/>
    <s v="NAC"/>
    <s v="Chile"/>
    <m/>
    <s v="Pedro Valencia"/>
    <s v="Se enviaron antecedenes para clasificar"/>
    <x v="3"/>
    <m/>
    <m/>
    <m/>
    <m/>
    <m/>
    <m/>
    <m/>
    <m/>
    <m/>
    <x v="5"/>
  </r>
  <r>
    <s v="O-731"/>
    <d v="2017-07-06T00:00:00"/>
    <x v="39"/>
    <s v="Minera Spence"/>
    <s v="Juan Carlos Tapia"/>
    <s v="JuanCarlos.Tapia@sedgman.com"/>
    <s v="Remedicion Piscina Refina Oxido Sulfuro "/>
    <x v="5"/>
    <s v="LM"/>
    <s v="NAC"/>
    <s v="Chile"/>
    <m/>
    <s v="Pedro Valencia"/>
    <s v="Se enviaron CV para participar en Propuesta"/>
    <x v="3"/>
    <m/>
    <m/>
    <m/>
    <m/>
    <m/>
    <m/>
    <m/>
    <m/>
    <m/>
    <x v="5"/>
  </r>
  <r>
    <s v="O-730"/>
    <d v="2017-07-03T00:00:00"/>
    <x v="23"/>
    <s v="Caserones"/>
    <s v="Felipe Perez"/>
    <m/>
    <s v="Servicio Ingeniería Implementación Partidores Suaves EB4 // Contrato Marco"/>
    <x v="1"/>
    <s v="LM"/>
    <s v="NAC"/>
    <s v="Chile"/>
    <m/>
    <s v="Esteban Miranda"/>
    <m/>
    <x v="3"/>
    <m/>
    <d v="2017-07-12T00:00:00"/>
    <n v="566"/>
    <n v="14.156459999999999"/>
    <n v="25011.413427561838"/>
    <m/>
    <m/>
    <m/>
    <m/>
    <x v="5"/>
  </r>
  <r>
    <s v="O-729"/>
    <d v="2017-06-29T00:00:00"/>
    <x v="39"/>
    <s v="ZALDIVAR"/>
    <s v="Juan Carlos Tapia"/>
    <s v="JuanCarlos.Tapia@sedgman.com"/>
    <s v="Ingeniería Básica Manejo de Ripios Compañía Minera Zaldívar"/>
    <x v="5"/>
    <s v="ND"/>
    <s v="NAC"/>
    <s v="Chile"/>
    <m/>
    <s v="Claudio Muñoz"/>
    <m/>
    <x v="3"/>
    <m/>
    <d v="2017-07-12T00:00:00"/>
    <n v="340"/>
    <n v="7.6874000000000002"/>
    <n v="22610"/>
    <m/>
    <m/>
    <m/>
    <m/>
    <x v="5"/>
  </r>
  <r>
    <s v="O-728"/>
    <d v="2017-06-27T00:00:00"/>
    <x v="23"/>
    <s v="CASERONES"/>
    <s v="Gonzalo Araujo"/>
    <s v="garaujo@caserones.cl"/>
    <s v="Prefactibilidad Potenciamiento Sistema de Agua Recuperada // Contrato Marco"/>
    <x v="5"/>
    <s v="LM"/>
    <s v="NAC"/>
    <s v="Chile"/>
    <m/>
    <s v="Pedro Valencia"/>
    <m/>
    <x v="5"/>
    <m/>
    <d v="2017-07-12T00:00:00"/>
    <n v="1058"/>
    <n v="27.876799999999999"/>
    <n v="26348.582230623819"/>
    <s v="SH0158-OS04"/>
    <m/>
    <m/>
    <m/>
    <x v="5"/>
  </r>
  <r>
    <s v="O-727"/>
    <d v="2017-06-15T00:00:00"/>
    <x v="14"/>
    <s v="LAS BAMBAS"/>
    <s v="Ronaldo Nascimiento"/>
    <s v="Ronaldo.Nascimento@snclavalin.com"/>
    <s v="Scoping Study - Opciones Futuras en Logistica de Concentrado Las Bambas"/>
    <x v="30"/>
    <s v="LM"/>
    <s v="INT"/>
    <s v="Perú"/>
    <d v="2017-06-21T00:00:00"/>
    <s v="Pedro Valencia"/>
    <m/>
    <x v="3"/>
    <m/>
    <d v="2017-07-12T00:00:00"/>
    <n v="688"/>
    <n v="20.909700000000001"/>
    <n v="30392.005813953492"/>
    <m/>
    <m/>
    <m/>
    <m/>
    <x v="5"/>
  </r>
  <r>
    <s v="O-726"/>
    <d v="2017-06-15T00:00:00"/>
    <x v="35"/>
    <s v="Quebrada Blanca"/>
    <s v="Claudio Pavez"/>
    <s v="claudio.pavez@abengoa.com"/>
    <s v="Ingeniería Water Line to Process Plant 8 KM"/>
    <x v="1"/>
    <s v="LM"/>
    <s v="NAC"/>
    <s v="Chile"/>
    <d v="2017-06-23T00:00:00"/>
    <s v="Hernán Castro"/>
    <m/>
    <x v="3"/>
    <m/>
    <d v="2017-07-12T00:00:00"/>
    <n v="1280"/>
    <n v="36.131"/>
    <n v="28227.34375"/>
    <m/>
    <m/>
    <m/>
    <m/>
    <x v="5"/>
  </r>
  <r>
    <s v="O-722"/>
    <d v="2017-06-12T00:00:00"/>
    <x v="84"/>
    <s v="COLLAHUASI"/>
    <m/>
    <m/>
    <s v="ID Trampas Lanzamientos y Recepción Mineroductos 7 y 8 "/>
    <x v="1"/>
    <s v="ND"/>
    <s v="NAC"/>
    <s v="Chile"/>
    <m/>
    <s v="Rene Arancibia"/>
    <m/>
    <x v="3"/>
    <n v="0.01"/>
    <d v="2017-06-16T00:00:00"/>
    <n v="1275"/>
    <n v="43.230614520000003"/>
    <n v="33906.364329411772"/>
    <m/>
    <m/>
    <m/>
    <m/>
    <x v="5"/>
  </r>
  <r>
    <s v="O-724"/>
    <d v="2017-06-09T00:00:00"/>
    <x v="112"/>
    <s v="SQM"/>
    <m/>
    <m/>
    <s v="Chutes y Tolvas"/>
    <x v="1"/>
    <s v="ND"/>
    <s v="NAC"/>
    <s v="Chile"/>
    <m/>
    <s v="Carlos Umaña"/>
    <m/>
    <x v="4"/>
    <m/>
    <m/>
    <m/>
    <m/>
    <m/>
    <m/>
    <m/>
    <m/>
    <m/>
    <x v="5"/>
  </r>
  <r>
    <s v="O-723"/>
    <d v="2017-06-09T00:00:00"/>
    <x v="113"/>
    <s v="Prodiel"/>
    <s v="Cristóbal Guajardo Melillán"/>
    <s v="cristobalguajardo@prodiel.com"/>
    <s v="Proyecto Reemplazo Interruptores Alta Tension en Gas "/>
    <x v="1"/>
    <s v="LM"/>
    <s v="NAC"/>
    <s v="Chile"/>
    <d v="2017-06-16T00:00:00"/>
    <s v="Oriol Tucas"/>
    <m/>
    <x v="3"/>
    <n v="0.01"/>
    <d v="2017-06-19T00:00:00"/>
    <n v="50176"/>
    <n v="1462.4148"/>
    <n v="29145.703125000004"/>
    <m/>
    <m/>
    <m/>
    <m/>
    <x v="5"/>
  </r>
  <r>
    <s v="O-721"/>
    <d v="2017-06-09T00:00:00"/>
    <x v="23"/>
    <s v="CASERONES"/>
    <m/>
    <m/>
    <s v="Estudio de protecciones para los pozos P10@P14"/>
    <x v="2"/>
    <s v="LM"/>
    <s v="NAC"/>
    <s v="Chile"/>
    <d v="2017-06-09T00:00:00"/>
    <s v="Pedro Valencia"/>
    <m/>
    <x v="5"/>
    <m/>
    <d v="2017-06-19T00:00:00"/>
    <n v="37"/>
    <n v="1.4363999999999999"/>
    <n v="38821.621621621613"/>
    <s v="SH-0158 OS02"/>
    <m/>
    <m/>
    <m/>
    <x v="5"/>
  </r>
  <r>
    <s v="O-725"/>
    <d v="2017-06-08T00:00:00"/>
    <x v="114"/>
    <s v="Cerro Dominador"/>
    <s v="Ivan Cabrera"/>
    <s v="icarrera@upgm.cl"/>
    <s v="Ingeniería Implementación Sistema de Repulpeo Cerro Dominador"/>
    <x v="1"/>
    <s v="ND"/>
    <s v="NAC"/>
    <s v="Chile"/>
    <d v="2017-06-14T00:00:00"/>
    <s v="Pedro Valencia"/>
    <m/>
    <x v="5"/>
    <m/>
    <d v="2017-07-11T00:00:00"/>
    <n v="100"/>
    <n v="2.66"/>
    <n v="26600.000000000004"/>
    <s v="SH-0164"/>
    <m/>
    <m/>
    <m/>
    <x v="5"/>
  </r>
  <r>
    <s v="O-720"/>
    <d v="2017-06-07T00:00:00"/>
    <x v="5"/>
    <s v="R&amp;Q Ingeniería"/>
    <m/>
    <m/>
    <s v="ID Choquera  Donoso "/>
    <x v="1"/>
    <s v="LM"/>
    <s v="NAC"/>
    <s v="Chile"/>
    <m/>
    <m/>
    <s v="R&amp;Q decidio no participar."/>
    <x v="4"/>
    <m/>
    <m/>
    <m/>
    <m/>
    <m/>
    <m/>
    <m/>
    <m/>
    <m/>
    <x v="5"/>
  </r>
  <r>
    <s v="O-718"/>
    <d v="2017-06-02T00:00:00"/>
    <x v="0"/>
    <m/>
    <m/>
    <m/>
    <s v="Proyecto Electrico Edificio PTT"/>
    <x v="0"/>
    <m/>
    <m/>
    <m/>
    <m/>
    <m/>
    <m/>
    <x v="4"/>
    <m/>
    <m/>
    <m/>
    <m/>
    <m/>
    <m/>
    <m/>
    <m/>
    <m/>
    <x v="5"/>
  </r>
  <r>
    <s v="O-714"/>
    <d v="2017-05-31T00:00:00"/>
    <x v="23"/>
    <s v="Caserones"/>
    <m/>
    <m/>
    <s v="Ing Complementaria npara Estaciones Fluviométricas"/>
    <x v="1"/>
    <s v="LM"/>
    <s v="NAC"/>
    <s v="Chile"/>
    <d v="2017-06-02T00:00:00"/>
    <s v="Hernan castro"/>
    <m/>
    <x v="3"/>
    <m/>
    <d v="2017-05-31T00:00:00"/>
    <n v="730"/>
    <n v="18.753"/>
    <n v="25689.04109589041"/>
    <m/>
    <m/>
    <m/>
    <m/>
    <x v="5"/>
  </r>
  <r>
    <s v="O-715"/>
    <d v="2017-05-30T00:00:00"/>
    <x v="115"/>
    <s v="Peñasquito"/>
    <m/>
    <m/>
    <s v="Acompañamiento Proyecto Peñasquito"/>
    <x v="4"/>
    <s v="ND"/>
    <s v="INT"/>
    <s v="Mexico"/>
    <d v="2017-03-31T00:00:00"/>
    <s v="Claudio Muñoz"/>
    <s v="Terreno J Muñoz y M Molina"/>
    <x v="5"/>
    <n v="1"/>
    <d v="2017-05-30T00:00:00"/>
    <n v="192"/>
    <n v="3.4216245000000001"/>
    <n v="17820.9609375"/>
    <s v="SH-0157"/>
    <m/>
    <m/>
    <m/>
    <x v="5"/>
  </r>
  <r>
    <s v="O-716"/>
    <d v="2017-05-29T00:00:00"/>
    <x v="115"/>
    <s v="Peñasquito"/>
    <m/>
    <m/>
    <s v="PIPE SUPPORT DESIGN 36"/>
    <x v="4"/>
    <s v="ND"/>
    <s v="INT"/>
    <s v="Mexico"/>
    <d v="2017-06-01T00:00:00"/>
    <s v="Claudio Muñoz"/>
    <m/>
    <x v="5"/>
    <n v="1"/>
    <d v="2017-05-29T00:00:00"/>
    <m/>
    <m/>
    <m/>
    <s v="SH-0159"/>
    <m/>
    <m/>
    <m/>
    <x v="5"/>
  </r>
  <r>
    <s v="O-717"/>
    <d v="2017-05-28T00:00:00"/>
    <x v="115"/>
    <s v="Peñasquito"/>
    <m/>
    <m/>
    <s v="Pit Dewatering relocation"/>
    <x v="4"/>
    <s v="ND"/>
    <s v="INT"/>
    <s v="Mexico"/>
    <d v="2017-05-31T00:00:00"/>
    <s v="Claudio Muñoz"/>
    <m/>
    <x v="5"/>
    <n v="0.9"/>
    <d v="2017-05-28T00:00:00"/>
    <n v="200"/>
    <m/>
    <m/>
    <s v="SH-0165"/>
    <m/>
    <m/>
    <m/>
    <x v="5"/>
  </r>
  <r>
    <s v="O-713"/>
    <d v="2017-05-28T00:00:00"/>
    <x v="116"/>
    <s v="¿?"/>
    <s v="Jordi Guimera"/>
    <m/>
    <s v="IC Recuperacion de Minerales Relaves Zona Central de Peru "/>
    <x v="2"/>
    <s v="ND"/>
    <s v="INT"/>
    <s v="Perú"/>
    <d v="2017-05-31T00:00:00"/>
    <s v="Pablo Vasquez"/>
    <s v="Este proyecto implica también lo siguiente:_x000a_1. Reponer energía eléctrica de San Mateo a la Planta/Mina (Cables, controles, etc.) _x000a_2. Tendido de una línea de transmisión de 20 km y 2 sub-estaciones eléctricas_x000a_3. Reparaciones y/o adición de equipos y otros para la Planta de Flotación actual. (Hay un solo circuito de flotación, ampliar para la separación del bulk plomo – cobre y el circuito en su totalidad para flotar Zinc) (Faltan: Espesador y filtro para cada producto a obtenerse) _x000a_4. Para ampliar y/o mejorar relavera (están llenas casi a su límite, evaluar su manejo adecuado a fin de seguir operando; teniendo en cuenta los posibles impactos ambientales que podrían originar) _x000a_5. Para habilitar relavera nueva. (Ubicar el área apropiada y construirla)_x000a_"/>
    <x v="4"/>
    <m/>
    <d v="2017-05-29T00:00:00"/>
    <m/>
    <m/>
    <m/>
    <m/>
    <m/>
    <m/>
    <m/>
    <x v="5"/>
  </r>
  <r>
    <s v="O-712"/>
    <d v="2017-05-28T00:00:00"/>
    <x v="116"/>
    <s v="¿?"/>
    <s v="Jordi Guimera"/>
    <m/>
    <s v="IC Recuperacion de Agua de Relaves en Peru "/>
    <x v="2"/>
    <s v="ND"/>
    <s v="INT"/>
    <s v="Perú"/>
    <d v="2017-05-31T00:00:00"/>
    <s v="Pablo Vasquez"/>
    <s v="1.- Se requiere recuperar agua de los relaves alrededor de 200 lt/sg adicionales a lo que se recupera con los espesadores._x000a_2.- Se espera procesar alrededor de 40,000 tpd (TM/día) de relaves para llevarlos de 64% de contenido de sólidos a  83% en peso._x000a_3.- Lo que han evaluado para llegar a estos valores es centrifugar o filtrar los relaves y tener &quot;tortas&quot; manejables por fajas o volquetes_x000a_"/>
    <x v="4"/>
    <m/>
    <d v="2017-05-29T00:00:00"/>
    <m/>
    <m/>
    <m/>
    <m/>
    <m/>
    <m/>
    <m/>
    <x v="5"/>
  </r>
  <r>
    <s v="O-711"/>
    <d v="2017-05-25T00:00:00"/>
    <x v="117"/>
    <s v="CRU Strategies"/>
    <m/>
    <m/>
    <s v="Actualizacion Benchmarking Impulsion Agua de Mar y Desalada"/>
    <x v="28"/>
    <s v="ND"/>
    <s v="NAC"/>
    <s v="Chile"/>
    <d v="2017-06-21T00:00:00"/>
    <s v="Pedro Valencia"/>
    <m/>
    <x v="3"/>
    <n v="0.01"/>
    <d v="2017-06-19T00:00:00"/>
    <n v="240"/>
    <n v="6.3840000000000003"/>
    <n v="26600.000000000004"/>
    <m/>
    <m/>
    <m/>
    <m/>
    <x v="5"/>
  </r>
  <r>
    <s v="O-710"/>
    <d v="2017-05-25T00:00:00"/>
    <x v="22"/>
    <s v="Centinela"/>
    <m/>
    <m/>
    <s v="Estudio Prefactibilidad PaleoCanal"/>
    <x v="10"/>
    <s v="LM"/>
    <s v="NAC"/>
    <s v="Chile"/>
    <d v="2017-06-14T00:00:00"/>
    <s v="Pedro Valencia"/>
    <s v="Propuesta asignada a Keypro"/>
    <x v="3"/>
    <m/>
    <d v="2017-11-03T00:00:00"/>
    <n v="2720"/>
    <n v="102.98"/>
    <n v="37860.294117647063"/>
    <m/>
    <m/>
    <m/>
    <m/>
    <x v="5"/>
  </r>
  <r>
    <s v="O-709"/>
    <d v="2017-05-24T00:00:00"/>
    <x v="12"/>
    <s v="R&amp;Q Ingeniería"/>
    <m/>
    <m/>
    <s v="Servicio de Elaboracion de Proyectos y Estudios de Ingenieria"/>
    <x v="1"/>
    <s v="LM"/>
    <s v="NAC"/>
    <s v="Chile"/>
    <d v="2017-06-07T00:00:00"/>
    <s v="Pedro Valencia"/>
    <s v="Propuesta Economica Alta"/>
    <x v="3"/>
    <n v="0.1"/>
    <d v="2017-06-19T00:00:00"/>
    <n v="76790"/>
    <n v="2057.2174"/>
    <n v="26790.173199635366"/>
    <m/>
    <m/>
    <m/>
    <m/>
    <x v="5"/>
  </r>
  <r>
    <s v="O-708"/>
    <d v="2017-05-22T00:00:00"/>
    <x v="29"/>
    <s v="SQM"/>
    <m/>
    <m/>
    <s v="Respaldo CAPEX Camino Acceso Proyecto Pampa Orcoma"/>
    <x v="3"/>
    <s v="ND"/>
    <s v="NAC"/>
    <s v="Chile"/>
    <d v="2017-05-22T00:00:00"/>
    <s v="Claudio Muñoz"/>
    <m/>
    <x v="5"/>
    <n v="1"/>
    <d v="2017-05-31T00:00:00"/>
    <n v="20"/>
    <n v="1.24285"/>
    <n v="62142.5"/>
    <s v="SH-0160"/>
    <m/>
    <m/>
    <m/>
    <x v="5"/>
  </r>
  <r>
    <s v="O-707"/>
    <d v="2017-05-19T00:00:00"/>
    <x v="23"/>
    <s v="CASERONES"/>
    <m/>
    <m/>
    <s v="Ingenieria Respaldo Datos Instrumentacion Nuevos Pozos P10@P14"/>
    <x v="1"/>
    <s v="LM"/>
    <s v="NAC"/>
    <s v="Chile"/>
    <d v="2017-05-30T00:00:00"/>
    <s v="Esteban Miranda"/>
    <m/>
    <x v="5"/>
    <m/>
    <d v="2017-05-31T00:00:00"/>
    <n v="142"/>
    <n v="3.8159357000000003"/>
    <n v="26872.78661971831"/>
    <s v="SH-0158 OS03"/>
    <m/>
    <m/>
    <m/>
    <x v="5"/>
  </r>
  <r>
    <s v="O-706"/>
    <d v="2017-05-18T00:00:00"/>
    <x v="118"/>
    <s v="ENAP"/>
    <m/>
    <m/>
    <s v="Implementación Sistema de Detección de Fuga Oleoduto - Refineria Aconcagua"/>
    <x v="1"/>
    <s v="LM"/>
    <s v="NAC"/>
    <s v="Chile"/>
    <d v="2017-06-16T00:00:00"/>
    <s v="Pedro Valencia"/>
    <m/>
    <x v="4"/>
    <m/>
    <d v="2017-05-31T00:00:00"/>
    <m/>
    <m/>
    <m/>
    <m/>
    <m/>
    <m/>
    <m/>
    <x v="5"/>
  </r>
  <r>
    <s v="O-704"/>
    <d v="2017-05-17T00:00:00"/>
    <x v="51"/>
    <s v="COLLAHUASI"/>
    <s v="Richards López"/>
    <m/>
    <s v="Estudio de Mejora Integridad de Mineroductos Primer Tramo de Impulsión"/>
    <x v="6"/>
    <s v="ND"/>
    <s v="NAC"/>
    <s v="Chile"/>
    <d v="2017-05-18T00:00:00"/>
    <s v="Pedro Valencia"/>
    <s v="Vender a p Contreras 02/06"/>
    <x v="3"/>
    <m/>
    <d v="2017-05-31T00:00:00"/>
    <n v="618"/>
    <n v="21.50742"/>
    <n v="34801.650485436898"/>
    <m/>
    <m/>
    <m/>
    <m/>
    <x v="5"/>
  </r>
  <r>
    <s v="O-705"/>
    <d v="2017-05-17T00:00:00"/>
    <x v="22"/>
    <s v="Centinela"/>
    <s v="Pablo Cheng De Filipis"/>
    <s v="pcheng@mineracentinela.cl"/>
    <s v="Mejoramiento Control de Pebbles en Molienda, Flotacion y Relaves"/>
    <x v="2"/>
    <s v="ND"/>
    <s v="NAC"/>
    <s v="Chile"/>
    <d v="2017-05-22T00:00:00"/>
    <s v="Pablo Vasquez"/>
    <m/>
    <x v="5"/>
    <m/>
    <d v="2017-05-31T00:00:00"/>
    <n v="739"/>
    <n v="29.736774"/>
    <n v="40239.20703653586"/>
    <s v="SH-0162"/>
    <m/>
    <m/>
    <m/>
    <x v="5"/>
  </r>
  <r>
    <s v="O-703"/>
    <d v="2017-05-16T00:00:00"/>
    <x v="12"/>
    <s v="ZALDIVAR"/>
    <s v="Juan Carlos Álvares/Juan Olave"/>
    <m/>
    <s v="Servicios de Apoyo Reemplazo Boombas Booster"/>
    <x v="0"/>
    <s v="ND"/>
    <s v="NAC"/>
    <s v="Chile"/>
    <d v="2017-05-23T00:00:00"/>
    <s v="René Arancibia"/>
    <s v="Comentada. En revisión"/>
    <x v="3"/>
    <m/>
    <d v="2017-05-31T00:00:00"/>
    <n v="536"/>
    <n v="13.900093999999999"/>
    <n v="25933.011194029848"/>
    <m/>
    <m/>
    <m/>
    <m/>
    <x v="5"/>
  </r>
  <r>
    <s v="O-702"/>
    <d v="2017-05-16T00:00:00"/>
    <x v="58"/>
    <s v="GNL - QUINTEROS"/>
    <m/>
    <m/>
    <s v="Diseño Ingeniería Bodega Techada – Terminal GNL Quinteros"/>
    <x v="1"/>
    <s v="LM"/>
    <s v="NAC"/>
    <s v="Chile"/>
    <m/>
    <s v="Claudio Muñoz"/>
    <m/>
    <x v="3"/>
    <m/>
    <d v="2017-05-31T00:00:00"/>
    <n v="1018"/>
    <n v="30.242591999999998"/>
    <n v="29707.850687622791"/>
    <m/>
    <m/>
    <m/>
    <m/>
    <x v="5"/>
  </r>
  <r>
    <s v="O-701"/>
    <d v="2017-05-15T00:00:00"/>
    <x v="119"/>
    <s v="YOKOGAWA"/>
    <m/>
    <m/>
    <s v="Acuerdo Marco de Ingeniería"/>
    <x v="9"/>
    <s v="ND"/>
    <s v="NAC"/>
    <s v="Chile"/>
    <d v="2017-05-15T00:00:00"/>
    <s v="Claudio Muñoz"/>
    <m/>
    <x v="3"/>
    <m/>
    <d v="2017-05-31T00:00:00"/>
    <m/>
    <m/>
    <m/>
    <m/>
    <m/>
    <m/>
    <m/>
    <x v="5"/>
  </r>
  <r>
    <s v="O-700"/>
    <d v="2017-05-15T00:00:00"/>
    <x v="120"/>
    <s v="ARAUCO"/>
    <m/>
    <m/>
    <s v="Revision Estructural Villa Parque 1 y 2"/>
    <x v="7"/>
    <s v="ND"/>
    <s v="NAC"/>
    <s v="Chile"/>
    <d v="2017-05-15T00:00:00"/>
    <s v="Pedro Valencia"/>
    <s v="Hermano de Ivan Pizarro no se pronunció"/>
    <x v="3"/>
    <m/>
    <d v="2017-05-31T00:00:00"/>
    <n v="100"/>
    <n v="2.66"/>
    <n v="26600.000000000004"/>
    <m/>
    <m/>
    <m/>
    <m/>
    <x v="5"/>
  </r>
  <r>
    <s v="O-699"/>
    <d v="2017-05-11T00:00:00"/>
    <x v="51"/>
    <s v="COLLAHUASI"/>
    <s v="Rene Solaligue Muñoz"/>
    <s v="RSOLALIGUE@collahuasi.cl"/>
    <s v="Piscina Drenaje Punto Bajo y otros"/>
    <x v="1"/>
    <s v="ND"/>
    <s v="NAC"/>
    <s v="Chile"/>
    <d v="2017-05-15T00:00:00"/>
    <s v="Pedro Valencia"/>
    <s v="Vender a p Contreras 02/06"/>
    <x v="3"/>
    <m/>
    <d v="2017-05-31T00:00:00"/>
    <n v="359"/>
    <n v="77.322685000000007"/>
    <n v="215383.52367688023"/>
    <m/>
    <m/>
    <m/>
    <m/>
    <x v="5"/>
  </r>
  <r>
    <s v="O-698"/>
    <d v="2017-05-10T00:00:00"/>
    <x v="121"/>
    <s v="Metallurgical Service"/>
    <s v="Hervin Cordero"/>
    <m/>
    <s v="Asesoría Hidráulica Experta"/>
    <x v="0"/>
    <s v="ND"/>
    <s v="INT"/>
    <s v="Perú"/>
    <d v="2017-05-12T00:00:00"/>
    <s v="Pedro Valencia"/>
    <s v="Hervin Cordero Peru"/>
    <x v="3"/>
    <m/>
    <d v="2017-05-31T00:00:00"/>
    <n v="40"/>
    <n v="2.508"/>
    <n v="62700.000000000007"/>
    <m/>
    <m/>
    <m/>
    <m/>
    <x v="5"/>
  </r>
  <r>
    <s v="O-697"/>
    <d v="2017-05-10T00:00:00"/>
    <x v="77"/>
    <s v="Chinalco"/>
    <m/>
    <m/>
    <s v="ID Reubicacion de Tuberias de Relaves "/>
    <x v="1"/>
    <s v="LM"/>
    <s v="INT"/>
    <s v="Perú"/>
    <d v="2017-05-30T00:00:00"/>
    <s v="Pablo Vasquez"/>
    <m/>
    <x v="5"/>
    <n v="0.1"/>
    <d v="2017-05-31T00:00:00"/>
    <n v="3159"/>
    <n v="121.70334"/>
    <n v="38525.906932573598"/>
    <s v="SH-0166"/>
    <m/>
    <m/>
    <m/>
    <x v="5"/>
  </r>
  <r>
    <s v="O-696"/>
    <d v="2017-05-08T00:00:00"/>
    <x v="11"/>
    <s v="Codelco SALVADOR"/>
    <s v="Lino Pastene"/>
    <m/>
    <s v="Ingeniería de Detalle Repulpeo Concentrado Piscina Área 6100"/>
    <x v="1"/>
    <s v="ND"/>
    <s v="NAC"/>
    <s v="Chile"/>
    <d v="2017-05-09T00:00:00"/>
    <s v="Pedro Valencia"/>
    <m/>
    <x v="5"/>
    <m/>
    <d v="2017-05-11T00:00:00"/>
    <n v="1500"/>
    <n v="39.087220000000002"/>
    <n v="26058.146666666667"/>
    <s v="SH-0146"/>
    <m/>
    <m/>
    <m/>
    <x v="5"/>
  </r>
  <r>
    <s v="O-695"/>
    <d v="2017-05-05T00:00:00"/>
    <x v="23"/>
    <s v="CASERONES"/>
    <s v="Felipe Perez"/>
    <m/>
    <s v="Actualización Ingeniería Planos Vendor y Respuestas / Aclaraciones_x000a_Adicionales Contrato 01867"/>
    <x v="1"/>
    <s v="LM"/>
    <s v="NAC"/>
    <s v="Chile"/>
    <d v="2017-05-08T00:00:00"/>
    <s v="Pedro Valencia"/>
    <s v="En espera de emisión de EDP"/>
    <x v="5"/>
    <n v="1"/>
    <d v="2017-05-31T00:00:00"/>
    <n v="445"/>
    <n v="11.827655"/>
    <n v="26579"/>
    <m/>
    <m/>
    <m/>
    <m/>
    <x v="5"/>
  </r>
  <r>
    <s v="O-694"/>
    <d v="2017-05-04T00:00:00"/>
    <x v="64"/>
    <s v="Codelco DMH"/>
    <m/>
    <m/>
    <s v="Servicio de Diagnostico Hidraulico Sistema Agua Recuperada Planta"/>
    <x v="0"/>
    <s v="LM"/>
    <s v="NAC"/>
    <s v="Chile"/>
    <m/>
    <s v="Pedro Valencia"/>
    <s v="Aclaraciones en curso"/>
    <x v="3"/>
    <m/>
    <d v="2017-07-18T00:00:00"/>
    <n v="1250"/>
    <n v="46.45"/>
    <n v="37160.000000000007"/>
    <m/>
    <m/>
    <m/>
    <m/>
    <x v="5"/>
  </r>
  <r>
    <s v="O-693"/>
    <d v="2017-05-03T00:00:00"/>
    <x v="51"/>
    <s v="COLLAHUASI"/>
    <s v="Richards López"/>
    <m/>
    <s v="Ing. Conceptual Impulsión de agua desde Patache utilizando instalaciones existentes"/>
    <x v="2"/>
    <s v="ND"/>
    <s v="NAC"/>
    <s v="Chile"/>
    <d v="2017-05-05T00:00:00"/>
    <s v="Pedro Valencia"/>
    <s v="Vender a p Contreras 02/06"/>
    <x v="3"/>
    <m/>
    <d v="2017-05-31T00:00:00"/>
    <n v="390"/>
    <n v="13.036508"/>
    <n v="33426.943589743591"/>
    <m/>
    <m/>
    <m/>
    <m/>
    <x v="5"/>
  </r>
  <r>
    <s v="O-692"/>
    <d v="2017-05-03T00:00:00"/>
    <x v="14"/>
    <s v="Vale Brasil"/>
    <m/>
    <m/>
    <s v="Evaluación transientes y espesor línea"/>
    <x v="0"/>
    <s v="ND"/>
    <s v="INT"/>
    <s v="Brasil"/>
    <d v="2017-05-04T00:00:00"/>
    <s v="Pedro Valencia"/>
    <m/>
    <x v="3"/>
    <m/>
    <d v="2017-05-31T00:00:00"/>
    <n v="130"/>
    <n v="3.8266"/>
    <n v="29435.384615384617"/>
    <m/>
    <m/>
    <m/>
    <m/>
    <x v="5"/>
  </r>
  <r>
    <s v="O-691"/>
    <d v="2017-04-28T00:00:00"/>
    <x v="122"/>
    <s v="Ecometales"/>
    <m/>
    <m/>
    <s v="Ingenieria Linea PLS"/>
    <x v="0"/>
    <s v="LM"/>
    <s v="NAC"/>
    <s v="Chile"/>
    <d v="2017-05-03T00:00:00"/>
    <s v="Pedro Valencia"/>
    <s v="Se la adjudico JRI,Ellos están asociados en un Proyecto CORFO_x000a_"/>
    <x v="3"/>
    <m/>
    <d v="2017-05-18T00:00:00"/>
    <n v="685"/>
    <n v="22.796199999999999"/>
    <n v="33279.124087591241"/>
    <m/>
    <m/>
    <m/>
    <m/>
    <x v="5"/>
  </r>
  <r>
    <s v="O-690"/>
    <d v="2017-04-28T00:00:00"/>
    <x v="123"/>
    <s v="ENAMI"/>
    <m/>
    <m/>
    <s v="EPC Deposito de Relaves Planta Vallenar"/>
    <x v="0"/>
    <s v="LM"/>
    <s v="NAC"/>
    <s v="Chile"/>
    <m/>
    <s v="Pedro Valencia"/>
    <s v="Ivan Pizarro no entrrega mas info. Propuesta desierta"/>
    <x v="6"/>
    <m/>
    <d v="2017-05-31T00:00:00"/>
    <n v="26903"/>
    <n v="666.63995499999999"/>
    <n v="24779.390960115972"/>
    <m/>
    <m/>
    <m/>
    <m/>
    <x v="1"/>
  </r>
  <r>
    <s v="O-689"/>
    <d v="2017-04-27T00:00:00"/>
    <x v="64"/>
    <s v="Codelco DMH"/>
    <m/>
    <m/>
    <s v="Servicios de Ingenieria Mejoria Operacional"/>
    <x v="0"/>
    <s v="LM"/>
    <s v="NAC"/>
    <s v="Chile"/>
    <m/>
    <s v="Pedro Valencia"/>
    <s v="Bases Técnicas Enviadas a Guido Borquez, esperando invitación a Licitación"/>
    <x v="3"/>
    <m/>
    <d v="2017-07-25T00:00:00"/>
    <n v="2620"/>
    <n v="130"/>
    <n v="49618.32061068702"/>
    <m/>
    <m/>
    <m/>
    <m/>
    <x v="1"/>
  </r>
  <r>
    <s v="O-688"/>
    <d v="2017-04-27T00:00:00"/>
    <x v="64"/>
    <s v="Codelco DMH"/>
    <s v="Jorge Tapia"/>
    <m/>
    <s v="IC Complementaria Mejora Impulsion desde Sentina"/>
    <x v="2"/>
    <s v="ND"/>
    <s v="NAC"/>
    <s v="Chile"/>
    <d v="2017-04-26T00:00:00"/>
    <s v="Pedro Valencia"/>
    <m/>
    <x v="3"/>
    <m/>
    <d v="2017-05-03T00:00:00"/>
    <n v="471"/>
    <n v="16.647476999999999"/>
    <n v="35344.961783439488"/>
    <m/>
    <m/>
    <m/>
    <m/>
    <x v="5"/>
  </r>
  <r>
    <s v="O-687"/>
    <d v="2017-04-21T00:00:00"/>
    <x v="51"/>
    <s v="COLLAHUASI"/>
    <m/>
    <m/>
    <s v="IC Impulsion Agua Recuperada Punta Patache"/>
    <x v="0"/>
    <m/>
    <s v="NAC"/>
    <s v="Chile"/>
    <s v="NA"/>
    <s v="NA"/>
    <s v="NA"/>
    <x v="4"/>
    <m/>
    <m/>
    <m/>
    <m/>
    <m/>
    <m/>
    <m/>
    <m/>
    <m/>
    <x v="1"/>
  </r>
  <r>
    <s v="O-686"/>
    <d v="2017-04-13T00:00:00"/>
    <x v="124"/>
    <s v="COLLAHUASI"/>
    <s v="Guillermo Coloma"/>
    <s v="guillermo@colomaconsultores.cl"/>
    <s v="Ingenieria Basica Nuevo Loop de Cal"/>
    <x v="5"/>
    <s v="ND"/>
    <s v="NAC"/>
    <s v="Chile"/>
    <d v="2017-04-14T00:00:00"/>
    <s v="Pedro Valencia"/>
    <s v="Propuesta enviada a Presupuesto de COLLAHUASI, fecha de ejecucion 2018"/>
    <x v="4"/>
    <m/>
    <d v="2017-05-03T00:00:00"/>
    <n v="885"/>
    <n v="28.753585000000001"/>
    <n v="32489.926553672318"/>
    <m/>
    <m/>
    <m/>
    <m/>
    <x v="5"/>
  </r>
  <r>
    <s v="O-685"/>
    <d v="2017-04-10T00:00:00"/>
    <x v="105"/>
    <s v="LAS BAMBAS"/>
    <s v="Rafael Carpio"/>
    <s v="rafael.carpio@mmg.com"/>
    <s v="Estudio Verificacion Red de Agua Fresca Planta Concentrada"/>
    <x v="0"/>
    <s v="ND"/>
    <s v="INT"/>
    <s v="Perú"/>
    <d v="2017-05-26T00:00:00"/>
    <s v="Pedro Valencia"/>
    <s v="Se envió en rev 1 en mayo/17 con alcance y costo reducido, luego de reunión con J Agustini, PVS y PVZ en taller de relaves en Lima"/>
    <x v="3"/>
    <m/>
    <d v="2017-05-31T00:00:00"/>
    <n v="1340"/>
    <n v="46.613174999999998"/>
    <n v="34785.951492537315"/>
    <m/>
    <m/>
    <m/>
    <m/>
    <x v="5"/>
  </r>
  <r>
    <s v="O-684"/>
    <d v="2017-04-10T00:00:00"/>
    <x v="105"/>
    <s v="LAS BAMBAS"/>
    <s v="Jorge Agustini"/>
    <s v="jorge.agustini@mmg.com"/>
    <s v="Estudio Mejoramiento Aduccion Agua de Procesos"/>
    <x v="0"/>
    <s v="ND"/>
    <s v="INT"/>
    <s v="Perú"/>
    <d v="2017-04-12T00:00:00"/>
    <s v="Pedro Valencia"/>
    <s v="J Agustini postergó, pero en Taller de relaves en Lima (mayo) dijo a PVS y PVZ que no estaba muerta. Solo diferida para retomar dentro de 2017"/>
    <x v="3"/>
    <m/>
    <d v="2017-05-31T00:00:00"/>
    <n v="729"/>
    <n v="26.103674999999999"/>
    <n v="35807.510288065845"/>
    <m/>
    <m/>
    <m/>
    <m/>
    <x v="5"/>
  </r>
  <r>
    <s v="O-683"/>
    <d v="2017-04-03T00:00:00"/>
    <x v="125"/>
    <s v="Associated Unersities Inc (AUI)"/>
    <s v="Roberto Ibáñez"/>
    <s v="ribanez@aui.cl"/>
    <s v="Diseño Sistema Particular de Aguas Servidas"/>
    <x v="0"/>
    <s v="ND"/>
    <s v="NAC"/>
    <s v="Chile"/>
    <d v="2017-04-04T00:00:00"/>
    <s v="Pedro Valencia"/>
    <s v="Roberto Ibañez no se pronunció"/>
    <x v="3"/>
    <m/>
    <d v="2017-05-31T00:00:00"/>
    <n v="174"/>
    <n v="9.8699999999999996E-2"/>
    <n v="567.24137931034477"/>
    <m/>
    <m/>
    <m/>
    <m/>
    <x v="5"/>
  </r>
  <r>
    <s v="O-681"/>
    <d v="2017-03-27T00:00:00"/>
    <x v="126"/>
    <s v="Geopark"/>
    <m/>
    <m/>
    <s v="Flexpipe PI"/>
    <x v="0"/>
    <m/>
    <m/>
    <m/>
    <m/>
    <m/>
    <m/>
    <x v="4"/>
    <m/>
    <m/>
    <m/>
    <m/>
    <m/>
    <m/>
    <m/>
    <m/>
    <m/>
    <x v="1"/>
  </r>
  <r>
    <s v="O-682"/>
    <d v="2017-03-27T00:00:00"/>
    <x v="105"/>
    <s v="LAS BAMBAS"/>
    <s v="Rildo Pérez"/>
    <s v="joel.perez@mmg.com"/>
    <s v="ID Descarga de Agua Piscinas 0921"/>
    <x v="1"/>
    <s v="ND"/>
    <s v="INT"/>
    <s v="Perú"/>
    <d v="2017-03-29T00:00:00"/>
    <s v="Pedro Valencia"/>
    <m/>
    <x v="5"/>
    <m/>
    <d v="2017-05-03T00:00:00"/>
    <n v="210"/>
    <n v="7.40259"/>
    <n v="35250.428571428572"/>
    <s v="SH-0156"/>
    <m/>
    <m/>
    <m/>
    <x v="5"/>
  </r>
  <r>
    <s v="O-680"/>
    <d v="2017-03-21T00:00:00"/>
    <x v="122"/>
    <s v="Ecometales"/>
    <m/>
    <m/>
    <s v="Ingenieria de Detalles Proyecto Aumento de Recuperacion de Cobre"/>
    <x v="1"/>
    <s v="LM"/>
    <s v="NAC"/>
    <s v="Chile"/>
    <d v="2017-04-17T00:00:00"/>
    <s v="Pedro Valencia"/>
    <m/>
    <x v="3"/>
    <m/>
    <d v="2017-05-17T00:00:00"/>
    <n v="4997"/>
    <n v="132.01919000000001"/>
    <n v="26419.689813888333"/>
    <m/>
    <m/>
    <m/>
    <m/>
    <x v="5"/>
  </r>
  <r>
    <s v="O-679"/>
    <d v="2017-03-21T00:00:00"/>
    <x v="109"/>
    <s v="CANDELARIA"/>
    <m/>
    <m/>
    <s v="Ingenieria OOCC Reemplazo Valvulas "/>
    <x v="0"/>
    <s v="ND"/>
    <s v="NAC"/>
    <s v="Chile"/>
    <d v="2017-03-23T00:00:00"/>
    <s v="Pedro Valencia"/>
    <s v="Preguntar a JM Silva"/>
    <x v="3"/>
    <n v="0.01"/>
    <d v="2017-05-31T00:00:00"/>
    <n v="811"/>
    <n v="21.642644000000001"/>
    <n v="26686.367447595559"/>
    <m/>
    <m/>
    <m/>
    <m/>
    <x v="5"/>
  </r>
  <r>
    <s v="O-678"/>
    <d v="2017-03-21T00:00:00"/>
    <x v="109"/>
    <s v="CANDELARIA"/>
    <m/>
    <m/>
    <s v="Ingenieria Reemplazo Valvulas"/>
    <x v="0"/>
    <s v="ND"/>
    <s v="NAC"/>
    <s v="Chile"/>
    <d v="2017-03-23T00:00:00"/>
    <s v="Pedro Valencia"/>
    <s v="Preguntar a JM Silva"/>
    <x v="3"/>
    <n v="0.01"/>
    <d v="2017-05-31T00:00:00"/>
    <n v="560"/>
    <n v="18.414767999999999"/>
    <n v="32883.514285714278"/>
    <m/>
    <m/>
    <m/>
    <m/>
    <x v="5"/>
  </r>
  <r>
    <s v="O-676"/>
    <d v="2017-03-20T00:00:00"/>
    <x v="64"/>
    <s v="Codelco DMH"/>
    <m/>
    <m/>
    <s v="Control y tele-comando del proceso de repulpeo de piscina de derrames concentrado"/>
    <x v="0"/>
    <s v="ND"/>
    <s v="NAC"/>
    <s v="Chile"/>
    <d v="2017-03-21T00:00:00"/>
    <s v="Pedro Valencia"/>
    <m/>
    <x v="3"/>
    <m/>
    <d v="2017-03-23T00:00:00"/>
    <n v="565"/>
    <n v="12.32803"/>
    <n v="21819.522123893807"/>
    <m/>
    <m/>
    <m/>
    <m/>
    <x v="5"/>
  </r>
  <r>
    <s v="O-675"/>
    <d v="2017-03-20T00:00:00"/>
    <x v="64"/>
    <s v="Codelco DMH"/>
    <m/>
    <m/>
    <s v="Simulación de Red de Agua Recuperada de DMH"/>
    <x v="0"/>
    <s v="ND"/>
    <s v="NAC"/>
    <s v="Chile"/>
    <d v="2017-03-20T00:00:00"/>
    <s v="Pedro Valencia"/>
    <m/>
    <x v="3"/>
    <m/>
    <d v="2017-03-23T00:00:00"/>
    <n v="228"/>
    <n v="7.2216690000000003"/>
    <n v="31673.986842105263"/>
    <m/>
    <m/>
    <m/>
    <m/>
    <x v="5"/>
  </r>
  <r>
    <s v="O-674"/>
    <d v="2017-03-20T00:00:00"/>
    <x v="8"/>
    <s v="ARCADIS"/>
    <s v="Hugo Andrade"/>
    <m/>
    <s v="Revision Area de Comunicaciones Planta Moly"/>
    <x v="0"/>
    <s v="ND"/>
    <s v="NAC"/>
    <s v="Chile"/>
    <d v="2017-03-21T00:00:00"/>
    <s v="Carlos Fernandez"/>
    <m/>
    <x v="3"/>
    <m/>
    <d v="2017-05-31T00:00:00"/>
    <n v="120"/>
    <n v="4.708634"/>
    <n v="39238.616666666661"/>
    <m/>
    <m/>
    <m/>
    <m/>
    <x v="5"/>
  </r>
  <r>
    <s v="O-677"/>
    <d v="2017-03-20T00:00:00"/>
    <x v="105"/>
    <s v="LAS BAMBAS"/>
    <m/>
    <m/>
    <s v="Unificacion Proyectos Bypass y Mejoramiento Underflow"/>
    <x v="1"/>
    <s v="ND"/>
    <s v="INT"/>
    <s v="Perú"/>
    <d v="2017-03-22T00:00:00"/>
    <s v="Pedro Valencia"/>
    <m/>
    <x v="5"/>
    <m/>
    <d v="2017-03-23T00:00:00"/>
    <n v="397"/>
    <n v="5.2450349999999997"/>
    <n v="13211.675062972292"/>
    <s v="SH-0151"/>
    <m/>
    <m/>
    <m/>
    <x v="5"/>
  </r>
  <r>
    <s v="O-673"/>
    <d v="2017-03-16T00:00:00"/>
    <x v="64"/>
    <s v="Codelco DMH"/>
    <m/>
    <m/>
    <s v="Determinacion capacidad de porteo agua a Flotacion Rougher y Soluciones"/>
    <x v="0"/>
    <s v="ND"/>
    <s v="NAC"/>
    <s v="Chile"/>
    <m/>
    <s v="Oscar Castro"/>
    <m/>
    <x v="4"/>
    <m/>
    <d v="2017-03-23T00:00:00"/>
    <m/>
    <m/>
    <m/>
    <m/>
    <m/>
    <m/>
    <m/>
    <x v="5"/>
  </r>
  <r>
    <s v="O-672"/>
    <d v="2017-03-16T00:00:00"/>
    <x v="79"/>
    <s v="Codelco DMH"/>
    <m/>
    <m/>
    <s v="Apoyo Soluciones fast track flexibilidad celda columna DMH"/>
    <x v="0"/>
    <s v="ND"/>
    <s v="NAC"/>
    <s v="Chile"/>
    <m/>
    <m/>
    <m/>
    <x v="4"/>
    <m/>
    <d v="2017-03-23T00:00:00"/>
    <m/>
    <m/>
    <m/>
    <m/>
    <m/>
    <m/>
    <m/>
    <x v="5"/>
  </r>
  <r>
    <s v="O-671"/>
    <d v="2017-03-16T00:00:00"/>
    <x v="39"/>
    <s v="SEDGAM"/>
    <m/>
    <m/>
    <s v="Estudio de Factibilidad Suministro de Agua"/>
    <x v="0"/>
    <s v="ND"/>
    <s v="NAC"/>
    <s v="Chile"/>
    <m/>
    <m/>
    <m/>
    <x v="4"/>
    <m/>
    <d v="2017-03-23T00:00:00"/>
    <m/>
    <m/>
    <m/>
    <m/>
    <m/>
    <m/>
    <m/>
    <x v="5"/>
  </r>
  <r>
    <s v="O-670"/>
    <d v="2017-03-16T00:00:00"/>
    <x v="0"/>
    <m/>
    <m/>
    <m/>
    <s v="Estudio Ampliación Planta de Tratamiento de Agua Potable de Concon"/>
    <x v="0"/>
    <s v="ND"/>
    <s v="NAC"/>
    <s v="Chile"/>
    <m/>
    <m/>
    <m/>
    <x v="4"/>
    <m/>
    <d v="2017-03-23T00:00:00"/>
    <m/>
    <m/>
    <m/>
    <m/>
    <m/>
    <m/>
    <m/>
    <x v="5"/>
  </r>
  <r>
    <s v="O-669"/>
    <d v="2017-03-09T00:00:00"/>
    <x v="8"/>
    <s v="ARCADIS"/>
    <s v="Hugo Andrade"/>
    <m/>
    <s v="Apoyo ARCADIS"/>
    <x v="4"/>
    <s v="ND"/>
    <s v="NAC"/>
    <s v="Chile"/>
    <d v="2017-03-10T00:00:00"/>
    <s v="Pedro Valencia"/>
    <s v="Contrato abierto ha llamado"/>
    <x v="5"/>
    <n v="0.2"/>
    <d v="2017-05-31T00:00:00"/>
    <m/>
    <m/>
    <m/>
    <s v="SH-0168"/>
    <m/>
    <m/>
    <m/>
    <x v="5"/>
  </r>
  <r>
    <s v="O-668"/>
    <d v="2017-03-09T00:00:00"/>
    <x v="23"/>
    <s v="Caserones"/>
    <m/>
    <m/>
    <s v="Mejoramiento Recuperacion de Agua Espesadores (Hugo Herrera)"/>
    <x v="1"/>
    <s v="ND"/>
    <s v="NAC"/>
    <s v="Chile"/>
    <m/>
    <s v="Oscar Castro"/>
    <s v="David emitir"/>
    <x v="4"/>
    <m/>
    <d v="2017-05-31T00:00:00"/>
    <m/>
    <m/>
    <m/>
    <m/>
    <m/>
    <m/>
    <m/>
    <x v="5"/>
  </r>
  <r>
    <s v="O-667"/>
    <d v="2017-03-08T00:00:00"/>
    <x v="23"/>
    <s v="CASERONES"/>
    <m/>
    <m/>
    <s v="Conducciones alternativas en HDPE para descargas al Depósito La Brea"/>
    <x v="1"/>
    <s v="ND"/>
    <s v="NAC"/>
    <s v="Chile"/>
    <d v="2017-03-08T00:00:00"/>
    <s v="Pedro Valencia"/>
    <m/>
    <x v="5"/>
    <m/>
    <d v="2017-06-06T00:00:00"/>
    <n v="468"/>
    <n v="11.523479999999999"/>
    <n v="24622.820512820512"/>
    <s v="SH-0163"/>
    <m/>
    <m/>
    <m/>
    <x v="5"/>
  </r>
  <r>
    <s v="O-666"/>
    <d v="2017-03-08T00:00:00"/>
    <x v="23"/>
    <s v="CASERONES"/>
    <m/>
    <m/>
    <s v="Actualización Ingeniería por llegada planos vendor y Respuestas/_x000a_Aclaraciones Adicionales marzo de 2017"/>
    <x v="1"/>
    <s v="ND"/>
    <s v="NAC"/>
    <s v="Chile"/>
    <d v="2017-03-08T00:00:00"/>
    <s v="Pedro Valencia"/>
    <m/>
    <x v="5"/>
    <m/>
    <d v="2017-05-31T00:00:00"/>
    <n v="810"/>
    <n v="24.130590000000002"/>
    <n v="29790.851851851854"/>
    <m/>
    <m/>
    <m/>
    <m/>
    <x v="5"/>
  </r>
  <r>
    <s v="O-665"/>
    <d v="2017-03-02T00:00:00"/>
    <x v="64"/>
    <s v="Codelco DMH"/>
    <m/>
    <m/>
    <s v="Mejoramiento capacidad recirculación Agua de proceso"/>
    <x v="2"/>
    <s v="ND"/>
    <s v="NAC"/>
    <s v="Chile"/>
    <d v="2017-03-03T00:00:00"/>
    <s v="Pedro Valencia"/>
    <m/>
    <x v="5"/>
    <m/>
    <d v="2017-03-06T00:00:00"/>
    <n v="524"/>
    <n v="19.022400000000001"/>
    <n v="36302.290076335885"/>
    <s v="SH-0154"/>
    <m/>
    <m/>
    <m/>
    <x v="5"/>
  </r>
  <r>
    <s v="O-663"/>
    <d v="2017-03-01T00:00:00"/>
    <x v="29"/>
    <s v="SQM"/>
    <m/>
    <m/>
    <s v="Ingenieria de Integracion NK - PV - SQM"/>
    <x v="1"/>
    <s v="LM"/>
    <s v="NAC"/>
    <s v="Chile"/>
    <m/>
    <s v="Pedro Valencia"/>
    <s v="Enviada Revision 3 "/>
    <x v="5"/>
    <m/>
    <d v="2017-05-18T00:00:00"/>
    <n v="2922"/>
    <n v="82.052222"/>
    <n v="28080.842573579743"/>
    <s v="SH-0161"/>
    <m/>
    <m/>
    <m/>
    <x v="5"/>
  </r>
  <r>
    <s v="O-664"/>
    <d v="2017-03-01T00:00:00"/>
    <x v="29"/>
    <s v="SQM"/>
    <m/>
    <m/>
    <s v="Elaboracion MRQ Proyecto ID Planta NK"/>
    <x v="0"/>
    <s v="ND"/>
    <s v="NAC"/>
    <s v="Chile"/>
    <d v="2017-03-02T00:00:00"/>
    <s v="Pedro Valencia"/>
    <m/>
    <x v="3"/>
    <m/>
    <d v="2017-05-31T00:00:00"/>
    <m/>
    <m/>
    <m/>
    <m/>
    <m/>
    <m/>
    <m/>
    <x v="5"/>
  </r>
  <r>
    <s v="O-662"/>
    <d v="2017-02-27T00:00:00"/>
    <x v="23"/>
    <s v="Caserones"/>
    <m/>
    <m/>
    <s v="Estudio e Ingenieria Detalles Ajustes Canales Perimetrales"/>
    <x v="1"/>
    <s v="ND"/>
    <s v="NAC"/>
    <s v="Chile"/>
    <m/>
    <s v="Pedro Valencia"/>
    <s v="Propuesta Desierta"/>
    <x v="4"/>
    <m/>
    <d v="2017-03-06T00:00:00"/>
    <n v="1690"/>
    <n v="74.290400000000005"/>
    <n v="43958.816568047347"/>
    <m/>
    <m/>
    <m/>
    <m/>
    <x v="5"/>
  </r>
  <r>
    <s v="O-661"/>
    <d v="2017-02-23T00:00:00"/>
    <x v="25"/>
    <s v="Sodexo"/>
    <m/>
    <m/>
    <s v="Ingeniería Conceptual nueva conducción red húmeda de incendio Establecimiento Penitenciario Antofagasta (EPA) y Establecimiento Penitenciario El Manzano II, Concepción (EPC)."/>
    <x v="0"/>
    <s v="ND"/>
    <s v="NAC"/>
    <s v="Chile"/>
    <m/>
    <s v="Pedro Valencia"/>
    <m/>
    <x v="3"/>
    <m/>
    <d v="2017-05-31T00:00:00"/>
    <n v="308"/>
    <n v="21.664400000000001"/>
    <n v="70338.961038961032"/>
    <m/>
    <m/>
    <m/>
    <m/>
    <x v="5"/>
  </r>
  <r>
    <s v="O-660"/>
    <d v="2017-02-22T00:00:00"/>
    <x v="19"/>
    <s v="Codelco"/>
    <m/>
    <m/>
    <s v="IB Segunda Etapa Deposito de Relaves Filtrados"/>
    <x v="5"/>
    <s v="ND"/>
    <s v="NAC"/>
    <s v="Chile"/>
    <m/>
    <s v="Pedro Valencia"/>
    <s v="Antecedentes Precalificación Enviados. Hacer seguimiento con Codelco. Preguntar si precalificamos"/>
    <x v="3"/>
    <m/>
    <d v="2017-05-31T00:00:00"/>
    <s v="NA"/>
    <s v="NA"/>
    <s v="NA"/>
    <m/>
    <m/>
    <m/>
    <m/>
    <x v="5"/>
  </r>
  <r>
    <s v="O-658"/>
    <d v="2017-02-17T00:00:00"/>
    <x v="51"/>
    <s v="COLLAHUASI"/>
    <s v="Richards López"/>
    <m/>
    <s v="Trasvasije concentrados entre TK26 y TK27 "/>
    <x v="0"/>
    <s v="ND"/>
    <s v="NAC"/>
    <s v="Chile"/>
    <m/>
    <s v="Pedro Valencia"/>
    <s v="J Muñoz incorporar al resumen del 02/06 con P Contreras"/>
    <x v="3"/>
    <m/>
    <d v="2017-05-31T00:00:00"/>
    <n v="714"/>
    <n v="23.4816"/>
    <n v="32887.39495798319"/>
    <m/>
    <m/>
    <m/>
    <m/>
    <x v="5"/>
  </r>
  <r>
    <s v="O-656"/>
    <d v="2017-02-17T00:00:00"/>
    <x v="51"/>
    <s v="COLLAHUASI"/>
    <s v="Richards López"/>
    <m/>
    <s v="IC Manejo Espiches SMs y Punto Bajo Concentraducto"/>
    <x v="2"/>
    <s v="ND"/>
    <s v="NAC"/>
    <s v="Chile"/>
    <m/>
    <s v="Pedro Valencia"/>
    <s v="Preguntar a P Contreras el 02/06"/>
    <x v="3"/>
    <m/>
    <d v="2017-05-31T00:00:00"/>
    <n v="1304"/>
    <n v="42.939599999999999"/>
    <n v="32929.141104294475"/>
    <m/>
    <m/>
    <m/>
    <m/>
    <x v="5"/>
  </r>
  <r>
    <s v="O-659"/>
    <d v="2017-02-17T00:00:00"/>
    <x v="51"/>
    <s v="COLLAHUASI"/>
    <s v="Rene Solaligue Muñoz"/>
    <m/>
    <s v="Transporte de Agua VS4VS4A a Piscinas de Reforestación"/>
    <x v="1"/>
    <s v="ND"/>
    <s v="NAC"/>
    <s v="Chile"/>
    <d v="2017-02-21T00:00:00"/>
    <s v="Pedro Valencia"/>
    <m/>
    <x v="5"/>
    <m/>
    <d v="2016-02-20T00:00:00"/>
    <n v="621"/>
    <n v="20.019808000000001"/>
    <n v="32238.016103059585"/>
    <s v="SH-0153"/>
    <m/>
    <m/>
    <m/>
    <x v="5"/>
  </r>
  <r>
    <s v="O-657"/>
    <d v="2017-02-17T00:00:00"/>
    <x v="51"/>
    <s v="COLLAHUASI"/>
    <s v="Richards López"/>
    <m/>
    <s v="Cierre perimetral estaciones de válvulas Mineroductos"/>
    <x v="15"/>
    <s v="LM"/>
    <s v="NAC"/>
    <s v="Chile"/>
    <d v="2017-03-08T00:00:00"/>
    <s v="Pedro Valencia"/>
    <m/>
    <x v="5"/>
    <m/>
    <d v="2017-03-22T00:00:00"/>
    <n v="2291"/>
    <n v="69.218819999999994"/>
    <n v="30213.365342645131"/>
    <s v="SH-0155"/>
    <m/>
    <m/>
    <m/>
    <x v="5"/>
  </r>
  <r>
    <s v="O-655"/>
    <d v="2017-02-17T00:00:00"/>
    <x v="23"/>
    <s v="CASERONES"/>
    <m/>
    <m/>
    <s v="Respuestas y Aclaraciones Adicionales OS89"/>
    <x v="1"/>
    <s v="LM"/>
    <s v="NAC"/>
    <s v="Chile"/>
    <d v="2017-02-17T00:00:00"/>
    <s v="Pedro Valencia"/>
    <m/>
    <x v="5"/>
    <m/>
    <d v="2016-02-20T00:00:00"/>
    <n v="53"/>
    <n v="9.1318049999999999"/>
    <n v="172298.20754716982"/>
    <s v="SH-0113-OS89"/>
    <m/>
    <m/>
    <m/>
    <x v="5"/>
  </r>
  <r>
    <s v="O-654"/>
    <d v="2017-02-15T00:00:00"/>
    <x v="127"/>
    <s v="Sun Action Trackers"/>
    <m/>
    <m/>
    <s v="Parque Fotovoltaico La Fortuna"/>
    <x v="0"/>
    <s v="ND"/>
    <s v="NAC"/>
    <s v="Chile"/>
    <d v="2017-02-15T00:00:00"/>
    <s v="Claudio Muñoz"/>
    <m/>
    <x v="3"/>
    <m/>
    <d v="2017-05-31T00:00:00"/>
    <n v="5300"/>
    <n v="219.90600000000001"/>
    <n v="41491.698113207545"/>
    <m/>
    <m/>
    <m/>
    <m/>
    <x v="5"/>
  </r>
  <r>
    <s v="O-653"/>
    <d v="2017-02-15T00:00:00"/>
    <x v="45"/>
    <s v="PELAMBRES"/>
    <m/>
    <m/>
    <s v="Cursos de Hidraulica Aplicada"/>
    <x v="0"/>
    <s v="ND"/>
    <s v="NAC"/>
    <s v="Chile"/>
    <m/>
    <s v="Pedro Valencia"/>
    <s v="Enviado  31/05/17 a las 17:05 pm por Pedro Valencia"/>
    <x v="3"/>
    <m/>
    <d v="2017-05-31T00:00:00"/>
    <m/>
    <m/>
    <m/>
    <m/>
    <m/>
    <m/>
    <m/>
    <x v="5"/>
  </r>
  <r>
    <s v="O-652"/>
    <d v="2017-02-15T00:00:00"/>
    <x v="127"/>
    <s v="Sun Action Trackers"/>
    <m/>
    <m/>
    <s v="Amparo Project"/>
    <x v="0"/>
    <s v="ND"/>
    <s v="NAC"/>
    <s v="Chile"/>
    <d v="2017-02-15T00:00:00"/>
    <s v="Claudio Muñoz"/>
    <m/>
    <x v="3"/>
    <m/>
    <d v="2017-05-31T00:00:00"/>
    <n v="5300"/>
    <n v="219.90600000000001"/>
    <n v="41491.698113207545"/>
    <m/>
    <m/>
    <m/>
    <m/>
    <x v="5"/>
  </r>
  <r>
    <s v="O-651"/>
    <d v="2017-02-10T00:00:00"/>
    <x v="109"/>
    <s v="GLEMANS"/>
    <m/>
    <m/>
    <s v="Ingeniería de Detalle Pig de Lanzamiento y Recepción - Línea 24” Candelaria"/>
    <x v="1"/>
    <s v="ND"/>
    <s v="NAC"/>
    <s v="Chile"/>
    <d v="2017-02-10T00:00:00"/>
    <s v="René Arancibia"/>
    <s v="Preguntar a JM Silva"/>
    <x v="3"/>
    <n v="0.01"/>
    <d v="2017-05-31T00:00:00"/>
    <n v="1964"/>
    <n v="60.442740000000001"/>
    <n v="30775.325865580446"/>
    <m/>
    <m/>
    <m/>
    <m/>
    <x v="5"/>
  </r>
  <r>
    <s v="O-650"/>
    <d v="2017-02-09T00:00:00"/>
    <x v="128"/>
    <s v="Aguas Andinas"/>
    <m/>
    <m/>
    <s v="Diseño Sistema de Neutralizacion Gas Cloro"/>
    <x v="0"/>
    <s v="LM"/>
    <s v="NAC"/>
    <s v="Chile"/>
    <d v="2017-03-15T00:00:00"/>
    <s v="Pedro Valencia"/>
    <m/>
    <x v="3"/>
    <m/>
    <d v="2017-03-22T00:00:00"/>
    <n v="1565"/>
    <n v="109.295654"/>
    <n v="69837.478594249202"/>
    <m/>
    <m/>
    <m/>
    <m/>
    <x v="5"/>
  </r>
  <r>
    <s v="O-649"/>
    <d v="2017-02-09T00:00:00"/>
    <x v="128"/>
    <s v="Aguas Andinas"/>
    <m/>
    <m/>
    <s v="Diseño Respaldo Electrico para PEAP, Pozos y PEAS de Aguas Andinas, Aguas Cordillera y Aguas Manquehue"/>
    <x v="0"/>
    <s v="LM"/>
    <s v="NAC"/>
    <s v="Chile"/>
    <d v="2017-03-15T00:00:00"/>
    <s v="Pedro Valencia"/>
    <m/>
    <x v="3"/>
    <m/>
    <d v="2017-02-20T00:00:00"/>
    <n v="2203"/>
    <n v="659.77200000000005"/>
    <n v="299487.97094870632"/>
    <m/>
    <m/>
    <m/>
    <m/>
    <x v="5"/>
  </r>
  <r>
    <s v="O-648"/>
    <d v="2017-02-09T00:00:00"/>
    <x v="118"/>
    <s v="ENAP"/>
    <m/>
    <m/>
    <s v="Contrato Marco ENAP Refineria Aconcagua"/>
    <x v="0"/>
    <s v="LM"/>
    <s v="NAC"/>
    <s v="Chile"/>
    <d v="2017-04-04T00:00:00"/>
    <s v="Pedro Valencia"/>
    <m/>
    <x v="4"/>
    <m/>
    <d v="2017-02-20T00:00:00"/>
    <m/>
    <m/>
    <m/>
    <m/>
    <m/>
    <m/>
    <m/>
    <x v="5"/>
  </r>
  <r>
    <s v="O-647"/>
    <d v="2017-02-09T00:00:00"/>
    <x v="19"/>
    <s v="South Andes Capital"/>
    <m/>
    <m/>
    <s v="Opportunity to Develop Lithium Projects "/>
    <x v="0"/>
    <s v="LM"/>
    <s v="NAC"/>
    <s v="Chile"/>
    <d v="2017-02-21T00:00:00"/>
    <s v="Pedro Valencia"/>
    <s v="Antecedentes Precalificación Enviados"/>
    <x v="3"/>
    <m/>
    <d v="2017-02-20T00:00:00"/>
    <m/>
    <m/>
    <m/>
    <m/>
    <m/>
    <m/>
    <m/>
    <x v="5"/>
  </r>
  <r>
    <s v="O-645"/>
    <d v="2017-02-09T00:00:00"/>
    <x v="23"/>
    <s v="Caserones"/>
    <m/>
    <m/>
    <s v="Reingeniería Desarenador Aguas Tambo"/>
    <x v="1"/>
    <s v="ND"/>
    <s v="NAC"/>
    <s v="Chile"/>
    <d v="2017-02-09T00:00:00"/>
    <s v="Pedro Valencia"/>
    <m/>
    <x v="3"/>
    <m/>
    <d v="2017-05-31T00:00:00"/>
    <n v="870"/>
    <n v="21.919499999999999"/>
    <n v="25194.827586206895"/>
    <m/>
    <m/>
    <m/>
    <m/>
    <x v="5"/>
  </r>
  <r>
    <s v="O-646"/>
    <d v="2017-02-08T00:00:00"/>
    <x v="129"/>
    <s v="SNC"/>
    <m/>
    <m/>
    <s v="Relatorio Aumento Capacidade Mineroduto"/>
    <x v="0"/>
    <s v="ND"/>
    <s v="INT"/>
    <s v="Brasil"/>
    <m/>
    <s v="Pedro Valencia"/>
    <m/>
    <x v="3"/>
    <m/>
    <d v="2017-02-20T00:00:00"/>
    <m/>
    <m/>
    <m/>
    <m/>
    <m/>
    <m/>
    <m/>
    <x v="5"/>
  </r>
  <r>
    <s v="O-644"/>
    <d v="2017-02-06T00:00:00"/>
    <x v="130"/>
    <s v="ESVAL"/>
    <m/>
    <m/>
    <s v="Diseño Grupos Electrogeno"/>
    <x v="1"/>
    <s v="LM"/>
    <s v="NAC"/>
    <s v="Chile"/>
    <d v="2017-02-09T00:00:00"/>
    <s v="Pedro Valencia"/>
    <m/>
    <x v="4"/>
    <m/>
    <d v="2017-02-20T00:00:00"/>
    <m/>
    <m/>
    <m/>
    <m/>
    <m/>
    <m/>
    <m/>
    <x v="5"/>
  </r>
  <r>
    <s v="O-643"/>
    <d v="2017-02-06T00:00:00"/>
    <x v="128"/>
    <s v="Aguas Andinas"/>
    <m/>
    <m/>
    <s v="Servicios de Consultoria Elaboracion del Diseño Obras para Proteger La Impulsion Padre Hurtado-Lo Gallo"/>
    <x v="0"/>
    <s v="LM"/>
    <s v="NAC"/>
    <s v="Chile"/>
    <d v="2017-03-02T00:00:00"/>
    <s v="Pedro Valencia"/>
    <m/>
    <x v="3"/>
    <m/>
    <d v="2017-02-20T00:00:00"/>
    <n v="763"/>
    <n v="16.342838"/>
    <n v="21419.184796854519"/>
    <m/>
    <m/>
    <m/>
    <m/>
    <x v="5"/>
  </r>
  <r>
    <s v="O-641"/>
    <d v="2017-02-02T00:00:00"/>
    <x v="122"/>
    <s v="Ecometales"/>
    <m/>
    <m/>
    <s v="Servicio de Ingenieria de Apoyo a Gerencia de Proyectos"/>
    <x v="0"/>
    <s v="LM"/>
    <s v="NAC"/>
    <s v="Chile"/>
    <d v="2017-02-24T00:00:00"/>
    <s v="Pedro Valencia"/>
    <m/>
    <x v="3"/>
    <m/>
    <d v="2017-02-24T00:00:00"/>
    <m/>
    <m/>
    <m/>
    <m/>
    <m/>
    <m/>
    <m/>
    <x v="5"/>
  </r>
  <r>
    <s v="O-642"/>
    <d v="2017-02-02T00:00:00"/>
    <x v="8"/>
    <s v="ARCADIS"/>
    <s v="Hugo Andrade"/>
    <m/>
    <s v="Servicio de Revisión Independiente Planta Moly Centinela"/>
    <x v="29"/>
    <s v="ND"/>
    <s v="NAC"/>
    <s v="Chile"/>
    <d v="2017-02-02T00:00:00"/>
    <s v="Pedro Valencia"/>
    <m/>
    <x v="5"/>
    <m/>
    <d v="2017-02-20T00:00:00"/>
    <n v="150"/>
    <n v="7.1232749999999996"/>
    <n v="47488.499999999993"/>
    <s v="SH-0152"/>
    <m/>
    <m/>
    <m/>
    <x v="5"/>
  </r>
  <r>
    <s v="O-640"/>
    <d v="2017-01-23T00:00:00"/>
    <x v="23"/>
    <s v="CASERONES"/>
    <m/>
    <m/>
    <s v="Licitacion Servicios Multidisciplinarios Ingenieria"/>
    <x v="9"/>
    <s v="LM"/>
    <s v="NAC"/>
    <s v="Chile"/>
    <d v="2017-02-02T00:00:00"/>
    <s v="Pedro Valencia"/>
    <m/>
    <x v="5"/>
    <m/>
    <d v="2017-02-24T00:00:00"/>
    <m/>
    <n v="573.75069299999996"/>
    <s v="N/A"/>
    <s v="SH-0158"/>
    <m/>
    <m/>
    <m/>
    <x v="5"/>
  </r>
  <r>
    <s v="O-639"/>
    <d v="2017-01-20T00:00:00"/>
    <x v="29"/>
    <s v="SQM"/>
    <m/>
    <m/>
    <s v="Contrato Abierto Proyectos Menores"/>
    <x v="0"/>
    <s v="LM"/>
    <s v="NAC"/>
    <s v="Chile"/>
    <d v="2017-02-02T00:00:00"/>
    <s v="Claudio Muñoz"/>
    <m/>
    <x v="3"/>
    <m/>
    <d v="2017-02-24T00:00:00"/>
    <m/>
    <m/>
    <m/>
    <m/>
    <m/>
    <m/>
    <m/>
    <x v="5"/>
  </r>
  <r>
    <s v="O-638"/>
    <d v="2017-01-20T00:00:00"/>
    <x v="23"/>
    <s v="Caserones"/>
    <m/>
    <m/>
    <s v="Modificación Ingeniería Detalles Nuevos Pozos de Infiltración P10@P14 "/>
    <x v="1"/>
    <s v="ND"/>
    <s v="NAC"/>
    <s v="Chile"/>
    <d v="2017-01-20T00:00:00"/>
    <s v="Pedro Valencia"/>
    <m/>
    <x v="3"/>
    <m/>
    <d v="2017-05-31T00:00:00"/>
    <n v="387"/>
    <n v="10.559132"/>
    <n v="27284.578811369509"/>
    <m/>
    <m/>
    <m/>
    <m/>
    <x v="5"/>
  </r>
  <r>
    <s v="O-636"/>
    <d v="2017-01-20T00:00:00"/>
    <x v="13"/>
    <s v="Sierra Gorda"/>
    <m/>
    <m/>
    <s v="Estudio Balance de Aguas y Recomendaciones de Ahorro de Agua"/>
    <x v="10"/>
    <s v="ND"/>
    <s v="NAC"/>
    <s v="Chile"/>
    <d v="2017-01-20T00:00:00"/>
    <s v="Pedro Valencia"/>
    <m/>
    <x v="3"/>
    <m/>
    <d v="2017-05-31T00:00:00"/>
    <n v="615"/>
    <n v="25.0154"/>
    <n v="40675.447154471542"/>
    <m/>
    <m/>
    <m/>
    <m/>
    <x v="5"/>
  </r>
  <r>
    <s v="O-635"/>
    <d v="2017-01-20T00:00:00"/>
    <x v="64"/>
    <s v="Codelco DMH"/>
    <m/>
    <m/>
    <s v="Estudio de Mejoras Área Remolienda, División Ministro Hales"/>
    <x v="10"/>
    <s v="ND"/>
    <s v="NAC"/>
    <s v="Chile"/>
    <d v="2017-01-20T00:00:00"/>
    <s v="Oscar Castro"/>
    <m/>
    <x v="3"/>
    <m/>
    <d v="2017-01-23T00:00:00"/>
    <n v="665"/>
    <n v="27.885587999999998"/>
    <n v="41933.215037593982"/>
    <m/>
    <m/>
    <m/>
    <m/>
    <x v="5"/>
  </r>
  <r>
    <s v="O-632"/>
    <d v="2017-01-20T00:00:00"/>
    <x v="64"/>
    <s v="Codelco DMH"/>
    <m/>
    <m/>
    <s v="Estudio para Disminuir Consumo de Agua de Sello en Bombas de Pulpa"/>
    <x v="10"/>
    <s v="ND"/>
    <s v="NAC"/>
    <s v="Chile"/>
    <d v="2017-01-20T00:00:00"/>
    <s v="Pedro Valencia"/>
    <m/>
    <x v="3"/>
    <m/>
    <d v="2017-01-23T00:00:00"/>
    <n v="614"/>
    <n v="26.332000000000001"/>
    <n v="42885.99348534202"/>
    <m/>
    <m/>
    <m/>
    <m/>
    <x v="5"/>
  </r>
  <r>
    <s v="O-637"/>
    <d v="2017-01-19T00:00:00"/>
    <x v="13"/>
    <s v="Sierra Gorda"/>
    <m/>
    <m/>
    <s v="Estudio de Mejoramiento Espesamiento de Relaves Sierra Gorda SCM"/>
    <x v="0"/>
    <s v="ND"/>
    <s v="NAC"/>
    <s v="Chile"/>
    <d v="2017-01-25T00:00:00"/>
    <s v="Oscar Castro"/>
    <m/>
    <x v="3"/>
    <m/>
    <d v="2017-05-31T00:00:00"/>
    <n v="961"/>
    <n v="41.338099999999997"/>
    <n v="43015.71279916753"/>
    <m/>
    <m/>
    <m/>
    <m/>
    <x v="5"/>
  </r>
  <r>
    <s v="O-634"/>
    <d v="2017-01-18T00:00:00"/>
    <x v="25"/>
    <s v="Sodexo"/>
    <m/>
    <m/>
    <s v="Ingeniería de detalles nueva conducción red húmeda de incendio EPA"/>
    <x v="1"/>
    <s v="ND"/>
    <s v="NAC"/>
    <s v="Chile"/>
    <d v="2017-01-18T00:00:00"/>
    <s v="Pedro Valencia"/>
    <s v="Propuesta Desierta Cliente Solicito Cotización Ingeniería Conceptual"/>
    <x v="4"/>
    <m/>
    <d v="2017-01-23T00:00:00"/>
    <n v="1107"/>
    <n v="35.811520000000002"/>
    <n v="32350.063233965673"/>
    <m/>
    <m/>
    <m/>
    <m/>
    <x v="5"/>
  </r>
  <r>
    <s v="O-633"/>
    <d v="2017-01-18T00:00:00"/>
    <x v="25"/>
    <s v="Sodexo"/>
    <m/>
    <m/>
    <s v="Ingeniería de detalles arranque agua potable a unidades administrativas EPA"/>
    <x v="1"/>
    <s v="ND"/>
    <s v="NAC"/>
    <s v="Chile"/>
    <d v="2017-01-18T00:00:00"/>
    <s v="Pedro Valencia"/>
    <s v="Propuesta Desierta Cliente Solicito Cotización Ingeniería Conceptual"/>
    <x v="4"/>
    <m/>
    <d v="2017-01-23T00:00:00"/>
    <n v="592"/>
    <n v="18.774716000000002"/>
    <n v="31714.0472972973"/>
    <m/>
    <m/>
    <m/>
    <m/>
    <x v="5"/>
  </r>
  <r>
    <s v="O-630"/>
    <d v="2017-01-10T00:00:00"/>
    <x v="105"/>
    <s v="LAS BAMBAS"/>
    <m/>
    <m/>
    <s v="Instalación Válvula Bermad - Overflow Espesadores de Relaves "/>
    <x v="0"/>
    <s v="ND"/>
    <s v="INT"/>
    <s v="Perú"/>
    <m/>
    <s v="René Arancibia"/>
    <m/>
    <x v="3"/>
    <m/>
    <d v="2017-01-23T00:00:00"/>
    <n v="760"/>
    <n v="29.331250000000001"/>
    <n v="38593.75"/>
    <m/>
    <m/>
    <m/>
    <m/>
    <x v="5"/>
  </r>
  <r>
    <s v="O-629"/>
    <d v="2017-01-10T00:00:00"/>
    <x v="23"/>
    <s v="Caserones"/>
    <m/>
    <m/>
    <s v="Revisión Información Vendor Flowserve"/>
    <x v="1"/>
    <s v="ND"/>
    <s v="NAC"/>
    <s v="Chile"/>
    <d v="2017-01-10T00:00:00"/>
    <s v="Pedro Valencia"/>
    <m/>
    <x v="3"/>
    <m/>
    <d v="2017-05-31T00:00:00"/>
    <n v="57"/>
    <n v="2.2397499999999999"/>
    <n v="39293.859649122802"/>
    <m/>
    <m/>
    <m/>
    <m/>
    <x v="5"/>
  </r>
  <r>
    <s v="O-631"/>
    <d v="2017-01-10T00:00:00"/>
    <x v="23"/>
    <s v="CASERONES"/>
    <m/>
    <m/>
    <s v="Complementos Revisión Documentos Vendor y Aclaraciones"/>
    <x v="1"/>
    <s v="ND"/>
    <s v="NAC"/>
    <s v="Chile"/>
    <d v="2017-01-10T00:00:00"/>
    <s v="Pedro Valencia"/>
    <m/>
    <x v="5"/>
    <m/>
    <d v="2017-05-31T00:00:00"/>
    <n v="243"/>
    <n v="8.7218499999999999"/>
    <n v="35892.386831275719"/>
    <m/>
    <m/>
    <m/>
    <m/>
    <x v="5"/>
  </r>
  <r>
    <s v="O-628"/>
    <d v="2017-01-09T00:00:00"/>
    <x v="23"/>
    <s v="Caserones"/>
    <m/>
    <m/>
    <s v="Ingeniería Complementaria Sistema Ácido Sulfúrico Planta Moly"/>
    <x v="1"/>
    <s v="ND"/>
    <s v="NAC"/>
    <s v="Chile"/>
    <d v="2017-01-09T00:00:00"/>
    <s v="Pedro Valencia"/>
    <m/>
    <x v="3"/>
    <m/>
    <d v="2017-05-31T00:00:00"/>
    <n v="1539"/>
    <n v="38.418300000000002"/>
    <n v="24963.157894736843"/>
    <m/>
    <m/>
    <m/>
    <m/>
    <x v="5"/>
  </r>
  <r>
    <s v="O-627"/>
    <d v="2017-01-05T00:00:00"/>
    <x v="29"/>
    <s v="SQM"/>
    <m/>
    <m/>
    <s v="Ingenieria Mulitidisciplinaria Nuevas Tolvas Canchas 8 y 9 Tocopilla"/>
    <x v="0"/>
    <s v="LM"/>
    <s v="NAC"/>
    <s v="Chile"/>
    <m/>
    <s v="Pedro Valencia"/>
    <m/>
    <x v="3"/>
    <m/>
    <m/>
    <m/>
    <m/>
    <m/>
    <m/>
    <m/>
    <m/>
    <m/>
    <x v="5"/>
  </r>
  <r>
    <s v="O-626"/>
    <d v="2017-01-05T00:00:00"/>
    <x v="105"/>
    <s v="LAS BAMBAS"/>
    <m/>
    <m/>
    <s v="Reubicación Sala Eléctrica Recuperación de Aguas Relavera "/>
    <x v="1"/>
    <s v="ND"/>
    <s v="INT"/>
    <s v="Perú"/>
    <d v="2017-01-05T00:00:00"/>
    <s v="Pedro Valencia"/>
    <m/>
    <x v="5"/>
    <m/>
    <d v="2017-01-06T00:00:00"/>
    <n v="204"/>
    <n v="8.8140000000000001"/>
    <n v="43205.882352941175"/>
    <s v="SH-0147"/>
    <m/>
    <m/>
    <m/>
    <x v="5"/>
  </r>
  <r>
    <s v="O-624"/>
    <d v="2016-12-14T00:00:00"/>
    <x v="131"/>
    <s v="AMSA"/>
    <m/>
    <m/>
    <s v="Evaluacion Tecnica Operacion Reciclones Weir y Cyclowash "/>
    <x v="0"/>
    <m/>
    <m/>
    <m/>
    <m/>
    <m/>
    <m/>
    <x v="4"/>
    <m/>
    <m/>
    <m/>
    <m/>
    <m/>
    <m/>
    <m/>
    <m/>
    <m/>
    <x v="6"/>
  </r>
  <r>
    <s v="O-623"/>
    <d v="2016-12-14T00:00:00"/>
    <x v="29"/>
    <s v="SQM"/>
    <m/>
    <m/>
    <s v="ID Aumento Capacidad Planta NPT2 "/>
    <x v="1"/>
    <s v="LM"/>
    <s v="NAC"/>
    <s v="Chile"/>
    <d v="2017-01-12T00:00:00"/>
    <s v="Pedro Valencia"/>
    <s v="Tarifa Promedio UF 1,13 siendo los más caros de 4 competidores"/>
    <x v="3"/>
    <m/>
    <d v="2017-01-23T00:00:00"/>
    <n v="7529"/>
    <n v="231.28559999999999"/>
    <n v="30719.298711648291"/>
    <m/>
    <m/>
    <m/>
    <m/>
    <x v="6"/>
  </r>
  <r>
    <s v="O-622"/>
    <d v="2016-12-12T00:00:00"/>
    <x v="105"/>
    <s v="LAS BAMBAS"/>
    <m/>
    <m/>
    <s v="Inspeccion Sistema Proteccion Catodica"/>
    <x v="0"/>
    <s v="ND"/>
    <s v="INT"/>
    <s v="Perú"/>
    <d v="2016-12-14T00:00:00"/>
    <s v="Pedro Valencia"/>
    <m/>
    <x v="4"/>
    <m/>
    <m/>
    <m/>
    <m/>
    <m/>
    <m/>
    <m/>
    <m/>
    <m/>
    <x v="6"/>
  </r>
  <r>
    <s v="O-621"/>
    <d v="2016-12-12T00:00:00"/>
    <x v="105"/>
    <s v="LAS BAMBAS"/>
    <m/>
    <m/>
    <s v="Apoyo Construccion Cajon Overflow de Relaves"/>
    <x v="0"/>
    <s v="ND"/>
    <s v="INT"/>
    <s v="Perú"/>
    <d v="2016-12-22T00:00:00"/>
    <s v="Pedro Valencia"/>
    <m/>
    <x v="3"/>
    <m/>
    <d v="2017-05-31T00:00:00"/>
    <n v="3715"/>
    <n v="177.3135"/>
    <n v="47729.071332436069"/>
    <m/>
    <m/>
    <m/>
    <m/>
    <x v="6"/>
  </r>
  <r>
    <s v="O-620"/>
    <d v="2016-12-07T00:00:00"/>
    <x v="109"/>
    <s v="GLEMANS"/>
    <m/>
    <m/>
    <s v="Inspeccion Tuberias RT"/>
    <x v="0"/>
    <s v="ND"/>
    <s v="NAC"/>
    <s v="Chile"/>
    <d v="2016-12-07T00:00:00"/>
    <s v="Pedro Valencia"/>
    <m/>
    <x v="4"/>
    <m/>
    <m/>
    <m/>
    <m/>
    <m/>
    <m/>
    <m/>
    <m/>
    <m/>
    <x v="6"/>
  </r>
  <r>
    <s v="O-619"/>
    <d v="2016-12-05T00:00:00"/>
    <x v="105"/>
    <s v="Las Bambas"/>
    <m/>
    <m/>
    <s v="ID Mejora Sistema Extraccion de Polvo Edificio de Chancado"/>
    <x v="1"/>
    <s v="ND"/>
    <s v="INT"/>
    <s v="Perú"/>
    <d v="2016-12-05T00:00:00"/>
    <s v="Pedro Valencia"/>
    <s v="Oferta enviada 13/02/17 a Americo Zuñiga Supervisor de Mejora de Proceso de Las Bambas"/>
    <x v="3"/>
    <m/>
    <d v="2018-02-13T00:00:00"/>
    <m/>
    <n v="135.19999999999999"/>
    <s v="N/A"/>
    <m/>
    <m/>
    <m/>
    <m/>
    <x v="6"/>
  </r>
  <r>
    <s v="O-618"/>
    <d v="2016-12-01T00:00:00"/>
    <x v="76"/>
    <s v="Spence"/>
    <m/>
    <m/>
    <s v="Servicios Profesionales Sistema de Relaves"/>
    <x v="3"/>
    <s v="LM"/>
    <s v="NAC"/>
    <s v="Chile"/>
    <d v="2016-12-13T00:00:00"/>
    <s v="Andrés Campillay"/>
    <s v="Propuesta Desierta por parte del Cliente"/>
    <x v="4"/>
    <m/>
    <d v="2017-02-27T00:00:00"/>
    <n v="80"/>
    <n v="2.52"/>
    <n v="31500"/>
    <m/>
    <m/>
    <m/>
    <m/>
    <x v="6"/>
  </r>
  <r>
    <s v="O-615"/>
    <d v="2016-11-30T00:00:00"/>
    <x v="105"/>
    <s v="Las Bambas"/>
    <m/>
    <m/>
    <s v="Ingenieria Conceptual y Basica Underflow espesador de Concentrado Bulk"/>
    <x v="5"/>
    <s v="ND"/>
    <s v="INT"/>
    <s v="Perú"/>
    <d v="2016-11-30T00:00:00"/>
    <s v="Pedro Valencia"/>
    <s v="Oferta Emitida a Miguel Huamali y Americo Zuñiga el 30/11/2016 por parte de Rafael se reenvio el 11 de enero del 2017 y no se ha tenido respuesta de Miguel Huamali, Se supone que Huamali es paralelo a Rafael carpio y no ha pescado mucho a Cristan Lopez, quién se ha tratado de comunicar con el. "/>
    <x v="3"/>
    <m/>
    <d v="2016-11-30T00:00:00"/>
    <n v="1375"/>
    <n v="47.955599999999997"/>
    <n v="34876.800000000003"/>
    <m/>
    <m/>
    <m/>
    <m/>
    <x v="6"/>
  </r>
  <r>
    <s v="O-616"/>
    <d v="2016-11-29T00:00:00"/>
    <x v="11"/>
    <s v="Codelco SALVADOR"/>
    <m/>
    <m/>
    <s v="Estudio Conceptual Línea Impulsión Concentrado Piscina Área 6100"/>
    <x v="1"/>
    <s v="ND"/>
    <s v="NAC"/>
    <s v="Chile"/>
    <d v="2016-11-29T00:00:00"/>
    <s v="Pedro Valencia"/>
    <m/>
    <x v="5"/>
    <m/>
    <d v="2016-12-01T00:00:00"/>
    <n v="147"/>
    <n v="4.4000000000000004"/>
    <n v="29931.972789115647"/>
    <s v="SH-0146"/>
    <m/>
    <m/>
    <m/>
    <x v="6"/>
  </r>
  <r>
    <s v="O-617"/>
    <d v="2016-11-28T00:00:00"/>
    <x v="132"/>
    <s v="Paragominas"/>
    <m/>
    <m/>
    <s v="Estudo Aumento Capacidade Produtiva - Paragominas"/>
    <x v="0"/>
    <m/>
    <m/>
    <m/>
    <m/>
    <s v="Pedro Valencia"/>
    <m/>
    <x v="4"/>
    <m/>
    <m/>
    <m/>
    <m/>
    <m/>
    <m/>
    <m/>
    <m/>
    <m/>
    <x v="6"/>
  </r>
  <r>
    <s v="O-613"/>
    <d v="2016-11-25T00:00:00"/>
    <x v="51"/>
    <s v="COLLAHUASI"/>
    <s v="Richard Lopez"/>
    <m/>
    <s v="Servicios de Inegniería Complementarios GTAM"/>
    <x v="15"/>
    <s v="LM"/>
    <s v="NAC"/>
    <s v="Chile"/>
    <d v="2016-11-25T00:00:00"/>
    <s v="Pedro Valencia"/>
    <m/>
    <x v="5"/>
    <n v="0.3"/>
    <d v="2016-12-01T00:00:00"/>
    <n v="1558"/>
    <n v="52.268892999999998"/>
    <n v="33548.711810012835"/>
    <s v="SH-0150"/>
    <m/>
    <m/>
    <m/>
    <x v="6"/>
  </r>
  <r>
    <s v="O-614"/>
    <d v="2016-11-22T00:00:00"/>
    <x v="23"/>
    <s v="Caserones"/>
    <s v="Carlos Merlo"/>
    <s v="cmerlo@caserones.cl"/>
    <s v="Ingenierías Complementarias"/>
    <x v="2"/>
    <s v="ND"/>
    <s v="NAC"/>
    <s v="Chile"/>
    <d v="2016-11-22T00:00:00"/>
    <s v="Pedro Valencia"/>
    <m/>
    <x v="3"/>
    <n v="0.8"/>
    <d v="2017-05-31T00:00:00"/>
    <n v="646"/>
    <n v="17.738"/>
    <n v="27458.204334365324"/>
    <m/>
    <m/>
    <m/>
    <m/>
    <x v="6"/>
  </r>
  <r>
    <s v="O-595"/>
    <d v="2016-11-11T00:00:00"/>
    <x v="51"/>
    <s v="COLLAHUASI"/>
    <s v="Gustavo Bastidas"/>
    <m/>
    <s v="Estudio Perfil Hidraulico en Transporte de Agua y Relave"/>
    <x v="10"/>
    <s v="LM"/>
    <s v="NAC"/>
    <s v="Chile"/>
    <d v="2016-11-15T00:00:00"/>
    <s v="Claudio Muñoz"/>
    <s v="Rev. 2. Se perdió con JRI"/>
    <x v="3"/>
    <n v="0.3"/>
    <d v="2017-05-31T00:00:00"/>
    <n v="1405"/>
    <n v="49.675199999999997"/>
    <n v="35356.014234875445"/>
    <m/>
    <m/>
    <m/>
    <m/>
    <x v="6"/>
  </r>
  <r>
    <s v="O-612"/>
    <d v="2016-11-09T00:00:00"/>
    <x v="47"/>
    <s v="Minera Spence"/>
    <m/>
    <m/>
    <s v="EPC Suministro de Agua - Minera SPENCE"/>
    <x v="1"/>
    <s v="LM"/>
    <s v="NAC"/>
    <s v="Chile"/>
    <d v="2016-11-16T00:00:00"/>
    <s v="Claudio Muñoz"/>
    <m/>
    <x v="3"/>
    <m/>
    <d v="2016-11-24T00:00:00"/>
    <n v="14716"/>
    <n v="457.35719499999999"/>
    <n v="31078.906972003264"/>
    <m/>
    <m/>
    <m/>
    <m/>
    <x v="6"/>
  </r>
  <r>
    <s v="O-611"/>
    <d v="2016-11-07T00:00:00"/>
    <x v="22"/>
    <s v="Centinela"/>
    <s v="Pablo Cheng"/>
    <s v="pcheng@mineracentinela.cl"/>
    <s v="Ingeniería Conceptual Apta para Tramitación de Permisos"/>
    <x v="2"/>
    <s v="ND"/>
    <s v="NAC"/>
    <s v="Chile"/>
    <d v="2016-11-11T00:00:00"/>
    <s v="Pedro Valencia"/>
    <m/>
    <x v="5"/>
    <m/>
    <d v="2016-11-24T00:00:00"/>
    <n v="1133"/>
    <n v="47.076999999999998"/>
    <n v="41550.750220653135"/>
    <s v="SH-0149"/>
    <m/>
    <m/>
    <m/>
    <x v="6"/>
  </r>
  <r>
    <s v="O-589"/>
    <d v="2016-11-04T00:00:00"/>
    <x v="51"/>
    <s v="COLLAHUASI"/>
    <s v="Richards López"/>
    <m/>
    <s v="Ingeniería Menores"/>
    <x v="10"/>
    <s v="ND"/>
    <s v="NAC"/>
    <s v="Chile"/>
    <d v="2016-11-04T00:00:00"/>
    <m/>
    <m/>
    <x v="3"/>
    <n v="0.2"/>
    <d v="2017-05-31T00:00:00"/>
    <n v="4105"/>
    <n v="129.24386999999999"/>
    <n v="31484.499390986595"/>
    <m/>
    <m/>
    <m/>
    <m/>
    <x v="6"/>
  </r>
  <r>
    <s v="O-610"/>
    <d v="2016-11-03T00:00:00"/>
    <x v="23"/>
    <s v="Caserones"/>
    <s v="Christian Farias"/>
    <s v="cfarias@caserones.cl"/>
    <s v="Ingeniería Complementaria Plantas RO"/>
    <x v="1"/>
    <s v="ND"/>
    <s v="NAC"/>
    <s v="Chile"/>
    <d v="2016-11-11T00:00:00"/>
    <s v="Pedro Valencia"/>
    <s v="Rev. 1"/>
    <x v="3"/>
    <n v="0.3"/>
    <d v="2017-05-31T00:00:00"/>
    <n v="1295"/>
    <n v="33.169199999999996"/>
    <n v="25613.281853281849"/>
    <m/>
    <m/>
    <m/>
    <m/>
    <x v="6"/>
  </r>
  <r>
    <s v="O-606"/>
    <d v="2016-11-02T00:00:00"/>
    <x v="100"/>
    <s v="Codelco SALVADOR"/>
    <s v="Javier Wold"/>
    <m/>
    <s v="Servicios de Ingeniería para Obras de Construcción DPRO - División Salvador"/>
    <x v="14"/>
    <s v="LM"/>
    <s v="NAC"/>
    <s v="Chile"/>
    <d v="2016-11-15T00:00:00"/>
    <s v="Pedro Valencia"/>
    <s v="Nula"/>
    <x v="4"/>
    <m/>
    <d v="2016-11-24T00:00:00"/>
    <n v="12650"/>
    <n v="314.863767"/>
    <n v="24890.416363636363"/>
    <m/>
    <m/>
    <m/>
    <m/>
    <x v="6"/>
  </r>
  <r>
    <s v="O-604"/>
    <d v="2016-11-02T00:00:00"/>
    <x v="23"/>
    <s v="Caserones"/>
    <s v="Carlos Merlo"/>
    <s v="cmerlo@caserones.cl"/>
    <s v="Ingeniería Mejoramiento en Conducción de Aguas de Lavado - MLCC"/>
    <x v="1"/>
    <s v="ND"/>
    <s v="NAC"/>
    <s v="Chile"/>
    <m/>
    <s v="Pedro Valencia"/>
    <s v="Nula"/>
    <x v="4"/>
    <m/>
    <d v="2016-11-24T00:00:00"/>
    <m/>
    <m/>
    <m/>
    <m/>
    <m/>
    <m/>
    <m/>
    <x v="6"/>
  </r>
  <r>
    <s v="O-603"/>
    <d v="2016-11-02T00:00:00"/>
    <x v="23"/>
    <s v="Caserones"/>
    <s v="Carlos Merlo"/>
    <s v="cmerlo@caserones.cl"/>
    <s v="Ingeniería Mejoramiento en Conducción de Aguas Filtradas a los Aireadores - MLCC"/>
    <x v="1"/>
    <s v="ND"/>
    <s v="NAC"/>
    <s v="Chile"/>
    <m/>
    <s v="Pedro Valencia"/>
    <s v="Nula"/>
    <x v="4"/>
    <m/>
    <d v="2016-11-24T00:00:00"/>
    <m/>
    <m/>
    <m/>
    <m/>
    <m/>
    <m/>
    <m/>
    <x v="6"/>
  </r>
  <r>
    <s v="O-602"/>
    <d v="2016-11-02T00:00:00"/>
    <x v="23"/>
    <s v="Caserones"/>
    <s v="Carlos Merlo"/>
    <s v="cmerlo@caserones.cl"/>
    <s v=" Ingeniería Diseño de Estructura de Inspección y Mantenimiento en Harnero Lineal "/>
    <x v="1"/>
    <s v="ND"/>
    <s v="NAC"/>
    <s v="Chile"/>
    <m/>
    <s v="Pedro Valencia"/>
    <s v="Nula"/>
    <x v="4"/>
    <m/>
    <d v="2016-11-24T00:00:00"/>
    <m/>
    <m/>
    <m/>
    <m/>
    <m/>
    <m/>
    <m/>
    <x v="6"/>
  </r>
  <r>
    <s v="O-600"/>
    <d v="2016-11-02T00:00:00"/>
    <x v="23"/>
    <s v="Caserones"/>
    <s v="Carlos Merlo"/>
    <s v="cmerlo@caserones.cl"/>
    <s v="Ingeniería Instalación de Agitador en Estanque de Agua de Lavado de_x000a_Filtros"/>
    <x v="1"/>
    <s v="ND"/>
    <s v="NAC"/>
    <s v="Chile"/>
    <m/>
    <s v="Pedro Valencia"/>
    <m/>
    <x v="3"/>
    <m/>
    <d v="2016-11-24T00:00:00"/>
    <n v="377"/>
    <n v="10.7682"/>
    <n v="28562.864721485414"/>
    <m/>
    <m/>
    <m/>
    <m/>
    <x v="6"/>
  </r>
  <r>
    <s v="O-599"/>
    <d v="2016-11-02T00:00:00"/>
    <x v="23"/>
    <s v="Caserones"/>
    <s v="Carlos Merlo"/>
    <s v="cmerlo@caserones.cl"/>
    <s v="Ingeniería Modificación Sumidero Área Filtrado de Cobre"/>
    <x v="1"/>
    <s v="ND"/>
    <s v="NAC"/>
    <s v="Chile"/>
    <m/>
    <s v="Pedro Valencia"/>
    <m/>
    <x v="3"/>
    <m/>
    <d v="2016-11-24T00:00:00"/>
    <n v="715"/>
    <n v="20.0168"/>
    <n v="27995.524475524475"/>
    <m/>
    <m/>
    <m/>
    <m/>
    <x v="6"/>
  </r>
  <r>
    <s v="O-598"/>
    <d v="2016-11-02T00:00:00"/>
    <x v="23"/>
    <s v="Caserones"/>
    <s v="Carlos Merlo"/>
    <s v="cmerlo@caserones.cl"/>
    <s v="Ingeniería Rediseño de Estanque de Rechazo Harnero"/>
    <x v="1"/>
    <s v="ND"/>
    <s v="NAC"/>
    <s v="Chile"/>
    <m/>
    <s v="Pedro Valencia"/>
    <s v="Nula"/>
    <x v="4"/>
    <m/>
    <d v="2016-11-24T00:00:00"/>
    <m/>
    <m/>
    <m/>
    <m/>
    <m/>
    <m/>
    <m/>
    <x v="6"/>
  </r>
  <r>
    <s v="O-596"/>
    <d v="2016-11-02T00:00:00"/>
    <x v="128"/>
    <s v="Aguas Andinas"/>
    <m/>
    <m/>
    <s v="Diseño de Mejoramiento y Ampliación del Servicio de APR"/>
    <x v="1"/>
    <s v="LM"/>
    <s v="NAC"/>
    <s v="Chile"/>
    <m/>
    <s v="Claudio Muñoz"/>
    <s v="Nula"/>
    <x v="4"/>
    <m/>
    <d v="2016-11-24T00:00:00"/>
    <m/>
    <m/>
    <m/>
    <m/>
    <m/>
    <m/>
    <m/>
    <x v="6"/>
  </r>
  <r>
    <s v="O-609"/>
    <d v="2016-11-02T00:00:00"/>
    <x v="23"/>
    <s v="CASERONES"/>
    <s v="Carlos Merlo"/>
    <s v="cmerlo@caserones.cl"/>
    <s v="Estudio Verificación Hidráulica de Nueva Línea de Transporte de Concentrado"/>
    <x v="10"/>
    <s v="ND"/>
    <s v="NAC"/>
    <s v="Chile"/>
    <d v="2016-11-02T00:00:00"/>
    <s v="Pedro Valencia"/>
    <m/>
    <x v="5"/>
    <m/>
    <d v="2016-11-24T00:00:00"/>
    <n v="150"/>
    <n v="4.8994"/>
    <n v="32662.666666666668"/>
    <s v="SH0113-OS82"/>
    <m/>
    <m/>
    <m/>
    <x v="6"/>
  </r>
  <r>
    <s v="O-608"/>
    <d v="2016-11-02T00:00:00"/>
    <x v="23"/>
    <s v="Caserones"/>
    <s v="Carlos Merlo"/>
    <s v="cmerlo@caserones.cl"/>
    <s v="Ingeniería Corrección Desalineamiento entre Flange del Machón"/>
    <x v="1"/>
    <s v="ND"/>
    <s v="NAC"/>
    <s v="Chile"/>
    <d v="2016-11-02T00:00:00"/>
    <s v="Pedro Valencia"/>
    <m/>
    <x v="5"/>
    <m/>
    <d v="2016-11-24T00:00:00"/>
    <n v="40"/>
    <n v="1.1528"/>
    <n v="28820.000000000004"/>
    <s v="SH0113-OS81"/>
    <m/>
    <m/>
    <m/>
    <x v="6"/>
  </r>
  <r>
    <s v="O-607"/>
    <d v="2016-11-02T00:00:00"/>
    <x v="23"/>
    <s v="Caserones"/>
    <s v="Carlos Merlo"/>
    <s v="cmerlo@caserones.cl"/>
    <s v="ID Instalación de Acumulador de Aire Adicional para_x000a_Mejoramiento Filtrado"/>
    <x v="1"/>
    <s v="ND"/>
    <s v="NAC"/>
    <s v="Chile"/>
    <d v="2016-11-02T00:00:00"/>
    <s v="Pedro Valencia"/>
    <m/>
    <x v="5"/>
    <m/>
    <d v="2016-11-24T00:00:00"/>
    <n v="639"/>
    <n v="16.872800000000002"/>
    <n v="26405.007824726137"/>
    <s v="SH-0113"/>
    <m/>
    <m/>
    <m/>
    <x v="6"/>
  </r>
  <r>
    <s v="O-605"/>
    <d v="2016-11-02T00:00:00"/>
    <x v="23"/>
    <s v="Caserones"/>
    <s v="Carlos Merlo"/>
    <s v="cmerlo@caserones.cl"/>
    <s v="ID Instalación de By-pass desde espesador de concentrado Cu-Mo a Estanque 7200-TK-002"/>
    <x v="1"/>
    <s v="ND"/>
    <s v="NAC"/>
    <s v="Chile"/>
    <d v="2016-11-02T00:00:00"/>
    <s v="Pedro Valencia"/>
    <m/>
    <x v="5"/>
    <m/>
    <d v="2016-11-24T00:00:00"/>
    <n v="1111"/>
    <n v="31.7544"/>
    <n v="28581.81818181818"/>
    <s v="SH0113-OS80"/>
    <m/>
    <m/>
    <m/>
    <x v="6"/>
  </r>
  <r>
    <s v="O-601"/>
    <d v="2016-11-02T00:00:00"/>
    <x v="23"/>
    <s v="Caserones"/>
    <s v="Carlos Merlo"/>
    <s v="cmerlo@caserones.cl"/>
    <s v="Ingeniería Rediseño Chutes de Descarga de Filtros de Cobre"/>
    <x v="1"/>
    <s v="ND"/>
    <s v="NAC"/>
    <s v="Chile"/>
    <d v="2016-11-02T00:00:00"/>
    <s v="Pedro Valencia"/>
    <m/>
    <x v="5"/>
    <m/>
    <d v="2016-11-24T00:00:00"/>
    <n v="450"/>
    <n v="12.8904"/>
    <n v="28645.333333333332"/>
    <s v="SH0113-OS79"/>
    <m/>
    <m/>
    <m/>
    <x v="6"/>
  </r>
  <r>
    <s v="O-597"/>
    <d v="2016-11-02T00:00:00"/>
    <x v="23"/>
    <s v="Caserones"/>
    <s v="Carlos Merlo"/>
    <s v="cmerlo@caserones.cl"/>
    <s v="ID Instalación Tercera Bomba de Alimentación de Concentrado de Cobre a Filtros Larox"/>
    <x v="1"/>
    <s v="ND"/>
    <s v="NAC"/>
    <s v="Chile"/>
    <d v="2016-11-02T00:00:00"/>
    <s v="Pedro Valencia"/>
    <m/>
    <x v="5"/>
    <m/>
    <d v="2016-11-02T00:00:00"/>
    <n v="1000"/>
    <n v="28.610399999999998"/>
    <n v="28610.399999999998"/>
    <s v="SH0113-OS78"/>
    <m/>
    <m/>
    <m/>
    <x v="6"/>
  </r>
  <r>
    <s v="O-625"/>
    <d v="2016-10-27T00:00:00"/>
    <x v="133"/>
    <s v="Jianzang"/>
    <m/>
    <m/>
    <s v="Engineering Services for Banggou Project "/>
    <x v="0"/>
    <s v="ND"/>
    <s v="INT"/>
    <s v="China"/>
    <d v="2016-12-20T00:00:00"/>
    <s v="Pedro Valencia"/>
    <s v="Calla coordinando"/>
    <x v="3"/>
    <n v="0.01"/>
    <d v="2017-05-31T00:00:00"/>
    <n v="8500"/>
    <n v="552.5"/>
    <n v="65000"/>
    <m/>
    <m/>
    <m/>
    <m/>
    <x v="6"/>
  </r>
  <r>
    <s v="O-594"/>
    <d v="2016-10-21T00:00:00"/>
    <x v="134"/>
    <s v="Minera Los Bronces"/>
    <s v="Javier Bustos Weisser"/>
    <s v="javier.bustos@fam.cl"/>
    <s v="Servicios de Ingenieria y Asistencia Tecnica para EPCM, Sistema de Cambio de Cienta a Emplear en Correa Transportadora CVB-004"/>
    <x v="1"/>
    <s v="LM"/>
    <s v="NAC"/>
    <s v="Chile"/>
    <d v="2016-10-21T00:00:00"/>
    <s v="Andrés Campillay"/>
    <m/>
    <x v="3"/>
    <n v="0.01"/>
    <d v="2016-10-24T00:00:00"/>
    <n v="20976"/>
    <n v="724.12559999999996"/>
    <n v="34521.624713958809"/>
    <m/>
    <m/>
    <m/>
    <m/>
    <x v="6"/>
  </r>
  <r>
    <s v="O-588"/>
    <d v="2016-10-18T00:00:00"/>
    <x v="135"/>
    <s v="BAS Concesionaria"/>
    <s v="Alex Galleguillos"/>
    <s v="agalleguillos@consorciobas.cl"/>
    <s v="Estudio Hidrá Red Distribución de Agua Potable y Red de Incendio - Establecimiento Penitenciaria de Alto Hospicio"/>
    <x v="10"/>
    <s v="ND"/>
    <s v="NAC"/>
    <s v="Chile"/>
    <d v="2016-10-18T00:00:00"/>
    <s v="Pedro Valencia"/>
    <m/>
    <x v="5"/>
    <m/>
    <d v="2016-10-24T00:00:00"/>
    <n v="150"/>
    <n v="4.92"/>
    <n v="32800"/>
    <s v="SH-0149"/>
    <m/>
    <m/>
    <m/>
    <x v="6"/>
  </r>
  <r>
    <s v="O-593"/>
    <d v="2016-10-17T00:00:00"/>
    <x v="105"/>
    <s v="LAS BAMBAS"/>
    <s v="Olimpia Cabrera"/>
    <s v="olimpiadelrosario.cabrera@mmg.com"/>
    <s v="Reubicación Sala Eléctrica "/>
    <x v="1"/>
    <s v="ND"/>
    <s v="INT"/>
    <s v="Perú"/>
    <d v="2016-10-17T00:00:00"/>
    <s v="Pedro Valencia"/>
    <m/>
    <x v="5"/>
    <m/>
    <d v="2016-10-24T00:00:00"/>
    <n v="820"/>
    <n v="30.807179999999999"/>
    <n v="37569.731707317078"/>
    <s v="SH-0147"/>
    <m/>
    <m/>
    <m/>
    <x v="6"/>
  </r>
  <r>
    <s v="O-592"/>
    <d v="2016-10-12T00:00:00"/>
    <x v="105"/>
    <s v="LAS BAMBAS"/>
    <s v="Jorge Agustini"/>
    <s v="jorge.agustini@mmg.com"/>
    <s v="Mejora Operacional Underflow Espesadores de Relaves"/>
    <x v="10"/>
    <s v="ND"/>
    <s v="INT"/>
    <s v="Perú"/>
    <d v="2016-10-12T00:00:00"/>
    <s v="Pedro Valencia"/>
    <m/>
    <x v="5"/>
    <m/>
    <d v="2016-10-24T00:00:00"/>
    <n v="558"/>
    <n v="20.081800000000001"/>
    <n v="35988.888888888891"/>
    <s v="SH-0151"/>
    <m/>
    <m/>
    <m/>
    <x v="6"/>
  </r>
  <r>
    <s v="O-591"/>
    <d v="2016-10-06T00:00:00"/>
    <x v="134"/>
    <s v="FAM América Latina Ltda"/>
    <s v="Felipe Bueno"/>
    <m/>
    <s v="Ingeniería de Detalles Muro de Contención"/>
    <x v="1"/>
    <s v="ND"/>
    <s v="NAC"/>
    <s v="Chile"/>
    <d v="2016-10-06T00:00:00"/>
    <s v="Andrés Campillay"/>
    <m/>
    <x v="3"/>
    <n v="0.01"/>
    <d v="2016-10-24T00:00:00"/>
    <n v="366"/>
    <n v="11.7"/>
    <n v="31967.213114754097"/>
    <m/>
    <m/>
    <m/>
    <m/>
    <x v="6"/>
  </r>
  <r>
    <s v="O-590"/>
    <d v="2016-10-06T00:00:00"/>
    <x v="41"/>
    <s v="GHD"/>
    <s v="Ignacio Gauca"/>
    <m/>
    <s v="Deep Dive Concentrate Pipeline Antamina"/>
    <x v="7"/>
    <s v="LM"/>
    <s v="NAC"/>
    <s v="Chile"/>
    <d v="2016-10-25T00:00:00"/>
    <s v="Pedro Valencia"/>
    <m/>
    <x v="3"/>
    <m/>
    <d v="2016-10-26T00:00:00"/>
    <n v="198"/>
    <n v="14.88"/>
    <n v="75151.515151515152"/>
    <m/>
    <m/>
    <m/>
    <m/>
    <x v="6"/>
  </r>
  <r>
    <s v="O-587"/>
    <d v="2016-10-03T00:00:00"/>
    <x v="23"/>
    <s v="Caserones"/>
    <s v="Carlos Merlo"/>
    <s v="cmerlo@caserones.cl"/>
    <s v="Ingeniería de Detalles Conducción Definitiva Lamas al Depósito La Brea y Sistema de Recuperación de Aguas Repontenciado"/>
    <x v="1"/>
    <s v="ND"/>
    <s v="NAC"/>
    <s v="Chile"/>
    <d v="2016-10-03T00:00:00"/>
    <s v="Pedro Valencia"/>
    <m/>
    <x v="3"/>
    <n v="0.5"/>
    <d v="2016-10-24T00:00:00"/>
    <n v="6911"/>
    <n v="165.85319999999999"/>
    <n v="23998.437273911157"/>
    <m/>
    <m/>
    <m/>
    <m/>
    <x v="6"/>
  </r>
  <r>
    <s v="O-586"/>
    <d v="2016-09-26T00:00:00"/>
    <x v="105"/>
    <s v="LAS BAMBAS"/>
    <s v="Olimpia Cabrera"/>
    <s v="olimpiadelrosario.cabrera@mmg.com"/>
    <s v="Disposición Relaves Presa "/>
    <x v="1"/>
    <s v="ND"/>
    <s v="INT"/>
    <s v="Perú"/>
    <d v="2016-09-26T00:00:00"/>
    <s v="Pedro Valencia"/>
    <m/>
    <x v="5"/>
    <m/>
    <d v="2016-10-24T00:00:00"/>
    <n v="320"/>
    <n v="12.02614"/>
    <n v="37581.6875"/>
    <s v="SH-0145"/>
    <m/>
    <m/>
    <m/>
    <x v="6"/>
  </r>
  <r>
    <s v="O-585"/>
    <d v="2016-09-23T00:00:00"/>
    <x v="136"/>
    <s v="SAXUM Engineered Solutions"/>
    <s v="Ruben Tomassini"/>
    <m/>
    <s v="Apoyo Especializado para Construcción, PEM y Operación Planta de Relleno Hidráulico de Minera Santa Cruz"/>
    <x v="1"/>
    <s v="ND"/>
    <s v="NAC"/>
    <s v="Chile"/>
    <d v="2016-09-23T00:00:00"/>
    <s v="Pedro Valencia"/>
    <m/>
    <x v="3"/>
    <n v="0.2"/>
    <d v="2016-10-24T00:00:00"/>
    <n v="864"/>
    <n v="48.552199999999999"/>
    <n v="56194.675925925927"/>
    <m/>
    <m/>
    <m/>
    <m/>
    <x v="6"/>
  </r>
  <r>
    <s v="O-572"/>
    <d v="2016-09-23T00:00:00"/>
    <x v="136"/>
    <s v="SAXUM Engineered Solutions"/>
    <m/>
    <m/>
    <s v="Ingenieria de Detalle Planta de Relleno Hidraulico"/>
    <x v="1"/>
    <s v="ND"/>
    <s v="NAC"/>
    <s v="Chile"/>
    <d v="2016-09-23T00:00:00"/>
    <s v="Pedro Valencia"/>
    <m/>
    <x v="3"/>
    <n v="0.1"/>
    <d v="2016-11-24T00:00:00"/>
    <n v="1753"/>
    <n v="77.962500000000006"/>
    <n v="44473.759269823167"/>
    <m/>
    <m/>
    <m/>
    <m/>
    <x v="6"/>
  </r>
  <r>
    <s v="O-584"/>
    <d v="2016-09-23T00:00:00"/>
    <x v="137"/>
    <s v="KDM Energía"/>
    <s v="Felipe Barraza"/>
    <m/>
    <s v="Estudio de Diagnóstico Sistema de Captacion y Abastecimiento Biogas"/>
    <x v="10"/>
    <s v="ND"/>
    <s v="NAC"/>
    <s v="Chile"/>
    <d v="2016-09-23T00:00:00"/>
    <s v="René Arancibia"/>
    <m/>
    <x v="5"/>
    <n v="0.8"/>
    <d v="2016-10-24T00:00:00"/>
    <n v="754"/>
    <n v="35.089289999999998"/>
    <n v="46537.519893899203"/>
    <m/>
    <m/>
    <m/>
    <m/>
    <x v="6"/>
  </r>
  <r>
    <s v="O-583"/>
    <d v="2016-09-22T00:00:00"/>
    <x v="118"/>
    <s v="ENAP"/>
    <m/>
    <m/>
    <s v="Servicio de Ingenieria Civil Estructural ENAP Refineria Aconcagua"/>
    <x v="1"/>
    <s v="LM"/>
    <s v="NAC"/>
    <s v="Chile"/>
    <d v="2016-10-28T00:00:00"/>
    <m/>
    <m/>
    <x v="3"/>
    <n v="0.1"/>
    <d v="2016-10-24T00:00:00"/>
    <n v="34727"/>
    <n v="1273.2565959999999"/>
    <n v="36664.744895902324"/>
    <m/>
    <m/>
    <m/>
    <m/>
    <x v="6"/>
  </r>
  <r>
    <s v="O-582"/>
    <d v="2016-09-22T00:00:00"/>
    <x v="118"/>
    <s v="ENAP"/>
    <m/>
    <m/>
    <s v="Servicio Desarrollo de Ingenieria Mecanica ENAP Refineria Aconcagua"/>
    <x v="1"/>
    <s v="LM"/>
    <s v="NAC"/>
    <s v="Chile"/>
    <d v="2016-10-24T00:00:00"/>
    <m/>
    <m/>
    <x v="3"/>
    <m/>
    <d v="2016-10-24T00:00:00"/>
    <n v="48508"/>
    <n v="1746.5425659999999"/>
    <n v="36005.247917869216"/>
    <m/>
    <m/>
    <m/>
    <m/>
    <x v="6"/>
  </r>
  <r>
    <s v="O-579"/>
    <d v="2016-09-20T00:00:00"/>
    <x v="23"/>
    <s v="Caserones"/>
    <s v="Carlos Merlo"/>
    <s v="cmerlo@caserones.cl"/>
    <s v="ID Solucion Regante Nilahue con Estanqu"/>
    <x v="1"/>
    <s v="ND"/>
    <s v="NAC"/>
    <s v="Chile"/>
    <d v="2016-09-20T00:00:00"/>
    <s v="José Gallardo"/>
    <m/>
    <x v="5"/>
    <m/>
    <d v="2016-09-20T00:00:00"/>
    <n v="469"/>
    <n v="13.997400000000001"/>
    <n v="29845.202558635396"/>
    <s v="SH-0133 - OS77"/>
    <m/>
    <m/>
    <m/>
    <x v="6"/>
  </r>
  <r>
    <s v="O-581"/>
    <d v="2016-09-16T00:00:00"/>
    <x v="105"/>
    <s v="LAS BAMBAS"/>
    <s v="Bladimir Quispe"/>
    <s v="bladimir.quispe@mmg.com"/>
    <s v="Extension Acompañamiento Operacional - Aguas y Relaves Periodo"/>
    <x v="0"/>
    <s v="ND"/>
    <s v="INT"/>
    <s v="Perú"/>
    <d v="2016-09-16T00:00:00"/>
    <s v="Pedro Valencia"/>
    <m/>
    <x v="5"/>
    <m/>
    <d v="2016-09-16T00:00:00"/>
    <n v="1067"/>
    <n v="48.76052"/>
    <n v="45698.706654170572"/>
    <s v="SH-0124"/>
    <m/>
    <m/>
    <m/>
    <x v="6"/>
  </r>
  <r>
    <s v="O-577"/>
    <d v="2016-09-15T00:00:00"/>
    <x v="17"/>
    <s v="Codelco TENIENTE"/>
    <s v="Johana Silva "/>
    <s v="jsilva062@contratistas.codelco.cl"/>
    <s v="ID Mejoramiento Sistema Contraincendios"/>
    <x v="1"/>
    <s v="LM"/>
    <s v="NAC"/>
    <s v="Chile"/>
    <d v="2016-09-15T00:00:00"/>
    <s v="Pedro Valencia"/>
    <s v="No se cumplieron requisitos financieros (auditores)"/>
    <x v="4"/>
    <m/>
    <d v="2016-09-20T00:00:00"/>
    <m/>
    <m/>
    <m/>
    <m/>
    <m/>
    <m/>
    <m/>
    <x v="6"/>
  </r>
  <r>
    <s v="O-578"/>
    <d v="2016-09-13T00:00:00"/>
    <x v="138"/>
    <s v="MMG"/>
    <s v="Olimpia del Rosario"/>
    <s v="olimpiadelrosario.cabrera@mmg.com"/>
    <s v="Revisión Ingenieria de Detalles SERPETBOL"/>
    <x v="1"/>
    <s v="ND"/>
    <s v="INT"/>
    <s v="Perú"/>
    <d v="2016-09-01T00:00:00"/>
    <s v="Pedro Valencia"/>
    <m/>
    <x v="5"/>
    <m/>
    <d v="2016-09-20T00:00:00"/>
    <n v="143"/>
    <n v="5.6109999999999998"/>
    <n v="39237.762237762239"/>
    <s v="SH-0148"/>
    <m/>
    <m/>
    <m/>
    <x v="6"/>
  </r>
  <r>
    <s v="O-576"/>
    <d v="2016-09-12T00:00:00"/>
    <x v="89"/>
    <s v="Codelco CHUQUI"/>
    <m/>
    <s v="cdoto035@codelco.cl"/>
    <s v="Servicios de Estudios de Diagnostico"/>
    <x v="10"/>
    <s v="LM"/>
    <s v="NAC"/>
    <s v="Chile"/>
    <d v="2016-09-15T00:00:00"/>
    <s v="Pedro Valencia"/>
    <m/>
    <x v="4"/>
    <m/>
    <d v="2016-09-20T00:00:00"/>
    <m/>
    <m/>
    <m/>
    <m/>
    <m/>
    <m/>
    <m/>
    <x v="6"/>
  </r>
  <r>
    <s v="O-567"/>
    <d v="2016-09-07T00:00:00"/>
    <x v="139"/>
    <s v="RyQ"/>
    <m/>
    <m/>
    <s v="INGENIERÍA DE DETALLES PARA LA CONSTRUCCIÓN DEL PROYECTO PLANTA DE FILTROS DE CONCENTRADOS DE COBRE, DIVISIÓN SALVADOR"/>
    <x v="1"/>
    <s v="LM"/>
    <s v="NAC"/>
    <s v="Chile"/>
    <d v="2016-09-07T00:00:00"/>
    <s v="José Gallardo"/>
    <m/>
    <x v="5"/>
    <m/>
    <d v="2016-09-08T00:00:00"/>
    <n v="3998"/>
    <n v="99.190754999999996"/>
    <n v="24810.093796898447"/>
    <s v="SH-0146"/>
    <m/>
    <m/>
    <m/>
    <x v="6"/>
  </r>
  <r>
    <s v="O-566"/>
    <d v="2016-09-07T00:00:00"/>
    <x v="29"/>
    <s v="SQM"/>
    <m/>
    <m/>
    <s v="Mejora Almacenamiento Granel Puerto Tocopilla"/>
    <x v="1"/>
    <s v="ND"/>
    <s v="NAC"/>
    <s v="Chile"/>
    <d v="2016-09-07T00:00:00"/>
    <s v="René Arancibia"/>
    <m/>
    <x v="3"/>
    <m/>
    <d v="2016-09-08T00:00:00"/>
    <n v="945"/>
    <n v="81.622799999999998"/>
    <n v="86373.333333333328"/>
    <m/>
    <m/>
    <m/>
    <m/>
    <x v="6"/>
  </r>
  <r>
    <s v="O-574"/>
    <d v="2016-09-06T00:00:00"/>
    <x v="23"/>
    <s v="Caserones"/>
    <s v="Carlos Merlo"/>
    <s v="cmerlo@caserones.cl"/>
    <s v="Ingenieria Plan B 350 l/s"/>
    <x v="1"/>
    <s v="ND"/>
    <s v="NAC"/>
    <s v="Chile"/>
    <d v="2016-09-06T00:00:00"/>
    <s v="Pedro Valencia"/>
    <m/>
    <x v="5"/>
    <m/>
    <d v="2016-09-06T00:00:00"/>
    <n v="814"/>
    <n v="24.452400000000001"/>
    <n v="30039.80343980344"/>
    <s v="SH0113 - OS76"/>
    <m/>
    <m/>
    <m/>
    <x v="6"/>
  </r>
  <r>
    <s v="O-575"/>
    <d v="2016-09-02T00:00:00"/>
    <x v="18"/>
    <s v="Aguas CAP"/>
    <s v="Denis Concha"/>
    <s v="dconcha@aguascap.cl"/>
    <s v="Estudio Integridad Acueducto ATA y CNN"/>
    <x v="6"/>
    <s v="LM"/>
    <s v="NAC"/>
    <s v="Chile"/>
    <m/>
    <s v="Pedro Valencia"/>
    <s v="Enviará consultas Denis Concha"/>
    <x v="3"/>
    <n v="0.3"/>
    <d v="2016-12-09T00:00:00"/>
    <n v="1410"/>
    <n v="95.883525000000006"/>
    <n v="68002.500000000015"/>
    <m/>
    <m/>
    <m/>
    <m/>
    <x v="6"/>
  </r>
  <r>
    <s v="O-573"/>
    <d v="2016-08-30T00:00:00"/>
    <x v="29"/>
    <s v="SQM"/>
    <s v="Felipe Yevenes"/>
    <m/>
    <s v="Plan de Contingencia Impulsión Agua de Mar"/>
    <x v="5"/>
    <s v="ND"/>
    <s v="NAC"/>
    <s v="Chile"/>
    <d v="2016-08-30T00:00:00"/>
    <s v="Pedro Valencia"/>
    <m/>
    <x v="5"/>
    <m/>
    <d v="2016-09-08T00:00:00"/>
    <n v="50"/>
    <n v="2.46"/>
    <m/>
    <s v="SH-0144"/>
    <m/>
    <m/>
    <m/>
    <x v="6"/>
  </r>
  <r>
    <s v="O-570"/>
    <d v="2016-08-29T00:00:00"/>
    <x v="23"/>
    <s v="Caserones"/>
    <s v="Vicente Salinas"/>
    <s v="vsalinas@caserones.cl "/>
    <s v="Incorporación Bombas de Recirculación en Espesadores de Relaves/Lamas"/>
    <x v="1"/>
    <s v="ND"/>
    <s v="NAC"/>
    <s v="Chile"/>
    <d v="2016-08-29T00:00:00"/>
    <s v="Pedro Valencia"/>
    <m/>
    <x v="3"/>
    <m/>
    <d v="2016-09-08T00:00:00"/>
    <n v="1213"/>
    <n v="33.898800000000001"/>
    <n v="27946.248969497115"/>
    <s v="SH-0133 - OS74"/>
    <m/>
    <m/>
    <m/>
    <x v="6"/>
  </r>
  <r>
    <s v="O-569"/>
    <d v="2016-08-29T00:00:00"/>
    <x v="23"/>
    <s v="Caserones"/>
    <s v="Vicente Salinas"/>
    <s v="vsalinas@caserones.cl "/>
    <s v="Incorporación Bombas Stand By Concentrado Planta Moly"/>
    <x v="1"/>
    <s v="ND"/>
    <s v="NAC"/>
    <s v="Chile"/>
    <d v="2016-08-29T00:00:00"/>
    <s v="Pedro Valencia"/>
    <m/>
    <x v="3"/>
    <m/>
    <d v="2016-09-08T00:00:00"/>
    <n v="1255"/>
    <n v="34.366199999999999"/>
    <n v="27383.426294820714"/>
    <s v="SH-0133 - OS72"/>
    <m/>
    <m/>
    <m/>
    <x v="6"/>
  </r>
  <r>
    <s v="O-568"/>
    <d v="2016-08-29T00:00:00"/>
    <x v="23"/>
    <s v="Caserones"/>
    <s v="Vicente Salinas"/>
    <s v="vsalinas@caserones.cl "/>
    <s v="Mejoramiento Capacidad Bombeo Espesador Colectivo"/>
    <x v="1"/>
    <s v="ND"/>
    <s v="NAC"/>
    <s v="Chile"/>
    <d v="2016-08-29T00:00:00"/>
    <s v="Pedro Valencia"/>
    <m/>
    <x v="3"/>
    <m/>
    <d v="2016-09-08T00:00:00"/>
    <n v="887"/>
    <n v="25.338000000000001"/>
    <n v="28565.952649379935"/>
    <m/>
    <m/>
    <m/>
    <m/>
    <x v="1"/>
  </r>
  <r>
    <s v="O-571"/>
    <d v="2016-08-29T00:00:00"/>
    <x v="23"/>
    <s v="Caserones"/>
    <s v="Vicente Salinas"/>
    <s v="vsalinas@caserones.cl "/>
    <s v="Ingeniería Plan B con Equipos Existentes"/>
    <x v="1"/>
    <s v="ND"/>
    <s v="NAC"/>
    <s v="Chile"/>
    <d v="2016-08-29T00:00:00"/>
    <s v="Pedro Valencia"/>
    <m/>
    <x v="5"/>
    <m/>
    <d v="2016-09-08T00:00:00"/>
    <n v="605"/>
    <n v="17.466000000000001"/>
    <n v="28869.421487603307"/>
    <s v="SH0113 - OS75"/>
    <m/>
    <m/>
    <m/>
    <x v="6"/>
  </r>
  <r>
    <s v="O-564"/>
    <d v="2016-08-29T00:00:00"/>
    <x v="23"/>
    <s v="Caserones"/>
    <m/>
    <m/>
    <s v=" Ingeniería Alimentación Eléctrica de Bomba Bypass Molibdeno "/>
    <x v="1"/>
    <s v="ND"/>
    <s v="NAC"/>
    <s v="Chile"/>
    <d v="2016-08-29T00:00:00"/>
    <s v="Héctor Benavente"/>
    <m/>
    <x v="5"/>
    <m/>
    <d v="2016-09-08T00:00:00"/>
    <n v="544"/>
    <n v="16.6296"/>
    <n v="30569.117647058822"/>
    <s v="SH0113 - OS71"/>
    <m/>
    <m/>
    <m/>
    <x v="6"/>
  </r>
  <r>
    <s v="O-565"/>
    <d v="2016-08-24T00:00:00"/>
    <x v="29"/>
    <s v="SQM"/>
    <m/>
    <m/>
    <s v="INGENIERÍA GENERAL PLANTA PILOTO SISTEMA INERCIAL DE LOS REACTORES PLANTA NPT3 COYA SUR"/>
    <x v="1"/>
    <s v="ND"/>
    <s v="NAC"/>
    <s v="Chile"/>
    <d v="2016-08-24T00:00:00"/>
    <s v="Gonzalo Quiroz"/>
    <m/>
    <x v="5"/>
    <m/>
    <d v="2016-08-22T00:00:00"/>
    <n v="536"/>
    <n v="18.669432"/>
    <n v="34831.029850746272"/>
    <s v="SH-0141"/>
    <m/>
    <m/>
    <m/>
    <x v="6"/>
  </r>
  <r>
    <s v="O-562"/>
    <d v="2016-08-12T00:00:00"/>
    <x v="23"/>
    <s v="Caserones"/>
    <s v="Vicente Salinas"/>
    <s v="vsalinas@caserones.cl "/>
    <s v="Ingeniería de Detalles Conducción  Temporal a la Cola Variante 2 Lado Sur Depósito La Brea"/>
    <x v="1"/>
    <s v="ND"/>
    <s v="NAC"/>
    <s v="Chile"/>
    <d v="2016-08-12T00:00:00"/>
    <s v="Pedro Valencia"/>
    <m/>
    <x v="5"/>
    <m/>
    <d v="2016-08-17T00:00:00"/>
    <n v="960"/>
    <n v="27.404399999999999"/>
    <n v="28546.25"/>
    <s v="SH0113 - OS70"/>
    <m/>
    <m/>
    <m/>
    <x v="6"/>
  </r>
  <r>
    <s v="O-547"/>
    <d v="2016-08-10T00:00:00"/>
    <x v="12"/>
    <s v="ZALDIVAR"/>
    <s v="Maurizzia Vicencio"/>
    <s v="mvicencio.adc@aminerals.cl"/>
    <s v="Evaluación de la Calidad de Sistema Hidráulico del Proceso Hidrometalúrgico Considerado la Adición de Cloruro de Sodio en el Proceso de Lixiviación"/>
    <x v="5"/>
    <s v="ND"/>
    <s v="NAC"/>
    <s v="Chile"/>
    <d v="2016-08-10T00:00:00"/>
    <s v="Pedro Valencia"/>
    <m/>
    <x v="5"/>
    <m/>
    <d v="2016-07-18T00:00:00"/>
    <n v="1330"/>
    <n v="64.747200000000007"/>
    <n v="48682.1052631579"/>
    <s v="SH-0140"/>
    <m/>
    <m/>
    <m/>
    <x v="6"/>
  </r>
  <r>
    <s v="O-561"/>
    <d v="2016-08-09T00:00:00"/>
    <x v="5"/>
    <s v="Anglo American"/>
    <s v="Victor Rodriguez"/>
    <m/>
    <s v="Servicio de Watering Actividades de Ingenieria Los Bronces"/>
    <x v="4"/>
    <s v="ND"/>
    <s v="NAC"/>
    <s v="Chile"/>
    <m/>
    <m/>
    <s v="Carta Excusa, Fuera de Alcance"/>
    <x v="4"/>
    <m/>
    <d v="2016-11-24T00:00:00"/>
    <m/>
    <m/>
    <m/>
    <m/>
    <m/>
    <m/>
    <m/>
    <x v="1"/>
  </r>
  <r>
    <s v="O-560"/>
    <d v="2016-08-08T00:00:00"/>
    <x v="29"/>
    <s v="SQM"/>
    <m/>
    <m/>
    <s v="Ingeniería Básica Estación de Bombeo Sector Taller de Camiones Mina Oeste"/>
    <x v="5"/>
    <s v="ND"/>
    <s v="NAC"/>
    <s v="Chile"/>
    <d v="2016-08-08T00:00:00"/>
    <s v="René Arancibia"/>
    <m/>
    <x v="3"/>
    <m/>
    <d v="2016-08-17T00:00:00"/>
    <n v="1252"/>
    <n v="35.967196980000004"/>
    <n v="28727.793115015978"/>
    <m/>
    <m/>
    <m/>
    <m/>
    <x v="6"/>
  </r>
  <r>
    <s v="O-558"/>
    <d v="2016-08-03T00:00:00"/>
    <x v="140"/>
    <s v="Corfo"/>
    <m/>
    <m/>
    <s v="Recuperacion de Elementos de Valor en Depositos de Relaves"/>
    <x v="10"/>
    <s v="ND"/>
    <s v="NAC"/>
    <s v="Chile"/>
    <d v="2016-09-05T00:00:00"/>
    <s v="Silvana Dal Pozzo"/>
    <m/>
    <x v="3"/>
    <m/>
    <d v="2016-11-24T00:00:00"/>
    <m/>
    <m/>
    <m/>
    <m/>
    <m/>
    <m/>
    <m/>
    <x v="1"/>
  </r>
  <r>
    <s v="O-557"/>
    <d v="2016-08-03T00:00:00"/>
    <x v="23"/>
    <s v="Caserones"/>
    <s v="Vicente Salinas"/>
    <s v="vsalinas@caserones.cl "/>
    <s v="Proyecto Alimentación Turbinas para Dilución Espesadores"/>
    <x v="1"/>
    <s v="ND"/>
    <s v="NAC"/>
    <s v="Chile"/>
    <d v="2016-08-03T00:00:00"/>
    <s v="Pedro Valencia"/>
    <m/>
    <x v="5"/>
    <m/>
    <d v="2016-08-17T00:00:00"/>
    <n v="645"/>
    <n v="19.556999999999999"/>
    <n v="30320.930232558138"/>
    <s v="SH0113 - OS69"/>
    <m/>
    <m/>
    <m/>
    <x v="6"/>
  </r>
  <r>
    <s v="O-556"/>
    <d v="2016-08-01T00:00:00"/>
    <x v="29"/>
    <s v="SQM"/>
    <s v="David Rousselle"/>
    <m/>
    <s v="Ingeniería de Detalles Sistema 6,6kV Alimentación Planta NK-PV"/>
    <x v="1"/>
    <s v="ND"/>
    <s v="NAC"/>
    <s v="Chile"/>
    <d v="2016-08-01T00:00:00"/>
    <s v="José Gallardo"/>
    <m/>
    <x v="5"/>
    <m/>
    <d v="2016-08-17T00:00:00"/>
    <n v="1295"/>
    <n v="40.230618749999998"/>
    <n v="31066.114864864863"/>
    <s v="SH-0142"/>
    <m/>
    <m/>
    <m/>
    <x v="6"/>
  </r>
  <r>
    <s v="O-555"/>
    <d v="2016-08-01T00:00:00"/>
    <x v="23"/>
    <s v="Caserones"/>
    <s v="Vicente Salinas"/>
    <s v="vsalinas@caserones.cl "/>
    <s v="Analisis y Solución Cuello de Botella y Derrames Area Flotación y Remolienda de Concentrados"/>
    <x v="31"/>
    <s v="ND"/>
    <s v="NAC"/>
    <s v="Chile"/>
    <d v="2016-08-01T00:00:00"/>
    <s v="Pedro Valencia"/>
    <m/>
    <x v="5"/>
    <m/>
    <d v="2016-08-17T00:00:00"/>
    <n v="940"/>
    <n v="28.634399999999999"/>
    <n v="30462.127659574468"/>
    <s v="SH0113 - OS67"/>
    <m/>
    <m/>
    <m/>
    <x v="6"/>
  </r>
  <r>
    <s v="O-554"/>
    <d v="2016-07-29T00:00:00"/>
    <x v="105"/>
    <s v="LAS BAMBAS"/>
    <s v="Olimpia Cabrera"/>
    <s v="olimpiadelrosario.cabrera@mmg.com"/>
    <s v="Bypass Cajon de Relaves"/>
    <x v="1"/>
    <s v="ND"/>
    <s v="INT"/>
    <s v="Perú"/>
    <d v="2016-07-29T00:00:00"/>
    <s v="Pedro Valencia"/>
    <m/>
    <x v="5"/>
    <m/>
    <d v="2016-08-17T00:00:00"/>
    <n v="320"/>
    <n v="12.5853"/>
    <n v="39329.0625"/>
    <s v="SH-0139"/>
    <m/>
    <m/>
    <m/>
    <x v="6"/>
  </r>
  <r>
    <s v="O-553"/>
    <d v="2016-07-29T00:00:00"/>
    <x v="105"/>
    <s v="LAS BAMBAS"/>
    <s v="Olimpia Cabrera"/>
    <s v="olimpiadelrosario.cabrera@mmg.com"/>
    <s v="ID Disposición Relaves Presa "/>
    <x v="1"/>
    <s v="ND"/>
    <s v="INT"/>
    <s v="Perú"/>
    <d v="2016-07-29T00:00:00"/>
    <s v="Pedro Valencia"/>
    <m/>
    <x v="3"/>
    <m/>
    <d v="2016-08-17T00:00:00"/>
    <n v="322"/>
    <n v="12.9246"/>
    <n v="40138.509316770193"/>
    <m/>
    <m/>
    <m/>
    <m/>
    <x v="6"/>
  </r>
  <r>
    <s v="O-552"/>
    <d v="2016-07-26T00:00:00"/>
    <x v="23"/>
    <s v="Caserones"/>
    <s v="Vicente Salinas"/>
    <m/>
    <s v="Ingenieria Electrica Area Flotacion y Recuperacion Molibdeno "/>
    <x v="1"/>
    <s v="ND"/>
    <s v="NAC"/>
    <s v="Chile"/>
    <d v="2016-07-26T00:00:00"/>
    <s v="Héctor Benavente"/>
    <m/>
    <x v="5"/>
    <m/>
    <d v="2016-07-27T00:00:00"/>
    <n v="367"/>
    <n v="12.029400000000001"/>
    <n v="32777.65667574932"/>
    <s v="SH0113 - OS68"/>
    <m/>
    <m/>
    <m/>
    <x v="6"/>
  </r>
  <r>
    <s v="O-551"/>
    <d v="2016-07-22T00:00:00"/>
    <x v="141"/>
    <s v="Canal Culipran"/>
    <s v="Juan Ocaña"/>
    <s v="jocanad@hotmail.com"/>
    <s v="Estudio Socavacion Canal Cholqui"/>
    <x v="10"/>
    <s v="ND"/>
    <s v="NAC"/>
    <s v="Chile"/>
    <d v="2016-07-22T00:00:00"/>
    <s v="Pedro Valencia"/>
    <m/>
    <x v="3"/>
    <m/>
    <d v="2016-07-27T00:00:00"/>
    <n v="85"/>
    <n v="3.4775"/>
    <n v="40911.764705882357"/>
    <m/>
    <m/>
    <m/>
    <m/>
    <x v="6"/>
  </r>
  <r>
    <s v="O-549"/>
    <d v="2016-07-15T00:00:00"/>
    <x v="23"/>
    <s v="Caserones"/>
    <s v="Vicente Salinas"/>
    <s v="vsalinas@caserones.cl "/>
    <s v="Estudio Instalacion Sistema Acido Sulfurico Planta de Mo"/>
    <x v="1"/>
    <s v="ND"/>
    <s v="NAC"/>
    <s v="Chile"/>
    <d v="2016-04-08T00:00:00"/>
    <s v="Mario Arredondo"/>
    <m/>
    <x v="5"/>
    <m/>
    <d v="2016-07-19T00:00:00"/>
    <n v="978"/>
    <n v="27.256799999999998"/>
    <n v="27869.938650306747"/>
    <s v="SH0113 - OS66"/>
    <m/>
    <m/>
    <m/>
    <x v="6"/>
  </r>
  <r>
    <s v="O-545"/>
    <d v="2016-07-04T00:00:00"/>
    <x v="109"/>
    <s v="GLEMANS"/>
    <s v="Juan Manuel Silva"/>
    <m/>
    <s v="ID Pig Oleoducto Chuquicamata "/>
    <x v="1"/>
    <s v="ND"/>
    <s v="NAC"/>
    <s v="Chile"/>
    <d v="2016-07-04T00:00:00"/>
    <s v="Carlos Umaña"/>
    <s v="Consultar a Juan Manuel Silva"/>
    <x v="3"/>
    <n v="0.1"/>
    <d v="2016-07-19T00:00:00"/>
    <n v="1171"/>
    <n v="45.021599999999999"/>
    <n v="38447.139197267294"/>
    <m/>
    <m/>
    <m/>
    <m/>
    <x v="6"/>
  </r>
  <r>
    <s v="O-544"/>
    <d v="2016-07-04T00:00:00"/>
    <x v="22"/>
    <s v="Centinela"/>
    <s v="Pablo Cheng De Filipis"/>
    <s v="pcheng@mineracentinela.cl"/>
    <s v="Simulador de Distribución de Relaves Espesados Centinela Súlfuros"/>
    <x v="10"/>
    <s v="ND"/>
    <s v="NAC"/>
    <s v="Chile"/>
    <d v="2016-07-04T00:00:00"/>
    <s v="Pedro Valencia"/>
    <m/>
    <x v="3"/>
    <m/>
    <d v="2016-07-19T00:00:00"/>
    <n v="666"/>
    <n v="27.06"/>
    <n v="40630.630630630629"/>
    <m/>
    <m/>
    <m/>
    <m/>
    <x v="6"/>
  </r>
  <r>
    <s v="O-540"/>
    <d v="2016-06-30T00:00:00"/>
    <x v="23"/>
    <s v="Caserones"/>
    <s v="Vicente Salinas"/>
    <s v="vsalinas@caserones.cl "/>
    <s v="Ingeniería Detalles Sistema de Agua Fresca y Recuperada Caserones"/>
    <x v="1"/>
    <s v="ND"/>
    <s v="NAC"/>
    <s v="Chile"/>
    <d v="2016-06-30T00:00:00"/>
    <s v="Pedro Valencia"/>
    <m/>
    <x v="5"/>
    <m/>
    <d v="2016-06-30T00:00:00"/>
    <n v="4339"/>
    <n v="138.065"/>
    <n v="31819.543673657525"/>
    <s v="SH0113 - OS57@OS64"/>
    <m/>
    <m/>
    <m/>
    <x v="6"/>
  </r>
  <r>
    <s v="O-542"/>
    <d v="2016-06-28T00:00:00"/>
    <x v="25"/>
    <s v="Sodexo"/>
    <s v="Christian Navarro"/>
    <s v="christian.navarro@sodexo.com"/>
    <s v="Estudio Oferta/Demanda de Agua Potable en Establecimiento Penitenciario de Antofagasta"/>
    <x v="2"/>
    <s v="LM"/>
    <s v="NAC"/>
    <s v="Chile"/>
    <d v="2016-06-28T00:00:00"/>
    <s v="Pedro Valencia"/>
    <m/>
    <x v="5"/>
    <m/>
    <d v="2016-06-30T00:00:00"/>
    <n v="86"/>
    <n v="3.2595000000000001"/>
    <n v="37901.162790697679"/>
    <s v="SH-0143"/>
    <m/>
    <m/>
    <m/>
    <x v="6"/>
  </r>
  <r>
    <s v="O-541"/>
    <d v="2016-06-28T00:00:00"/>
    <x v="105"/>
    <s v="LAS BAMBAS"/>
    <s v="Rafael Carpio"/>
    <m/>
    <s v="Extensión Acompañamiento Operacional – Mejora de Procesos Periodo"/>
    <x v="4"/>
    <s v="ND"/>
    <s v="INT"/>
    <s v="Perú"/>
    <d v="2016-06-28T00:00:00"/>
    <s v="Pedro Valencia"/>
    <m/>
    <x v="5"/>
    <m/>
    <d v="2016-06-28T00:00:00"/>
    <n v="1260"/>
    <n v="64.9285"/>
    <n v="51530.555555555562"/>
    <s v="SH-0124"/>
    <m/>
    <m/>
    <m/>
    <x v="6"/>
  </r>
  <r>
    <s v="O-543"/>
    <d v="2016-06-28T00:00:00"/>
    <x v="142"/>
    <s v="Codelco División Radomiro Tomic"/>
    <s v="Juan Manuel Silva"/>
    <m/>
    <s v="Estudio de Diagnóstico Reparación Estanque de Hormigón TK 408, Planta de EW,"/>
    <x v="10"/>
    <s v="ND"/>
    <s v="NAC"/>
    <s v="Chile"/>
    <d v="2016-06-28T00:00:00"/>
    <s v="Claudio Muñoz"/>
    <s v="Consultar a Juan Manuel Silva"/>
    <x v="3"/>
    <n v="0.1"/>
    <d v="2016-06-30T00:00:00"/>
    <n v="181"/>
    <n v="11.2896"/>
    <n v="62373.480662983427"/>
    <m/>
    <m/>
    <m/>
    <m/>
    <x v="6"/>
  </r>
  <r>
    <s v="O-535"/>
    <d v="2016-06-21T00:00:00"/>
    <x v="143"/>
    <s v="Instituto Nacional de Hidraulica"/>
    <m/>
    <m/>
    <s v="Diseño Canal Hidraulico Socavacion Puentes"/>
    <x v="1"/>
    <s v="LM"/>
    <s v="NAC"/>
    <s v="Chile"/>
    <d v="2016-06-21T00:00:00"/>
    <s v="Pedro Valencia"/>
    <m/>
    <x v="3"/>
    <m/>
    <d v="2016-06-24T00:00:00"/>
    <n v="1693"/>
    <n v="48.636107280000004"/>
    <n v="28727.765670407563"/>
    <m/>
    <m/>
    <m/>
    <m/>
    <x v="6"/>
  </r>
  <r>
    <s v="O-539"/>
    <d v="2016-06-20T00:00:00"/>
    <x v="23"/>
    <s v="Caserones"/>
    <s v="Vicente Salinas"/>
    <s v="vsalinas@caserones.cl "/>
    <s v="Ingenieria Adquisicion Equipos Agua Recuperada El Tambo"/>
    <x v="25"/>
    <s v="ND"/>
    <s v="NAC"/>
    <s v="Chile"/>
    <d v="2016-06-22T00:00:00"/>
    <s v="Pedro Valencia"/>
    <m/>
    <x v="3"/>
    <m/>
    <d v="2016-06-20T00:00:00"/>
    <n v="542"/>
    <n v="15.522600000000001"/>
    <n v="28639.483394833951"/>
    <m/>
    <m/>
    <m/>
    <m/>
    <x v="6"/>
  </r>
  <r>
    <s v="O-538"/>
    <d v="2016-06-16T00:00:00"/>
    <x v="16"/>
    <s v="CANDELARIA"/>
    <m/>
    <m/>
    <s v="IB y ID Reimpulsion Relaves Minera Ojos del Salado"/>
    <x v="15"/>
    <s v="LM"/>
    <s v="NAC"/>
    <s v="Chile"/>
    <d v="2016-07-15T00:00:00"/>
    <s v="Pedro Valencia"/>
    <s v="Decisión Pendiente, Esperando Fondos"/>
    <x v="3"/>
    <n v="0.01"/>
    <d v="2016-06-16T00:00:00"/>
    <n v="8417"/>
    <n v="300.64859999999999"/>
    <n v="35719.211120351669"/>
    <m/>
    <m/>
    <m/>
    <m/>
    <x v="6"/>
  </r>
  <r>
    <s v="O-537"/>
    <d v="2016-06-13T00:00:00"/>
    <x v="105"/>
    <s v="LAS BAMBAS"/>
    <s v="Jorge Agustini"/>
    <s v="jorge.agustini@mmg.com"/>
    <s v="Ingeniería Detalles Conexión Bomba Adicional Overflow Espesadores"/>
    <x v="1"/>
    <s v="ND"/>
    <s v="INT"/>
    <s v="Perú"/>
    <d v="2016-06-13T00:00:00"/>
    <s v="Pedro Valencia"/>
    <m/>
    <x v="5"/>
    <m/>
    <d v="2016-06-13T00:00:00"/>
    <n v="328"/>
    <n v="12.693199999999999"/>
    <n v="38698.780487804877"/>
    <s v="SH-0136"/>
    <m/>
    <m/>
    <m/>
    <x v="6"/>
  </r>
  <r>
    <s v="O-536"/>
    <d v="2016-06-07T00:00:00"/>
    <x v="51"/>
    <s v="COLLAHUASI"/>
    <s v="Claudio Muñoz"/>
    <s v="camunoz@collahuasi.cl"/>
    <s v="Estandarizacion Pruebas Reologicas"/>
    <x v="10"/>
    <s v="LM"/>
    <s v="NAC"/>
    <s v="Chile"/>
    <d v="2016-06-07T00:00:00"/>
    <s v="Pedro Valencia"/>
    <m/>
    <x v="3"/>
    <n v="0.1"/>
    <d v="2017-05-31T00:00:00"/>
    <n v="200"/>
    <n v="7.2080000000000002"/>
    <n v="36040"/>
    <m/>
    <m/>
    <m/>
    <m/>
    <x v="6"/>
  </r>
  <r>
    <s v="O-534"/>
    <d v="2016-05-30T00:00:00"/>
    <x v="29"/>
    <s v="SQM"/>
    <m/>
    <m/>
    <s v="DIAGNÓSTICO OPERACIONAL Y DETECCION DE OPORTUNIDADES EN PLANTA NPT3"/>
    <x v="10"/>
    <s v="ND"/>
    <s v="NAC"/>
    <s v="Chile"/>
    <d v="2016-05-30T00:00:00"/>
    <s v="Mario Arredondo"/>
    <m/>
    <x v="3"/>
    <m/>
    <d v="2016-06-10T00:00:00"/>
    <n v="422"/>
    <n v="14.9504"/>
    <n v="35427.48815165877"/>
    <m/>
    <m/>
    <m/>
    <m/>
    <x v="6"/>
  </r>
  <r>
    <s v="O-532"/>
    <d v="2016-05-19T00:00:00"/>
    <x v="105"/>
    <s v="LAS BAMBAS"/>
    <s v="Rafael Carpio"/>
    <s v="rafael.carpio@mmg.com"/>
    <s v="Extensión Acompañamiento Operacional  - Mejora de Procesos"/>
    <x v="4"/>
    <s v="ND"/>
    <s v="INT"/>
    <s v="Perú"/>
    <d v="2016-05-19T00:00:00"/>
    <s v="Pedro Valencia"/>
    <m/>
    <x v="5"/>
    <m/>
    <d v="2016-05-19T00:00:00"/>
    <n v="755"/>
    <n v="38.811500000000002"/>
    <n v="51405.960264900663"/>
    <s v="SH-0124"/>
    <m/>
    <m/>
    <m/>
    <x v="6"/>
  </r>
  <r>
    <s v="O-530"/>
    <d v="2016-05-19T00:00:00"/>
    <x v="23"/>
    <s v="Caserones"/>
    <s v="Vicente Salinas"/>
    <s v="vsalinas@caserones.cl "/>
    <s v="Estudio de Ingenieria Sistema de Bombeo de Agua Fresca"/>
    <x v="10"/>
    <s v="ND"/>
    <s v="NAC"/>
    <s v="Chile"/>
    <d v="2016-05-19T00:00:00"/>
    <s v="Pedro Valencia"/>
    <m/>
    <x v="3"/>
    <m/>
    <d v="2016-05-19T00:00:00"/>
    <n v="130"/>
    <n v="4.4547999999999996"/>
    <n v="34267.692307692305"/>
    <m/>
    <m/>
    <m/>
    <m/>
    <x v="6"/>
  </r>
  <r>
    <s v="O-531"/>
    <d v="2016-05-13T00:00:00"/>
    <x v="29"/>
    <s v="SQM"/>
    <s v="Gemita Gonzalez"/>
    <s v="gemita.gonzalez@sqm.com"/>
    <s v="Ingeniería conceptual sistema de filtración reactores NPT3"/>
    <x v="2"/>
    <s v="LM"/>
    <s v="NAC"/>
    <s v="Chile"/>
    <d v="2016-05-13T00:00:00"/>
    <s v="Gonzalo Quiroz"/>
    <m/>
    <x v="5"/>
    <m/>
    <d v="2016-05-19T00:00:00"/>
    <n v="305"/>
    <n v="12.793950000000001"/>
    <n v="41947.37704918033"/>
    <s v="SH-0137"/>
    <m/>
    <m/>
    <m/>
    <x v="6"/>
  </r>
  <r>
    <s v="O-529"/>
    <d v="2016-04-29T00:00:00"/>
    <x v="144"/>
    <s v="CDM Smith"/>
    <s v="Juan Eduardo Coeymans"/>
    <m/>
    <s v="Estudio Benchmarking Transporte de Agua de Mar"/>
    <x v="28"/>
    <s v="ND"/>
    <s v="NAC"/>
    <s v="Chile"/>
    <d v="2016-05-02T00:00:00"/>
    <s v="Claudio Muñoz"/>
    <m/>
    <x v="5"/>
    <m/>
    <d v="2016-05-04T00:00:00"/>
    <n v="150"/>
    <n v="5.18"/>
    <n v="34533.333333333336"/>
    <s v="SH-0135"/>
    <m/>
    <m/>
    <m/>
    <x v="6"/>
  </r>
  <r>
    <s v="O-528"/>
    <d v="2016-04-28T00:00:00"/>
    <x v="109"/>
    <s v="Anglo American"/>
    <s v="Juan Manuel Silva"/>
    <m/>
    <s v="Detail Engineering for Pigs Launcher &amp; Receivers – 24” copper ore pipeline Anglo American Sur"/>
    <x v="1"/>
    <s v="ND"/>
    <s v="NAC"/>
    <s v="Chile"/>
    <d v="2016-05-04T00:00:00"/>
    <s v="Pedro Valencia"/>
    <m/>
    <x v="3"/>
    <n v="0.1"/>
    <d v="2017-05-31T00:00:00"/>
    <n v="2106"/>
    <n v="65.221000000000004"/>
    <n v="30969.13580246914"/>
    <m/>
    <m/>
    <m/>
    <m/>
    <x v="6"/>
  </r>
  <r>
    <s v="O-527"/>
    <d v="2016-04-26T00:00:00"/>
    <x v="135"/>
    <s v="BAS Concesionaria"/>
    <s v="Alex Galleguillos"/>
    <s v="agelleguillos@consorciobas.cl"/>
    <s v="Ingeniería Básica Mejoramiento Aducción de Agua en Establecimiento Penitenciario de Alto Hospicio"/>
    <x v="5"/>
    <s v="ND"/>
    <s v="NAC"/>
    <s v="Chile"/>
    <d v="2016-04-27T00:00:00"/>
    <s v="Pedro Valencia"/>
    <m/>
    <x v="5"/>
    <m/>
    <d v="2016-05-04T00:00:00"/>
    <n v="50"/>
    <n v="1"/>
    <n v="20000"/>
    <s v="SH-0134"/>
    <m/>
    <m/>
    <m/>
    <x v="6"/>
  </r>
  <r>
    <s v="O-526"/>
    <d v="2016-04-23T00:00:00"/>
    <x v="19"/>
    <s v="CODELCO"/>
    <s v="Giannina Ñuñez"/>
    <s v="gnune009@contratistas.codelco.cl"/>
    <s v="Capacitación Relaves Espesados, Vicepresidencia de Proyecto CODELCO"/>
    <x v="17"/>
    <s v="LM"/>
    <s v="NAC"/>
    <s v="Chile"/>
    <d v="2016-04-25T00:00:00"/>
    <s v="Pedro Valencia"/>
    <m/>
    <x v="3"/>
    <m/>
    <d v="2016-05-04T00:00:00"/>
    <n v="160"/>
    <n v="8.5470000000000006"/>
    <n v="53418.75"/>
    <m/>
    <m/>
    <m/>
    <m/>
    <x v="6"/>
  </r>
  <r>
    <s v="O-525"/>
    <d v="2016-04-20T00:00:00"/>
    <x v="23"/>
    <s v="Caserones"/>
    <s v="Vicente Salinas"/>
    <s v="vsalinas@caserones.cl "/>
    <s v="Manejo aguas sobrenadantes Dique 2"/>
    <x v="1"/>
    <s v="ND"/>
    <s v="NAC"/>
    <s v="Chile"/>
    <d v="2016-02-21T00:00:00"/>
    <s v="Pedro Valencia"/>
    <m/>
    <x v="5"/>
    <m/>
    <d v="2016-04-20T00:00:00"/>
    <n v="180"/>
    <n v="7"/>
    <n v="38888.888888888891"/>
    <s v="SH0113-OS55"/>
    <m/>
    <m/>
    <m/>
    <x v="6"/>
  </r>
  <r>
    <s v="O-524"/>
    <d v="2016-04-08T00:00:00"/>
    <x v="109"/>
    <s v="COLLAHUASI"/>
    <s v="Juan Manuel Silva"/>
    <m/>
    <s v="Informe Tëcnica Falla Linea"/>
    <x v="10"/>
    <s v="ND"/>
    <s v="NAC"/>
    <s v="Chile"/>
    <d v="2016-04-08T00:00:00"/>
    <s v="Pedro Valencia"/>
    <s v="Consultar a Juan Manuel Silva"/>
    <x v="3"/>
    <n v="0.1"/>
    <d v="2017-05-31T00:00:00"/>
    <n v="533"/>
    <n v="19.350000000000001"/>
    <n v="36303.93996247655"/>
    <m/>
    <m/>
    <m/>
    <m/>
    <x v="6"/>
  </r>
  <r>
    <s v="O-548"/>
    <d v="2016-04-08T00:00:00"/>
    <x v="23"/>
    <s v="Caserones"/>
    <s v="Vicente Salinas"/>
    <s v="vsalinas@caserones.cl "/>
    <s v="Estudio Solucion para Disminuir Solidos en Piscina de AR"/>
    <x v="1"/>
    <s v="ND"/>
    <s v="NAC"/>
    <s v="Chile"/>
    <d v="2016-04-08T00:00:00"/>
    <s v="Pedro Valencia"/>
    <m/>
    <x v="5"/>
    <m/>
    <d v="2016-07-19T00:00:00"/>
    <n v="801"/>
    <n v="23.4438"/>
    <n v="29268.164794007491"/>
    <s v="SH0113 - OS65"/>
    <m/>
    <m/>
    <m/>
    <x v="6"/>
  </r>
  <r>
    <s v="O-546"/>
    <d v="2016-04-08T00:00:00"/>
    <x v="23"/>
    <s v="Caserones"/>
    <s v="Vicente Salinas"/>
    <s v="vsalinas@caserones.cl "/>
    <s v="Estudio de Protecciones Ampliacion Planta de Cal"/>
    <x v="1"/>
    <s v="ND"/>
    <s v="NAC"/>
    <s v="Chile"/>
    <d v="2016-04-08T00:00:00"/>
    <s v="Pedro Valencia"/>
    <m/>
    <x v="5"/>
    <m/>
    <d v="2016-07-19T00:00:00"/>
    <n v="37"/>
    <n v="1.5251999999999999"/>
    <n v="41221.621621621613"/>
    <m/>
    <m/>
    <m/>
    <m/>
    <x v="6"/>
  </r>
  <r>
    <s v="O-523"/>
    <d v="2016-04-06T00:00:00"/>
    <x v="100"/>
    <s v="ESSBIO"/>
    <s v="Rodrigo Fernandez"/>
    <s v="rodrigo.fernandez@ryq.cl"/>
    <s v="Ingeniería Diseño de Salas y Cobetizo tipo para Grupos Electrógenos - ESSBIO"/>
    <x v="1"/>
    <s v="LM"/>
    <s v="NAC"/>
    <s v="Chile"/>
    <d v="2016-04-07T00:00:00"/>
    <s v="Pedro Valencia"/>
    <m/>
    <x v="3"/>
    <m/>
    <d v="2016-04-20T00:00:00"/>
    <n v="4057"/>
    <n v="116.745"/>
    <n v="28776.189302440227"/>
    <m/>
    <m/>
    <m/>
    <m/>
    <x v="6"/>
  </r>
  <r>
    <s v="O-521"/>
    <d v="2016-03-17T00:00:00"/>
    <x v="29"/>
    <s v="SQM"/>
    <s v="Felipe Yavenes"/>
    <s v="felipe.yevenes@sqm.com"/>
    <s v="Ingenieria para Instalacion de un Trommel Screen"/>
    <x v="1"/>
    <s v="LM"/>
    <s v="NAC"/>
    <s v="Chile"/>
    <d v="2016-03-17T00:00:00"/>
    <s v="Pedro Valencia"/>
    <m/>
    <x v="3"/>
    <m/>
    <d v="2016-04-20T00:00:00"/>
    <n v="588"/>
    <n v="14.5878"/>
    <n v="24809.183673469386"/>
    <m/>
    <m/>
    <m/>
    <m/>
    <x v="6"/>
  </r>
  <r>
    <s v="O-522"/>
    <d v="2016-03-14T00:00:00"/>
    <x v="29"/>
    <s v="SQM"/>
    <s v="Felipe Yavenes"/>
    <s v="felipe.yevenes@sqm.com"/>
    <s v="Ingeniería Básica COP5 NV"/>
    <x v="5"/>
    <s v="LM"/>
    <s v="NAC"/>
    <s v="Chile"/>
    <d v="2016-03-31T00:00:00"/>
    <s v="Mario Arredondo"/>
    <m/>
    <x v="3"/>
    <m/>
    <d v="2016-04-20T00:00:00"/>
    <n v="1319"/>
    <n v="38.364600000000003"/>
    <n v="29086.125852918878"/>
    <m/>
    <m/>
    <m/>
    <m/>
    <x v="6"/>
  </r>
  <r>
    <s v="O-520"/>
    <d v="2016-03-01T00:00:00"/>
    <x v="29"/>
    <s v="SQM"/>
    <s v="Felipe Yavenes"/>
    <s v="felipe.yevenes@sqm.com"/>
    <s v="Estudio de Perfil Camino de Acceso Planta Pedro de Valdivia"/>
    <x v="2"/>
    <s v="LM"/>
    <s v="NAC"/>
    <s v="Chile"/>
    <d v="2016-03-01T00:00:00"/>
    <s v="Pedro Valencia"/>
    <m/>
    <x v="3"/>
    <m/>
    <d v="2016-04-20T00:00:00"/>
    <n v="160"/>
    <n v="4.5510000000000002"/>
    <n v="28443.75"/>
    <m/>
    <m/>
    <m/>
    <m/>
    <x v="6"/>
  </r>
  <r>
    <s v="O-518"/>
    <d v="2016-02-23T00:00:00"/>
    <x v="105"/>
    <s v="LAS BAMBAS"/>
    <s v="Jorge Agustini"/>
    <s v="Jorge.Agustini@mmg.com"/>
    <s v="Extensión Acompañamiento Operacional Experto durante el_x000a_Comisionamiento, Start Up y Ramp Up de los sistemas de Relaves y Aguas Las Bambas."/>
    <x v="4"/>
    <s v="ND"/>
    <s v="INT"/>
    <s v="Perú"/>
    <d v="2016-03-01T00:00:00"/>
    <s v="Pedro Valencia"/>
    <m/>
    <x v="5"/>
    <m/>
    <d v="2016-04-20T00:00:00"/>
    <n v="429"/>
    <n v="21.962199999999999"/>
    <n v="51193.939393939392"/>
    <m/>
    <m/>
    <m/>
    <m/>
    <x v="6"/>
  </r>
  <r>
    <s v="O-519"/>
    <d v="2016-02-23T00:00:00"/>
    <x v="105"/>
    <s v="LAS BAMBAS"/>
    <s v="Francisco Mendoza"/>
    <s v="francisco.mendoza@mmg.com"/>
    <s v="Ingeniería de Detalles Bypass Ciclones Molienda - Mineras Las Bambas"/>
    <x v="1"/>
    <s v="ND"/>
    <s v="INT"/>
    <s v="Perú"/>
    <d v="2016-02-23T00:00:00"/>
    <s v="Pedro Valencia"/>
    <m/>
    <x v="3"/>
    <m/>
    <d v="2016-04-20T00:00:00"/>
    <n v="475"/>
    <n v="17.496500000000001"/>
    <n v="36834.736842105267"/>
    <m/>
    <m/>
    <m/>
    <m/>
    <x v="6"/>
  </r>
  <r>
    <s v="O-517"/>
    <d v="2016-02-17T00:00:00"/>
    <x v="5"/>
    <s v="Anglo American"/>
    <s v="Christian Jensen"/>
    <s v="christian.jensenmontt@angloamerican.com"/>
    <s v="Ingeniería Detalles Lanzadores y Receptores de PIG Mineroducto Los Bronces"/>
    <x v="1"/>
    <s v="ND"/>
    <s v="NAC"/>
    <s v="Chile"/>
    <d v="2016-02-23T00:00:00"/>
    <s v="Pedro Valencia"/>
    <s v="Consultar a Juan Manuel Silva"/>
    <x v="3"/>
    <n v="0.01"/>
    <d v="2016-04-20T00:00:00"/>
    <n v="4987"/>
    <n v="151.60429999999999"/>
    <n v="30399.899739322238"/>
    <m/>
    <m/>
    <m/>
    <m/>
    <x v="6"/>
  </r>
  <r>
    <s v="O-516"/>
    <d v="2016-02-12T00:00:00"/>
    <x v="23"/>
    <s v="Caserones"/>
    <s v="Vicente Salinas"/>
    <s v="vsalinas@caserones.cl "/>
    <s v="Ingeniería de Detalles Modificación Proyecto Medición de Agua Pozo_x000a_Nilahue"/>
    <x v="1"/>
    <s v="ND"/>
    <s v="NAC"/>
    <s v="Chile"/>
    <d v="2016-02-16T00:00:00"/>
    <s v="Claudio Muñoz"/>
    <m/>
    <x v="5"/>
    <m/>
    <d v="2016-04-20T00:00:00"/>
    <n v="358"/>
    <n v="11.648"/>
    <n v="32536.312849162008"/>
    <s v="SH0113-OS53"/>
    <m/>
    <m/>
    <m/>
    <x v="6"/>
  </r>
  <r>
    <s v="O-515"/>
    <d v="2016-02-12T00:00:00"/>
    <x v="23"/>
    <s v="Caserones"/>
    <s v="Vicente Salinas"/>
    <s v="vsalinas@caserones.cl "/>
    <s v="Ingeniería de Detalles Nuevos Pozos de Recuperación Infiltración de Agua la Brea"/>
    <x v="1"/>
    <s v="ND"/>
    <s v="NAC"/>
    <s v="Chile"/>
    <d v="2016-02-16T00:00:00"/>
    <s v="Claudio Muñoz"/>
    <m/>
    <x v="5"/>
    <m/>
    <d v="2016-04-20T00:00:00"/>
    <n v="1386"/>
    <n v="43.827199999999998"/>
    <n v="31621.356421356417"/>
    <s v="SH0113-OS52"/>
    <m/>
    <m/>
    <m/>
    <x v="6"/>
  </r>
  <r>
    <s v="O-514"/>
    <d v="2016-02-12T00:00:00"/>
    <x v="23"/>
    <s v="Caserones"/>
    <s v="Vicente Salinas"/>
    <s v="vsalinas@caserones.cl "/>
    <s v="Ingeniería de Detalles Flexibilidad Operacional Baterías de Ciclones de_x000a_Relaves"/>
    <x v="1"/>
    <s v="ND"/>
    <s v="NAC"/>
    <s v="Chile"/>
    <d v="2016-02-16T00:00:00"/>
    <s v="Claudio Muñoz"/>
    <s v="Revision 1"/>
    <x v="5"/>
    <m/>
    <d v="2016-04-20T00:00:00"/>
    <n v="399"/>
    <n v="13.1328"/>
    <n v="32914.285714285717"/>
    <s v="SH0113-OS51"/>
    <m/>
    <m/>
    <m/>
    <x v="6"/>
  </r>
  <r>
    <s v="O-513"/>
    <d v="2016-02-08T00:00:00"/>
    <x v="23"/>
    <s v="Caserones"/>
    <s v="Vicente Salinas"/>
    <s v="vsalinas@caserones.cl "/>
    <s v="Diseño Fabricacion Orejas de Maniobra Estanques "/>
    <x v="1"/>
    <s v="ND"/>
    <s v="NAC"/>
    <s v="Chile"/>
    <m/>
    <s v="Claudio Muñoz"/>
    <s v="Nula"/>
    <x v="4"/>
    <m/>
    <d v="2016-04-20T00:00:00"/>
    <m/>
    <m/>
    <m/>
    <m/>
    <m/>
    <m/>
    <m/>
    <x v="6"/>
  </r>
  <r>
    <s v="O-510"/>
    <d v="2016-02-08T00:00:00"/>
    <x v="82"/>
    <s v="LAS CENIZAS"/>
    <m/>
    <m/>
    <s v="Ingenieria de Detalles en Planta las Luces - Cenizas"/>
    <x v="1"/>
    <s v="LM"/>
    <s v="NAC"/>
    <s v="Chile"/>
    <d v="2016-02-08T00:00:00"/>
    <s v="Mario Arredondo"/>
    <m/>
    <x v="3"/>
    <m/>
    <d v="2016-02-10T00:00:00"/>
    <n v="1979"/>
    <n v="59.286000000000001"/>
    <n v="29957.554320363819"/>
    <m/>
    <m/>
    <m/>
    <m/>
    <x v="6"/>
  </r>
  <r>
    <s v="O-512"/>
    <d v="2016-02-05T00:00:00"/>
    <x v="23"/>
    <s v="Caserones"/>
    <s v="Vicente Salinas"/>
    <s v="vsalinas@caserones.cl "/>
    <s v="Mejoramiento Capacidad de Impulsión desde Estación Intermedia a Piscina de Agua Recuperada"/>
    <x v="2"/>
    <s v="ND"/>
    <s v="NAC"/>
    <s v="Chile"/>
    <d v="2016-02-05T00:00:00"/>
    <s v="Pedro Valencia"/>
    <m/>
    <x v="5"/>
    <m/>
    <d v="2016-02-10T00:00:00"/>
    <n v="547"/>
    <n v="18.942"/>
    <n v="34628.884826325411"/>
    <s v="SH0113-OS54"/>
    <m/>
    <m/>
    <m/>
    <x v="6"/>
  </r>
  <r>
    <s v="O-511"/>
    <d v="2016-02-04T00:00:00"/>
    <x v="144"/>
    <s v="CDM Smith"/>
    <s v="Juan Eduardo Coeymans"/>
    <s v="coeymansje@cdmsmith.com"/>
    <s v="Estudio Trade-off Sistema de Impulsión Agua de Mar BHP BILLITON"/>
    <x v="2"/>
    <s v="ND"/>
    <s v="NAC"/>
    <s v="Chile"/>
    <d v="2016-02-04T00:00:00"/>
    <s v="Pedro Valencia"/>
    <m/>
    <x v="5"/>
    <m/>
    <d v="2016-02-05T00:00:00"/>
    <n v="125"/>
    <n v="6.5190000000000001"/>
    <n v="52152.000000000007"/>
    <s v="SH-0130"/>
    <m/>
    <m/>
    <m/>
    <x v="6"/>
  </r>
  <r>
    <s v="O-509"/>
    <d v="2016-01-26T00:00:00"/>
    <x v="23"/>
    <s v="Caserones"/>
    <s v="Vicente Salinas"/>
    <s v="vsalinas@caserones.cl "/>
    <s v="Ingeniería de Detalles Sistema Cachimbas EB4"/>
    <x v="1"/>
    <s v="ND"/>
    <s v="NAC"/>
    <s v="Chile"/>
    <d v="2016-01-26T00:00:00"/>
    <s v="Claudio Muñoz"/>
    <m/>
    <x v="5"/>
    <m/>
    <s v="27-01-216"/>
    <n v="246"/>
    <n v="8.3886000000000003"/>
    <n v="34100"/>
    <s v="SH0113-OS50"/>
    <m/>
    <m/>
    <m/>
    <x v="6"/>
  </r>
  <r>
    <s v="O-508"/>
    <d v="2016-01-25T00:00:00"/>
    <x v="0"/>
    <m/>
    <m/>
    <m/>
    <s v="Revision Ingeniería Detalles Esmeraldas"/>
    <x v="0"/>
    <m/>
    <m/>
    <m/>
    <m/>
    <m/>
    <s v="Sin Antecedentes"/>
    <x v="4"/>
    <m/>
    <m/>
    <m/>
    <m/>
    <m/>
    <m/>
    <m/>
    <m/>
    <m/>
    <x v="6"/>
  </r>
  <r>
    <s v="O-507"/>
    <d v="2016-01-25T00:00:00"/>
    <x v="145"/>
    <s v="BAMIN"/>
    <s v="Rafael Simões"/>
    <s v="rafael.simoes@enrc.com.br"/>
    <s v="Atualizacao Suprimento de Agua Industrial  Projeto Pedra de Ferro"/>
    <x v="0"/>
    <s v="ND"/>
    <s v="INT"/>
    <s v="Brasil"/>
    <m/>
    <s v="Pedro Valencia"/>
    <s v="Descalificados por no asistir Visita a Terreno"/>
    <x v="4"/>
    <m/>
    <d v="2016-02-16T00:00:00"/>
    <m/>
    <m/>
    <m/>
    <m/>
    <m/>
    <m/>
    <m/>
    <x v="6"/>
  </r>
  <r>
    <s v="O-506"/>
    <d v="2016-01-25T00:00:00"/>
    <x v="144"/>
    <s v="SUEZ"/>
    <s v="Juan Coeymans"/>
    <m/>
    <s v="Pipeline Planta Desaladora Aguas Atacama"/>
    <x v="21"/>
    <s v="LM"/>
    <s v="NAC"/>
    <s v="Chile"/>
    <m/>
    <m/>
    <s v="CDM desistio de la Licitación"/>
    <x v="4"/>
    <m/>
    <d v="2016-02-16T00:00:00"/>
    <m/>
    <m/>
    <m/>
    <m/>
    <m/>
    <m/>
    <m/>
    <x v="6"/>
  </r>
  <r>
    <s v="O-505"/>
    <d v="2016-01-25T00:00:00"/>
    <x v="137"/>
    <s v="Codelco TENIENTE"/>
    <s v="Catalán Hraste/German Vivanco/José Arroyo S/Alejandro Keller"/>
    <s v="acatalan@kdmenergia.cl / german.vivanco@kdmenergia.cl / jarroyos@kdmenergia.cl / akeller@kdmenergia.cl"/>
    <s v="ID Minicentral Hidrolectrica Canal de Relave "/>
    <x v="1"/>
    <s v="LM"/>
    <s v="NAC"/>
    <s v="Chile"/>
    <d v="2016-02-05T00:00:00"/>
    <s v="Pedro Valencia"/>
    <s v="Revisión 1"/>
    <x v="5"/>
    <m/>
    <d v="2016-02-16T00:00:00"/>
    <n v="3121"/>
    <n v="137.16480000000001"/>
    <n v="43948.990708106379"/>
    <s v="SH-0131"/>
    <m/>
    <m/>
    <m/>
    <x v="6"/>
  </r>
  <r>
    <s v="O-504"/>
    <d v="2016-01-19T00:00:00"/>
    <x v="146"/>
    <s v="Codelco División Norte"/>
    <s v="Braulio Bascuñán Aróstica"/>
    <s v="bbascuna@codelco.cl"/>
    <s v="ID En Sistemas Varios Recursos Hidricos Distrito Norte"/>
    <x v="1"/>
    <s v="LM"/>
    <s v="NAC"/>
    <s v="Chile"/>
    <d v="2016-02-22T00:00:00"/>
    <m/>
    <s v="Adjudicado a FDA (22% más barato que SHIMIN)"/>
    <x v="3"/>
    <m/>
    <d v="2016-02-16T00:00:00"/>
    <n v="4112"/>
    <n v="138.56755899999999"/>
    <n v="33698.336332684819"/>
    <m/>
    <m/>
    <m/>
    <m/>
    <x v="6"/>
  </r>
  <r>
    <s v="O-503"/>
    <d v="2016-01-18T00:00:00"/>
    <x v="147"/>
    <s v="CODELCO"/>
    <s v="Guillermo Coloma / William Arancibia"/>
    <m/>
    <s v="Reingenieria Loop de Cal"/>
    <x v="0"/>
    <s v="LM"/>
    <s v="NAC"/>
    <s v="Chile"/>
    <d v="2016-01-18T00:00:00"/>
    <s v="Pedro Valencia"/>
    <m/>
    <x v="3"/>
    <m/>
    <d v="2016-01-21T00:00:00"/>
    <n v="206"/>
    <n v="9.8303999999999991"/>
    <n v="47720.388349514556"/>
    <m/>
    <m/>
    <m/>
    <m/>
    <x v="6"/>
  </r>
  <r>
    <s v="O-502"/>
    <d v="2016-01-14T00:00:00"/>
    <x v="81"/>
    <m/>
    <s v="Rodrigo Herra"/>
    <s v="Rodrigo.herrera@solidsolutions.cl"/>
    <s v="Manejo Relaves y Aguas Espesamiento CMP"/>
    <x v="0"/>
    <s v="ND"/>
    <s v="NAC"/>
    <s v="Chile"/>
    <d v="2016-01-15T00:00:00"/>
    <s v="Pedro Valencia"/>
    <s v="Nula"/>
    <x v="4"/>
    <m/>
    <d v="2016-01-27T00:00:00"/>
    <n v="300"/>
    <n v="13.055999999999999"/>
    <n v="43519.999999999993"/>
    <m/>
    <m/>
    <m/>
    <m/>
    <x v="6"/>
  </r>
  <r>
    <s v="O-501"/>
    <d v="2016-01-13T00:00:00"/>
    <x v="118"/>
    <s v="ENAP"/>
    <s v="Pablo Morales"/>
    <s v="pemorales@enap.cl"/>
    <s v="Gasoducto Central Nueva Era"/>
    <x v="2"/>
    <s v="ND"/>
    <s v="NAC"/>
    <s v="Chile"/>
    <d v="2016-01-18T00:00:00"/>
    <s v="Claudio Muñoz"/>
    <s v="Propuesta desierta por Comunidad"/>
    <x v="4"/>
    <m/>
    <d v="2016-01-27T00:00:00"/>
    <n v="741"/>
    <n v="35.200000000000003"/>
    <n v="47503.373819163295"/>
    <m/>
    <m/>
    <m/>
    <m/>
    <x v="6"/>
  </r>
  <r>
    <s v="O-500"/>
    <d v="2016-01-07T00:00:00"/>
    <x v="29"/>
    <s v="SQM"/>
    <s v="Davor Versalovic"/>
    <s v="Davor.Versalovic@sqm.com"/>
    <s v="Ingeniería Básica Taller de Camiones COP5"/>
    <x v="5"/>
    <s v="LM"/>
    <s v="NAC"/>
    <s v="Chile"/>
    <d v="2016-01-27T00:00:00"/>
    <s v="Claudio Muñoz"/>
    <m/>
    <x v="3"/>
    <m/>
    <d v="2016-02-23T00:00:00"/>
    <n v="5413"/>
    <n v="140.22246000000001"/>
    <n v="25904.758913726215"/>
    <m/>
    <m/>
    <m/>
    <m/>
    <x v="6"/>
  </r>
  <r>
    <s v="O-499"/>
    <d v="2016-01-07T00:00:00"/>
    <x v="29"/>
    <s v="SQM"/>
    <s v="Davor Versalovic"/>
    <s v="Davor.Versalovic@sqm.com"/>
    <s v="ID Sistema de Extracción de Gases Planta de Yodo NV - SQM"/>
    <x v="1"/>
    <s v="LM"/>
    <s v="NAC"/>
    <s v="Chile"/>
    <d v="2016-01-27T00:00:00"/>
    <s v="Carlos Umaña"/>
    <m/>
    <x v="3"/>
    <m/>
    <d v="2016-02-23T00:00:00"/>
    <n v="8279"/>
    <n v="162.94646399999999"/>
    <n v="19681.901678946731"/>
    <m/>
    <m/>
    <m/>
    <m/>
    <x v="6"/>
  </r>
  <r>
    <s v="O-498"/>
    <d v="2016-01-06T00:00:00"/>
    <x v="29"/>
    <s v="SQM"/>
    <s v="Davor Versalovic"/>
    <s v="Davor.Versalovic@sqm.com"/>
    <s v="ID Proyecto NK - Pedro de Valdivia"/>
    <x v="1"/>
    <s v="LM"/>
    <s v="NAC"/>
    <s v="Chile"/>
    <d v="2016-02-15T00:00:00"/>
    <s v="Mario Arredondo"/>
    <m/>
    <x v="5"/>
    <m/>
    <d v="2016-04-21T00:00:00"/>
    <n v="22995"/>
    <n v="624.14921400000003"/>
    <n v="27142.822961513371"/>
    <s v="SH-0133"/>
    <m/>
    <m/>
    <m/>
    <x v="6"/>
  </r>
  <r>
    <s v="O-497"/>
    <d v="2016-01-06T00:00:00"/>
    <x v="29"/>
    <s v="SQM"/>
    <s v="Davor Versalovic"/>
    <s v="Davor.Versalovic@sqm.com"/>
    <s v="Levantamiento Multidiscipinario Planta de Cristal Pedro de Valdivia"/>
    <x v="11"/>
    <s v="LM"/>
    <s v="NAC"/>
    <s v="Chile"/>
    <d v="2016-01-12T00:00:00"/>
    <s v="Mario Arredondo"/>
    <m/>
    <x v="5"/>
    <m/>
    <d v="2016-01-13T00:00:00"/>
    <n v="2309"/>
    <n v="79.181700000000006"/>
    <n v="34292.637505413601"/>
    <s v="SH-0129"/>
    <m/>
    <m/>
    <m/>
    <x v="6"/>
  </r>
  <r>
    <s v="O-496"/>
    <d v="2016-01-04T00:00:00"/>
    <x v="147"/>
    <s v="SIBELCO"/>
    <s v="Guillermo Coloma"/>
    <s v="gcoloma@sibelcosam.com"/>
    <s v="Ingeniería Básica Avanzada Silos de Cal Molida"/>
    <x v="5"/>
    <s v="ND"/>
    <s v="NAC"/>
    <s v="Chile"/>
    <d v="2016-02-12T00:00:00"/>
    <s v="Claudio Muñoz"/>
    <m/>
    <x v="3"/>
    <m/>
    <d v="2016-01-13T00:00:00"/>
    <n v="2694"/>
    <n v="63.1449"/>
    <n v="23439.086859688196"/>
    <m/>
    <m/>
    <m/>
    <m/>
    <x v="6"/>
  </r>
  <r>
    <s v="O-495"/>
    <d v="2015-12-28T00:00:00"/>
    <x v="22"/>
    <s v="Centinela"/>
    <s v="Mauricio Villanueva"/>
    <s v="mvillanueva@mineracentinela.cl"/>
    <s v="Aseguramiento de Integridad Concentraducto Tramo_x000a_Estación de Bombeo – Estación de Válvulas 1 (EV-1)."/>
    <x v="6"/>
    <s v="ND"/>
    <s v="NAC"/>
    <s v="Chile"/>
    <d v="2016-01-08T00:00:00"/>
    <s v="Claudio Muñoz"/>
    <m/>
    <x v="3"/>
    <m/>
    <d v="2016-01-19T00:00:00"/>
    <n v="500"/>
    <n v="25.9072"/>
    <n v="51814.399999999994"/>
    <m/>
    <m/>
    <m/>
    <m/>
    <x v="7"/>
  </r>
  <r>
    <s v="O-494"/>
    <d v="2015-12-24T00:00:00"/>
    <x v="148"/>
    <s v="Guacolda"/>
    <m/>
    <m/>
    <s v="Respaldo Sistema Molienda"/>
    <x v="0"/>
    <s v="ND"/>
    <s v="NAC"/>
    <s v="Chile"/>
    <d v="2016-01-07T00:00:00"/>
    <s v="Claudio Muñoz"/>
    <m/>
    <x v="3"/>
    <m/>
    <d v="2016-04-21T00:00:00"/>
    <m/>
    <m/>
    <m/>
    <m/>
    <m/>
    <m/>
    <m/>
    <x v="7"/>
  </r>
  <r>
    <s v="O-493"/>
    <d v="2015-12-24T00:00:00"/>
    <x v="23"/>
    <s v="Caserones"/>
    <s v="Vicente Salinas"/>
    <m/>
    <s v="Actualizacion Plan Maestro de Aguas (Incluyendo SAF)"/>
    <x v="1"/>
    <s v="ND"/>
    <s v="NAC"/>
    <s v="Chile"/>
    <d v="2016-01-04T00:00:00"/>
    <s v="Pedro Valencia"/>
    <s v="Informe 003 emitido por la OS37 (aprox. 90 hh (PV/JC/MA)"/>
    <x v="3"/>
    <m/>
    <d v="2016-04-21T00:00:00"/>
    <m/>
    <m/>
    <m/>
    <m/>
    <m/>
    <m/>
    <m/>
    <x v="7"/>
  </r>
  <r>
    <s v="O-492"/>
    <d v="2015-12-24T00:00:00"/>
    <x v="23"/>
    <s v="Caserones"/>
    <s v="Vicente Salinas"/>
    <m/>
    <s v="Ingeniería General Rediseño Impulsión y Conduccion de los derammes en Planta de Filtrado"/>
    <x v="1"/>
    <s v="ND"/>
    <s v="NAC"/>
    <s v="Chile"/>
    <d v="2016-01-08T00:00:00"/>
    <s v="Mario Arredondo"/>
    <s v="Revisión 1."/>
    <x v="3"/>
    <m/>
    <d v="2016-01-08T00:00:00"/>
    <n v="653"/>
    <n v="23.142399999999999"/>
    <n v="35440.122511485446"/>
    <m/>
    <m/>
    <m/>
    <m/>
    <x v="7"/>
  </r>
  <r>
    <s v="O-491"/>
    <d v="2015-12-24T00:00:00"/>
    <x v="23"/>
    <s v="Caserones"/>
    <s v="Vicente Salinas"/>
    <m/>
    <s v="Ingeniería Detalles Instalación Filtros Autolimpiantes Pozos el Fuerte y Nilahue"/>
    <x v="1"/>
    <s v="ND"/>
    <s v="NAC"/>
    <s v="Chile"/>
    <d v="2016-01-08T00:00:00"/>
    <s v="José Gallardo"/>
    <s v="Revisión 1."/>
    <x v="3"/>
    <m/>
    <d v="2016-01-08T00:00:00"/>
    <n v="484"/>
    <n v="16.896000000000001"/>
    <n v="34909.090909090912"/>
    <m/>
    <m/>
    <m/>
    <m/>
    <x v="7"/>
  </r>
  <r>
    <s v="O-490"/>
    <d v="2015-12-23T00:00:00"/>
    <x v="23"/>
    <s v="Caserones"/>
    <s v="Vicente Salinas"/>
    <m/>
    <s v="Extension Respuestas Técnicas"/>
    <x v="1"/>
    <s v="ND"/>
    <s v="NAC"/>
    <s v="Chile"/>
    <d v="2016-01-04T00:00:00"/>
    <s v="Pedro Valencia"/>
    <s v="Para revisión."/>
    <x v="5"/>
    <m/>
    <d v="2015-12-28T00:00:00"/>
    <n v="330"/>
    <n v="11.443199999999999"/>
    <n v="34676.36363636364"/>
    <s v="SH0113-OS45"/>
    <m/>
    <m/>
    <m/>
    <x v="7"/>
  </r>
  <r>
    <s v="O-489"/>
    <d v="2015-12-22T00:00:00"/>
    <x v="109"/>
    <s v="GLEMANS"/>
    <s v="Juan Manuel Silva"/>
    <m/>
    <s v="Adquisicion y Montaje Tuberia Flexible - GEOPARK "/>
    <x v="0"/>
    <s v="ND"/>
    <s v="NAC"/>
    <s v="Chile"/>
    <m/>
    <s v="Claudio Muñoz"/>
    <s v="Depende de Punta Arenas."/>
    <x v="3"/>
    <m/>
    <d v="2016-04-21T00:00:00"/>
    <m/>
    <m/>
    <m/>
    <m/>
    <m/>
    <m/>
    <m/>
    <x v="7"/>
  </r>
  <r>
    <s v="O-481"/>
    <d v="2015-12-21T00:00:00"/>
    <x v="149"/>
    <s v="CAP"/>
    <m/>
    <m/>
    <s v="Edificio de Almacenamiento Concentrado de Cobre Punta Totoralillo"/>
    <x v="1"/>
    <s v="LM"/>
    <s v="NAC"/>
    <s v="Chile"/>
    <d v="2015-12-21T00:00:00"/>
    <s v="Claudio Muñoz"/>
    <s v="Nula"/>
    <x v="4"/>
    <m/>
    <d v="2016-04-21T00:00:00"/>
    <m/>
    <m/>
    <m/>
    <m/>
    <m/>
    <m/>
    <m/>
    <x v="7"/>
  </r>
  <r>
    <s v="O-487"/>
    <d v="2015-12-10T00:00:00"/>
    <x v="105"/>
    <s v="LAS BAMBAS"/>
    <s v="Jorge Agustini"/>
    <s v="Jorge.Agustini@mmg.com"/>
    <s v="Curso Hidráulica de Pulpa - LAS BAMBAS"/>
    <x v="0"/>
    <s v="ND"/>
    <s v="INT"/>
    <s v="Perú"/>
    <d v="2015-12-10T00:00:00"/>
    <s v="Pedro Valencia"/>
    <m/>
    <x v="3"/>
    <m/>
    <d v="2015-12-10T00:00:00"/>
    <n v="77"/>
    <n v="6.5"/>
    <n v="84415.58441558441"/>
    <m/>
    <m/>
    <m/>
    <m/>
    <x v="7"/>
  </r>
  <r>
    <s v="O-486"/>
    <d v="2015-12-09T00:00:00"/>
    <x v="105"/>
    <s v="LAS BAMBAS"/>
    <s v="Jorge Agustini"/>
    <s v="Jorge.Agustini@mmg.com"/>
    <s v="Extensión Acompañamiento Operacional Experto durante el_x000a_Comisionamiento, Start Up y Ramp Up de los sistemas de Relaves y Aguas Las Bambas."/>
    <x v="4"/>
    <s v="ND"/>
    <s v="INT"/>
    <s v="Perú"/>
    <d v="2015-12-09T00:00:00"/>
    <s v="Pedro Valencia"/>
    <m/>
    <x v="5"/>
    <m/>
    <d v="2015-12-10T00:00:00"/>
    <n v="744"/>
    <n v="43.758000000000003"/>
    <n v="58814.516129032265"/>
    <s v="SH-0124"/>
    <m/>
    <m/>
    <m/>
    <x v="7"/>
  </r>
  <r>
    <s v="O-488"/>
    <d v="2015-12-09T00:00:00"/>
    <x v="150"/>
    <s v="G Proyectos - Codelco"/>
    <m/>
    <m/>
    <s v="Ingeniería de Detalles - Terreno - Habilitacion Transitoria Tranque Talable - MN"/>
    <x v="1"/>
    <s v="LM"/>
    <s v="NAC"/>
    <s v="Chile"/>
    <d v="2015-12-18T00:00:00"/>
    <s v="Mario Arredondo"/>
    <m/>
    <x v="3"/>
    <m/>
    <d v="2015-12-28T00:00:00"/>
    <n v="1056"/>
    <n v="40.825499999999998"/>
    <n v="38660.51136363636"/>
    <m/>
    <m/>
    <m/>
    <m/>
    <x v="7"/>
  </r>
  <r>
    <s v="O-485"/>
    <d v="2015-12-09T00:00:00"/>
    <x v="23"/>
    <s v="Caserones"/>
    <s v="Vicente Salinas"/>
    <s v="vsalinas@caserones.cl "/>
    <s v="Rediseño en Alimentación a Espesadores Relaves"/>
    <x v="1"/>
    <s v="ND"/>
    <s v="NAC"/>
    <s v="Chile"/>
    <d v="2015-12-09T00:00:00"/>
    <s v="Mario Arredondo"/>
    <m/>
    <x v="5"/>
    <m/>
    <d v="2015-12-10T00:00:00"/>
    <n v="350"/>
    <n v="11.020799999999999"/>
    <n v="31487.999999999996"/>
    <s v="SH0113-OS46"/>
    <m/>
    <m/>
    <m/>
    <x v="7"/>
  </r>
  <r>
    <s v="O-484"/>
    <d v="2015-12-07T00:00:00"/>
    <x v="151"/>
    <s v="Empírica Consultores"/>
    <s v="Francisco Soto"/>
    <s v="Francisco.soto@empiricaconsultores.cl"/>
    <s v="Selección de Alternativa e Ingeniería de Perfil Concentrador RT"/>
    <x v="27"/>
    <s v="ND"/>
    <s v="NAC"/>
    <s v="Chile"/>
    <d v="2015-12-07T00:00:00"/>
    <s v="Mario Arredondo"/>
    <m/>
    <x v="3"/>
    <n v="0.05"/>
    <d v="2015-12-10T00:00:00"/>
    <n v="2908"/>
    <n v="134.316"/>
    <n v="46188.445667125176"/>
    <m/>
    <m/>
    <m/>
    <m/>
    <x v="7"/>
  </r>
  <r>
    <s v="O-483"/>
    <d v="2015-12-01T00:00:00"/>
    <x v="29"/>
    <s v="SQM"/>
    <s v="Davor Versalovic"/>
    <s v="Davor.Versalovic@sqm.com"/>
    <s v="Ingeniería de Detalle para Recuperación Muelle N°5 -  Puerto Tocopilla SQM"/>
    <x v="1"/>
    <s v="LM"/>
    <s v="NAC"/>
    <s v="Chile"/>
    <d v="2015-12-21T00:00:00"/>
    <s v="Claudio Muñoz"/>
    <m/>
    <x v="3"/>
    <m/>
    <d v="2016-05-18T00:00:00"/>
    <n v="1582"/>
    <n v="66.248999999999995"/>
    <n v="41876.738305941843"/>
    <m/>
    <m/>
    <m/>
    <m/>
    <x v="7"/>
  </r>
  <r>
    <s v="O-482"/>
    <d v="2015-12-01T00:00:00"/>
    <x v="29"/>
    <s v="SQM"/>
    <s v="Davor Versalovic"/>
    <s v="Davor.Versalovic@sqm.com"/>
    <s v="Ingeniería Conceptual Espesador Hidrodinámico Planta ATM"/>
    <x v="2"/>
    <s v="LM"/>
    <s v="NAC"/>
    <s v="Chile"/>
    <d v="2015-12-28T00:00:00"/>
    <s v="José Gallardo"/>
    <m/>
    <x v="3"/>
    <m/>
    <d v="2015-12-28T00:00:00"/>
    <n v="1769"/>
    <n v="57.44"/>
    <n v="32470.322215941203"/>
    <m/>
    <m/>
    <m/>
    <m/>
    <x v="7"/>
  </r>
  <r>
    <s v="O-469"/>
    <d v="2015-12-01T00:00:00"/>
    <x v="100"/>
    <s v="Codelco CHUQUI"/>
    <s v="Rafael Rodriguez"/>
    <m/>
    <s v="ID Reemplazo Líneas Colectoras y Aducción Inacaliri en Sector Ojos de San Pedro"/>
    <x v="1"/>
    <s v="LM"/>
    <s v="NAC"/>
    <s v="Chile"/>
    <d v="2015-11-24T00:00:00"/>
    <s v="Claudio Muñoz"/>
    <m/>
    <x v="3"/>
    <m/>
    <d v="2015-12-16T00:00:00"/>
    <n v="5606"/>
    <n v="138.62"/>
    <n v="24727.078130574384"/>
    <m/>
    <m/>
    <m/>
    <m/>
    <x v="7"/>
  </r>
  <r>
    <s v="O-480"/>
    <d v="2015-11-25T00:00:00"/>
    <x v="151"/>
    <s v="Empírica Consultores"/>
    <s v="Francisco Soto"/>
    <s v="Francisco.soto@empiricaconsultores.cl"/>
    <s v="Apoyo Especializado para Comisionamiento Planta Oxidos"/>
    <x v="4"/>
    <s v="ND"/>
    <s v="NAC"/>
    <s v="Chile"/>
    <d v="2015-11-25T00:00:00"/>
    <s v="Mario Arredondo"/>
    <m/>
    <x v="3"/>
    <n v="0.05"/>
    <d v="2015-12-10T00:00:00"/>
    <n v="10890"/>
    <n v="528.37440000000004"/>
    <n v="48519.228650137746"/>
    <m/>
    <m/>
    <m/>
    <m/>
    <x v="7"/>
  </r>
  <r>
    <s v="O-479"/>
    <d v="2015-11-25T00:00:00"/>
    <x v="152"/>
    <s v="Besalco Ingeniería"/>
    <s v="Alejandro Hevia"/>
    <s v="ahevia@besalcomd.cl"/>
    <s v="Diseño Conceptual y Detalles Bypass Temporales Pascua Lama"/>
    <x v="15"/>
    <s v="ND"/>
    <s v="NAC"/>
    <s v="Chile"/>
    <d v="2015-11-25T00:00:00"/>
    <s v="Claudio Muñoz"/>
    <m/>
    <x v="3"/>
    <m/>
    <d v="2015-12-10T00:00:00"/>
    <n v="629"/>
    <n v="25.9038"/>
    <n v="41182.511923688391"/>
    <m/>
    <m/>
    <m/>
    <m/>
    <x v="7"/>
  </r>
  <r>
    <s v="O-478"/>
    <d v="2015-11-25T00:00:00"/>
    <x v="105"/>
    <s v="LAS BAMBAS"/>
    <s v="Jorge Agustini"/>
    <s v="Jorge.Agustini@mmg.com"/>
    <s v="Estudio de Análisis de Flexibilidad Sistema Underflow de Relaves"/>
    <x v="10"/>
    <s v="ND"/>
    <s v="INT"/>
    <s v="Perú"/>
    <d v="2015-11-25T00:00:00"/>
    <s v="Pedro Valencia"/>
    <m/>
    <x v="3"/>
    <m/>
    <d v="2015-12-10T00:00:00"/>
    <n v="153"/>
    <n v="6.5"/>
    <n v="42483.660130718956"/>
    <m/>
    <m/>
    <m/>
    <m/>
    <x v="7"/>
  </r>
  <r>
    <s v="O-471"/>
    <d v="2015-11-24T00:00:00"/>
    <x v="23"/>
    <s v="Caserones"/>
    <s v="Vicente Salinas"/>
    <m/>
    <s v="Saneamiento Aguas Lluvias "/>
    <x v="1"/>
    <s v="ND"/>
    <s v="NAC"/>
    <s v="Chile"/>
    <d v="2015-11-24T00:00:00"/>
    <s v="Claudio Muñoz"/>
    <m/>
    <x v="3"/>
    <m/>
    <d v="2016-04-21T00:00:00"/>
    <n v="1013"/>
    <n v="28.5852"/>
    <n v="28218.361303060217"/>
    <m/>
    <m/>
    <m/>
    <m/>
    <x v="7"/>
  </r>
  <r>
    <s v="O-477"/>
    <d v="2015-11-23T00:00:00"/>
    <x v="153"/>
    <s v="Aguas del Valle"/>
    <s v="Juan Eduardo Coeymans"/>
    <m/>
    <s v="Estudio Conducción Agua Potabla El Peñon"/>
    <x v="5"/>
    <s v="LM"/>
    <s v="NAC"/>
    <s v="Chile"/>
    <d v="2015-11-30T00:00:00"/>
    <s v="Mario Arredondo"/>
    <s v="Nula"/>
    <x v="4"/>
    <m/>
    <d v="2015-11-23T00:00:00"/>
    <m/>
    <m/>
    <m/>
    <m/>
    <m/>
    <m/>
    <m/>
    <x v="7"/>
  </r>
  <r>
    <s v="O-476"/>
    <d v="2015-11-23T00:00:00"/>
    <x v="29"/>
    <s v="SQM"/>
    <s v="Davor Versalovic"/>
    <s v="Davor.Versalovic@sqm.com"/>
    <s v="ID Modificacion Cristalizador A3210"/>
    <x v="1"/>
    <s v="LM"/>
    <s v="NAC"/>
    <s v="Chile"/>
    <d v="2015-12-01T00:00:00"/>
    <s v="Daniel Morales"/>
    <m/>
    <x v="3"/>
    <m/>
    <d v="2015-12-28T00:00:00"/>
    <n v="605"/>
    <n v="22.496207999999999"/>
    <n v="37183.814876033051"/>
    <m/>
    <m/>
    <m/>
    <m/>
    <x v="7"/>
  </r>
  <r>
    <s v="O-474"/>
    <d v="2015-11-16T00:00:00"/>
    <x v="22"/>
    <s v="Centinela"/>
    <s v="Pablo Cheng De Filipis"/>
    <s v="pcheng@mineracentinela.cl"/>
    <s v="Estudio Hidráulico Linea PLS ROM"/>
    <x v="10"/>
    <s v="ND"/>
    <s v="NAC"/>
    <s v="Chile"/>
    <d v="2015-11-16T00:00:00"/>
    <s v="Pedro Valencia"/>
    <m/>
    <x v="5"/>
    <m/>
    <d v="2015-11-18T00:00:00"/>
    <n v="663"/>
    <n v="29.8644"/>
    <n v="45044.343891402714"/>
    <s v="SH-0127"/>
    <m/>
    <m/>
    <m/>
    <x v="7"/>
  </r>
  <r>
    <s v="O-475"/>
    <d v="2015-11-15T00:00:00"/>
    <x v="23"/>
    <s v="Caserones"/>
    <s v="Vicente Salinas"/>
    <s v="vsalinas@caserones.cl "/>
    <s v="Nueva Conduccion Pozos P7-P9 a EB4 "/>
    <x v="1"/>
    <s v="ND"/>
    <s v="NAC"/>
    <s v="Chile"/>
    <d v="2015-11-26T00:00:00"/>
    <s v="José Gallardo"/>
    <s v="JG prepara Oferta"/>
    <x v="5"/>
    <m/>
    <d v="2015-11-23T00:00:00"/>
    <n v="463"/>
    <n v="16.039200000000001"/>
    <n v="34641.900647948161"/>
    <s v="SH0113-OS44"/>
    <m/>
    <m/>
    <m/>
    <x v="7"/>
  </r>
  <r>
    <s v="O-473"/>
    <d v="2015-11-12T00:00:00"/>
    <x v="154"/>
    <s v="Southern Perú Copper Corporation"/>
    <s v="Silvia Lagos"/>
    <s v="silvia.lagos@edoctum.com"/>
    <s v="Curso Básico de Flotación"/>
    <x v="4"/>
    <s v="ND"/>
    <s v="INT"/>
    <s v="Perú"/>
    <d v="2015-11-12T00:00:00"/>
    <s v="Mario Arredondo"/>
    <m/>
    <x v="3"/>
    <m/>
    <d v="2015-11-12T00:00:00"/>
    <n v="144"/>
    <n v="4.84"/>
    <n v="33611.111111111109"/>
    <m/>
    <m/>
    <m/>
    <m/>
    <x v="7"/>
  </r>
  <r>
    <s v="O-472"/>
    <d v="2015-11-11T00:00:00"/>
    <x v="155"/>
    <s v="Copper Bay"/>
    <s v="Alejandro Lillo"/>
    <m/>
    <s v="Apoyo a Metalex para Proyecto Copper Bay"/>
    <x v="5"/>
    <s v="ND"/>
    <s v="NAC"/>
    <s v="Chile"/>
    <d v="2015-11-27T00:00:00"/>
    <s v="David Ceron"/>
    <s v="PV llamara."/>
    <x v="3"/>
    <n v="0.01"/>
    <d v="2017-05-31T00:00:00"/>
    <n v="3755"/>
    <n v="136.38239999999999"/>
    <n v="36320.213049267644"/>
    <m/>
    <m/>
    <m/>
    <m/>
    <x v="7"/>
  </r>
  <r>
    <s v="O-470"/>
    <d v="2015-11-10T00:00:00"/>
    <x v="23"/>
    <s v="Caserones"/>
    <s v="Vicente Salinas"/>
    <s v="vsalinas@caserones.cl "/>
    <s v="ID Habilitación y Mejoramiento Servicios Higiénicos Sector Plantas.    ID Portones Stock Pile"/>
    <x v="1"/>
    <s v="ND"/>
    <s v="NAC"/>
    <s v="Chile"/>
    <d v="2015-11-10T00:00:00"/>
    <s v="Claudio Muñoz"/>
    <s v="Preguntar a VS /o CF"/>
    <x v="3"/>
    <m/>
    <d v="2015-11-10T00:00:00"/>
    <n v="1714"/>
    <n v="54.612000000000002"/>
    <n v="31862.310385064178"/>
    <m/>
    <m/>
    <m/>
    <m/>
    <x v="7"/>
  </r>
  <r>
    <s v="O-468"/>
    <d v="2015-10-30T00:00:00"/>
    <x v="23"/>
    <s v="Caserones"/>
    <s v="Vicente Salinas"/>
    <s v="vsalinas@caserones.cl "/>
    <s v="Ampliación Planta de Cal"/>
    <x v="1"/>
    <s v="ND"/>
    <s v="NAC"/>
    <s v="Chile"/>
    <d v="2015-11-09T00:00:00"/>
    <s v="Mario Arredondo"/>
    <m/>
    <x v="5"/>
    <m/>
    <d v="2015-11-10T00:00:00"/>
    <n v="2759"/>
    <n v="96.874799999999993"/>
    <n v="35112.287060529176"/>
    <s v="SH0113-OS43"/>
    <m/>
    <m/>
    <m/>
    <x v="7"/>
  </r>
  <r>
    <s v="O-467"/>
    <d v="2015-10-29T00:00:00"/>
    <x v="156"/>
    <s v="Dessau Chile"/>
    <s v="Gustavo Baeza T."/>
    <m/>
    <s v="Estudio Hidrológico e Hidráulico Río Maipo Ruta 5"/>
    <x v="10"/>
    <s v="ND"/>
    <s v="NAC"/>
    <s v="Chile"/>
    <d v="2015-10-29T00:00:00"/>
    <s v="Pedro Valencia"/>
    <s v="PV llamara."/>
    <x v="3"/>
    <m/>
    <d v="2015-11-06T00:00:00"/>
    <n v="155"/>
    <n v="5.2889999999999997"/>
    <n v="34122.580645161288"/>
    <m/>
    <m/>
    <m/>
    <m/>
    <x v="7"/>
  </r>
  <r>
    <s v="O-465"/>
    <d v="2015-10-21T00:00:00"/>
    <x v="105"/>
    <s v="LAS BAMBAS"/>
    <s v="Jorge Agustini"/>
    <s v="Jorge.Agustini@mmg.com"/>
    <s v="Ingeniería de Detalle conducción de Agua 5 Nuevos Pozos hasta TK EB2 Sistema de Agua LAS BAMBAS"/>
    <x v="5"/>
    <s v="ND"/>
    <s v="INT"/>
    <s v="Perú"/>
    <d v="2015-10-21T00:00:00"/>
    <s v="Pedro Valencia"/>
    <m/>
    <x v="3"/>
    <m/>
    <d v="2015-10-16T00:00:00"/>
    <n v="1336"/>
    <n v="60.118499999999997"/>
    <n v="44998.877245508978"/>
    <m/>
    <m/>
    <m/>
    <m/>
    <x v="7"/>
  </r>
  <r>
    <s v="O-464"/>
    <d v="2015-10-19T00:00:00"/>
    <x v="157"/>
    <s v="Atacama Kozan"/>
    <s v="Yanine Robledo"/>
    <m/>
    <s v="Expansión Tranque de Relaves El Gato"/>
    <x v="0"/>
    <s v="ND"/>
    <s v="NAC"/>
    <s v="Chile"/>
    <d v="2015-11-24T00:00:00"/>
    <s v="Claudio Muñoz"/>
    <s v="CM contactará."/>
    <x v="3"/>
    <m/>
    <d v="2015-11-24T00:00:00"/>
    <n v="332"/>
    <n v="13.0626"/>
    <n v="39345.180722891564"/>
    <m/>
    <m/>
    <m/>
    <m/>
    <x v="7"/>
  </r>
  <r>
    <s v="O-463"/>
    <d v="2015-10-16T00:00:00"/>
    <x v="18"/>
    <s v="Aguas CAP"/>
    <s v="Denise Concha"/>
    <s v="dconcha@aguascap.cl"/>
    <s v="Contrato Marco para Ingenierías Multidisciplinarias"/>
    <x v="0"/>
    <s v="ND"/>
    <s v="NAC"/>
    <s v="Chile"/>
    <d v="2015-10-16T00:00:00"/>
    <s v="Pedro Valencia"/>
    <s v="Consultar en Diciembre"/>
    <x v="3"/>
    <m/>
    <d v="2015-10-16T00:00:00"/>
    <n v="24000"/>
    <n v="762.048"/>
    <n v="31752.000000000004"/>
    <m/>
    <m/>
    <m/>
    <m/>
    <x v="7"/>
  </r>
  <r>
    <s v="O-440"/>
    <d v="2015-10-15T00:00:00"/>
    <x v="23"/>
    <s v="Caserones"/>
    <s v="Vicente Salinas"/>
    <s v="vsalinas@caserones.cl "/>
    <s v="Actualizacion Cuarta Linea para 3000 TPH"/>
    <x v="1"/>
    <s v="ND"/>
    <s v="NAC"/>
    <s v="Chile"/>
    <d v="2015-10-15T00:00:00"/>
    <s v="Pedro Valencia"/>
    <m/>
    <x v="5"/>
    <m/>
    <d v="2015-08-17T00:00:00"/>
    <n v="400"/>
    <n v="13.776"/>
    <n v="34440"/>
    <s v="SH0113-OS36"/>
    <m/>
    <m/>
    <m/>
    <x v="7"/>
  </r>
  <r>
    <s v="O-466"/>
    <d v="2015-10-13T00:00:00"/>
    <x v="23"/>
    <s v="Caserones"/>
    <s v="Vicente Salinas"/>
    <s v="vsalinas@caserones.cl "/>
    <s v="Limpieza Piscina Agua Recuperada"/>
    <x v="1"/>
    <s v="ND"/>
    <s v="NAC"/>
    <s v="Chile"/>
    <m/>
    <s v="Pedro Valencia"/>
    <m/>
    <x v="5"/>
    <m/>
    <d v="2015-10-27T00:00:00"/>
    <n v="110"/>
    <n v="4.6740000000000004"/>
    <n v="42490.909090909096"/>
    <s v="SH0113-OS42"/>
    <m/>
    <m/>
    <m/>
    <x v="7"/>
  </r>
  <r>
    <s v="O-460"/>
    <d v="2015-10-13T00:00:00"/>
    <x v="23"/>
    <s v="Caserones"/>
    <s v="Vicente Salinas"/>
    <s v="vsalinas@caserones.cl "/>
    <s v="Apoyo Proyectista Civil Santiago"/>
    <x v="4"/>
    <s v="ND"/>
    <s v="NAC"/>
    <s v="Chile"/>
    <d v="2015-10-13T00:00:00"/>
    <s v="Pedro Valencia"/>
    <s v="Actualización Rev. 2 Oferta - Extensión hasta enero 2016"/>
    <x v="5"/>
    <m/>
    <d v="2015-10-13T00:00:00"/>
    <n v="894"/>
    <n v="27.502800000000001"/>
    <n v="30763.758389261748"/>
    <s v="SH0113-OS41"/>
    <m/>
    <m/>
    <m/>
    <x v="7"/>
  </r>
  <r>
    <s v="O-459"/>
    <d v="2015-10-13T00:00:00"/>
    <x v="23"/>
    <s v="Caserones"/>
    <s v="Vicente Salinas"/>
    <s v="vsalinas@caserones.cl "/>
    <s v="Conexion Bomba EB6 AF - EB 6 Agua Recuperada"/>
    <x v="10"/>
    <s v="ND"/>
    <s v="NAC"/>
    <s v="Chile"/>
    <d v="2015-10-13T00:00:00"/>
    <s v="Pedro Valencia"/>
    <m/>
    <x v="5"/>
    <m/>
    <d v="2015-10-13T00:00:00"/>
    <n v="84"/>
    <n v="3.0011999999999999"/>
    <n v="35728.571428571428"/>
    <m/>
    <m/>
    <m/>
    <m/>
    <x v="7"/>
  </r>
  <r>
    <s v="O-458"/>
    <d v="2015-10-13T00:00:00"/>
    <x v="23"/>
    <s v="Caserones"/>
    <s v="Vicente Salinas"/>
    <s v="vsalinas@caserones.cl "/>
    <s v="Respuestas SDI Area Relaves"/>
    <x v="10"/>
    <s v="ND"/>
    <s v="NAC"/>
    <s v="Chile"/>
    <d v="2015-10-13T00:00:00"/>
    <s v="Pedro Valencia"/>
    <m/>
    <x v="5"/>
    <m/>
    <d v="2015-10-13T00:00:00"/>
    <n v="110"/>
    <n v="4.0590000000000002"/>
    <n v="36900"/>
    <s v="SH0113-OS37"/>
    <m/>
    <m/>
    <m/>
    <x v="7"/>
  </r>
  <r>
    <s v="O-462"/>
    <d v="2015-10-09T00:00:00"/>
    <x v="23"/>
    <s v="Caserones"/>
    <s v="Oscar Castro"/>
    <m/>
    <s v="Diagnóstico y Proposición de Soluciones Bombas Verticales Sentina- El Tambo"/>
    <x v="10"/>
    <s v="ND"/>
    <s v="NAC"/>
    <s v="Chile"/>
    <d v="2015-10-09T00:00:00"/>
    <s v="Pedro Valencia"/>
    <m/>
    <x v="3"/>
    <m/>
    <d v="2015-10-13T00:00:00"/>
    <n v="135"/>
    <n v="6.1007999999999996"/>
    <n v="45191.111111111102"/>
    <m/>
    <m/>
    <m/>
    <m/>
    <x v="7"/>
  </r>
  <r>
    <s v="O-461"/>
    <d v="2015-10-09T00:00:00"/>
    <x v="158"/>
    <s v="AXA Ingenieros"/>
    <s v="Guillermo Tamblay"/>
    <s v="gtamblayp@hotmail.com"/>
    <s v="Capacitación Proveedores Servicios Metalmecánicos "/>
    <x v="17"/>
    <s v="ND"/>
    <s v="NAC"/>
    <s v="Chile"/>
    <m/>
    <s v="Mario Arredondo"/>
    <m/>
    <x v="3"/>
    <n v="0"/>
    <d v="2015-10-13T00:00:00"/>
    <n v="390"/>
    <n v="16.063800000000001"/>
    <n v="41189.230769230773"/>
    <m/>
    <m/>
    <m/>
    <m/>
    <x v="7"/>
  </r>
  <r>
    <s v="O-457"/>
    <d v="2015-10-05T00:00:00"/>
    <x v="159"/>
    <s v="Minera Nyrstar El Toqui"/>
    <s v="Héctor R. Pavez Díaz"/>
    <s v="hector.pavez@nyrstar.com"/>
    <s v="Análisis de Diagnóstic y Mejoramiento del Sistema de Espesamiento de Relaves de Minera El Toqui"/>
    <x v="10"/>
    <s v="LM"/>
    <s v="NAC"/>
    <s v="Chile"/>
    <d v="2015-10-05T00:00:00"/>
    <s v="Mario Arredondo"/>
    <s v="Enviada revision 4, MA consultará."/>
    <x v="3"/>
    <m/>
    <d v="2016-04-21T00:00:00"/>
    <n v="224"/>
    <n v="9.4217999999999993"/>
    <n v="42061.607142857138"/>
    <m/>
    <m/>
    <m/>
    <m/>
    <x v="7"/>
  </r>
  <r>
    <s v="O-456"/>
    <d v="2015-09-29T00:00:00"/>
    <x v="100"/>
    <s v="R&amp;Q Ingeniería"/>
    <s v="Rodrigo Fernandez"/>
    <s v="rodrigo.fernandez@ryq.cl"/>
    <s v="Revisión Independiente Ingeniería Gasoducto - R&amp;Q Ingeniería"/>
    <x v="0"/>
    <s v="ND"/>
    <s v="NAC"/>
    <s v="Chile"/>
    <d v="2015-09-29T00:00:00"/>
    <s v="Claudio Muñoz"/>
    <s v="PV llamara."/>
    <x v="3"/>
    <m/>
    <d v="2015-10-07T00:00:00"/>
    <n v="180"/>
    <n v="0.94217999999999991"/>
    <n v="5234.333333333333"/>
    <m/>
    <m/>
    <m/>
    <m/>
    <x v="7"/>
  </r>
  <r>
    <s v="O-455"/>
    <d v="2015-09-29T00:00:00"/>
    <x v="23"/>
    <s v="Caserones"/>
    <s v="Christian Farias"/>
    <s v="cfarias@caserones.cl"/>
    <s v="Ingeniería de Detalles Plan Monitoreo Robusto Vialidad"/>
    <x v="1"/>
    <s v="ND"/>
    <s v="NAC"/>
    <s v="Chile"/>
    <d v="2015-09-29T00:00:00"/>
    <s v="Claudio Muñoz"/>
    <m/>
    <x v="5"/>
    <m/>
    <d v="2015-10-05T00:00:00"/>
    <n v="180"/>
    <n v="7.0754999999999999"/>
    <n v="39308.333333333336"/>
    <m/>
    <m/>
    <m/>
    <m/>
    <x v="7"/>
  </r>
  <r>
    <s v="O-453"/>
    <d v="2015-09-25T00:00:00"/>
    <x v="115"/>
    <s v="Sino Iron"/>
    <s v="Ling Cheng"/>
    <m/>
    <s v="Sino Iron Project-Tailings Pump Station/Fourth Pump"/>
    <x v="10"/>
    <s v="ND"/>
    <s v="NAC"/>
    <s v="Chile"/>
    <d v="2015-09-25T00:00:00"/>
    <s v="Pedro Valencia"/>
    <m/>
    <x v="5"/>
    <m/>
    <d v="2015-10-05T00:00:00"/>
    <n v="126"/>
    <n v="7.8"/>
    <n v="61904.761904761901"/>
    <m/>
    <m/>
    <m/>
    <m/>
    <x v="7"/>
  </r>
  <r>
    <s v="O-454"/>
    <d v="2015-09-25T00:00:00"/>
    <x v="157"/>
    <s v="Atacama Kozan"/>
    <s v="Yanine Robledo"/>
    <m/>
    <s v="Asesoría Experta Hidráulica y Civil "/>
    <x v="0"/>
    <s v="ND"/>
    <s v="NAC"/>
    <s v="Chile"/>
    <d v="2015-09-25T00:00:00"/>
    <s v="Pedro Valencia"/>
    <m/>
    <x v="5"/>
    <m/>
    <d v="2015-10-07T00:00:00"/>
    <n v="95"/>
    <n v="2.2749999999999999"/>
    <n v="23947.36842105263"/>
    <m/>
    <m/>
    <m/>
    <m/>
    <x v="7"/>
  </r>
  <r>
    <s v="O-443"/>
    <d v="2015-09-14T00:00:00"/>
    <x v="29"/>
    <s v="SQM"/>
    <m/>
    <m/>
    <s v="Ingenieria Basica Planta Yoduro Yodo"/>
    <x v="5"/>
    <s v="LM"/>
    <s v="NAC"/>
    <s v="Chile"/>
    <d v="2015-09-14T00:00:00"/>
    <s v="Pedro Valencia"/>
    <s v="Actualizar horas"/>
    <x v="3"/>
    <m/>
    <d v="2015-12-28T00:00:00"/>
    <n v="7115"/>
    <n v="233.92140000000001"/>
    <n v="32877.217146872805"/>
    <m/>
    <m/>
    <m/>
    <m/>
    <x v="7"/>
  </r>
  <r>
    <s v="O-452"/>
    <d v="2015-09-10T00:00:00"/>
    <x v="160"/>
    <s v="Codelco División Radomiro Tomic"/>
    <s v="Carlos Arellano"/>
    <m/>
    <s v="Estudio de Hidrología y Socavación Ingeniería de Detalles Sistema Impulsión RT"/>
    <x v="1"/>
    <s v="LM"/>
    <s v="NAC"/>
    <s v="Chile"/>
    <d v="2015-09-22T00:00:00"/>
    <s v="Lincoyán Hernández"/>
    <s v="Preguntar a Lincoyan"/>
    <x v="3"/>
    <m/>
    <d v="2015-09-23T00:00:00"/>
    <n v="730"/>
    <n v="25.416159"/>
    <n v="34816.656164383567"/>
    <m/>
    <m/>
    <m/>
    <m/>
    <x v="7"/>
  </r>
  <r>
    <s v="O-451"/>
    <d v="2015-09-10T00:00:00"/>
    <x v="76"/>
    <s v="Minera Cenizas de Cabildo "/>
    <s v="Sr Morandes (Cenizas) / Luis Rebolledo (Knight)"/>
    <m/>
    <s v="Diagnóstico y Alternativas Mejoramiento bombeo de relaves en pasta al depósito"/>
    <x v="10"/>
    <s v="LM"/>
    <s v="NAC"/>
    <s v="Chile"/>
    <d v="2015-09-16T00:00:00"/>
    <s v="Pedro Valencia"/>
    <m/>
    <x v="3"/>
    <m/>
    <d v="2015-09-11T00:00:00"/>
    <n v="500"/>
    <n v="20.7624"/>
    <n v="41524.800000000003"/>
    <m/>
    <m/>
    <m/>
    <m/>
    <x v="7"/>
  </r>
  <r>
    <s v="O-450"/>
    <d v="2015-08-27T00:00:00"/>
    <x v="109"/>
    <s v="PELAMBRES"/>
    <s v="Juan Manuel Silva"/>
    <m/>
    <s v="Ingeniería de Detalle Pig de Lanzamiento y Recepción - Línea 26”"/>
    <x v="1"/>
    <s v="LM"/>
    <s v="NAC"/>
    <s v="Chile"/>
    <d v="2015-08-27T00:00:00"/>
    <s v="Claudio Muñoz"/>
    <s v="Consultar a Juan Manuel Silva"/>
    <x v="3"/>
    <n v="0.01"/>
    <d v="2017-05-31T00:00:00"/>
    <n v="1281"/>
    <n v="48.2898"/>
    <n v="37696.95550351288"/>
    <m/>
    <m/>
    <m/>
    <m/>
    <x v="7"/>
  </r>
  <r>
    <s v="O-449"/>
    <d v="2015-08-27T00:00:00"/>
    <x v="149"/>
    <m/>
    <m/>
    <m/>
    <s v="Informe Perdida de Agua Alto Hospicio - Consorcio BAS"/>
    <x v="0"/>
    <s v="ND"/>
    <s v="NAC"/>
    <s v="Chile"/>
    <d v="2015-08-27T00:00:00"/>
    <s v="Pedro Valencia"/>
    <m/>
    <x v="5"/>
    <m/>
    <m/>
    <m/>
    <m/>
    <m/>
    <m/>
    <m/>
    <m/>
    <m/>
    <x v="7"/>
  </r>
  <r>
    <s v="O-448"/>
    <d v="2015-08-19T00:00:00"/>
    <x v="161"/>
    <s v="Brass"/>
    <m/>
    <m/>
    <s v="Estudio Hidrologia y Socavacion ID Sistema Impulsion – Brass"/>
    <x v="1"/>
    <s v="ND"/>
    <s v="NAC"/>
    <s v="Chile"/>
    <d v="2015-08-24T00:00:00"/>
    <s v="Claudio Muñoz"/>
    <s v="Nula"/>
    <x v="4"/>
    <m/>
    <d v="2015-08-24T00:00:00"/>
    <m/>
    <m/>
    <m/>
    <m/>
    <m/>
    <m/>
    <m/>
    <x v="7"/>
  </r>
  <r>
    <s v="O-445"/>
    <d v="2015-08-18T00:00:00"/>
    <x v="55"/>
    <s v="Bamin"/>
    <m/>
    <m/>
    <s v="Pedra de Ferro – Tetratech"/>
    <x v="5"/>
    <s v="LM"/>
    <s v="INT"/>
    <s v="Brasil"/>
    <d v="2015-08-27T00:00:00"/>
    <s v="Pedro Valencia"/>
    <m/>
    <x v="5"/>
    <m/>
    <d v="2015-08-31T00:00:00"/>
    <n v="998"/>
    <n v="23.116800000000001"/>
    <n v="23163.126252505012"/>
    <m/>
    <m/>
    <m/>
    <m/>
    <x v="7"/>
  </r>
  <r>
    <s v="O-447"/>
    <d v="2015-08-18T00:00:00"/>
    <x v="162"/>
    <s v="Brass"/>
    <m/>
    <m/>
    <s v="Pedra de Ferro – Promon"/>
    <x v="5"/>
    <s v="LM"/>
    <s v="INT"/>
    <s v="Brasil"/>
    <d v="2015-08-27T00:00:00"/>
    <s v="Pedro Valencia"/>
    <m/>
    <x v="3"/>
    <m/>
    <d v="2015-08-31T00:00:00"/>
    <n v="1405"/>
    <n v="38.574719999999999"/>
    <n v="27455.316725978646"/>
    <m/>
    <m/>
    <m/>
    <m/>
    <x v="7"/>
  </r>
  <r>
    <s v="O-446"/>
    <d v="2015-08-18T00:00:00"/>
    <x v="163"/>
    <s v="Bamin"/>
    <m/>
    <m/>
    <s v="Pedra de Ferro – EPC"/>
    <x v="5"/>
    <s v="LM"/>
    <s v="INT"/>
    <s v="Brasil"/>
    <d v="2015-08-27T00:00:00"/>
    <s v="Pedro Valencia"/>
    <m/>
    <x v="3"/>
    <m/>
    <d v="2015-08-31T00:00:00"/>
    <n v="2193"/>
    <n v="59.632128000000002"/>
    <n v="27192.032831737346"/>
    <m/>
    <m/>
    <m/>
    <m/>
    <x v="7"/>
  </r>
  <r>
    <s v="O-444"/>
    <d v="2015-08-17T00:00:00"/>
    <x v="23"/>
    <s v="Caserones"/>
    <s v="Vicente Salinas"/>
    <s v="vsalinas@caserones.cl "/>
    <s v="Reingenieria a sistemas de impulsión  aguas y depositación relaves en Caserones para  asegurar el plan Quinquenal de producción (2016-2020)"/>
    <x v="1"/>
    <s v="ND"/>
    <s v="NAC"/>
    <s v="Chile"/>
    <m/>
    <s v="Pedro Valencia"/>
    <m/>
    <x v="5"/>
    <m/>
    <d v="2015-08-17T00:00:00"/>
    <n v="1553"/>
    <n v="59.0154"/>
    <n v="38000.901481004505"/>
    <m/>
    <m/>
    <m/>
    <m/>
    <x v="7"/>
  </r>
  <r>
    <s v="O-441"/>
    <d v="2015-08-15T00:00:00"/>
    <x v="145"/>
    <s v="Bamin"/>
    <m/>
    <m/>
    <s v="Engenharia Basica New Concept Review - Projeto Pedra de Ferro"/>
    <x v="5"/>
    <s v="LM"/>
    <s v="INT"/>
    <s v="Brasil"/>
    <m/>
    <s v="Pedro Valencia"/>
    <s v="Nula"/>
    <x v="4"/>
    <m/>
    <m/>
    <m/>
    <m/>
    <m/>
    <m/>
    <m/>
    <m/>
    <m/>
    <x v="7"/>
  </r>
  <r>
    <s v="O-437"/>
    <d v="2015-08-15T00:00:00"/>
    <x v="23"/>
    <s v="Caserones"/>
    <m/>
    <m/>
    <s v="Diseño Cachimbas y Plataforma Alternativas AF - Camiones EB4"/>
    <x v="1"/>
    <m/>
    <m/>
    <m/>
    <m/>
    <m/>
    <s v="Nula"/>
    <x v="4"/>
    <m/>
    <m/>
    <m/>
    <m/>
    <m/>
    <m/>
    <m/>
    <m/>
    <m/>
    <x v="7"/>
  </r>
  <r>
    <s v="O-432"/>
    <d v="2015-08-15T00:00:00"/>
    <x v="23"/>
    <s v="Caserones"/>
    <s v="Oscar Castro"/>
    <m/>
    <s v="Estudio Cuellos de Botella Hidraulicos Planta"/>
    <x v="10"/>
    <s v="ND"/>
    <s v="NAC"/>
    <s v="Chile"/>
    <m/>
    <s v="Pedro Valencia"/>
    <m/>
    <x v="3"/>
    <m/>
    <m/>
    <n v="600"/>
    <n v="38.351399999999998"/>
    <n v="63919"/>
    <m/>
    <m/>
    <m/>
    <m/>
    <x v="7"/>
  </r>
  <r>
    <s v="O-431"/>
    <d v="2015-08-15T00:00:00"/>
    <x v="23"/>
    <s v="Caserones"/>
    <s v="Vicente Salinas"/>
    <s v="vsalinas@caserones.cl "/>
    <s v="Analisis de Riesgos y Medidas de Mitigacion Area Lamas"/>
    <x v="2"/>
    <s v="ND"/>
    <s v="NAC"/>
    <s v="Chile"/>
    <m/>
    <s v="Pedro Valencia"/>
    <m/>
    <x v="3"/>
    <m/>
    <m/>
    <n v="120"/>
    <n v="3.5916000000000001"/>
    <n v="29930"/>
    <m/>
    <m/>
    <m/>
    <m/>
    <x v="7"/>
  </r>
  <r>
    <s v="O-430"/>
    <d v="2015-08-15T00:00:00"/>
    <x v="23"/>
    <s v="Caserones"/>
    <s v="Vicente Salinas"/>
    <s v="vsalinas@caserones.cl "/>
    <s v="Analisis de Riesgos y Medidas de Mitigacion Area Arenas"/>
    <x v="2"/>
    <s v="ND"/>
    <s v="NAC"/>
    <s v="Chile"/>
    <m/>
    <s v="Pedro Valencia"/>
    <s v="Revisar"/>
    <x v="3"/>
    <m/>
    <m/>
    <n v="120"/>
    <n v="3.5916000000000001"/>
    <n v="29930"/>
    <m/>
    <m/>
    <m/>
    <m/>
    <x v="7"/>
  </r>
  <r>
    <s v="O-426"/>
    <d v="2015-08-11T00:00:00"/>
    <x v="29"/>
    <s v="SQM"/>
    <m/>
    <m/>
    <s v="Ingenieria de Detalles Mejoras Muriato - Coya sur"/>
    <x v="1"/>
    <s v="LM"/>
    <s v="NAC"/>
    <s v="Chile"/>
    <d v="2015-08-11T00:00:00"/>
    <s v="Pedro Valencia"/>
    <m/>
    <x v="3"/>
    <m/>
    <d v="2015-08-17T00:00:00"/>
    <n v="1284"/>
    <n v="33.160800000000002"/>
    <n v="25826.168224299065"/>
    <m/>
    <m/>
    <m/>
    <m/>
    <x v="7"/>
  </r>
  <r>
    <s v="O-442"/>
    <d v="2015-08-06T00:00:00"/>
    <x v="23"/>
    <s v="Caserones"/>
    <s v="Vicente Salinas"/>
    <s v="vsalinas@caserones.cl "/>
    <s v="Análisis para maximizar capacidad impulsión agua recuperada y SAF"/>
    <x v="0"/>
    <s v="ND"/>
    <s v="NAC"/>
    <s v="Chile"/>
    <d v="2015-08-06T00:00:00"/>
    <s v="Pedro Valencia"/>
    <s v="Reemplazada por OS-37"/>
    <x v="3"/>
    <m/>
    <d v="2015-08-17T00:00:00"/>
    <n v="1087"/>
    <n v="38.351399999999998"/>
    <n v="35281.876724931004"/>
    <m/>
    <m/>
    <m/>
    <m/>
    <x v="7"/>
  </r>
  <r>
    <s v="O-425"/>
    <d v="2015-08-03T00:00:00"/>
    <x v="76"/>
    <s v="Minera Santo Domingo"/>
    <s v="Katherine Ascencio"/>
    <m/>
    <s v="Ingenieria de Factibilidad de Impulsión y Depositación de Relaves Proyecto Santo Domingo - Minera Santo Domingo"/>
    <x v="2"/>
    <s v="LM"/>
    <s v="NAC"/>
    <s v="Chile "/>
    <d v="2015-08-03T00:00:00"/>
    <s v="Pedro Valencia"/>
    <m/>
    <x v="5"/>
    <m/>
    <d v="2015-08-17T00:00:00"/>
    <n v="570"/>
    <n v="23.173200000000001"/>
    <n v="40654.736842105267"/>
    <s v="SH-0118"/>
    <m/>
    <m/>
    <m/>
    <x v="7"/>
  </r>
  <r>
    <s v="O-424"/>
    <d v="2015-08-03T00:00:00"/>
    <x v="29"/>
    <s v="SQM"/>
    <m/>
    <m/>
    <s v="Ingeniería Básica Tendido Eléctrico Línea 33 kV"/>
    <x v="5"/>
    <s v="LM"/>
    <s v="NAC"/>
    <s v="Chile"/>
    <d v="2015-08-03T00:00:00"/>
    <s v="Pedro Valencia"/>
    <m/>
    <x v="3"/>
    <m/>
    <d v="2015-08-17T00:00:00"/>
    <n v="4504"/>
    <n v="142.87114199999999"/>
    <n v="31720.946269982236"/>
    <m/>
    <m/>
    <m/>
    <m/>
    <x v="7"/>
  </r>
  <r>
    <s v="O-439"/>
    <d v="2015-08-03T00:00:00"/>
    <x v="23"/>
    <s v="Caserones"/>
    <s v="Vicente Salinas"/>
    <s v="vsalinas@caserones.cl "/>
    <s v="Actividades Complementarias Tramo A0- A1"/>
    <x v="4"/>
    <s v="ND"/>
    <s v="NAC"/>
    <s v="Chile"/>
    <d v="2015-08-03T00:00:00"/>
    <s v="Pedro Valencia"/>
    <m/>
    <x v="5"/>
    <m/>
    <d v="2015-08-17T00:00:00"/>
    <n v="200"/>
    <n v="6.8879999999999999"/>
    <n v="34440"/>
    <s v="SH0113-OS32"/>
    <m/>
    <m/>
    <m/>
    <x v="7"/>
  </r>
  <r>
    <s v="O-438"/>
    <d v="2015-08-03T00:00:00"/>
    <x v="23"/>
    <s v="Caserones"/>
    <s v="Vicente Salinas"/>
    <s v="vsalinas@caserones.cl "/>
    <s v="Ingenieria de Detalle Conducción de Agua 3 Nuevos Pozos P7-P9 Piscina EB4"/>
    <x v="5"/>
    <s v="ND"/>
    <s v="NAC"/>
    <s v="Chile"/>
    <d v="2015-08-03T00:00:00"/>
    <s v="Pedro Valencia"/>
    <m/>
    <x v="5"/>
    <m/>
    <d v="2015-08-17T00:00:00"/>
    <n v="626"/>
    <n v="19.5078"/>
    <n v="31162.61980830671"/>
    <s v="SH0113-OS35"/>
    <m/>
    <m/>
    <m/>
    <x v="7"/>
  </r>
  <r>
    <s v="O-436"/>
    <d v="2015-08-03T00:00:00"/>
    <x v="23"/>
    <s v="Caserones"/>
    <s v="Vicente Salinas"/>
    <s v="vsalinas@caserones.cl "/>
    <s v="ID Segunda Salida Cajon de Traspaso de Arenas 6720-DI-003"/>
    <x v="1"/>
    <s v="ND"/>
    <s v="NAC"/>
    <s v="Chile"/>
    <d v="2015-08-03T00:00:00"/>
    <s v="Pedro Valencia"/>
    <m/>
    <x v="5"/>
    <m/>
    <d v="2015-08-17T00:00:00"/>
    <n v="250"/>
    <n v="8.61"/>
    <n v="34440"/>
    <s v="SH0113-OS29"/>
    <m/>
    <m/>
    <m/>
    <x v="7"/>
  </r>
  <r>
    <s v="O-428"/>
    <d v="2015-07-31T00:00:00"/>
    <x v="45"/>
    <s v="PELAMBRES"/>
    <s v="Braulio Figuero Cornejo"/>
    <m/>
    <s v="Solución Congelamiento Sistema de Alimentación Cachimbas"/>
    <x v="0"/>
    <s v="ND"/>
    <s v="NAC"/>
    <s v="Chile"/>
    <d v="2015-07-31T00:00:00"/>
    <s v="Pedro Valencia"/>
    <m/>
    <x v="3"/>
    <m/>
    <d v="2015-08-17T00:00:00"/>
    <n v="317"/>
    <n v="12.6936"/>
    <n v="40042.902208201893"/>
    <m/>
    <m/>
    <m/>
    <m/>
    <x v="7"/>
  </r>
  <r>
    <s v="O-427"/>
    <d v="2015-07-28T00:00:00"/>
    <x v="23"/>
    <s v="Caserones"/>
    <s v="René Oliva"/>
    <s v="roliva@caserones.cl"/>
    <s v="Rediseño en cajón distribución a espesadores relaves y líneas de_x000a_distribución de floculante."/>
    <x v="4"/>
    <s v="ND"/>
    <s v="NAC"/>
    <s v="Chile"/>
    <d v="2015-07-28T00:00:00"/>
    <s v="Mario Arredondo"/>
    <m/>
    <x v="3"/>
    <m/>
    <d v="2015-08-17T00:00:00"/>
    <n v="456"/>
    <n v="17.3184"/>
    <n v="37978.947368421053"/>
    <m/>
    <m/>
    <m/>
    <m/>
    <x v="7"/>
  </r>
  <r>
    <s v="O-423"/>
    <d v="2015-07-15T00:00:00"/>
    <x v="23"/>
    <s v="Caserones"/>
    <s v="Vicente Salinas"/>
    <s v="vsalinas@caserones.cl "/>
    <s v="Preparación y llenado de 50 Fichas de Control de Proyecto"/>
    <x v="4"/>
    <s v="ND"/>
    <s v="NAC"/>
    <s v="Chile "/>
    <d v="2015-07-15T00:00:00"/>
    <s v="Pedro Valencia"/>
    <m/>
    <x v="3"/>
    <m/>
    <d v="2015-08-17T00:00:00"/>
    <n v="110"/>
    <n v="5.1660000000000004"/>
    <n v="46963.636363636368"/>
    <m/>
    <m/>
    <m/>
    <m/>
    <x v="7"/>
  </r>
  <r>
    <s v="O-434"/>
    <d v="2015-07-15T00:00:00"/>
    <x v="23"/>
    <s v="Caserones"/>
    <s v="Guido Aedo"/>
    <m/>
    <s v="Apoyo Proyectista Civil en Terreno"/>
    <x v="4"/>
    <s v="ND"/>
    <s v="NAC"/>
    <s v="Chile"/>
    <d v="2015-07-15T00:00:00"/>
    <s v="Claudio Muñoz"/>
    <m/>
    <x v="5"/>
    <m/>
    <d v="2015-08-17T00:00:00"/>
    <n v="126"/>
    <n v="6.15"/>
    <n v="48809.523809523809"/>
    <s v="SH0113-OS33"/>
    <m/>
    <m/>
    <m/>
    <x v="7"/>
  </r>
  <r>
    <s v="O-433"/>
    <d v="2015-07-15T00:00:00"/>
    <x v="23"/>
    <s v="Caserones"/>
    <s v="Oscar Castro"/>
    <m/>
    <s v="ID Arranque Temporal Dique 6-7"/>
    <x v="4"/>
    <s v="ND"/>
    <s v="NAC"/>
    <s v="Chile"/>
    <d v="2015-07-15T00:00:00"/>
    <s v="Pedro Valencia"/>
    <m/>
    <x v="5"/>
    <m/>
    <d v="2015-08-17T00:00:00"/>
    <n v="220"/>
    <n v="6.5928000000000004"/>
    <n v="29967.272727272728"/>
    <m/>
    <m/>
    <m/>
    <m/>
    <x v="7"/>
  </r>
  <r>
    <s v="O-429"/>
    <d v="2015-07-15T00:00:00"/>
    <x v="23"/>
    <s v="Caserones"/>
    <s v="Luis Recabarren"/>
    <m/>
    <s v="Asistencia Terreno Montaje Under "/>
    <x v="4"/>
    <s v="ND"/>
    <s v="NAC"/>
    <s v="Chile"/>
    <m/>
    <s v="Carlos Umaña"/>
    <m/>
    <x v="5"/>
    <m/>
    <m/>
    <n v="252"/>
    <n v="7.2569999999999997"/>
    <n v="28797.619047619046"/>
    <s v="SH0113-OS34"/>
    <m/>
    <m/>
    <m/>
    <x v="7"/>
  </r>
  <r>
    <s v="O-420"/>
    <d v="2015-07-02T00:00:00"/>
    <x v="45"/>
    <s v="PELAMBRES"/>
    <m/>
    <m/>
    <s v="IB Repulpeo de Relaves Tranque Quillayes (Pitoneo)"/>
    <x v="5"/>
    <s v="ND"/>
    <s v="NAC"/>
    <s v="Chile"/>
    <m/>
    <s v="Pedro Valencia"/>
    <m/>
    <x v="5"/>
    <m/>
    <d v="2015-07-03T00:00:00"/>
    <n v="3304"/>
    <n v="120.95820000000001"/>
    <n v="36609.624697336563"/>
    <s v="SH-0119"/>
    <m/>
    <m/>
    <m/>
    <x v="7"/>
  </r>
  <r>
    <s v="O-422"/>
    <d v="2015-07-02T00:00:00"/>
    <x v="23"/>
    <s v="Caserones"/>
    <s v="Vicente Salinas"/>
    <s v="vsalinas@caserones.cl "/>
    <s v="Actualización Manuales de Emergencia Área Relaves y Agua Recuperada"/>
    <x v="4"/>
    <s v="ND"/>
    <s v="NAC"/>
    <s v="Chile"/>
    <d v="2015-07-06T00:00:00"/>
    <s v="Pedro Valencia"/>
    <m/>
    <x v="3"/>
    <m/>
    <d v="2015-07-15T00:00:00"/>
    <n v="180"/>
    <n v="6.3714000000000004"/>
    <n v="35396.666666666664"/>
    <m/>
    <m/>
    <m/>
    <m/>
    <x v="7"/>
  </r>
  <r>
    <s v="O-421"/>
    <d v="2015-07-02T00:00:00"/>
    <x v="23"/>
    <s v="Caserones"/>
    <s v="Vicente Salinas"/>
    <s v="vsalinas@caserones.cl "/>
    <s v="Apoyo Construccion y Montaje Underflow - Overflow Baterias de Hidrociclones"/>
    <x v="4"/>
    <s v="ND"/>
    <s v="NAC"/>
    <s v="Chile"/>
    <d v="2015-06-02T00:00:00"/>
    <s v="Pedro Valencia"/>
    <m/>
    <x v="5"/>
    <m/>
    <d v="2015-07-03T00:00:00"/>
    <n v="560"/>
    <n v="16.0884"/>
    <n v="28729.285714285714"/>
    <s v="SH0113-OS25"/>
    <m/>
    <m/>
    <m/>
    <x v="7"/>
  </r>
  <r>
    <s v="O-419"/>
    <d v="2015-06-23T00:00:00"/>
    <x v="23"/>
    <s v="Caserones"/>
    <s v="Carlos Merlo"/>
    <s v="cmerlo@caserones.cl"/>
    <s v="Mejoras al Sistema de Bombeo de Diesel en la Planta de Reactivos"/>
    <x v="4"/>
    <s v="ND"/>
    <s v="NAC"/>
    <s v="Chile"/>
    <d v="2015-06-23T00:00:00"/>
    <s v="Pedro Valencia"/>
    <m/>
    <x v="5"/>
    <m/>
    <d v="2015-06-24T00:00:00"/>
    <n v="184"/>
    <n v="5.85"/>
    <n v="31793.47826086956"/>
    <m/>
    <m/>
    <m/>
    <m/>
    <x v="7"/>
  </r>
  <r>
    <s v="O-435"/>
    <d v="2015-06-20T00:00:00"/>
    <x v="23"/>
    <s v="Caserones"/>
    <s v="Vicente Salinas"/>
    <s v="vsalinas@caserones.cl "/>
    <s v="Acondicionamiento Tercera Linea de Arenas 3000TPH"/>
    <x v="1"/>
    <s v="ND"/>
    <s v="NAC"/>
    <s v="Chile"/>
    <d v="2015-06-20T00:00:00"/>
    <s v="Pedro Valencia"/>
    <m/>
    <x v="5"/>
    <m/>
    <d v="2015-08-17T00:00:00"/>
    <n v="300"/>
    <n v="10.332000000000001"/>
    <n v="34440.000000000007"/>
    <s v="SH0113-OS28"/>
    <m/>
    <m/>
    <m/>
    <x v="7"/>
  </r>
  <r>
    <s v="O-418"/>
    <d v="2015-06-18T00:00:00"/>
    <x v="23"/>
    <s v="Caserones"/>
    <s v="Christian Farias"/>
    <s v="cfarias@caserones.cl"/>
    <s v="Patio de Transferencia e Instalación Bascula"/>
    <x v="4"/>
    <s v="ND"/>
    <s v="NAC"/>
    <s v="Chile"/>
    <d v="2015-06-18T00:00:00"/>
    <s v="Pedro Valencia"/>
    <m/>
    <x v="5"/>
    <m/>
    <d v="2015-06-22T00:00:00"/>
    <n v="622"/>
    <n v="19.311"/>
    <n v="31046.623794212221"/>
    <s v="SH0113-OS23"/>
    <m/>
    <m/>
    <m/>
    <x v="7"/>
  </r>
  <r>
    <s v="O-417"/>
    <d v="2015-06-18T00:00:00"/>
    <x v="23"/>
    <s v="Caserones"/>
    <s v="Christian Farias"/>
    <s v="cfarias@caserones.cl"/>
    <s v="Revisión y Complementación Estaciones Fluviométricas"/>
    <x v="4"/>
    <s v="ND"/>
    <s v="NAC"/>
    <s v="Chile"/>
    <d v="2015-06-18T00:00:00"/>
    <s v="Pedro Valencia"/>
    <m/>
    <x v="5"/>
    <m/>
    <d v="2015-06-22T00:00:00"/>
    <n v="472"/>
    <n v="16.752600000000001"/>
    <n v="35492.796610169491"/>
    <s v="SH0113-OS22"/>
    <m/>
    <m/>
    <m/>
    <x v="7"/>
  </r>
  <r>
    <s v="O-378"/>
    <d v="2015-06-15T00:00:00"/>
    <x v="0"/>
    <m/>
    <m/>
    <m/>
    <m/>
    <x v="0"/>
    <m/>
    <m/>
    <m/>
    <m/>
    <m/>
    <s v="RESERVADO CLAUDIO MUÑOZ"/>
    <x v="4"/>
    <m/>
    <d v="2015-06-15T00:00:00"/>
    <m/>
    <m/>
    <m/>
    <m/>
    <m/>
    <m/>
    <m/>
    <x v="7"/>
  </r>
  <r>
    <s v="O-416"/>
    <d v="2015-06-11T00:00:00"/>
    <x v="23"/>
    <s v="Caserones"/>
    <s v="Vicente Salinas"/>
    <s v="vsalinas@caserones.cl "/>
    <s v="Apoyo Especializado para PEM de líneas de Arena de 18” y Aseguramiento del_x000a_Plan Q-2 en relaves."/>
    <x v="4"/>
    <s v="ND"/>
    <s v="NAC"/>
    <s v="Chile"/>
    <d v="2015-06-11T00:00:00"/>
    <s v="Pedro Valencia"/>
    <m/>
    <x v="5"/>
    <m/>
    <d v="2015-06-22T00:00:00"/>
    <n v="852"/>
    <n v="32.619599999999998"/>
    <n v="38285.915492957749"/>
    <s v="SH0113-OS21"/>
    <m/>
    <m/>
    <m/>
    <x v="7"/>
  </r>
  <r>
    <s v="O-415"/>
    <d v="2015-06-09T00:00:00"/>
    <x v="23"/>
    <s v="Caserones"/>
    <s v="Vicente Salinas"/>
    <s v="vsalinas@caserones.cl "/>
    <s v="Reemplazo Agua Fresca por agua Recuperada, Fase II"/>
    <x v="5"/>
    <s v="ND"/>
    <s v="NAC"/>
    <s v="Chile"/>
    <d v="2015-06-09T00:00:00"/>
    <s v="Pedro Valencia"/>
    <m/>
    <x v="5"/>
    <m/>
    <d v="2015-06-22T00:00:00"/>
    <n v="825"/>
    <n v="25.657800000000002"/>
    <n v="31100.363636363636"/>
    <s v="SH0113-OS20"/>
    <m/>
    <m/>
    <m/>
    <x v="7"/>
  </r>
  <r>
    <s v="O-414"/>
    <d v="2015-06-02T00:00:00"/>
    <x v="23"/>
    <s v="Caserones"/>
    <s v="Vicente Salinas"/>
    <s v="vsalinas@caserones.cl "/>
    <s v="Impermeabilización Cantera 3 Sector Sur Depósito La Brea"/>
    <x v="4"/>
    <s v="ND"/>
    <s v="NAC"/>
    <s v="Chile"/>
    <d v="2015-06-02T00:00:00"/>
    <s v="Pedro Valencia"/>
    <m/>
    <x v="3"/>
    <n v="0"/>
    <d v="2015-06-22T00:00:00"/>
    <n v="420"/>
    <n v="15.9162"/>
    <n v="37895.714285714283"/>
    <m/>
    <m/>
    <m/>
    <m/>
    <x v="7"/>
  </r>
  <r>
    <s v="O-413"/>
    <d v="2015-06-02T00:00:00"/>
    <x v="23"/>
    <s v="Caserones"/>
    <s v="Vicente Salinas"/>
    <s v="vsalinas@caserones.cl "/>
    <s v="Ing. Conceptual Aumento Capacidad del Transporte de Lamas a La Brea"/>
    <x v="2"/>
    <s v="ND"/>
    <s v="NAC"/>
    <s v="Chile"/>
    <d v="2015-06-02T00:00:00"/>
    <s v="Pedro Valencia"/>
    <s v="Postergado"/>
    <x v="3"/>
    <m/>
    <d v="2015-06-22T00:00:00"/>
    <n v="614"/>
    <n v="23.714400000000001"/>
    <n v="38622.801302931592"/>
    <m/>
    <m/>
    <m/>
    <m/>
    <x v="7"/>
  </r>
  <r>
    <s v="O-412"/>
    <d v="2015-06-02T00:00:00"/>
    <x v="109"/>
    <s v="Glemans"/>
    <s v="Juan Manuel Silva"/>
    <s v="juanmanuel.silva@glemans.com"/>
    <s v="Ingeniería de Detalle Pig de Limpieza División El Teniente"/>
    <x v="1"/>
    <s v="ND"/>
    <s v="NAC"/>
    <s v="Chile"/>
    <d v="2015-06-02T00:00:00"/>
    <s v="Pedro Valencia"/>
    <m/>
    <x v="3"/>
    <m/>
    <d v="2015-06-19T00:00:00"/>
    <n v="1793"/>
    <n v="69.593400000000003"/>
    <n v="38813.943112102621"/>
    <m/>
    <m/>
    <m/>
    <m/>
    <x v="7"/>
  </r>
  <r>
    <s v="O-411"/>
    <d v="2015-05-27T00:00:00"/>
    <x v="164"/>
    <s v="Spence"/>
    <m/>
    <m/>
    <m/>
    <x v="5"/>
    <s v="LM"/>
    <s v="NAC"/>
    <s v="Chile"/>
    <d v="2015-06-02T00:00:00"/>
    <s v="Pedro Valencia"/>
    <m/>
    <x v="3"/>
    <m/>
    <d v="2015-06-23T00:00:00"/>
    <n v="15367"/>
    <n v="424.875"/>
    <n v="27648.532569792413"/>
    <m/>
    <m/>
    <m/>
    <m/>
    <x v="7"/>
  </r>
  <r>
    <s v="O-410"/>
    <d v="2015-05-27T00:00:00"/>
    <x v="23"/>
    <s v="Caserones"/>
    <s v="Vicente Salinas"/>
    <s v="vsalinas@caserones.cl "/>
    <s v="Medida de Control para Reboses en Estaciones de Bombeo EB4/EB5/EB6 "/>
    <x v="4"/>
    <s v="ND"/>
    <s v="NAC"/>
    <s v="Chile"/>
    <d v="2015-05-27T00:00:00"/>
    <s v="Pedro Valencia"/>
    <m/>
    <x v="5"/>
    <m/>
    <d v="2015-06-19T00:00:00"/>
    <n v="840"/>
    <n v="28.486799999999999"/>
    <n v="33912.857142857138"/>
    <s v="SH0113-OS19"/>
    <m/>
    <m/>
    <m/>
    <x v="7"/>
  </r>
  <r>
    <s v="O-409"/>
    <d v="2015-05-25T00:00:00"/>
    <x v="31"/>
    <s v="Codelco"/>
    <s v="Alvaro Huerta"/>
    <m/>
    <s v="Contraparte Ingeniería - Construcción 7ª Etapa Embalse Carén” del proyecto “Peraltamiento_x000a_Embalse Carén” de División El Teniente (DET)"/>
    <x v="12"/>
    <s v="LM"/>
    <s v="NAC"/>
    <s v="Chile"/>
    <d v="2015-05-25T00:00:00"/>
    <s v="Pedro Valencia"/>
    <m/>
    <x v="3"/>
    <m/>
    <m/>
    <m/>
    <m/>
    <m/>
    <m/>
    <m/>
    <m/>
    <m/>
    <x v="7"/>
  </r>
  <r>
    <s v="O-408"/>
    <d v="2015-05-25T00:00:00"/>
    <x v="23"/>
    <s v="Caserones"/>
    <s v="Vicente Salinas"/>
    <s v="vsalinas@caserones.cl "/>
    <s v="Ingeniería Mejoramiento Conducción de Arenas"/>
    <x v="4"/>
    <s v="ND"/>
    <s v="NAC"/>
    <s v="Chile"/>
    <d v="2015-05-25T00:00:00"/>
    <s v="Pedro Valencia"/>
    <m/>
    <x v="5"/>
    <m/>
    <d v="2015-06-19T00:00:00"/>
    <n v="670"/>
    <n v="23.492999999999999"/>
    <n v="35064.179104477611"/>
    <s v="SH0113-OS18"/>
    <m/>
    <m/>
    <m/>
    <x v="7"/>
  </r>
  <r>
    <s v="O-406"/>
    <d v="2015-05-25T00:00:00"/>
    <x v="23"/>
    <s v="Caserones"/>
    <s v="Vicente Salinas"/>
    <s v="vsalinas@caserones.cl "/>
    <s v="ID Nuevos Pozos La Brea MLCC"/>
    <x v="1"/>
    <s v="ND"/>
    <s v="NAC"/>
    <s v="Chile"/>
    <d v="2015-05-25T00:00:00"/>
    <s v="Pedro Valencia"/>
    <m/>
    <x v="5"/>
    <m/>
    <d v="2015-05-26T00:00:00"/>
    <n v="1195"/>
    <n v="42.558"/>
    <n v="35613.389121338914"/>
    <s v="SH0113-OS17"/>
    <m/>
    <m/>
    <m/>
    <x v="7"/>
  </r>
  <r>
    <s v="O-407"/>
    <d v="2015-05-19T00:00:00"/>
    <x v="22"/>
    <s v="Centinela"/>
    <s v="Mauricio Villanueva"/>
    <s v="mvillanueva@mineracentinela.cl"/>
    <s v="Taller para Elaborar Plan Mantención Preventivos para el Concetraducto Centinela a 52 Semanas"/>
    <x v="4"/>
    <s v="ND"/>
    <s v="NAC"/>
    <s v="Chile"/>
    <d v="2015-05-19T00:00:00"/>
    <s v="Pedro Valencia"/>
    <m/>
    <x v="3"/>
    <m/>
    <d v="2015-05-26T00:00:00"/>
    <n v="326"/>
    <n v="1.722"/>
    <n v="5282.2085889570553"/>
    <m/>
    <m/>
    <m/>
    <m/>
    <x v="7"/>
  </r>
  <r>
    <s v="O-405"/>
    <d v="2015-05-12T00:00:00"/>
    <x v="23"/>
    <s v="Caserones"/>
    <s v="Cristian Farias"/>
    <s v="cfarias@caserones.cl"/>
    <s v="Piscina Rebose Nilahue"/>
    <x v="1"/>
    <s v="ND"/>
    <s v="NAC"/>
    <s v="Chile"/>
    <d v="2015-05-12T00:00:00"/>
    <s v="Pedro Valencia"/>
    <m/>
    <x v="5"/>
    <m/>
    <d v="2015-05-15T00:00:00"/>
    <n v="193"/>
    <n v="6.8141999999999996"/>
    <n v="35306.735751295339"/>
    <s v="SH0113-OS11"/>
    <m/>
    <m/>
    <m/>
    <x v="7"/>
  </r>
  <r>
    <s v="O-404"/>
    <d v="2015-05-12T00:00:00"/>
    <x v="23"/>
    <s v="Caserones"/>
    <s v="Cristian Farias"/>
    <s v="cfarias@caserones.cl"/>
    <s v="ID Pozo El Checo"/>
    <x v="1"/>
    <s v="ND"/>
    <s v="NAC"/>
    <s v="Chile"/>
    <d v="2015-05-12T00:00:00"/>
    <s v="Pedro Valencia"/>
    <m/>
    <x v="5"/>
    <m/>
    <d v="2015-05-15T00:00:00"/>
    <n v="262"/>
    <n v="9.3233999999999995"/>
    <n v="35585.496183206102"/>
    <m/>
    <m/>
    <m/>
    <m/>
    <x v="7"/>
  </r>
  <r>
    <s v="O-403"/>
    <d v="2015-05-12T00:00:00"/>
    <x v="23"/>
    <s v="Caserones"/>
    <s v="Cristian Farias"/>
    <s v="cfarias@caserones.cl"/>
    <s v="Reparación Ruta C35 Caserones"/>
    <x v="1"/>
    <s v="ND"/>
    <s v="NAC"/>
    <s v="Chile"/>
    <d v="2015-05-12T00:00:00"/>
    <s v="Pedro Valencia"/>
    <m/>
    <x v="5"/>
    <m/>
    <d v="2015-05-15T00:00:00"/>
    <n v="172"/>
    <n v="6.5928000000000004"/>
    <n v="38330.232558139542"/>
    <s v="SH0113-OS13"/>
    <m/>
    <m/>
    <m/>
    <x v="7"/>
  </r>
  <r>
    <s v="O-402"/>
    <d v="2015-05-07T00:00:00"/>
    <x v="29"/>
    <s v="SQM"/>
    <s v="Davor Versalovic"/>
    <s v="Davor.Versalovic@sqm.com"/>
    <s v="IB Impulsion Agua de Mar SQM"/>
    <x v="5"/>
    <s v="LM"/>
    <s v="NAC"/>
    <s v="Chile"/>
    <m/>
    <s v="Pedro Valencia"/>
    <m/>
    <x v="5"/>
    <m/>
    <d v="2015-06-23T00:00:00"/>
    <n v="4931"/>
    <n v="111.6"/>
    <n v="22632.326100182516"/>
    <s v="SH-0121"/>
    <m/>
    <m/>
    <m/>
    <x v="7"/>
  </r>
  <r>
    <s v="O-401"/>
    <d v="2015-05-05T00:00:00"/>
    <x v="165"/>
    <s v="Centinela"/>
    <s v="Rodrigo Moraga"/>
    <m/>
    <s v="Asesoria Plan de Integridad SIAM Centinela - Cathpro"/>
    <x v="6"/>
    <s v="ND"/>
    <s v="NAC"/>
    <s v="Chile"/>
    <m/>
    <s v="Pedro Valencia"/>
    <m/>
    <x v="3"/>
    <m/>
    <m/>
    <m/>
    <m/>
    <m/>
    <m/>
    <m/>
    <m/>
    <m/>
    <x v="7"/>
  </r>
  <r>
    <s v="O-400"/>
    <d v="2015-05-05T00:00:00"/>
    <x v="45"/>
    <s v="PELAMBRES"/>
    <s v="Luis Cortes"/>
    <m/>
    <s v="Ingeniería Básica Repulpeo Quillayes PELAMBRES"/>
    <x v="5"/>
    <s v="ND"/>
    <s v="NAC"/>
    <s v="Chile"/>
    <d v="2015-05-05T00:00:00"/>
    <s v="Pedro Valencia"/>
    <s v="Nula"/>
    <x v="4"/>
    <m/>
    <d v="2015-05-15T00:00:00"/>
    <m/>
    <m/>
    <m/>
    <m/>
    <m/>
    <m/>
    <m/>
    <x v="7"/>
  </r>
  <r>
    <s v="O-399"/>
    <d v="2015-05-05T00:00:00"/>
    <x v="16"/>
    <s v="CANDELARIA"/>
    <s v="David Muñoz"/>
    <m/>
    <s v="Scoping Study, Efecto de Disposicion de Tranque San Esteban 2 en Deposito "/>
    <x v="2"/>
    <s v="ND"/>
    <s v="NAC"/>
    <s v="Chile"/>
    <d v="2015-05-05T00:00:00"/>
    <s v="Pedro Valencia"/>
    <m/>
    <x v="3"/>
    <m/>
    <d v="2015-05-15T00:00:00"/>
    <n v="570"/>
    <n v="19.68"/>
    <n v="34526.31578947368"/>
    <m/>
    <m/>
    <m/>
    <m/>
    <x v="7"/>
  </r>
  <r>
    <s v="O-398"/>
    <d v="2015-05-04T00:00:00"/>
    <x v="64"/>
    <s v="Codelco DMH"/>
    <s v="Jorge Tapia"/>
    <s v="jtapi056@codelco.cl"/>
    <s v="Análisis Hidráulico Conducción Arenas y Lamas Espesadas DMH"/>
    <x v="2"/>
    <s v="ND"/>
    <s v="NAC"/>
    <s v="Chile"/>
    <d v="2015-05-04T00:00:00"/>
    <s v="Mario Arredondo"/>
    <m/>
    <x v="3"/>
    <m/>
    <d v="2015-05-15T00:00:00"/>
    <n v="100"/>
    <n v="4.8954000000000004"/>
    <n v="48954.000000000007"/>
    <m/>
    <m/>
    <m/>
    <m/>
    <x v="7"/>
  </r>
  <r>
    <s v="O-373"/>
    <d v="2015-05-04T00:00:00"/>
    <x v="23"/>
    <s v="Caserones"/>
    <s v="Vicente Salinas"/>
    <m/>
    <s v="Ingeniería Obras de Remediación Línea Refino"/>
    <x v="1"/>
    <s v="ND"/>
    <s v="NAC"/>
    <s v="Chile"/>
    <d v="2015-05-04T00:00:00"/>
    <s v="Pedro Valencia"/>
    <m/>
    <x v="5"/>
    <m/>
    <d v="2015-02-19T00:00:00"/>
    <n v="657"/>
    <n v="23.52"/>
    <n v="35799.086757990866"/>
    <m/>
    <m/>
    <m/>
    <m/>
    <x v="7"/>
  </r>
  <r>
    <s v="O-397"/>
    <d v="2015-04-29T00:00:00"/>
    <x v="166"/>
    <s v="AUSENCO Chile"/>
    <s v="Mark Cornwell"/>
    <m/>
    <s v="Asesoría Especializada Comisionamiento y PEM EWS"/>
    <x v="4"/>
    <s v="ND"/>
    <s v="NAC"/>
    <s v="Chile"/>
    <d v="2015-04-29T00:00:00"/>
    <s v="Claudio Muñoz"/>
    <s v="Consultar a LH"/>
    <x v="3"/>
    <m/>
    <d v="2015-05-15T00:00:00"/>
    <n v="1920"/>
    <n v="99.494500000000002"/>
    <n v="51820.052083333328"/>
    <m/>
    <m/>
    <m/>
    <m/>
    <x v="7"/>
  </r>
  <r>
    <s v="O-396"/>
    <d v="2015-04-27T00:00:00"/>
    <x v="13"/>
    <s v="Sierra Gorda"/>
    <s v="Cristian Jaque"/>
    <m/>
    <s v="Asesoría Experta Operaciones Relaves C. Jaque "/>
    <x v="2"/>
    <s v="ND"/>
    <s v="NAC"/>
    <s v="Chile"/>
    <d v="2015-04-27T00:00:00"/>
    <s v="Mario Arredondo"/>
    <m/>
    <x v="3"/>
    <m/>
    <d v="2015-05-15T00:00:00"/>
    <n v="911"/>
    <n v="36.529499999999999"/>
    <n v="40098.243688254668"/>
    <m/>
    <m/>
    <m/>
    <m/>
    <x v="7"/>
  </r>
  <r>
    <s v="O-395"/>
    <d v="2015-04-21T00:00:00"/>
    <x v="13"/>
    <s v="Sierra Gorda"/>
    <s v="Sebastian Dominguez"/>
    <m/>
    <s v="Asesoría Especializada ST Relaves y Aguas - Sierra Gorda"/>
    <x v="2"/>
    <s v="ND"/>
    <s v="NAC"/>
    <s v="Chile"/>
    <m/>
    <s v="Pedro Valencia"/>
    <m/>
    <x v="3"/>
    <m/>
    <m/>
    <n v="1272"/>
    <n v="62.450499999999998"/>
    <n v="49096.305031446536"/>
    <m/>
    <m/>
    <m/>
    <m/>
    <x v="7"/>
  </r>
  <r>
    <s v="O-394"/>
    <d v="2015-04-20T00:00:00"/>
    <x v="123"/>
    <s v="Sierra Gorda"/>
    <s v="Flavio Navarrete"/>
    <m/>
    <s v="Apoyo en Terreno - ST Relaves y Aguas - Sierra Gorda IMSPatagonia"/>
    <x v="4"/>
    <s v="ND"/>
    <s v="NAC"/>
    <s v="Chile"/>
    <m/>
    <s v="Pedro Valencia"/>
    <m/>
    <x v="3"/>
    <m/>
    <m/>
    <n v="624"/>
    <n v="19.11"/>
    <n v="30625"/>
    <m/>
    <m/>
    <m/>
    <m/>
    <x v="7"/>
  </r>
  <r>
    <s v="O-393"/>
    <d v="2015-04-20T00:00:00"/>
    <x v="23"/>
    <s v="Caserones"/>
    <s v="Vicente Salinas"/>
    <s v="vsalinas@caserones.cl "/>
    <s v="Prueba Stress Sistema de Bombeo Agua Recuperada de la Brea"/>
    <x v="4"/>
    <s v="ND"/>
    <s v="NAC"/>
    <s v="Chile"/>
    <d v="2015-04-27T00:00:00"/>
    <s v="Mario Arredondo"/>
    <m/>
    <x v="5"/>
    <m/>
    <d v="2015-05-15T00:00:00"/>
    <n v="938"/>
    <n v="35.353499999999997"/>
    <n v="37690.298507462678"/>
    <s v="SH0113-OS14"/>
    <m/>
    <m/>
    <m/>
    <x v="7"/>
  </r>
  <r>
    <s v="O-392"/>
    <d v="2015-04-09T00:00:00"/>
    <x v="123"/>
    <s v="Sierra Gorda"/>
    <s v="Flavio Navarrete"/>
    <s v="fnavarrete@imspatagonia.cl"/>
    <s v="Asesoría Especializada en Sistemas de Relaves y Recirculación de Aguas – Proyecto Sierra GordaAsesoria "/>
    <x v="4"/>
    <s v="ND"/>
    <s v="NAC"/>
    <s v="Chile"/>
    <d v="2015-04-09T00:00:00"/>
    <s v="Pedro Valencia"/>
    <m/>
    <x v="5"/>
    <m/>
    <d v="2015-04-09T00:00:00"/>
    <n v="30"/>
    <n v="2.2050000000000001"/>
    <n v="73500"/>
    <s v="SH-0115"/>
    <m/>
    <m/>
    <m/>
    <x v="7"/>
  </r>
  <r>
    <s v="O-391"/>
    <d v="2015-04-01T00:00:00"/>
    <x v="167"/>
    <s v="Nutram S.A."/>
    <s v="Francisco Vera"/>
    <s v="fvera@nutram.cl"/>
    <s v="Respuesta DGA Planta Cobre Norte"/>
    <x v="2"/>
    <s v="ND"/>
    <s v="NAC"/>
    <s v="Chile"/>
    <d v="2015-04-06T00:00:00"/>
    <s v="Claudio Muñoz"/>
    <m/>
    <x v="5"/>
    <m/>
    <d v="2015-04-01T00:00:00"/>
    <n v="742"/>
    <n v="30.135000000000002"/>
    <n v="40613.207547169812"/>
    <s v="SH-0117"/>
    <m/>
    <m/>
    <m/>
    <x v="7"/>
  </r>
  <r>
    <s v="O-390"/>
    <d v="2015-04-01T00:00:00"/>
    <x v="167"/>
    <s v="Nutram S.A."/>
    <s v="Francisco Vera"/>
    <s v="fvera@nutram.cl"/>
    <s v="Respuesta a CIERTA Medioambiente Planta Cobre Norte"/>
    <x v="2"/>
    <s v="ND"/>
    <s v="NAC"/>
    <s v="Chile"/>
    <d v="2015-04-01T00:00:00"/>
    <s v="Claudio Muñoz"/>
    <m/>
    <x v="5"/>
    <m/>
    <d v="2015-04-01T00:00:00"/>
    <n v="306"/>
    <n v="12.470499999999999"/>
    <n v="40753.267973856207"/>
    <s v="SH-0116"/>
    <m/>
    <m/>
    <m/>
    <x v="7"/>
  </r>
  <r>
    <s v="O-389"/>
    <d v="2015-04-01T00:00:00"/>
    <x v="167"/>
    <s v="Nutram S.A."/>
    <s v="Francisco Vera"/>
    <s v="fvera@nutram.cl"/>
    <s v="Ingeniería Conceptual Ampliación Planta Cobre Norte"/>
    <x v="2"/>
    <s v="ND"/>
    <s v="NAC"/>
    <s v="Chile"/>
    <d v="2015-04-01T00:00:00"/>
    <s v="Claudio Muñoz"/>
    <m/>
    <x v="3"/>
    <m/>
    <d v="2015-04-01T00:00:00"/>
    <n v="1401"/>
    <n v="57.207500000000003"/>
    <n v="40833.333333333336"/>
    <m/>
    <m/>
    <m/>
    <m/>
    <x v="7"/>
  </r>
  <r>
    <s v="O-388"/>
    <d v="2015-03-24T00:00:00"/>
    <x v="168"/>
    <s v="Codelco"/>
    <s v="Felipe Elgueta"/>
    <s v="felgueta@antolin.cl"/>
    <s v="Suministro y Montaje de Barreras Dinámicas"/>
    <x v="1"/>
    <s v="LM"/>
    <s v="NAC"/>
    <s v="Chile"/>
    <d v="2015-03-31T00:00:00"/>
    <s v="Pedro Valencia"/>
    <m/>
    <x v="3"/>
    <m/>
    <d v="2015-04-06T00:00:00"/>
    <n v="971"/>
    <n v="41.380499999999998"/>
    <n v="42616.374871266729"/>
    <m/>
    <m/>
    <m/>
    <m/>
    <x v="7"/>
  </r>
  <r>
    <s v="O-386"/>
    <d v="2015-03-20T00:00:00"/>
    <x v="23"/>
    <s v="Caserones"/>
    <s v="Cristian Farias"/>
    <s v="cfarias@caserones.cl"/>
    <s v="Ing Detalles Envío de agua de pozo de remediación Repontenciado a La Brea A SAF"/>
    <x v="1"/>
    <s v="ND"/>
    <s v="NAC"/>
    <s v="Chile"/>
    <m/>
    <s v="Jose Gallardo"/>
    <m/>
    <x v="5"/>
    <m/>
    <d v="2015-03-20T00:00:00"/>
    <n v="1500"/>
    <n v="57.183"/>
    <n v="38122"/>
    <s v="SH0113-OS8"/>
    <m/>
    <m/>
    <m/>
    <x v="7"/>
  </r>
  <r>
    <s v="O-385"/>
    <d v="2015-03-20T00:00:00"/>
    <x v="23"/>
    <s v="Caserones"/>
    <s v="Rene Orellana"/>
    <s v="rorellana@caserones.cl"/>
    <s v="Apoyo Especialista en Terreno (MA  Otros. Abril-Junio 2015)"/>
    <x v="4"/>
    <s v="ND"/>
    <s v="NAC"/>
    <s v="Chile"/>
    <m/>
    <s v="Mario Arredondo"/>
    <m/>
    <x v="5"/>
    <m/>
    <d v="2015-03-20T00:00:00"/>
    <n v="360"/>
    <n v="18.423999999999999"/>
    <n v="51177.777777777774"/>
    <m/>
    <m/>
    <m/>
    <m/>
    <x v="7"/>
  </r>
  <r>
    <s v="O-384"/>
    <d v="2015-03-20T00:00:00"/>
    <x v="23"/>
    <s v="Caserones"/>
    <s v="Fernando Arroyo"/>
    <m/>
    <s v="Ing. De Detalle control de flujo Dropbox y Túnel Norte"/>
    <x v="1"/>
    <s v="ND"/>
    <s v="NAC"/>
    <s v="Chile"/>
    <d v="2015-03-25T00:00:00"/>
    <s v="Miguel Parra"/>
    <m/>
    <x v="5"/>
    <m/>
    <d v="2015-03-25T00:00:00"/>
    <n v="750"/>
    <n v="27.195"/>
    <n v="36260"/>
    <s v="SH0113-OS7"/>
    <m/>
    <m/>
    <m/>
    <x v="7"/>
  </r>
  <r>
    <s v="O-387"/>
    <d v="2015-03-19T00:00:00"/>
    <x v="23"/>
    <s v="Caserones"/>
    <s v="Cristian Farias"/>
    <s v="cfarias@caserones.cl"/>
    <s v="Análisis Tubería PN 12.5 Tramo A0-A1"/>
    <x v="7"/>
    <s v="ND"/>
    <s v="NAC"/>
    <s v="Chile"/>
    <m/>
    <s v="Claudio Muñoz"/>
    <m/>
    <x v="5"/>
    <m/>
    <d v="2015-03-20T00:00:00"/>
    <n v="235"/>
    <n v="9.4079999999999995"/>
    <n v="40034.042553191488"/>
    <m/>
    <m/>
    <m/>
    <m/>
    <x v="7"/>
  </r>
  <r>
    <s v="O-383"/>
    <d v="2015-03-17T00:00:00"/>
    <x v="23"/>
    <s v="Caserones"/>
    <s v="Cristian Farias"/>
    <s v="cfarias@caserones.cl"/>
    <s v="Asistencia Prueba Bombeo El Fuerte"/>
    <x v="4"/>
    <s v="ND"/>
    <s v="NAC"/>
    <s v="Chile"/>
    <d v="2015-03-16T00:00:00"/>
    <s v="Claudio Muñoz"/>
    <m/>
    <x v="5"/>
    <m/>
    <d v="2015-03-17T00:00:00"/>
    <n v="54"/>
    <n v="2.548"/>
    <n v="47185.185185185182"/>
    <m/>
    <m/>
    <m/>
    <m/>
    <x v="7"/>
  </r>
  <r>
    <s v="O-382"/>
    <d v="2015-03-17T00:00:00"/>
    <x v="23"/>
    <s v="Caserones"/>
    <s v="Cristian Farias"/>
    <s v="cfarias@caserones.cl"/>
    <s v="Pozo Compartido Nilahue"/>
    <x v="1"/>
    <s v="ND"/>
    <s v="NAC"/>
    <s v="Chile"/>
    <d v="2015-03-19T00:00:00"/>
    <s v="Claudio Muñoz"/>
    <m/>
    <x v="5"/>
    <m/>
    <d v="2015-03-17T00:00:00"/>
    <n v="226"/>
    <n v="8.5259999999999998"/>
    <n v="37725.663716814153"/>
    <m/>
    <m/>
    <m/>
    <m/>
    <x v="7"/>
  </r>
  <r>
    <s v="O-381"/>
    <d v="2015-03-17T00:00:00"/>
    <x v="23"/>
    <s v="Caserones"/>
    <s v="Cristian Farias"/>
    <s v="cfarias@caserones.cl"/>
    <s v="Verificacion Puente Palo Blanco"/>
    <x v="7"/>
    <s v="ND"/>
    <s v="NAC"/>
    <s v="Chile"/>
    <d v="2015-03-16T00:00:00"/>
    <s v="Claudio Muñoz"/>
    <m/>
    <x v="5"/>
    <m/>
    <d v="2015-03-17T00:00:00"/>
    <n v="78"/>
    <n v="3.4544999999999999"/>
    <n v="44288.461538461539"/>
    <m/>
    <m/>
    <m/>
    <m/>
    <x v="7"/>
  </r>
  <r>
    <s v="O-380 "/>
    <d v="2015-03-13T00:00:00"/>
    <x v="23"/>
    <s v="Caserones"/>
    <s v="Rene Orellana/Vicente Salinas"/>
    <s v="rorellana@caserones.cl"/>
    <s v="Repotenciamiento Recuperacion de Aguas El Tambo"/>
    <x v="32"/>
    <s v="ND"/>
    <s v="NAC"/>
    <s v="Chile"/>
    <d v="2015-03-16T00:00:00"/>
    <s v="Jose Gallardo"/>
    <s v="La Carta Oferta se envia el Lunes 16 de marzo en la tarde"/>
    <x v="5"/>
    <m/>
    <d v="2015-03-13T00:00:00"/>
    <n v="1808"/>
    <n v="66.64"/>
    <n v="36858.407079646015"/>
    <m/>
    <m/>
    <m/>
    <m/>
    <x v="7"/>
  </r>
  <r>
    <s v="O-379"/>
    <d v="2015-03-09T00:00:00"/>
    <x v="105"/>
    <s v="LAS BAMBAS"/>
    <s v="Jorge Agustini"/>
    <s v="Jorge.Agustini@mmg.com"/>
    <s v="Soporte Operacional durante en puesta en marcha y Ramp-Up"/>
    <x v="4"/>
    <s v="ND"/>
    <s v="INT"/>
    <s v="Perú"/>
    <d v="2015-03-16T00:00:00"/>
    <s v="Pedro Valencia"/>
    <m/>
    <x v="3"/>
    <m/>
    <d v="2015-03-10T00:00:00"/>
    <n v="2033"/>
    <n v="99.731999999999999"/>
    <n v="49056.566650270535"/>
    <m/>
    <m/>
    <m/>
    <m/>
    <x v="7"/>
  </r>
  <r>
    <s v="O-377"/>
    <d v="2015-03-04T00:00:00"/>
    <x v="23"/>
    <s v="Caserones"/>
    <s v="Vicente Salinas"/>
    <s v="vsalinas@caserones.cl "/>
    <s v="Contrato Marco con Caserones"/>
    <x v="9"/>
    <s v="ND"/>
    <s v="NAC"/>
    <s v="Chile"/>
    <d v="2015-03-05T00:00:00"/>
    <s v="Claudio Muñoz"/>
    <s v="Incluye ofertas"/>
    <x v="5"/>
    <m/>
    <d v="2015-04-06T00:00:00"/>
    <n v="1496"/>
    <n v="27.445799999999998"/>
    <n v="18346.122994652404"/>
    <m/>
    <m/>
    <m/>
    <m/>
    <x v="7"/>
  </r>
  <r>
    <s v="O-376"/>
    <d v="2015-02-27T00:00:00"/>
    <x v="23"/>
    <s v="Caserones"/>
    <s v="Rene Orellana"/>
    <s v="rorellana@caserones.cl"/>
    <s v="Modificación Pozo POB-07A – Sistema de Recuperación La Brea "/>
    <x v="1"/>
    <s v="ND"/>
    <s v="NAC"/>
    <s v="Chile"/>
    <m/>
    <s v="Pedro Valencia"/>
    <m/>
    <x v="5"/>
    <m/>
    <d v="2015-02-27T00:00:00"/>
    <n v="200"/>
    <n v="7.5949999999999998"/>
    <n v="37975"/>
    <s v="SH-0087"/>
    <m/>
    <m/>
    <m/>
    <x v="7"/>
  </r>
  <r>
    <s v="O-375"/>
    <d v="2015-02-20T00:00:00"/>
    <x v="23"/>
    <s v="Caserones"/>
    <s v="Shu Horie"/>
    <s v="shorie@caserones.cl"/>
    <s v="Ing. Complementaria Reemplazo uso de agua Agua Fresca por Agua recuperada"/>
    <x v="2"/>
    <s v="ND"/>
    <s v="NAC"/>
    <s v="Chile"/>
    <d v="2015-02-20T00:00:00"/>
    <s v="Mario Arredondo"/>
    <s v="orden de cambio SH 087,   Area 41000"/>
    <x v="5"/>
    <m/>
    <d v="2015-02-20T00:00:00"/>
    <n v="684"/>
    <n v="22.662500000000001"/>
    <n v="33132.309941520471"/>
    <s v="SH-0087"/>
    <m/>
    <m/>
    <m/>
    <x v="7"/>
  </r>
  <r>
    <s v="O-374"/>
    <d v="2015-02-19T00:00:00"/>
    <x v="39"/>
    <s v="Minera Escondida "/>
    <s v="Juan Carlos Tapia"/>
    <s v="juancarlos.tapia@sedgman.com"/>
    <s v="Optimización Tranque de Relaves de BHP BILLITONB"/>
    <x v="2"/>
    <s v="LM"/>
    <s v="NAC"/>
    <s v="Chile"/>
    <d v="2015-02-24T00:00:00"/>
    <s v="Claudio Muñoz"/>
    <m/>
    <x v="3"/>
    <m/>
    <d v="2015-02-25T00:00:00"/>
    <n v="427"/>
    <n v="17.174499999999998"/>
    <n v="40221.311475409835"/>
    <m/>
    <m/>
    <m/>
    <m/>
    <x v="7"/>
  </r>
  <r>
    <s v="O-372"/>
    <d v="2015-02-19T00:00:00"/>
    <x v="23"/>
    <m/>
    <m/>
    <m/>
    <m/>
    <x v="0"/>
    <m/>
    <m/>
    <m/>
    <m/>
    <m/>
    <s v="reserva Pedro pavelncia"/>
    <x v="4"/>
    <m/>
    <d v="2015-02-19T00:00:00"/>
    <m/>
    <m/>
    <m/>
    <m/>
    <m/>
    <m/>
    <m/>
    <x v="7"/>
  </r>
  <r>
    <s v="O-371"/>
    <d v="2015-02-18T00:00:00"/>
    <x v="23"/>
    <s v="Caserones"/>
    <s v="Oscar Castro"/>
    <m/>
    <s v="Planos de fabricación mejoras arenas"/>
    <x v="1"/>
    <s v="ND"/>
    <s v="NAC"/>
    <s v="Chile"/>
    <d v="2015-02-20T00:00:00"/>
    <s v="Pedro Valencia"/>
    <s v="Area 35000"/>
    <x v="5"/>
    <m/>
    <d v="2015-02-19T00:00:00"/>
    <n v="135"/>
    <n v="4.4589999999999996"/>
    <n v="33029.62962962962"/>
    <m/>
    <m/>
    <m/>
    <m/>
    <x v="7"/>
  </r>
  <r>
    <s v="O-370"/>
    <d v="2015-02-17T00:00:00"/>
    <x v="23"/>
    <s v="Caserones"/>
    <m/>
    <m/>
    <s v="Auditoría linea de refino 8300-RA-PN23-4699A-N_0"/>
    <x v="7"/>
    <s v="ND"/>
    <s v="NAC"/>
    <s v="Chile"/>
    <d v="2015-02-17T00:00:00"/>
    <m/>
    <m/>
    <x v="5"/>
    <m/>
    <d v="2015-02-18T00:00:00"/>
    <n v="105"/>
    <n v="4.5324999999999998"/>
    <n v="43166.666666666664"/>
    <m/>
    <m/>
    <m/>
    <m/>
    <x v="7"/>
  </r>
  <r>
    <s v="O-369"/>
    <d v="2015-02-10T00:00:00"/>
    <x v="23"/>
    <s v="Caserones"/>
    <s v="Oscar Castro"/>
    <m/>
    <s v="MLCC Diseño de línea desde cajón Underflow batería 1 a línea de arena de 14"/>
    <x v="1"/>
    <s v="ND"/>
    <s v="NAC"/>
    <s v="Chile"/>
    <d v="2015-02-10T00:00:00"/>
    <m/>
    <m/>
    <x v="5"/>
    <m/>
    <d v="2015-02-19T00:00:00"/>
    <n v="625"/>
    <n v="21.56"/>
    <n v="34496"/>
    <m/>
    <m/>
    <m/>
    <m/>
    <x v="7"/>
  </r>
  <r>
    <s v="O-368"/>
    <d v="2015-02-06T00:00:00"/>
    <x v="23"/>
    <s v="Caserones"/>
    <s v="Cristian Farias"/>
    <m/>
    <s v="Actualización planos según información certificada"/>
    <x v="1"/>
    <s v="ND"/>
    <s v="NAC"/>
    <s v="Chile"/>
    <m/>
    <s v="Jose Gallardo"/>
    <s v="Nula"/>
    <x v="4"/>
    <m/>
    <m/>
    <m/>
    <m/>
    <m/>
    <m/>
    <m/>
    <m/>
    <m/>
    <x v="7"/>
  </r>
  <r>
    <s v="O-367"/>
    <d v="2015-02-04T00:00:00"/>
    <x v="169"/>
    <s v="Minera Sto Domingo"/>
    <s v="Marco Alvarez"/>
    <s v="maalvarez@salfamontajes.com"/>
    <s v="Ingenieria de detalles Concetraducto Stao Domingo"/>
    <x v="1"/>
    <s v="LM"/>
    <s v="NAC"/>
    <s v="Chile"/>
    <d v="2015-02-11T00:00:00"/>
    <s v="Claudio Muñoz"/>
    <m/>
    <x v="3"/>
    <m/>
    <d v="2015-02-16T00:00:00"/>
    <n v="29719"/>
    <n v="996.5865"/>
    <n v="33533.648507688682"/>
    <m/>
    <m/>
    <m/>
    <m/>
    <x v="7"/>
  </r>
  <r>
    <s v="O-366"/>
    <d v="2015-02-03T00:00:00"/>
    <x v="170"/>
    <s v="Fundición Altonorte – Glencore"/>
    <s v="Cesar Campos"/>
    <m/>
    <s v="Estimación de Vida Útil del Tranque de relaves de Fundición Altonorte"/>
    <x v="0"/>
    <s v="LM"/>
    <s v="NAC"/>
    <s v="Chile"/>
    <d v="2015-02-09T00:00:00"/>
    <s v="Claudio Muñoz"/>
    <m/>
    <x v="3"/>
    <m/>
    <d v="2015-02-16T00:00:00"/>
    <n v="358"/>
    <n v="7.7910000000000004"/>
    <n v="21762.569832402238"/>
    <m/>
    <m/>
    <m/>
    <m/>
    <x v="7"/>
  </r>
  <r>
    <s v="O-322"/>
    <d v="2015-02-03T00:00:00"/>
    <x v="23"/>
    <s v="Caserones"/>
    <s v="Jose Luis Moreno / Rafael Rodriguez"/>
    <m/>
    <s v="Asesoria Delphing"/>
    <x v="0"/>
    <s v="ND"/>
    <s v="NAC"/>
    <s v="Chile"/>
    <m/>
    <m/>
    <s v="orden de cambio del SH 087"/>
    <x v="5"/>
    <m/>
    <d v="2015-02-03T00:00:00"/>
    <n v="44"/>
    <n v="4.851"/>
    <n v="110250"/>
    <m/>
    <m/>
    <m/>
    <m/>
    <x v="7"/>
  </r>
  <r>
    <s v="O-349"/>
    <d v="2015-02-02T00:00:00"/>
    <x v="22"/>
    <s v="Centinela"/>
    <s v="Pablo Cheng;         David Berenguela"/>
    <s v="pcheng@mineracentinela.cl ; dberenguela@mineracentinela.cl"/>
    <s v="Estudio Alternativas Suministro de Agua Centinela-Óxidos (ex Tesoro)"/>
    <x v="0"/>
    <s v="LM"/>
    <m/>
    <m/>
    <d v="2015-02-02T00:00:00"/>
    <s v="Pedro Valencia"/>
    <s v="Se competirá con Keypro, Arcadis y otro; No tiene base administrativa"/>
    <x v="3"/>
    <m/>
    <d v="2015-01-19T00:00:00"/>
    <n v="1740"/>
    <n v="74.640058999999994"/>
    <n v="42896.585632183902"/>
    <m/>
    <m/>
    <m/>
    <m/>
    <x v="7"/>
  </r>
  <r>
    <s v="O-365"/>
    <d v="2015-01-27T00:00:00"/>
    <x v="22"/>
    <s v="Centinela"/>
    <s v="Juan Solis Castro"/>
    <s v="jsolis@mineracentinela.cl"/>
    <s v="Apoyo metalúrgico senior en área seca"/>
    <x v="0"/>
    <s v="LM"/>
    <m/>
    <m/>
    <d v="2015-02-05T00:00:00"/>
    <m/>
    <m/>
    <x v="3"/>
    <m/>
    <d v="2015-02-24T00:00:00"/>
    <m/>
    <m/>
    <m/>
    <m/>
    <m/>
    <m/>
    <m/>
    <x v="7"/>
  </r>
  <r>
    <s v="O-362"/>
    <d v="2015-01-27T00:00:00"/>
    <x v="22"/>
    <s v="Centinela"/>
    <s v="Juan Solis Castro"/>
    <s v="jsolis@mineracentinela.cl"/>
    <s v="Apoyo metalúrgico senior en ductos"/>
    <x v="0"/>
    <s v="LM"/>
    <m/>
    <m/>
    <m/>
    <m/>
    <m/>
    <x v="3"/>
    <m/>
    <d v="2015-01-22T00:00:00"/>
    <m/>
    <m/>
    <m/>
    <m/>
    <m/>
    <m/>
    <m/>
    <x v="7"/>
  </r>
  <r>
    <s v="O-360"/>
    <d v="2015-01-27T00:00:00"/>
    <x v="22"/>
    <s v="Centinela"/>
    <s v="Juan Solis Castro"/>
    <s v="jsolis@mineracentinela.cl"/>
    <s v="Apoyo metalúrgico senior en área relaves"/>
    <x v="0"/>
    <s v="LM"/>
    <m/>
    <m/>
    <m/>
    <m/>
    <m/>
    <x v="3"/>
    <m/>
    <d v="2015-01-26T00:00:00"/>
    <m/>
    <m/>
    <m/>
    <m/>
    <m/>
    <m/>
    <m/>
    <x v="7"/>
  </r>
  <r>
    <s v="O-359"/>
    <d v="2015-01-27T00:00:00"/>
    <x v="22"/>
    <s v="Centinela"/>
    <s v="Juan Solis Castro"/>
    <s v="jsolis@mineracentinela.cl"/>
    <s v="Apoyo metalúrgico senior en área húmeda"/>
    <x v="0"/>
    <s v="LM"/>
    <m/>
    <m/>
    <m/>
    <m/>
    <m/>
    <x v="3"/>
    <m/>
    <d v="2015-01-26T00:00:00"/>
    <m/>
    <m/>
    <m/>
    <m/>
    <m/>
    <m/>
    <m/>
    <x v="7"/>
  </r>
  <r>
    <s v="O-351"/>
    <d v="2015-01-27T00:00:00"/>
    <x v="23"/>
    <s v="Caserones"/>
    <s v="Oscar Castro; Luis Rojas"/>
    <m/>
    <s v="Apoyo Especializado Transporte de Arenas 75% solidos, Caserones // Mejoramiento turbulencia en Cajones de arenas 6750-ZC-001 y 002 (pablo está tomando acción. Llevo fotos) // Flexibilidad para alimentar desde cualquier batería a cualquier cajón de arenas.  // Mejoramiento Capacidad de Porteo Overflow Ciclones"/>
    <x v="14"/>
    <s v="ND"/>
    <s v="NAC"/>
    <s v="Chile"/>
    <d v="2015-01-27T00:00:00"/>
    <s v="Pedro valencia"/>
    <s v="PV inlcuir incluir under over"/>
    <x v="5"/>
    <m/>
    <d v="2015-01-21T00:00:00"/>
    <n v="2080"/>
    <n v="40.302500000000002"/>
    <n v="19376.201923076922"/>
    <m/>
    <m/>
    <m/>
    <m/>
    <x v="7"/>
  </r>
  <r>
    <s v="O-363"/>
    <d v="2015-01-23T00:00:00"/>
    <x v="51"/>
    <s v="COLLAHUASI"/>
    <s v="Katherine Menzel Altamirano"/>
    <s v="kmmenzel@collahuasi.cl"/>
    <s v="Oferta Ingeniería Modificación Piscinas P7000 y P1.500 en Puerto Patache"/>
    <x v="1"/>
    <s v="LM"/>
    <s v="NAC"/>
    <s v="Chile"/>
    <d v="2015-01-28T00:00:00"/>
    <m/>
    <m/>
    <x v="3"/>
    <m/>
    <d v="2015-02-19T00:00:00"/>
    <n v="1050"/>
    <n v="42.409500000000001"/>
    <n v="40390"/>
    <m/>
    <m/>
    <m/>
    <m/>
    <x v="7"/>
  </r>
  <r>
    <s v="O-361"/>
    <d v="2015-01-23T00:00:00"/>
    <x v="23"/>
    <s v="Caserones"/>
    <m/>
    <m/>
    <s v="Instalación de control de flujo en Drop Box Hidrometalurgia  y Túnel Lamas"/>
    <x v="1"/>
    <s v="ND"/>
    <s v="NAC"/>
    <s v="Chile"/>
    <m/>
    <s v="Hernan Castro"/>
    <s v="orden de cambio del SH 087"/>
    <x v="4"/>
    <m/>
    <d v="2015-01-22T00:00:00"/>
    <m/>
    <m/>
    <m/>
    <m/>
    <m/>
    <m/>
    <m/>
    <x v="7"/>
  </r>
  <r>
    <s v="O-364"/>
    <d v="2015-01-23T00:00:00"/>
    <x v="23"/>
    <s v="Caserones"/>
    <s v="Christian Farias"/>
    <s v="cfarias@caserones.cl"/>
    <s v="Coordinación de protecciones en baja tensión Pozos fuerte 2, 3 y Nilahue."/>
    <x v="1"/>
    <s v="ND"/>
    <s v="NAC"/>
    <s v="Chile"/>
    <d v="2015-01-30T00:00:00"/>
    <s v="Jose Gallardo"/>
    <s v="orden de cambio del SH 087  Area 36000  OC2"/>
    <x v="5"/>
    <m/>
    <d v="2015-01-23T00:00:00"/>
    <n v="75"/>
    <n v="2.6949999999999998"/>
    <n v="35933.333333333328"/>
    <s v="SH-0087"/>
    <m/>
    <m/>
    <m/>
    <x v="7"/>
  </r>
  <r>
    <s v="O-358"/>
    <d v="2015-01-23T00:00:00"/>
    <x v="23"/>
    <s v="Caserones"/>
    <s v="Cristian Farias"/>
    <m/>
    <s v="Bases Técnicas e Itemizado (4ta Bomba y PEF3)"/>
    <x v="1"/>
    <s v="ND"/>
    <s v="NAC"/>
    <s v="Chile"/>
    <m/>
    <s v="Claudio Muñoz"/>
    <s v="orden de cambio del SH 085   Area 34000 OC2"/>
    <x v="5"/>
    <m/>
    <d v="2015-01-22T00:00:00"/>
    <n v="30"/>
    <n v="1.2495000000000001"/>
    <n v="41650"/>
    <s v="SH-0087"/>
    <m/>
    <m/>
    <m/>
    <x v="7"/>
  </r>
  <r>
    <s v="O-357"/>
    <d v="2015-01-23T00:00:00"/>
    <x v="23"/>
    <s v="Caserones"/>
    <m/>
    <m/>
    <s v="Diseño de Línea paralela de 14” (Cuarta línea, paralela a la tercera línea)."/>
    <x v="1"/>
    <s v="ND"/>
    <s v="NAC"/>
    <s v="Chile"/>
    <m/>
    <s v="Pedro Valencia"/>
    <s v="Incluida en O351"/>
    <x v="5"/>
    <m/>
    <d v="2015-01-22T00:00:00"/>
    <m/>
    <m/>
    <m/>
    <m/>
    <m/>
    <m/>
    <m/>
    <x v="7"/>
  </r>
  <r>
    <s v="O-356"/>
    <d v="2015-01-23T00:00:00"/>
    <x v="23"/>
    <s v="Caserones"/>
    <s v="Oscar Castro"/>
    <m/>
    <s v="Equilibrio  de aguas desde la desde La Brea"/>
    <x v="14"/>
    <s v="ND"/>
    <s v="NAC"/>
    <s v="Chile"/>
    <d v="2015-02-02T00:00:00"/>
    <s v="Cristian Lopez"/>
    <s v="orden de cambio del SH 087"/>
    <x v="5"/>
    <m/>
    <d v="2015-01-22T00:00:00"/>
    <n v="465"/>
    <n v="16.929500000000001"/>
    <n v="36407.526881720434"/>
    <m/>
    <m/>
    <m/>
    <m/>
    <x v="7"/>
  </r>
  <r>
    <s v="O-353"/>
    <d v="2015-01-22T00:00:00"/>
    <x v="22"/>
    <m/>
    <s v="Juan Alberto Solis"/>
    <s v="jsolis@mineracentinela.cl"/>
    <s v="Actualización de Flow Sheet y PID Proyecto Centinela Sulfuros (Ex Esperanza"/>
    <x v="0"/>
    <s v="ND"/>
    <m/>
    <m/>
    <d v="2015-02-15T00:00:00"/>
    <s v="Mario Arredondo"/>
    <s v="Nula"/>
    <x v="4"/>
    <m/>
    <d v="2015-01-22T00:00:00"/>
    <m/>
    <m/>
    <m/>
    <m/>
    <m/>
    <m/>
    <m/>
    <x v="7"/>
  </r>
  <r>
    <s v="O-355"/>
    <d v="2015-01-21T00:00:00"/>
    <x v="44"/>
    <s v="Anglo American"/>
    <s v="René Lagos"/>
    <s v="rene.lagos@angloamerican.com"/>
    <s v="Analisis Filtraciones Tuberia Agua"/>
    <x v="10"/>
    <s v="ND"/>
    <m/>
    <s v="Chile"/>
    <d v="2015-01-26T00:00:00"/>
    <s v="Claudio Muñoz"/>
    <m/>
    <x v="3"/>
    <m/>
    <d v="2015-01-23T00:00:00"/>
    <n v="230"/>
    <n v="11.5395"/>
    <n v="50171.739130434784"/>
    <m/>
    <m/>
    <m/>
    <m/>
    <x v="7"/>
  </r>
  <r>
    <s v="O-354"/>
    <d v="2015-01-21T00:00:00"/>
    <x v="44"/>
    <s v="Anglo American"/>
    <s v="René Lagos"/>
    <s v="rene.lagos@angloamerican.com"/>
    <s v="Analisis Filtraciones Evacuador de Emergencia"/>
    <x v="10"/>
    <s v="ND"/>
    <m/>
    <s v="Chile"/>
    <d v="2015-01-26T00:00:00"/>
    <s v="Claudio Muñoz"/>
    <m/>
    <x v="3"/>
    <m/>
    <d v="2015-01-23T00:00:00"/>
    <n v="300"/>
    <n v="14.871499999999999"/>
    <n v="49571.666666666664"/>
    <m/>
    <m/>
    <m/>
    <m/>
    <x v="7"/>
  </r>
  <r>
    <s v="O-352"/>
    <d v="2015-01-21T00:00:00"/>
    <x v="171"/>
    <s v="Andes Iron"/>
    <s v="Steve Klose"/>
    <s v="steve.klose@worleyparsons.com"/>
    <s v="Concetrate Pipeline Design Package – Dominga Iron Project"/>
    <x v="0"/>
    <s v="LM"/>
    <m/>
    <m/>
    <d v="2015-02-06T00:00:00"/>
    <s v="Pedro Valencia"/>
    <m/>
    <x v="3"/>
    <m/>
    <d v="2015-01-21T00:00:00"/>
    <n v="5574"/>
    <n v="225.8655"/>
    <n v="40521.259418729816"/>
    <m/>
    <m/>
    <m/>
    <m/>
    <x v="7"/>
  </r>
  <r>
    <s v="O-348"/>
    <d v="2015-01-19T00:00:00"/>
    <x v="156"/>
    <s v="Dessau Chile"/>
    <m/>
    <m/>
    <s v="Determinación de las áreas de inundación de los cauces"/>
    <x v="0"/>
    <s v="LM"/>
    <m/>
    <m/>
    <m/>
    <m/>
    <m/>
    <x v="3"/>
    <m/>
    <m/>
    <n v="265"/>
    <n v="8.2810000000000006"/>
    <n v="31249.056603773588"/>
    <m/>
    <m/>
    <m/>
    <m/>
    <x v="7"/>
  </r>
  <r>
    <s v="O-347"/>
    <d v="2015-01-15T00:00:00"/>
    <x v="23"/>
    <s v="Caserones"/>
    <s v="Rene Orellana"/>
    <s v="rorellana@caserones.cl"/>
    <s v="Estudio Extender Vida Útil Bombad de Agua Recuperada La Brea"/>
    <x v="1"/>
    <s v="ND"/>
    <s v="NAC"/>
    <s v="Chile"/>
    <m/>
    <s v="Mario Arredondo"/>
    <s v="orden de cambio del SH 087    Area 33000      OC 3"/>
    <x v="5"/>
    <m/>
    <d v="2015-01-19T00:00:00"/>
    <n v="220"/>
    <n v="8.3055000000000003"/>
    <n v="37752.272727272728"/>
    <m/>
    <m/>
    <m/>
    <m/>
    <x v="7"/>
  </r>
  <r>
    <s v="O-346"/>
    <d v="2015-01-15T00:00:00"/>
    <x v="23"/>
    <s v="Caserones"/>
    <s v="Luis Rojas/ Vicente Salinas"/>
    <s v="rorellana@caserones.cl"/>
    <s v="Ingenieria Detalles Conducción Definitiva de Lamas a la Brea"/>
    <x v="1"/>
    <s v="ND"/>
    <s v="NAC"/>
    <s v="Chile"/>
    <m/>
    <s v="Mario Arredondo"/>
    <s v="orden de cambio del SH 087    Area 32000      OC 3"/>
    <x v="5"/>
    <m/>
    <d v="2015-01-19T00:00:00"/>
    <n v="1436"/>
    <n v="50.494500000000002"/>
    <n v="35163.300835654598"/>
    <m/>
    <m/>
    <m/>
    <m/>
    <x v="7"/>
  </r>
  <r>
    <s v="O-345"/>
    <d v="2015-01-14T00:00:00"/>
    <x v="23"/>
    <s v="Caserones"/>
    <s v="Cristian Farias"/>
    <m/>
    <s v="Respuestas a SDI"/>
    <x v="1"/>
    <s v="ND"/>
    <s v="NAC"/>
    <s v="Chile"/>
    <m/>
    <s v="Pedro Valencia"/>
    <s v="orden de cambio del SH 087   Area 23000   OC 2"/>
    <x v="5"/>
    <m/>
    <d v="2015-01-26T00:00:00"/>
    <n v="225"/>
    <n v="9.0404999999999998"/>
    <n v="40180"/>
    <s v="SH-0087"/>
    <m/>
    <m/>
    <m/>
    <x v="7"/>
  </r>
  <r>
    <s v="O-344"/>
    <d v="2015-01-07T00:00:00"/>
    <x v="23"/>
    <s v="Caserones"/>
    <s v="J Reinoso/ C Farias"/>
    <m/>
    <s v="Analisis de Fallas soportación Tuberias"/>
    <x v="1"/>
    <s v="ND"/>
    <s v="NAC"/>
    <s v="Chile"/>
    <d v="2015-01-07T00:00:00"/>
    <s v="Pedro Valencia"/>
    <s v="orden de cambio del SH 087   Area 31000   OC 2"/>
    <x v="5"/>
    <m/>
    <d v="2015-01-26T00:00:00"/>
    <n v="198"/>
    <n v="7.7981999999999996"/>
    <n v="39384.84848484848"/>
    <m/>
    <m/>
    <m/>
    <m/>
    <x v="7"/>
  </r>
  <r>
    <s v="O-333"/>
    <d v="2015-01-07T00:00:00"/>
    <x v="23"/>
    <s v="Caserones"/>
    <s v="Rene Orellana"/>
    <s v="rorellana@caserones.cl"/>
    <s v="Apoyo Plan de Normalizacion Relaves"/>
    <x v="1"/>
    <s v="ND"/>
    <s v="NAC"/>
    <s v="Chile"/>
    <d v="2015-01-07T00:00:00"/>
    <s v="Pedro Valencia"/>
    <s v="orden de cambio del SH 087   Area 25000   OC 2"/>
    <x v="5"/>
    <m/>
    <d v="2015-01-26T00:00:00"/>
    <n v="5799"/>
    <n v="210.57599999999999"/>
    <n v="36312.467666839104"/>
    <s v="SH-0087"/>
    <m/>
    <m/>
    <m/>
    <x v="7"/>
  </r>
  <r>
    <s v="O-332"/>
    <d v="2015-01-07T00:00:00"/>
    <x v="23"/>
    <s v="Caserones"/>
    <s v="Rafael Rodriguez"/>
    <m/>
    <s v="Desplazamiento Amortiguadores EB1"/>
    <x v="1"/>
    <s v="ND"/>
    <s v="NAC"/>
    <s v="Chile"/>
    <d v="2015-01-07T00:00:00"/>
    <s v="Pedro Valencia"/>
    <s v="orden de cambio del SH 087   Area 28000   OC 2"/>
    <x v="5"/>
    <m/>
    <d v="2015-01-26T00:00:00"/>
    <n v="531"/>
    <n v="21.339500000000001"/>
    <n v="40187.382297551791"/>
    <s v="SH-0087"/>
    <m/>
    <m/>
    <m/>
    <x v="7"/>
  </r>
  <r>
    <s v="O-343"/>
    <d v="2014-12-30T00:00:00"/>
    <x v="109"/>
    <s v="Codelco"/>
    <s v="Juan Manuel Silva. "/>
    <s v="Juanmanuel.silva@glemans.com"/>
    <s v="Ing. Detalle Pig Pampa Puno&quot;"/>
    <x v="1"/>
    <s v="LM"/>
    <s v="NAC"/>
    <s v="Chile"/>
    <d v="2015-01-05T00:00:00"/>
    <s v="Mario Arredondo"/>
    <s v="Aprobada inversión. Peleando con proyecto alternativo. Llamar primera semana de febrero"/>
    <x v="3"/>
    <m/>
    <d v="2015-01-19T00:00:00"/>
    <n v="1363"/>
    <n v="48.929400000000001"/>
    <n v="35898.312545854729"/>
    <m/>
    <m/>
    <m/>
    <m/>
    <x v="8"/>
  </r>
  <r>
    <s v="O-310"/>
    <d v="2014-12-22T00:00:00"/>
    <x v="109"/>
    <s v="ALMA"/>
    <s v="Juan Manuel Silva."/>
    <s v="Juanmanuel.silva@glemans.com"/>
    <s v="Ingenieria Detalles Gasoducto ALMA"/>
    <x v="1"/>
    <s v="LM"/>
    <s v="NAC"/>
    <s v="Chile"/>
    <d v="2014-12-22T00:00:00"/>
    <s v="Claudio Muñoz"/>
    <s v="adjudicada Ing. Conceptual"/>
    <x v="5"/>
    <m/>
    <d v="2014-02-09T00:00:00"/>
    <n v="625"/>
    <n v="24.5"/>
    <n v="39200"/>
    <s v="SH-0112"/>
    <m/>
    <m/>
    <m/>
    <x v="8"/>
  </r>
  <r>
    <s v="O-342"/>
    <d v="2014-12-22T00:00:00"/>
    <x v="109"/>
    <s v="Flexipipe"/>
    <s v="Juan Manuel Silva. "/>
    <s v="Juanmanuel.silva@glemans.com"/>
    <s v="Ingeniero Senior FLEXPIPE SYSTEMS"/>
    <x v="17"/>
    <s v="ND"/>
    <s v="INT"/>
    <s v="Canada - Calgary"/>
    <m/>
    <s v="Claudio Muñoz"/>
    <m/>
    <x v="3"/>
    <m/>
    <d v="2014-12-22T00:00:00"/>
    <n v="60"/>
    <n v="7.5274000000000001"/>
    <n v="125456.66666666666"/>
    <m/>
    <m/>
    <m/>
    <m/>
    <x v="8"/>
  </r>
  <r>
    <s v="O-341"/>
    <d v="2014-12-22T00:00:00"/>
    <x v="29"/>
    <s v="SQM"/>
    <s v="Lidnsay Mena "/>
    <m/>
    <s v="Servicio de Ingeniería conceptual  asociado a la creación de una nueva área de lavado en las planta NPT 2 y NPT "/>
    <x v="2"/>
    <s v="LM"/>
    <s v="NAC"/>
    <s v="Chile"/>
    <d v="2015-01-06T00:00:00"/>
    <s v="Mario Arredondo"/>
    <s v="enviada"/>
    <x v="3"/>
    <m/>
    <d v="2015-01-15T00:00:00"/>
    <n v="1736"/>
    <n v="61.653725000000001"/>
    <n v="35514.818548387098"/>
    <m/>
    <m/>
    <m/>
    <m/>
    <x v="8"/>
  </r>
  <r>
    <s v="O-340"/>
    <d v="2014-12-22T00:00:00"/>
    <x v="29"/>
    <s v="SQM"/>
    <s v="Gemita Gonzalez"/>
    <s v="gemita.gonzalez@sqm.com"/>
    <s v="servicios de asesoría en el Área Hidráulica "/>
    <x v="3"/>
    <s v="LM"/>
    <s v="NAC"/>
    <s v="Chile"/>
    <d v="2015-01-06T00:00:00"/>
    <s v="Pedro Valencia"/>
    <s v="enviada"/>
    <x v="3"/>
    <m/>
    <d v="2015-01-15T00:00:00"/>
    <m/>
    <m/>
    <s v="N/A"/>
    <m/>
    <m/>
    <m/>
    <s v="Llamada frecuente a P Villarroel"/>
    <x v="8"/>
  </r>
  <r>
    <s v="O-334"/>
    <d v="2014-12-22T00:00:00"/>
    <x v="109"/>
    <s v="ROSEN"/>
    <s v="Juan Manuel Silva. "/>
    <s v="Juanmanuel.silva@glemans.com"/>
    <s v="Ingeniero Senior ROSEN GROUP"/>
    <x v="17"/>
    <s v="ND"/>
    <s v="INT"/>
    <s v="Alemania- Lingen"/>
    <m/>
    <s v="Claudio Muñoz"/>
    <m/>
    <x v="3"/>
    <m/>
    <d v="2015-01-19T00:00:00"/>
    <n v="60"/>
    <n v="7.5274000000000001"/>
    <n v="125456.66666666666"/>
    <m/>
    <m/>
    <m/>
    <m/>
    <x v="8"/>
  </r>
  <r>
    <s v="O-240"/>
    <d v="2014-12-22T00:00:00"/>
    <x v="117"/>
    <s v="Cru Strategies"/>
    <s v="Juan Esteban Fuentes"/>
    <s v="hugo.andrade@arcadis.cl"/>
    <s v="Estudio de Benchmarking Concentradoras y Taller 2013"/>
    <x v="2"/>
    <s v="ND"/>
    <s v="NAC"/>
    <s v="Chile"/>
    <d v="2014-12-23T00:00:00"/>
    <s v="Claudio Muñoz"/>
    <m/>
    <x v="3"/>
    <m/>
    <d v="2014-01-06T00:00:00"/>
    <n v="75"/>
    <n v="2.33"/>
    <n v="31066.666666666664"/>
    <m/>
    <m/>
    <m/>
    <m/>
    <x v="8"/>
  </r>
  <r>
    <s v="O-335"/>
    <d v="2014-12-20T00:00:00"/>
    <x v="13"/>
    <s v="Sierra Gorda"/>
    <s v="Luis Tapia"/>
    <m/>
    <s v="Scoping Study  Tratamiento de Relaves en Sierra Gorda"/>
    <x v="30"/>
    <s v="ND"/>
    <s v="NAC"/>
    <s v="Chile"/>
    <m/>
    <s v="Mario Arredondo"/>
    <m/>
    <x v="3"/>
    <m/>
    <d v="2014-12-20T00:00:00"/>
    <n v="1675"/>
    <n v="64.845600000000005"/>
    <n v="38713.791044776124"/>
    <m/>
    <m/>
    <m/>
    <m/>
    <x v="8"/>
  </r>
  <r>
    <s v="O-339"/>
    <d v="2014-12-18T00:00:00"/>
    <x v="45"/>
    <s v="PELAMBRES"/>
    <s v="Pierino Venturini M"/>
    <m/>
    <s v="Ingeniería Conceptual para reiniciar repulpeo de relaves en el tranque Quillayes"/>
    <x v="2"/>
    <s v="ND"/>
    <s v="NAC"/>
    <s v="Chile"/>
    <d v="2015-01-07T00:00:00"/>
    <s v="Mario Arredondo"/>
    <m/>
    <x v="5"/>
    <m/>
    <d v="2014-12-22T00:00:00"/>
    <n v="905"/>
    <n v="36.945999999999998"/>
    <n v="40824.30939226519"/>
    <s v="SH-0111"/>
    <m/>
    <m/>
    <s v="Llamar a Juan Manuel Silva"/>
    <x v="8"/>
  </r>
  <r>
    <s v="O-338"/>
    <d v="2014-12-18T00:00:00"/>
    <x v="23"/>
    <s v="Caserones"/>
    <s v="Ricardo Carvajal / Luis Rojas"/>
    <m/>
    <s v="Mejoramiento Línea Impulsión de Refino"/>
    <x v="1"/>
    <s v="ND"/>
    <s v="NAC"/>
    <s v="Chile"/>
    <m/>
    <s v="Hernán Castro"/>
    <s v="orden de cambio del SH 087   Area 30000   OC 2"/>
    <x v="5"/>
    <m/>
    <d v="2015-01-26T00:00:00"/>
    <n v="314"/>
    <n v="12.054"/>
    <n v="38388.535031847139"/>
    <s v="SH-0087"/>
    <m/>
    <m/>
    <m/>
    <x v="8"/>
  </r>
  <r>
    <s v="O-336"/>
    <d v="2014-12-17T00:00:00"/>
    <x v="29"/>
    <s v="SQM"/>
    <s v="Gemita Gonzalez"/>
    <s v="gemita.gonzalez@sqm.com"/>
    <s v="SQM-LI-5553 &quot;Estudio Alternativas de Alimentación Electrica Proyecto Sumo"/>
    <x v="9"/>
    <s v="LM"/>
    <s v="NAC"/>
    <s v="Chile"/>
    <d v="2015-01-07T00:00:00"/>
    <s v="José Gallardo"/>
    <s v="se presenta carta excusa"/>
    <x v="4"/>
    <m/>
    <d v="2015-01-15T00:00:00"/>
    <m/>
    <m/>
    <m/>
    <m/>
    <m/>
    <m/>
    <m/>
    <x v="8"/>
  </r>
  <r>
    <s v="O-337"/>
    <d v="2014-12-15T00:00:00"/>
    <x v="16"/>
    <s v="CANDELARIA"/>
    <s v="David Muñoz"/>
    <m/>
    <s v="Remoción Tranque de Relaves San Esteban"/>
    <x v="2"/>
    <s v="ND"/>
    <s v="NAC"/>
    <s v="Chile"/>
    <m/>
    <s v="Pedro Valencia"/>
    <m/>
    <x v="3"/>
    <m/>
    <d v="2014-12-20T00:00:00"/>
    <n v="597"/>
    <n v="24.550799999999999"/>
    <n v="41123.618090452255"/>
    <m/>
    <m/>
    <m/>
    <s v="llamar a Andres Yeomans"/>
    <x v="8"/>
  </r>
  <r>
    <s v="O-330"/>
    <d v="2014-12-12T00:00:00"/>
    <x v="172"/>
    <s v="Escondida"/>
    <s v="Alejandra Lauriani "/>
    <m/>
    <s v="El proyecto Escondida Water Supply"/>
    <x v="3"/>
    <s v="ND"/>
    <s v="NAC"/>
    <s v="Chile"/>
    <m/>
    <s v="Mario Arredondo"/>
    <s v="Em Consorcio con Microglobal 50%- 50%"/>
    <x v="4"/>
    <m/>
    <d v="2014-12-12T00:00:00"/>
    <m/>
    <m/>
    <m/>
    <m/>
    <m/>
    <m/>
    <m/>
    <x v="8"/>
  </r>
  <r>
    <s v="O-331"/>
    <d v="2014-12-05T00:00:00"/>
    <x v="23"/>
    <s v="Caserones"/>
    <s v="Rafael Rodriguez"/>
    <m/>
    <s v="Planos para plan de extraciión"/>
    <x v="1"/>
    <s v="ND"/>
    <s v="NAC"/>
    <s v="Chile"/>
    <d v="2014-12-05T00:00:00"/>
    <s v="Hernán Castro"/>
    <s v="orden de cambio del SH 087   Area 27000   OC 2"/>
    <x v="5"/>
    <m/>
    <d v="2015-01-26T00:00:00"/>
    <n v="115"/>
    <n v="4.0098000000000003"/>
    <n v="34867.82608695652"/>
    <s v="SH-0087"/>
    <m/>
    <m/>
    <m/>
    <x v="8"/>
  </r>
  <r>
    <s v="O-319"/>
    <d v="2014-12-04T00:00:00"/>
    <x v="23"/>
    <s v="Caserones"/>
    <s v="Jose Luis Moreno / Rafael Rodriguez"/>
    <m/>
    <s v="Area 13000"/>
    <x v="1"/>
    <s v="ND"/>
    <s v="NAC"/>
    <s v="Chile"/>
    <d v="2014-12-04T00:00:00"/>
    <m/>
    <s v="orden de cambio del SH 087    Area 13000    OC 1"/>
    <x v="5"/>
    <m/>
    <d v="2015-01-26T00:00:00"/>
    <n v="476"/>
    <n v="23.260300000000001"/>
    <n v="48866.176470588238"/>
    <s v="SH-0087"/>
    <m/>
    <m/>
    <m/>
    <x v="8"/>
  </r>
  <r>
    <s v="O-328"/>
    <d v="2014-12-03T00:00:00"/>
    <x v="51"/>
    <s v="COLLAHUASI"/>
    <s v="Cristian Jaque"/>
    <s v="cmjaque@collahuasi.cl"/>
    <s v="Scoping Study, Reemplazo Cajón Colector de Relaves"/>
    <x v="30"/>
    <s v="ND"/>
    <s v="NAC"/>
    <s v="Chile"/>
    <m/>
    <s v="Mario Arredondo"/>
    <m/>
    <x v="3"/>
    <m/>
    <d v="2014-12-03T00:00:00"/>
    <n v="766"/>
    <n v="32.487000000000002"/>
    <n v="42411.227154047003"/>
    <m/>
    <m/>
    <m/>
    <m/>
    <x v="8"/>
  </r>
  <r>
    <s v="O-325"/>
    <d v="2014-12-03T00:00:00"/>
    <x v="51"/>
    <s v="COLLAHUASI"/>
    <s v="Cristian Jaque"/>
    <s v="cmjaque@collahuasi.cl"/>
    <s v="Ingeniería de Detalles Sistema de Bombeo en Losa Estanques de Concentrado"/>
    <x v="1"/>
    <s v="ND"/>
    <s v="NAC"/>
    <s v="Chile"/>
    <m/>
    <s v="Mario Arredondo"/>
    <m/>
    <x v="3"/>
    <m/>
    <d v="2014-12-03T00:00:00"/>
    <n v="987"/>
    <n v="40.963999999999999"/>
    <n v="41503.546099290783"/>
    <m/>
    <m/>
    <m/>
    <s v="Consultar a Alvaro Huerta"/>
    <x v="8"/>
  </r>
  <r>
    <s v="O-311"/>
    <d v="2014-12-03T00:00:00"/>
    <x v="0"/>
    <m/>
    <s v="Josue Tapia"/>
    <m/>
    <s v="Estudio DIA para proyecto Extracción de Aridos"/>
    <x v="33"/>
    <s v="ND"/>
    <m/>
    <m/>
    <m/>
    <s v="Pedro Valencia"/>
    <m/>
    <x v="4"/>
    <m/>
    <d v="2014-12-03T00:00:00"/>
    <m/>
    <m/>
    <m/>
    <m/>
    <m/>
    <m/>
    <m/>
    <x v="8"/>
  </r>
  <r>
    <s v="O-329"/>
    <d v="2014-12-02T00:00:00"/>
    <x v="153"/>
    <s v="Caspiche"/>
    <s v="Juan Coeymans"/>
    <m/>
    <s v="Acuerdo Confidencialidad Estimacion Capex /Opex Caspiche"/>
    <x v="29"/>
    <s v="ND"/>
    <s v="NAC"/>
    <s v="Chile"/>
    <d v="2014-12-02T00:00:00"/>
    <s v="Mario Arredondo"/>
    <m/>
    <x v="5"/>
    <m/>
    <d v="2014-12-03T00:00:00"/>
    <n v="40"/>
    <n v="1.96"/>
    <n v="49000"/>
    <s v="SH-0110"/>
    <m/>
    <m/>
    <s v="Consultar a R Orellana/M Ruiz/M Saavedra"/>
    <x v="8"/>
  </r>
  <r>
    <s v="O-327"/>
    <d v="2014-12-01T00:00:00"/>
    <x v="51"/>
    <s v="COLLAHUASI"/>
    <s v="Cristian Jaque"/>
    <s v="cmjaque@collahuasi.cl"/>
    <s v="Diseño Conceptual Protección Bombas GEHO"/>
    <x v="2"/>
    <s v="ND"/>
    <s v="NAC"/>
    <s v="Chile"/>
    <m/>
    <s v="Mario Arredondo"/>
    <m/>
    <x v="3"/>
    <m/>
    <d v="2014-12-03T00:00:00"/>
    <n v="707"/>
    <n v="30.404499999999999"/>
    <n v="43004.950495049503"/>
    <m/>
    <m/>
    <m/>
    <m/>
    <x v="8"/>
  </r>
  <r>
    <s v="O-326"/>
    <d v="2014-12-01T00:00:00"/>
    <x v="151"/>
    <s v="Empírica Consultores"/>
    <s v="Francisco Soto"/>
    <s v="francisco.soto@empiricaconsultores.cl"/>
    <s v="Benchmarking Mantención Tuberías de Transporte Pulpas y Agua"/>
    <x v="28"/>
    <s v="ND"/>
    <s v="NAC"/>
    <s v="Chile"/>
    <m/>
    <s v="Pedro Valencia"/>
    <m/>
    <x v="3"/>
    <m/>
    <d v="2014-12-03T00:00:00"/>
    <n v="260"/>
    <n v="11.907"/>
    <n v="45796.153846153844"/>
    <m/>
    <m/>
    <m/>
    <s v="Consultar a davor Versalovic/Cesar Gonzalez"/>
    <x v="8"/>
  </r>
  <r>
    <s v="O-324"/>
    <d v="2014-11-19T00:00:00"/>
    <x v="23"/>
    <s v="Caserones"/>
    <s v="Rene Orellana"/>
    <s v="rorellana@caserones.cl"/>
    <s v="Area 19000"/>
    <x v="1"/>
    <s v="ND"/>
    <s v="NAC"/>
    <s v="Chile"/>
    <d v="2014-11-19T00:00:00"/>
    <m/>
    <s v="orden de cambio del SH 087    Area 19000  OC 1"/>
    <x v="5"/>
    <m/>
    <d v="2015-01-26T00:00:00"/>
    <n v="28"/>
    <n v="1.6316999999999997"/>
    <n v="58274.999999999985"/>
    <s v="SH-0087"/>
    <m/>
    <m/>
    <m/>
    <x v="8"/>
  </r>
  <r>
    <s v="O-323"/>
    <d v="2014-11-19T00:00:00"/>
    <x v="23"/>
    <s v="Caserones"/>
    <s v="M Ruiz"/>
    <m/>
    <s v="Estudios Fluviométricos"/>
    <x v="14"/>
    <s v="ND"/>
    <s v="NAC"/>
    <s v="Chile"/>
    <d v="2014-11-19T00:00:00"/>
    <s v="Hernán Castro"/>
    <s v="orden de cambio del SH 087   Area 29000   OC 2"/>
    <x v="5"/>
    <m/>
    <d v="2015-01-26T00:00:00"/>
    <n v="115"/>
    <n v="3.9812500000000002"/>
    <n v="34619.565217391304"/>
    <s v="SH-0087"/>
    <m/>
    <m/>
    <m/>
    <x v="8"/>
  </r>
  <r>
    <s v="O-321"/>
    <d v="2014-11-18T00:00:00"/>
    <x v="23"/>
    <s v="Caserones"/>
    <s v="Jose Luis Moreno / Rafael Rodriguez"/>
    <m/>
    <s v="Area 18000 Cambio Diámetro tuberia Pozo Nilahue y PO "/>
    <x v="14"/>
    <s v="ND"/>
    <s v="NAC"/>
    <s v="Chile"/>
    <d v="2014-11-18T00:00:00"/>
    <s v="José Gallardo"/>
    <s v="orden de cambio del SH 087       Area 18000  OC 1"/>
    <x v="5"/>
    <m/>
    <d v="2015-01-26T00:00:00"/>
    <n v="16"/>
    <n v="0.85750000000000004"/>
    <n v="53593.75"/>
    <s v="SH-0087"/>
    <m/>
    <m/>
    <m/>
    <x v="8"/>
  </r>
  <r>
    <s v="O-320"/>
    <d v="2014-11-18T00:00:00"/>
    <x v="23"/>
    <s v="Caserones"/>
    <s v="Jose Luis Moreno / Rafael Rodriguez"/>
    <m/>
    <s v="Area 17000 Soportacion Vertical Bba Pozo Pesenti Oviedo"/>
    <x v="1"/>
    <s v="ND"/>
    <s v="NAC"/>
    <s v="Chile"/>
    <d v="2014-11-18T00:00:00"/>
    <s v="José Gallardo"/>
    <s v="orden de cambio del SH 087       Area 17000  OC 1"/>
    <x v="5"/>
    <m/>
    <d v="2015-01-26T00:00:00"/>
    <n v="14"/>
    <n v="0.73499999999999999"/>
    <n v="52500"/>
    <s v="SH-0087"/>
    <m/>
    <m/>
    <m/>
    <x v="8"/>
  </r>
  <r>
    <s v="O-318"/>
    <d v="2014-11-18T00:00:00"/>
    <x v="23"/>
    <s v="Caserones"/>
    <s v="Jose Luis Moreno / Rafael Rodriguez"/>
    <m/>
    <s v="Area 14000 Verificación Estructural Puente Provisorio"/>
    <x v="1"/>
    <s v="ND"/>
    <s v="NAC"/>
    <s v="Chile"/>
    <d v="2014-11-18T00:00:00"/>
    <s v="Claudio Muñoz"/>
    <s v="orden de cambio del SH 087    Area 14000    OC 1"/>
    <x v="5"/>
    <m/>
    <d v="2015-01-26T00:00:00"/>
    <n v="25"/>
    <n v="1.31565"/>
    <n v="52626"/>
    <s v="SH-0087"/>
    <m/>
    <m/>
    <m/>
    <x v="8"/>
  </r>
  <r>
    <s v="O-308"/>
    <d v="2014-11-18T00:00:00"/>
    <x v="23"/>
    <s v="Caserones"/>
    <s v="Jose Luis Moreno"/>
    <m/>
    <s v="Verificación Estructural Puente Fiscal Los Loros-Acceso Pozos El Fuerte"/>
    <x v="1"/>
    <s v="ND"/>
    <s v="NAC"/>
    <s v="Chile"/>
    <d v="2014-11-18T00:00:00"/>
    <s v="Claudio Muñoz"/>
    <s v="orden de cambio del SH 087   Area 15000"/>
    <x v="5"/>
    <m/>
    <d v="2014-12-03T00:00:00"/>
    <n v="244"/>
    <n v="9.7754999999999992"/>
    <n v="40063.524590163928"/>
    <s v="SH-0087"/>
    <m/>
    <m/>
    <m/>
    <x v="8"/>
  </r>
  <r>
    <s v="O-350"/>
    <d v="2014-11-17T00:00:00"/>
    <x v="173"/>
    <s v="Guillermo Tamblay"/>
    <s v="Guillermo Tamblay"/>
    <s v="gtamblayp@hotmail.com"/>
    <s v="Propuesta Ingeniería de Perfil Puente Receptores y obras anexas"/>
    <x v="34"/>
    <s v="ND"/>
    <m/>
    <s v="Chile"/>
    <d v="2015-01-30T00:00:00"/>
    <s v="Claudio Muñoiz"/>
    <m/>
    <x v="3"/>
    <m/>
    <d v="2015-01-23T00:00:00"/>
    <m/>
    <m/>
    <m/>
    <m/>
    <m/>
    <m/>
    <m/>
    <x v="8"/>
  </r>
  <r>
    <s v="O-317"/>
    <d v="2014-11-17T00:00:00"/>
    <x v="23"/>
    <s v="Caserones"/>
    <s v="Rafael Rodriguez"/>
    <m/>
    <s v="Ingenieria Detalles montaje cuarta bomba"/>
    <x v="1"/>
    <s v="ND"/>
    <s v="NAC"/>
    <s v="Chile"/>
    <m/>
    <s v="Pedro Valencia"/>
    <s v="orden de cambio del SH 087      Area 21000 Oc 2"/>
    <x v="5"/>
    <m/>
    <d v="2014-11-17T00:00:00"/>
    <n v="1023"/>
    <n v="38.244500000000002"/>
    <n v="37384.652981427178"/>
    <s v="SH-0087"/>
    <m/>
    <m/>
    <s v="Conultar a L Rebolledo"/>
    <x v="8"/>
  </r>
  <r>
    <s v="O-316"/>
    <d v="2014-11-14T00:00:00"/>
    <x v="23"/>
    <s v="Caserones"/>
    <s v="Rafael Rodriguez"/>
    <m/>
    <s v="Ingenieria para Monitoreo Robusto de Pozos Off-Site e In-Site MLCC y DGA"/>
    <x v="1"/>
    <s v="ND"/>
    <s v="NAC"/>
    <s v="Chile"/>
    <m/>
    <s v="José Gallardo"/>
    <s v="orden de cambio del SH 087     Area 20000 Oc 2"/>
    <x v="5"/>
    <m/>
    <d v="2014-11-14T00:00:00"/>
    <n v="320"/>
    <n v="9.9960000000000004"/>
    <n v="31237.5"/>
    <s v="SH-0087"/>
    <m/>
    <m/>
    <m/>
    <x v="8"/>
  </r>
  <r>
    <s v="O-314"/>
    <d v="2014-11-12T00:00:00"/>
    <x v="16"/>
    <s v="CANDELARIA"/>
    <s v="David Muñoz"/>
    <m/>
    <s v="Evaluación Técnica Estabilidad Talud Area 620"/>
    <x v="0"/>
    <s v="ND"/>
    <s v="NAC"/>
    <s v="Chile"/>
    <m/>
    <s v="C Muñoz"/>
    <s v="revisar"/>
    <x v="4"/>
    <m/>
    <d v="2014-11-14T00:00:00"/>
    <m/>
    <m/>
    <m/>
    <m/>
    <m/>
    <m/>
    <s v="Consultar a Davaor Versalovic de sQM"/>
    <x v="8"/>
  </r>
  <r>
    <s v="O-313"/>
    <d v="2014-11-12T00:00:00"/>
    <x v="174"/>
    <s v="LAS BAMBAS"/>
    <s v="Jorge Agustini"/>
    <m/>
    <s v="Servicio de Revisión Especializada Transporte de Relaves LAS BAMBAS"/>
    <x v="0"/>
    <s v="ND"/>
    <s v="INT"/>
    <s v="Perú"/>
    <m/>
    <s v="Pedro Valencia"/>
    <m/>
    <x v="3"/>
    <m/>
    <d v="2014-12-03T00:00:00"/>
    <m/>
    <n v="4.5"/>
    <m/>
    <m/>
    <m/>
    <m/>
    <m/>
    <x v="8"/>
  </r>
  <r>
    <s v="O-315"/>
    <d v="2014-11-12T00:00:00"/>
    <x v="23"/>
    <s v="Caserones"/>
    <s v="Gonzalo Araujo"/>
    <m/>
    <s v="Asesoría Pedro Villarroel por Depósito de Arenas"/>
    <x v="3"/>
    <s v="ND"/>
    <s v="NAC"/>
    <s v="Chile"/>
    <m/>
    <s v="Pedro Valencia"/>
    <s v="Incluida en O333   Area 25000"/>
    <x v="5"/>
    <m/>
    <d v="2015-02-19T00:00:00"/>
    <n v="412"/>
    <n v="15.337"/>
    <n v="37225.728155339806"/>
    <s v="SH-0087"/>
    <m/>
    <m/>
    <m/>
    <x v="8"/>
  </r>
  <r>
    <s v="O-312"/>
    <d v="2014-11-10T00:00:00"/>
    <x v="29"/>
    <s v="SQM"/>
    <s v="Yasna Fuenzalida"/>
    <m/>
    <s v="Estudio de Protecciones Cop4 y Mina Oeste NV"/>
    <x v="0"/>
    <s v="LM"/>
    <s v="NAC"/>
    <s v="Chile"/>
    <m/>
    <s v="José Gallardo"/>
    <m/>
    <x v="3"/>
    <m/>
    <d v="2014-12-03T00:00:00"/>
    <n v="445"/>
    <n v="19.588799999999999"/>
    <n v="44019.775280898881"/>
    <m/>
    <m/>
    <m/>
    <m/>
    <x v="8"/>
  </r>
  <r>
    <s v="O-309"/>
    <d v="2014-11-03T00:00:00"/>
    <x v="23"/>
    <s v="Caserones"/>
    <s v="Leocán E. Pérez Z"/>
    <m/>
    <s v="Oferta Ingeniería Sist Eléctrico planta Newterra"/>
    <x v="14"/>
    <s v="ND"/>
    <s v="NAC"/>
    <s v="Chile"/>
    <d v="2014-11-03T00:00:00"/>
    <s v="José Gallardo"/>
    <s v="orden de cambio del SH 087   Area 16000"/>
    <x v="5"/>
    <m/>
    <d v="2014-12-03T00:00:00"/>
    <n v="240"/>
    <n v="11.637499999999999"/>
    <n v="48489.583333333328"/>
    <s v="SH-0087"/>
    <m/>
    <m/>
    <m/>
    <x v="8"/>
  </r>
  <r>
    <s v="O-305"/>
    <d v="2014-10-22T00:00:00"/>
    <x v="109"/>
    <s v="Minera Escondida"/>
    <s v="Juan Manuel Silva. "/>
    <s v="Juanmanuel.silva@glemans.com"/>
    <s v="Diseño multidisciplinario de lanzadores y recibidores de pig"/>
    <x v="1"/>
    <s v="LM"/>
    <m/>
    <m/>
    <m/>
    <s v="Pedro Valencia"/>
    <m/>
    <x v="3"/>
    <m/>
    <d v="2014-12-03T00:00:00"/>
    <n v="1046"/>
    <n v="25.602499999999999"/>
    <n v="24476.577437858508"/>
    <m/>
    <m/>
    <m/>
    <m/>
    <x v="8"/>
  </r>
  <r>
    <s v="O-307"/>
    <d v="2014-10-21T00:00:00"/>
    <x v="175"/>
    <s v="Petrtoleos Marinos"/>
    <s v="Juan Manuel Silva. "/>
    <s v="Juanmanuel.silva@glemans.com"/>
    <s v="Evaluación Modificación Ductos Off Shore y On Shore "/>
    <x v="1"/>
    <s v="LM"/>
    <s v="NAC"/>
    <s v="Chile"/>
    <d v="2014-11-04T00:00:00"/>
    <s v="Pedro Valencia"/>
    <m/>
    <x v="3"/>
    <m/>
    <d v="2015-02-16T00:00:00"/>
    <n v="857"/>
    <n v="28.077000000000002"/>
    <n v="32761.960326721121"/>
    <m/>
    <m/>
    <m/>
    <m/>
    <x v="8"/>
  </r>
  <r>
    <s v="O-304"/>
    <d v="2014-10-14T00:00:00"/>
    <x v="176"/>
    <s v="CODELCO"/>
    <s v="Daniel Gatica"/>
    <m/>
    <s v="Äsesoría Hidráulica Especializada a PSC por relaves espesados T3-T4"/>
    <x v="0"/>
    <s v="LM"/>
    <s v="NAC"/>
    <s v="Chile"/>
    <m/>
    <s v="Pedro Valencia"/>
    <m/>
    <x v="3"/>
    <m/>
    <d v="2014-12-16T00:00:00"/>
    <n v="295"/>
    <n v="5.39"/>
    <n v="18271.186440677964"/>
    <m/>
    <m/>
    <m/>
    <m/>
    <x v="8"/>
  </r>
  <r>
    <s v="O-306"/>
    <d v="2014-10-07T00:00:00"/>
    <x v="76"/>
    <s v="Minera Santo Domingo"/>
    <s v="Katherine Ascencio"/>
    <m/>
    <s v="Elaboracion Planes Sto Domingo"/>
    <x v="0"/>
    <s v="LM"/>
    <s v="NAC"/>
    <s v="Chile"/>
    <d v="2014-10-28T00:00:00"/>
    <s v="Pedro Valencia"/>
    <m/>
    <x v="3"/>
    <m/>
    <d v="2014-12-03T00:00:00"/>
    <n v="270"/>
    <n v="11.3925"/>
    <n v="42194.444444444445"/>
    <m/>
    <m/>
    <m/>
    <m/>
    <x v="8"/>
  </r>
  <r>
    <s v="O-303"/>
    <d v="2014-10-01T00:00:00"/>
    <x v="177"/>
    <s v="CODELCO"/>
    <s v="Marcela Polanco"/>
    <m/>
    <s v="Äsesoría Hidráulica Especializada a Macrosteel por relaves espesados T3-T4"/>
    <x v="0"/>
    <s v="LM"/>
    <m/>
    <m/>
    <m/>
    <s v="Pedro Valencia"/>
    <m/>
    <x v="3"/>
    <m/>
    <d v="2014-12-16T00:00:00"/>
    <n v="295"/>
    <n v="6.6150000000000002"/>
    <n v="22423.728813559326"/>
    <m/>
    <m/>
    <m/>
    <m/>
    <x v="8"/>
  </r>
  <r>
    <s v="O-302"/>
    <d v="2014-10-01T00:00:00"/>
    <x v="23"/>
    <s v="Caserones"/>
    <s v="Ricardo Carvajal"/>
    <m/>
    <s v="Aumento capacidad respaldo energía S/E principal Caserones"/>
    <x v="1"/>
    <s v="ND"/>
    <s v="NAC"/>
    <s v="Chile"/>
    <d v="2014-10-13T00:00:00"/>
    <s v="José Gallardo"/>
    <s v="ordend e cambio del SH 087   Area 11000    OC1"/>
    <x v="5"/>
    <m/>
    <d v="2015-02-16T00:00:00"/>
    <n v="1184"/>
    <n v="46.158000000000001"/>
    <n v="38984.7972972973"/>
    <s v="SH-0087"/>
    <m/>
    <m/>
    <m/>
    <x v="8"/>
  </r>
  <r>
    <s v="O-293"/>
    <d v="2014-09-23T00:00:00"/>
    <x v="76"/>
    <s v="Minera Santo Domingo"/>
    <s v="Katherine Ascencio"/>
    <m/>
    <s v="Respuesta Plan de Emergencia"/>
    <x v="0"/>
    <s v="ND"/>
    <m/>
    <m/>
    <d v="2014-09-23T00:00:00"/>
    <s v="Pedro Valencia"/>
    <m/>
    <x v="5"/>
    <m/>
    <d v="2014-10-22T00:00:00"/>
    <n v="70"/>
    <n v="2.7829999999999999"/>
    <n v="39757.142857142862"/>
    <s v="SH-0108"/>
    <m/>
    <m/>
    <m/>
    <x v="8"/>
  </r>
  <r>
    <s v="O-298"/>
    <d v="2014-09-08T00:00:00"/>
    <x v="8"/>
    <s v="ARCADIS"/>
    <s v="Lenie Gajardo"/>
    <m/>
    <s v="Transporte Concentrado Centinela para ARCADIS"/>
    <x v="22"/>
    <s v="ND"/>
    <s v="NAC"/>
    <s v="Chile"/>
    <d v="2014-09-08T00:00:00"/>
    <s v="Hernán Castro"/>
    <m/>
    <x v="5"/>
    <m/>
    <d v="2014-12-03T00:00:00"/>
    <n v="247"/>
    <n v="6.7865000000000002"/>
    <n v="27475.708502024292"/>
    <s v="SH-0106"/>
    <m/>
    <m/>
    <m/>
    <x v="8"/>
  </r>
  <r>
    <s v="O-296"/>
    <d v="2014-08-20T00:00:00"/>
    <x v="178"/>
    <m/>
    <m/>
    <m/>
    <s v="IR AngloAmerican para KP"/>
    <x v="0"/>
    <s v="ND"/>
    <m/>
    <m/>
    <m/>
    <m/>
    <m/>
    <x v="4"/>
    <m/>
    <m/>
    <m/>
    <m/>
    <n v="29155"/>
    <m/>
    <m/>
    <m/>
    <m/>
    <x v="8"/>
  </r>
  <r>
    <s v="O-297"/>
    <d v="2014-08-18T00:00:00"/>
    <x v="179"/>
    <s v="U Chile"/>
    <s v="Claudio Sandoval"/>
    <m/>
    <m/>
    <x v="0"/>
    <s v="LM"/>
    <m/>
    <m/>
    <d v="2014-08-20T00:00:00"/>
    <s v="C Lopez"/>
    <m/>
    <x v="4"/>
    <m/>
    <d v="2014-12-03T00:00:00"/>
    <m/>
    <m/>
    <m/>
    <m/>
    <m/>
    <m/>
    <m/>
    <x v="8"/>
  </r>
  <r>
    <s v="O-292"/>
    <d v="2014-08-17T00:00:00"/>
    <x v="0"/>
    <m/>
    <m/>
    <m/>
    <s v="INFORME INUNDACIÓN PROYECTO HABITACIONAL PAINE"/>
    <x v="0"/>
    <s v="ND"/>
    <m/>
    <m/>
    <m/>
    <m/>
    <m/>
    <x v="4"/>
    <m/>
    <m/>
    <m/>
    <m/>
    <m/>
    <m/>
    <m/>
    <m/>
    <m/>
    <x v="8"/>
  </r>
  <r>
    <s v="O-294"/>
    <d v="2014-08-05T00:00:00"/>
    <x v="164"/>
    <s v="Anglo American"/>
    <s v="Luis Gonzalez"/>
    <m/>
    <s v="Mantos Blancos para Amec"/>
    <x v="0"/>
    <s v="LM"/>
    <m/>
    <m/>
    <m/>
    <s v="Pedro Valencia"/>
    <m/>
    <x v="3"/>
    <m/>
    <d v="2014-08-05T00:00:00"/>
    <n v="5991"/>
    <n v="252.88900000000001"/>
    <n v="42211.483892505428"/>
    <m/>
    <m/>
    <m/>
    <m/>
    <x v="8"/>
  </r>
  <r>
    <s v="O-295"/>
    <d v="2014-08-04T00:00:00"/>
    <x v="16"/>
    <s v="CANDELARIA"/>
    <s v="David Muñoz"/>
    <m/>
    <s v="Asesoría a CCMC para ICSARA 2 en lo relacionado a Relaves ODS"/>
    <x v="0"/>
    <s v="LM"/>
    <s v="NAC"/>
    <s v="Chile"/>
    <m/>
    <s v="Pedro Valencia"/>
    <m/>
    <x v="3"/>
    <m/>
    <m/>
    <n v="166"/>
    <n v="3.88296485"/>
    <n v="23391.35451807229"/>
    <m/>
    <m/>
    <m/>
    <m/>
    <x v="8"/>
  </r>
  <r>
    <s v="O-299"/>
    <d v="2014-08-04T00:00:00"/>
    <x v="8"/>
    <s v="ARCADIS"/>
    <m/>
    <m/>
    <s v="Ingenieria de factibilidad Tuneles y Excavaciones Abiertas"/>
    <x v="22"/>
    <s v="ND"/>
    <s v="NAC"/>
    <s v="Chile"/>
    <d v="2014-08-04T00:00:00"/>
    <s v="Claudio Muñoz"/>
    <m/>
    <x v="5"/>
    <m/>
    <d v="2014-12-03T00:00:00"/>
    <n v="44.5"/>
    <n v="0.749"/>
    <n v="16831.460674157301"/>
    <s v="SH-0105"/>
    <m/>
    <m/>
    <m/>
    <x v="8"/>
  </r>
  <r>
    <s v="O-291"/>
    <d v="2014-07-24T00:00:00"/>
    <x v="180"/>
    <s v="Codelco"/>
    <s v="Valeria Acevedo"/>
    <m/>
    <s v="Contraparte Relaves Talabre"/>
    <x v="5"/>
    <s v="LM"/>
    <s v="NAC"/>
    <s v="Chile"/>
    <m/>
    <m/>
    <s v="suspension indefinida"/>
    <x v="4"/>
    <m/>
    <m/>
    <m/>
    <m/>
    <m/>
    <m/>
    <m/>
    <m/>
    <m/>
    <x v="8"/>
  </r>
  <r>
    <s v="O-301"/>
    <d v="2014-07-21T00:00:00"/>
    <x v="8"/>
    <s v="ARCADIS"/>
    <s v="Hugo Andrade"/>
    <s v="hugo.andrade@arcadis.cl"/>
    <s v="Asesoria Cubicaciones  y Presupuesto Aeropuerto AMB"/>
    <x v="22"/>
    <s v="ND"/>
    <s v="NAC"/>
    <s v="Chile"/>
    <d v="2014-07-21T00:00:00"/>
    <s v="Pedro Valencia"/>
    <m/>
    <x v="5"/>
    <m/>
    <d v="2014-12-03T00:00:00"/>
    <m/>
    <m/>
    <m/>
    <s v="SH-0107"/>
    <m/>
    <m/>
    <m/>
    <x v="8"/>
  </r>
  <r>
    <s v="O-300"/>
    <d v="2014-07-21T00:00:00"/>
    <x v="8"/>
    <s v="ARCADIS"/>
    <s v="Katherine Viveros"/>
    <m/>
    <s v="Presa Este. Ingenieria /detalles Sist drenaje e instrumentación"/>
    <x v="22"/>
    <s v="ND"/>
    <s v="NAC"/>
    <s v="Chile"/>
    <d v="2014-07-21T00:00:00"/>
    <s v="Pedro Valencia"/>
    <m/>
    <x v="5"/>
    <m/>
    <d v="2014-12-03T00:00:00"/>
    <m/>
    <n v="0.40179999999999993"/>
    <m/>
    <s v="SH-0104"/>
    <m/>
    <m/>
    <m/>
    <x v="8"/>
  </r>
  <r>
    <s v="O-290"/>
    <d v="2014-07-10T00:00:00"/>
    <x v="181"/>
    <s v="Caserones"/>
    <s v="Milton Miranda"/>
    <m/>
    <s v=" del Servicio de_x000a_Operación del Depósito de Lamas y Acopio de Arenas,"/>
    <x v="4"/>
    <s v="ND"/>
    <s v="NAC"/>
    <s v="Chile"/>
    <d v="2014-07-14T00:00:00"/>
    <m/>
    <m/>
    <x v="4"/>
    <m/>
    <m/>
    <m/>
    <m/>
    <m/>
    <m/>
    <m/>
    <m/>
    <m/>
    <x v="8"/>
  </r>
  <r>
    <s v="O-289"/>
    <d v="2014-07-03T00:00:00"/>
    <x v="182"/>
    <s v="Anglo American"/>
    <m/>
    <m/>
    <s v="Metaproject - Mantos Blancos Anglo Manejo y Disposicion de relaves"/>
    <x v="35"/>
    <s v="LM"/>
    <s v="NAC"/>
    <s v="Chile"/>
    <d v="2014-08-08T00:00:00"/>
    <m/>
    <m/>
    <x v="3"/>
    <m/>
    <m/>
    <n v="18951"/>
    <n v="1279.1217999999999"/>
    <n v="67496.269326156922"/>
    <m/>
    <m/>
    <m/>
    <m/>
    <x v="8"/>
  </r>
  <r>
    <s v="O-288"/>
    <d v="2014-07-03T00:00:00"/>
    <x v="183"/>
    <s v="Anglo American"/>
    <s v="Luis Rebolledo"/>
    <m/>
    <s v="K Piesold - Mantos Blancos Anglo Manejo y Disposicion de Relaves"/>
    <x v="35"/>
    <s v="LM"/>
    <s v="NAC"/>
    <s v="Chile"/>
    <d v="2014-08-08T00:00:00"/>
    <m/>
    <m/>
    <x v="3"/>
    <m/>
    <d v="2014-12-20T00:00:00"/>
    <n v="13988"/>
    <n v="566.58699999999999"/>
    <n v="40505.218758936229"/>
    <m/>
    <m/>
    <m/>
    <m/>
    <x v="8"/>
  </r>
  <r>
    <s v="O-287"/>
    <d v="2014-07-02T00:00:00"/>
    <x v="182"/>
    <s v="TECK"/>
    <m/>
    <m/>
    <s v="Diagnóstico E Ingeniería Recuperación Línea Impulsión De Agua Fresca Ujina - Teck Qb"/>
    <x v="10"/>
    <s v="LM"/>
    <s v="NAC"/>
    <s v="Chile"/>
    <m/>
    <s v="Pedro Valencia"/>
    <m/>
    <x v="3"/>
    <m/>
    <d v="2014-12-21T00:00:00"/>
    <m/>
    <m/>
    <m/>
    <m/>
    <m/>
    <m/>
    <m/>
    <x v="8"/>
  </r>
  <r>
    <s v="O-286"/>
    <d v="2014-06-28T00:00:00"/>
    <x v="23"/>
    <s v="Caserones"/>
    <s v="Mario Arredondo"/>
    <m/>
    <s v="SERVICIOS DE APOYO ESPECIALIZADO PUESTA EN MARCHA Y RAMP UP"/>
    <x v="24"/>
    <s v="ND"/>
    <s v="NAC"/>
    <s v="Chile"/>
    <d v="2014-06-30T00:00:00"/>
    <s v="Pedro Valencia"/>
    <s v="Proponer a Gonzalo Araujo   Area 12000"/>
    <x v="5"/>
    <m/>
    <m/>
    <n v="2064"/>
    <n v="99.072000000000003"/>
    <n v="48000"/>
    <s v="SH-0087"/>
    <m/>
    <m/>
    <m/>
    <x v="8"/>
  </r>
  <r>
    <s v="O-284"/>
    <d v="2014-06-18T00:00:00"/>
    <x v="184"/>
    <s v="Descnoocido"/>
    <s v="Guillermo Tamblay"/>
    <m/>
    <s v="Parque Energía Solar Atacama "/>
    <x v="0"/>
    <s v="ND"/>
    <m/>
    <m/>
    <m/>
    <m/>
    <m/>
    <x v="3"/>
    <m/>
    <d v="2014-06-18T00:00:00"/>
    <n v="2301"/>
    <n v="99.298500000000004"/>
    <n v="43154.498044328553"/>
    <m/>
    <m/>
    <m/>
    <m/>
    <x v="8"/>
  </r>
  <r>
    <s v="O-283"/>
    <d v="2014-06-10T00:00:00"/>
    <x v="23"/>
    <s v="Caserones"/>
    <s v="Mario Arredondo"/>
    <m/>
    <s v="Conduccion Agua Neutralizada dropbox 0 a Piscina Agua recuperada "/>
    <x v="1"/>
    <s v="ND"/>
    <s v="NAC"/>
    <s v="Chile"/>
    <m/>
    <s v="Pedro Valencia"/>
    <m/>
    <x v="3"/>
    <m/>
    <m/>
    <n v="232"/>
    <n v="9.3283749999999994"/>
    <n v="40208.512931034478"/>
    <m/>
    <m/>
    <m/>
    <m/>
    <x v="8"/>
  </r>
  <r>
    <s v="O-281"/>
    <d v="2014-06-10T00:00:00"/>
    <x v="185"/>
    <m/>
    <s v="M Ruiz"/>
    <m/>
    <s v="Revision Partida Directa Bba. Est 6"/>
    <x v="0"/>
    <s v="ND"/>
    <m/>
    <m/>
    <m/>
    <s v="Pedro Valencia"/>
    <m/>
    <x v="3"/>
    <m/>
    <m/>
    <m/>
    <m/>
    <m/>
    <m/>
    <m/>
    <m/>
    <m/>
    <x v="8"/>
  </r>
  <r>
    <s v="O-282"/>
    <d v="2014-05-22T00:00:00"/>
    <x v="9"/>
    <s v="CAP"/>
    <s v="Alfredo Toledo"/>
    <m/>
    <s v="Asesoria A Conpax Transporte De Relaves En Pasta Cerro Negro Norte Cap"/>
    <x v="10"/>
    <s v="ND"/>
    <s v="NAC"/>
    <s v="Chile"/>
    <d v="2014-05-22T00:00:00"/>
    <s v="Pedro Valencia"/>
    <m/>
    <x v="3"/>
    <m/>
    <m/>
    <n v="248"/>
    <n v="11.925000000000001"/>
    <n v="48084.677419354841"/>
    <m/>
    <m/>
    <m/>
    <m/>
    <x v="8"/>
  </r>
  <r>
    <s v="O-280"/>
    <d v="2014-05-13T00:00:00"/>
    <x v="186"/>
    <s v="ARCADIS"/>
    <s v="Guillermo Cancino"/>
    <m/>
    <s v="análisis de selección de alternativa para asegurar la distribución uniforme de caudal de relaves para cada spigot de descarga en el Tranque Laguna Seca."/>
    <x v="2"/>
    <s v="LM"/>
    <m/>
    <s v="Chile"/>
    <m/>
    <s v="Pedro Valencia"/>
    <m/>
    <x v="3"/>
    <m/>
    <m/>
    <n v="386"/>
    <n v="14.0715"/>
    <n v="36454.663212435233"/>
    <m/>
    <m/>
    <m/>
    <m/>
    <x v="8"/>
  </r>
  <r>
    <s v="O-279"/>
    <d v="2014-05-08T00:00:00"/>
    <x v="23"/>
    <s v="Caserones"/>
    <m/>
    <m/>
    <s v="Revision Estructural Empalizada Dique Arena-Caserones"/>
    <x v="22"/>
    <s v="LM"/>
    <m/>
    <s v="Chile"/>
    <m/>
    <s v="Pedro Valencia"/>
    <m/>
    <x v="5"/>
    <m/>
    <m/>
    <n v="47"/>
    <n v="2.3561999999999999"/>
    <n v="50131.914893617017"/>
    <s v="SH-0099"/>
    <m/>
    <m/>
    <m/>
    <x v="8"/>
  </r>
  <r>
    <s v="O-278"/>
    <d v="2014-05-08T00:00:00"/>
    <x v="0"/>
    <m/>
    <s v="Juan Ocaña"/>
    <m/>
    <s v="Modelación HEC RAS Canal CULIPRAN"/>
    <x v="22"/>
    <s v="LM"/>
    <m/>
    <s v="Chile"/>
    <m/>
    <s v="Hernán Castro"/>
    <m/>
    <x v="5"/>
    <m/>
    <m/>
    <n v="12"/>
    <n v="0.39983999999999997"/>
    <n v="33320"/>
    <s v="SH-0098"/>
    <m/>
    <m/>
    <m/>
    <x v="8"/>
  </r>
  <r>
    <s v="O-277"/>
    <d v="2014-04-29T00:00:00"/>
    <x v="187"/>
    <s v="Minera NN en Perú"/>
    <s v="Rodrigo Herrera"/>
    <m/>
    <s v="Asesoría Experta Transporte de pulpas espesadas"/>
    <x v="22"/>
    <s v="ND"/>
    <s v="INT"/>
    <s v="Perú"/>
    <d v="2014-05-02T00:00:00"/>
    <s v="Lincoyán Hernández"/>
    <m/>
    <x v="3"/>
    <m/>
    <d v="2015-01-19T00:00:00"/>
    <n v="50"/>
    <n v="3.36"/>
    <n v="33320"/>
    <m/>
    <m/>
    <m/>
    <m/>
    <x v="8"/>
  </r>
  <r>
    <s v="O-276"/>
    <d v="2014-04-28T00:00:00"/>
    <x v="16"/>
    <s v="CANDELARIA"/>
    <s v="Alejandra Caceres"/>
    <m/>
    <s v="Ingeniería Básica para Remoción y Transporte de Relaves Antiguos"/>
    <x v="5"/>
    <s v="ND"/>
    <s v="NAC"/>
    <s v="Chile"/>
    <d v="2014-05-02T00:00:00"/>
    <s v="Pedro Valencia"/>
    <s v="incuida en 261"/>
    <x v="3"/>
    <m/>
    <d v="2015-01-19T00:00:00"/>
    <n v="2254"/>
    <n v="98.350899999999996"/>
    <n v="43633.939662821649"/>
    <m/>
    <m/>
    <m/>
    <m/>
    <x v="8"/>
  </r>
  <r>
    <s v="O-275"/>
    <d v="2014-04-28T00:00:00"/>
    <x v="16"/>
    <s v="CANDELARIA"/>
    <s v="Alejandra Caceres"/>
    <m/>
    <s v="Ingeniería Básica para el Transporte de Relaves Frescos de Planta Ojos del Salado"/>
    <x v="5"/>
    <s v="ND"/>
    <s v="NAC"/>
    <s v="Chile"/>
    <d v="2014-05-02T00:00:00"/>
    <s v="Pedro Valencia"/>
    <s v="incuida en 261"/>
    <x v="3"/>
    <m/>
    <d v="2014-04-11T00:00:00"/>
    <n v="3519"/>
    <n v="125.335881"/>
    <n v="35616.902813299232"/>
    <m/>
    <m/>
    <m/>
    <m/>
    <x v="8"/>
  </r>
  <r>
    <s v="O-274"/>
    <d v="2014-04-22T00:00:00"/>
    <x v="23"/>
    <s v="Caserones"/>
    <s v="Rene Orellana"/>
    <s v="rorellana@caserones.cl"/>
    <s v="Ingeniería de Detalles Amortiguadores de Golpe de Ariete en la Estación de Bombeo N°1"/>
    <x v="1"/>
    <s v="ND"/>
    <s v="NAC"/>
    <m/>
    <d v="2014-04-23T00:00:00"/>
    <s v="Pedro Valencia"/>
    <s v="orden de cambio del SH 087"/>
    <x v="5"/>
    <m/>
    <d v="2014-11-13T00:00:00"/>
    <n v="355"/>
    <n v="11.4954"/>
    <n v="32381.408450704224"/>
    <m/>
    <m/>
    <m/>
    <m/>
    <x v="8"/>
  </r>
  <r>
    <s v="O-273"/>
    <d v="2014-04-16T00:00:00"/>
    <x v="9"/>
    <s v="Minera Valle Central"/>
    <s v="Pedro Villarroel"/>
    <m/>
    <s v="Proyecto Aumento Capacidad de Beneficio"/>
    <x v="1"/>
    <s v="ND"/>
    <s v="NAC"/>
    <s v="Chile"/>
    <d v="2014-05-26T00:00:00"/>
    <s v="José Gallardo"/>
    <m/>
    <x v="5"/>
    <m/>
    <d v="2015-01-19T00:00:00"/>
    <n v="12527"/>
    <n v="524.57039999999995"/>
    <n v="41875.181607727303"/>
    <s v="SH-0103"/>
    <m/>
    <m/>
    <m/>
    <x v="8"/>
  </r>
  <r>
    <s v="O-272"/>
    <d v="2014-04-15T00:00:00"/>
    <x v="16"/>
    <s v="CANDELARIA"/>
    <s v="David Muñoz"/>
    <m/>
    <s v="Modificacion Proyecto Suspención de polvo Chancador de Pebbles"/>
    <x v="1"/>
    <s v="ND"/>
    <s v="NAC"/>
    <m/>
    <d v="2014-04-17T00:00:00"/>
    <s v="Rene Arancibia"/>
    <m/>
    <x v="5"/>
    <m/>
    <d v="2014-06-11T00:00:00"/>
    <n v="675"/>
    <n v="25.625"/>
    <n v="37962.962962962964"/>
    <s v="SH-0101"/>
    <m/>
    <m/>
    <m/>
    <x v="8"/>
  </r>
  <r>
    <s v="O-271"/>
    <d v="2014-04-08T00:00:00"/>
    <x v="31"/>
    <s v="CANDELARIA"/>
    <s v="Alvaro Huerta"/>
    <s v="rorellana@caserones.cl"/>
    <s v="Engineering design and supporting analyses – 806 m raise – TSF Project"/>
    <x v="5"/>
    <s v="LM"/>
    <s v="NAC"/>
    <s v="Chile"/>
    <d v="2014-05-28T00:00:00"/>
    <s v="Pedro Valencia"/>
    <m/>
    <x v="3"/>
    <m/>
    <d v="2015-01-19T00:00:00"/>
    <n v="2937"/>
    <n v="113.2166"/>
    <n v="38548.382703438881"/>
    <m/>
    <m/>
    <m/>
    <m/>
    <x v="8"/>
  </r>
  <r>
    <s v="O-270"/>
    <d v="2014-03-28T00:00:00"/>
    <x v="16"/>
    <s v="CANDELARIA"/>
    <s v="Walter Borquez"/>
    <m/>
    <s v="Contrato abierto Ingenieria Menor"/>
    <x v="9"/>
    <s v="LM"/>
    <s v="NAC"/>
    <s v="Chile"/>
    <d v="2014-05-07T00:00:00"/>
    <s v="Pedro Valencia"/>
    <s v="postergada"/>
    <x v="3"/>
    <m/>
    <m/>
    <n v="10000"/>
    <m/>
    <n v="0"/>
    <m/>
    <m/>
    <m/>
    <m/>
    <x v="8"/>
  </r>
  <r>
    <s v="O-269"/>
    <d v="2014-03-28T00:00:00"/>
    <x v="16"/>
    <s v="CANDELARIA"/>
    <s v="David Muñoz"/>
    <m/>
    <s v="Modificación de Tramo de Tubería de Agua Sector las Cruces” "/>
    <x v="5"/>
    <s v="LM"/>
    <s v="NAC"/>
    <s v="Chile"/>
    <d v="2014-05-05T00:00:00"/>
    <s v="Pedro Valencia"/>
    <m/>
    <x v="3"/>
    <m/>
    <d v="2015-01-19T00:00:00"/>
    <n v="3920"/>
    <n v="149.04242500000001"/>
    <n v="38021.026785714283"/>
    <m/>
    <m/>
    <m/>
    <m/>
    <x v="8"/>
  </r>
  <r>
    <s v="O-268"/>
    <d v="2014-03-28T00:00:00"/>
    <x v="188"/>
    <s v="Constructora El Sauce"/>
    <s v="Eduardo Pino"/>
    <m/>
    <s v="Diseño Cajón y Solución Socavación Relaves"/>
    <x v="1"/>
    <s v="ND"/>
    <s v="NAC"/>
    <s v="Chile"/>
    <d v="2014-04-01T00:00:00"/>
    <s v="Claudio Muñoz"/>
    <m/>
    <x v="3"/>
    <m/>
    <d v="2014-04-03T00:00:00"/>
    <n v="349"/>
    <n v="12.614000000000001"/>
    <n v="36143.266475644705"/>
    <m/>
    <m/>
    <m/>
    <m/>
    <x v="8"/>
  </r>
  <r>
    <s v="O-266"/>
    <d v="2014-03-25T00:00:00"/>
    <x v="189"/>
    <s v="Central Hidroelectrica Ñuble"/>
    <s v="Felipe Elgueta"/>
    <m/>
    <s v="Ingeniería de Detalles obras de desvio y restitución para EPC Central Hidroelectrica Ñuble"/>
    <x v="1"/>
    <s v="ND"/>
    <s v="NAC"/>
    <s v="Chile"/>
    <d v="2014-04-02T00:00:00"/>
    <s v="Cristián López"/>
    <s v="reenviada el 9 de abril presupuesto ajustado"/>
    <x v="3"/>
    <m/>
    <d v="2014-11-13T00:00:00"/>
    <n v="1810"/>
    <n v="66.589336000000003"/>
    <n v="36789.688397790058"/>
    <m/>
    <m/>
    <m/>
    <s v="no está la propuesta"/>
    <x v="8"/>
  </r>
  <r>
    <s v="O-265"/>
    <d v="2014-03-24T00:00:00"/>
    <x v="157"/>
    <s v="Atacama Kozan"/>
    <s v="Yanine Robledo"/>
    <m/>
    <s v="Nuevo Depósito de Relaves y Declaración de Impacto Ambiental"/>
    <x v="2"/>
    <s v="ND"/>
    <s v="NAC"/>
    <s v="Chile"/>
    <d v="2014-04-03T00:00:00"/>
    <s v="Pedro Valencia"/>
    <m/>
    <x v="3"/>
    <m/>
    <m/>
    <n v="930"/>
    <n v="51.581288000000001"/>
    <n v="55463.750537634405"/>
    <m/>
    <m/>
    <m/>
    <m/>
    <x v="8"/>
  </r>
  <r>
    <s v="O-267"/>
    <d v="2014-03-20T00:00:00"/>
    <x v="190"/>
    <s v="Universidad de Chile"/>
    <s v="Pedro Arancibia"/>
    <m/>
    <s v="Certificación de arranque de agua no cuantificado"/>
    <x v="10"/>
    <s v="ND"/>
    <s v="NAC"/>
    <s v="Chile"/>
    <d v="2014-03-21T00:00:00"/>
    <s v="Cristián López"/>
    <m/>
    <x v="5"/>
    <m/>
    <m/>
    <n v="2"/>
    <n v="0.05"/>
    <n v="25000"/>
    <s v="SH-0091"/>
    <m/>
    <m/>
    <m/>
    <x v="8"/>
  </r>
  <r>
    <s v="O-264"/>
    <d v="2014-03-19T00:00:00"/>
    <x v="21"/>
    <s v="Pucobre"/>
    <s v="Rolando Moraga"/>
    <m/>
    <s v="Servicios Especializados Área Relaves"/>
    <x v="10"/>
    <s v="ND"/>
    <s v="NAC"/>
    <s v="Chile"/>
    <d v="2014-03-25T00:00:00"/>
    <s v="Claudio Muñoz"/>
    <m/>
    <x v="3"/>
    <m/>
    <m/>
    <n v="360"/>
    <n v="15.50516"/>
    <n v="43069.888888888883"/>
    <m/>
    <m/>
    <m/>
    <m/>
    <x v="8"/>
  </r>
  <r>
    <s v="O-262"/>
    <d v="2014-03-18T00:00:00"/>
    <x v="16"/>
    <s v="CANDELARIA"/>
    <s v="David Muñoz"/>
    <m/>
    <s v="Mejora Conducción de Relaves ODS a Est. Bombeo"/>
    <x v="2"/>
    <s v="ND"/>
    <s v="NAC"/>
    <s v="Chile"/>
    <d v="2014-03-19T00:00:00"/>
    <s v="Pedro Valencia"/>
    <m/>
    <x v="5"/>
    <m/>
    <d v="2014-03-19T00:00:00"/>
    <n v="462"/>
    <n v="16.945"/>
    <n v="36677.48917748918"/>
    <s v="SH-0090"/>
    <m/>
    <m/>
    <m/>
    <x v="8"/>
  </r>
  <r>
    <s v="O-263"/>
    <d v="2014-03-18T00:00:00"/>
    <x v="191"/>
    <s v="Codelco SALVADOR"/>
    <s v="Mario Rivera"/>
    <m/>
    <s v="Ingeniería Prefactibilidad Proyecto Aumento Capacidad de Explotación Distrito Salvador"/>
    <x v="2"/>
    <s v="ND"/>
    <s v="NAC"/>
    <s v="Chile"/>
    <d v="2014-03-26T00:00:00"/>
    <s v="Claudio Muñoz"/>
    <m/>
    <x v="3"/>
    <m/>
    <d v="2014-11-13T00:00:00"/>
    <n v="10349"/>
    <n v="350.62700000000001"/>
    <n v="33880.278287757268"/>
    <m/>
    <m/>
    <m/>
    <m/>
    <x v="8"/>
  </r>
  <r>
    <s v="O-261"/>
    <d v="2014-03-11T00:00:00"/>
    <x v="16"/>
    <s v="CANDELARIA"/>
    <s v="David Muñoz"/>
    <m/>
    <s v="Ingeniería Básica para el Transporte de Relaves Frescos y Antiguos de Planta Ojos del Salado"/>
    <x v="5"/>
    <s v="ND"/>
    <s v="NAC"/>
    <s v="Chile"/>
    <d v="2014-04-08T00:00:00"/>
    <s v="Pedro Valencia"/>
    <s v="se quiebta en O275 y O276"/>
    <x v="5"/>
    <m/>
    <d v="2014-04-11T00:00:00"/>
    <n v="3519"/>
    <n v="125.335881"/>
    <n v="35616.902813299232"/>
    <s v="SH-0100"/>
    <m/>
    <m/>
    <s v="no esta la propuesta"/>
    <x v="8"/>
  </r>
  <r>
    <s v="O-260"/>
    <d v="2014-03-10T00:00:00"/>
    <x v="76"/>
    <s v="Samsung"/>
    <s v="Luis Rebolledo"/>
    <m/>
    <s v="Thickened Tailings Transport and Recovery Water Systems - Santo Domingo Project"/>
    <x v="5"/>
    <s v="LM"/>
    <s v="NAC"/>
    <s v="Chile"/>
    <d v="2014-03-21T00:00:00"/>
    <s v="Claudio Muñoz"/>
    <s v="SE redujeron HH y presupuesto"/>
    <x v="3"/>
    <m/>
    <d v="2014-04-08T00:00:00"/>
    <n v="2732"/>
    <n v="101.661"/>
    <n v="37211.200585651539"/>
    <m/>
    <m/>
    <m/>
    <m/>
    <x v="8"/>
  </r>
  <r>
    <s v="O-259"/>
    <d v="2014-02-24T00:00:00"/>
    <x v="45"/>
    <s v="PELAMBRES"/>
    <s v="Carlos Navia"/>
    <m/>
    <s v="Servicio de Evaluación Técnica a Proveedores de Piezas Especiales Revestidas en Poliuretano"/>
    <x v="11"/>
    <s v="ND"/>
    <s v="NAC"/>
    <s v="Chile"/>
    <d v="2014-02-26T00:00:00"/>
    <s v="Claudio Muñoz"/>
    <m/>
    <x v="3"/>
    <m/>
    <d v="2014-02-26T00:00:00"/>
    <n v="90"/>
    <n v="6.2275"/>
    <n v="69194.444444444453"/>
    <m/>
    <m/>
    <m/>
    <s v="no esta la propuesta"/>
    <x v="8"/>
  </r>
  <r>
    <s v="O-258"/>
    <d v="2014-02-24T00:00:00"/>
    <x v="45"/>
    <s v="PELAMBRES"/>
    <s v="Carlos Navia"/>
    <m/>
    <s v="Inspección de Fabricación de Piezas Especiales Revestidas en Poliuretano Concentraducto"/>
    <x v="11"/>
    <s v="ND"/>
    <s v="NAC"/>
    <s v="Chile"/>
    <d v="2014-02-26T00:00:00"/>
    <s v="Claudio Muñoz"/>
    <m/>
    <x v="3"/>
    <m/>
    <d v="2014-02-26T00:00:00"/>
    <n v="160"/>
    <n v="11.1625"/>
    <n v="69765.625"/>
    <m/>
    <m/>
    <m/>
    <m/>
    <x v="8"/>
  </r>
  <r>
    <s v="O-256"/>
    <d v="2014-02-18T00:00:00"/>
    <x v="117"/>
    <s v="Cru Strategies"/>
    <s v="Juan Esteban Fuentes"/>
    <s v="rorellana@caserones.cl"/>
    <s v="Actualización Benchmarking Concentrate and Water Pipelines 2014"/>
    <x v="2"/>
    <s v="ND"/>
    <s v="NAC"/>
    <s v="Chile"/>
    <d v="2014-02-18T00:00:00"/>
    <s v="Claudio Muñoz"/>
    <m/>
    <x v="5"/>
    <m/>
    <d v="2014-02-26T00:00:00"/>
    <n v="120"/>
    <n v="4.1124999999999998"/>
    <n v="34270.833333333336"/>
    <s v="SH-0088"/>
    <m/>
    <m/>
    <m/>
    <x v="8"/>
  </r>
  <r>
    <s v="O-257"/>
    <d v="2014-02-14T00:00:00"/>
    <x v="192"/>
    <s v="DAND"/>
    <s v="Andres Caputo"/>
    <m/>
    <s v="Licitación Construcción y PEM Etapa 1 Sistema de Impulsión e Inyección de Agua Fresca, Tranque Ovejería"/>
    <x v="1"/>
    <s v="ND"/>
    <s v="NAC"/>
    <s v="Chile"/>
    <d v="2014-02-26T00:00:00"/>
    <s v="José Gallardo"/>
    <m/>
    <x v="3"/>
    <m/>
    <d v="2014-02-26T00:00:00"/>
    <n v="3193"/>
    <n v="100.9817944845"/>
    <n v="31625.992635295959"/>
    <m/>
    <m/>
    <m/>
    <m/>
    <x v="8"/>
  </r>
  <r>
    <s v="O-255"/>
    <d v="2014-02-14T00:00:00"/>
    <x v="9"/>
    <s v="Codelco ANDINA"/>
    <s v="Luiz Guzman"/>
    <m/>
    <s v="Licitación Construcción y PEM Etapa 1 Sistema de Impulsión e Inyección de Agua Fresca, Tranque Ovejería"/>
    <x v="1"/>
    <s v="LM"/>
    <s v="NAC"/>
    <s v="Chile"/>
    <d v="2014-02-27T00:00:00"/>
    <s v="Claudio Muñoz"/>
    <m/>
    <x v="3"/>
    <m/>
    <d v="2014-03-04T00:00:00"/>
    <n v="3193"/>
    <n v="94.513740999999996"/>
    <n v="29600.294707171939"/>
    <m/>
    <m/>
    <m/>
    <m/>
    <x v="8"/>
  </r>
  <r>
    <s v="O-254"/>
    <d v="2014-02-14T00:00:00"/>
    <x v="157"/>
    <s v="Atacama Kozan"/>
    <s v="Yanine Robledo"/>
    <m/>
    <s v="Ingeniería de Perfil Selección de Sitios Alternativos para Depósitos de Relaves"/>
    <x v="2"/>
    <s v="ND"/>
    <s v="NAC"/>
    <s v="Chile"/>
    <d v="2014-02-18T00:00:00"/>
    <s v="Claudio Muñoz"/>
    <m/>
    <x v="3"/>
    <m/>
    <d v="2014-03-04T00:00:00"/>
    <n v="550"/>
    <n v="30.55"/>
    <n v="55545.454545454544"/>
    <m/>
    <m/>
    <m/>
    <m/>
    <x v="8"/>
  </r>
  <r>
    <s v="O-253"/>
    <d v="2014-02-11T00:00:00"/>
    <x v="192"/>
    <s v="Codelco"/>
    <s v="Andres Caputo"/>
    <m/>
    <s v="Servicios de Ingeniería para la Gerencia de Recursos Mineros 2014 - 2015"/>
    <x v="22"/>
    <s v="ND"/>
    <s v="NAC"/>
    <s v="Chile"/>
    <d v="2014-03-11T00:00:00"/>
    <s v="Juan Francisco Schwarze"/>
    <m/>
    <x v="4"/>
    <m/>
    <d v="2016-04-21T00:00:00"/>
    <m/>
    <m/>
    <m/>
    <m/>
    <m/>
    <m/>
    <m/>
    <x v="8"/>
  </r>
  <r>
    <s v="O-252"/>
    <d v="2014-02-11T00:00:00"/>
    <x v="188"/>
    <s v="Codelco ANDINA"/>
    <s v="Eduardo Pino"/>
    <m/>
    <s v="Ingeniería de Detalles Proyecto Mejoras Depósito Relaves Ovejería"/>
    <x v="36"/>
    <s v="ND"/>
    <s v="NAC"/>
    <s v="Chile"/>
    <d v="2014-02-11T00:00:00"/>
    <s v="Claudio Muñoz"/>
    <m/>
    <x v="3"/>
    <m/>
    <d v="2014-11-13T00:00:00"/>
    <n v="428"/>
    <n v="12.167999999999999"/>
    <n v="28429.906542056073"/>
    <m/>
    <m/>
    <m/>
    <s v="no se encuentra la oferta"/>
    <x v="8"/>
  </r>
  <r>
    <s v="O-249"/>
    <d v="2014-02-07T00:00:00"/>
    <x v="11"/>
    <s v="Codelco SALVADOR"/>
    <s v="Mario Rivera"/>
    <m/>
    <s v="Estudio Técnico Embanque Canaleta de Relaves"/>
    <x v="2"/>
    <s v="ND"/>
    <s v="NAC"/>
    <s v="Chile"/>
    <d v="2014-02-07T00:00:00"/>
    <s v="Claudio Muñoz"/>
    <m/>
    <x v="3"/>
    <m/>
    <d v="2014-02-10T00:00:00"/>
    <n v="470"/>
    <n v="22.721399999999999"/>
    <n v="48343.404255319147"/>
    <m/>
    <m/>
    <m/>
    <s v="no se encuentra la oferta"/>
    <x v="8"/>
  </r>
  <r>
    <s v="O-248"/>
    <d v="2014-02-05T00:00:00"/>
    <x v="193"/>
    <s v="Minera Can Can"/>
    <s v="Francisco Calaf"/>
    <m/>
    <s v="Estudio de Prefactibilidad Aumento Producción Planta El Bronce de Petorca"/>
    <x v="2"/>
    <s v="ND"/>
    <s v="NAC"/>
    <s v="Chile"/>
    <d v="2014-02-05T00:00:00"/>
    <s v="Lincoyán Hernández"/>
    <m/>
    <x v="3"/>
    <m/>
    <d v="2014-11-13T00:00:00"/>
    <n v="3305"/>
    <n v="127.64700000000001"/>
    <n v="38622.390317700454"/>
    <m/>
    <m/>
    <m/>
    <m/>
    <x v="8"/>
  </r>
  <r>
    <s v="O-251"/>
    <d v="2014-02-04T00:00:00"/>
    <x v="21"/>
    <s v="Pucobre"/>
    <s v="Sergio Mardones"/>
    <m/>
    <s v="Ingeniería Básica Red de Incendio Planta Biocobre"/>
    <x v="5"/>
    <s v="LM"/>
    <s v="NAC"/>
    <s v="Chile"/>
    <d v="2014-01-28T00:00:00"/>
    <s v="Claudio Muñoz"/>
    <m/>
    <x v="3"/>
    <m/>
    <d v="2015-01-19T00:00:00"/>
    <n v="712"/>
    <n v="23.170999999999999"/>
    <n v="32543.539325842696"/>
    <m/>
    <m/>
    <m/>
    <m/>
    <x v="8"/>
  </r>
  <r>
    <s v="O-250"/>
    <d v="2014-02-02T00:00:00"/>
    <x v="23"/>
    <s v="Caserones"/>
    <s v="Rodrigo Farias"/>
    <m/>
    <s v="Ingeniería de Detalles Impulsión Pozos Tramos A - Proyecto Caserones"/>
    <x v="1"/>
    <s v="ND"/>
    <s v="NAC"/>
    <s v="Chile"/>
    <d v="2014-02-10T00:00:00"/>
    <s v="Pedr"/>
    <s v="Proyecto Original"/>
    <x v="5"/>
    <m/>
    <d v="2014-02-10T00:00:00"/>
    <n v="4868"/>
    <n v="173.97900000000001"/>
    <n v="35739.317995069847"/>
    <s v="SH-0087"/>
    <m/>
    <m/>
    <m/>
    <x v="8"/>
  </r>
  <r>
    <s v="O-247"/>
    <d v="2014-01-24T00:00:00"/>
    <x v="11"/>
    <s v="Codelco SALVADOR"/>
    <s v="Mario Rivera"/>
    <m/>
    <s v="Ingenieria de Detalles Recirculacion Aguas Tranque Pampa Austral"/>
    <x v="1"/>
    <s v="ND"/>
    <s v="NAC"/>
    <s v="Chile"/>
    <d v="2014-01-27T00:00:00"/>
    <s v="José Gallardo"/>
    <m/>
    <x v="3"/>
    <m/>
    <d v="2014-01-28T00:00:00"/>
    <n v="619"/>
    <n v="23.253399999999999"/>
    <n v="37566.074313408717"/>
    <m/>
    <m/>
    <m/>
    <s v="no tiene horas"/>
    <x v="8"/>
  </r>
  <r>
    <s v="O-246"/>
    <d v="2014-01-24T00:00:00"/>
    <x v="11"/>
    <s v="Codelco SALVADOR"/>
    <s v="Mario Rivera"/>
    <m/>
    <s v="Informe Técnico Económica Línea Transporte de Relaves Tranque Pampa Austral"/>
    <x v="10"/>
    <s v="ND"/>
    <s v="NAC"/>
    <s v="Chile"/>
    <d v="2014-01-27T00:00:00"/>
    <s v="Pedro Valencia"/>
    <m/>
    <x v="3"/>
    <m/>
    <d v="2014-01-28T00:00:00"/>
    <n v="426"/>
    <n v="17.894400000000001"/>
    <n v="42005.633802816905"/>
    <m/>
    <m/>
    <m/>
    <s v="no se encuentra la oferta"/>
    <x v="8"/>
  </r>
  <r>
    <s v="O-245"/>
    <d v="2014-01-17T00:00:00"/>
    <x v="184"/>
    <s v="Algas Marinas S.A."/>
    <s v="Guillermo Tamblay"/>
    <m/>
    <s v="Ingeniería de Prefactibilidad Manejo de Lodos Algas Marinas S.A."/>
    <x v="2"/>
    <s v="ND"/>
    <s v="NAC"/>
    <s v="Chile"/>
    <d v="2014-01-24T00:00:00"/>
    <s v="Pedro Valencia"/>
    <m/>
    <x v="3"/>
    <m/>
    <d v="2015-01-19T00:00:00"/>
    <n v="407"/>
    <n v="13.207000000000001"/>
    <n v="32449.631449631448"/>
    <m/>
    <m/>
    <m/>
    <m/>
    <x v="8"/>
  </r>
  <r>
    <s v="O-244"/>
    <d v="2014-01-16T00:00:00"/>
    <x v="193"/>
    <s v="Minera Can Can"/>
    <s v="Francisco Calaf"/>
    <m/>
    <s v="Informe Técnico - Económico Aumento Capacidad Área Relaves Planta el Bronce de Petorca"/>
    <x v="10"/>
    <s v="ND"/>
    <s v="NAC"/>
    <s v="Chile"/>
    <d v="2014-01-22T00:00:00"/>
    <s v="Pedro Valencia"/>
    <m/>
    <x v="3"/>
    <m/>
    <d v="2015-01-19T00:00:00"/>
    <n v="644"/>
    <n v="23.002199999999998"/>
    <n v="35717.701863354028"/>
    <m/>
    <m/>
    <m/>
    <m/>
    <x v="8"/>
  </r>
  <r>
    <s v="O-243"/>
    <d v="2014-01-10T00:00:00"/>
    <x v="188"/>
    <s v="Codelco ANDINA"/>
    <s v="Eduardo Pino"/>
    <m/>
    <s v="Ingeniería, Construcción, Montaje y Puesta en Marcha Riego Ladera Tranque Ovejería"/>
    <x v="1"/>
    <s v="ND"/>
    <s v="NAC"/>
    <s v="Chile"/>
    <d v="2014-01-22T00:00:00"/>
    <s v="Pedro Valencia"/>
    <m/>
    <x v="3"/>
    <m/>
    <d v="2014-11-13T00:00:00"/>
    <n v="1251"/>
    <n v="41.357500000000002"/>
    <n v="33059.552358113513"/>
    <m/>
    <m/>
    <m/>
    <m/>
    <x v="8"/>
  </r>
  <r>
    <s v="O-241"/>
    <d v="2014-01-02T00:00:00"/>
    <x v="193"/>
    <s v="Minera Can Can"/>
    <s v="Francisco Calaf"/>
    <m/>
    <s v="Informe Técnico - Económico Aumento Producción Planta el Bronce de Petorca"/>
    <x v="10"/>
    <s v="ND"/>
    <s v="NAC"/>
    <s v="Chile"/>
    <d v="2014-02-08T00:00:00"/>
    <s v="Juan Francisco Schwarze"/>
    <m/>
    <x v="3"/>
    <m/>
    <d v="2014-01-08T00:00:00"/>
    <n v="1571"/>
    <n v="51.959000000000003"/>
    <n v="33073.83831954169"/>
    <m/>
    <m/>
    <m/>
    <m/>
    <x v="8"/>
  </r>
  <r>
    <s v="O-242"/>
    <d v="2013-12-23T00:00:00"/>
    <x v="16"/>
    <s v="CANDELARIA"/>
    <s v="Alejandra Caceres"/>
    <m/>
    <s v="Ingeniería Básica del proyecto de montaje y canalizado de los circuito de fibra"/>
    <x v="5"/>
    <s v="ND"/>
    <s v="NAC"/>
    <s v="Chile"/>
    <d v="2014-01-13T00:00:00"/>
    <s v="José Gallardo"/>
    <m/>
    <x v="3"/>
    <m/>
    <d v="2014-01-22T00:00:00"/>
    <n v="1320"/>
    <n v="41.535499999999999"/>
    <n v="31466.28787878788"/>
    <m/>
    <m/>
    <m/>
    <m/>
    <x v="9"/>
  </r>
  <r>
    <s v="O-238"/>
    <d v="2013-12-16T00:00:00"/>
    <x v="31"/>
    <s v="Copper Bay"/>
    <s v="Alvaro Huerta"/>
    <s v="rorellana@caserones.cl"/>
    <s v="Estudio de Transporte y Disposición de Relaves Copper Bay - Chañaral"/>
    <x v="2"/>
    <s v="ND"/>
    <s v="NAC"/>
    <s v="Chile"/>
    <d v="2013-12-20T00:00:00"/>
    <s v="Claudio Muñoz"/>
    <m/>
    <x v="3"/>
    <m/>
    <d v="2014-11-13T00:00:00"/>
    <n v="1978"/>
    <n v="71.251400000000004"/>
    <n v="36021.941354903945"/>
    <m/>
    <m/>
    <m/>
    <m/>
    <x v="9"/>
  </r>
  <r>
    <s v="O-239"/>
    <d v="2013-12-15T00:00:00"/>
    <x v="16"/>
    <s v="CANDELARIA"/>
    <s v="Alejandra Caceres"/>
    <m/>
    <s v="Sistema de Inyección de Acido Fosfórico a Estanque 954-TK-001"/>
    <x v="5"/>
    <s v="ND"/>
    <s v="NAC"/>
    <s v="Chile"/>
    <d v="2014-01-06T00:00:00"/>
    <s v="José Gallardo"/>
    <m/>
    <x v="3"/>
    <m/>
    <d v="2014-02-10T00:00:00"/>
    <n v="1005"/>
    <n v="35.390999999999998"/>
    <n v="35214.92537313432"/>
    <m/>
    <m/>
    <m/>
    <m/>
    <x v="9"/>
  </r>
  <r>
    <s v="O-237"/>
    <d v="2013-12-10T00:00:00"/>
    <x v="192"/>
    <s v="Subterra"/>
    <s v="Andrés Caputo"/>
    <m/>
    <s v="Confección de Planos Estructurales &quot;Planta de Tratamiento de Escoria - Codelco - Norte&quot;"/>
    <x v="1"/>
    <s v="ND"/>
    <s v="NAC"/>
    <s v="Chile"/>
    <d v="2013-12-10T00:00:00"/>
    <s v="Claudio Muñoz"/>
    <m/>
    <x v="5"/>
    <m/>
    <d v="2014-03-26T00:00:00"/>
    <n v="2951"/>
    <n v="3.3075000000000001"/>
    <n v="1120.8065062690614"/>
    <s v="SH-0092"/>
    <m/>
    <m/>
    <m/>
    <x v="9"/>
  </r>
  <r>
    <s v="O-231"/>
    <d v="2013-11-20T00:00:00"/>
    <x v="100"/>
    <s v="Caserones"/>
    <s v="Miguel Saavedra"/>
    <m/>
    <s v="Servicios Adicionales Proyecto Caserones "/>
    <x v="1"/>
    <s v="ND"/>
    <s v="NAC"/>
    <s v="Chile"/>
    <d v="2013-11-20T00:00:00"/>
    <s v="Pedro Valencia"/>
    <m/>
    <x v="5"/>
    <m/>
    <d v="2013-11-20T00:00:00"/>
    <n v="1110"/>
    <n v="45.895499999999998"/>
    <n v="41347.297297297293"/>
    <s v="SH-0083"/>
    <m/>
    <m/>
    <m/>
    <x v="9"/>
  </r>
  <r>
    <s v="O-234"/>
    <d v="2013-11-20T00:00:00"/>
    <x v="9"/>
    <s v="DAND"/>
    <s v="Carlos Acevedo"/>
    <m/>
    <s v="Análisis de Procesos y Riesgos Proyecto Manejo de Concentrado de Cobre DAND a Ventanas "/>
    <x v="2"/>
    <s v="ND"/>
    <s v="NAC"/>
    <s v="Chile"/>
    <d v="2013-11-20T00:00:00"/>
    <s v="Juan Francisco Schwarze"/>
    <m/>
    <x v="3"/>
    <m/>
    <d v="2013-11-21T00:00:00"/>
    <n v="270"/>
    <n v="11.65"/>
    <n v="43148.148148148153"/>
    <m/>
    <m/>
    <m/>
    <m/>
    <x v="9"/>
  </r>
  <r>
    <s v="O-235"/>
    <d v="2013-11-20T00:00:00"/>
    <x v="8"/>
    <s v="ARCADIS"/>
    <s v="Hugo Andrade"/>
    <s v="hugo.andrade@arcadis.cl"/>
    <s v="Contrato Marco para Prestación de Servicios"/>
    <x v="9"/>
    <s v="ND"/>
    <s v="NAC"/>
    <s v="Chile"/>
    <d v="2013-11-18T00:00:00"/>
    <s v="Pedro Valencia"/>
    <s v="Revisión 1 Oferta con rebaja tarifa.  OT1 /OT 2"/>
    <x v="5"/>
    <m/>
    <m/>
    <m/>
    <m/>
    <m/>
    <s v="SH-0097"/>
    <s v="SH 097"/>
    <m/>
    <m/>
    <x v="9"/>
  </r>
  <r>
    <s v="O-232"/>
    <d v="2013-11-19T00:00:00"/>
    <x v="16"/>
    <s v="CANDELARIA"/>
    <s v="Sandra Sandoval"/>
    <m/>
    <s v="IC &amp; Básica Proyecto Estabilidad de Taludes y Sistema de Captación Derrame"/>
    <x v="5"/>
    <s v="LM"/>
    <s v="NAC"/>
    <s v="Chile"/>
    <d v="2013-12-03T00:00:00"/>
    <s v="Pedro Valencia"/>
    <s v="Alcance solo al área 620"/>
    <x v="5"/>
    <m/>
    <d v="2013-12-18T00:00:00"/>
    <n v="637"/>
    <n v="27.295000000000002"/>
    <n v="42849.293563579275"/>
    <s v="SH-0089"/>
    <m/>
    <m/>
    <m/>
    <x v="9"/>
  </r>
  <r>
    <s v="O-233"/>
    <d v="2013-11-19T00:00:00"/>
    <x v="29"/>
    <s v="SQM"/>
    <s v="Gemita Gonzalez"/>
    <s v="gemita.gonzalez@sqm.com"/>
    <s v="Ingeniería Básica Sistema de Descarga Sales Descartes Planta Dual-PTS"/>
    <x v="1"/>
    <s v="LM"/>
    <s v="NAC"/>
    <s v="Chile"/>
    <d v="2013-11-28T00:00:00"/>
    <s v="José Gallardo"/>
    <s v="Hacer seguimiento con Cesar Gonzalez"/>
    <x v="3"/>
    <m/>
    <d v="2014-11-13T00:00:00"/>
    <n v="598"/>
    <n v="20.515799999999999"/>
    <n v="34307.357859531767"/>
    <m/>
    <m/>
    <m/>
    <m/>
    <x v="9"/>
  </r>
  <r>
    <s v="O-236"/>
    <d v="2013-11-04T00:00:00"/>
    <x v="16"/>
    <s v="CANDELARIA"/>
    <s v="David Muñoz"/>
    <m/>
    <s v="Modelación de Concentración de Hierro Magnético Tranque de Relaves - CCMC"/>
    <x v="2"/>
    <s v="ND"/>
    <s v="NAC"/>
    <s v="Chile"/>
    <d v="2013-12-09T00:00:00"/>
    <s v="Juan Francisco Schwarze"/>
    <m/>
    <x v="3"/>
    <m/>
    <d v="2014-12-18T00:00:00"/>
    <n v="975"/>
    <n v="32.674999999999997"/>
    <n v="33512.820512820508"/>
    <m/>
    <m/>
    <m/>
    <m/>
    <x v="9"/>
  </r>
  <r>
    <s v="O-285"/>
    <d v="2013-10-25T00:00:00"/>
    <x v="194"/>
    <s v="AUSENCO CHILE"/>
    <s v="Javier Reyes"/>
    <m/>
    <s v="Proyecto Pelambres STR?"/>
    <x v="1"/>
    <s v="ND"/>
    <s v="NAC"/>
    <s v="Chile"/>
    <d v="2014-05-20T00:00:00"/>
    <m/>
    <m/>
    <x v="3"/>
    <m/>
    <m/>
    <m/>
    <m/>
    <m/>
    <m/>
    <m/>
    <m/>
    <m/>
    <x v="9"/>
  </r>
  <r>
    <s v="O-229"/>
    <d v="2013-10-25T00:00:00"/>
    <x v="194"/>
    <s v="Minera Esperanza"/>
    <s v="Javier Reyes"/>
    <m/>
    <s v="Ingeniería de Detalles Manifold de Descarga Sentina Captación SIAM"/>
    <x v="1"/>
    <s v="ND"/>
    <s v="NAC"/>
    <s v="Chile"/>
    <d v="2013-10-30T00:00:00"/>
    <s v="Rafael Videla B."/>
    <s v="Propuesta Postergada por el Cliente"/>
    <x v="3"/>
    <m/>
    <d v="2013-11-11T00:00:00"/>
    <n v="975"/>
    <n v="51.097200000000001"/>
    <n v="52407.384615384617"/>
    <m/>
    <m/>
    <m/>
    <m/>
    <x v="9"/>
  </r>
  <r>
    <s v="O-227"/>
    <d v="2013-10-22T00:00:00"/>
    <x v="194"/>
    <s v="ACOTEC"/>
    <s v="Javier Reyes"/>
    <m/>
    <s v="Memoria de Cálculo Spool Refuerzo de Cañería 36” "/>
    <x v="3"/>
    <s v="ND"/>
    <s v="NAC"/>
    <s v="Chile"/>
    <d v="2013-10-28T00:00:00"/>
    <s v="Claudio Muñoz"/>
    <m/>
    <x v="5"/>
    <m/>
    <d v="2013-11-11T00:00:00"/>
    <n v="19"/>
    <n v="0.66990000000000005"/>
    <n v="35257.894736842107"/>
    <s v="SH-0084"/>
    <m/>
    <m/>
    <m/>
    <x v="9"/>
  </r>
  <r>
    <s v="O-228"/>
    <d v="2013-10-21T00:00:00"/>
    <x v="157"/>
    <s v="Atacama Kozan"/>
    <s v="Yanine Robledo"/>
    <m/>
    <s v="Estudio de Prefactibilidad Alternativas de Transporte de Depositación de Relaves"/>
    <x v="1"/>
    <s v="ND"/>
    <s v="NAC"/>
    <s v="Chile"/>
    <d v="2013-10-30T00:00:00"/>
    <s v="Pedro Valencia"/>
    <m/>
    <x v="3"/>
    <m/>
    <d v="2013-11-11T00:00:00"/>
    <n v="649"/>
    <n v="20.692499999999999"/>
    <n v="31883.667180277345"/>
    <m/>
    <m/>
    <m/>
    <m/>
    <x v="9"/>
  </r>
  <r>
    <s v="O-226"/>
    <d v="2013-10-21T00:00:00"/>
    <x v="157"/>
    <s v="Atacama Kozan"/>
    <s v="Yanine Robledo"/>
    <m/>
    <s v="Estudio de Prefactibilidad Conducción de Agua desde Tranque de Relaves Hacia Planta AK"/>
    <x v="2"/>
    <s v="ND"/>
    <s v="NAC"/>
    <s v="Chile"/>
    <d v="2013-10-25T00:00:00"/>
    <s v="Juan Francisco Schwarze"/>
    <m/>
    <x v="3"/>
    <m/>
    <d v="2013-10-28T00:00:00"/>
    <n v="380"/>
    <n v="12.885"/>
    <n v="33907.8947368421"/>
    <m/>
    <m/>
    <m/>
    <m/>
    <x v="9"/>
  </r>
  <r>
    <s v="O-225"/>
    <d v="2013-10-21T00:00:00"/>
    <x v="16"/>
    <s v="CANDELARIA"/>
    <s v="David Muñoz"/>
    <m/>
    <s v="Estudio de Prefactibilidad Transporte Agua TK 4000 a TK 29"/>
    <x v="2"/>
    <s v="ND"/>
    <s v="NAC"/>
    <s v="Chile"/>
    <d v="2013-10-30T00:00:00"/>
    <s v="Juan Francisco Schwarze"/>
    <s v="Se cambia por la O269"/>
    <x v="4"/>
    <m/>
    <m/>
    <m/>
    <m/>
    <s v="N/A"/>
    <m/>
    <m/>
    <m/>
    <m/>
    <x v="9"/>
  </r>
  <r>
    <s v="O-224"/>
    <d v="2013-10-21T00:00:00"/>
    <x v="16"/>
    <s v="CANDELARIA"/>
    <s v="David Muñoz"/>
    <m/>
    <s v="Estudio de Prefactibilidad Solución Separación Magnetita de Bola"/>
    <x v="2"/>
    <s v="ND"/>
    <s v="NAC"/>
    <s v="Chile"/>
    <d v="2013-10-30T00:00:00"/>
    <s v="Juan Francisco Schwarze"/>
    <m/>
    <x v="4"/>
    <m/>
    <m/>
    <m/>
    <m/>
    <s v="N/A"/>
    <m/>
    <m/>
    <m/>
    <m/>
    <x v="9"/>
  </r>
  <r>
    <s v="O-223"/>
    <d v="2013-10-17T00:00:00"/>
    <x v="195"/>
    <s v="Minera Ojos del Salado"/>
    <s v="Mario Egaña"/>
    <m/>
    <s v="Ingeniería de Detalles Reemplazo Motor N 1 Minera Ojos del Salado"/>
    <x v="1"/>
    <s v="LM"/>
    <s v="NAC"/>
    <s v="Chile"/>
    <d v="2013-10-21T00:00:00"/>
    <s v="Pedro Valencia"/>
    <m/>
    <x v="3"/>
    <m/>
    <d v="2013-10-28T00:00:00"/>
    <n v="984"/>
    <n v="32.380000000000003"/>
    <n v="32906.504065040652"/>
    <m/>
    <m/>
    <m/>
    <m/>
    <x v="9"/>
  </r>
  <r>
    <s v="O-222"/>
    <d v="2013-10-16T00:00:00"/>
    <x v="16"/>
    <s v="CANDELARIA"/>
    <s v="David Muñoz"/>
    <m/>
    <s v="IC Transporte de Relaves de Planta PAC a Minera Hierro Atacama"/>
    <x v="2"/>
    <s v="ND"/>
    <s v="NAC"/>
    <s v="Chile"/>
    <d v="2013-10-16T00:00:00"/>
    <s v="Pedro Valencia"/>
    <m/>
    <x v="5"/>
    <m/>
    <d v="2013-10-16T00:00:00"/>
    <n v="574"/>
    <n v="19.510000000000002"/>
    <n v="33989.547038327531"/>
    <s v="SH-0085"/>
    <m/>
    <m/>
    <m/>
    <x v="9"/>
  </r>
  <r>
    <s v="O-230"/>
    <d v="2013-10-07T00:00:00"/>
    <x v="76"/>
    <s v="Anglo American"/>
    <s v="Luis Rebolledo"/>
    <m/>
    <s v="Ingeniería Conceptual Muro Planta Traque de Relaves Las Tortolas"/>
    <x v="2"/>
    <s v="ND"/>
    <s v="NAC"/>
    <s v="Chile"/>
    <d v="2013-10-11T00:00:00"/>
    <s v="Pedro Valencia"/>
    <s v="Pedro Valencia encargado de la Disciplina Hidrálica HH por Administración"/>
    <x v="3"/>
    <m/>
    <d v="2014-11-13T00:00:00"/>
    <m/>
    <m/>
    <s v="N/A"/>
    <m/>
    <m/>
    <m/>
    <m/>
    <x v="9"/>
  </r>
  <r>
    <s v="O-221"/>
    <d v="2013-10-07T00:00:00"/>
    <x v="31"/>
    <s v="Anglo American"/>
    <s v="Alvaro Huerta"/>
    <s v="rorellana@caserones.cl"/>
    <s v="Ingeniería Conceptual Muro Planta Traque de Relaves Las Tortolas"/>
    <x v="2"/>
    <s v="LM"/>
    <s v="NAC"/>
    <s v="Chile"/>
    <d v="2013-10-24T00:00:00"/>
    <s v="PEdro Valencia"/>
    <m/>
    <x v="3"/>
    <m/>
    <d v="2014-11-13T00:00:00"/>
    <n v="896"/>
    <n v="35.227499999999999"/>
    <n v="39316.40625"/>
    <m/>
    <m/>
    <m/>
    <m/>
    <x v="9"/>
  </r>
  <r>
    <s v="O-219"/>
    <d v="2013-10-02T00:00:00"/>
    <x v="196"/>
    <s v="MVC"/>
    <s v="Claudio Gomez"/>
    <m/>
    <s v="Estudio de Prefactibilidad Alternativas de Transporte de Pulpa - Minera Valle Central"/>
    <x v="27"/>
    <s v="ND"/>
    <s v="NAC"/>
    <s v="Chile"/>
    <d v="2013-10-03T00:00:00"/>
    <s v="Pedro Valencia"/>
    <m/>
    <x v="5"/>
    <m/>
    <d v="2013-10-15T00:00:00"/>
    <n v="340"/>
    <n v="11.5"/>
    <n v="33823.529411764706"/>
    <s v="SH-0082"/>
    <m/>
    <m/>
    <m/>
    <x v="9"/>
  </r>
  <r>
    <s v="O-218"/>
    <d v="2013-09-23T00:00:00"/>
    <x v="9"/>
    <s v="Codelco División Norte"/>
    <s v="Pedro Villarroel"/>
    <m/>
    <s v="EPC Aseguramiento Continuidad Operacional Espesadores de Relaves Planta Concentradora, División Chuquicamata"/>
    <x v="1"/>
    <s v="LM"/>
    <s v="NAC"/>
    <s v="Chile"/>
    <d v="2013-10-30T00:00:00"/>
    <s v="Pedro Valencia"/>
    <m/>
    <x v="3"/>
    <m/>
    <d v="2013-11-28T00:00:00"/>
    <n v="22828"/>
    <n v="706.03339282399998"/>
    <n v="30928.394639214999"/>
    <m/>
    <m/>
    <m/>
    <m/>
    <x v="9"/>
  </r>
  <r>
    <s v="O-220"/>
    <d v="2013-09-10T00:00:00"/>
    <x v="29"/>
    <s v="SQM"/>
    <s v="Davor Versalovic"/>
    <s v="Davor.Versalovic@sqm.com"/>
    <s v="Contrato Abierto Servicios Especializados de Ingeniería"/>
    <x v="9"/>
    <s v="LM"/>
    <s v="NAC"/>
    <s v="Chile"/>
    <d v="2013-10-02T00:00:00"/>
    <s v="Pedro Valencia"/>
    <m/>
    <x v="3"/>
    <m/>
    <d v="2014-11-13T00:00:00"/>
    <n v="174"/>
    <n v="4.5090000000000003"/>
    <n v="25913.793103448279"/>
    <m/>
    <m/>
    <m/>
    <m/>
    <x v="9"/>
  </r>
  <r>
    <s v="O-217"/>
    <d v="2013-09-10T00:00:00"/>
    <x v="23"/>
    <s v="Caserones"/>
    <s v="Miguel Saavedra"/>
    <m/>
    <s v="Licitación LIC-GIR-SAF-9300-13 Planos as Built Proyecto Caserones Sistema de Agua Fresca"/>
    <x v="11"/>
    <s v="ND"/>
    <s v="NAC"/>
    <s v="Chile"/>
    <m/>
    <s v="Pedro Valencia"/>
    <m/>
    <x v="3"/>
    <m/>
    <d v="2014-01-10T00:00:00"/>
    <n v="2619"/>
    <n v="39.775226864244701"/>
    <n v="15187.180933274036"/>
    <m/>
    <m/>
    <m/>
    <m/>
    <x v="9"/>
  </r>
  <r>
    <s v="O-215"/>
    <d v="2013-09-04T00:00:00"/>
    <x v="197"/>
    <s v="Minera Florida"/>
    <s v="Felipe Nuñez"/>
    <m/>
    <s v="Diagnóstico Preliminar Operaciones Minera Florida"/>
    <x v="10"/>
    <s v="ND"/>
    <s v="NAC"/>
    <s v="Chile"/>
    <d v="2013-09-15T00:00:00"/>
    <s v="Juan Francisco Schwarze"/>
    <m/>
    <x v="3"/>
    <m/>
    <d v="2014-04-08T00:00:00"/>
    <m/>
    <m/>
    <s v="N/A"/>
    <m/>
    <m/>
    <m/>
    <m/>
    <x v="9"/>
  </r>
  <r>
    <s v="O-216"/>
    <d v="2013-09-02T00:00:00"/>
    <x v="167"/>
    <s v="Nutram S.A."/>
    <s v="Francisco Vera"/>
    <m/>
    <s v="Estudio de Regularización y Ampliación Traque de Relaves Cobre Norte"/>
    <x v="1"/>
    <s v="ND"/>
    <s v="NAC"/>
    <s v="Chile"/>
    <d v="2013-09-10T00:00:00"/>
    <s v="Pedro Valencia"/>
    <m/>
    <x v="5"/>
    <m/>
    <d v="2013-10-15T00:00:00"/>
    <n v="1075"/>
    <n v="33.139204999999997"/>
    <n v="30827.167441860463"/>
    <s v="SH-0081"/>
    <m/>
    <m/>
    <m/>
    <x v="9"/>
  </r>
  <r>
    <s v="O-214"/>
    <d v="2013-08-28T00:00:00"/>
    <x v="198"/>
    <s v="Jamieson Group"/>
    <s v="Kevin Davidson"/>
    <m/>
    <s v="Consultans for Operational Readiness Peru"/>
    <x v="24"/>
    <s v="ND"/>
    <s v="INT"/>
    <s v="Perú"/>
    <d v="2013-09-15T00:00:00"/>
    <s v="Claudio Muñoz"/>
    <m/>
    <x v="3"/>
    <m/>
    <d v="2013-09-09T00:00:00"/>
    <m/>
    <m/>
    <s v="N/A"/>
    <m/>
    <m/>
    <m/>
    <m/>
    <x v="9"/>
  </r>
  <r>
    <s v="O-213"/>
    <d v="2013-08-23T00:00:00"/>
    <x v="76"/>
    <s v="Minera la Florida"/>
    <s v="Luis Rebolledo"/>
    <m/>
    <s v="Ingenieria Conceptual depositos en Pasta y Sistema de Transporte de Relaves"/>
    <x v="2"/>
    <s v="LM"/>
    <s v="NAC"/>
    <s v="Chile"/>
    <d v="2013-08-30T00:00:00"/>
    <s v="Pedro Valencia"/>
    <s v="Se definio con KP proponer una I Conceptual Avanzada debido a los problemas de diseño de la Ingeniería Básica. Propuesta Desierta"/>
    <x v="3"/>
    <m/>
    <d v="2013-09-09T00:00:00"/>
    <n v="885"/>
    <n v="34.109000000000002"/>
    <n v="38541.242937853109"/>
    <m/>
    <m/>
    <m/>
    <m/>
    <x v="9"/>
  </r>
  <r>
    <s v="O-208"/>
    <d v="2013-08-16T00:00:00"/>
    <x v="199"/>
    <s v="Minera Eloisa"/>
    <s v="Andres Yeomans"/>
    <m/>
    <s v="Análisis Hidráulico Sistema de Agua Mar Proyecto Eloisa"/>
    <x v="10"/>
    <s v="ND"/>
    <s v="NAC"/>
    <s v="Chile"/>
    <d v="2013-08-19T00:00:00"/>
    <s v="Pedro Valencia"/>
    <s v="PV llamara."/>
    <x v="3"/>
    <m/>
    <d v="2013-08-20T00:00:00"/>
    <n v="275"/>
    <n v="12.374000000000001"/>
    <n v="44996.36363636364"/>
    <m/>
    <m/>
    <m/>
    <m/>
    <x v="9"/>
  </r>
  <r>
    <s v="O-212"/>
    <d v="2013-08-14T00:00:00"/>
    <x v="200"/>
    <s v="Minera Alumbrera"/>
    <s v="Orlando Campos"/>
    <m/>
    <s v="Diagnóstico Mineroducto"/>
    <x v="10"/>
    <s v="ND"/>
    <s v="INT"/>
    <s v="Argentina"/>
    <d v="2013-08-16T00:00:00"/>
    <s v="Pedro Valencia"/>
    <s v="No se interearon"/>
    <x v="3"/>
    <m/>
    <d v="2014-04-08T00:00:00"/>
    <m/>
    <m/>
    <s v="N/A"/>
    <m/>
    <m/>
    <m/>
    <m/>
    <x v="9"/>
  </r>
  <r>
    <s v="O-211"/>
    <d v="2013-08-02T00:00:00"/>
    <x v="100"/>
    <s v="Codelco"/>
    <s v="Marcelo Ñuñez"/>
    <m/>
    <s v="Asesoría Servicios Eléctricos de Contraparte - Codelco"/>
    <x v="22"/>
    <s v="ND"/>
    <s v="NAC"/>
    <s v="Chile"/>
    <d v="2013-08-05T00:00:00"/>
    <s v="José Gallardo"/>
    <s v="Cliente opto por alternativa más económica (IB - Electrico) y no JP."/>
    <x v="3"/>
    <m/>
    <d v="2013-08-20T00:00:00"/>
    <m/>
    <m/>
    <s v="N/A"/>
    <m/>
    <m/>
    <m/>
    <m/>
    <x v="9"/>
  </r>
  <r>
    <s v="O-210"/>
    <d v="2013-07-29T00:00:00"/>
    <x v="201"/>
    <s v="Kinross Paracatu"/>
    <m/>
    <m/>
    <s v="Projetos Sazonal e Bombeamneto de Rejeito da Planta I - Kinross Paracatu"/>
    <x v="7"/>
    <s v="ND"/>
    <s v="INT"/>
    <s v="Brasil"/>
    <m/>
    <s v="Luciano Soares"/>
    <s v="Cliente paralizo licitación, invitarán a SHIMIN do Brasil a participar en el nuevo proceso."/>
    <x v="4"/>
    <m/>
    <d v="2013-09-30T00:00:00"/>
    <n v="1800"/>
    <n v="53.846670000000003"/>
    <n v="29914.816666666669"/>
    <m/>
    <m/>
    <m/>
    <m/>
    <x v="9"/>
  </r>
  <r>
    <s v="O-209"/>
    <d v="2013-07-29T00:00:00"/>
    <x v="202"/>
    <s v="Katanga Mining Services"/>
    <s v="Edgar Canta"/>
    <m/>
    <s v="Proposal Concentrate Transport System Katanga - Scoping Study"/>
    <x v="2"/>
    <s v="ND"/>
    <s v="INT"/>
    <s v="DRC"/>
    <d v="2013-08-02T00:00:00"/>
    <s v="Claudio Muñoz"/>
    <s v="Esperando respuesta de Cliente"/>
    <x v="3"/>
    <m/>
    <d v="2013-08-26T00:00:00"/>
    <n v="560"/>
    <n v="24.055"/>
    <n v="42955.357142857145"/>
    <m/>
    <m/>
    <m/>
    <m/>
    <x v="9"/>
  </r>
  <r>
    <s v="O-207"/>
    <d v="2013-07-17T00:00:00"/>
    <x v="203"/>
    <s v="Servitrans"/>
    <m/>
    <m/>
    <s v="Licitación Construcción y Operación Relleno Sanitario Provincial - Comuna de Osorno"/>
    <x v="1"/>
    <s v="ND"/>
    <s v="NAC"/>
    <s v="Chile"/>
    <d v="2013-07-27T00:00:00"/>
    <s v="Claudio Muñoz"/>
    <s v="Cliente encontro tarifa alta, desarrollará trabajo con personal propio."/>
    <x v="3"/>
    <m/>
    <d v="2013-07-29T00:00:00"/>
    <n v="1223"/>
    <n v="18.399999999999999"/>
    <n v="15044.971381847914"/>
    <m/>
    <m/>
    <m/>
    <m/>
    <x v="9"/>
  </r>
  <r>
    <s v="O-200"/>
    <d v="2013-07-06T00:00:00"/>
    <x v="204"/>
    <s v="AMEC Brasil"/>
    <s v="Carlos ROberto"/>
    <m/>
    <s v="Serra Azul Rejeitoduto e Audotora "/>
    <x v="2"/>
    <s v="LM"/>
    <s v="INT"/>
    <s v="Brasil"/>
    <d v="2013-07-13T00:00:00"/>
    <s v="Pedro Valencia"/>
    <s v=" Sin definición esperando decesión."/>
    <x v="3"/>
    <m/>
    <d v="2013-08-26T00:00:00"/>
    <n v="1637"/>
    <n v="41.097999999999999"/>
    <n v="25105.681124007329"/>
    <m/>
    <m/>
    <m/>
    <m/>
    <x v="9"/>
  </r>
  <r>
    <s v="O-203"/>
    <d v="2013-07-03T00:00:00"/>
    <x v="108"/>
    <s v="Codelco"/>
    <m/>
    <m/>
    <s v="Ingeniería de Detalles Transporte de Relaves en Canaletas - Explotación de Sulfuros RT Fase II"/>
    <x v="1"/>
    <s v="ND"/>
    <s v="NAC"/>
    <s v="Chile"/>
    <d v="2013-07-22T00:00:00"/>
    <s v="Pedro Valencia"/>
    <s v="Seleccionaron a P&amp;C"/>
    <x v="3"/>
    <m/>
    <d v="2013-12-18T00:00:00"/>
    <n v="725"/>
    <n v="30.772088"/>
    <n v="42444.259310344823"/>
    <m/>
    <m/>
    <m/>
    <m/>
    <x v="9"/>
  </r>
  <r>
    <s v="O-205"/>
    <d v="2013-07-01T00:00:00"/>
    <x v="189"/>
    <s v="Dragados"/>
    <m/>
    <m/>
    <s v="Consorcio Proyecto Dominga Dragados"/>
    <x v="5"/>
    <s v="LM"/>
    <s v="NAC"/>
    <s v="Chile"/>
    <m/>
    <s v="Pedro Valencia"/>
    <s v="Esperando de Alvaro Fonseca."/>
    <x v="3"/>
    <m/>
    <d v="2013-09-30T00:00:00"/>
    <m/>
    <m/>
    <s v="N/A"/>
    <m/>
    <m/>
    <m/>
    <m/>
    <x v="9"/>
  </r>
  <r>
    <s v="O-204"/>
    <d v="2013-07-01T00:00:00"/>
    <x v="9"/>
    <s v="DAND"/>
    <m/>
    <m/>
    <s v="EPC Ovejerias DAND/CONPAX"/>
    <x v="1"/>
    <s v="LM"/>
    <s v="NAC"/>
    <s v="Chile"/>
    <m/>
    <s v="Pedro Valencia"/>
    <s v="Estar atento con CONPAX"/>
    <x v="3"/>
    <m/>
    <d v="2014-11-13T00:00:00"/>
    <m/>
    <m/>
    <s v="N/A"/>
    <m/>
    <m/>
    <m/>
    <m/>
    <x v="9"/>
  </r>
  <r>
    <s v="O-206"/>
    <d v="2013-06-24T00:00:00"/>
    <x v="109"/>
    <s v="ENAP"/>
    <s v="Juan Manuel Silva. "/>
    <s v="Juanmanuel.silva@glemans.com"/>
    <s v="Ingeniería de Detalles Cruces Magallanes"/>
    <x v="1"/>
    <s v="ND"/>
    <s v="NAC"/>
    <s v="Chile"/>
    <m/>
    <s v="Pedro Valencia"/>
    <s v="PV mandar correo a Jose Manuel Silva. Postergado hasta noviembre 2013."/>
    <x v="3"/>
    <m/>
    <d v="2014-11-13T00:00:00"/>
    <m/>
    <m/>
    <s v="N/A"/>
    <m/>
    <m/>
    <m/>
    <m/>
    <x v="9"/>
  </r>
  <r>
    <s v="O-202"/>
    <d v="2013-06-18T00:00:00"/>
    <x v="205"/>
    <s v="Thermal Engineering"/>
    <s v="Gregorio Barrientos"/>
    <m/>
    <s v="Análisis de Flexibilidad Circuitos de Suministro de Vapor, Retorno Condensado y Agua Alimentación"/>
    <x v="37"/>
    <s v="ND"/>
    <s v="NAC"/>
    <s v="Chile"/>
    <d v="2013-07-01T00:00:00"/>
    <s v="Pedro Valencia"/>
    <s v="Costo muy alto, se tomo la decisión con un proveedor más bárato"/>
    <x v="3"/>
    <m/>
    <d v="2013-07-18T00:00:00"/>
    <n v="240"/>
    <n v="7.4196"/>
    <n v="30915"/>
    <m/>
    <m/>
    <m/>
    <m/>
    <x v="9"/>
  </r>
  <r>
    <s v="O-197"/>
    <d v="2013-06-15T00:00:00"/>
    <x v="206"/>
    <s v="COPRIM"/>
    <s v="Nicolas Vicuña"/>
    <m/>
    <s v="Ingeniería Conceptual Reducción y Recuperación Consumo de Agua de Procesos Altonorte"/>
    <x v="2"/>
    <s v="ND"/>
    <s v="NAC"/>
    <s v="Chile"/>
    <d v="2013-05-28T00:00:00"/>
    <s v="Pedro Valencia"/>
    <s v="Cliente solicito mayor información, adjudicada a Arcadis, mejor evaluación técnica y comercial."/>
    <x v="3"/>
    <m/>
    <d v="2013-08-26T00:00:00"/>
    <n v="2300"/>
    <n v="94.622799999999998"/>
    <n v="41140.34782608696"/>
    <m/>
    <m/>
    <m/>
    <m/>
    <x v="9"/>
  </r>
  <r>
    <s v="O-201"/>
    <d v="2013-06-13T00:00:00"/>
    <x v="207"/>
    <s v="Apires Holding"/>
    <s v="Patricio Maureira"/>
    <s v="pmaureira@apires.cl"/>
    <s v="Análisis Hidráulico Arrastre Sedimiento Sector Río Cachapoal"/>
    <x v="7"/>
    <s v="ND"/>
    <s v="NAC"/>
    <s v="Chile"/>
    <d v="2013-07-13T00:00:00"/>
    <s v="Pedro Valencia"/>
    <m/>
    <x v="3"/>
    <m/>
    <d v="2013-07-18T00:00:00"/>
    <n v="95"/>
    <n v="3.3892000000000002"/>
    <n v="35675.789473684206"/>
    <m/>
    <m/>
    <m/>
    <m/>
    <x v="9"/>
  </r>
  <r>
    <s v="O-196"/>
    <d v="2013-05-29T00:00:00"/>
    <x v="164"/>
    <s v="AMEC Brasil"/>
    <s v="Roberto Carlos"/>
    <m/>
    <s v="Proposta Arcelator Mittal 3 Captações de Agua e 2 Rejeitodutos"/>
    <x v="1"/>
    <s v="ND"/>
    <s v="INT"/>
    <s v="Brasil"/>
    <d v="2013-05-29T00:00:00"/>
    <s v="Pedro Valencia"/>
    <s v="R$ 230 /hh. Sin definición esperando decesión."/>
    <x v="3"/>
    <m/>
    <d v="2013-08-26T00:00:00"/>
    <m/>
    <m/>
    <s v="N/A"/>
    <m/>
    <m/>
    <m/>
    <m/>
    <x v="9"/>
  </r>
  <r>
    <s v="O-195"/>
    <d v="2013-05-28T00:00:00"/>
    <x v="208"/>
    <s v="Parque Eolico"/>
    <s v="Jorge Martinez"/>
    <m/>
    <s v="Análisis Hidráulico Proyecto Parque Eólico Llay Llay - IEG"/>
    <x v="2"/>
    <s v="ND"/>
    <s v="NAC"/>
    <s v="Chile"/>
    <d v="2013-05-28T00:00:00"/>
    <s v="Pedro Valencia"/>
    <s v="Cristián Lopez lidera proyecto."/>
    <x v="5"/>
    <m/>
    <d v="2013-06-08T00:00:00"/>
    <n v="100"/>
    <n v="3.4350000000000001"/>
    <n v="34350"/>
    <s v="SH-0079"/>
    <m/>
    <m/>
    <m/>
    <x v="9"/>
  </r>
  <r>
    <s v="O-198"/>
    <d v="2013-05-16T00:00:00"/>
    <x v="76"/>
    <s v="Minera Santo Domingo"/>
    <s v="Luis Rebolledo"/>
    <m/>
    <s v="Estudio Trade-off Transporte de Relaves Proyecto Santo Domingo"/>
    <x v="2"/>
    <s v="ND"/>
    <s v="NAC"/>
    <s v="Chile"/>
    <d v="2013-05-16T00:00:00"/>
    <s v="Pedro Valencia"/>
    <s v="Extension del SH-0071."/>
    <x v="5"/>
    <m/>
    <d v="2013-08-20T00:00:00"/>
    <n v="145"/>
    <n v="5.3586"/>
    <n v="36955.862068965522"/>
    <s v="SH-0071"/>
    <m/>
    <m/>
    <m/>
    <x v="9"/>
  </r>
  <r>
    <s v="O-194"/>
    <d v="2013-05-15T00:00:00"/>
    <x v="209"/>
    <s v="SIGSE"/>
    <m/>
    <m/>
    <s v="Capacitación de Operadores y Supervisores Sonangol - Angola."/>
    <x v="17"/>
    <s v="ND"/>
    <s v="INT"/>
    <s v="Angola"/>
    <d v="2013-05-29T00:00:00"/>
    <s v="Javier Herrera"/>
    <s v="Esperando Respuesta de Angola"/>
    <x v="3"/>
    <m/>
    <d v="2013-08-20T00:00:00"/>
    <n v="885"/>
    <n v="20.267173"/>
    <n v="22900.760451977399"/>
    <m/>
    <m/>
    <m/>
    <m/>
    <x v="9"/>
  </r>
  <r>
    <s v="O-193"/>
    <d v="2013-05-15T00:00:00"/>
    <x v="210"/>
    <s v="Vale Brasil"/>
    <s v="Darcy Curtinhas"/>
    <m/>
    <s v="Projeto Engenharia Básica para Minerodutos Pico e Vargem Grande"/>
    <x v="5"/>
    <s v="ND"/>
    <s v="NAC"/>
    <s v="Chile"/>
    <d v="2013-05-23T00:00:00"/>
    <s v="Pedro Valencia"/>
    <s v="No se presento ECM. SHIMIN exigio logo."/>
    <x v="3"/>
    <m/>
    <d v="2013-08-20T00:00:00"/>
    <n v="7019"/>
    <n v="511.25434999999999"/>
    <n v="72838.630859096738"/>
    <m/>
    <m/>
    <m/>
    <m/>
    <x v="9"/>
  </r>
  <r>
    <s v="O-192"/>
    <d v="2013-05-10T00:00:00"/>
    <x v="100"/>
    <s v="Caserones"/>
    <s v="Miguel Ruiz"/>
    <m/>
    <s v="Liberación de Elementos Estructurales - Proyecto Caserones"/>
    <x v="11"/>
    <s v="ND"/>
    <s v="NAC"/>
    <s v="Chile"/>
    <d v="2013-05-14T00:00:00"/>
    <s v="Pedro Valencia"/>
    <m/>
    <x v="5"/>
    <m/>
    <d v="2013-06-08T00:00:00"/>
    <n v="50"/>
    <n v="2.4961000000000002"/>
    <n v="49922"/>
    <s v="SH-0072"/>
    <m/>
    <m/>
    <m/>
    <x v="9"/>
  </r>
  <r>
    <s v="O-191"/>
    <d v="2013-05-10T00:00:00"/>
    <x v="100"/>
    <s v="Caserones"/>
    <s v="Miguel Ruiz"/>
    <m/>
    <s v="Ingeniería de Detalle Empalme Piping 10&quot; Agua Fresca a Tramos C_x000a_Proyecto Caserones"/>
    <x v="1"/>
    <s v="ND"/>
    <s v="NAC"/>
    <s v="Chile"/>
    <d v="2013-05-22T00:00:00"/>
    <s v="José Gallardo"/>
    <m/>
    <x v="5"/>
    <m/>
    <d v="2013-06-08T00:00:00"/>
    <n v="209"/>
    <n v="7.6257000000000001"/>
    <n v="36486.602870813404"/>
    <s v="SH-0096"/>
    <s v="SH 096"/>
    <m/>
    <m/>
    <x v="9"/>
  </r>
  <r>
    <s v="O-190"/>
    <d v="2013-05-02T00:00:00"/>
    <x v="8"/>
    <s v="PELAMBRES"/>
    <s v="Cecilia Riveros"/>
    <m/>
    <s v="Licitación Proyecto Espesamiento de Relaves Mauro - PELAMBRES"/>
    <x v="2"/>
    <s v="ND"/>
    <s v="NAC"/>
    <s v="Chile"/>
    <d v="2013-05-02T00:00:00"/>
    <s v="Pedro Valencia"/>
    <s v="Propuesta Desierta."/>
    <x v="3"/>
    <m/>
    <d v="2013-08-20T00:00:00"/>
    <n v="100"/>
    <n v="5.7249999999999996"/>
    <n v="57249.999999999993"/>
    <m/>
    <m/>
    <m/>
    <m/>
    <x v="9"/>
  </r>
  <r>
    <s v="O-182"/>
    <d v="2013-04-26T00:00:00"/>
    <x v="117"/>
    <s v="BHP BILLITON"/>
    <s v="Juan Esteban Fuentes"/>
    <s v="hugo.andrade@arcadis.cl"/>
    <s v="Actualización Benchmarking Concentrate and Water Pipelines 2013"/>
    <x v="2"/>
    <s v="ND"/>
    <s v="NAC"/>
    <s v="Chile"/>
    <d v="2013-04-01T00:00:00"/>
    <s v="Claudio Muñoz"/>
    <s v="Sin respuesta por parte de Cliente."/>
    <x v="3"/>
    <m/>
    <d v="2013-04-04T00:00:00"/>
    <n v="70"/>
    <n v="2.2799999999999998"/>
    <n v="32571.428571428569"/>
    <m/>
    <m/>
    <m/>
    <m/>
    <x v="9"/>
  </r>
  <r>
    <s v="O-199"/>
    <d v="2013-04-15T00:00:00"/>
    <x v="211"/>
    <s v="Antamina"/>
    <s v="Jhon Quiñonez"/>
    <m/>
    <s v="Evaluación y Rediseño de Configuración de Líneas de Tuberías PEA"/>
    <x v="2"/>
    <s v="ND"/>
    <s v="INT"/>
    <s v="Perú"/>
    <d v="2013-05-06T00:00:00"/>
    <s v="Rafael Videla"/>
    <s v="Proyecto Stand-by"/>
    <x v="3"/>
    <m/>
    <d v="2013-09-09T00:00:00"/>
    <n v="985"/>
    <n v="57.075000000000003"/>
    <n v="57944.162436548228"/>
    <m/>
    <m/>
    <m/>
    <m/>
    <x v="9"/>
  </r>
  <r>
    <s v="O-186"/>
    <d v="2013-04-10T00:00:00"/>
    <x v="212"/>
    <s v="Universidade Federal de Minas Gerais"/>
    <s v="Virginia Ciminelli"/>
    <m/>
    <s v="Curso Processamento de Ouro."/>
    <x v="17"/>
    <s v="ND"/>
    <s v="INT"/>
    <s v="Brasil"/>
    <d v="2013-04-10T00:00:00"/>
    <s v="Pedro Valencia"/>
    <m/>
    <x v="5"/>
    <m/>
    <m/>
    <n v="50"/>
    <n v="0"/>
    <n v="0"/>
    <s v="SH-0080"/>
    <m/>
    <m/>
    <m/>
    <x v="9"/>
  </r>
  <r>
    <s v="O-189"/>
    <d v="2013-04-10T00:00:00"/>
    <x v="213"/>
    <s v="Mina Cuiabá"/>
    <s v="Alexandre Freitas"/>
    <m/>
    <s v="Assessoria Especializada Serviços Area Planta"/>
    <x v="2"/>
    <s v="ND"/>
    <s v="INT"/>
    <s v="Brasil"/>
    <d v="2013-04-20T00:00:00"/>
    <s v="Pedro Valencia"/>
    <m/>
    <x v="4"/>
    <m/>
    <d v="2013-04-18T00:00:00"/>
    <n v="240"/>
    <n v="1.1940200000000001"/>
    <n v="4975.0833333333339"/>
    <m/>
    <m/>
    <m/>
    <m/>
    <x v="9"/>
  </r>
  <r>
    <s v="O-188"/>
    <d v="2013-04-10T00:00:00"/>
    <x v="213"/>
    <s v="Planta Queiroz"/>
    <s v="Alexandre Freitas"/>
    <m/>
    <s v="Engenharia Conceitual Transporte Hidráulico de Lamas Arsenicais - Planta Queiroz"/>
    <x v="2"/>
    <s v="ND"/>
    <s v="INT"/>
    <s v="Brasil"/>
    <d v="2013-04-26T00:00:00"/>
    <s v="Juan Francisco Schwarze"/>
    <s v="Sergio converso con Altair quien cambio de cargo, activar en septiembre (exposibram)."/>
    <x v="3"/>
    <m/>
    <d v="2013-08-20T00:00:00"/>
    <n v="510"/>
    <n v="17.202059999999999"/>
    <n v="33729.529411764706"/>
    <m/>
    <m/>
    <m/>
    <m/>
    <x v="9"/>
  </r>
  <r>
    <s v="O-187"/>
    <d v="2013-04-10T00:00:00"/>
    <x v="213"/>
    <s v="Mina Cuiabá"/>
    <s v="Alexandre Freitas"/>
    <m/>
    <s v="Engenharia Conceitual Transporte Hidráulico de Areias de Rejeitos - Planta Cuiabá"/>
    <x v="2"/>
    <s v="ND"/>
    <s v="INT"/>
    <s v="Brasil"/>
    <d v="2013-04-26T00:00:00"/>
    <s v="Juan Francisco Schwarze"/>
    <s v="Sergio converso con Altair quien cambio de cargo, activar en septiembre (exposibram)."/>
    <x v="3"/>
    <m/>
    <d v="2013-08-20T00:00:00"/>
    <n v="557"/>
    <n v="18.37792"/>
    <n v="32994.470377019745"/>
    <m/>
    <m/>
    <m/>
    <m/>
    <x v="9"/>
  </r>
  <r>
    <s v="O-185"/>
    <d v="2013-04-10T00:00:00"/>
    <x v="214"/>
    <s v="Minera Antapaccay "/>
    <s v="Dante Garcia"/>
    <m/>
    <s v="Diagnóstico Preliminar Operacones Minera Antapaccay"/>
    <x v="11"/>
    <s v="ND"/>
    <s v="INT"/>
    <s v="Perú"/>
    <d v="2013-04-10T00:00:00"/>
    <s v="Pedro Valencia"/>
    <s v="No se obtuvo interes por del Cliente en obtener un diagnóstico operacional."/>
    <x v="3"/>
    <m/>
    <m/>
    <m/>
    <m/>
    <s v="N/A"/>
    <m/>
    <m/>
    <m/>
    <m/>
    <x v="9"/>
  </r>
  <r>
    <s v="O-184"/>
    <d v="2013-04-02T00:00:00"/>
    <x v="164"/>
    <s v="SAMPROJECTS"/>
    <s v="Eloy Nogueria"/>
    <m/>
    <s v="Assessoria Especializada Em Transporte de Minério, Rejeitos e Adutora de Água Prefeasibility and Feasibility Stydy"/>
    <x v="7"/>
    <s v="ND"/>
    <s v="INT"/>
    <s v="Brasil"/>
    <d v="2013-04-04T00:00:00"/>
    <s v="Pedro Valencia"/>
    <s v="En revisión de Pruebas Pilotos (atrasados). Octubre 2013."/>
    <x v="3"/>
    <m/>
    <d v="2013-04-04T00:00:00"/>
    <n v="2820"/>
    <n v="149.178"/>
    <n v="52899.999999999993"/>
    <m/>
    <m/>
    <m/>
    <m/>
    <x v="9"/>
  </r>
  <r>
    <s v="O-183"/>
    <d v="2013-03-28T00:00:00"/>
    <x v="215"/>
    <s v="Minera Esperanza"/>
    <s v="Rodrigo Tapia"/>
    <m/>
    <s v="Ingeniería de Detalles Manifold de Descarga Sentina Captación SIAM"/>
    <x v="1"/>
    <s v="ND"/>
    <s v="NAC"/>
    <s v="Chile"/>
    <d v="2013-04-01T00:00:00"/>
    <s v="Rafael Videla B."/>
    <s v="Postergado por Oficina Central de Minera Esperanza."/>
    <x v="3"/>
    <m/>
    <d v="2013-04-04T00:00:00"/>
    <n v="1843"/>
    <n v="69.540000000000006"/>
    <n v="37731.958762886607"/>
    <m/>
    <m/>
    <m/>
    <m/>
    <x v="9"/>
  </r>
  <r>
    <s v="O-181"/>
    <d v="2013-03-26T00:00:00"/>
    <x v="216"/>
    <s v="Vale Brasil"/>
    <s v="Luciano Soares"/>
    <m/>
    <s v="Diagnóstico Disiciplina Mecánica - Piping y Procesos "/>
    <x v="11"/>
    <s v="ND"/>
    <s v="INT"/>
    <s v="Brasil"/>
    <d v="2013-04-08T00:00:00"/>
    <s v="Pedro Valencia"/>
    <m/>
    <x v="5"/>
    <m/>
    <d v="2013-04-04T00:00:00"/>
    <n v="42.5"/>
    <n v="1.7724169999999999"/>
    <n v="41703.929411764708"/>
    <s v="SH-0074"/>
    <m/>
    <m/>
    <m/>
    <x v="9"/>
  </r>
  <r>
    <s v="O-180"/>
    <d v="2013-03-26T00:00:00"/>
    <x v="217"/>
    <s v="Manabi"/>
    <s v="Wellington Santos"/>
    <m/>
    <s v="Serviços de Revisão e Adequação de Normas Técnicas e Padrões de Engenharia"/>
    <x v="3"/>
    <s v="ND"/>
    <s v="INT"/>
    <s v="Brasil"/>
    <d v="2013-04-03T00:00:00"/>
    <s v="Pedro Valencia"/>
    <m/>
    <x v="3"/>
    <m/>
    <d v="2013-04-04T00:00:00"/>
    <n v="6250"/>
    <n v="230"/>
    <n v="36800"/>
    <m/>
    <m/>
    <m/>
    <m/>
    <x v="9"/>
  </r>
  <r>
    <s v="O-178"/>
    <d v="2013-03-15T00:00:00"/>
    <x v="23"/>
    <s v="Caserones"/>
    <s v="Rene Orellana"/>
    <s v="rorellana@caserones.cl"/>
    <s v="Ordenes de Servicio Área Planta"/>
    <x v="1"/>
    <s v="ND"/>
    <s v="NAC"/>
    <s v="Chile"/>
    <d v="2013-03-15T00:00:00"/>
    <s v="Claudio Muñoz"/>
    <m/>
    <x v="5"/>
    <m/>
    <d v="2013-04-04T00:00:00"/>
    <n v="1756"/>
    <n v="62.2896"/>
    <n v="35472.437357630981"/>
    <s v="SH-0072"/>
    <m/>
    <m/>
    <m/>
    <x v="9"/>
  </r>
  <r>
    <s v="O-179"/>
    <d v="2013-03-14T00:00:00"/>
    <x v="55"/>
    <s v="Codelco División Gabriela Mistral"/>
    <s v="Germán Cortes"/>
    <m/>
    <s v="Servicio Marco Integral de Ingeniería"/>
    <x v="22"/>
    <s v="ND"/>
    <s v="NAC"/>
    <s v="Chile"/>
    <d v="2013-03-14T00:00:00"/>
    <s v="Claudio Muñoz"/>
    <m/>
    <x v="4"/>
    <m/>
    <d v="2013-04-04T00:00:00"/>
    <m/>
    <m/>
    <s v="N/A"/>
    <m/>
    <m/>
    <m/>
    <m/>
    <x v="9"/>
  </r>
  <r>
    <s v="O-172"/>
    <d v="2013-03-12T00:00:00"/>
    <x v="76"/>
    <s v="Minera San Cristobal"/>
    <s v="Luis Rebolledo"/>
    <m/>
    <s v="Estudio de Prefactibilidad Expansión Depósito de Colas de Huaylla Khara "/>
    <x v="2"/>
    <s v="ND"/>
    <s v="NAC"/>
    <s v="Chile"/>
    <d v="2013-03-20T00:00:00"/>
    <s v="Claudio Muñoz"/>
    <m/>
    <x v="3"/>
    <m/>
    <d v="2013-04-04T00:00:00"/>
    <n v="1935"/>
    <n v="84.133759999999995"/>
    <n v="43479.979328165369"/>
    <m/>
    <m/>
    <m/>
    <m/>
    <x v="9"/>
  </r>
  <r>
    <s v="O-177"/>
    <d v="2013-03-11T00:00:00"/>
    <x v="192"/>
    <s v="Nutram S.A."/>
    <m/>
    <m/>
    <s v="Ingeniería General Tranque de Relaves Cobre Norte"/>
    <x v="5"/>
    <s v="ND"/>
    <s v="NAC"/>
    <s v="Chile"/>
    <d v="2013-03-11T00:00:00"/>
    <s v="Pedro Valencia"/>
    <m/>
    <x v="3"/>
    <m/>
    <d v="2013-04-04T00:00:00"/>
    <n v="4602"/>
    <n v="190.6764"/>
    <n v="41433.376792698822"/>
    <m/>
    <m/>
    <m/>
    <m/>
    <x v="9"/>
  </r>
  <r>
    <s v="O-173"/>
    <d v="2013-03-11T00:00:00"/>
    <x v="31"/>
    <s v="PELAMBRES"/>
    <s v="Alvaro Huerta"/>
    <s v="rorellana@caserones.cl"/>
    <s v="Remoción Materia Orgánica y Drenaje Botadero"/>
    <x v="5"/>
    <s v="ND"/>
    <s v="NAC"/>
    <s v="Chile"/>
    <d v="2013-04-04T00:00:00"/>
    <s v="Pedro Valencia"/>
    <s v="Consultar a Alvaro Huerta."/>
    <x v="3"/>
    <m/>
    <d v="2013-04-04T00:00:00"/>
    <n v="1342"/>
    <n v="51.892800000000001"/>
    <n v="38668.256333830104"/>
    <m/>
    <m/>
    <m/>
    <m/>
    <x v="9"/>
  </r>
  <r>
    <s v="O-176"/>
    <d v="2013-03-06T00:00:00"/>
    <x v="194"/>
    <s v="ACOTEC"/>
    <s v="Hector Tortora"/>
    <m/>
    <s v="Memoria de Cálculo Piezas Extruidas"/>
    <x v="37"/>
    <s v="ND"/>
    <s v="NAC"/>
    <s v="Chile"/>
    <d v="2013-03-07T00:00:00"/>
    <s v="Claudio Muñoz"/>
    <m/>
    <x v="5"/>
    <m/>
    <d v="2013-04-04T00:00:00"/>
    <n v="22"/>
    <n v="0.84360000000000002"/>
    <n v="38345.454545454544"/>
    <s v="SH-0073"/>
    <m/>
    <m/>
    <m/>
    <x v="9"/>
  </r>
  <r>
    <s v="O-175"/>
    <d v="2013-03-05T00:00:00"/>
    <x v="218"/>
    <s v="Minera el Abra"/>
    <s v="José Campos"/>
    <m/>
    <s v="Revisión Experta Proyecto El Abra"/>
    <x v="29"/>
    <s v="ND"/>
    <s v="NAC"/>
    <s v="Chile"/>
    <d v="2013-04-04T00:00:00"/>
    <s v="Claudio Muñoz"/>
    <m/>
    <x v="3"/>
    <m/>
    <d v="2013-04-04T00:00:00"/>
    <n v="10"/>
    <n v="0.68400000000000005"/>
    <n v="68400"/>
    <m/>
    <m/>
    <m/>
    <m/>
    <x v="9"/>
  </r>
  <r>
    <s v="O-174"/>
    <d v="2013-03-05T00:00:00"/>
    <x v="51"/>
    <s v="COLLAHUASI"/>
    <s v="Claudio Muñoz"/>
    <m/>
    <s v="Asesoría en el Transporte Hidráulica de Pulpas Minerales"/>
    <x v="10"/>
    <s v="ND"/>
    <s v="NAC"/>
    <s v="Chile"/>
    <d v="2013-05-25T00:00:00"/>
    <s v="Pedro Valencia"/>
    <s v="Contrato adjudicado a Brass."/>
    <x v="3"/>
    <m/>
    <d v="2013-07-23T00:00:00"/>
    <m/>
    <m/>
    <s v="N/A"/>
    <m/>
    <m/>
    <m/>
    <m/>
    <x v="9"/>
  </r>
  <r>
    <s v="O-171"/>
    <d v="2013-03-04T00:00:00"/>
    <x v="219"/>
    <s v="Vale Brasil"/>
    <s v="Alexis Yavanovic"/>
    <m/>
    <s v="Estudo de Diagnóstico Projeto Salobo - Vale"/>
    <x v="7"/>
    <s v="ND"/>
    <s v="NAC"/>
    <s v="Chile"/>
    <d v="2013-04-03T00:00:00"/>
    <s v="Pedro Valencia"/>
    <m/>
    <x v="5"/>
    <m/>
    <d v="2013-04-04T00:00:00"/>
    <n v="432"/>
    <n v="20.7"/>
    <n v="47916.666666666664"/>
    <s v="SH-0077"/>
    <m/>
    <m/>
    <m/>
    <x v="9"/>
  </r>
  <r>
    <s v="O-170"/>
    <d v="2013-03-04T00:00:00"/>
    <x v="23"/>
    <s v="Caserones"/>
    <s v="Rene Orellana"/>
    <s v="rorellana@caserones.cl"/>
    <s v="Asesoría Especializada Servicios Electricos"/>
    <x v="11"/>
    <s v="ND"/>
    <s v="NAC"/>
    <s v="Chile"/>
    <d v="2013-03-04T00:00:00"/>
    <s v="Claudio Muñoz"/>
    <m/>
    <x v="5"/>
    <m/>
    <d v="2013-04-04T00:00:00"/>
    <n v="240"/>
    <n v="5.4720000000000004"/>
    <n v="22800"/>
    <s v="SH-0064"/>
    <m/>
    <m/>
    <m/>
    <x v="9"/>
  </r>
  <r>
    <s v="O-169"/>
    <d v="2013-02-25T00:00:00"/>
    <x v="166"/>
    <s v="Relincho"/>
    <m/>
    <m/>
    <s v="Ingeniería de Valor Proyecto Relincho"/>
    <x v="29"/>
    <s v="ND"/>
    <s v="NAC"/>
    <s v="Chile"/>
    <d v="2013-02-25T00:00:00"/>
    <s v="Claudio Muñoz"/>
    <m/>
    <x v="5"/>
    <m/>
    <d v="2013-02-25T00:00:00"/>
    <n v="21"/>
    <n v="1.2927599999999999"/>
    <n v="61560"/>
    <s v="SH-0073"/>
    <m/>
    <m/>
    <m/>
    <x v="9"/>
  </r>
  <r>
    <s v="O-167"/>
    <d v="2013-02-13T00:00:00"/>
    <x v="220"/>
    <s v="Codelco División Norte"/>
    <s v="Claudio Dodds"/>
    <m/>
    <s v="Ingenería de Prefactibilidad Aumento Confiabilidad Fuentes OSP"/>
    <x v="2"/>
    <s v="ND"/>
    <s v="NAC"/>
    <s v="Chile"/>
    <d v="2013-02-20T00:00:00"/>
    <s v="Claudio Muñoz"/>
    <m/>
    <x v="4"/>
    <m/>
    <d v="2013-02-18T00:00:00"/>
    <m/>
    <m/>
    <s v="N/A"/>
    <m/>
    <m/>
    <m/>
    <m/>
    <x v="9"/>
  </r>
  <r>
    <s v="O-166"/>
    <d v="2013-01-30T00:00:00"/>
    <x v="221"/>
    <s v="Zanaga Iron Ore Company"/>
    <m/>
    <m/>
    <s v="Pre-Feasibility Zanaga Concentrate Pipiline"/>
    <x v="2"/>
    <s v="ND"/>
    <s v="INT"/>
    <s v="Republica del Congo"/>
    <d v="2013-02-11T00:00:00"/>
    <s v="Claudio Muñoz"/>
    <m/>
    <x v="5"/>
    <m/>
    <m/>
    <n v="1350"/>
    <n v="35.64"/>
    <n v="26400"/>
    <s v="SH-0069"/>
    <m/>
    <m/>
    <m/>
    <x v="9"/>
  </r>
  <r>
    <s v="O-168"/>
    <d v="2013-01-30T00:00:00"/>
    <x v="8"/>
    <s v="ARCADIS"/>
    <m/>
    <m/>
    <s v="Contrato Abierto SHIMIN-ARCADIS 2013"/>
    <x v="9"/>
    <s v="ND"/>
    <s v="NAC"/>
    <s v="Chile"/>
    <d v="2013-02-20T00:00:00"/>
    <s v="Pedro Valencia"/>
    <s v="ARCADIS con baja carga laboral sin necesidad de subcontratistas. Reemplazada por O235"/>
    <x v="4"/>
    <m/>
    <d v="2013-08-20T00:00:00"/>
    <m/>
    <m/>
    <s v="N/A"/>
    <m/>
    <m/>
    <m/>
    <m/>
    <x v="9"/>
  </r>
  <r>
    <s v="O-165"/>
    <d v="2013-01-27T00:00:00"/>
    <x v="8"/>
    <s v="Caserones"/>
    <s v="Erick Amestica"/>
    <m/>
    <s v="Análisis de Flexibilidad Tuberías 1 y 2 de Arenas - Proyecto Caserones"/>
    <x v="37"/>
    <s v="ND"/>
    <s v="NAC"/>
    <s v="Chile"/>
    <d v="2013-01-30T00:00:00"/>
    <s v="Claudio Muñoz"/>
    <m/>
    <x v="5"/>
    <m/>
    <d v="2013-02-18T00:00:00"/>
    <n v="235"/>
    <n v="8.6183999999999994"/>
    <n v="36674.042553191488"/>
    <s v="SH-0068"/>
    <m/>
    <m/>
    <m/>
    <x v="9"/>
  </r>
  <r>
    <s v="O-163"/>
    <d v="2013-01-25T00:00:00"/>
    <x v="109"/>
    <s v="Minera Esperanza"/>
    <s v="Juan Manuel Silva. "/>
    <s v="Juanmanuel.silva@glemans.com"/>
    <s v="Estudio de Diagnóstico Tuberías y Diseño Rack de Acopio de Material"/>
    <x v="10"/>
    <s v="ND"/>
    <s v="NAC"/>
    <s v="Chile"/>
    <d v="2013-01-25T00:00:00"/>
    <s v="Claudio Muñoz"/>
    <s v="Postergardo por el Cliente Final."/>
    <x v="3"/>
    <m/>
    <d v="2013-02-18T00:00:00"/>
    <n v="990"/>
    <n v="43.661999999999999"/>
    <n v="44103.030303030304"/>
    <m/>
    <m/>
    <m/>
    <m/>
    <x v="9"/>
  </r>
  <r>
    <s v="O-162"/>
    <d v="2013-01-24T00:00:00"/>
    <x v="194"/>
    <s v="COLLAHUASI"/>
    <s v="Javier Reyes"/>
    <m/>
    <s v="Ingenería de Detalles Loop de Filtrado COLLAHUASI - ACOTEC"/>
    <x v="1"/>
    <s v="ND"/>
    <s v="NAC"/>
    <s v="Chile"/>
    <d v="2013-11-24T00:00:00"/>
    <s v="Claudio Muñoz"/>
    <s v="Claudio Muñoz llamara Javier Reyes."/>
    <x v="3"/>
    <m/>
    <d v="2013-08-20T00:00:00"/>
    <n v="1079"/>
    <n v="36.958799999999997"/>
    <n v="34252.826691380906"/>
    <m/>
    <m/>
    <m/>
    <m/>
    <x v="9"/>
  </r>
  <r>
    <s v="O-164"/>
    <d v="2013-01-21T00:00:00"/>
    <x v="222"/>
    <s v="PuCobre"/>
    <s v="Carlos Fuenzalida"/>
    <m/>
    <s v="Estudio de Factibilidad Transporte de Relaves Espesados - El Espino - SKM"/>
    <x v="27"/>
    <s v="LM"/>
    <s v="NAC"/>
    <s v="Chile"/>
    <d v="2013-02-04T00:00:00"/>
    <s v="Pedro Valencia"/>
    <m/>
    <x v="3"/>
    <m/>
    <d v="2013-02-18T00:00:00"/>
    <n v="4415"/>
    <n v="155.76271800000001"/>
    <n v="35280.343827859571"/>
    <m/>
    <m/>
    <m/>
    <m/>
    <x v="9"/>
  </r>
  <r>
    <s v="O-161"/>
    <d v="2013-01-11T00:00:00"/>
    <x v="164"/>
    <s v="PuCobre"/>
    <s v="German Castellanos"/>
    <m/>
    <s v="Ingeniería de Factibilidad Transporte de Relaves Espesados Proyecto El Espino"/>
    <x v="2"/>
    <s v="ND"/>
    <s v="NAC"/>
    <s v="Chile"/>
    <d v="2013-01-24T00:00:00"/>
    <s v="Pedro Valencia"/>
    <m/>
    <x v="3"/>
    <m/>
    <m/>
    <m/>
    <m/>
    <s v="N/A"/>
    <m/>
    <m/>
    <m/>
    <m/>
    <x v="9"/>
  </r>
  <r>
    <s v="O-160"/>
    <d v="2013-01-07T00:00:00"/>
    <x v="8"/>
    <s v="Quellaveco"/>
    <s v="Victor Nieto"/>
    <m/>
    <s v="Análisis de Flexibilidad Estación Drenes WBS, Túneles y Puente Proyecto Quellaveco"/>
    <x v="37"/>
    <s v="ND"/>
    <s v="NAC"/>
    <s v="Chile"/>
    <d v="2013-01-14T00:00:00"/>
    <s v="Claudio Muñoz"/>
    <m/>
    <x v="3"/>
    <m/>
    <d v="2013-01-14T00:00:00"/>
    <n v="148"/>
    <n v="5.6543999999999999"/>
    <n v="38205.4054054054"/>
    <m/>
    <m/>
    <m/>
    <m/>
    <x v="9"/>
  </r>
  <r>
    <s v="O-159"/>
    <d v="2013-01-03T00:00:00"/>
    <x v="164"/>
    <s v="AMEC Brasil"/>
    <s v="Nivaldo Siqueria"/>
    <m/>
    <s v="Due Diligence Mineroduto de Ferro"/>
    <x v="27"/>
    <s v="ND"/>
    <s v="INT"/>
    <s v="Chile"/>
    <d v="2013-01-03T00:00:00"/>
    <s v="Pedro Valencia"/>
    <s v="PV consultará."/>
    <x v="3"/>
    <m/>
    <d v="2013-08-26T00:00:00"/>
    <n v="160"/>
    <n v="8.4640000000000004"/>
    <n v="52900"/>
    <m/>
    <m/>
    <m/>
    <m/>
    <x v="9"/>
  </r>
  <r>
    <s v="O-158"/>
    <d v="2013-01-03T00:00:00"/>
    <x v="55"/>
    <s v="TetraTech"/>
    <s v="Marcos Eustachio"/>
    <m/>
    <s v="Serviços Especializados de Engenharia de Processamento de Ouro"/>
    <x v="22"/>
    <s v="ND"/>
    <s v="INT"/>
    <s v="Chile"/>
    <d v="2013-01-03T00:00:00"/>
    <s v="Pedro Valencia"/>
    <m/>
    <x v="3"/>
    <m/>
    <d v="2013-01-03T00:00:00"/>
    <n v="180"/>
    <n v="9.5220000000000002"/>
    <n v="52900"/>
    <m/>
    <m/>
    <m/>
    <m/>
    <x v="9"/>
  </r>
  <r>
    <s v="O-155"/>
    <d v="2012-12-21T00:00:00"/>
    <x v="23"/>
    <s v="Caserones"/>
    <s v="Rene Orellana"/>
    <s v="rorellana@caserones.cl"/>
    <s v="Análisis Hidráulico y Verificación de Equipos Amortiguaodres Golpe de Ariete "/>
    <x v="10"/>
    <s v="ND"/>
    <s v="NAC"/>
    <s v="Chile"/>
    <d v="2012-12-21T00:00:00"/>
    <s v="Pedro Valencia"/>
    <m/>
    <x v="5"/>
    <m/>
    <d v="2012-12-26T00:00:00"/>
    <n v="455"/>
    <n v="16.302"/>
    <n v="35828.571428571428"/>
    <s v="SH-0066"/>
    <m/>
    <m/>
    <m/>
    <x v="10"/>
  </r>
  <r>
    <s v="O-156"/>
    <d v="2012-12-20T00:00:00"/>
    <x v="8"/>
    <s v="Caserones"/>
    <s v="Erick Amestica"/>
    <m/>
    <s v="Análisis de Flexibilidad Impulsión de Agua Recuperada EB 2 a EB 3"/>
    <x v="37"/>
    <s v="ND"/>
    <s v="NAC"/>
    <s v="Chle"/>
    <d v="2012-12-21T00:00:00"/>
    <s v="Claudio Muñoz"/>
    <s v="Plazos de ejecución del servicio muy extenso, necesitaban rapidez."/>
    <x v="3"/>
    <m/>
    <d v="2012-12-26T00:00:00"/>
    <n v="195"/>
    <n v="7.2960000000000003"/>
    <n v="37415.384615384617"/>
    <m/>
    <m/>
    <m/>
    <m/>
    <x v="10"/>
  </r>
  <r>
    <s v="O-150"/>
    <d v="2012-12-12T00:00:00"/>
    <x v="223"/>
    <s v="PELAMBRES"/>
    <s v="Victor Araya"/>
    <s v="victor.araya@propipe.cl"/>
    <s v="Estudio de Diagnóstico Vibraciones Estación Booster Concentraducto PELAMBRES"/>
    <x v="10"/>
    <s v="ND"/>
    <s v="NAC"/>
    <s v="Chile"/>
    <d v="2012-12-20T00:00:00"/>
    <s v="Pedro Valencia"/>
    <m/>
    <x v="5"/>
    <m/>
    <d v="2012-12-26T00:00:00"/>
    <n v="170"/>
    <n v="7.1820000000000004"/>
    <n v="42247.058823529413"/>
    <s v="SH-0065"/>
    <m/>
    <m/>
    <m/>
    <x v="10"/>
  </r>
  <r>
    <s v="O-157"/>
    <d v="2012-12-12T00:00:00"/>
    <x v="23"/>
    <s v="Caserones"/>
    <s v="Rene Orellana"/>
    <s v="rorellana@caserones.cl"/>
    <s v="Ingeniería de Detalles Nuevos Pozos Norte Verde 1 y 2"/>
    <x v="1"/>
    <s v="ND"/>
    <s v="NAC"/>
    <s v="Chile"/>
    <d v="2012-12-28T00:00:00"/>
    <s v="Pedro Valencia"/>
    <m/>
    <x v="5"/>
    <m/>
    <d v="2013-01-02T00:00:00"/>
    <n v="2094"/>
    <n v="77.406000000000006"/>
    <n v="36965.616045845272"/>
    <s v="SH-0064"/>
    <m/>
    <m/>
    <m/>
    <x v="10"/>
  </r>
  <r>
    <s v="O-154"/>
    <d v="2012-12-12T00:00:00"/>
    <x v="218"/>
    <s v="Minera Santo Domingo"/>
    <s v="Jose Campos"/>
    <s v="rorellana@caserones.cl"/>
    <s v="Ingeniería de factibilidad Concentraducto y Suministro de Aguas"/>
    <x v="2"/>
    <s v="LM"/>
    <s v="NAC"/>
    <s v="Chile"/>
    <d v="2012-12-12T00:00:00"/>
    <s v="pedro Valencia"/>
    <m/>
    <x v="3"/>
    <m/>
    <d v="2012-12-26T00:00:00"/>
    <n v="2472"/>
    <n v="74.999944020000001"/>
    <n v="30339.783179611652"/>
    <m/>
    <m/>
    <m/>
    <m/>
    <x v="10"/>
  </r>
  <r>
    <s v="O-153"/>
    <d v="2012-12-12T00:00:00"/>
    <x v="215"/>
    <s v="Minera Esperanza"/>
    <s v="Erick Marambio"/>
    <m/>
    <s v="Estudio de Diagnóstico Sistema de Transporte de Agua de Mar"/>
    <x v="10"/>
    <s v="ND"/>
    <s v="NAC"/>
    <s v="Chile"/>
    <d v="2012-12-17T00:00:00"/>
    <s v="Pedro Valencia"/>
    <s v="Postergado hasta marzo 2013. Salida Contacto."/>
    <x v="3"/>
    <m/>
    <d v="2012-12-26T00:00:00"/>
    <n v="600"/>
    <n v="21.842400000000001"/>
    <n v="36404"/>
    <m/>
    <m/>
    <m/>
    <m/>
    <x v="10"/>
  </r>
  <r>
    <s v="O-152"/>
    <d v="2012-12-12T00:00:00"/>
    <x v="215"/>
    <s v="Minera Esperanza"/>
    <s v="Erick Marambio"/>
    <m/>
    <s v="Estudio de Diagnóstico Sistema de Transporte de Concentrado"/>
    <x v="10"/>
    <s v="ND"/>
    <s v="NAC"/>
    <s v="Chile"/>
    <d v="2012-12-17T00:00:00"/>
    <s v="Pedro Valencia"/>
    <s v="Postergado hasta marzo 2013. Salida Contacto."/>
    <x v="3"/>
    <m/>
    <d v="2012-12-26T00:00:00"/>
    <n v="970"/>
    <n v="45.942"/>
    <n v="47362.886597938144"/>
    <m/>
    <m/>
    <m/>
    <m/>
    <x v="10"/>
  </r>
  <r>
    <s v="O-151"/>
    <d v="2012-12-12T00:00:00"/>
    <x v="109"/>
    <s v="ENAP"/>
    <s v="Juan Manuel Silva. "/>
    <s v="victor.araya@propipe.cl"/>
    <s v="Estudio Rehabilitación de Revestimiento ENAP "/>
    <x v="27"/>
    <s v="ND"/>
    <s v="NAC"/>
    <s v="Chile"/>
    <d v="2012-12-12T00:00:00"/>
    <s v="Pedro Valencia"/>
    <m/>
    <x v="3"/>
    <m/>
    <d v="2012-12-26T00:00:00"/>
    <n v="150"/>
    <n v="5.7"/>
    <n v="38000"/>
    <m/>
    <m/>
    <m/>
    <m/>
    <x v="10"/>
  </r>
  <r>
    <s v="O-149"/>
    <d v="2012-12-11T00:00:00"/>
    <x v="51"/>
    <s v="COLLAHUASI"/>
    <s v="Constantino Suazo"/>
    <m/>
    <s v="Revisión y Optimización del Sistema de Recuperación de Aguas"/>
    <x v="10"/>
    <s v="ND"/>
    <s v="NAC"/>
    <s v="Chile"/>
    <d v="2012-12-11T00:00:00"/>
    <s v="Pedro Valencia"/>
    <m/>
    <x v="3"/>
    <m/>
    <d v="2012-12-26T00:00:00"/>
    <n v="883"/>
    <n v="43.2744"/>
    <n v="49008.380520951301"/>
    <m/>
    <m/>
    <m/>
    <m/>
    <x v="10"/>
  </r>
  <r>
    <s v="O-148"/>
    <d v="2012-11-26T00:00:00"/>
    <x v="218"/>
    <s v="Minera Santo Domingo"/>
    <s v="José Campos"/>
    <m/>
    <s v="Análisis de Interferencias de Trazado Proyecto Santo Domingo "/>
    <x v="2"/>
    <s v="LM"/>
    <s v="NAC"/>
    <s v="Chile"/>
    <d v="2012-11-26T00:00:00"/>
    <s v="Pedro Valencia"/>
    <m/>
    <x v="3"/>
    <m/>
    <d v="2012-11-26T00:00:00"/>
    <n v="300"/>
    <n v="14.911199999999999"/>
    <n v="49704"/>
    <m/>
    <m/>
    <m/>
    <m/>
    <x v="10"/>
  </r>
  <r>
    <s v="O-147"/>
    <d v="2012-11-22T00:00:00"/>
    <x v="8"/>
    <s v="Caserones"/>
    <s v="Erick Amestica"/>
    <m/>
    <s v="Estudio de Análisis de Flexibilidad Proyecto Caserones"/>
    <x v="37"/>
    <s v="ND"/>
    <s v="NAC"/>
    <s v="Chile"/>
    <d v="2012-11-23T00:00:00"/>
    <s v="Claudio Muñoz"/>
    <m/>
    <x v="5"/>
    <m/>
    <d v="2012-11-26T00:00:00"/>
    <n v="154"/>
    <n v="5.7683999999999997"/>
    <n v="37457.142857142855"/>
    <s v="SH-0063"/>
    <m/>
    <m/>
    <m/>
    <x v="10"/>
  </r>
  <r>
    <s v="O-145"/>
    <d v="2012-11-19T00:00:00"/>
    <x v="23"/>
    <s v="Caserones"/>
    <s v="Rene Orellana"/>
    <s v="rorellana@caserones.cl"/>
    <s v="Estudio de Respaldo Técnico a Modifaciones Proyecto Caserones"/>
    <x v="10"/>
    <s v="ND"/>
    <s v="NAC"/>
    <s v="Chile"/>
    <d v="2013-12-14T00:00:00"/>
    <s v="Pedro Valencia"/>
    <m/>
    <x v="5"/>
    <m/>
    <d v="2012-11-20T00:00:00"/>
    <n v="1125"/>
    <n v="45.387999999999998"/>
    <n v="40344.888888888891"/>
    <s v="SH-0064"/>
    <m/>
    <m/>
    <m/>
    <x v="10"/>
  </r>
  <r>
    <s v="O-144"/>
    <d v="2012-11-19T00:00:00"/>
    <x v="224"/>
    <s v="Codelco ANDINA"/>
    <s v="Juan Luis Morales"/>
    <m/>
    <s v="Ingeniería Básica Sistema Transporte de Relaves Los Leones"/>
    <x v="5"/>
    <s v="LM"/>
    <s v="NAC"/>
    <s v="Chile"/>
    <d v="2012-12-17T00:00:00"/>
    <s v="Pedro Valencia"/>
    <s v="AMEC se la Adjudico"/>
    <x v="3"/>
    <m/>
    <d v="2012-12-20T00:00:00"/>
    <n v="6614"/>
    <n v="296.52012300000001"/>
    <n v="44832.192772905961"/>
    <m/>
    <m/>
    <m/>
    <m/>
    <x v="10"/>
  </r>
  <r>
    <s v="O-146"/>
    <d v="2012-11-19T00:00:00"/>
    <x v="207"/>
    <s v="Codelco División Norte"/>
    <s v="Javier Herrera"/>
    <m/>
    <s v="Análisis de Riesgo Tipo Hazop Proyecto Tratamiento de Relaves Chuquicamata"/>
    <x v="38"/>
    <s v="ND"/>
    <s v="NAC"/>
    <s v="Chile"/>
    <d v="2012-11-19T00:00:00"/>
    <s v="Pedro Valencia"/>
    <m/>
    <x v="5"/>
    <m/>
    <d v="2012-11-20T00:00:00"/>
    <n v="80"/>
    <n v="2.964"/>
    <n v="37050"/>
    <s v="SH-0062"/>
    <m/>
    <m/>
    <m/>
    <x v="10"/>
  </r>
  <r>
    <s v="O-143"/>
    <d v="2012-11-07T00:00:00"/>
    <x v="31"/>
    <s v="Minera Can Can"/>
    <s v="Alvaro Huerta"/>
    <s v="rorellana@caserones.cl"/>
    <s v="Estudio de Verificación Hidráulica Tubería de Descarga de Relaves - El Bronce Minera Cancan"/>
    <x v="10"/>
    <s v="ND"/>
    <s v="NAC"/>
    <s v="Chile"/>
    <d v="2012-11-07T00:00:00"/>
    <s v="Pedro Valencia"/>
    <s v="El Cliente decide no realizar el estudio por retrasos en las próximas etapas de la ingeniería"/>
    <x v="3"/>
    <m/>
    <d v="2012-11-14T00:00:00"/>
    <n v="122"/>
    <n v="4.8563999999999998"/>
    <n v="39806.557377049176"/>
    <m/>
    <m/>
    <m/>
    <m/>
    <x v="10"/>
  </r>
  <r>
    <s v="O-141"/>
    <d v="2012-11-03T00:00:00"/>
    <x v="151"/>
    <s v="Minera el Soldado"/>
    <s v="Francisco Soto"/>
    <s v="francisco.soto@empiricaconsultores.cl"/>
    <s v="Ingeniería Conceptual Planta de Reactivos"/>
    <x v="2"/>
    <s v="ND"/>
    <s v="NAC"/>
    <s v="Chile"/>
    <d v="2012-11-03T00:00:00"/>
    <s v="Pedro Valencia"/>
    <m/>
    <x v="3"/>
    <m/>
    <d v="2012-11-05T00:00:00"/>
    <n v="370"/>
    <n v="12.167199999999999"/>
    <n v="32884.324324324327"/>
    <m/>
    <m/>
    <m/>
    <m/>
    <x v="10"/>
  </r>
  <r>
    <s v="O-142"/>
    <d v="2012-11-01T00:00:00"/>
    <x v="225"/>
    <s v="Constructora Victoria"/>
    <s v="Carlos Galvez"/>
    <m/>
    <s v="Ingeniería de Detalles y Terrenos Depósito de Relaves en Paste - Planta Cerrillos"/>
    <x v="1"/>
    <s v="ND"/>
    <s v="NAC"/>
    <s v="Chile"/>
    <d v="2012-11-11T00:00:00"/>
    <s v="José Gallardo"/>
    <m/>
    <x v="3"/>
    <m/>
    <d v="2012-11-14T00:00:00"/>
    <n v="28593"/>
    <n v="982.34900000000005"/>
    <n v="34356.27601161124"/>
    <m/>
    <m/>
    <m/>
    <m/>
    <x v="10"/>
  </r>
  <r>
    <s v="O-140"/>
    <d v="2012-10-31T00:00:00"/>
    <x v="76"/>
    <s v="Minera Santo Domingo"/>
    <s v="Katherine Viveros"/>
    <m/>
    <s v="Ingeniería de Prefactibilidad Sistema de Conducción de Relaves y Agua - Proyecto Santo Domingo"/>
    <x v="27"/>
    <s v="ND"/>
    <s v="NAC"/>
    <s v="Chile"/>
    <d v="2012-10-31T00:00:00"/>
    <s v="Pedro Valencia"/>
    <m/>
    <x v="5"/>
    <m/>
    <d v="2012-11-05T00:00:00"/>
    <n v="1310"/>
    <n v="44.809800000000003"/>
    <n v="34205.954198473286"/>
    <s v="SH-0071"/>
    <m/>
    <m/>
    <m/>
    <x v="10"/>
  </r>
  <r>
    <s v="O-139"/>
    <d v="2012-10-25T00:00:00"/>
    <x v="222"/>
    <s v="COLLAHUASI"/>
    <s v="Oscar Juares"/>
    <m/>
    <s v="Recomendaciones y Estudio de Alternativa de Diseño - Proyecto Nueva Impulsión de Agua COLLAHUASI"/>
    <x v="1"/>
    <s v="ND"/>
    <s v="NAC"/>
    <s v="Chile"/>
    <d v="2012-10-25T00:00:00"/>
    <s v="Pedro Valencia"/>
    <m/>
    <x v="3"/>
    <m/>
    <d v="2012-11-05T00:00:00"/>
    <n v="300"/>
    <n v="15.2317"/>
    <n v="50772.333333333336"/>
    <m/>
    <m/>
    <m/>
    <m/>
    <x v="10"/>
  </r>
  <r>
    <s v="o-138"/>
    <d v="2012-10-23T00:00:00"/>
    <x v="19"/>
    <s v="CODELCO"/>
    <m/>
    <m/>
    <s v="Confección de Planos Sistema de Agua Potable y Sistema Alcantarillado Edificio Corporativo"/>
    <x v="1"/>
    <s v="ND"/>
    <s v="NAC"/>
    <s v="Chile"/>
    <d v="2012-10-23T00:00:00"/>
    <s v="Pedro Valencia"/>
    <m/>
    <x v="3"/>
    <m/>
    <d v="2012-11-05T00:00:00"/>
    <n v="1225"/>
    <n v="32.438299999999998"/>
    <n v="26480.244897959183"/>
    <m/>
    <m/>
    <m/>
    <m/>
    <x v="10"/>
  </r>
  <r>
    <s v="O-137"/>
    <d v="2012-10-18T00:00:00"/>
    <x v="100"/>
    <s v="COLLAHUASI"/>
    <s v="Freedy Sanhueza"/>
    <m/>
    <s v="Mejoramiento de Instalaciones de Impulsión Coposa Norte - COLLAHUASI"/>
    <x v="1"/>
    <s v="ND"/>
    <s v="NAC"/>
    <s v="Chile"/>
    <d v="2012-10-18T00:00:00"/>
    <s v="Pedro Valencia"/>
    <m/>
    <x v="3"/>
    <m/>
    <d v="2012-11-05T00:00:00"/>
    <n v="913"/>
    <n v="27.081099999999999"/>
    <n v="29661.664841182912"/>
    <m/>
    <m/>
    <m/>
    <m/>
    <x v="10"/>
  </r>
  <r>
    <s v="O-136"/>
    <d v="2012-10-16T00:00:00"/>
    <x v="226"/>
    <s v="Codelco SALVADOR"/>
    <s v="Javier Herrera"/>
    <m/>
    <s v="Diseño Correa Transportadora "/>
    <x v="1"/>
    <s v="LM"/>
    <s v="NAC"/>
    <s v="Chile"/>
    <d v="2012-10-16T00:00:00"/>
    <s v="Pedro Valencia"/>
    <m/>
    <x v="3"/>
    <m/>
    <d v="2012-11-05T00:00:00"/>
    <m/>
    <n v="19.21"/>
    <s v="N/A"/>
    <m/>
    <m/>
    <m/>
    <m/>
    <x v="10"/>
  </r>
  <r>
    <s v="O-135"/>
    <d v="2012-10-11T00:00:00"/>
    <x v="227"/>
    <s v="Minera Gaby"/>
    <s v="Javier Herrera"/>
    <m/>
    <s v="Ingeniería, OOCC y Montaje Repotenciamiento Correas Transportadoras"/>
    <x v="1"/>
    <s v="LM"/>
    <s v="NAC"/>
    <s v="Chile"/>
    <d v="2012-10-23T00:00:00"/>
    <s v="Pedro Valencia"/>
    <m/>
    <x v="3"/>
    <m/>
    <d v="2012-11-05T00:00:00"/>
    <n v="4074"/>
    <n v="146.76323300000001"/>
    <n v="36024.357633775166"/>
    <m/>
    <m/>
    <m/>
    <m/>
    <x v="10"/>
  </r>
  <r>
    <s v="O-134"/>
    <d v="2012-10-08T00:00:00"/>
    <x v="210"/>
    <s v="Vale Brasil"/>
    <s v="Darcy Curtinhas"/>
    <m/>
    <s v="Projeto Engenharia Conceitual para Relocação dos Minerodutos I e III da Samarco"/>
    <x v="2"/>
    <s v="ND"/>
    <s v="INT"/>
    <s v="Brasil"/>
    <d v="2012-10-09T00:00:00"/>
    <s v="Pedro Valencia"/>
    <m/>
    <x v="3"/>
    <m/>
    <d v="2012-10-10T00:00:00"/>
    <n v="1000"/>
    <n v="31.898700000000002"/>
    <n v="31898.7"/>
    <m/>
    <m/>
    <m/>
    <m/>
    <x v="10"/>
  </r>
  <r>
    <s v="O-133"/>
    <d v="2012-10-08T00:00:00"/>
    <x v="31"/>
    <s v="Minera Can Can"/>
    <s v="Alvaro Huerta"/>
    <s v="rorellana@caserones.cl"/>
    <s v="Ingeniería de Prefactibilidad Transporte de Relaves y Aguas Recuperadas, El Bronce"/>
    <x v="27"/>
    <s v="ND"/>
    <s v="NAC"/>
    <s v="Chile"/>
    <d v="2012-10-12T00:00:00"/>
    <s v="Pedro Valencia"/>
    <s v="Consultar a Alvaro Huerta."/>
    <x v="3"/>
    <m/>
    <d v="2012-10-30T00:00:00"/>
    <n v="777"/>
    <n v="27.3308"/>
    <n v="35174.774774774778"/>
    <m/>
    <m/>
    <m/>
    <m/>
    <x v="10"/>
  </r>
  <r>
    <s v="O-132"/>
    <d v="2012-10-04T00:00:00"/>
    <x v="100"/>
    <s v="Codelco División Norte"/>
    <m/>
    <m/>
    <s v="Servicios Profesionales de Contraparte - Planos as Built Ministro Hales"/>
    <x v="12"/>
    <s v="LM"/>
    <s v="NAC"/>
    <s v="Chile"/>
    <d v="2012-10-08T00:00:00"/>
    <s v="Pedro Valencia"/>
    <m/>
    <x v="3"/>
    <m/>
    <d v="2012-10-19T00:00:00"/>
    <n v="21060"/>
    <n v="419.9"/>
    <n v="19938.271604938269"/>
    <m/>
    <m/>
    <m/>
    <m/>
    <x v="10"/>
  </r>
  <r>
    <s v="O-128"/>
    <d v="2012-10-02T00:00:00"/>
    <x v="228"/>
    <s v="COLLAHUASI"/>
    <s v="Carlos Gomez"/>
    <m/>
    <s v="Revisión y Consultas al Proceso de Licitación e Ingeniería Básica del Proyecto &quot;EPC Proyecto Nueva Impulsión de Agua de Coposa a Ujina - COLLAHUASI)"/>
    <x v="7"/>
    <s v="ND"/>
    <s v="NAC"/>
    <s v="Chile"/>
    <d v="2012-10-03T00:00:00"/>
    <s v="Pedro Valencia"/>
    <m/>
    <x v="5"/>
    <m/>
    <d v="2012-10-03T00:00:00"/>
    <n v="85"/>
    <n v="4.4550000000000001"/>
    <n v="52411.76470588235"/>
    <s v="SH-0061"/>
    <m/>
    <m/>
    <m/>
    <x v="10"/>
  </r>
  <r>
    <s v="O-129"/>
    <d v="2012-10-02T00:00:00"/>
    <x v="181"/>
    <s v="Minera la Florida"/>
    <s v="Milton Miranda"/>
    <m/>
    <s v="Ingeniería de Detalles Repulpeo Tranque de Relaves Minera la Florida"/>
    <x v="1"/>
    <s v="ND"/>
    <s v="NAC"/>
    <s v="Chile"/>
    <d v="2012-10-05T00:00:00"/>
    <s v="Pedro Valencia"/>
    <s v="Minera Florida desistio del proyecto postergada el 2014."/>
    <x v="3"/>
    <m/>
    <d v="2013-08-20T00:00:00"/>
    <n v="1119"/>
    <n v="29.497499999999999"/>
    <n v="26360.589812332437"/>
    <m/>
    <m/>
    <m/>
    <m/>
    <x v="10"/>
  </r>
  <r>
    <s v="O-127"/>
    <d v="2012-09-24T00:00:00"/>
    <x v="229"/>
    <s v="Comunidad Las Palmas"/>
    <s v="Gabriel Goldstein"/>
    <m/>
    <s v="Estudio de Factibidad - Proyecto Extracción de Agua Parque Nacional La Campana"/>
    <x v="27"/>
    <s v="ND"/>
    <s v="NAC"/>
    <s v="Chile"/>
    <d v="2012-10-05T00:00:00"/>
    <s v="Pedro Valencia"/>
    <m/>
    <x v="3"/>
    <m/>
    <d v="2012-10-03T00:00:00"/>
    <n v="112"/>
    <n v="2.1150000000000002"/>
    <n v="18883.928571428572"/>
    <m/>
    <m/>
    <m/>
    <m/>
    <x v="10"/>
  </r>
  <r>
    <s v="O-130"/>
    <d v="2012-09-10T00:00:00"/>
    <x v="207"/>
    <s v="Codelco División Norte"/>
    <s v="Javier Herrera"/>
    <m/>
    <s v="Asesoría, Auditoría Interna Sistema de Control Proyecto Apires D054. Tratamiento de Fracción Gruesa de Relaves Frescos dCh"/>
    <x v="7"/>
    <s v="ND"/>
    <s v="NAC"/>
    <s v="Chile"/>
    <d v="2012-10-01T00:00:00"/>
    <s v="Pedro Valencia"/>
    <m/>
    <x v="5"/>
    <m/>
    <d v="2012-10-03T00:00:00"/>
    <n v="30"/>
    <n v="0.67777699999999996"/>
    <n v="22592.566666666666"/>
    <s v="SH-0060"/>
    <m/>
    <m/>
    <m/>
    <x v="10"/>
  </r>
  <r>
    <s v="O-126"/>
    <d v="2012-09-03T00:00:00"/>
    <x v="8"/>
    <s v="ARCADIS"/>
    <s v="Claudio Scognadillo"/>
    <m/>
    <s v="Revisión Experta Proyecto la Colosa"/>
    <x v="7"/>
    <s v="ND"/>
    <s v="NAC"/>
    <s v="Chile"/>
    <d v="2012-09-03T00:00:00"/>
    <s v="Pedro Valencia"/>
    <m/>
    <x v="5"/>
    <m/>
    <d v="2012-09-03T00:00:00"/>
    <n v="36"/>
    <n v="2.0249999999999999"/>
    <n v="56249.999999999993"/>
    <s v="SH-0058"/>
    <m/>
    <m/>
    <m/>
    <x v="10"/>
  </r>
  <r>
    <s v="O-131"/>
    <d v="2012-08-31T00:00:00"/>
    <x v="151"/>
    <s v="Codelco División Norte"/>
    <s v="Javier Pizarro"/>
    <m/>
    <s v="Apoyo Empirica Eduardo Martinez Proyectos DAND y dCh"/>
    <x v="22"/>
    <s v="ND"/>
    <s v="NAC"/>
    <s v="Chile"/>
    <d v="2012-08-31T00:00:00"/>
    <s v="Pedro Valencia"/>
    <m/>
    <x v="5"/>
    <m/>
    <d v="2012-10-03T00:00:00"/>
    <n v="85"/>
    <n v="1.9125000000000001"/>
    <n v="22500.000000000004"/>
    <s v="SH-0059"/>
    <m/>
    <m/>
    <m/>
    <x v="10"/>
  </r>
  <r>
    <s v="O-125"/>
    <d v="2012-08-16T00:00:00"/>
    <x v="164"/>
    <s v="MMX"/>
    <s v="Soumar Bitar"/>
    <m/>
    <s v="Proposta Captação Río Pará 50 KM"/>
    <x v="1"/>
    <s v="ND"/>
    <s v="INT"/>
    <s v="Brasil"/>
    <d v="2012-08-17T00:00:00"/>
    <s v="Pedro Valencia"/>
    <s v="Perdido."/>
    <x v="3"/>
    <m/>
    <d v="2013-08-26T00:00:00"/>
    <n v="1549"/>
    <n v="53.4313"/>
    <n v="34494.060684312462"/>
    <m/>
    <m/>
    <m/>
    <m/>
    <x v="10"/>
  </r>
  <r>
    <s v="O-124"/>
    <d v="2012-07-30T00:00:00"/>
    <x v="164"/>
    <s v="MMX"/>
    <s v="Soumar Bitar"/>
    <m/>
    <s v="Assesoria Especializada no Sistema de Bombeamento de Rejeito, Tubovia e Linha de Água Recuperada"/>
    <x v="1"/>
    <s v="ND"/>
    <s v="INT"/>
    <s v="Brasil"/>
    <d v="2012-08-09T00:00:00"/>
    <s v="Pedro Valencia"/>
    <s v="Perdido."/>
    <x v="3"/>
    <m/>
    <d v="2013-08-26T00:00:00"/>
    <n v="1991"/>
    <n v="67.981099999999998"/>
    <n v="34144.198895027621"/>
    <m/>
    <m/>
    <m/>
    <m/>
    <x v="10"/>
  </r>
  <r>
    <s v="O-123"/>
    <d v="2012-07-13T00:00:00"/>
    <x v="39"/>
    <s v="ZALDIVAR"/>
    <s v="Cristián Dawson"/>
    <m/>
    <s v="Asesoría Hidráulica Bombeo Fluidos Acidos "/>
    <x v="10"/>
    <s v="ND"/>
    <s v="NAC"/>
    <s v="Chile"/>
    <d v="2012-07-13T00:00:00"/>
    <s v="Claudio Muñoz"/>
    <m/>
    <x v="5"/>
    <m/>
    <d v="2012-09-24T00:00:00"/>
    <n v="55"/>
    <n v="2.2725"/>
    <n v="41318.181818181816"/>
    <s v="SH-0056"/>
    <m/>
    <m/>
    <m/>
    <x v="10"/>
  </r>
  <r>
    <s v="O-122"/>
    <d v="2012-07-10T00:00:00"/>
    <x v="230"/>
    <s v="MMX"/>
    <s v="Jorge Soto"/>
    <m/>
    <s v="Scoping Study Minerodutos e Adutoras - Projeto Patricia e Fortuna"/>
    <x v="2"/>
    <s v="ND"/>
    <s v="INT"/>
    <s v="Brasil"/>
    <d v="2012-07-12T00:00:00"/>
    <s v="Pedro Valencia"/>
    <m/>
    <x v="3"/>
    <m/>
    <d v="2012-09-24T00:00:00"/>
    <n v="1437"/>
    <n v="45.797600000000003"/>
    <n v="31870.285316631871"/>
    <m/>
    <m/>
    <m/>
    <m/>
    <x v="10"/>
  </r>
  <r>
    <s v="O-121"/>
    <d v="2012-06-26T00:00:00"/>
    <x v="224"/>
    <s v="John Wells   TELUS"/>
    <s v="Leticia Conca"/>
    <m/>
    <s v="Alaska Pipeline Scoping Study"/>
    <x v="27"/>
    <s v="ND"/>
    <s v="INT"/>
    <s v="Alaska"/>
    <d v="2012-06-26T00:00:00"/>
    <s v="Pedro Valencia"/>
    <m/>
    <x v="3"/>
    <m/>
    <d v="2012-06-27T00:00:00"/>
    <n v="150"/>
    <n v="7.5"/>
    <n v="50000"/>
    <m/>
    <m/>
    <m/>
    <m/>
    <x v="10"/>
  </r>
  <r>
    <s v="O-120"/>
    <d v="2012-06-21T00:00:00"/>
    <x v="231"/>
    <s v="Codelco División Norte"/>
    <s v="Gigi Razeto"/>
    <m/>
    <s v="Ingeniería Prefactibilidad y factibilidad habilitación línea RT"/>
    <x v="2"/>
    <s v="LM"/>
    <s v="NAC"/>
    <s v="Chile"/>
    <d v="2012-07-10T00:00:00"/>
    <s v="Pedro Valencia"/>
    <m/>
    <x v="3"/>
    <m/>
    <d v="2012-06-27T00:00:00"/>
    <n v="894"/>
    <n v="38.767499999999998"/>
    <n v="43364.093959731545"/>
    <m/>
    <m/>
    <m/>
    <m/>
    <x v="10"/>
  </r>
  <r>
    <s v="O-119"/>
    <d v="2012-06-19T00:00:00"/>
    <x v="51"/>
    <s v="COLLAHUASI"/>
    <s v="Cristian Jaque"/>
    <s v="cmjaque@collahuasi.cl"/>
    <s v="Ingeniería de Terreno Intercepción y Recirculación Derrames"/>
    <x v="11"/>
    <s v="ND"/>
    <s v="NAC"/>
    <s v="Chile"/>
    <d v="2012-06-19T00:00:00"/>
    <s v="Pedro Valencia"/>
    <m/>
    <x v="5"/>
    <m/>
    <d v="2012-06-19T00:00:00"/>
    <n v="825"/>
    <n v="35.933999999999997"/>
    <n v="43556.36363636364"/>
    <s v="SH-0051"/>
    <m/>
    <m/>
    <m/>
    <x v="10"/>
  </r>
  <r>
    <s v="O-118"/>
    <d v="2012-06-13T00:00:00"/>
    <x v="51"/>
    <s v="COLLAHUASI"/>
    <s v="Claudio Muñoz"/>
    <m/>
    <s v="Extensión Estudio de Capacidad de Transporte y Disposición de Relaves COLLAHUASI"/>
    <x v="2"/>
    <s v="ND"/>
    <s v="NAC"/>
    <s v="Chile"/>
    <d v="2012-06-13T00:00:00"/>
    <s v="Pedro Valencia"/>
    <m/>
    <x v="5"/>
    <m/>
    <d v="2012-06-13T00:00:00"/>
    <n v="580"/>
    <n v="22.5548"/>
    <n v="38887.586206896551"/>
    <s v="SH-0055"/>
    <m/>
    <m/>
    <m/>
    <x v="10"/>
  </r>
  <r>
    <s v="O-117"/>
    <d v="2012-06-11T00:00:00"/>
    <x v="117"/>
    <s v="Cru Strategies"/>
    <s v="Juan Esteban Fuentes"/>
    <s v="hugo.andrade@arcadis.cl"/>
    <s v="Estudio Complementario Benchmarking Concentraductos, Impulsión y Desalación"/>
    <x v="2"/>
    <s v="ND"/>
    <s v="NAC"/>
    <s v="Chile"/>
    <d v="2012-06-11T00:00:00"/>
    <s v="Claudio Muñoz"/>
    <m/>
    <x v="5"/>
    <m/>
    <d v="2012-06-21T00:00:00"/>
    <n v="300"/>
    <n v="11.3226"/>
    <n v="37742"/>
    <s v="SH-0057"/>
    <m/>
    <m/>
    <m/>
    <x v="10"/>
  </r>
  <r>
    <s v="O-116"/>
    <d v="2012-05-04T00:00:00"/>
    <x v="214"/>
    <s v="Xstrata Copper Peru"/>
    <s v="Jorge Agustini"/>
    <m/>
    <s v="TALLER DE TRANSPORTE DE PULPAS – MINERODUCTO LAS BAMBAS"/>
    <x v="17"/>
    <s v="ND"/>
    <s v="INT"/>
    <s v="Perú"/>
    <d v="2012-06-12T00:00:00"/>
    <s v="Pedro Valencia"/>
    <s v="Llamar a J. Agustini en Octubre de 2013."/>
    <x v="3"/>
    <m/>
    <d v="2013-08-20T00:00:00"/>
    <n v="195"/>
    <n v="9.9725000000000001"/>
    <n v="51141.025641025641"/>
    <m/>
    <m/>
    <m/>
    <m/>
    <x v="10"/>
  </r>
  <r>
    <s v="O-110"/>
    <d v="2012-04-27T00:00:00"/>
    <x v="8"/>
    <s v="Maricunga"/>
    <s v="Claudio Nordio"/>
    <m/>
    <s v="Apoyo Proyecto Maricunga (Rodrigo Carvajal)"/>
    <x v="18"/>
    <s v="ND"/>
    <s v="NAC"/>
    <s v="Chile"/>
    <d v="2012-04-02T00:00:00"/>
    <s v="Claudio Muñoz"/>
    <m/>
    <x v="5"/>
    <m/>
    <d v="2012-04-02T00:00:00"/>
    <n v="2210"/>
    <n v="64.642499999999998"/>
    <n v="29250"/>
    <s v="SH-0050"/>
    <m/>
    <m/>
    <m/>
    <x v="10"/>
  </r>
  <r>
    <s v="O-114"/>
    <d v="2012-04-27T00:00:00"/>
    <x v="207"/>
    <s v="DAND"/>
    <s v="Francisco Soto"/>
    <s v="francisco.soto@empiricaconsultores.cl"/>
    <s v="PROYECTO REPROCESAMIENTO DE RELAVES DEL TRANQUE PIUQUENES"/>
    <x v="2"/>
    <s v="LM"/>
    <s v="NAC"/>
    <s v="Chile"/>
    <d v="2012-04-27T00:00:00"/>
    <s v="Pedro Valencia"/>
    <m/>
    <x v="5"/>
    <m/>
    <d v="2012-05-08T00:00:00"/>
    <n v="625"/>
    <n v="26.797499999999999"/>
    <n v="42876"/>
    <s v="SH-0054"/>
    <m/>
    <m/>
    <m/>
    <x v="10"/>
  </r>
  <r>
    <s v="O-113"/>
    <d v="2012-04-25T00:00:00"/>
    <x v="232"/>
    <s v="Golder Associates"/>
    <s v="Claudio Muñoz"/>
    <m/>
    <s v="Servicios de Ingeniería Disciplina E&amp;I Proyecto Quebrada Blanca"/>
    <x v="1"/>
    <s v="ND"/>
    <s v="NAC"/>
    <s v="Chile"/>
    <d v="2012-04-25T00:00:00"/>
    <s v="Claudio Muñoz"/>
    <m/>
    <x v="3"/>
    <m/>
    <d v="2012-05-08T00:00:00"/>
    <n v="6934"/>
    <n v="261.0675"/>
    <n v="37650.346120565329"/>
    <m/>
    <m/>
    <m/>
    <m/>
    <x v="10"/>
  </r>
  <r>
    <s v="O-115"/>
    <d v="2012-04-22T00:00:00"/>
    <x v="164"/>
    <s v="AMEC Brasil"/>
    <s v="Carlos Roberto"/>
    <m/>
    <s v="ASSESSORIA ESPECIALIZADA PROCESSOS PARA REJEITODUTO, RETORNO DE ÁGUA E MINERODUTO"/>
    <x v="1"/>
    <s v="ND"/>
    <s v="INT"/>
    <s v="Brasil"/>
    <d v="2012-04-24T00:00:00"/>
    <s v="Pedro Valencia"/>
    <m/>
    <x v="3"/>
    <m/>
    <d v="2012-06-12T00:00:00"/>
    <n v="4520"/>
    <n v="199.05199999999999"/>
    <n v="44038.053097345131"/>
    <m/>
    <m/>
    <m/>
    <m/>
    <x v="10"/>
  </r>
  <r>
    <s v="O-111"/>
    <d v="2012-04-16T00:00:00"/>
    <x v="51"/>
    <s v="COLLAHUASI"/>
    <s v="Claudio Muñoz"/>
    <m/>
    <s v="ESTUDIO DE DIAGNÓSTICO CAPACIDAD DE TRANSPORTE Y DISPOSICIÓN DE RELAVES"/>
    <x v="10"/>
    <s v="ND"/>
    <s v="NAC"/>
    <s v="Chile"/>
    <d v="2012-04-16T00:00:00"/>
    <s v="Pedro Valencia"/>
    <m/>
    <x v="5"/>
    <m/>
    <d v="2012-05-08T00:00:00"/>
    <n v="865"/>
    <n v="35.19"/>
    <n v="40682.080924855487"/>
    <s v="SH-0049"/>
    <m/>
    <m/>
    <m/>
    <x v="10"/>
  </r>
  <r>
    <s v="O-111"/>
    <d v="2012-04-16T00:00:00"/>
    <x v="51"/>
    <s v="COLLAHUASI"/>
    <s v="Claudio Muñoz"/>
    <m/>
    <s v="SERVICIOS ESPECIALIZADOS TRANSPORTE Y MANEJO DE FLUIDOS"/>
    <x v="9"/>
    <s v="ND"/>
    <s v="NAC"/>
    <s v="Chile"/>
    <d v="2012-04-16T00:00:00"/>
    <s v="Pedro Valencia"/>
    <s v="En espera de respuesta"/>
    <x v="3"/>
    <m/>
    <d v="2012-05-08T00:00:00"/>
    <n v="8000"/>
    <n v="313.42500000000001"/>
    <n v="39178.125"/>
    <m/>
    <m/>
    <m/>
    <m/>
    <x v="10"/>
  </r>
  <r>
    <s v="O-112"/>
    <d v="2012-04-10T00:00:00"/>
    <x v="204"/>
    <s v="AMEC Brasil"/>
    <s v="Roberto Carlos"/>
    <m/>
    <s v="Mineroducto 180 KM I. Básica"/>
    <x v="5"/>
    <s v="ND"/>
    <s v="NAC"/>
    <s v="Chile"/>
    <d v="2012-04-10T00:00:00"/>
    <s v="Pedro Valencia"/>
    <m/>
    <x v="3"/>
    <m/>
    <d v="2012-05-08T00:00:00"/>
    <n v="2685"/>
    <n v="122.402"/>
    <n v="45587.337057728117"/>
    <m/>
    <m/>
    <m/>
    <m/>
    <x v="10"/>
  </r>
  <r>
    <s v="O-109"/>
    <d v="2012-03-27T00:00:00"/>
    <x v="8"/>
    <m/>
    <s v="Claudio Nordio"/>
    <m/>
    <s v="Apoyo Cierre Proyecto Chumpe Mecánica/Piping"/>
    <x v="18"/>
    <s v="ND"/>
    <s v="NAC"/>
    <s v="Chile"/>
    <d v="2012-03-26T00:00:00"/>
    <s v="Claudio Muñoz"/>
    <m/>
    <x v="5"/>
    <m/>
    <d v="2012-04-02T00:00:00"/>
    <n v="85"/>
    <n v="2.1037500000000007"/>
    <n v="24750.000000000007"/>
    <s v="Sh-0048"/>
    <m/>
    <m/>
    <m/>
    <x v="10"/>
  </r>
  <r>
    <s v="O-108"/>
    <d v="2012-03-27T00:00:00"/>
    <x v="8"/>
    <s v="Anglo American"/>
    <s v="Victor Nieto"/>
    <m/>
    <s v="Apoyo Cierre Proyecto Quellaveco/OGP1"/>
    <x v="18"/>
    <s v="ND"/>
    <s v="NAC"/>
    <s v="Chile"/>
    <d v="2012-03-26T00:00:00"/>
    <s v="Claudio Muñoz"/>
    <m/>
    <x v="5"/>
    <m/>
    <d v="2012-04-02T00:00:00"/>
    <n v="127.5"/>
    <n v="3.1680000000000006"/>
    <n v="24847.058823529416"/>
    <s v="SH-0053"/>
    <m/>
    <m/>
    <m/>
    <x v="10"/>
  </r>
  <r>
    <s v="O-107"/>
    <d v="2012-03-13T00:00:00"/>
    <x v="8"/>
    <s v="Codelco"/>
    <s v="Juan Bravo"/>
    <m/>
    <s v="Apoyo Ingeniería Mecánica - Piping Proyecto Potrerillos"/>
    <x v="18"/>
    <s v="ND"/>
    <s v="NAC"/>
    <s v="Chile"/>
    <d v="2012-03-15T00:00:00"/>
    <s v="Claudio Muñoz"/>
    <m/>
    <x v="5"/>
    <m/>
    <d v="2012-03-15T00:00:00"/>
    <n v="7893"/>
    <n v="178.5504"/>
    <n v="22621.360699353856"/>
    <s v="SH-0047"/>
    <m/>
    <m/>
    <m/>
    <x v="10"/>
  </r>
  <r>
    <s v="O-106"/>
    <d v="2012-03-08T00:00:00"/>
    <x v="231"/>
    <s v="Codelco División Norte"/>
    <s v="Gilda Razetto"/>
    <m/>
    <s v="Revisión Experta Disciplina Hidráulica Estudio de Perfil Toconce"/>
    <x v="39"/>
    <s v="ND"/>
    <s v="NAC"/>
    <s v="Chile"/>
    <d v="2012-03-08T00:00:00"/>
    <s v="Claudio Muñoz"/>
    <m/>
    <x v="3"/>
    <m/>
    <d v="2012-03-15T00:00:00"/>
    <n v="351"/>
    <n v="22.3552"/>
    <n v="63690.028490028482"/>
    <m/>
    <m/>
    <m/>
    <m/>
    <x v="10"/>
  </r>
  <r>
    <s v="O-105"/>
    <d v="2012-03-05T00:00:00"/>
    <x v="53"/>
    <s v="Codelco ANDINA"/>
    <s v="Liliana Arellano"/>
    <m/>
    <s v="Asesoria Especializada en Optimización de Producción de Arenas"/>
    <x v="7"/>
    <s v="ND"/>
    <s v="NAC"/>
    <s v="Chile"/>
    <d v="2012-03-05T00:00:00"/>
    <s v="Claudio Muñoz"/>
    <s v="PV llamar a Silvana dal Pozo o Liliana Arellano."/>
    <x v="3"/>
    <m/>
    <d v="2012-03-15T00:00:00"/>
    <n v="1345"/>
    <n v="53.311999999999998"/>
    <n v="39637.174721189593"/>
    <m/>
    <m/>
    <m/>
    <m/>
    <x v="10"/>
  </r>
  <r>
    <s v="O-104"/>
    <d v="2012-03-01T00:00:00"/>
    <x v="220"/>
    <s v="DAND"/>
    <s v="Claudio Dods"/>
    <m/>
    <s v="Estimación de Costos Suministro de Agua Pozos San Pedro"/>
    <x v="2"/>
    <s v="ND"/>
    <s v="NAC"/>
    <s v="Chile"/>
    <d v="2012-03-01T00:00:00"/>
    <s v="Claudio Muñoz"/>
    <m/>
    <x v="5"/>
    <m/>
    <d v="2012-03-15T00:00:00"/>
    <n v="735"/>
    <n v="34.809600000000003"/>
    <n v="47360.000000000007"/>
    <s v="SH-0052"/>
    <m/>
    <m/>
    <m/>
    <x v="10"/>
  </r>
  <r>
    <s v="O-103"/>
    <d v="2012-02-15T00:00:00"/>
    <x v="164"/>
    <s v="Bahia Mineração"/>
    <s v="Carlos Roberto"/>
    <m/>
    <s v="Assessoria Especializada em Polpas Projeto Pedra de Ferro e Outros Projetos"/>
    <x v="1"/>
    <s v="ND"/>
    <s v="INT"/>
    <s v="Brasil"/>
    <d v="2012-01-16T00:00:00"/>
    <s v="Pedro Valencia"/>
    <s v="Postergado hasta el 2014"/>
    <x v="3"/>
    <m/>
    <d v="2013-08-20T00:00:00"/>
    <n v="2685"/>
    <n v="122.402"/>
    <n v="45587.337057728117"/>
    <m/>
    <m/>
    <m/>
    <m/>
    <x v="10"/>
  </r>
  <r>
    <s v="O-102"/>
    <d v="2012-02-09T00:00:00"/>
    <x v="233"/>
    <s v="Vale Brasil"/>
    <s v="Enrique Melendez"/>
    <m/>
    <s v="Projeto Engenharia FEL - 2 Dimensionamento Mineroduto"/>
    <x v="2"/>
    <s v="ND"/>
    <s v="INT"/>
    <s v="Brasil"/>
    <d v="2012-02-13T00:00:00"/>
    <s v="Pedro Valencia"/>
    <m/>
    <x v="3"/>
    <m/>
    <d v="2012-02-16T00:00:00"/>
    <n v="2955"/>
    <n v="116.86360000000001"/>
    <n v="39547.749576988157"/>
    <m/>
    <m/>
    <m/>
    <m/>
    <x v="10"/>
  </r>
  <r>
    <s v="O-101"/>
    <d v="2012-02-09T00:00:00"/>
    <x v="234"/>
    <s v="Samarco"/>
    <s v="Carlos Guilhon"/>
    <m/>
    <s v="Extensión Contrato Projeto Engenharia Samarco (PV)"/>
    <x v="22"/>
    <s v="ND"/>
    <s v="INT"/>
    <s v="Brasil"/>
    <d v="2012-02-09T00:00:00"/>
    <s v="Pedro Valencia"/>
    <m/>
    <x v="5"/>
    <m/>
    <d v="2012-02-16T00:00:00"/>
    <n v="510"/>
    <n v="42"/>
    <n v="82352.941176470587"/>
    <s v="SH-0095"/>
    <s v="SH 095"/>
    <m/>
    <m/>
    <x v="10"/>
  </r>
  <r>
    <s v="O-99"/>
    <d v="2012-02-01T00:00:00"/>
    <x v="230"/>
    <s v="Vale Brasil"/>
    <s v="Jorge Soto"/>
    <m/>
    <s v="Projeto Engenharia de Pré-Viabilidade ITM-I Jangada"/>
    <x v="27"/>
    <s v="ND"/>
    <s v="INT"/>
    <s v="Brasil"/>
    <d v="2012-02-07T00:00:00"/>
    <s v="Pedro Valencia"/>
    <m/>
    <x v="3"/>
    <m/>
    <d v="2012-02-16T00:00:00"/>
    <n v="3378"/>
    <n v="122.8192"/>
    <n v="36358.555358200116"/>
    <m/>
    <m/>
    <m/>
    <s v="PROYECTO CERRADO"/>
    <x v="10"/>
  </r>
  <r>
    <s v="O-100"/>
    <d v="2012-02-01T00:00:00"/>
    <x v="230"/>
    <s v="Vale Brasil"/>
    <s v="Jorge Soto"/>
    <m/>
    <s v="Projeto Engenharia de Pré-Viabilidade ITM-I Pico"/>
    <x v="27"/>
    <s v="ND"/>
    <s v="INT"/>
    <s v="Brasil"/>
    <d v="2012-02-07T00:00:00"/>
    <s v="Pedro Valencia"/>
    <m/>
    <x v="3"/>
    <m/>
    <d v="2012-02-16T00:00:00"/>
    <n v="3717"/>
    <n v="148.29220000000001"/>
    <n v="39895.668549905837"/>
    <m/>
    <m/>
    <m/>
    <m/>
    <x v="10"/>
  </r>
  <r>
    <s v="O-98"/>
    <d v="2012-01-26T00:00:00"/>
    <x v="235"/>
    <s v="Minera Escondida"/>
    <m/>
    <m/>
    <s v="Prubas Hidroestaticas Concentraducto MEL"/>
    <x v="10"/>
    <s v="ND"/>
    <s v="NAC"/>
    <s v="Chile"/>
    <d v="2012-01-05T00:00:00"/>
    <s v="Claudio Muñoz"/>
    <m/>
    <x v="3"/>
    <m/>
    <d v="2012-01-24T00:00:00"/>
    <n v="1298"/>
    <n v="51.111600000000003"/>
    <n v="39377.195685670267"/>
    <m/>
    <m/>
    <m/>
    <s v="PROYECTO CERRADO"/>
    <x v="10"/>
  </r>
  <r>
    <s v="O-97"/>
    <d v="2011-12-31T00:00:00"/>
    <x v="8"/>
    <s v="Maricunga"/>
    <m/>
    <m/>
    <s v="Análisis de Flexibilidad"/>
    <x v="2"/>
    <s v="ND"/>
    <s v="NAC"/>
    <s v="Chile"/>
    <d v="2012-01-03T00:00:00"/>
    <s v="Claudio Muñoz"/>
    <m/>
    <x v="3"/>
    <m/>
    <d v="2012-01-03T00:00:00"/>
    <n v="170"/>
    <n v="9.3018000000000001"/>
    <n v="54716.470588235294"/>
    <m/>
    <m/>
    <m/>
    <m/>
    <x v="11"/>
  </r>
  <r>
    <s v="O-96"/>
    <d v="2011-12-26T00:00:00"/>
    <x v="231"/>
    <s v="DAND"/>
    <s v="Yomet Farias"/>
    <m/>
    <s v="Externalización de Documentos II Proyecto Reemplazo Molinos"/>
    <x v="2"/>
    <s v="ND"/>
    <s v="NAC"/>
    <s v="Chile"/>
    <d v="2011-12-27T00:00:00"/>
    <s v="Claudio Muñoz"/>
    <m/>
    <x v="5"/>
    <m/>
    <d v="2011-12-27T00:00:00"/>
    <n v="443"/>
    <n v="12.21"/>
    <n v="27562.076749435666"/>
    <s v="SH-0046"/>
    <m/>
    <m/>
    <m/>
    <x v="11"/>
  </r>
  <r>
    <s v="O-95"/>
    <d v="2011-12-26T00:00:00"/>
    <x v="231"/>
    <s v="DAND"/>
    <s v="Yomet Farias"/>
    <m/>
    <s v="Externalización de Documentos Proyecto Reemplazo Molinos"/>
    <x v="2"/>
    <s v="ND"/>
    <s v="NAC"/>
    <s v="Chile"/>
    <d v="2011-12-26T00:00:00"/>
    <s v="Claudio Muñoz"/>
    <m/>
    <x v="5"/>
    <m/>
    <d v="2011-12-27T00:00:00"/>
    <n v="136"/>
    <n v="4.4400000000000004"/>
    <n v="32647.058823529416"/>
    <s v="SH-0045"/>
    <m/>
    <m/>
    <m/>
    <x v="11"/>
  </r>
  <r>
    <s v="O-94"/>
    <d v="2011-12-20T00:00:00"/>
    <x v="230"/>
    <s v="Minerconsult"/>
    <s v="Jorge Soto"/>
    <m/>
    <s v="Proposta Rejeitodutos"/>
    <x v="2"/>
    <s v="ND"/>
    <s v="INT"/>
    <s v="Brasil"/>
    <d v="2011-12-30T00:00:00"/>
    <s v="Pedro Valencia"/>
    <m/>
    <x v="3"/>
    <m/>
    <d v="2011-12-20T00:00:00"/>
    <n v="445"/>
    <n v="17.262"/>
    <n v="38791.011235955055"/>
    <m/>
    <m/>
    <m/>
    <m/>
    <x v="11"/>
  </r>
  <r>
    <s v="O-93"/>
    <d v="2011-12-20T00:00:00"/>
    <x v="8"/>
    <s v="Quebrada Blanca"/>
    <s v="Gregorio Perez"/>
    <m/>
    <s v="Verificación Cruzada Documentos Proyecto Quebrada Blanca"/>
    <x v="7"/>
    <s v="ND"/>
    <s v="NAC"/>
    <s v="Chile"/>
    <d v="2011-12-20T00:00:00"/>
    <s v="Claudio Muñoz"/>
    <m/>
    <x v="3"/>
    <m/>
    <d v="2011-12-20T00:00:00"/>
    <n v="150"/>
    <n v="7.3094999999999999"/>
    <n v="48730"/>
    <m/>
    <m/>
    <m/>
    <m/>
    <x v="11"/>
  </r>
  <r>
    <s v="O-92"/>
    <d v="2011-12-05T00:00:00"/>
    <x v="236"/>
    <s v="Codelco SALVADOR"/>
    <s v="Jorge Kort"/>
    <m/>
    <s v="Sistema de Conducción Agua Industral de ADASA"/>
    <x v="1"/>
    <s v="LM"/>
    <s v="NAC"/>
    <s v="Chile"/>
    <d v="2011-01-09T00:00:00"/>
    <s v="Claudio Muñoz"/>
    <m/>
    <x v="3"/>
    <m/>
    <d v="2012-01-24T00:00:00"/>
    <n v="36545"/>
    <n v="1298.529"/>
    <n v="35532.33000410453"/>
    <m/>
    <m/>
    <m/>
    <m/>
    <x v="11"/>
  </r>
  <r>
    <s v="O-91"/>
    <d v="2011-12-01T00:00:00"/>
    <x v="237"/>
    <m/>
    <m/>
    <m/>
    <s v="Contraparte EPC por parte del dueño de construcción de relaves para 8,5 y 18 MTPA"/>
    <x v="7"/>
    <s v="LM"/>
    <s v="INT"/>
    <s v="Brasil"/>
    <m/>
    <s v="Pedro Valencia"/>
    <m/>
    <x v="3"/>
    <m/>
    <d v="2011-12-20T00:00:00"/>
    <n v="470"/>
    <n v="21.181999999999999"/>
    <n v="45068.085106382976"/>
    <m/>
    <m/>
    <m/>
    <m/>
    <x v="11"/>
  </r>
  <r>
    <s v="O-90"/>
    <d v="2011-11-21T00:00:00"/>
    <x v="117"/>
    <s v="BHP BILLITON"/>
    <s v="Juan Esteban Fuentes"/>
    <s v="hugo.andrade@arcadis.cl"/>
    <s v="Actualización Benchmarking Concentraductos, Desalación e impulsión"/>
    <x v="2"/>
    <s v="ND"/>
    <s v="NAC"/>
    <s v="Chile"/>
    <d v="2011-12-22T00:00:00"/>
    <s v="Claudio Muñoz"/>
    <m/>
    <x v="5"/>
    <m/>
    <d v="2011-12-07T00:00:00"/>
    <n v="220"/>
    <n v="7.2267000000000001"/>
    <n v="32848.636363636368"/>
    <s v="SH-0044"/>
    <m/>
    <m/>
    <m/>
    <x v="11"/>
  </r>
  <r>
    <s v="o-89"/>
    <d v="2011-11-17T00:00:00"/>
    <x v="231"/>
    <s v="Codelco División Norte"/>
    <s v="Gilda Razetto"/>
    <m/>
    <s v="Evaluación Mejoramiento Sector Remolienda - División Codelco Norte"/>
    <x v="7"/>
    <s v="ND"/>
    <s v="NAC"/>
    <s v="Chile"/>
    <d v="2011-11-17T00:00:00"/>
    <s v="Claudio Muñoz"/>
    <m/>
    <x v="5"/>
    <m/>
    <d v="2011-11-17T00:00:00"/>
    <n v="845"/>
    <n v="37.179090000000002"/>
    <n v="43998.923076923078"/>
    <s v="SH-0042"/>
    <m/>
    <m/>
    <s v="EN CURSO. CIERRES A LOS 12 DE CADA MES"/>
    <x v="11"/>
  </r>
  <r>
    <s v="O-88"/>
    <d v="2011-11-10T00:00:00"/>
    <x v="8"/>
    <s v="Caserones"/>
    <s v="Pablo Díaz"/>
    <m/>
    <s v="Extensión Monto Contrato SH-0019"/>
    <x v="22"/>
    <s v="ND"/>
    <s v="NAC"/>
    <s v="Chile"/>
    <d v="2011-11-10T00:00:00"/>
    <s v="Claudio Muñoz"/>
    <m/>
    <x v="5"/>
    <m/>
    <d v="1900-01-09T00:00:00"/>
    <n v="1353"/>
    <n v="31.295000000000002"/>
    <n v="23130.08130081301"/>
    <s v="SH-0094"/>
    <s v="SH 094"/>
    <m/>
    <m/>
    <x v="11"/>
  </r>
  <r>
    <s v="O-87"/>
    <d v="2011-11-10T00:00:00"/>
    <x v="8"/>
    <s v="Caserones"/>
    <s v="Pablo Díaz"/>
    <m/>
    <s v="Extensión de Proyecto Nuevo Trazado Lamaducto"/>
    <x v="22"/>
    <s v="ND"/>
    <s v="NAC"/>
    <s v="Chile"/>
    <d v="2011-11-10T00:00:00"/>
    <s v="Claudio Muñoz"/>
    <m/>
    <x v="5"/>
    <m/>
    <d v="2011-11-10T00:00:00"/>
    <n v="3336"/>
    <n v="62.662500000000001"/>
    <n v="18783.723021582733"/>
    <s v="SH-0041"/>
    <m/>
    <m/>
    <m/>
    <x v="11"/>
  </r>
  <r>
    <s v="O-86"/>
    <d v="2011-11-08T00:00:00"/>
    <x v="234"/>
    <s v="Minas Rio"/>
    <m/>
    <m/>
    <s v="Asistencia Ao Projeto Expansao Minas Rio"/>
    <x v="22"/>
    <s v="ND"/>
    <s v="INT"/>
    <s v="Brasil"/>
    <d v="2011-11-01T00:00:00"/>
    <s v="Pedro Valencia"/>
    <m/>
    <x v="5"/>
    <m/>
    <d v="2011-11-11T00:00:00"/>
    <n v="180"/>
    <n v="8.5200000000000014"/>
    <n v="47333.333333333336"/>
    <s v="SH-0043"/>
    <m/>
    <m/>
    <s v="Falta 1 hh cargada en agosto"/>
    <x v="11"/>
  </r>
  <r>
    <s v="O-85"/>
    <d v="2011-11-08T00:00:00"/>
    <x v="234"/>
    <s v="Samarco"/>
    <s v="Carlos Guilhon"/>
    <m/>
    <s v="Projeto Engenharia Detalhada Terceiro Mineroduto da Samarco"/>
    <x v="1"/>
    <s v="ND"/>
    <s v="INT"/>
    <s v="Brasil"/>
    <d v="2011-11-01T00:00:00"/>
    <s v="Pedro Valencia"/>
    <m/>
    <x v="5"/>
    <m/>
    <d v="2011-11-11T00:00:00"/>
    <m/>
    <m/>
    <s v="N/A"/>
    <s v="SH-0093"/>
    <s v="SH 093"/>
    <m/>
    <s v="PROYECTO CERRADO"/>
    <x v="11"/>
  </r>
  <r>
    <s v="O-84"/>
    <d v="2011-11-07T00:00:00"/>
    <x v="230"/>
    <s v="Minerconsult"/>
    <m/>
    <m/>
    <s v="Trade Off Mineroductos Viga Norte Ate Viga Para Ferrous Resources"/>
    <x v="2"/>
    <s v="ND"/>
    <s v="INT"/>
    <s v="Brasil"/>
    <d v="2011-11-07T00:00:00"/>
    <s v="Pedro Valencia"/>
    <m/>
    <x v="3"/>
    <m/>
    <d v="2012-02-17T00:00:00"/>
    <n v="615"/>
    <n v="24.665400000000002"/>
    <n v="40106.341463414639"/>
    <m/>
    <m/>
    <m/>
    <s v="PROYECTO CERRADO"/>
    <x v="11"/>
  </r>
  <r>
    <s v="O-83"/>
    <d v="2011-10-27T00:00:00"/>
    <x v="238"/>
    <s v="PSI China"/>
    <m/>
    <m/>
    <s v="Pan Zhi Hua Project "/>
    <x v="0"/>
    <m/>
    <m/>
    <m/>
    <m/>
    <s v="Claudio Muñoz"/>
    <s v="Verificación Estructural del Estanque de Concentrado y de la Plataforma de Soportación del Agitador"/>
    <x v="4"/>
    <m/>
    <d v="2011-10-27T00:00:00"/>
    <m/>
    <m/>
    <s v="N/A"/>
    <s v="SH-0040"/>
    <m/>
    <m/>
    <s v="PROYECTO CERRADO"/>
    <x v="11"/>
  </r>
  <r>
    <s v="O-82"/>
    <d v="2011-10-24T00:00:00"/>
    <x v="231"/>
    <s v="DAND"/>
    <s v="Gilda Razetto"/>
    <m/>
    <s v="Apoyo Multidisciplinario Codelco Andina"/>
    <x v="1"/>
    <s v="LM"/>
    <s v="NAC"/>
    <s v="Chile"/>
    <d v="2012-10-30T00:00:00"/>
    <s v="Claudio Muñoz"/>
    <m/>
    <x v="3"/>
    <m/>
    <d v="2011-10-25T00:00:00"/>
    <m/>
    <m/>
    <s v="N/A"/>
    <m/>
    <m/>
    <m/>
    <m/>
    <x v="11"/>
  </r>
  <r>
    <s v="O-81"/>
    <d v="2011-10-24T00:00:00"/>
    <x v="231"/>
    <s v="DAND"/>
    <s v="Gilda Razetto"/>
    <m/>
    <s v="Ingenieria Conceptual Espesador de Relaves"/>
    <x v="2"/>
    <s v="LM"/>
    <s v="NAC"/>
    <s v="Chile"/>
    <d v="2012-10-30T00:00:00"/>
    <s v="Claudio Muñoz"/>
    <m/>
    <x v="3"/>
    <m/>
    <d v="2011-10-25T00:00:00"/>
    <n v="859"/>
    <n v="47.137500000000003"/>
    <n v="54874.854481955765"/>
    <m/>
    <m/>
    <m/>
    <m/>
    <x v="11"/>
  </r>
  <r>
    <s v="O-80"/>
    <d v="2011-10-24T00:00:00"/>
    <x v="231"/>
    <s v="DAND"/>
    <s v="Gilda Razetto"/>
    <m/>
    <s v="Diagnostico Cuellos de Botella Concentrado Andina"/>
    <x v="2"/>
    <s v="LM"/>
    <s v="NAC"/>
    <s v="Chile"/>
    <d v="2012-10-30T00:00:00"/>
    <s v="Claudio Muñoz"/>
    <m/>
    <x v="3"/>
    <m/>
    <d v="2011-10-25T00:00:00"/>
    <m/>
    <m/>
    <s v="N/A"/>
    <m/>
    <m/>
    <m/>
    <m/>
    <x v="11"/>
  </r>
  <r>
    <s v="O-75"/>
    <d v="2011-10-01T00:00:00"/>
    <x v="239"/>
    <m/>
    <m/>
    <m/>
    <s v="Extension Hill, Australia. Apoyo sistema de transporte de concentrado Mount Gibson"/>
    <x v="22"/>
    <s v="ND"/>
    <s v="INT"/>
    <s v="Australia"/>
    <d v="2012-10-01T00:00:00"/>
    <s v="Claudio Muñoz"/>
    <m/>
    <x v="5"/>
    <m/>
    <d v="2011-09-29T00:00:00"/>
    <n v="373"/>
    <n v="9.3249999999999993"/>
    <n v="24999.999999999996"/>
    <s v="SH-0039"/>
    <m/>
    <m/>
    <m/>
    <x v="11"/>
  </r>
  <r>
    <s v="O-79"/>
    <d v="2011-09-29T00:00:00"/>
    <x v="45"/>
    <s v="PELAMBRES"/>
    <m/>
    <m/>
    <s v="Rango Operacional Relaveducto PELAMBRES"/>
    <x v="7"/>
    <s v="ND"/>
    <s v="NAC"/>
    <s v="Chile"/>
    <d v="2011-10-07T00:00:00"/>
    <s v="Pedro Valencia"/>
    <m/>
    <x v="3"/>
    <m/>
    <d v="2011-09-29T00:00:00"/>
    <n v="587"/>
    <n v="30.25441"/>
    <n v="51540.7325383305"/>
    <m/>
    <m/>
    <m/>
    <s v="PROYECTO CERRADO"/>
    <x v="11"/>
  </r>
  <r>
    <s v="O-78"/>
    <d v="2011-09-29T00:00:00"/>
    <x v="45"/>
    <s v="PELAMBRES"/>
    <m/>
    <m/>
    <s v="Servicios de Contraparte Concentraducto PELAMBRES"/>
    <x v="9"/>
    <s v="ND"/>
    <s v="NAC"/>
    <s v="Chile"/>
    <d v="2011-10-07T00:00:00"/>
    <s v="Pedro Valencia"/>
    <m/>
    <x v="3"/>
    <m/>
    <d v="2011-09-29T00:00:00"/>
    <n v="1096"/>
    <n v="52.797499999999999"/>
    <n v="48172.901459854016"/>
    <m/>
    <m/>
    <m/>
    <m/>
    <x v="11"/>
  </r>
  <r>
    <s v="O-77"/>
    <d v="2011-09-29T00:00:00"/>
    <x v="45"/>
    <s v="PELAMBRES"/>
    <m/>
    <m/>
    <s v="Manual de Operaciones Suministro de Aguas Frescas CHOAPA"/>
    <x v="7"/>
    <s v="ND"/>
    <s v="NAC"/>
    <s v="Chile"/>
    <d v="2011-10-07T00:00:00"/>
    <s v="Pedro Valencia"/>
    <s v="Posiblemente necesitan colaboración de SHIMIN para la elaboración del Manual."/>
    <x v="3"/>
    <m/>
    <d v="2011-09-29T00:00:00"/>
    <n v="1096"/>
    <n v="48.0565"/>
    <n v="43847.171532846718"/>
    <m/>
    <m/>
    <m/>
    <s v="PROYECTO CERRADO"/>
    <x v="11"/>
  </r>
  <r>
    <s v="O-76"/>
    <d v="2011-09-28T00:00:00"/>
    <x v="31"/>
    <s v="Xstrata Copper"/>
    <s v="Alvaro Huerta"/>
    <s v="rorellana@caserones.cl"/>
    <s v="Auditoria Tranque de Relaves"/>
    <x v="7"/>
    <s v="ND"/>
    <s v="NAC"/>
    <s v="Chile"/>
    <d v="2011-10-04T00:00:00"/>
    <s v="Pedro Valencia"/>
    <m/>
    <x v="3"/>
    <m/>
    <d v="2011-09-29T00:00:00"/>
    <n v="400"/>
    <n v="16.875"/>
    <n v="42187.5"/>
    <m/>
    <m/>
    <m/>
    <m/>
    <x v="11"/>
  </r>
  <r>
    <s v="O-69"/>
    <d v="2011-09-13T00:00:00"/>
    <x v="8"/>
    <s v="ARCADIS"/>
    <s v="Pablo Díaz"/>
    <m/>
    <s v="Diseño Civil Piscinas de Emergencia Lamaducto Proyecto Caserones"/>
    <x v="5"/>
    <s v="ND"/>
    <s v="NAC"/>
    <s v="Chile"/>
    <d v="2011-07-13T00:00:00"/>
    <s v="Claudio Muñoz"/>
    <m/>
    <x v="5"/>
    <m/>
    <d v="2011-08-29T00:00:00"/>
    <n v="320"/>
    <n v="7.2"/>
    <n v="22500"/>
    <s v="SH-0075"/>
    <s v="SH 075"/>
    <m/>
    <m/>
    <x v="11"/>
  </r>
  <r>
    <s v="O-276"/>
    <d v="2011-09-05T00:00:00"/>
    <x v="76"/>
    <s v="Franke"/>
    <m/>
    <m/>
    <s v="By-pass Piscina Franke"/>
    <x v="5"/>
    <s v="ND"/>
    <s v="NAC"/>
    <s v="Chile"/>
    <m/>
    <s v="Hernán Castro"/>
    <m/>
    <x v="5"/>
    <m/>
    <m/>
    <n v="63"/>
    <n v="1.405"/>
    <n v="22301.5873015873"/>
    <s v="SH-0035"/>
    <m/>
    <m/>
    <m/>
    <x v="11"/>
  </r>
  <r>
    <s v="O-275"/>
    <d v="2011-09-01T00:00:00"/>
    <x v="166"/>
    <s v="AUSENCO Chile"/>
    <m/>
    <m/>
    <s v="Apoyo Varios Proyectos (CM y LD)"/>
    <x v="22"/>
    <s v="ND"/>
    <s v="NAC"/>
    <s v="Chile"/>
    <m/>
    <s v="Claudio Muñoz"/>
    <m/>
    <x v="5"/>
    <m/>
    <m/>
    <m/>
    <m/>
    <s v="N/A"/>
    <s v="SH-0038"/>
    <m/>
    <m/>
    <m/>
    <x v="11"/>
  </r>
  <r>
    <s v="O-74"/>
    <d v="2011-08-29T00:00:00"/>
    <x v="8"/>
    <s v="Caserones"/>
    <s v="Pablo Díaz"/>
    <m/>
    <s v="Revisión y Emisión de Isometricos en 0"/>
    <x v="15"/>
    <s v="ND"/>
    <s v="NAC"/>
    <s v="Chile"/>
    <d v="2011-08-29T00:00:00"/>
    <s v="Claudio Muñoz"/>
    <m/>
    <x v="5"/>
    <m/>
    <d v="2011-08-29T00:00:00"/>
    <n v="600"/>
    <n v="13.5"/>
    <n v="22500"/>
    <s v="SH-0076"/>
    <s v="SH 076"/>
    <m/>
    <m/>
    <x v="11"/>
  </r>
  <r>
    <s v="O-70"/>
    <d v="2011-08-26T00:00:00"/>
    <x v="236"/>
    <s v="Codelco SALVADOR"/>
    <s v="Jorge Kort"/>
    <m/>
    <s v="Ingeniería, Construcción y Montaje Obras Menores Depósito de Relaves Pampa Austral V Etapa"/>
    <x v="15"/>
    <s v="LM"/>
    <s v="NAC"/>
    <s v="Chile"/>
    <d v="2011-07-26T00:00:00"/>
    <s v="Claudio Muñoz"/>
    <s v="Re-abierta"/>
    <x v="3"/>
    <m/>
    <d v="2011-10-26T00:00:00"/>
    <n v="2125"/>
    <n v="89.65"/>
    <n v="42188.23529411765"/>
    <m/>
    <m/>
    <m/>
    <s v="PROYECTO CERRADO/FALTA CARGAR HORAS"/>
    <x v="11"/>
  </r>
  <r>
    <s v="O-71"/>
    <d v="2011-08-23T00:00:00"/>
    <x v="231"/>
    <s v="Codelco CHUQUI"/>
    <s v="Gilda Razetto"/>
    <m/>
    <s v="Planta de Molibdeno Chuquicamata"/>
    <x v="10"/>
    <s v="LM"/>
    <s v="NAC"/>
    <s v="Chile"/>
    <d v="2011-08-23T00:00:00"/>
    <s v="Claudio Muñoz"/>
    <m/>
    <x v="3"/>
    <m/>
    <d v="2011-08-26T00:00:00"/>
    <n v="760"/>
    <m/>
    <n v="0"/>
    <m/>
    <m/>
    <m/>
    <m/>
    <x v="11"/>
  </r>
  <r>
    <s v="O-73"/>
    <d v="2011-08-23T00:00:00"/>
    <x v="224"/>
    <s v="Compañia Minera El Espino"/>
    <s v="Nicolas Stipo"/>
    <m/>
    <s v="Prefactibilidad El Espino"/>
    <x v="1"/>
    <s v="ND"/>
    <s v="NAC"/>
    <s v="Chile"/>
    <d v="2011-08-23T00:00:00"/>
    <s v="Claudio Muñoz"/>
    <m/>
    <x v="5"/>
    <m/>
    <d v="2011-08-26T00:00:00"/>
    <n v="309"/>
    <n v="8.0856960000000004"/>
    <n v="26167.300970873788"/>
    <s v="SH-0036"/>
    <m/>
    <m/>
    <m/>
    <x v="11"/>
  </r>
  <r>
    <s v="O-72"/>
    <d v="2011-08-23T00:00:00"/>
    <x v="224"/>
    <s v="Minera Nueva Esperanza"/>
    <s v="Nicolas Stipo"/>
    <m/>
    <s v="Tranque de Relaves Nueva Esperanza"/>
    <x v="5"/>
    <s v="ND"/>
    <s v="NAC"/>
    <s v="Chile"/>
    <d v="2011-08-23T00:00:00"/>
    <m/>
    <m/>
    <x v="5"/>
    <m/>
    <d v="2011-08-26T00:00:00"/>
    <n v="1341"/>
    <n v="42.493848"/>
    <n v="31688.178970917226"/>
    <s v="SH-0037"/>
    <m/>
    <m/>
    <m/>
    <x v="11"/>
  </r>
  <r>
    <s v="O-274"/>
    <d v="2011-07-20T00:00:00"/>
    <x v="8"/>
    <s v="ARCADIS"/>
    <s v="Pablo Díaz"/>
    <m/>
    <s v="Apoyo Fernando Tapia ARCADIS"/>
    <x v="22"/>
    <s v="ND"/>
    <s v="NAC"/>
    <s v="Chile"/>
    <d v="2011-07-13T00:00:00"/>
    <m/>
    <m/>
    <x v="5"/>
    <m/>
    <m/>
    <n v="154.80000000000001"/>
    <n v="2.2337639999999999"/>
    <n v="14429.999999999998"/>
    <s v="SH-0031"/>
    <m/>
    <m/>
    <m/>
    <x v="11"/>
  </r>
  <r>
    <s v="O-68"/>
    <d v="2011-07-11T00:00:00"/>
    <x v="240"/>
    <s v="Minera Escondida"/>
    <s v="Jorge Estay"/>
    <m/>
    <s v="Apoyo Mecánica-Piping "/>
    <x v="15"/>
    <s v="ND"/>
    <s v="NAC"/>
    <s v="Chile"/>
    <d v="2011-07-11T00:00:00"/>
    <s v="Claudio Muñoz"/>
    <m/>
    <x v="5"/>
    <m/>
    <d v="2011-08-29T00:00:00"/>
    <n v="1770"/>
    <n v="54.157499999999999"/>
    <n v="30597.457627118642"/>
    <s v="SH-0034"/>
    <m/>
    <m/>
    <m/>
    <x v="11"/>
  </r>
  <r>
    <s v="O-67"/>
    <d v="2011-06-17T00:00:00"/>
    <x v="76"/>
    <s v="Compañia Minera Carmen Andacollo"/>
    <m/>
    <m/>
    <s v="Factibilidad Andacollo para KP"/>
    <x v="2"/>
    <s v="ND"/>
    <s v="NAC"/>
    <s v="Chile"/>
    <d v="2011-06-17T00:00:00"/>
    <s v="Claudio Muñoz"/>
    <m/>
    <x v="3"/>
    <m/>
    <d v="2011-08-26T00:00:00"/>
    <n v="237"/>
    <n v="8.9436"/>
    <n v="37736.708860759492"/>
    <m/>
    <m/>
    <m/>
    <s v="PROYECTO CERRADO"/>
    <x v="11"/>
  </r>
  <r>
    <s v="O-66"/>
    <d v="2011-06-16T00:00:00"/>
    <x v="8"/>
    <s v="ARCADIS"/>
    <s v="Waldo Bustos"/>
    <m/>
    <s v="Prestación de Servicios Proyectista Mec-Piping"/>
    <x v="22"/>
    <s v="ND"/>
    <s v="NAC"/>
    <s v="Chile"/>
    <d v="2011-06-16T00:00:00"/>
    <s v="Claudio Muñoz"/>
    <m/>
    <x v="5"/>
    <m/>
    <d v="2011-06-30T00:00:00"/>
    <n v="94.3"/>
    <n v="2.2631999999999999"/>
    <n v="24000"/>
    <s v="SH-0029"/>
    <m/>
    <m/>
    <m/>
    <x v="11"/>
  </r>
  <r>
    <s v="O-273"/>
    <d v="2011-06-16T00:00:00"/>
    <x v="8"/>
    <m/>
    <s v="Pedro Vadillo"/>
    <m/>
    <s v="Análisis de Transientes HB"/>
    <x v="1"/>
    <s v="ND"/>
    <s v="NAC"/>
    <s v="Chile"/>
    <m/>
    <s v="Hector Buzeta"/>
    <m/>
    <x v="5"/>
    <m/>
    <m/>
    <n v="208"/>
    <n v="7.7470199999999991"/>
    <n v="37245.288461538454"/>
    <s v="SH-0033"/>
    <m/>
    <m/>
    <m/>
    <x v="11"/>
  </r>
  <r>
    <s v="O-65"/>
    <d v="2011-05-20T00:00:00"/>
    <x v="51"/>
    <s v="COLLAHUASI"/>
    <s v="Sergio Alvarado"/>
    <m/>
    <s v="Instalación Compresores Planta de Cal"/>
    <x v="1"/>
    <s v="ND"/>
    <s v="NAC"/>
    <s v="Chile"/>
    <m/>
    <s v="Claudio Muñoz"/>
    <m/>
    <x v="3"/>
    <m/>
    <m/>
    <n v="522"/>
    <n v="9.3550000000000004"/>
    <n v="17921.455938697316"/>
    <m/>
    <m/>
    <m/>
    <m/>
    <x v="11"/>
  </r>
  <r>
    <s v="O-64"/>
    <d v="2011-05-20T00:00:00"/>
    <x v="51"/>
    <s v="COLLAHUASI"/>
    <s v="Sergio Alvarado"/>
    <m/>
    <s v="Diseño Loop de Cal"/>
    <x v="1"/>
    <s v="ND"/>
    <s v="NAC"/>
    <s v="Chile"/>
    <m/>
    <s v="Claudio Muñoz"/>
    <m/>
    <x v="3"/>
    <m/>
    <m/>
    <n v="1572"/>
    <n v="26.777999999999999"/>
    <n v="17034.35114503817"/>
    <m/>
    <m/>
    <m/>
    <m/>
    <x v="11"/>
  </r>
  <r>
    <s v="O-63"/>
    <d v="2011-05-04T00:00:00"/>
    <x v="8"/>
    <s v="Anglo American"/>
    <m/>
    <m/>
    <s v="Análisis de Flexibilidad Estaciones de Agua"/>
    <x v="10"/>
    <s v="ND"/>
    <s v="NAC"/>
    <s v="Chile"/>
    <d v="2012-05-11T00:00:00"/>
    <m/>
    <m/>
    <x v="3"/>
    <m/>
    <m/>
    <n v="230"/>
    <n v="4.9950000000000001"/>
    <n v="21717.391304347828"/>
    <m/>
    <m/>
    <m/>
    <m/>
    <x v="11"/>
  </r>
  <r>
    <s v="O-272"/>
    <d v="2011-04-01T00:00:00"/>
    <x v="166"/>
    <s v="AUSENCO Chile"/>
    <m/>
    <m/>
    <s v="Apoyo Proyecto Cerro Negro Norte (CM y LD)"/>
    <x v="22"/>
    <s v="ND"/>
    <s v="NAC"/>
    <s v="Chile"/>
    <m/>
    <s v="Claudio Muñoz"/>
    <m/>
    <x v="5"/>
    <m/>
    <m/>
    <m/>
    <m/>
    <s v="N/A"/>
    <s v="SH-0030"/>
    <m/>
    <m/>
    <m/>
    <x v="11"/>
  </r>
  <r>
    <s v="O-62"/>
    <d v="2011-03-28T00:00:00"/>
    <x v="224"/>
    <s v="Codelco ANDINA"/>
    <s v="Solange Sandia"/>
    <m/>
    <s v="servicios de Asesoría Experta en Sistemas de Disposición de Relaves"/>
    <x v="4"/>
    <s v="LM"/>
    <s v="NAC"/>
    <s v="Chile"/>
    <m/>
    <m/>
    <m/>
    <x v="3"/>
    <m/>
    <m/>
    <n v="29736"/>
    <n v="1911.64"/>
    <n v="64287.059456550982"/>
    <m/>
    <m/>
    <m/>
    <s v="PROYECTO CERRADO"/>
    <x v="11"/>
  </r>
  <r>
    <s v="O-61"/>
    <d v="2011-03-12T00:00:00"/>
    <x v="231"/>
    <s v="Codelco TENIENTE"/>
    <m/>
    <m/>
    <s v="Diagnostico Cascadas Canaleta de Relaves El Teniente"/>
    <x v="7"/>
    <s v="ND"/>
    <s v="NAC"/>
    <s v="Chile"/>
    <d v="2012-03-18T00:00:00"/>
    <s v="Claudio Muñoz"/>
    <m/>
    <x v="3"/>
    <m/>
    <m/>
    <n v="145"/>
    <n v="7.7157999999999998"/>
    <n v="53212.413793103442"/>
    <m/>
    <m/>
    <m/>
    <m/>
    <x v="11"/>
  </r>
  <r>
    <s v="O-59"/>
    <d v="2011-03-04T00:00:00"/>
    <x v="8"/>
    <s v="CANDELARIA"/>
    <m/>
    <m/>
    <s v="Estudio de Corrosión Muelle Minera Candelaría"/>
    <x v="10"/>
    <s v="ND"/>
    <s v="NAC"/>
    <s v="Chile"/>
    <d v="2011-03-04T00:00:00"/>
    <s v="Hector Buzeta"/>
    <m/>
    <x v="3"/>
    <m/>
    <m/>
    <n v="1335"/>
    <n v="63.337499999999999"/>
    <n v="47443.8202247191"/>
    <m/>
    <m/>
    <m/>
    <m/>
    <x v="11"/>
  </r>
  <r>
    <s v="O-60"/>
    <d v="2011-03-04T00:00:00"/>
    <x v="8"/>
    <s v="Anglo American"/>
    <m/>
    <m/>
    <s v="Análisis de Flexibilidad Bombeo de Relaves las Tórtolas"/>
    <x v="10"/>
    <s v="ND"/>
    <s v="NAC"/>
    <s v="Chile"/>
    <d v="2012-03-04T00:00:00"/>
    <m/>
    <m/>
    <x v="5"/>
    <m/>
    <m/>
    <n v="75"/>
    <n v="1.8220000000000001"/>
    <n v="24293.333333333332"/>
    <s v="SH-0028"/>
    <m/>
    <m/>
    <m/>
    <x v="11"/>
  </r>
  <r>
    <s v="O-58"/>
    <d v="2011-03-01T00:00:00"/>
    <x v="241"/>
    <s v="Cerro Colorado BHP BILLITON"/>
    <s v="Ricardo Rian"/>
    <m/>
    <s v="Asesoria Balance de Agua Cerro Colorado"/>
    <x v="5"/>
    <s v="ND"/>
    <s v="NAC"/>
    <s v="Chile"/>
    <d v="2011-03-01T00:00:00"/>
    <s v="Hector Buzeta"/>
    <m/>
    <x v="3"/>
    <m/>
    <m/>
    <n v="545"/>
    <n v="20.655000000000001"/>
    <n v="37899.082568807346"/>
    <m/>
    <m/>
    <m/>
    <m/>
    <x v="11"/>
  </r>
  <r>
    <s v="O-57"/>
    <d v="2011-02-12T00:00:00"/>
    <x v="242"/>
    <m/>
    <m/>
    <m/>
    <s v="Samarco III"/>
    <x v="0"/>
    <s v="ND"/>
    <m/>
    <m/>
    <m/>
    <s v="Pedro Valencia"/>
    <m/>
    <x v="5"/>
    <m/>
    <m/>
    <n v="1080"/>
    <n v="69.551999999999992"/>
    <n v="64400"/>
    <s v="SH-0025"/>
    <m/>
    <m/>
    <m/>
    <x v="11"/>
  </r>
  <r>
    <s v="O-56"/>
    <d v="2011-02-11T00:00:00"/>
    <x v="31"/>
    <s v="BECHTEL"/>
    <m/>
    <m/>
    <s v="Estudio de Factibilidad Tranque El Pachón"/>
    <x v="0"/>
    <s v="ND"/>
    <m/>
    <m/>
    <m/>
    <s v="Claudio Muñoz"/>
    <m/>
    <x v="3"/>
    <m/>
    <m/>
    <m/>
    <m/>
    <s v="N/A"/>
    <m/>
    <m/>
    <m/>
    <m/>
    <x v="11"/>
  </r>
  <r>
    <s v="O-54"/>
    <d v="2011-02-09T00:00:00"/>
    <x v="117"/>
    <m/>
    <s v="Julio Olivos"/>
    <m/>
    <s v="Estudio Prefactibilidad Concentraducto Hierro Santo Domingo"/>
    <x v="0"/>
    <s v="ND"/>
    <s v="NAC"/>
    <s v="Chile"/>
    <d v="2011-02-09T00:00:00"/>
    <s v="Claudio Muñoz"/>
    <m/>
    <x v="5"/>
    <m/>
    <d v="2011-02-09T00:00:00"/>
    <n v="350"/>
    <n v="17.5501"/>
    <n v="50143.142857142855"/>
    <s v="SH-0027"/>
    <m/>
    <m/>
    <m/>
    <x v="11"/>
  </r>
  <r>
    <s v="O-55"/>
    <d v="2011-02-01T00:00:00"/>
    <x v="117"/>
    <s v="QUADRA"/>
    <m/>
    <m/>
    <s v="Ingeniería de Detalles Pilas Franke"/>
    <x v="1"/>
    <s v="ND"/>
    <s v="NAC"/>
    <s v="Chile"/>
    <d v="2012-02-21T00:00:00"/>
    <s v="Claudio Muñoz"/>
    <m/>
    <x v="3"/>
    <m/>
    <m/>
    <n v="1150"/>
    <n v="30.225000000000001"/>
    <n v="26282.608695652172"/>
    <s v="SH-0026"/>
    <m/>
    <m/>
    <m/>
    <x v="11"/>
  </r>
  <r>
    <s v="O-53"/>
    <d v="2011-01-13T00:00:00"/>
    <x v="238"/>
    <s v="TISCO"/>
    <s v="Ling Cheng"/>
    <m/>
    <s v="Yuan Jia Cun iron concentrate"/>
    <x v="1"/>
    <s v="ND"/>
    <s v="INT"/>
    <s v="China"/>
    <d v="2011-01-13T00:00:00"/>
    <s v="Claudio Muñoz"/>
    <s v="HH: A suma Alzada"/>
    <x v="5"/>
    <m/>
    <d v="2011-01-14T00:00:00"/>
    <m/>
    <n v="19.600000000000001"/>
    <s v="N/A"/>
    <s v="SH-0023"/>
    <m/>
    <m/>
    <m/>
    <x v="11"/>
  </r>
  <r>
    <s v="O-52"/>
    <d v="2011-01-12T00:00:00"/>
    <x v="243"/>
    <s v="Caserones"/>
    <s v="Jorge Cornejo"/>
    <m/>
    <s v="Apoyo revisión externa Civil-Estructural Ing. De Detalles de Relaves y Agua Recuperada Proyecto Caserones"/>
    <x v="2"/>
    <s v="ND"/>
    <s v="NAC"/>
    <s v="Chile"/>
    <d v="2011-01-12T00:00:00"/>
    <s v="Claudio Muñoz"/>
    <m/>
    <x v="5"/>
    <m/>
    <d v="2011-01-12T00:00:00"/>
    <n v="860.4074074074075"/>
    <n v="22.2"/>
    <n v="25801.730446386289"/>
    <s v="SH-0024"/>
    <m/>
    <m/>
    <m/>
    <x v="11"/>
  </r>
  <r>
    <s v="O-51"/>
    <d v="2010-12-31T00:00:00"/>
    <x v="240"/>
    <s v="JRI Ingeniería"/>
    <m/>
    <m/>
    <s v="Claudio Muñoz a JRI"/>
    <x v="2"/>
    <s v="ND"/>
    <s v="NAC"/>
    <s v="Chile"/>
    <d v="2010-12-31T00:00:00"/>
    <s v="Claudio Muñoz"/>
    <m/>
    <x v="3"/>
    <m/>
    <d v="2010-12-31T00:00:00"/>
    <n v="404"/>
    <n v="18.154769999999999"/>
    <n v="44937.54950495049"/>
    <s v="SH-0022"/>
    <m/>
    <m/>
    <m/>
    <x v="12"/>
  </r>
  <r>
    <s v="O-50"/>
    <d v="2010-12-31T00:00:00"/>
    <x v="8"/>
    <s v="Codelco TENIENTE"/>
    <s v="Carlos Kriman"/>
    <m/>
    <s v="Diseño Hidraulico Conceptual Bocatomas Teniente Rio Blanco"/>
    <x v="2"/>
    <s v="ND"/>
    <s v="NAC"/>
    <s v="Chile"/>
    <d v="2010-12-31T00:00:00"/>
    <s v="Pedro Valencia"/>
    <s v="Trabajo exigente en enero de 2011"/>
    <x v="5"/>
    <m/>
    <d v="2010-12-31T00:00:00"/>
    <n v="475"/>
    <n v="10.175000000000001"/>
    <n v="21421.052631578947"/>
    <s v="SH-0021"/>
    <m/>
    <m/>
    <m/>
    <x v="12"/>
  </r>
  <r>
    <s v="O-49"/>
    <d v="2010-12-23T00:00:00"/>
    <x v="244"/>
    <s v="AQUARA S.A."/>
    <s v="Jaime Horenstein"/>
    <m/>
    <s v="Diseño Hidraulico Bocatoma Rio Cañadon"/>
    <x v="1"/>
    <s v="ND"/>
    <s v="NAC"/>
    <s v="Chile"/>
    <d v="2010-12-23T00:00:00"/>
    <s v="Hector Buzeta"/>
    <s v="Hector tiene reunion de inicio Hoy 27/12."/>
    <x v="5"/>
    <m/>
    <d v="2010-12-21T00:00:00"/>
    <n v="125"/>
    <n v="3.43"/>
    <n v="27440.000000000004"/>
    <s v="SH-0020"/>
    <m/>
    <m/>
    <m/>
    <x v="12"/>
  </r>
  <r>
    <s v="O-48"/>
    <d v="2010-12-14T00:00:00"/>
    <x v="245"/>
    <s v="CMP"/>
    <s v="Gilda Razetto"/>
    <m/>
    <s v="Cerro Negro Norte Tranque de Relaves"/>
    <x v="5"/>
    <s v="LM"/>
    <s v="NAC"/>
    <s v="Chile"/>
    <d v="2010-12-14T00:00:00"/>
    <s v="Pedro Valencia"/>
    <m/>
    <x v="3"/>
    <m/>
    <m/>
    <n v="650"/>
    <n v="22.37"/>
    <n v="34415.384615384617"/>
    <m/>
    <m/>
    <m/>
    <m/>
    <x v="12"/>
  </r>
  <r>
    <s v="O47"/>
    <d v="2010-11-30T00:00:00"/>
    <x v="8"/>
    <s v="Caserones"/>
    <s v="Carolyn Diaz"/>
    <m/>
    <s v="Apoyo a Disciplina Civil. Obras de Desvío Tranque la  Brea"/>
    <x v="1"/>
    <s v="ND"/>
    <s v="NAC"/>
    <s v="Chile"/>
    <d v="2010-11-30T00:00:00"/>
    <s v="Claudio Muñoz"/>
    <s v="Esperando V°B° de C Diaz"/>
    <x v="3"/>
    <m/>
    <m/>
    <n v="2522"/>
    <n v="49.674999999999997"/>
    <n v="19696.669310071371"/>
    <m/>
    <m/>
    <m/>
    <m/>
    <x v="12"/>
  </r>
  <r>
    <s v="O-45"/>
    <d v="2010-11-30T00:00:00"/>
    <x v="245"/>
    <s v="CMP"/>
    <s v="Gilda Razetto"/>
    <m/>
    <s v="Cerro Negro Norte Concentraducto y Aguas"/>
    <x v="5"/>
    <s v="LM"/>
    <s v="NAC"/>
    <s v="Chile"/>
    <d v="2010-11-30T00:00:00"/>
    <s v="Claudio Muñoz"/>
    <s v="Claudio llamara a Giggi el 7/12"/>
    <x v="3"/>
    <m/>
    <m/>
    <n v="6325"/>
    <n v="182"/>
    <n v="28774.703557312256"/>
    <m/>
    <m/>
    <m/>
    <m/>
    <x v="12"/>
  </r>
  <r>
    <s v="O-46"/>
    <d v="2010-11-30T00:00:00"/>
    <x v="8"/>
    <s v="Caserones"/>
    <s v="Juan Andia"/>
    <m/>
    <s v="Contrato Abierto. Incluye Disciplina OS1: Apoyo Mecanica Piping."/>
    <x v="9"/>
    <s v="ND"/>
    <s v="NAC"/>
    <s v="Chile"/>
    <d v="2010-11-30T00:00:00"/>
    <s v="Pedro Valencia"/>
    <s v="Esperando Contrato."/>
    <x v="5"/>
    <m/>
    <d v="2010-11-30T00:00:00"/>
    <n v="600"/>
    <n v="91.570000000000007"/>
    <n v="152616.66666666669"/>
    <s v="SH-0019"/>
    <m/>
    <m/>
    <m/>
    <x v="12"/>
  </r>
  <r>
    <s v="O-44"/>
    <d v="2010-10-29T00:00:00"/>
    <x v="117"/>
    <s v="BHP BILLITON"/>
    <s v="Juan Esteban Fuentes"/>
    <s v="juanesteban.fuentes@crugroup.com"/>
    <s v="Benchmarking concentraducto, desalacion y suministro de agua."/>
    <x v="2"/>
    <s v="ND"/>
    <s v="NAC"/>
    <s v="Chile"/>
    <d v="2010-11-30T00:00:00"/>
    <s v="Pedro Valencia"/>
    <s v="Reunion de Inicio a las 18:30 hrs."/>
    <x v="5"/>
    <m/>
    <d v="2010-12-05T00:00:00"/>
    <n v="180"/>
    <n v="5.0235143400000002"/>
    <n v="27908.413"/>
    <s v="SH-0018"/>
    <m/>
    <m/>
    <m/>
    <x v="12"/>
  </r>
  <r>
    <s v="O-42"/>
    <d v="2010-10-19T00:00:00"/>
    <x v="246"/>
    <s v="ASINT"/>
    <s v="Rodrigo Alvarez"/>
    <m/>
    <s v="Asesoria ASINT. Ltda."/>
    <x v="22"/>
    <s v="ND"/>
    <s v="NAC"/>
    <s v="Chile"/>
    <m/>
    <m/>
    <s v="Apoyo de Cristian Cid a ASINT Ltda."/>
    <x v="3"/>
    <m/>
    <d v="2010-10-19T00:00:00"/>
    <n v="1"/>
    <n v="0"/>
    <n v="0"/>
    <s v="SH-0016"/>
    <m/>
    <m/>
    <m/>
    <x v="12"/>
  </r>
  <r>
    <s v="O-43"/>
    <d v="2010-10-19T00:00:00"/>
    <x v="8"/>
    <s v="PELAMBRES"/>
    <s v="Carlos Kriman/ Rodrigo Cadis/ Mauricio Gomez"/>
    <m/>
    <s v="Obras de cierre Tranques Quillayes "/>
    <x v="1"/>
    <s v="ND"/>
    <s v="NAC"/>
    <s v="Chile"/>
    <d v="2010-10-20T00:00:00"/>
    <s v="Pedro Valencia"/>
    <s v="Contrato posiblemente por Administracion, Trabajar con Juan Ocaña"/>
    <x v="3"/>
    <m/>
    <m/>
    <n v="500"/>
    <n v="13.29"/>
    <n v="26580"/>
    <m/>
    <m/>
    <m/>
    <m/>
    <x v="12"/>
  </r>
  <r>
    <s v="O-40"/>
    <d v="2010-09-27T00:00:00"/>
    <x v="53"/>
    <s v="Codelco ANDINA"/>
    <s v="Jorge Basaez/Cristian Rubilar"/>
    <m/>
    <s v="Diagnostico Preliminar Ovejeria DAND"/>
    <x v="10"/>
    <s v="ND"/>
    <s v="NAC"/>
    <s v="Chile"/>
    <d v="2010-10-01T00:00:00"/>
    <s v="Pedro Valencia"/>
    <m/>
    <x v="5"/>
    <m/>
    <d v="2010-10-08T00:00:00"/>
    <n v="13"/>
    <m/>
    <n v="0"/>
    <s v="SH-0014"/>
    <m/>
    <m/>
    <m/>
    <x v="12"/>
  </r>
  <r>
    <s v="O-41"/>
    <d v="2010-09-27T00:00:00"/>
    <x v="8"/>
    <s v="Anglo American"/>
    <s v="Claudio Scognadillo/Mauricio Sandobal"/>
    <m/>
    <s v="Apoyo Disciplina Proyecto Ing. De Detalle Quellaveco"/>
    <x v="1"/>
    <s v="ND"/>
    <s v="NAC"/>
    <s v="Chile"/>
    <d v="2010-10-05T00:00:00"/>
    <s v="Pedro Valencia"/>
    <s v="Contrato por administracion 2 meses."/>
    <x v="5"/>
    <m/>
    <d v="2010-10-08T00:00:00"/>
    <n v="1500"/>
    <n v="36.18"/>
    <n v="24120"/>
    <s v="SH-0015"/>
    <m/>
    <m/>
    <m/>
    <x v="12"/>
  </r>
  <r>
    <s v="O-39"/>
    <d v="2010-09-27T00:00:00"/>
    <x v="247"/>
    <s v="Minera Hierro Atacama"/>
    <m/>
    <m/>
    <s v="Alimentación Planta Magnetita y retorno relaves a Candelaria"/>
    <x v="40"/>
    <s v="LM"/>
    <m/>
    <m/>
    <m/>
    <m/>
    <s v="factor e marambio"/>
    <x v="3"/>
    <m/>
    <m/>
    <n v="200"/>
    <n v="5"/>
    <n v="25000"/>
    <m/>
    <m/>
    <m/>
    <m/>
    <x v="12"/>
  </r>
  <r>
    <s v="O-37"/>
    <d v="2010-09-21T00:00:00"/>
    <x v="117"/>
    <m/>
    <s v="Julio Olivos"/>
    <m/>
    <s v="Estudio de perfil Concentraducto de Hierro 3 MTPA en Copiapó"/>
    <x v="40"/>
    <s v="ND"/>
    <s v="NAC"/>
    <s v="Chile"/>
    <d v="2010-10-02T00:00:00"/>
    <s v="Pedro Valencia"/>
    <m/>
    <x v="5"/>
    <m/>
    <d v="2010-09-22T00:00:00"/>
    <n v="19"/>
    <n v="0.627"/>
    <n v="33000"/>
    <s v="SH-0013"/>
    <m/>
    <m/>
    <m/>
    <x v="12"/>
  </r>
  <r>
    <s v="O-38"/>
    <d v="2010-09-21T00:00:00"/>
    <x v="51"/>
    <s v="COLLAHUASI"/>
    <s v="Nilson Saldía"/>
    <m/>
    <s v="Orden de Trabajo Apoyo Sala Operaciones"/>
    <x v="4"/>
    <s v="ND"/>
    <s v="NAC"/>
    <s v="Chile"/>
    <d v="2010-10-02T00:00:00"/>
    <s v="Pedro Valencia"/>
    <s v="Collahuasi dice que estamos pasamos un 16% se enviara revision E con un 8% de descuento."/>
    <x v="5"/>
    <m/>
    <d v="2010-09-22T00:00:00"/>
    <n v="924"/>
    <n v="38.511000000000003"/>
    <n v="41678.571428571435"/>
    <s v="SH-0017"/>
    <m/>
    <m/>
    <m/>
    <x v="12"/>
  </r>
  <r>
    <s v="O-36"/>
    <d v="2010-09-21T00:00:00"/>
    <x v="164"/>
    <s v="PELAMBRES"/>
    <s v="Manuel Tejeda"/>
    <m/>
    <s v="Ingeniería de Detalles modificación disipadora relaveductos Mauro"/>
    <x v="1"/>
    <s v="ND"/>
    <s v="NAC"/>
    <s v="Chile"/>
    <d v="2010-10-02T00:00:00"/>
    <s v="Pedro Valencia"/>
    <m/>
    <x v="3"/>
    <m/>
    <d v="2010-09-22T00:00:00"/>
    <n v="1000"/>
    <n v="32.026499999999999"/>
    <n v="32026.5"/>
    <m/>
    <m/>
    <m/>
    <m/>
    <x v="12"/>
  </r>
  <r>
    <s v="O-34"/>
    <d v="2010-09-21T00:00:00"/>
    <x v="239"/>
    <s v="Codelco ANDINA"/>
    <s v="Donato Pascali/Greg Hodges"/>
    <m/>
    <s v="Ingeniería de factibilidad Concentraducto y Suministro de Aguas"/>
    <x v="5"/>
    <s v="ND"/>
    <s v="NAC"/>
    <s v="Chile"/>
    <d v="2010-10-04T00:00:00"/>
    <s v="Pedro Valencia"/>
    <m/>
    <x v="3"/>
    <m/>
    <d v="2010-09-14T00:00:00"/>
    <n v="5000"/>
    <n v="160.13249999999999"/>
    <n v="32026.5"/>
    <m/>
    <m/>
    <m/>
    <m/>
    <x v="12"/>
  </r>
  <r>
    <s v="O-35"/>
    <d v="2010-09-14T00:00:00"/>
    <x v="164"/>
    <s v="PELAMBRES"/>
    <s v="Pio Villavela"/>
    <m/>
    <s v="Disciplina Hidraulica de Pulpas para llevar PELAMBRES a 197 KTPD. "/>
    <x v="5"/>
    <s v="ND"/>
    <s v="NAC"/>
    <s v="Chile"/>
    <d v="2010-09-23T00:00:00"/>
    <s v="Pedro Valencia"/>
    <s v="Requiere alto porcentaje de jornada de PV, HC y otro hidraulico joven."/>
    <x v="3"/>
    <m/>
    <d v="2010-09-14T00:00:00"/>
    <n v="500"/>
    <n v="16.25"/>
    <n v="32500"/>
    <m/>
    <m/>
    <m/>
    <m/>
    <x v="12"/>
  </r>
  <r>
    <s v="O-33"/>
    <d v="2010-09-07T00:00:00"/>
    <x v="8"/>
    <s v="J VENTURE CASALE-FLUOR-AMEC"/>
    <s v="Sergio Barrera"/>
    <m/>
    <s v="Revision independiente Sistemas de Transporte de Relaves ROUGHER Y CLEANER."/>
    <x v="5"/>
    <s v="ND"/>
    <s v="NAC"/>
    <s v="Chile"/>
    <d v="2010-09-13T00:00:00"/>
    <s v="Pedro Valencia"/>
    <s v="Reunion de Inicio 13 de Septiembre en ARCADIS. Entrega primera semana de Octubre"/>
    <x v="5"/>
    <m/>
    <d v="2010-09-14T00:00:00"/>
    <n v="90"/>
    <n v="3.8431799999999998"/>
    <n v="42702"/>
    <s v="SH-0012"/>
    <m/>
    <m/>
    <m/>
    <x v="12"/>
  </r>
  <r>
    <s v="O-32"/>
    <d v="2010-08-26T00:00:00"/>
    <x v="224"/>
    <s v="EXETER"/>
    <s v="Nicolas Stipo"/>
    <m/>
    <s v="Estudio Prefactibilidad Suministro de aguas y Apoyo Evaluación Servidumbres"/>
    <x v="2"/>
    <s v="ND"/>
    <s v="NAC"/>
    <s v="Chile"/>
    <d v="2010-08-31T00:00:00"/>
    <s v="Pedro Valencia"/>
    <s v="Emitida el 31. Alcances no bien definidos. Posibilidad de órdenes de compra. Decision Jueves 16/09 (Preguntar a Tammy en el Almuerzo)"/>
    <x v="3"/>
    <m/>
    <d v="2010-09-16T00:00:00"/>
    <n v="535"/>
    <n v="17.699149999999999"/>
    <n v="33082.523364485976"/>
    <m/>
    <m/>
    <m/>
    <m/>
    <x v="12"/>
  </r>
  <r>
    <s v="O-31"/>
    <d v="2010-08-20T00:00:00"/>
    <x v="248"/>
    <s v="DAND"/>
    <s v="Marcos Pinto (Pragma), Carlos farías (DAND)"/>
    <m/>
    <s v="Estudio de Depositación de Relaves Los Leones. Reuniones con cliente SHIMIN-Pragma. Análisis hidráulicos de impulsión y transporte de relaves y agua."/>
    <x v="4"/>
    <s v="ND"/>
    <s v="NAC"/>
    <s v="Chile"/>
    <d v="2010-08-20T00:00:00"/>
    <s v="Pedro Valencia"/>
    <s v="Claudio Farias encontró caro a Hatch-REG. Le preguntó a M P. parte apoyo solamente"/>
    <x v="3"/>
    <m/>
    <d v="2010-09-14T00:00:00"/>
    <n v="200"/>
    <n v="5.88"/>
    <n v="29400"/>
    <m/>
    <m/>
    <m/>
    <m/>
    <x v="12"/>
  </r>
  <r>
    <s v="O-30"/>
    <d v="2010-08-20T00:00:00"/>
    <x v="248"/>
    <s v="DAND"/>
    <s v="Marcos Pinto (Pragma), Carlos farías (DAND)"/>
    <m/>
    <s v="Diagnóstico Línea Descarga Nuevo Espesador Fase I"/>
    <x v="4"/>
    <s v="ND"/>
    <s v="NAC"/>
    <s v="Chile"/>
    <d v="2010-08-20T00:00:00"/>
    <s v="Pedro Valencia"/>
    <s v="Claudio Farias encontró caro a JRI y le preguntó a Marcos Pinto. Marcos quiere que Shimin facture a Pragma, quién se quedaría con un fee. "/>
    <x v="3"/>
    <m/>
    <d v="2010-09-14T00:00:00"/>
    <n v="440"/>
    <n v="14"/>
    <n v="31818.181818181816"/>
    <m/>
    <m/>
    <m/>
    <m/>
    <x v="12"/>
  </r>
  <r>
    <s v="O-29"/>
    <d v="2010-08-20T00:00:00"/>
    <x v="248"/>
    <s v="DAND"/>
    <s v="Marcos Pinto (Pragma), Carlos farías (DAND)"/>
    <m/>
    <s v="Medición Niveles de Escurrimiento Canaleta de Relaves para Proyecto Fase I"/>
    <x v="4"/>
    <s v="ND"/>
    <s v="NAC"/>
    <s v="Chile"/>
    <d v="2010-08-20T00:00:00"/>
    <s v="Pedro Valencia"/>
    <s v="Claudio Farias encontró caro a JRI y le preguntó a Marcos Pinto. Marcos quiere que Shimin facture a Pragma, quién se quedaría con un fee. Se adjudicó a JRI"/>
    <x v="3"/>
    <m/>
    <d v="2010-09-14T00:00:00"/>
    <n v="1235"/>
    <n v="41.465000000000003"/>
    <n v="33574.898785425103"/>
    <m/>
    <m/>
    <m/>
    <m/>
    <x v="12"/>
  </r>
  <r>
    <s v="O-28"/>
    <d v="2010-08-19T00:00:00"/>
    <x v="249"/>
    <s v="POLPAICO"/>
    <s v="Angel Suarez"/>
    <m/>
    <s v="Ingeniería Conceptual Aprovechamiento de Relaves"/>
    <x v="2"/>
    <s v="ND"/>
    <s v="NAC"/>
    <s v="Chile"/>
    <d v="2010-08-27T00:00:00"/>
    <s v="Pedro Valencia"/>
    <s v="Segunda oferta directa a cliente final (MINERA). Se compite con JRI, Optimiza y Geoalgo… Optimiza es rival fuerte por los compañeros de Angel Suarez. AS enviara bases mas precisas y solicitara nueva cotización. Arturo Chiarella, HC, Pvillarroel trabajarian si se adjudica."/>
    <x v="3"/>
    <m/>
    <d v="2010-09-14T00:00:00"/>
    <n v="1000"/>
    <n v="32.024999999999999"/>
    <n v="32024.999999999996"/>
    <m/>
    <m/>
    <m/>
    <m/>
    <x v="12"/>
  </r>
  <r>
    <s v="O-27"/>
    <d v="2010-08-11T00:00:00"/>
    <x v="51"/>
    <s v="COLLAHUASI"/>
    <s v="Nilson Saldía"/>
    <m/>
    <s v="Curso de Hidráulica, validación de parámetros de operación y procedimientos de emergencia "/>
    <x v="4"/>
    <s v="ND"/>
    <s v="NAC"/>
    <s v="Chile"/>
    <d v="2010-08-19T00:00:00"/>
    <s v="Pedro Valencia"/>
    <s v="Primera oferta directa a cliente final (MINERA). Cristian Jaque pidio apoyo en la sala de operaciones en turnos 7 x 7 de 12 hrs. Trabajarian HC, PV, Victor Barcazo y Arturo Chiarella, estos dos ultimos requieren capacitación. Se capacitara tb a RV para un futuro proyecto."/>
    <x v="5"/>
    <m/>
    <d v="2010-09-14T00:00:00"/>
    <n v="2568"/>
    <n v="121.1224"/>
    <n v="47166.043613707167"/>
    <s v="SH-0017"/>
    <m/>
    <m/>
    <m/>
    <x v="12"/>
  </r>
  <r>
    <s v="O-26"/>
    <d v="2010-08-09T00:00:00"/>
    <x v="74"/>
    <s v="Caserones"/>
    <s v="Pedro Villarroel"/>
    <m/>
    <s v="Participación Baes EPC Caserones"/>
    <x v="3"/>
    <s v="ND"/>
    <s v="NAC"/>
    <s v="Chile"/>
    <d v="2010-07-04T00:00:00"/>
    <s v="Pedro Valencia"/>
    <s v="Se cubren gastos de tatiana y Cristian"/>
    <x v="5"/>
    <m/>
    <d v="2010-08-11T00:00:00"/>
    <n v="99"/>
    <n v="0.51480000000000004"/>
    <n v="5200.0000000000009"/>
    <s v="SH-0011"/>
    <m/>
    <m/>
    <s v="no esta la propuesta"/>
    <x v="12"/>
  </r>
  <r>
    <s v="O-25"/>
    <d v="2010-08-09T00:00:00"/>
    <x v="240"/>
    <s v="Minera Esperanza"/>
    <s v="Mario Arredondo"/>
    <m/>
    <s v="Participación en PEM Esperanza"/>
    <x v="24"/>
    <s v="ND"/>
    <s v="NAC"/>
    <s v="Chile"/>
    <d v="2010-07-04T00:00:00"/>
    <s v="Pedro Valencia"/>
    <s v="Mario Arredondo consultó con MV y PVS. Aparentemente estraría solo en la reserva "/>
    <x v="3"/>
    <m/>
    <d v="2010-09-14T00:00:00"/>
    <n v="500"/>
    <n v="19.215"/>
    <n v="38430"/>
    <m/>
    <m/>
    <m/>
    <m/>
    <x v="12"/>
  </r>
  <r>
    <s v="O-24"/>
    <d v="2010-07-13T00:00:00"/>
    <x v="164"/>
    <s v="PELAMBRES"/>
    <s v="María Ines Vergara / Pio Villavella"/>
    <m/>
    <s v="Revisión experta Concentraducto PELAMBRES y Relaveducto a Mauro Proyecto Repotenciamiento 175 KTPD"/>
    <x v="7"/>
    <s v="ND"/>
    <s v="NAC"/>
    <s v="Chile"/>
    <d v="2010-07-04T00:00:00"/>
    <s v="Pedro Valencia"/>
    <s v="Por AMEC. Seguramente irá BRASS y Paterson. Orden de cambio por 20 horas más."/>
    <x v="5"/>
    <m/>
    <d v="2010-07-20T00:00:00"/>
    <n v="155"/>
    <n v="6.5875000000000004"/>
    <n v="42500"/>
    <s v="SH-0010"/>
    <m/>
    <m/>
    <m/>
    <x v="12"/>
  </r>
  <r>
    <s v="O-23"/>
    <d v="2010-07-12T00:00:00"/>
    <x v="250"/>
    <s v="Finning"/>
    <s v="gabriel Blanc - Rodrigo Asenjo"/>
    <m/>
    <s v="Revisión Geotécnica Área Campamento"/>
    <x v="1"/>
    <s v="ND"/>
    <s v="NAC"/>
    <s v="Chile"/>
    <d v="2010-07-04T00:00:00"/>
    <s v="Pedro Valencia"/>
    <s v="P Valencia apoyaran por estar hamburgo ocupado con EDECO"/>
    <x v="5"/>
    <m/>
    <d v="2010-07-20T00:00:00"/>
    <n v="40"/>
    <n v="0.5"/>
    <n v="12500"/>
    <s v="SH-0009"/>
    <m/>
    <m/>
    <m/>
    <x v="12"/>
  </r>
  <r>
    <s v="O-22"/>
    <d v="2010-07-12T00:00:00"/>
    <x v="31"/>
    <s v="Explorator SCM"/>
    <s v="Alvaro Huerta"/>
    <s v="rorellana@caserones.cl"/>
    <s v="Oferta por ESTUDIO DE DEPOSITO DE RELAVES PROYECTO EL ESPINO"/>
    <x v="2"/>
    <s v="ND"/>
    <s v="NAC"/>
    <s v="Chile"/>
    <d v="2010-07-15T00:00:00"/>
    <s v="Pedro Valencia"/>
    <s v="SRK solicita oferta por parte procesos hidráulica. 2 meses de pega. Hay que entregar el 10 de julio. GANÓ PATERSON Y COOKE "/>
    <x v="3"/>
    <m/>
    <d v="2010-08-02T00:00:00"/>
    <n v="1325"/>
    <n v="39.76"/>
    <n v="30007.547169811322"/>
    <m/>
    <m/>
    <m/>
    <m/>
    <x v="12"/>
  </r>
  <r>
    <s v="O-19"/>
    <d v="2010-06-10T00:00:00"/>
    <x v="240"/>
    <s v="SBDT"/>
    <s v="Juan Rayo / Malekmohamadi"/>
    <m/>
    <s v="Mineroducto de Bauxita en Guinea"/>
    <x v="15"/>
    <s v="ND"/>
    <s v="NAC"/>
    <s v="Chile"/>
    <d v="2010-06-15T00:00:00"/>
    <s v="Pedro Valencia"/>
    <s v="Reunión en Santiago con Malekmohamadi y Luigui Sainas. Se emitió informe. Esperando respuesta hasta el 10/07. Si no, proyecto termina"/>
    <x v="5"/>
    <m/>
    <d v="2010-07-05T00:00:00"/>
    <n v="10"/>
    <n v="0.31841999999999998"/>
    <n v="31841.999999999996"/>
    <s v="SH-0007"/>
    <m/>
    <s v="Pedro Valencia"/>
    <m/>
    <x v="12"/>
  </r>
  <r>
    <s v="O-20"/>
    <d v="2010-06-10T00:00:00"/>
    <x v="251"/>
    <s v="Alto Norte"/>
    <s v="Rodrigo Asenjo"/>
    <m/>
    <s v="Disciplina Mecánica Piping. Climatización, Aire Comprimido, Incendio"/>
    <x v="1"/>
    <s v="ND"/>
    <s v="NAC"/>
    <s v="Chile"/>
    <d v="2010-06-15T00:00:00"/>
    <s v="Carlos Umaña"/>
    <s v="Rodrigo Asenjo quería mas y mas rebaja. Finalmente lo hará con otros"/>
    <x v="3"/>
    <m/>
    <d v="2010-07-05T00:00:00"/>
    <n v="500"/>
    <n v="10"/>
    <n v="20000"/>
    <m/>
    <m/>
    <m/>
    <m/>
    <x v="12"/>
  </r>
  <r>
    <s v="O-18"/>
    <d v="2010-06-03T00:00:00"/>
    <x v="224"/>
    <s v="Xstrata Copper"/>
    <s v="P. Lara / F. Morales / S. Pinto"/>
    <m/>
    <s v="Proyecto Lomas Bayas 45 y 90 KTPD. Alternativas Hondonada y Fortuna"/>
    <x v="2"/>
    <s v="ND"/>
    <s v="NAC"/>
    <s v="Chile"/>
    <d v="2010-06-05T00:00:00"/>
    <s v="Pedro Valencia"/>
    <s v="P Valencia, M basaez, O basaez, H Castro. Apurara el tranco para entregar el 15/07"/>
    <x v="5"/>
    <m/>
    <d v="2010-07-05T00:00:00"/>
    <n v="415"/>
    <n v="10.359054"/>
    <n v="24961.575903614459"/>
    <s v="SH-0006"/>
    <m/>
    <s v="Pedro Valencia"/>
    <m/>
    <x v="12"/>
  </r>
  <r>
    <s v="O-17"/>
    <d v="2010-05-28T00:00:00"/>
    <x v="224"/>
    <s v="ALQUIMIA CONCEPTOS"/>
    <s v="Leticia Conca"/>
    <m/>
    <s v="Visita y preparación Oferta IB/ID"/>
    <x v="3"/>
    <s v="ND"/>
    <s v="NAC"/>
    <s v="Chile"/>
    <d v="2010-06-15T00:00:00"/>
    <s v="Pedro Villarroel / Pedro Valencia"/>
    <s v="Se pagan gastos de oferta. Se entrega el lunes 14/06. PROYECTO TERMINADO"/>
    <x v="5"/>
    <m/>
    <d v="2010-07-01T00:00:00"/>
    <n v="30"/>
    <n v="0.48399999999999999"/>
    <n v="16133.333333333332"/>
    <s v="SH-0008"/>
    <m/>
    <s v="Pedro Villarroel"/>
    <m/>
    <x v="12"/>
  </r>
  <r>
    <s v="O-21"/>
    <d v="2010-05-28T00:00:00"/>
    <x v="224"/>
    <s v="PELAMBRES"/>
    <s v="Jose Hernandez / Hernan Ulloa"/>
    <m/>
    <s v="Oferta por I Básica y de Detalles Reparación Piscina Derrames de Acido"/>
    <x v="15"/>
    <s v="ND"/>
    <s v="NAC"/>
    <s v="Chile"/>
    <d v="2010-06-04T00:00:00"/>
    <s v="Pedro Villarroel / Pedro Valencia"/>
    <s v="Se perdió una de las 4 ofertas. Están buscando. Se espera decisión antes del 15 de julio"/>
    <x v="3"/>
    <m/>
    <d v="2010-07-05T00:00:00"/>
    <n v="2000"/>
    <n v="40"/>
    <n v="20000"/>
    <m/>
    <m/>
    <m/>
    <m/>
    <x v="12"/>
  </r>
  <r>
    <s v="O-16"/>
    <d v="2010-05-24T00:00:00"/>
    <x v="224"/>
    <s v="Minera de Oro Sur Argentina"/>
    <s v="Nicolas Stipo"/>
    <m/>
    <s v="Ingeniería de Perfil Captación y Conducción Agua de Mar"/>
    <x v="27"/>
    <s v="ND"/>
    <s v="INT"/>
    <s v="Argentina"/>
    <d v="2010-05-24T00:00:00"/>
    <s v="Pedro Valencia"/>
    <s v="PROYECTO TERMINADO"/>
    <x v="5"/>
    <m/>
    <d v="2010-08-31T00:00:00"/>
    <n v="207"/>
    <n v="5.554227"/>
    <n v="26832.014492753624"/>
    <s v="SH-0005"/>
    <m/>
    <s v="Pedro Valencia"/>
    <m/>
    <x v="12"/>
  </r>
  <r>
    <s v="O-13"/>
    <d v="2010-05-17T00:00:00"/>
    <x v="238"/>
    <s v="PSI China"/>
    <s v="Ling Cheng"/>
    <m/>
    <s v="Sino Iron Project-Thickeners Earthworks"/>
    <x v="1"/>
    <s v="ND"/>
    <s v="INT"/>
    <s v="China"/>
    <d v="2010-05-17T00:00:00"/>
    <s v="Claudio Muñoz"/>
    <s v="Incluye EDP1,2,3,4,5,6 Hasta el 30/11"/>
    <x v="5"/>
    <m/>
    <d v="2010-08-31T00:00:00"/>
    <n v="916"/>
    <n v="21.450798500000001"/>
    <n v="23417.902292576418"/>
    <s v="SH-0004"/>
    <m/>
    <s v="Gerente Técnico"/>
    <m/>
    <x v="12"/>
  </r>
  <r>
    <s v="O-15"/>
    <d v="2010-05-17T00:00:00"/>
    <x v="238"/>
    <s v="PSI China"/>
    <s v="Ling Cheng"/>
    <m/>
    <s v="Sino Iron Project-Water Tank and Distribution Boxes Estimate"/>
    <x v="1"/>
    <s v="ND"/>
    <s v="INT"/>
    <s v="China"/>
    <d v="2010-05-17T00:00:00"/>
    <s v="Claudio Muñoz"/>
    <s v="Ling avisó que lo haría el propio proveedor"/>
    <x v="3"/>
    <m/>
    <d v="2010-07-01T00:00:00"/>
    <n v="1330"/>
    <n v="30.132000000000001"/>
    <n v="22655.639097744363"/>
    <m/>
    <m/>
    <s v="Gerente Técnico"/>
    <m/>
    <x v="12"/>
  </r>
  <r>
    <s v="O-14"/>
    <d v="2010-05-17T00:00:00"/>
    <x v="224"/>
    <s v="Minera Florida de Yamana Gold"/>
    <s v="Nicolas Stipo"/>
    <m/>
    <s v="Instalación V Celda EW"/>
    <x v="1"/>
    <s v="ND"/>
    <s v="NAC"/>
    <s v="Chile"/>
    <d v="2010-05-16T00:00:00"/>
    <s v="Pedro Valencia"/>
    <s v="Cliente encontró un presupuesto cercano al 50% de Alquimia. Se necesita presupuesto por M Fuentes y R Alarcón"/>
    <x v="3"/>
    <m/>
    <d v="2010-06-11T00:00:00"/>
    <n v="1050"/>
    <n v="25"/>
    <n v="23809.523809523809"/>
    <m/>
    <m/>
    <m/>
    <m/>
    <x v="12"/>
  </r>
  <r>
    <s v="O-12"/>
    <d v="2010-05-08T00:00:00"/>
    <x v="252"/>
    <s v="EPA. Energía Patagonia y Aysen"/>
    <s v="Carlos Perez Saiz y Francisco Flores"/>
    <m/>
    <s v="Ingeniería Detalles para EPC Obras Hidráulicas y Civiles asociadas a central La Arena"/>
    <x v="26"/>
    <s v="LM"/>
    <s v="NAC"/>
    <s v="Chile"/>
    <d v="2010-04-19T00:00:00"/>
    <s v="Pedro Valencia"/>
    <s v="P Valencia, P Villarroel y C Umaña. Obras Especiales estaba comprometido con empresa de Ingeniería que loo ayudó en la oferta. Oferta de Shimin no los encantó… Se envió como la de JEJ, pero sin rebaja."/>
    <x v="3"/>
    <m/>
    <d v="2010-07-01T00:00:00"/>
    <n v="7317"/>
    <n v="209.39099999999999"/>
    <n v="28617.056170561704"/>
    <m/>
    <m/>
    <m/>
    <m/>
    <x v="12"/>
  </r>
  <r>
    <s v="O-9"/>
    <d v="2010-04-30T00:00:00"/>
    <x v="253"/>
    <s v="Oscar Sergio Lanza Fernandez"/>
    <s v="Pablo Fuentes Risopatron y Margarita Garces Echeverria"/>
    <m/>
    <s v="Ingeniría de perfil Central Estero Collihuanqui"/>
    <x v="27"/>
    <s v="ND"/>
    <s v="NAC"/>
    <s v="Chile"/>
    <d v="2010-05-07T00:00:00"/>
    <s v="Pedro Valencia"/>
    <s v="Cliente no tendría intenciones de gastar $ en Ingeniería. Busca apoyo Corfo"/>
    <x v="3"/>
    <m/>
    <d v="2010-07-01T00:00:00"/>
    <n v="500"/>
    <n v="10.5"/>
    <n v="21000"/>
    <m/>
    <m/>
    <m/>
    <m/>
    <x v="12"/>
  </r>
  <r>
    <s v="O-11"/>
    <d v="2010-04-30T00:00:00"/>
    <x v="253"/>
    <s v="Oscar Sergio Lanza Fernandez"/>
    <s v="Juan Fernando Araya"/>
    <m/>
    <s v="Ingeniría de perfil Central Río Indio y Estero Collihuanqui"/>
    <x v="27"/>
    <s v="ND"/>
    <s v="NAC"/>
    <s v="Chile"/>
    <d v="2010-05-07T00:00:00"/>
    <s v="Pedro Valencia"/>
    <s v="Combo"/>
    <x v="3"/>
    <m/>
    <d v="2010-07-01T00:00:00"/>
    <n v="871"/>
    <n v="19.026"/>
    <n v="21843.857634902408"/>
    <m/>
    <m/>
    <m/>
    <m/>
    <x v="12"/>
  </r>
  <r>
    <s v="O-10"/>
    <d v="2010-04-30T00:00:00"/>
    <x v="253"/>
    <s v="Oscar Sergio Lanza Fernandez"/>
    <s v="Oscar Sergio Lanza Fernandez"/>
    <m/>
    <s v="Ingeniría de perfil Central Río Indio"/>
    <x v="27"/>
    <s v="ND"/>
    <s v="NAC"/>
    <s v="Chile"/>
    <d v="2010-05-07T00:00:00"/>
    <s v="Pedro Valencia"/>
    <s v="Cliente no tendría intenciones de gastar $ en Ingeniería. Busca apoyo Corfo"/>
    <x v="3"/>
    <m/>
    <d v="2010-07-01T00:00:00"/>
    <n v="450"/>
    <n v="9.4499999999999993"/>
    <n v="20999.999999999996"/>
    <m/>
    <m/>
    <m/>
    <m/>
    <x v="12"/>
  </r>
  <r>
    <s v="O-7"/>
    <d v="2010-04-21T00:00:00"/>
    <x v="146"/>
    <s v="Codelco División Norte"/>
    <s v="Erwin Cortes"/>
    <m/>
    <s v="Estudio de Diagnóstico Línea Muros Tranque Talabre"/>
    <x v="10"/>
    <s v="ND"/>
    <s v="NAC"/>
    <s v="Chile"/>
    <d v="2010-04-26T00:00:00"/>
    <s v="Pedro Valencia"/>
    <s v="Se debe hacer contacto con Erwin Cortes. DCN no considera Línea muro por estar pensando en construcción mecánica con material de Mina Sur."/>
    <x v="3"/>
    <m/>
    <d v="2010-04-23T00:00:00"/>
    <n v="250"/>
    <n v="7.875"/>
    <n v="31500"/>
    <m/>
    <m/>
    <m/>
    <m/>
    <x v="12"/>
  </r>
  <r>
    <s v="O-6"/>
    <d v="2010-04-16T00:00:00"/>
    <x v="152"/>
    <s v="Besalco construcciones"/>
    <s v="Miguel Ruiz"/>
    <m/>
    <s v="Asesoría al Comisionamiento y Entrega de obras Civiles Central Hidroeléctrica El Paso"/>
    <x v="24"/>
    <s v="ND"/>
    <s v="NAC"/>
    <s v="Chile"/>
    <d v="2010-04-26T00:00:00"/>
    <s v="Pedro Valencia"/>
    <s v="Tres meses?. Se debe entregar adelanto el viernes 23/04. Postergado para fines de 2010"/>
    <x v="3"/>
    <m/>
    <d v="2010-09-14T00:00:00"/>
    <n v="1500"/>
    <n v="37.799999999999997"/>
    <n v="25199.999999999996"/>
    <m/>
    <m/>
    <m/>
    <m/>
    <x v="12"/>
  </r>
  <r>
    <s v="O-4"/>
    <d v="2010-04-08T00:00:00"/>
    <x v="74"/>
    <s v="Constructora Santa Ana"/>
    <s v="Nelson Urra"/>
    <m/>
    <s v="Ingeniería Detalles para EPC Obras Hidráulicas y Civiles asociadas a central La Arena"/>
    <x v="26"/>
    <s v="LM"/>
    <s v="NAC"/>
    <s v="Chile"/>
    <d v="2010-04-19T00:00:00"/>
    <s v="Pedro Valencia"/>
    <s v="P Valencia, P Villarroel y C Umaña. Ganó constructora española Obras Especiales. Competía Besalco y Santa Ana"/>
    <x v="3"/>
    <m/>
    <d v="2010-04-22T00:00:00"/>
    <n v="6225"/>
    <n v="178.08"/>
    <n v="28607.22891566265"/>
    <m/>
    <m/>
    <m/>
    <m/>
    <x v="12"/>
  </r>
  <r>
    <s v="O-8"/>
    <d v="2010-04-01T00:00:00"/>
    <x v="53"/>
    <s v="Codelco ANDINA"/>
    <s v="Jorge Basaez"/>
    <m/>
    <s v="servicios de Asesoría Experta en Sistemas de Disposición de Relaves"/>
    <x v="4"/>
    <s v="LM"/>
    <s v="NAC"/>
    <s v="Chile"/>
    <d v="2012-04-28T00:00:00"/>
    <s v="Pedro Valencia / Pedro Villarroel"/>
    <s v=" Esperar invitación en Octubre. Trabajos se iniciarían en Enero 2011. Hablar con LHR y PVG. Jueves 16 atencion a Jorge Basaez viajan Gabriel Blanc, Pedro Villarroel y Pedro Valencia. Leticia conversara con su hermana Eliana (ATM) para un consorcio Alquimia-ATM-SHIMIN."/>
    <x v="3"/>
    <m/>
    <d v="2010-09-14T00:00:00"/>
    <n v="5000"/>
    <n v="157.5"/>
    <n v="31500"/>
    <m/>
    <m/>
    <m/>
    <s v="PROYECTO CERRADO"/>
    <x v="12"/>
  </r>
  <r>
    <s v="O-5"/>
    <d v="2010-03-15T00:00:00"/>
    <x v="117"/>
    <s v="Codelco División Norte"/>
    <s v="Julio Olivos"/>
    <m/>
    <s v="Revisión Experta Planta PRECO 2 "/>
    <x v="7"/>
    <s v="ND"/>
    <s v="NAC"/>
    <s v="Chile"/>
    <d v="2010-03-15T00:00:00"/>
    <s v="Pedro Valencia"/>
    <s v="Se presentaron 2 ofertas. Valle Central y CRU. SRk y AWP se excusaron. Se define 15 de julio. CLIENTE DIJO QUE TODOS PASARON PRESUPUESTO!"/>
    <x v="3"/>
    <m/>
    <d v="2010-08-12T00:00:00"/>
    <n v="198"/>
    <n v="7.4843999999999999"/>
    <n v="37800"/>
    <m/>
    <m/>
    <m/>
    <m/>
    <x v="12"/>
  </r>
  <r>
    <s v="O-1"/>
    <d v="2010-02-15T00:00:00"/>
    <x v="254"/>
    <s v="Minera Esperanza"/>
    <s v="Eric Marambio"/>
    <m/>
    <s v="Preparación Oferta ASISTEP para Apoyo Operacional PEM Esperanza"/>
    <x v="24"/>
    <s v="ND"/>
    <s v="NAC"/>
    <s v="Chile"/>
    <d v="2010-03-17T00:00:00"/>
    <s v="Pedro Valencia"/>
    <s v="Trabajo para ASISTEP (E marambio). Shimin podría participar en administración. PROYECTO TERMINADO"/>
    <x v="5"/>
    <m/>
    <d v="2010-08-31T00:00:00"/>
    <n v="15"/>
    <n v="0.1"/>
    <n v="6666.666666666667"/>
    <s v="SH-0001"/>
    <m/>
    <s v="PV/ CC"/>
    <m/>
    <x v="12"/>
  </r>
  <r>
    <s v="O-3"/>
    <d v="2010-02-15T00:00:00"/>
    <x v="224"/>
    <s v="Xstrata Copper"/>
    <s v="Nicolas Stipo"/>
    <m/>
    <s v="Benchmarking Desalación y Diseño Captación e Impulsión Agua Desalada a Alto Norte y Lomas Bayas"/>
    <x v="2"/>
    <s v="ND"/>
    <s v="NAC"/>
    <s v="Chile"/>
    <d v="2010-02-15T00:00:00"/>
    <s v="Pedro Valencia"/>
    <s v="P Valencia, R Videla. PROYECTO TERMINADO"/>
    <x v="5"/>
    <m/>
    <d v="2010-08-31T00:00:00"/>
    <n v="200"/>
    <n v="5.8860729999999997"/>
    <n v="29430.365000000002"/>
    <s v="SH-0003"/>
    <m/>
    <s v="Pedro Valencia"/>
    <m/>
    <x v="12"/>
  </r>
  <r>
    <s v="O-2"/>
    <d v="2010-02-15T00:00:00"/>
    <x v="224"/>
    <s v="Codelco ANDINA"/>
    <s v="Nicolas Stipo"/>
    <m/>
    <s v="Estudio Concentraducto Andina-Saladillo"/>
    <x v="2"/>
    <s v="ND"/>
    <s v="NAC"/>
    <s v="Chile"/>
    <d v="2010-02-15T00:00:00"/>
    <s v="Pedro Valencia"/>
    <s v="Solo P Valencia. PROYECTO TERMINADO"/>
    <x v="5"/>
    <m/>
    <d v="2010-08-31T00:00:00"/>
    <n v="80"/>
    <n v="3.36347"/>
    <n v="42043.375"/>
    <s v="SH-0002"/>
    <m/>
    <s v="Pedro Valencia"/>
    <m/>
    <x v="12"/>
  </r>
  <r>
    <s v="O-719"/>
    <d v="2017-09-08T00:00:00"/>
    <x v="29"/>
    <s v="SQM"/>
    <m/>
    <m/>
    <s v="Revision y Actualizacion de Criterios de Diseño y EETT"/>
    <x v="0"/>
    <s v="ND"/>
    <s v="NAC"/>
    <s v="Chile"/>
    <d v="2017-06-27T00:00:00"/>
    <s v="Rene Arancibia"/>
    <m/>
    <x v="3"/>
    <m/>
    <d v="2017-07-17T00:00:00"/>
    <n v="1102"/>
    <n v="33.9726"/>
    <n v="30828.130671506351"/>
    <m/>
    <m/>
    <m/>
    <m/>
    <x v="5"/>
  </r>
  <r>
    <s v="O-580"/>
    <m/>
    <x v="0"/>
    <m/>
    <m/>
    <m/>
    <s v="Análisis Sísmico Flexpipe Gasoducto"/>
    <x v="0"/>
    <m/>
    <m/>
    <m/>
    <m/>
    <m/>
    <m/>
    <x v="4"/>
    <m/>
    <m/>
    <m/>
    <m/>
    <m/>
    <m/>
    <m/>
    <m/>
    <m/>
    <x v="1"/>
  </r>
  <r>
    <s v="O-563"/>
    <m/>
    <x v="23"/>
    <s v="Caserones"/>
    <m/>
    <m/>
    <s v="Sistema de Levante Piscina de Emergencias"/>
    <x v="1"/>
    <s v="ND"/>
    <s v="NAC"/>
    <s v="Chile"/>
    <m/>
    <m/>
    <m/>
    <x v="4"/>
    <m/>
    <d v="2016-11-24T00:00:00"/>
    <m/>
    <m/>
    <m/>
    <m/>
    <m/>
    <m/>
    <m/>
    <x v="1"/>
  </r>
  <r>
    <s v="O-559"/>
    <m/>
    <x v="0"/>
    <m/>
    <m/>
    <m/>
    <s v="Prefactibilidad Proyecto Vial"/>
    <x v="0"/>
    <m/>
    <m/>
    <m/>
    <m/>
    <m/>
    <m/>
    <x v="4"/>
    <m/>
    <d v="2016-11-24T00:00:00"/>
    <m/>
    <m/>
    <m/>
    <m/>
    <m/>
    <m/>
    <m/>
    <x v="1"/>
  </r>
  <r>
    <s v="O-550"/>
    <m/>
    <x v="19"/>
    <s v="Codelco División Radomiro Tomic"/>
    <m/>
    <m/>
    <s v="ID Nuevas Piscinas PDS - RT - PSC"/>
    <x v="1"/>
    <s v="LM"/>
    <s v="NAC"/>
    <s v="Chile"/>
    <m/>
    <s v="Claudio Muñoz"/>
    <s v="Segunda Ronda de Consultas"/>
    <x v="3"/>
    <m/>
    <d v="2017-05-31T00:00:00"/>
    <m/>
    <m/>
    <m/>
    <m/>
    <m/>
    <m/>
    <m/>
    <x v="1"/>
  </r>
  <r>
    <s v="O-533"/>
    <m/>
    <x v="0"/>
    <m/>
    <m/>
    <m/>
    <s v="Obras para Mejoramiento Loop de Cal Planta Concentrada"/>
    <x v="0"/>
    <m/>
    <m/>
    <m/>
    <m/>
    <m/>
    <m/>
    <x v="4"/>
    <m/>
    <d v="2016-11-24T00:00:00"/>
    <m/>
    <m/>
    <m/>
    <m/>
    <m/>
    <m/>
    <m/>
    <x v="1"/>
  </r>
  <r>
    <m/>
    <m/>
    <x v="0"/>
    <m/>
    <m/>
    <m/>
    <m/>
    <x v="0"/>
    <m/>
    <m/>
    <m/>
    <m/>
    <m/>
    <m/>
    <x v="0"/>
    <m/>
    <m/>
    <m/>
    <m/>
    <m/>
    <m/>
    <m/>
    <m/>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m/>
    <x v="0"/>
    <m/>
    <m/>
    <m/>
    <m/>
    <m/>
    <m/>
    <m/>
    <m/>
    <m/>
    <m/>
    <m/>
    <m/>
    <m/>
    <m/>
    <m/>
    <m/>
    <m/>
    <m/>
    <m/>
    <m/>
    <m/>
    <m/>
    <m/>
    <m/>
    <m/>
  </r>
  <r>
    <m/>
    <x v="0"/>
    <m/>
    <m/>
    <m/>
    <m/>
    <m/>
    <m/>
    <m/>
    <m/>
    <m/>
    <m/>
    <m/>
    <m/>
    <m/>
    <m/>
    <m/>
    <m/>
    <m/>
    <m/>
    <m/>
    <m/>
    <m/>
    <m/>
    <m/>
    <m/>
    <m/>
  </r>
  <r>
    <n v="2010"/>
    <x v="1"/>
    <d v="2024-03-26T00:00:00"/>
    <s v="BHP"/>
    <s v="Minera Spence"/>
    <s v="Evelyn González"/>
    <s v="evelyn.gonzalez2@bhp.com"/>
    <s v="IPS Sistema de Bombeo Temporal Proyecto STAP"/>
    <s v="IP"/>
    <s v="LM"/>
    <s v="NAC"/>
    <s v="Chile"/>
    <d v="2024-03-28T00:00:00"/>
    <s v="Domingo Fernández"/>
    <s v="PI"/>
    <m/>
    <s v="EP"/>
    <m/>
    <d v="2024-03-26T00:00:00"/>
    <m/>
    <m/>
    <s v="N/A"/>
    <m/>
    <m/>
    <m/>
    <m/>
    <n v="2024"/>
  </r>
  <r>
    <n v="2009"/>
    <x v="2"/>
    <d v="2024-03-18T00:00:00"/>
    <s v="Collahuasi"/>
    <s v="Collahuasi"/>
    <s v="Ricardo Yañez"/>
    <s v="rfyanez@collahuasi.cl"/>
    <s v="Apoyo Revisión Partidas de Capex"/>
    <s v="OS"/>
    <s v="ND"/>
    <s v="NAC"/>
    <s v="Chile"/>
    <d v="2024-03-18T00:00:00"/>
    <s v="Carla Tapia"/>
    <s v="PI"/>
    <m/>
    <s v="PG"/>
    <m/>
    <d v="2024-03-19T00:00:00"/>
    <n v="158"/>
    <n v="7.4"/>
    <n v="46835.443037974685"/>
    <s v="SH-0378"/>
    <m/>
    <m/>
    <m/>
    <n v="2024"/>
  </r>
  <r>
    <n v="2008"/>
    <x v="3"/>
    <d v="2024-03-15T00:00:00"/>
    <s v="BHP"/>
    <s v="Minera Spence"/>
    <s v="Jimena Batarce"/>
    <s v="jimena.batarce@bhp.com"/>
    <s v="IPS - EXE Sistema de Bombeo Temporal Proyecto STAP"/>
    <s v="ID"/>
    <s v="LM"/>
    <s v="NAC"/>
    <s v="Chile"/>
    <d v="2024-04-10T00:00:00"/>
    <s v="Domingo Fernández"/>
    <s v="PI"/>
    <m/>
    <s v="EP"/>
    <m/>
    <d v="2024-03-25T00:00:00"/>
    <m/>
    <m/>
    <s v="N/A"/>
    <m/>
    <m/>
    <m/>
    <m/>
    <n v="2024"/>
  </r>
  <r>
    <n v="2007"/>
    <x v="4"/>
    <d v="2024-03-15T00:00:00"/>
    <s v="BHP"/>
    <s v="Minera Spence"/>
    <s v="Stephan Matulic"/>
    <s v="stephan.matulic@bhp.com"/>
    <s v="Documentos Adicionales Formato BHP. SH-0364 - NOC 4"/>
    <s v="IP"/>
    <s v="ND"/>
    <s v="NAC"/>
    <s v="Chile"/>
    <d v="2024-03-15T00:00:00"/>
    <s v="Pedro Valencia"/>
    <s v="TA-PI"/>
    <m/>
    <s v="DP"/>
    <m/>
    <d v="2024-03-14T00:00:00"/>
    <n v="86"/>
    <n v="3.9"/>
    <n v="45348.837209302321"/>
    <s v="SH-0364 (NOC 4)"/>
    <m/>
    <m/>
    <m/>
    <n v="2024"/>
  </r>
  <r>
    <n v="2006"/>
    <x v="5"/>
    <d v="2024-03-15T00:00:00"/>
    <s v="BHP"/>
    <s v="Minera Spence"/>
    <s v="Javiera Garay"/>
    <s v="javiera.a.garay@bhp.com"/>
    <s v="Documentos Complementarios Para OR. SH-0368 - NOC 3"/>
    <s v="OS"/>
    <s v="ND"/>
    <s v="NAC"/>
    <s v="Chile"/>
    <d v="2024-03-21T00:00:00"/>
    <s v="Cristian López"/>
    <s v="TA"/>
    <m/>
    <s v="EP"/>
    <m/>
    <d v="2024-03-15T00:00:00"/>
    <m/>
    <m/>
    <s v="N/A"/>
    <s v="SH-0368 (NOC 3)"/>
    <m/>
    <m/>
    <m/>
    <n v="2024"/>
  </r>
  <r>
    <n v="2005"/>
    <x v="6"/>
    <d v="2024-03-15T00:00:00"/>
    <s v="BHP"/>
    <s v="Minera Spence"/>
    <s v="Javiera Garay"/>
    <s v="javiera.a.garay@bhp.com"/>
    <s v="Taller de Riesgos de Construcción. SH-0368 - NOC 2"/>
    <s v="OS"/>
    <s v="ND"/>
    <s v="NAC"/>
    <s v="Chile"/>
    <d v="2024-03-15T00:00:00"/>
    <s v="Cristian López"/>
    <s v="TA"/>
    <m/>
    <s v="EP"/>
    <m/>
    <d v="2024-03-15T00:00:00"/>
    <m/>
    <m/>
    <s v="N/A"/>
    <s v="SH-0368 (NOC 2)"/>
    <m/>
    <m/>
    <m/>
    <n v="2024"/>
  </r>
  <r>
    <n v="2004"/>
    <x v="7"/>
    <d v="2024-03-15T00:00:00"/>
    <s v="BHP"/>
    <s v="Minera Spence"/>
    <s v="Javiera Garay"/>
    <s v="javiera.a.garay@bhp.com"/>
    <s v="Captura y Obtención Nube de Puntos. SH-0368 - NOC 1"/>
    <s v="OS"/>
    <s v="ND"/>
    <s v="NAC"/>
    <s v="Chile"/>
    <d v="2024-03-15T00:00:00"/>
    <s v="Cristian López"/>
    <s v="TA"/>
    <m/>
    <s v="EP"/>
    <m/>
    <d v="2024-03-15T00:00:00"/>
    <m/>
    <m/>
    <s v="N/A"/>
    <s v="SH-0368 (NOC 1)"/>
    <m/>
    <m/>
    <m/>
    <n v="2024"/>
  </r>
  <r>
    <n v="2003"/>
    <x v="8"/>
    <d v="2024-03-15T00:00:00"/>
    <s v="Salobo"/>
    <s v="Salobo"/>
    <s v="Anderson Gomes"/>
    <m/>
    <s v="Engenharia Detalhada Sistema de Aire Comprimido Salobo"/>
    <s v="ID"/>
    <s v="ND"/>
    <s v="INT"/>
    <s v="Brasil"/>
    <d v="2024-03-15T00:00:00"/>
    <s v="Dolglas Souza"/>
    <s v="BP"/>
    <m/>
    <s v="DP"/>
    <n v="0.05"/>
    <d v="2024-03-26T00:00:00"/>
    <n v="1485"/>
    <n v="58.9"/>
    <n v="39663.299663299666"/>
    <m/>
    <m/>
    <m/>
    <m/>
    <n v="2024"/>
  </r>
  <r>
    <n v="2002"/>
    <x v="9"/>
    <d v="2024-03-14T00:00:00"/>
    <s v="BHP"/>
    <s v="Minera Spence"/>
    <s v="Stephan Matulic"/>
    <s v="stephan.matulic@bhp.com"/>
    <s v="Revisión Sistema de Conducción de Relaves Plataforma Sur. SH-0364 - NOC 3"/>
    <s v="IP"/>
    <s v="ND"/>
    <s v="NAC"/>
    <s v="Chile"/>
    <d v="2024-03-15T00:00:00"/>
    <s v="Pedro Valencia"/>
    <s v="TA-PI"/>
    <m/>
    <s v="PG"/>
    <m/>
    <d v="2024-03-14T00:00:00"/>
    <n v="718"/>
    <n v="41.8"/>
    <n v="58217.270194986071"/>
    <s v="SH-0364 (NOC 3)"/>
    <m/>
    <m/>
    <m/>
    <n v="2024"/>
  </r>
  <r>
    <n v="2001"/>
    <x v="10"/>
    <d v="2024-03-14T00:00:00"/>
    <s v="BHP"/>
    <s v="Minera Spence"/>
    <s v="Stephan Matulic"/>
    <s v="stephan.matulic@bhp.com"/>
    <s v="Mejoramiento Sistema de Impulsión de Relaves SH-0364 - NOC 2"/>
    <s v="IP"/>
    <s v="ND"/>
    <s v="NAC"/>
    <s v="Chile"/>
    <d v="2024-03-15T00:00:00"/>
    <s v="Pedro Valencia"/>
    <s v="TA-PI"/>
    <m/>
    <s v="PG"/>
    <m/>
    <d v="2024-03-14T00:00:00"/>
    <n v="542"/>
    <n v="33.6"/>
    <n v="61992.619926199259"/>
    <s v="SH-0364 (NOC 2)"/>
    <m/>
    <m/>
    <m/>
    <n v="2024"/>
  </r>
  <r>
    <n v="2000"/>
    <x v="11"/>
    <d v="2024-03-14T00:00:00"/>
    <s v="BHP"/>
    <s v="Minera Spence"/>
    <s v="Stephan Matulic"/>
    <s v="stephan.matulic@bhp.com"/>
    <s v="Mejoramiento Sistema de Impulsión de Relaves SH-0364 - NOC 1"/>
    <s v="IP"/>
    <s v="ND"/>
    <s v="NAC"/>
    <s v="Chile"/>
    <d v="2024-03-15T00:00:00"/>
    <s v="Pedro Valencia"/>
    <s v="TA-PI"/>
    <m/>
    <s v="PG"/>
    <m/>
    <d v="2024-03-14T00:00:00"/>
    <n v="240"/>
    <n v="14.7"/>
    <n v="61250"/>
    <s v="SH-0364 (NOC 1)"/>
    <m/>
    <m/>
    <m/>
    <n v="2024"/>
  </r>
  <r>
    <n v="1999"/>
    <x v="12"/>
    <d v="2024-03-14T00:00:00"/>
    <s v="Black &amp;  Veatch "/>
    <s v="Black &amp; Veatch"/>
    <s v="José Tomás Monares"/>
    <s v="MonaresJT@bv.com"/>
    <s v="Apoyo Análisis de Constructibilidad Planta Desaladora Collahuasi"/>
    <s v="IP"/>
    <s v="ND"/>
    <s v="NAC"/>
    <s v="Chile"/>
    <d v="2024-03-15T00:00:00"/>
    <s v="Rafael Videla B"/>
    <s v="PI"/>
    <m/>
    <s v="PG"/>
    <m/>
    <d v="2024-03-15T00:00:00"/>
    <n v="136"/>
    <n v="7.7"/>
    <n v="56617.647058823532"/>
    <s v="SH-0377"/>
    <m/>
    <m/>
    <m/>
    <n v="2024"/>
  </r>
  <r>
    <n v="1998"/>
    <x v="13"/>
    <d v="2024-03-14T00:00:00"/>
    <s v="Black &amp;  Veatch "/>
    <s v="Black &amp; Veatch"/>
    <s v="Pamela Alhucema"/>
    <s v="Alhucemapr@bv.com"/>
    <s v="Apoyo Hidráulico/Piping Reemplazo Cañería 26 Interior Túnel Coloso"/>
    <s v="ID"/>
    <s v="ND"/>
    <s v="NAC"/>
    <s v="Chile"/>
    <d v="2024-03-15T00:00:00"/>
    <s v="Hugo Andrade"/>
    <s v="PI"/>
    <m/>
    <s v="PG"/>
    <m/>
    <d v="2024-03-15T00:00:00"/>
    <n v="586"/>
    <n v="26.713999999999999"/>
    <n v="45587.030716723551"/>
    <s v="SH-0376"/>
    <m/>
    <m/>
    <m/>
    <n v="2024"/>
  </r>
  <r>
    <n v="1997"/>
    <x v="14"/>
    <d v="2024-03-13T00:00:00"/>
    <s v="Sierra Gorda"/>
    <s v="Sierra Gorda"/>
    <s v="Pablo Cruz"/>
    <s v="rafael.rodriguez@sgscm.cl"/>
    <s v="Requerimiento Extensión Asesoría Terreno/Gabinete"/>
    <s v="ITO"/>
    <s v="LC  "/>
    <s v="NAC"/>
    <s v="Chile"/>
    <d v="2024-03-14T00:00:00"/>
    <s v="Pedro Valencia"/>
    <s v="BP"/>
    <m/>
    <s v="DP"/>
    <n v="0.99"/>
    <d v="2024-03-14T00:00:00"/>
    <n v="1560"/>
    <n v="71.900000000000006"/>
    <n v="46089.743589743593"/>
    <s v="SH-0271 ODT-14"/>
    <m/>
    <m/>
    <m/>
    <n v="2024"/>
  </r>
  <r>
    <n v="1996"/>
    <x v="15"/>
    <d v="2024-02-29T00:00:00"/>
    <s v="Consorcio JEJ-SHIMIN"/>
    <s v="Codelco División El Teniente"/>
    <s v="Roberto Quezada Ureta"/>
    <s v="rquez001@codelco.cl"/>
    <s v="Verificación Hidráulica Morning Glory 8va Etapa"/>
    <s v="ID"/>
    <s v="LC"/>
    <s v="NAC"/>
    <s v="Chile"/>
    <d v="2024-02-29T00:00:00"/>
    <s v="Rodrigo Gutiérrez"/>
    <s v="TA "/>
    <m/>
    <s v="PG"/>
    <m/>
    <d v="2024-03-13T00:00:00"/>
    <n v="232"/>
    <n v="6"/>
    <n v="25862.068965517243"/>
    <s v="SH-0274 ODS35"/>
    <m/>
    <m/>
    <m/>
    <n v="2024"/>
  </r>
  <r>
    <n v="1995"/>
    <x v="16"/>
    <d v="2024-03-13T00:00:00"/>
    <s v="Black &amp;  Veatch "/>
    <s v="Black &amp; Veatch"/>
    <s v="Pamela Alhucema"/>
    <s v="Alhucemapr@bv.com"/>
    <s v="Apoyo Compatibilidad Agua Tubería"/>
    <s v="IB/ID"/>
    <s v="ND"/>
    <s v="NAC"/>
    <s v="Chile"/>
    <d v="2024-03-15T00:00:00"/>
    <s v="Christian Ihle"/>
    <s v="PI"/>
    <m/>
    <s v="DP"/>
    <n v="0.1"/>
    <d v="2024-03-15T00:00:00"/>
    <n v="197"/>
    <n v="9"/>
    <n v="45685.279187817257"/>
    <m/>
    <m/>
    <m/>
    <m/>
    <n v="2024"/>
  </r>
  <r>
    <n v="1994"/>
    <x v="17"/>
    <d v="2024-03-12T00:00:00"/>
    <s v="VALE"/>
    <s v="VALE"/>
    <s v="Marina Veronese Resston"/>
    <s v="marina.resston@vale.com"/>
    <s v="Estudo Diagnóstico Bombeamento Dragagem Gelado"/>
    <s v="ED"/>
    <s v="LM"/>
    <s v="INT"/>
    <s v="Brasil"/>
    <d v="2024-03-28T00:00:00"/>
    <s v="Dolglas Souza/Leandro Souza"/>
    <s v="PI"/>
    <m/>
    <s v="EP"/>
    <m/>
    <d v="2024-03-12T00:00:00"/>
    <m/>
    <m/>
    <s v="N/A"/>
    <m/>
    <m/>
    <m/>
    <m/>
    <n v="2024"/>
  </r>
  <r>
    <n v="1993"/>
    <x v="18"/>
    <d v="2024-03-12T00:00:00"/>
    <s v="VALE"/>
    <s v="VALE"/>
    <s v="Marina Veronese Resston"/>
    <s v="marina.resston@vale.com"/>
    <s v="Estudo Alternativas Recuperação de Rejeitos Barragem Gelado"/>
    <s v="IC"/>
    <s v="LM"/>
    <s v="INT"/>
    <s v="Brasil"/>
    <d v="2024-03-28T00:00:00"/>
    <s v="Dolglas Souza/Leandro Souza"/>
    <s v="TA"/>
    <m/>
    <s v="EP"/>
    <m/>
    <d v="2024-03-12T00:00:00"/>
    <m/>
    <m/>
    <s v="N/A"/>
    <m/>
    <m/>
    <m/>
    <m/>
    <n v="2024"/>
  </r>
  <r>
    <n v="1992"/>
    <x v="19"/>
    <d v="2024-03-12T00:00:00"/>
    <s v="Sierra Gorda "/>
    <s v="Sierra Gorda"/>
    <s v="Julio Sanhueza"/>
    <s v="julio.sanhueza@sgscm.cl"/>
    <s v="Manual de Operación ''Operational Readiness'' Impulsión Tranque Sierra Gorda"/>
    <s v="AO"/>
    <s v="LC  "/>
    <s v="NAC"/>
    <s v="Chile"/>
    <d v="2024-03-13T00:00:00"/>
    <s v="Sebastián Briceño"/>
    <s v="TA"/>
    <m/>
    <s v="DP"/>
    <n v="0.2"/>
    <d v="2024-03-12T00:00:00"/>
    <n v="2311"/>
    <n v="114"/>
    <n v="49329.294677628735"/>
    <m/>
    <m/>
    <m/>
    <m/>
    <n v="2024"/>
  </r>
  <r>
    <n v="1991"/>
    <x v="20"/>
    <d v="2024-03-12T00:00:00"/>
    <s v="Codelco"/>
    <s v="Codelco Distrito Norte"/>
    <s v="ARIBA"/>
    <m/>
    <s v="IF Normalización y Mejoramiento Sistema Control de Polvo Chancado 2° y 3°"/>
    <s v="IF"/>
    <s v="LM"/>
    <s v="NAC"/>
    <s v="Chile"/>
    <d v="2024-04-10T00:00:00"/>
    <s v="Claudio Nordio"/>
    <s v="BP"/>
    <m/>
    <s v="EP"/>
    <m/>
    <d v="2024-03-12T00:00:00"/>
    <m/>
    <m/>
    <s v="N/A"/>
    <m/>
    <m/>
    <m/>
    <m/>
    <n v="2024"/>
  </r>
  <r>
    <n v="1990"/>
    <x v="21"/>
    <d v="2024-03-07T00:00:00"/>
    <s v="CMP"/>
    <s v="CMP"/>
    <s v="Patricio Ochoa Valenzuela"/>
    <s v="pochoa@cmp.cl"/>
    <s v=" Ingeniería Integración Espesador de Colas 1, Planta Pellet"/>
    <s v="ID"/>
    <s v="ND"/>
    <s v="NAC"/>
    <s v="Chile"/>
    <d v="2024-03-25T00:00:00"/>
    <s v="Matias Muñoz"/>
    <s v="BP"/>
    <s v="Budgetaria"/>
    <s v="DP"/>
    <m/>
    <d v="2024-03-25T00:00:00"/>
    <n v="12222"/>
    <n v="509"/>
    <n v="41646.21174930453"/>
    <m/>
    <m/>
    <m/>
    <m/>
    <n v="2024"/>
  </r>
  <r>
    <n v="1989"/>
    <x v="22"/>
    <d v="2024-03-04T00:00:00"/>
    <s v="VALE"/>
    <s v="VALE"/>
    <s v="Marina Veronese Resston"/>
    <s v="C0645019@vale.com"/>
    <s v="Estudo de Diagnóstico Bombeamento de Água desde Barragem Gelado"/>
    <s v="ED"/>
    <s v="LM"/>
    <s v="INT"/>
    <s v="Brasil"/>
    <d v="2024-03-28T00:00:00"/>
    <s v="Dolglas Souza/Leandro Souza"/>
    <s v="OT"/>
    <m/>
    <s v="EP"/>
    <m/>
    <d v="2024-03-04T00:00:00"/>
    <m/>
    <m/>
    <s v="N/A"/>
    <m/>
    <m/>
    <m/>
    <m/>
    <n v="2024"/>
  </r>
  <r>
    <n v="1988"/>
    <x v="23"/>
    <d v="2024-03-06T00:00:00"/>
    <s v="CMP"/>
    <s v="CMP"/>
    <s v="Patricio Ochoa Valenzuela"/>
    <s v="pochoa@cmp.cl"/>
    <s v="ID Instalación Harneros de Seguridad Planta Pellet"/>
    <s v="ID"/>
    <s v="ND"/>
    <s v="NAC"/>
    <s v="Chile"/>
    <d v="2024-03-12T00:00:00"/>
    <s v="Claudio Nordio"/>
    <s v="BP"/>
    <m/>
    <s v="DP"/>
    <n v="0.2"/>
    <d v="2024-03-12T00:00:00"/>
    <n v="1462"/>
    <n v="59"/>
    <n v="40355.677154582765"/>
    <m/>
    <m/>
    <m/>
    <m/>
    <n v="2024"/>
  </r>
  <r>
    <n v="1987"/>
    <x v="24"/>
    <d v="2024-01-04T00:00:00"/>
    <s v="BHP"/>
    <s v="Minera Spence"/>
    <s v="Claudia Flores"/>
    <s v="claudia.flores1@bhp.com"/>
    <s v="Ingeniería Densímetros Nucleares"/>
    <s v="IG"/>
    <s v="LM"/>
    <s v="NAC"/>
    <s v="Chile"/>
    <d v="2024-03-07T00:00:00"/>
    <s v="Jorge Casanova"/>
    <s v="TA-PI"/>
    <m/>
    <s v="DP"/>
    <n v="0.99"/>
    <d v="2024-03-04T00:00:00"/>
    <n v="1678"/>
    <n v="86"/>
    <n v="51251.489868891542"/>
    <m/>
    <m/>
    <m/>
    <m/>
    <n v="2024"/>
  </r>
  <r>
    <n v="1986"/>
    <x v="25"/>
    <d v="2024-03-04T00:00:00"/>
    <s v="VALE"/>
    <s v="VALE"/>
    <s v="José Glicério Martins"/>
    <s v="C0645019@vale.com"/>
    <s v="Plano de Trabalho S-0492-Adutora Drenagem dos Poços de Rebaixamento"/>
    <s v="OS"/>
    <s v="LM"/>
    <s v="INT"/>
    <s v="Brasil"/>
    <d v="2024-03-18T00:00:00"/>
    <s v="Dolglas Souza "/>
    <s v="OT"/>
    <m/>
    <s v="EP"/>
    <m/>
    <d v="2024-03-04T00:00:00"/>
    <m/>
    <m/>
    <s v="N/A"/>
    <m/>
    <m/>
    <m/>
    <m/>
    <n v="2024"/>
  </r>
  <r>
    <n v="1985"/>
    <x v="26"/>
    <d v="2024-02-20T00:00:00"/>
    <s v="CMP"/>
    <s v="CMP"/>
    <s v="Patricio Ochoa Valenzuela"/>
    <s v="pochoa@cmp.cl"/>
    <s v="IC-ID Cajones Alimentación Espesadores de Colas 1 y 3"/>
    <s v="IC/ID"/>
    <s v="ND"/>
    <s v="NAC"/>
    <s v="Chile"/>
    <d v="2024-03-25T00:00:00"/>
    <s v="Fernando Carreño"/>
    <s v="OT"/>
    <s v="Se fue en conjunto con la O-1990"/>
    <s v="NL"/>
    <m/>
    <d v="2024-03-26T00:00:00"/>
    <m/>
    <m/>
    <s v="N/A"/>
    <m/>
    <m/>
    <m/>
    <m/>
    <n v="2024"/>
  </r>
  <r>
    <n v="1984"/>
    <x v="27"/>
    <d v="2024-02-29T00:00:00"/>
    <s v="Alquimia"/>
    <s v="Proyecto Mara"/>
    <s v="Leticia Conca/Juan Luis Morales"/>
    <m/>
    <s v="IC Mineroducto Proyecto Mara"/>
    <s v="IC"/>
    <s v="LM"/>
    <s v="INT"/>
    <s v="Argentina"/>
    <d v="2024-03-04T00:00:00"/>
    <s v="Pedro Valencia"/>
    <s v="PI"/>
    <s v="Se consulto por estatus via ARIBA el dia 19-2"/>
    <s v="DP"/>
    <n v="0.1"/>
    <d v="2024-02-29T00:00:00"/>
    <n v="1582"/>
    <n v="75"/>
    <n v="47408.34386852086"/>
    <m/>
    <m/>
    <m/>
    <m/>
    <n v="2024"/>
  </r>
  <r>
    <n v="1983"/>
    <x v="28"/>
    <d v="2024-02-28T00:00:00"/>
    <s v="Cox Abengoa"/>
    <s v="Proyecto Arqueros "/>
    <s v="Claudio Pavez"/>
    <s v="claudio.pavez@coxabengoa.com"/>
    <s v="IB a ID Acueductos del Proyect Arqueros"/>
    <s v="IB/ID"/>
    <s v="LC"/>
    <s v="NAC"/>
    <s v="Chile"/>
    <d v="2024-03-20T00:00:00"/>
    <s v="Domingo Fernández"/>
    <s v="PI"/>
    <m/>
    <s v="DP"/>
    <n v="0.1"/>
    <d v="2024-02-28T00:00:00"/>
    <n v="9508"/>
    <n v="439"/>
    <n v="46171.644930584771"/>
    <m/>
    <m/>
    <m/>
    <m/>
    <n v="2024"/>
  </r>
  <r>
    <n v="1982"/>
    <x v="29"/>
    <d v="2024-01-18T00:00:00"/>
    <s v="Codelco"/>
    <s v="Codelco División Chuquicamata"/>
    <s v="ARIBA"/>
    <m/>
    <s v="Servicios de Apoyo Técnico"/>
    <s v="IC"/>
    <s v="LM"/>
    <s v="NAC"/>
    <s v="Chile"/>
    <d v="2024-04-15T00:00:00"/>
    <s v="-"/>
    <s v="OT"/>
    <s v="Se consulto por estatus via ARIBA el dia 19-2"/>
    <s v="NL"/>
    <m/>
    <d v="2024-02-28T00:00:00"/>
    <m/>
    <m/>
    <s v="N/A"/>
    <m/>
    <m/>
    <m/>
    <m/>
    <n v="2024"/>
  </r>
  <r>
    <n v="1981"/>
    <x v="30"/>
    <d v="2024-02-27T00:00:00"/>
    <s v="Master Services"/>
    <s v="Minera Spence"/>
    <s v="Pedro Lucero"/>
    <s v="pderolucero@masterservices.cl"/>
    <s v="Informe Hidráulico y Recomendaciones MSTR"/>
    <s v="RE"/>
    <s v="ND"/>
    <s v="NAC"/>
    <s v="Chile"/>
    <d v="2024-02-27T00:00:00"/>
    <s v="Jorge Casanova"/>
    <s v="TA"/>
    <m/>
    <s v="PG"/>
    <m/>
    <d v="2024-02-27T00:00:00"/>
    <n v="155"/>
    <n v="7"/>
    <n v="45161.290322580644"/>
    <s v="SH-0374"/>
    <m/>
    <m/>
    <m/>
    <n v="2024"/>
  </r>
  <r>
    <n v="1980"/>
    <x v="31"/>
    <d v="2024-02-26T00:00:00"/>
    <s v="Bechtel"/>
    <s v="Bechtel"/>
    <s v="Diego Solis"/>
    <s v="disoliss@bechtel.com"/>
    <s v="Consultoría Instalaciones y Estructuras de Almacenamiento de Relaves"/>
    <s v="RE"/>
    <s v="LM"/>
    <s v="NAC"/>
    <s v="Chile"/>
    <d v="2024-02-28T00:00:00"/>
    <s v="Pablo Vasquez"/>
    <s v="TA"/>
    <m/>
    <s v="DP"/>
    <n v="0.2"/>
    <d v="2024-02-26T00:00:00"/>
    <n v="1393"/>
    <n v="69"/>
    <n v="49533.381191672648"/>
    <m/>
    <m/>
    <m/>
    <m/>
    <n v="2024"/>
  </r>
  <r>
    <n v="1979"/>
    <x v="32"/>
    <d v="2024-02-21T00:00:00"/>
    <s v="JEJ"/>
    <s v="Codelco División Chuquicamata"/>
    <s v="Pablo Pinochet"/>
    <s v="ppinochet@jej.cl"/>
    <s v="Análisis de Flexibilidad Cambio Uniones Cañería 42” Alimentación Torre Efriamiento"/>
    <s v="ID"/>
    <s v="ND"/>
    <s v="NAC"/>
    <s v="Chile"/>
    <d v="2024-02-23T00:00:00"/>
    <s v="Pedro Valencia"/>
    <s v="PI"/>
    <m/>
    <s v="DP"/>
    <n v="0.2"/>
    <d v="2024-02-23T00:00:00"/>
    <n v="240"/>
    <n v="11"/>
    <n v="45833.333333333328"/>
    <m/>
    <m/>
    <m/>
    <m/>
    <n v="2024"/>
  </r>
  <r>
    <n v="1978"/>
    <x v="33"/>
    <d v="2024-02-21T00:00:00"/>
    <s v="AngloAmerican"/>
    <s v="AngloAmerican El Soldado"/>
    <s v="César Tapia"/>
    <s v="cesar.tapia@angloamerican.com "/>
    <s v="Servicio Elaboración Plan de Ejecución Proyecto Canal de Contorno Tranque El Torito "/>
    <s v="ID"/>
    <s v="ND"/>
    <s v="NAC"/>
    <s v="Chile"/>
    <d v="2024-02-27T00:00:00"/>
    <s v="Cristina Díaz"/>
    <s v="TA"/>
    <s v="Rev. 1 el 27/02"/>
    <s v="DP"/>
    <n v="0.2"/>
    <d v="2024-02-27T00:00:00"/>
    <n v="233"/>
    <n v="10"/>
    <n v="42918.454935622314"/>
    <m/>
    <m/>
    <m/>
    <m/>
    <n v="2024"/>
  </r>
  <r>
    <n v="1977"/>
    <x v="34"/>
    <d v="2024-02-21T00:00:00"/>
    <s v="Knight Piesold"/>
    <s v="Minera Santo Domingo"/>
    <s v="Ismael Sanchez"/>
    <s v="isanchez@knightpiesold.com"/>
    <s v="Actualización IF Depósito de Relaves Espesados MSD por cambio Plan Minero "/>
    <s v="IF"/>
    <s v="ND"/>
    <s v="NAC"/>
    <s v="Chile"/>
    <d v="2024-02-21T00:00:00"/>
    <s v="Pedro Valencia"/>
    <s v="TA"/>
    <s v="Actualización SH-0335"/>
    <s v="DP"/>
    <n v="0.2"/>
    <d v="2024-02-21T00:00:00"/>
    <n v="145"/>
    <n v="8"/>
    <n v="55172.413793103449"/>
    <s v="SH-0335 (NOC 2)"/>
    <m/>
    <m/>
    <m/>
    <n v="2024"/>
  </r>
  <r>
    <n v="1976"/>
    <x v="35"/>
    <d v="2024-02-20T00:00:00"/>
    <s v="CMP"/>
    <s v="CMP"/>
    <s v="Patricio Ochoa Valenzuela"/>
    <s v="jaalvarez@cmp.cl"/>
    <s v="Ingeniería de Terreno Anillo Planta de Pellets"/>
    <s v="ITO"/>
    <s v="ND"/>
    <s v="NAC"/>
    <s v="Chile"/>
    <d v="2024-02-28T00:00:00"/>
    <s v="Fernando Carreño"/>
    <s v="BP"/>
    <m/>
    <s v="PG"/>
    <m/>
    <d v="2024-02-20T00:00:00"/>
    <n v="898"/>
    <n v="37"/>
    <n v="41202.672605790642"/>
    <s v="SH-0373"/>
    <m/>
    <m/>
    <m/>
    <n v="2024"/>
  </r>
  <r>
    <n v="1975"/>
    <x v="36"/>
    <d v="2024-02-14T00:00:00"/>
    <s v="Caserones"/>
    <s v="Caserones"/>
    <s v="Nelson Carvajal Rodríguez"/>
    <s v="nelson.carvajal@lundinmining.com"/>
    <s v="Ingeniería Conceptual Redirección Flujos de Espesadores a Cajón Alimentación Flotación"/>
    <s v="IC"/>
    <s v="LC"/>
    <s v="NAC"/>
    <s v="Chile"/>
    <d v="2024-03-04T00:00:00"/>
    <s v="Christian Ihle"/>
    <s v="PI-TA"/>
    <m/>
    <s v="PP"/>
    <n v="0"/>
    <d v="2024-02-16T00:00:00"/>
    <n v="1187"/>
    <n v="47"/>
    <n v="39595.619208087614"/>
    <m/>
    <m/>
    <m/>
    <m/>
    <n v="2024"/>
  </r>
  <r>
    <n v="1974"/>
    <x v="37"/>
    <d v="2024-02-14T00:00:00"/>
    <s v="Caserones"/>
    <s v="Caserones"/>
    <s v="Nelson Carvajal Rodríguez"/>
    <s v="nelson.carvajal@lundinmining.com"/>
    <s v="Ingeniería de Detalles Control PM10 Nave Molienda"/>
    <s v="ID"/>
    <s v="LC"/>
    <s v="NAC"/>
    <s v="Chile"/>
    <d v="2024-03-04T00:00:00"/>
    <s v="Fernando Carreño"/>
    <s v="BP"/>
    <m/>
    <s v="PP"/>
    <m/>
    <d v="2024-03-04T00:00:00"/>
    <n v="1176"/>
    <n v="46"/>
    <n v="39115.646258503402"/>
    <m/>
    <m/>
    <m/>
    <m/>
    <n v="2024"/>
  </r>
  <r>
    <n v="1973"/>
    <x v="38"/>
    <d v="2024-02-14T00:00:00"/>
    <s v="Caserones"/>
    <s v="Caserones"/>
    <s v="Nelson Carvajal Rodríguez"/>
    <s v="nelson.carvajal@lundinmining.com"/>
    <s v="Ingeniería Conceptual Distribución Pebbles SAG y Bolas"/>
    <s v="IC"/>
    <s v="LC"/>
    <s v="NAC"/>
    <s v="Chile"/>
    <d v="2024-03-04T00:00:00"/>
    <s v="Fernando Carreño"/>
    <s v="BP"/>
    <m/>
    <s v="PG"/>
    <m/>
    <d v="2024-03-06T00:00:00"/>
    <n v="773"/>
    <n v="30"/>
    <n v="38809.831824062094"/>
    <s v="SH-0265 OS-35"/>
    <m/>
    <m/>
    <m/>
    <n v="2024"/>
  </r>
  <r>
    <n v="1972"/>
    <x v="39"/>
    <d v="2024-02-14T00:00:00"/>
    <s v="Caserones"/>
    <s v="Caserones"/>
    <s v="Nelson Carvajal Rodríguez"/>
    <s v="nelson.carvajal@lundinmining.com"/>
    <s v="Ingeniería Conceptual Sobre Rebose Espesador Colectivo"/>
    <s v="IC"/>
    <s v="LC"/>
    <s v="NAC"/>
    <s v="Chile"/>
    <d v="2024-03-04T00:00:00"/>
    <s v="Fernando Carreño"/>
    <s v="BP"/>
    <m/>
    <s v="PP"/>
    <n v="0"/>
    <d v="2024-03-04T00:00:00"/>
    <n v="1272"/>
    <n v="48"/>
    <n v="37735.849056603773"/>
    <m/>
    <m/>
    <m/>
    <m/>
    <n v="2024"/>
  </r>
  <r>
    <n v="1971"/>
    <x v="40"/>
    <d v="2024-02-12T00:00:00"/>
    <s v="Empírica"/>
    <s v="TECK QB2"/>
    <s v="Alberto García"/>
    <s v="Alberto.Garcia@empiricaconsultores.cl"/>
    <s v="Verificación Capacidades Hidráulicas Aumento de Tratamiento de Quebrada Blanca (QB2)"/>
    <s v="ID"/>
    <s v="ND"/>
    <s v="NAC"/>
    <s v="Chile"/>
    <d v="2024-02-13T00:00:00"/>
    <s v="Pedro Valencia"/>
    <s v="PI-TA"/>
    <s v="HH estimadas según $"/>
    <s v="PG"/>
    <m/>
    <d v="2024-02-14T00:00:00"/>
    <n v="250"/>
    <n v="13"/>
    <n v="52000"/>
    <s v="SH-0372"/>
    <m/>
    <m/>
    <m/>
    <n v="2024"/>
  </r>
  <r>
    <n v="1970"/>
    <x v="41"/>
    <d v="2024-02-13T00:00:00"/>
    <s v="JRI"/>
    <s v="DSAL"/>
    <s v="José Muñoz"/>
    <s v="jmunoz@jri.cl"/>
    <s v="Revisión Trade Off Tramo II Canaleta de Relaves Proyecto Construcción Peralte Muros Etapa N°2 - DSAL"/>
    <s v="RE"/>
    <s v="LM"/>
    <s v="NAC"/>
    <s v="Chile"/>
    <d v="2024-02-15T00:00:00"/>
    <s v="Pedro Valencia"/>
    <s v="TA"/>
    <m/>
    <s v="DP"/>
    <n v="0.05"/>
    <d v="2024-02-13T00:00:00"/>
    <n v="120"/>
    <n v="7"/>
    <n v="58333.333333333336"/>
    <m/>
    <m/>
    <m/>
    <m/>
    <n v="2024"/>
  </r>
  <r>
    <n v="1969"/>
    <x v="42"/>
    <d v="2024-02-07T00:00:00"/>
    <s v="Black &amp;  Veatch "/>
    <s v="Black &amp; Veatch"/>
    <s v="Mario Mella"/>
    <s v="MellaME@bv.com"/>
    <s v="Precalificación Comercial, de Calidad y de HSEC"/>
    <s v="IG"/>
    <s v="PRE"/>
    <s v="NAC"/>
    <s v="Chile"/>
    <d v="2024-02-13T00:00:00"/>
    <s v="David Cerón"/>
    <s v="BP-PI-TA"/>
    <m/>
    <s v="PG"/>
    <m/>
    <d v="2024-02-13T00:00:00"/>
    <s v="N/A"/>
    <s v="N/A"/>
    <s v="N/A"/>
    <s v="Precalificación"/>
    <m/>
    <m/>
    <m/>
    <n v="2024"/>
  </r>
  <r>
    <n v="1968"/>
    <x v="43"/>
    <d v="2024-02-05T00:00:00"/>
    <s v="VALE"/>
    <s v="VALE"/>
    <s v="Guilherme Duarte De Menezes"/>
    <m/>
    <s v="Diagnóstico de Integridade de Dutos"/>
    <s v="OS"/>
    <s v="LC"/>
    <s v="INT"/>
    <s v="Brasil"/>
    <d v="2024-02-20T00:00:00"/>
    <s v="Christian Ihle"/>
    <s v="PI"/>
    <m/>
    <s v="DP"/>
    <n v="0.05"/>
    <d v="2024-02-23T00:00:00"/>
    <n v="5777"/>
    <n v="250"/>
    <n v="43275.056257573138"/>
    <m/>
    <m/>
    <m/>
    <m/>
    <n v="2024"/>
  </r>
  <r>
    <n v="1967"/>
    <x v="44"/>
    <d v="2024-02-06T00:00:00"/>
    <s v="VALE"/>
    <s v="VALE"/>
    <s v="Guilherme Machado"/>
    <s v="guilherme.machado@vale.com"/>
    <s v="Novo Procedimento Operacional Rejeitoduto Concentração Magnética - SH-0366 OS-01"/>
    <s v="OS"/>
    <s v="LC"/>
    <s v="INT"/>
    <s v="Brasil"/>
    <d v="2024-02-08T00:00:00"/>
    <s v="Dolglas Souza/Marco Bandeira"/>
    <s v="BP"/>
    <m/>
    <s v="PG"/>
    <m/>
    <d v="2024-02-15T00:00:00"/>
    <n v="1039"/>
    <n v="46.3"/>
    <n v="44562.078922040419"/>
    <s v="SH-0366 OS-01"/>
    <m/>
    <m/>
    <m/>
    <n v="2024"/>
  </r>
  <r>
    <n v="1966"/>
    <x v="45"/>
    <d v="2024-02-01T00:00:00"/>
    <s v="Aguas CAP"/>
    <s v="Aguas CAP"/>
    <s v="Martín Jesús Baliellas Ramos"/>
    <s v="&lt;e_mbaliellas@aguascap.cl"/>
    <s v="Estaciones Lanzadores y Receptores de PIG Limpieza Acueducto CNN - AguasCAP"/>
    <s v="IB"/>
    <s v="LM"/>
    <s v="NAC"/>
    <s v="Chile"/>
    <s v="TBD"/>
    <s v="Carla Tapia"/>
    <s v="PI"/>
    <m/>
    <s v="NL"/>
    <m/>
    <d v="2024-02-05T00:00:00"/>
    <m/>
    <m/>
    <s v="N/A"/>
    <m/>
    <m/>
    <m/>
    <m/>
    <n v="2024"/>
  </r>
  <r>
    <n v="1965"/>
    <x v="46"/>
    <d v="2024-01-29T00:00:00"/>
    <s v="VALE"/>
    <s v="VALE"/>
    <s v="Fabiano Teixeira"/>
    <s v="Fabiano.Teixeira@vale.com"/>
    <s v="Diagnóstico e ED Sistema de Distribuição de Água Potável da Ferrovia"/>
    <s v="ED"/>
    <s v="LC"/>
    <s v="INT"/>
    <s v="Brasil"/>
    <d v="2024-02-09T00:00:00"/>
    <s v="Dolglas Souza "/>
    <s v="PI"/>
    <m/>
    <s v="DP"/>
    <n v="0.05"/>
    <d v="2024-02-23T00:00:00"/>
    <n v="2819"/>
    <n v="116"/>
    <n v="41149.343738914511"/>
    <m/>
    <m/>
    <m/>
    <m/>
    <n v="2024"/>
  </r>
  <r>
    <n v="1964"/>
    <x v="47"/>
    <d v="2024-01-30T00:00:00"/>
    <s v="Codelco"/>
    <s v="Codelco División Andina"/>
    <s v="ARIBA"/>
    <m/>
    <s v="Estudio de Factibilidad Mejoramiento Vulnerabilidades Sistema de Transporte de Relaves"/>
    <s v="IB"/>
    <s v="LM"/>
    <s v="NAC"/>
    <s v="Chile"/>
    <d v="2024-04-01T00:00:00"/>
    <s v="Hugo Andrade"/>
    <s v="TA"/>
    <m/>
    <s v="NL"/>
    <m/>
    <d v="2024-02-27T00:00:00"/>
    <m/>
    <m/>
    <s v="N/A"/>
    <m/>
    <m/>
    <m/>
    <m/>
    <n v="2024"/>
  </r>
  <r>
    <n v="1963"/>
    <x v="48"/>
    <d v="2024-01-29T00:00:00"/>
    <s v="VALE"/>
    <s v="VALE"/>
    <s v="Julio Cesar Nunes Da Silva"/>
    <s v="julio.nunes@vale.com"/>
    <s v="ED Adequação da adutora de Brucutu – VALE"/>
    <s v="ED"/>
    <s v="LC"/>
    <s v="INT"/>
    <s v="Brasil"/>
    <d v="2024-02-07T00:00:00"/>
    <s v="Dolglas Souza "/>
    <s v="PI"/>
    <m/>
    <s v="DP"/>
    <n v="0.05"/>
    <d v="2024-02-23T00:00:00"/>
    <n v="2238"/>
    <n v="80"/>
    <n v="35746.20196604111"/>
    <m/>
    <m/>
    <m/>
    <m/>
    <n v="2024"/>
  </r>
  <r>
    <n v="1962"/>
    <x v="49"/>
    <d v="2024-01-26T00:00:00"/>
    <s v="BHP BILLITON"/>
    <s v="Minera Spence"/>
    <s v="BHP Supplier"/>
    <m/>
    <s v="Solicitud de Planos As-Built"/>
    <s v="ID"/>
    <s v="ND"/>
    <s v="NAC"/>
    <s v="Chile"/>
    <d v="2024-01-26T00:00:00"/>
    <s v="Jorge Casanova"/>
    <s v="TA-PI"/>
    <m/>
    <s v="PG"/>
    <m/>
    <d v="2024-01-26T00:00:00"/>
    <n v="317"/>
    <n v="13"/>
    <n v="41009.463722397479"/>
    <s v="SH-0367"/>
    <m/>
    <m/>
    <m/>
    <n v="2024"/>
  </r>
  <r>
    <n v="1961"/>
    <x v="50"/>
    <d v="2024-01-25T00:00:00"/>
    <s v="VALE"/>
    <s v="VALE"/>
    <s v="Christopher Soares de Figueiredo"/>
    <s v="C0645060@vale.com"/>
    <s v="EB Substituição do Rejeitoduto de Viga"/>
    <s v="ED"/>
    <s v="LC"/>
    <s v="INT"/>
    <s v="Brasil"/>
    <d v="2024-02-02T00:00:00"/>
    <s v="Dolglas Souza "/>
    <s v="PI"/>
    <m/>
    <s v="PP"/>
    <m/>
    <d v="2024-03-22T00:00:00"/>
    <n v="8789"/>
    <n v="325"/>
    <n v="36978.040732734102"/>
    <m/>
    <m/>
    <m/>
    <m/>
    <n v="2024"/>
  </r>
  <r>
    <n v="1960"/>
    <x v="51"/>
    <d v="2024-01-25T00:00:00"/>
    <s v="BSMD"/>
    <s v="BSMD"/>
    <m/>
    <m/>
    <s v="Revisión Ingeniería Básica Avanzada Proyecto Arqueros"/>
    <s v="RE"/>
    <s v="ND"/>
    <s v="NAC"/>
    <s v="Chile"/>
    <d v="2024-02-02T00:00:00"/>
    <s v="Rodrigo Gutiérrez"/>
    <s v="TA"/>
    <m/>
    <s v="PG"/>
    <m/>
    <d v="2024-02-12T00:00:00"/>
    <n v="2455"/>
    <n v="131.535"/>
    <n v="53578.411405295315"/>
    <s v="SH-0371"/>
    <m/>
    <m/>
    <m/>
    <n v="2024"/>
  </r>
  <r>
    <n v="1959"/>
    <x v="52"/>
    <d v="2024-01-23T00:00:00"/>
    <s v="Intasol"/>
    <s v="BHP BILLITON"/>
    <s v="Leonardo Rivera"/>
    <s v="leonardo@intasol.co.za"/>
    <s v="Estudio Clase 5 – Línea Celdas Rougher Hamburgo"/>
    <s v="IB"/>
    <s v="LM"/>
    <s v="NAC"/>
    <s v="Chile"/>
    <d v="2024-01-31T00:00:00"/>
    <s v="Pedro Valencia"/>
    <s v="TA"/>
    <s v="Se envió preliminar a Intasol. A la fecha sin respuesta. PVZ hablará con Mmiranda. 01/02"/>
    <s v="PP"/>
    <m/>
    <d v="2024-02-01T00:00:00"/>
    <n v="514"/>
    <n v="31.302"/>
    <n v="60898.832684824905"/>
    <m/>
    <m/>
    <m/>
    <m/>
    <n v="2024"/>
  </r>
  <r>
    <n v="1958"/>
    <x v="53"/>
    <d v="2024-01-08T00:00:00"/>
    <s v="VALE"/>
    <s v="VALE"/>
    <s v="Guilherme Duarte De Menezes"/>
    <s v="guilherme.Menezes1@vale.com"/>
    <s v="Projeto Nova Adutora CB03 – Fabrica – VALE"/>
    <s v="ED"/>
    <s v="LC"/>
    <s v="INT"/>
    <s v="Brasil"/>
    <d v="2024-01-31T00:00:00"/>
    <s v="Dolglas Souza "/>
    <s v="PI"/>
    <m/>
    <s v="DP"/>
    <n v="0.05"/>
    <d v="2024-02-23T00:00:00"/>
    <n v="2914"/>
    <n v="100"/>
    <n v="34317.089910775569"/>
    <m/>
    <m/>
    <m/>
    <m/>
    <n v="2024"/>
  </r>
  <r>
    <n v="1957"/>
    <x v="54"/>
    <d v="2024-01-18T00:00:00"/>
    <s v="Codelco"/>
    <s v="GCEM"/>
    <s v="ARIBA"/>
    <m/>
    <s v="IPrefactibilidad - Capítulos SIC Proyecto Salar de Maricunga"/>
    <s v="IC"/>
    <s v="LC"/>
    <s v="NAC"/>
    <s v="Chile"/>
    <d v="2024-01-30T00:00:00"/>
    <s v="Julio Jara"/>
    <s v="OT"/>
    <s v="No se puede enviar mensaje, proceso cerrado."/>
    <s v="DP"/>
    <n v="0.25"/>
    <d v="2024-03-18T00:00:00"/>
    <n v="1060"/>
    <n v="58.866999999999997"/>
    <n v="55534.905660377357"/>
    <s v="SH-0352 ODS06"/>
    <m/>
    <m/>
    <m/>
    <n v="2024"/>
  </r>
  <r>
    <n v="1956"/>
    <x v="55"/>
    <d v="2024-01-22T00:00:00"/>
    <s v="JEJ"/>
    <s v="Minera Zaldívar"/>
    <s v="Jose Briceño Ramos"/>
    <s v="jbriceno@jej.cl"/>
    <s v="Atención a Observaciones de IdR Zaldívar - Zaldívar Muro y Depositación de Relaves"/>
    <s v="IC"/>
    <s v="ND"/>
    <s v="NAC"/>
    <s v="Chile"/>
    <d v="2024-01-23T00:00:00"/>
    <s v="Sebastián Briceño"/>
    <s v="TA"/>
    <m/>
    <s v="PP"/>
    <m/>
    <d v="2024-02-01T00:00:00"/>
    <n v="123"/>
    <n v="4.0999999999999996"/>
    <n v="33333.333333333336"/>
    <m/>
    <m/>
    <m/>
    <m/>
    <n v="2024"/>
  </r>
  <r>
    <n v="1955"/>
    <x v="56"/>
    <d v="2024-01-19T00:00:00"/>
    <s v="CMP"/>
    <s v="CMP"/>
    <s v="Jean Rojas Gallardo"/>
    <s v="jdrojas@cmp.cl"/>
    <s v="Complementos Servicio Prueba Circuito en Serie Relaves El Romeral"/>
    <s v="ID"/>
    <s v="ND"/>
    <s v="NAC"/>
    <s v="Chile"/>
    <d v="2024-01-23T00:00:00"/>
    <s v="Diego Jerez"/>
    <s v="TA"/>
    <m/>
    <s v="DP"/>
    <n v="0.99"/>
    <d v="2024-02-23T00:00:00"/>
    <n v="1183"/>
    <n v="49"/>
    <n v="41420.118343195267"/>
    <m/>
    <m/>
    <m/>
    <m/>
    <n v="2024"/>
  </r>
  <r>
    <n v="1954"/>
    <x v="57"/>
    <d v="2024-01-19T00:00:00"/>
    <s v="Consorcio JEJ-SHIMIN"/>
    <s v="Codelco División El Teniente"/>
    <s v="Roberto Quezada Ureta"/>
    <s v="rquez001@codelco.cl"/>
    <s v="Verificación Estructural Morning Glory Etapas 7-8 - SH-0274 - ODS34"/>
    <s v="ID"/>
    <s v="LC"/>
    <s v="NAC"/>
    <s v="Chile"/>
    <d v="2024-01-30T00:00:00"/>
    <s v="Rodrigo Gutiérrez"/>
    <s v="BP"/>
    <m/>
    <s v="PG"/>
    <m/>
    <d v="2024-03-13T00:00:00"/>
    <n v="217"/>
    <n v="5"/>
    <n v="23041.474654377882"/>
    <s v="SH-0274 ODS34"/>
    <m/>
    <m/>
    <m/>
    <n v="2024"/>
  </r>
  <r>
    <n v="1953"/>
    <x v="58"/>
    <d v="2024-01-12T00:00:00"/>
    <s v="Collahuasi"/>
    <s v="Collahuasi"/>
    <s v="Cristian Tapia"/>
    <s v="jfcortinez@collahuasi.cl"/>
    <s v="Ingeniería FEL 3 Sistema Recuperación de Aguas"/>
    <s v="IB"/>
    <s v="LM"/>
    <s v="NAC"/>
    <s v="Chile"/>
    <d v="2024-02-09T00:00:00"/>
    <s v="Julio Jara"/>
    <s v="PI"/>
    <m/>
    <s v="DP"/>
    <n v="0.5"/>
    <d v="2024-02-23T00:00:00"/>
    <n v="6873"/>
    <n v="401"/>
    <n v="58344.245598719623"/>
    <m/>
    <m/>
    <m/>
    <m/>
    <n v="2024"/>
  </r>
  <r>
    <n v="1952"/>
    <x v="59"/>
    <d v="2024-01-11T00:00:00"/>
    <s v="Hemco"/>
    <s v="Hemco"/>
    <s v="Cynthia Vargas"/>
    <s v="cynthia.vargas@hemco.com.ni"/>
    <s v="Diseño Tubería de Impulsión y Sistema de Lavado"/>
    <s v="ID"/>
    <s v="LM"/>
    <s v="INT"/>
    <s v="Nicaragua"/>
    <d v="2024-01-22T00:00:00"/>
    <s v="Cristian López"/>
    <s v="PI"/>
    <m/>
    <s v="PP"/>
    <m/>
    <d v="2024-02-23T00:00:00"/>
    <n v="6139"/>
    <n v="264.39749999999998"/>
    <n v="43068.496497800945"/>
    <m/>
    <m/>
    <m/>
    <m/>
    <n v="2024"/>
  </r>
  <r>
    <n v="1951"/>
    <x v="60"/>
    <d v="2024-01-11T00:00:00"/>
    <s v="Equinox Gold"/>
    <s v="Equinox Gold"/>
    <s v="Gunter Chaves Lipper"/>
    <s v="gunter.lipper@equinoxgold.com"/>
    <s v="Contabilidade Metalúrgica Mina de ouro de Santa Luz – Ba"/>
    <s v="AE"/>
    <s v="ND"/>
    <s v="INT"/>
    <s v="Brasil"/>
    <d v="2024-01-17T00:00:00"/>
    <s v="Dolglas Souza "/>
    <s v="LBP"/>
    <s v="Fuimos caros. Lo harán con un consultor en Brasil más barato."/>
    <s v="PP"/>
    <m/>
    <d v="2024-01-17T00:00:00"/>
    <n v="833"/>
    <n v="46.1"/>
    <n v="55342.136854741897"/>
    <m/>
    <m/>
    <m/>
    <m/>
    <n v="2024"/>
  </r>
  <r>
    <n v="1950"/>
    <x v="61"/>
    <d v="2023-12-18T00:00:00"/>
    <s v="Arcadis"/>
    <s v="Arcadis"/>
    <s v="Carolina Cofré"/>
    <s v="carolina.cofre@arcadis.com"/>
    <s v="Precalificación en Registro de Subcontratistas Arcadis Chile Spa"/>
    <s v="IG"/>
    <s v="PRE"/>
    <s v="NAC"/>
    <s v="Chile"/>
    <d v="2024-01-11T00:00:00"/>
    <s v="Hugo Andrade"/>
    <s v="BP-PI-TA"/>
    <m/>
    <s v="DP"/>
    <m/>
    <d v="2024-01-10T00:00:00"/>
    <s v="N/A"/>
    <s v="N/A"/>
    <s v="N/A"/>
    <m/>
    <m/>
    <m/>
    <m/>
    <n v="2024"/>
  </r>
  <r>
    <n v="1949"/>
    <x v="62"/>
    <d v="2024-01-04T00:00:00"/>
    <s v="BHP BILLITON"/>
    <s v="Minera Spence"/>
    <s v="BHP Supplier"/>
    <m/>
    <s v="Improvement Hydrocyclone Station"/>
    <s v="IG"/>
    <s v="LM"/>
    <s v="NAC"/>
    <s v="Chile"/>
    <d v="2024-01-25T00:00:00"/>
    <s v="Jorge Casanova"/>
    <s v="TA-PI"/>
    <m/>
    <s v="PG"/>
    <m/>
    <d v="2024-02-01T00:00:00"/>
    <n v="11617"/>
    <n v="642.6"/>
    <n v="55315.485925798399"/>
    <s v="SH-0368"/>
    <m/>
    <m/>
    <m/>
    <n v="2024"/>
  </r>
  <r>
    <n v="1948"/>
    <x v="63"/>
    <d v="2024-01-08T00:00:00"/>
    <s v="VALE"/>
    <s v="VALE"/>
    <s v="Guilherme Silva"/>
    <s v="guilherme.euler@vale.com"/>
    <s v="ED substituição do Trecho Arenoso 16 Vargem Grande II – VALE"/>
    <s v="ED"/>
    <s v="LC"/>
    <s v="INT"/>
    <s v="Brasil"/>
    <d v="2024-01-26T00:00:00"/>
    <s v="Dolglas Souza "/>
    <s v="PI"/>
    <m/>
    <s v="DP"/>
    <n v="0.05"/>
    <d v="2024-02-23T00:00:00"/>
    <n v="1826"/>
    <n v="64"/>
    <n v="35049.28806133625"/>
    <m/>
    <m/>
    <m/>
    <m/>
    <n v="2024"/>
  </r>
  <r>
    <n v="1947"/>
    <x v="64"/>
    <d v="2024-01-08T00:00:00"/>
    <s v="VALE"/>
    <s v="VALE"/>
    <s v="Guilherme Silva"/>
    <s v="guilherme.euler@vale.com"/>
    <s v="ED substituição do Trecho Adutora 26 Vargem Grande II – VALE"/>
    <s v="ED"/>
    <s v="LC"/>
    <s v="INT"/>
    <s v="Brasil"/>
    <d v="2024-01-26T00:00:00"/>
    <s v="Dolglas Souza "/>
    <s v="PI"/>
    <m/>
    <s v="PP"/>
    <m/>
    <d v="2024-02-23T00:00:00"/>
    <n v="1976"/>
    <n v="70"/>
    <n v="35425.101214574897"/>
    <m/>
    <m/>
    <m/>
    <m/>
    <n v="2024"/>
  </r>
  <r>
    <n v="1946"/>
    <x v="65"/>
    <d v="2024-01-08T00:00:00"/>
    <s v="Caserones"/>
    <s v="Caserones"/>
    <s v="Cintya Lorena Vega Hidalgo"/>
    <s v="cvegah@caserones.cl"/>
    <s v="Contrato Marco Servicios Multidisciplinarios 2024"/>
    <s v="CA"/>
    <s v="LM"/>
    <s v="NAC"/>
    <s v="Chile"/>
    <d v="2024-02-20T00:00:00"/>
    <s v="David Cerón"/>
    <s v="BP-PI-TA"/>
    <s v="Se envian aclaraciones 26-02"/>
    <s v="DP"/>
    <m/>
    <d v="2024-02-23T00:00:00"/>
    <n v="1000"/>
    <n v="42"/>
    <n v="42000"/>
    <s v="SH-0376"/>
    <m/>
    <m/>
    <m/>
    <n v="2024"/>
  </r>
  <r>
    <n v="1945"/>
    <x v="66"/>
    <d v="2024-01-08T00:00:00"/>
    <s v="VALE"/>
    <s v="VALE"/>
    <s v="Mateus Falcao"/>
    <s v="C0644994@vale.com"/>
    <s v="S00893 Sistema de Bombeamento de Lama CEII para Barragem de Itabiruçu"/>
    <s v="IG"/>
    <s v="LC"/>
    <s v="INT"/>
    <s v="Brasil"/>
    <d v="2024-01-24T00:00:00"/>
    <s v="Dolglas Souza "/>
    <s v="TA-PI"/>
    <m/>
    <s v="DP"/>
    <n v="0.1"/>
    <d v="2024-02-23T00:00:00"/>
    <n v="3187"/>
    <n v="107.2"/>
    <n v="33636.648886099785"/>
    <m/>
    <m/>
    <m/>
    <m/>
    <n v="2024"/>
  </r>
  <r>
    <n v="1944"/>
    <x v="67"/>
    <d v="2024-01-04T00:00:00"/>
    <s v="Transelec"/>
    <s v="Centinela"/>
    <s v="ARIBA"/>
    <m/>
    <s v="Due Diligence SIAM1-Proyecto PuriCkair"/>
    <s v="AT"/>
    <s v="LM"/>
    <s v="NAC"/>
    <s v="Chile"/>
    <d v="2024-01-12T00:00:00"/>
    <s v="Cristian López"/>
    <s v="PI"/>
    <m/>
    <s v="NL"/>
    <m/>
    <d v="2024-01-04T00:00:00"/>
    <m/>
    <m/>
    <s v="N/A"/>
    <m/>
    <m/>
    <m/>
    <m/>
    <n v="2024"/>
  </r>
  <r>
    <n v="1943"/>
    <x v="68"/>
    <d v="2024-01-02T00:00:00"/>
    <s v="BHP BILLITON"/>
    <s v="Minera Spence"/>
    <s v="BHP Supplier"/>
    <m/>
    <s v="Proyecto Spence Repowering Pumping System (SPS/DPS y EXE)"/>
    <s v="ID"/>
    <s v="LM"/>
    <s v="NAC"/>
    <s v="Chile"/>
    <d v="2024-01-26T00:00:00"/>
    <s v="Jorge Casanova"/>
    <s v="TA-PI"/>
    <m/>
    <s v="DP"/>
    <n v="0.7"/>
    <d v="2024-01-26T00:00:00"/>
    <n v="26318"/>
    <n v="1039"/>
    <n v="39478.683790561598"/>
    <m/>
    <m/>
    <m/>
    <m/>
    <n v="2024"/>
  </r>
  <r>
    <n v="1942"/>
    <x v="69"/>
    <d v="2023-12-28T00:00:00"/>
    <s v="Sierra Gorda "/>
    <s v="Sierra Gorda"/>
    <s v="Julio Sanhueza"/>
    <s v="julio.sanhueza@sgscm.cl"/>
    <s v="ID Normalización Agua de Sello"/>
    <s v="ID"/>
    <s v="LC  "/>
    <s v="NAC"/>
    <s v="Chile"/>
    <d v="2023-12-28T00:00:00"/>
    <s v="Jorge Casanova"/>
    <s v="PI"/>
    <s v="Desierta por indefinición de SG respecto a hacer o no el proyecto, (van a usar el agua en otra cosa)"/>
    <s v="PD"/>
    <m/>
    <d v="2024-01-16T00:00:00"/>
    <m/>
    <m/>
    <s v="N/A"/>
    <m/>
    <m/>
    <m/>
    <m/>
    <n v="2024"/>
  </r>
  <r>
    <n v="1941"/>
    <x v="70"/>
    <d v="2023-12-27T00:00:00"/>
    <s v="FDA"/>
    <s v="Centinela"/>
    <s v="Miguel Iturrate"/>
    <s v="miturrate@fda.cl"/>
    <s v="Estudio de Prefactibilidad Línea Alternativa Emergencia Relaves (NOC 1)"/>
    <s v="IP"/>
    <s v="ND"/>
    <s v="NAC"/>
    <s v="Chile"/>
    <d v="2023-12-27T00:00:00"/>
    <s v="Pedro Valencia"/>
    <s v="TA-PI"/>
    <s v="NOC 1, se cobra un 50% de algunos entregables enviados en Rev. A y se agregan y eliminan entregables por cambio de alcance."/>
    <s v="DP"/>
    <n v="0.05"/>
    <d v="2024-02-06T00:00:00"/>
    <n v="180"/>
    <n v="3"/>
    <n v="16666.666666666668"/>
    <s v="SH-0355 (NOC 1)"/>
    <m/>
    <m/>
    <m/>
    <n v="2024"/>
  </r>
  <r>
    <n v="1940"/>
    <x v="71"/>
    <d v="2023-12-26T00:00:00"/>
    <s v="VALE"/>
    <s v="VALE"/>
    <s v="Cassio Dayrell"/>
    <m/>
    <s v="Retirada interferências do avanço da lavra na cava de tamanduá"/>
    <s v="ID"/>
    <s v="LM"/>
    <s v="INT"/>
    <s v="Brasil"/>
    <d v="2024-01-12T00:00:00"/>
    <s v="Dolglas Souza "/>
    <s v="TA"/>
    <m/>
    <s v="DP"/>
    <n v="0.3"/>
    <d v="2024-02-23T00:00:00"/>
    <n v="5497"/>
    <n v="209.8"/>
    <n v="38166.272512279429"/>
    <m/>
    <m/>
    <m/>
    <m/>
    <n v="2024"/>
  </r>
  <r>
    <n v="1939"/>
    <x v="72"/>
    <d v="2023-12-21T00:00:00"/>
    <s v="EIMISA"/>
    <s v="EIMISA"/>
    <s v="Felipe Benavente"/>
    <s v="fbenavente@eimontajes.cl"/>
    <s v=" ID para EPC Red Dragon"/>
    <s v="ID"/>
    <s v="LC"/>
    <s v="NAC"/>
    <s v="Chile"/>
    <d v="2024-01-23T00:00:00"/>
    <s v="Hugo Andrade"/>
    <s v="BP"/>
    <m/>
    <s v="DP"/>
    <n v="0.01"/>
    <d v="2024-02-23T00:00:00"/>
    <n v="1566"/>
    <n v="65.519300000000001"/>
    <n v="41838.633461047255"/>
    <m/>
    <m/>
    <m/>
    <m/>
    <n v="2024"/>
  </r>
  <r>
    <n v="1938"/>
    <x v="73"/>
    <d v="2023-12-19T00:00:00"/>
    <s v="BHP BILLITON"/>
    <s v="Minera Spence"/>
    <s v="Paulina Marchant"/>
    <s v="javiera.a.garay@bhp.com"/>
    <s v=" Repowering Pumping System SRPS"/>
    <s v="ID"/>
    <s v="LC"/>
    <s v="NAC"/>
    <s v="Chile"/>
    <d v="2024-01-05T00:00:00"/>
    <s v="Jorge Casanova"/>
    <s v="PI"/>
    <m/>
    <s v="PG"/>
    <m/>
    <d v="2024-01-12T00:00:00"/>
    <n v="2878"/>
    <n v="158.6"/>
    <n v="55107.713690062541"/>
    <s v="SH-0364"/>
    <m/>
    <m/>
    <m/>
    <n v="2024"/>
  </r>
  <r>
    <n v="1937"/>
    <x v="74"/>
    <d v="2023-12-18T00:00:00"/>
    <s v="VALE"/>
    <s v="VALE"/>
    <s v="Guilherme Duarte De Menezes"/>
    <m/>
    <s v="Desenvolvimento de Módulo de Gestão de Integridade "/>
    <s v="ID"/>
    <s v="LM"/>
    <s v="INT"/>
    <s v="Brasil"/>
    <d v="2024-01-12T00:00:00"/>
    <s v="Christian Ihle"/>
    <s v="PI"/>
    <s v="Se ofrecieron actividades opcionales por 962 HH que podrían sumarse a las 2.128."/>
    <s v="DP"/>
    <n v="0.01"/>
    <d v="2024-02-23T00:00:00"/>
    <n v="2128"/>
    <n v="91"/>
    <n v="42763.15789473684"/>
    <m/>
    <m/>
    <m/>
    <m/>
    <n v="2024"/>
  </r>
  <r>
    <n v="1936"/>
    <x v="75"/>
    <d v="2023-12-15T00:00:00"/>
    <s v="VALE"/>
    <s v="Salobo"/>
    <s v="Jozevan dos Santos"/>
    <m/>
    <s v=" Acompanhamento técnico da obra Calha de concreto Tranporte de Rejeitos Salobo 1 e 2"/>
    <s v="ID"/>
    <s v="LC"/>
    <s v="INT"/>
    <s v="Brasil"/>
    <d v="2024-02-16T00:00:00"/>
    <s v="Dolglas Souza / Domingo Fernández"/>
    <s v="TA"/>
    <m/>
    <s v="DP"/>
    <n v="0.5"/>
    <d v="2024-02-23T00:00:00"/>
    <n v="3280"/>
    <n v="155"/>
    <n v="47256.097560975613"/>
    <m/>
    <m/>
    <m/>
    <m/>
    <n v="2024"/>
  </r>
  <r>
    <n v="1935"/>
    <x v="76"/>
    <d v="2023-12-14T00:00:00"/>
    <s v="Sierra Gorda"/>
    <s v="Sierra Gorda"/>
    <s v="Rafael Rodríguez"/>
    <s v="rafael.rodriguez@sgscm.cl"/>
    <s v="Requerimiento Extensión Asesoría Constanza Díaz"/>
    <s v="ITO"/>
    <s v="LC  "/>
    <s v="NAC"/>
    <s v="Chile"/>
    <d v="2024-01-06T00:00:00"/>
    <s v="Jorge Casanova"/>
    <s v="BP"/>
    <m/>
    <s v="PG"/>
    <m/>
    <d v="2024-01-23T00:00:00"/>
    <n v="540"/>
    <n v="25"/>
    <n v="46296.296296296292"/>
    <s v="SH-0271 ODT-14"/>
    <m/>
    <m/>
    <m/>
    <n v="2024"/>
  </r>
  <r>
    <n v="1934"/>
    <x v="77"/>
    <d v="2023-12-13T00:00:00"/>
    <s v="Codelco"/>
    <s v="Codelco División Codelco Norte"/>
    <s v="ARIBA"/>
    <m/>
    <s v="Actualización y Automatización Reportabilidad del Balance Hídrico Distrital - DCN"/>
    <s v="CA"/>
    <s v="LC"/>
    <s v="NAC"/>
    <s v="Chile"/>
    <d v="2024-01-16T00:00:00"/>
    <s v="Christian Ihle"/>
    <s v="PI"/>
    <s v="No se puede enviar mensaje, proceso cerrado."/>
    <s v="DP"/>
    <n v="0.01"/>
    <d v="2024-03-18T00:00:00"/>
    <n v="980"/>
    <n v="41"/>
    <n v="41836.734693877552"/>
    <s v="SH-0333 ODS05"/>
    <m/>
    <m/>
    <m/>
    <n v="2024"/>
  </r>
  <r>
    <n v="1933"/>
    <x v="78"/>
    <d v="2023-12-13T00:00:00"/>
    <s v="Sierra Gorda"/>
    <s v="Sierra Gorda"/>
    <s v="Pablo Cruz"/>
    <s v="rafael.rodriguez@sgscm.cl"/>
    <s v="Modificaciones Línea de 800 mm"/>
    <s v="ID"/>
    <s v="LC  "/>
    <s v="NAC"/>
    <s v="Chile"/>
    <d v="2023-12-29T00:00:00"/>
    <s v="Jorge Casanova"/>
    <s v="PI"/>
    <m/>
    <s v="EP"/>
    <m/>
    <d v="2023-12-13T00:00:00"/>
    <m/>
    <m/>
    <s v="N/A"/>
    <m/>
    <m/>
    <m/>
    <m/>
    <n v="2023"/>
  </r>
  <r>
    <n v="1932"/>
    <x v="79"/>
    <d v="2023-12-12T00:00:00"/>
    <s v="SQM"/>
    <s v="SQM"/>
    <s v="Tomás Perez"/>
    <s v="tomas.perez@sqm.cl"/>
    <s v="Actualización Entregables EBP - Proyecto TEA"/>
    <s v="ID"/>
    <s v="LC"/>
    <s v="NAC"/>
    <s v="Chile"/>
    <d v="2023-12-15T00:00:00"/>
    <s v="Francisco Martin"/>
    <s v="BP"/>
    <s v="Asignada a otra empresa."/>
    <s v="PP"/>
    <m/>
    <d v="2024-01-16T00:00:00"/>
    <n v="2938"/>
    <n v="130"/>
    <n v="44247.787610619467"/>
    <m/>
    <m/>
    <m/>
    <m/>
    <n v="2024"/>
  </r>
  <r>
    <n v="1931"/>
    <x v="80"/>
    <d v="2023-12-11T00:00:00"/>
    <s v="CMP"/>
    <s v="CMP"/>
    <s v="Aldo Díaz Arce"/>
    <s v="asdiaza@cmp.cl"/>
    <s v="ID Pretiles Aguas Lluvia - Planta Magnetita"/>
    <s v="ID"/>
    <s v="LM"/>
    <s v="NAC"/>
    <s v="Chile"/>
    <d v="2023-12-28T00:00:00"/>
    <s v="Sandra Perez"/>
    <s v="PI-BP"/>
    <s v="Se negoció asignar O-1930 y O-1931 eliminando algunos alcances y un descuento de 5,3% global."/>
    <s v="PG"/>
    <m/>
    <d v="2024-02-05T00:00:00"/>
    <n v="4042"/>
    <n v="169"/>
    <n v="41810.984661058887"/>
    <s v="SH-0369"/>
    <m/>
    <m/>
    <m/>
    <n v="2024"/>
  </r>
  <r>
    <n v="1930"/>
    <x v="81"/>
    <d v="2023-12-11T00:00:00"/>
    <s v="CMP"/>
    <s v="CMP"/>
    <s v="Aldo Díaz Arce"/>
    <s v="asdiaza@cmp.cl"/>
    <s v=" ID Manejo Aguas LLuvia y Estabilidad Piscinas - Planta Pellet"/>
    <s v="ID"/>
    <s v="LM"/>
    <s v="NAC"/>
    <s v="Chile"/>
    <d v="2023-12-28T00:00:00"/>
    <s v="Julio Jara"/>
    <s v="PI-BP"/>
    <s v="Se negoció asignar O-1930 y O-1931 eliminando algunos alcances y un descuento de 5,3% global."/>
    <s v="PG"/>
    <m/>
    <d v="2024-02-05T00:00:00"/>
    <n v="6219"/>
    <n v="237"/>
    <n v="38109.020742884706"/>
    <s v="SH-0369"/>
    <m/>
    <m/>
    <m/>
    <n v="2024"/>
  </r>
  <r>
    <n v="1929"/>
    <x v="82"/>
    <d v="2023-12-11T00:00:00"/>
    <s v="Capstone"/>
    <s v="Capstone"/>
    <s v="Ricardo Puelma"/>
    <s v="ricardo.puelma@capstonecopper.com"/>
    <s v="Auditoría Instalaciones Críticas Proyecto MVDP"/>
    <s v="AT"/>
    <s v="LC"/>
    <s v="NAC"/>
    <s v="Chile"/>
    <d v="2024-01-03T00:00:00"/>
    <s v="Orlando Peralta"/>
    <s v="OT"/>
    <s v="Se envió Revisión 1 por reducción de alcances solicitado por Capstone"/>
    <s v="PG"/>
    <m/>
    <d v="2024-02-06T00:00:00"/>
    <n v="1000"/>
    <n v="52"/>
    <n v="52000"/>
    <s v="SH-0370"/>
    <m/>
    <m/>
    <m/>
    <n v="2024"/>
  </r>
  <r>
    <n v="1928"/>
    <x v="83"/>
    <d v="2023-12-07T00:00:00"/>
    <s v="Ceibo"/>
    <s v="Ceibo"/>
    <s v="Gino Aracena"/>
    <s v="garacena@ceibo.tech"/>
    <s v="Licitación Servicios de Ingeniería Detalles - Proyecto Ceibo Tech"/>
    <s v="ID"/>
    <s v="LC"/>
    <s v="NAC"/>
    <s v="Chile"/>
    <d v="2024-01-15T00:00:00"/>
    <s v="Pedro Valencia"/>
    <s v="BP"/>
    <s v="Licitación entre enero-febrero"/>
    <s v="NL"/>
    <n v="0"/>
    <d v="2023-12-07T00:00:00"/>
    <n v="0"/>
    <n v="0"/>
    <s v="N/A"/>
    <m/>
    <m/>
    <m/>
    <m/>
    <n v="2023"/>
  </r>
  <r>
    <n v="1927"/>
    <x v="84"/>
    <d v="2023-12-05T00:00:00"/>
    <s v="Caserones"/>
    <s v="Caserones"/>
    <s v="Nelson Carvajal Rodríguez"/>
    <s v="Nelson Rodrigo Carvajal Rodriguez &lt;nelson.carvajal@lundinmining.com&gt;"/>
    <s v=" ID Nuevos Pozos el Tambo Larga Duración_x000a_(NOC 1)"/>
    <s v="ID"/>
    <s v="LC"/>
    <s v="NAC"/>
    <s v="Chile"/>
    <d v="2023-12-08T00:00:00"/>
    <s v="Paulo Olivares"/>
    <s v="PI"/>
    <s v="NOC 1"/>
    <s v="PG"/>
    <m/>
    <d v="2023-12-05T00:00:00"/>
    <n v="742"/>
    <n v="26.389500000000002"/>
    <n v="35565.363881401623"/>
    <s v="SH-0265 OS32"/>
    <m/>
    <m/>
    <m/>
    <n v="2023"/>
  </r>
  <r>
    <n v="1926"/>
    <x v="85"/>
    <d v="2023-11-27T00:00:00"/>
    <s v="Teck"/>
    <s v="Quebrada Blanca"/>
    <s v="Luis Riveros"/>
    <m/>
    <s v="Mejoras en Planta de Clasificación"/>
    <s v="IC"/>
    <s v="ND"/>
    <s v="NAC"/>
    <s v="Chile"/>
    <d v="2023-12-13T00:00:00"/>
    <s v="Hernán Castro"/>
    <s v="BP"/>
    <m/>
    <s v="NL"/>
    <m/>
    <d v="2023-12-01T00:00:00"/>
    <m/>
    <m/>
    <s v="N/A"/>
    <m/>
    <m/>
    <m/>
    <m/>
    <n v="2023"/>
  </r>
  <r>
    <n v="1925"/>
    <x v="86"/>
    <d v="2023-11-07T00:00:00"/>
    <s v="Consorcio JEJ-SHIMIN"/>
    <s v="Codelco División El Teniente"/>
    <s v="Roberto Quezada Ureta"/>
    <s v="rquez001@codelco.cl"/>
    <s v="Rediseño Aireadores Tunel de Evacuación - SH-0274 - ODS33"/>
    <s v="ID"/>
    <s v="LC"/>
    <s v="NAC"/>
    <s v="Chile"/>
    <d v="2023-11-07T00:00:00"/>
    <s v="Hugo Andrade"/>
    <s v="BP"/>
    <m/>
    <s v="PG"/>
    <m/>
    <d v="2023-11-28T00:00:00"/>
    <n v="263"/>
    <n v="5.9136139999999999"/>
    <n v="22485.224334600764"/>
    <s v="SH-0274 ODS33"/>
    <m/>
    <m/>
    <m/>
    <n v="2023"/>
  </r>
  <r>
    <n v="1924"/>
    <x v="87"/>
    <d v="2023-09-07T00:00:00"/>
    <s v="Consorcio JEJ-SHIMIN"/>
    <s v="Codelco División El Teniente"/>
    <s v="Roberto Quezada Ureta"/>
    <s v="rquez001@codelco.cl"/>
    <s v="Estudio de Protecciones SRA - SH-0274 - ODS32"/>
    <s v="ID"/>
    <s v="LC"/>
    <s v="NAC"/>
    <s v="Chile"/>
    <d v="2023-09-07T00:00:00"/>
    <s v="Hugo Andrade"/>
    <s v="PI-TA"/>
    <m/>
    <s v="PG"/>
    <m/>
    <d v="2023-11-28T00:00:00"/>
    <n v="50"/>
    <n v="1.30223"/>
    <n v="26044.600000000002"/>
    <s v="SH-0274 ODS32"/>
    <m/>
    <m/>
    <m/>
    <n v="2023"/>
  </r>
  <r>
    <n v="1923"/>
    <x v="88"/>
    <d v="2023-09-07T00:00:00"/>
    <s v="Consorcio JEJ-SHIMIN"/>
    <s v="Codelco División El Teniente"/>
    <s v="Roberto Quezada Ureta"/>
    <s v="rquez001@codelco.cl"/>
    <s v="Modificación Ingeniería Aforador Aguas Arriba - SH-0274 - ODS31"/>
    <s v="ID"/>
    <s v="LC"/>
    <s v="NAC"/>
    <s v="Chile"/>
    <d v="2023-09-07T00:00:00"/>
    <s v="Hugo Andrade"/>
    <s v="PI-TA"/>
    <m/>
    <s v="PG"/>
    <m/>
    <d v="2023-11-28T00:00:00"/>
    <n v="144"/>
    <n v="3.5663109999999998"/>
    <n v="24766.048611111109"/>
    <s v="SH-0274 ODS31"/>
    <m/>
    <m/>
    <m/>
    <n v="2023"/>
  </r>
  <r>
    <n v="1922"/>
    <x v="89"/>
    <d v="2023-08-28T00:00:00"/>
    <s v="Consorcio JEJ-SHIMIN"/>
    <s v="Codelco División El Teniente"/>
    <s v="Roberto Quezada Ureta"/>
    <s v="rquez001@codelco.cl"/>
    <s v="Monitoreo de Cámaras TOVE - SH-0274 - ODS30"/>
    <s v="ID"/>
    <s v="LC"/>
    <s v="NAC"/>
    <s v="Chile"/>
    <d v="2023-08-28T00:00:00"/>
    <s v="Hugo Andrade"/>
    <s v="TA"/>
    <m/>
    <s v="PG"/>
    <m/>
    <d v="2023-11-28T00:00:00"/>
    <n v="493"/>
    <n v="12.5"/>
    <n v="25354.96957403651"/>
    <s v="SH-0274 ODS30"/>
    <m/>
    <m/>
    <m/>
    <n v="2023"/>
  </r>
  <r>
    <n v="1921"/>
    <x v="90"/>
    <d v="2023-08-28T00:00:00"/>
    <s v="Consorcio JEJ-SHIMIN"/>
    <s v="Codelco División El Teniente"/>
    <s v="Roberto Quezada Ureta"/>
    <s v="rquez001@codelco.cl"/>
    <s v=" Apoyo Respuestas Observaciones DGA Obras Estribo Derecho - SH-0274 - ODS29"/>
    <s v="OS"/>
    <s v="LC"/>
    <s v="NAC"/>
    <s v="Chile"/>
    <d v="2023-08-28T00:00:00"/>
    <s v="Hugo Andrade"/>
    <s v="TA"/>
    <m/>
    <s v="PG"/>
    <m/>
    <d v="2023-11-28T00:00:00"/>
    <n v="196"/>
    <n v="5"/>
    <n v="25510.204081632655"/>
    <s v="SH-0274 ODS29"/>
    <m/>
    <m/>
    <m/>
    <n v="2023"/>
  </r>
  <r>
    <n v="1920"/>
    <x v="91"/>
    <d v="2023-11-10T00:00:00"/>
    <s v="VALE"/>
    <s v="Salobo"/>
    <s v="Andre Bernardo"/>
    <s v="Andre.Bernardo1@vale.com"/>
    <s v="Elaboração de Planos de Manutenção para Tubulações Industriais"/>
    <s v="ID"/>
    <s v="ND"/>
    <s v="INT"/>
    <s v="Brasil"/>
    <d v="2023-12-06T00:00:00"/>
    <s v="Dolglas Souza"/>
    <s v="PI-TA"/>
    <m/>
    <s v="PP"/>
    <m/>
    <d v="2024-02-05T00:00:00"/>
    <n v="1012"/>
    <n v="39.207627000000002"/>
    <n v="38742.714426877472"/>
    <m/>
    <m/>
    <m/>
    <m/>
    <n v="2024"/>
  </r>
  <r>
    <n v="1919"/>
    <x v="92"/>
    <d v="2023-11-10T00:00:00"/>
    <s v="VALE"/>
    <s v="VALE"/>
    <s v="Mateus Falcao"/>
    <s v="C0644994@vale.com"/>
    <s v="Engenharia e Obra bombeamento de água Sump do Fundo de Dois Córregos e Poços"/>
    <s v="ID"/>
    <s v="ND"/>
    <s v="INT"/>
    <s v="Brasil"/>
    <d v="2024-01-19T00:00:00"/>
    <s v="Dolglas Souza"/>
    <s v="PI-TA"/>
    <m/>
    <s v="NL"/>
    <m/>
    <d v="2024-02-23T00:00:00"/>
    <n v="5657"/>
    <n v="193.5"/>
    <n v="34205.409227505741"/>
    <m/>
    <m/>
    <m/>
    <m/>
    <n v="2024"/>
  </r>
  <r>
    <n v="1918"/>
    <x v="93"/>
    <d v="2023-11-27T00:00:00"/>
    <s v="Codelco"/>
    <s v="Codelco División El Teniente"/>
    <s v="ARIBA"/>
    <m/>
    <s v="Inspección de Seguridad y Planificación Mantenimiento Fundición Caletones"/>
    <s v="OS"/>
    <s v="LM"/>
    <s v="NAC"/>
    <s v="Chile"/>
    <d v="2024-01-08T00:00:00"/>
    <m/>
    <s v="OT"/>
    <s v="Carta Excusa"/>
    <s v="NL"/>
    <n v="0"/>
    <d v="2023-11-27T00:00:00"/>
    <m/>
    <m/>
    <s v="N/A"/>
    <m/>
    <m/>
    <m/>
    <m/>
    <n v="2023"/>
  </r>
  <r>
    <n v="1917"/>
    <x v="94"/>
    <d v="2023-11-27T00:00:00"/>
    <s v="RESITER"/>
    <s v="NESCOR"/>
    <s v="Renato Becker"/>
    <s v="rbecker@resister.cl"/>
    <s v="Ingeniería Planta Lo Pinto "/>
    <s v="IC"/>
    <s v="ND"/>
    <s v="NAC"/>
    <s v="Chile"/>
    <d v="2023-12-14T00:00:00"/>
    <s v="Francisco Martin"/>
    <s v="BP"/>
    <s v="Se envió Preliminar"/>
    <s v="PP"/>
    <m/>
    <d v="2024-01-12T00:00:00"/>
    <n v="1096"/>
    <n v="50"/>
    <n v="45620.437956204376"/>
    <m/>
    <m/>
    <m/>
    <m/>
    <n v="2024"/>
  </r>
  <r>
    <n v="1916"/>
    <x v="95"/>
    <d v="2023-11-27T00:00:00"/>
    <s v="Universidad de Antofagasta"/>
    <s v="Universidad de Antofagasta"/>
    <s v="Ricardo Jeldres"/>
    <s v="ricardo.jeldres@uantof.cl"/>
    <s v="Capacitación Hidráulica para el Transporte de Pulpas"/>
    <s v="CT"/>
    <s v="ND"/>
    <s v="NAC"/>
    <s v="Chile"/>
    <d v="2023-11-28T00:00:00"/>
    <s v="Christian Ihle"/>
    <s v="TA"/>
    <m/>
    <s v="PG"/>
    <m/>
    <d v="2023-11-27T00:00:00"/>
    <n v="38"/>
    <n v="2.0804999999999998"/>
    <n v="54749.999999999993"/>
    <s v="SH-0359"/>
    <m/>
    <m/>
    <m/>
    <n v="2023"/>
  </r>
  <r>
    <n v="1915"/>
    <x v="96"/>
    <d v="2023-11-23T00:00:00"/>
    <s v="BHP BILLITON"/>
    <s v="Minera Spence"/>
    <s v="Javiera Garay"/>
    <s v="javiera.a.garay@bhp.com"/>
    <s v="Adicionales Mejoramiento Sistema Impulsión Relaves Spence"/>
    <s v="IP"/>
    <s v="ND"/>
    <s v="NAC"/>
    <s v="Chile"/>
    <d v="2023-11-24T00:00:00"/>
    <s v="Jorge Casanova"/>
    <s v="TA-PI"/>
    <m/>
    <s v="PG"/>
    <m/>
    <d v="2023-11-23T00:00:00"/>
    <n v="150"/>
    <n v="6"/>
    <n v="40000"/>
    <s v="SH-0339"/>
    <m/>
    <m/>
    <m/>
    <n v="2023"/>
  </r>
  <r>
    <n v="1914"/>
    <x v="97"/>
    <d v="2023-11-23T00:00:00"/>
    <s v="BHP BILLITON"/>
    <s v="Minera Spence"/>
    <s v="Javiera Garay"/>
    <s v="javiera.a.garay@bhp.com"/>
    <s v="Estudio Improvements to the Hidrocyclone Station"/>
    <s v="IP"/>
    <s v="ND"/>
    <s v="NAC"/>
    <s v="Chile"/>
    <d v="2023-11-24T00:00:00"/>
    <s v="Jorge Casanova"/>
    <s v="TA-PI"/>
    <m/>
    <s v="PD"/>
    <m/>
    <d v="2024-01-12T00:00:00"/>
    <m/>
    <m/>
    <s v="N/A"/>
    <m/>
    <m/>
    <m/>
    <m/>
    <n v="2024"/>
  </r>
  <r>
    <n v="1913"/>
    <x v="98"/>
    <d v="2023-11-23T00:00:00"/>
    <s v="Knight Piesold"/>
    <s v="Minera Santo Domingo"/>
    <s v="Ismael Sanchez"/>
    <s v="isanchez@knightpiesold.com"/>
    <s v="IF Expansión MSD a 390 MT Modelo 3D Piping Relaves "/>
    <s v="IF"/>
    <s v="ND"/>
    <s v="NAC"/>
    <s v="Chile"/>
    <d v="2023-11-27T00:00:00"/>
    <s v="Pedro Valencia"/>
    <s v="TA"/>
    <s v="No se utilizara modelo 3D"/>
    <s v="NL"/>
    <m/>
    <d v="2023-11-23T00:00:00"/>
    <m/>
    <m/>
    <s v="N/A"/>
    <m/>
    <m/>
    <m/>
    <m/>
    <n v="2023"/>
  </r>
  <r>
    <n v="1912"/>
    <x v="99"/>
    <d v="2023-11-23T00:00:00"/>
    <s v="Knight Piesold"/>
    <s v="Minera Santo Domingo"/>
    <s v="Ismael Sanchez"/>
    <s v="isanchez@knightpiesold.com"/>
    <s v="IF Expansión MSD a 390 MT Piping Relaves "/>
    <s v="IF"/>
    <s v="ND"/>
    <s v="NAC"/>
    <s v="Chile"/>
    <d v="2023-11-27T00:00:00"/>
    <s v="Pedro Valencia"/>
    <s v="TA"/>
    <m/>
    <s v="PG"/>
    <m/>
    <d v="2023-11-23T00:00:00"/>
    <n v="2005"/>
    <n v="98"/>
    <n v="48877.805486284284"/>
    <s v="SH-0362"/>
    <m/>
    <m/>
    <m/>
    <n v="2023"/>
  </r>
  <r>
    <n v="1911"/>
    <x v="100"/>
    <d v="2023-11-22T00:00:00"/>
    <s v="Teck"/>
    <s v="Quebrada Blanca"/>
    <s v="Luis Riveros"/>
    <m/>
    <s v="Repulpeo Piscina de Emergencia"/>
    <s v="IC"/>
    <s v="ND"/>
    <s v="NAC"/>
    <s v="Chile"/>
    <d v="2023-11-27T00:00:00"/>
    <s v="Hernán Castro"/>
    <s v="PI"/>
    <m/>
    <s v="PP"/>
    <m/>
    <d v="2024-02-05T00:00:00"/>
    <n v="1020"/>
    <n v="43"/>
    <n v="42156.862745098042"/>
    <m/>
    <m/>
    <m/>
    <m/>
    <n v="2024"/>
  </r>
  <r>
    <n v="1910"/>
    <x v="101"/>
    <d v="2023-11-22T00:00:00"/>
    <s v="Sierra Gorda"/>
    <s v="Sierra Gorda"/>
    <s v="Rafael Rodríguez"/>
    <s v="rafael.rodriguez@sgscm.cl"/>
    <s v="Complemento Ingenierías Barrera Hidráulica"/>
    <s v="ID"/>
    <s v="LC  "/>
    <s v="NAC"/>
    <s v="Chile"/>
    <d v="2023-11-24T00:00:00"/>
    <s v="Jorge Casanova"/>
    <s v="TA-PI"/>
    <m/>
    <s v="DP"/>
    <n v="0.2"/>
    <d v="2024-01-12T00:00:00"/>
    <n v="984"/>
    <n v="44.220675999999997"/>
    <n v="44939.711382113819"/>
    <m/>
    <m/>
    <m/>
    <m/>
    <n v="2024"/>
  </r>
  <r>
    <n v="1909"/>
    <x v="102"/>
    <d v="2023-11-22T00:00:00"/>
    <s v="Sierra Gorda"/>
    <s v="Sierra Gorda"/>
    <s v="Rafael Rodríguez"/>
    <s v="rafael.rodriguez@sgscm.cl"/>
    <s v=" Normalización Sala PCI "/>
    <s v="ID"/>
    <s v="LC  "/>
    <s v="NAC"/>
    <s v="Chile"/>
    <d v="2023-11-24T00:00:00"/>
    <s v="Jorge Casanova"/>
    <s v="TA-PI"/>
    <m/>
    <s v="DP"/>
    <n v="0.2"/>
    <d v="2024-01-12T00:00:00"/>
    <n v="297"/>
    <n v="11.693205000000001"/>
    <n v="39371.060606060608"/>
    <m/>
    <m/>
    <m/>
    <m/>
    <n v="2024"/>
  </r>
  <r>
    <n v="1908"/>
    <x v="103"/>
    <d v="2023-11-21T00:00:00"/>
    <s v="Codelco"/>
    <s v="Codelco"/>
    <s v="ARIBA"/>
    <m/>
    <s v="Desempeño de Proyectos de Inversión en Mantenibilidad y Confiabilidad"/>
    <s v="IPref"/>
    <s v="LM"/>
    <s v="NAC"/>
    <s v="Chile"/>
    <d v="2023-12-21T00:00:00"/>
    <m/>
    <s v="OT"/>
    <s v="Carta Excusa"/>
    <s v="NL"/>
    <n v="0"/>
    <d v="2023-11-21T00:00:00"/>
    <m/>
    <m/>
    <s v="N/A"/>
    <m/>
    <m/>
    <m/>
    <m/>
    <n v="2023"/>
  </r>
  <r>
    <n v="1907"/>
    <x v="104"/>
    <d v="2023-11-16T00:00:00"/>
    <s v="Knight Piesold"/>
    <s v="Minera Santo Domingo"/>
    <s v="Luis Rebolledo"/>
    <s v="lrebolledo@knightpiesold.com"/>
    <s v="Actualización Factibilidad Tranque de Relaves Santo Domingo (NOC 1)"/>
    <s v="RE"/>
    <s v="ND"/>
    <s v="NAC"/>
    <s v="Chile"/>
    <d v="2023-11-27T00:00:00"/>
    <s v="Pedro Valencia"/>
    <s v="TA"/>
    <m/>
    <s v="PG"/>
    <m/>
    <d v="2023-11-16T00:00:00"/>
    <n v="811"/>
    <n v="33"/>
    <n v="40690.505548705303"/>
    <s v="SH-0335 (NOC 1)"/>
    <m/>
    <m/>
    <m/>
    <n v="2023"/>
  </r>
  <r>
    <n v="1906"/>
    <x v="105"/>
    <d v="2023-01-13T00:00:00"/>
    <s v="INCOLUR"/>
    <s v="AngloAmerican Sur"/>
    <s v="Carlos Solís Pizarro"/>
    <s v="csolis@incolur.cl"/>
    <s v="ID Fase 2 - Repotenciamiento Estación de Ciclones Tranque de Relaves El Torito"/>
    <s v="ID"/>
    <s v="ND"/>
    <s v="NAC"/>
    <s v="Chile"/>
    <d v="2023-11-15T00:00:00"/>
    <s v="Domingo Fernández"/>
    <s v="TA-PI"/>
    <s v="Incolur no fue adjudicado. Al parecer fue Arrigoni y tiene ingeniería propia."/>
    <s v="PP"/>
    <m/>
    <d v="2024-01-30T00:00:00"/>
    <n v="8536"/>
    <n v="425"/>
    <n v="49789.128397375818"/>
    <m/>
    <m/>
    <m/>
    <m/>
    <n v="2024"/>
  </r>
  <r>
    <n v="1905"/>
    <x v="106"/>
    <d v="2023-11-13T00:00:00"/>
    <s v="SQM"/>
    <s v="SQM"/>
    <s v="Mauricio Rebolledo "/>
    <s v="Mauricio.Rebolledo@sqm.com"/>
    <s v="PreCOM - COM Impulsión Proyecto TEA"/>
    <s v="OS"/>
    <s v="LM"/>
    <s v="NAC"/>
    <s v="Chile"/>
    <d v="2023-12-07T00:00:00"/>
    <s v="Carla Tapia"/>
    <s v="PI"/>
    <m/>
    <s v="PP"/>
    <m/>
    <d v="2024-02-05T00:00:00"/>
    <n v="347"/>
    <n v="18.323"/>
    <n v="52804.034582132561"/>
    <m/>
    <m/>
    <m/>
    <m/>
    <n v="2024"/>
  </r>
  <r>
    <n v="1904"/>
    <x v="107"/>
    <d v="2023-11-12T00:00:00"/>
    <s v="INCOLUR"/>
    <s v="AngloAmerican Los Bronces"/>
    <s v="Claudio Santander"/>
    <s v="csantander@incolur.cl"/>
    <s v="ID Nueva ECMP Las Tórtolas"/>
    <s v="ID"/>
    <s v="ND"/>
    <s v="NAC"/>
    <s v="Chile"/>
    <d v="2023-12-22T00:00:00"/>
    <s v="Domingo Fernández"/>
    <s v="TA"/>
    <s v="Cambio fecha de entrega, por definir"/>
    <s v="NL"/>
    <m/>
    <d v="2023-11-12T00:00:00"/>
    <m/>
    <m/>
    <s v="N/A"/>
    <m/>
    <m/>
    <m/>
    <m/>
    <n v="2023"/>
  </r>
  <r>
    <n v="1903"/>
    <x v="108"/>
    <d v="2023-11-10T00:00:00"/>
    <s v="VALE"/>
    <s v="VALE"/>
    <s v="Ahlicely Silva"/>
    <s v="ahlicely.silva@vale.com"/>
    <s v="Atualização de padrões Sistemas de Bombeamento, Detecção de Vazamento e Pressurizados"/>
    <s v="OS"/>
    <s v="ND"/>
    <s v="INT"/>
    <s v="Brasil"/>
    <d v="2023-11-21T00:00:00"/>
    <s v="Dolglas Souza"/>
    <s v="PI-TA"/>
    <m/>
    <s v="DP"/>
    <n v="0.99"/>
    <d v="2024-02-23T00:00:00"/>
    <n v="2633"/>
    <n v="108"/>
    <n v="41017.850360805161"/>
    <m/>
    <m/>
    <m/>
    <m/>
    <n v="2024"/>
  </r>
  <r>
    <n v="1902"/>
    <x v="109"/>
    <d v="2023-11-09T00:00:00"/>
    <s v="Codelco"/>
    <s v="Codelco División Andina"/>
    <s v="ARIBA"/>
    <m/>
    <s v="Precalificación IF Dren Longitudinal Muro Principal Ovejería E-V"/>
    <s v="IB"/>
    <s v="PRE"/>
    <s v="NAC"/>
    <s v="Chile"/>
    <d v="2023-11-27T00:00:00"/>
    <s v="Tomás Fernández"/>
    <s v="OT"/>
    <s v="Se consulto por estatus via ARIBA el dia 18-03-2024"/>
    <s v="DP"/>
    <m/>
    <d v="2024-03-18T00:00:00"/>
    <s v="N/A"/>
    <s v="N/A"/>
    <s v="N/A"/>
    <m/>
    <m/>
    <m/>
    <m/>
    <n v="2024"/>
  </r>
  <r>
    <n v="1901"/>
    <x v="110"/>
    <d v="2023-11-09T00:00:00"/>
    <s v="Codelco"/>
    <s v="Codelco División Chuquicamata"/>
    <s v="ARIBA"/>
    <m/>
    <s v=" ID Restauración Subestación FUCO"/>
    <s v="ID"/>
    <s v="LM"/>
    <s v="NAC"/>
    <s v="Chile"/>
    <d v="2023-12-12T00:00:00"/>
    <m/>
    <s v="BP"/>
    <s v="Carta Excusa"/>
    <s v="NL"/>
    <n v="0"/>
    <d v="2023-11-09T00:00:00"/>
    <m/>
    <m/>
    <s v="N/A"/>
    <m/>
    <m/>
    <m/>
    <m/>
    <n v="2023"/>
  </r>
  <r>
    <n v="1900"/>
    <x v="111"/>
    <d v="2023-11-08T00:00:00"/>
    <s v="Caserones"/>
    <s v="Caserones"/>
    <s v="Nelson Carvajal Rodríguez"/>
    <s v="nelson.carvajal@lundinmining.com"/>
    <s v="Ingeniería conceptual Mejora Descarga Cola Columnas "/>
    <s v="IC"/>
    <s v="LC"/>
    <s v="NAC"/>
    <s v="Chile"/>
    <d v="2023-11-27T00:00:00"/>
    <s v="Christian Ihle"/>
    <s v="PI-TA"/>
    <m/>
    <s v="PG"/>
    <m/>
    <d v="2023-11-08T00:00:00"/>
    <n v="877"/>
    <n v="28"/>
    <n v="31927.02394526796"/>
    <s v="SH-0265 OS34"/>
    <m/>
    <m/>
    <m/>
    <n v="2023"/>
  </r>
  <r>
    <n v="1899"/>
    <x v="112"/>
    <d v="2023-11-08T00:00:00"/>
    <s v="Caserones"/>
    <s v="Caserones"/>
    <s v="Nelson Carvajal Rodríguez"/>
    <s v="nelson.carvajal@lundinmining.com"/>
    <s v="Ingeniería Conceptual Solución Estructural Cambio Completo Bomba Bajo Molino"/>
    <s v="IC"/>
    <s v="LC"/>
    <s v="NAC"/>
    <s v="Chile"/>
    <d v="2023-11-27T00:00:00"/>
    <s v="Paulo Olivares"/>
    <s v="PI-TA"/>
    <m/>
    <s v="PP"/>
    <m/>
    <d v="2023-11-23T00:00:00"/>
    <n v="757"/>
    <n v="33.287999999999997"/>
    <n v="43973.579920739758"/>
    <m/>
    <m/>
    <m/>
    <m/>
    <n v="2023"/>
  </r>
  <r>
    <n v="1898"/>
    <x v="113"/>
    <d v="2023-11-08T00:00:00"/>
    <s v="Caserones"/>
    <s v="Caserones"/>
    <s v="Nelson Carvajal Rodríguez"/>
    <s v="nelson.carvajal@lundinmining.com"/>
    <s v="Normalización Adición P4000"/>
    <s v="ID"/>
    <s v="LC"/>
    <s v="NAC"/>
    <s v="Chile"/>
    <d v="2023-11-29T00:00:00"/>
    <s v="Paulo Olivares"/>
    <s v="PI-TA"/>
    <m/>
    <s v="PP"/>
    <m/>
    <d v="2023-11-23T00:00:00"/>
    <n v="673"/>
    <n v="26.0975"/>
    <n v="38777.860326894501"/>
    <m/>
    <m/>
    <m/>
    <m/>
    <n v="2023"/>
  </r>
  <r>
    <n v="1897"/>
    <x v="114"/>
    <d v="2023-11-08T00:00:00"/>
    <s v="SQM"/>
    <s v="SQM"/>
    <s v="Paulina Guerra"/>
    <s v="Paulina.Guerra@sqm.com"/>
    <s v="IB Planta Recuperación Litio"/>
    <s v="IB"/>
    <s v="LM"/>
    <s v="NAC"/>
    <s v="Chile"/>
    <d v="2023-12-04T00:00:00"/>
    <s v="Julio Jara"/>
    <s v="BP"/>
    <m/>
    <s v="PP"/>
    <m/>
    <d v="2024-02-07T00:00:00"/>
    <n v="9135"/>
    <n v="420.87419999999997"/>
    <n v="46072.709359605913"/>
    <m/>
    <m/>
    <m/>
    <m/>
    <n v="2024"/>
  </r>
  <r>
    <n v="1896"/>
    <x v="115"/>
    <d v="2023-11-08T00:00:00"/>
    <s v="Codelco"/>
    <s v="Codelco División Chuquicamata"/>
    <s v="ARIBA"/>
    <m/>
    <s v="EP Integridad Estructural Plantas de Suministro"/>
    <s v="IP"/>
    <s v="LM"/>
    <s v="NAC"/>
    <s v="Chile"/>
    <d v="2023-12-27T00:00:00"/>
    <s v="Domingo Fernández"/>
    <s v="BP"/>
    <s v="Envío Carta Excusa"/>
    <s v="NL"/>
    <n v="0"/>
    <d v="2023-11-08T00:00:00"/>
    <m/>
    <m/>
    <s v="N/A"/>
    <m/>
    <m/>
    <m/>
    <m/>
    <n v="2023"/>
  </r>
  <r>
    <n v="1895"/>
    <x v="116"/>
    <d v="2023-11-08T00:00:00"/>
    <s v="Codelco"/>
    <s v="Codelco División Andina"/>
    <s v="ARIBA"/>
    <m/>
    <s v="ID Mejora Descarga Tolvas Concentradora"/>
    <s v="ID"/>
    <s v="LM"/>
    <s v="NAC"/>
    <s v="Chile"/>
    <d v="2023-11-29T00:00:00"/>
    <m/>
    <s v="TA"/>
    <s v="Carta Excusa"/>
    <s v="NL"/>
    <n v="0"/>
    <d v="2023-11-08T00:00:00"/>
    <m/>
    <m/>
    <s v="N/A"/>
    <m/>
    <m/>
    <m/>
    <m/>
    <n v="2023"/>
  </r>
  <r>
    <n v="1894"/>
    <x v="117"/>
    <d v="2023-11-08T00:00:00"/>
    <s v="VALE"/>
    <s v="VALE"/>
    <s v="Guilherme Machado"/>
    <s v="guilherme.machado@vale.com"/>
    <s v="Engenharia Hidraulica - Apoio Tecnico Engenharia Vale"/>
    <s v="AP"/>
    <s v="LM"/>
    <s v="INT"/>
    <s v="Brasil"/>
    <d v="2023-11-20T00:00:00"/>
    <s v="Dolglas Souza/Marco Bandeira"/>
    <s v="OT"/>
    <s v="Revisión 6. 18 meses. Contrato Marco y Apoyo en Terreno."/>
    <s v="PG"/>
    <m/>
    <d v="2024-01-25T00:00:00"/>
    <n v="9720"/>
    <n v="474"/>
    <n v="48765.432098765428"/>
    <s v="SH-0366"/>
    <m/>
    <m/>
    <m/>
    <n v="2024"/>
  </r>
  <r>
    <n v="1893"/>
    <x v="118"/>
    <d v="2023-11-08T00:00:00"/>
    <s v="VALE"/>
    <s v="VALE"/>
    <s v="Anderson de Matos Gomes"/>
    <s v="Anderson.Gomes2@vale.com"/>
    <s v=" Revisão da Estratégia de Manutenção e Controle Inicial Laboratório Parauapebas"/>
    <s v="AO"/>
    <s v="LC"/>
    <s v="INT"/>
    <s v="Brasil"/>
    <d v="2023-11-14T00:00:00"/>
    <s v="Dolglas Souza"/>
    <s v="OT"/>
    <m/>
    <s v="PG"/>
    <m/>
    <d v="2023-11-08T00:00:00"/>
    <n v="984"/>
    <n v="45"/>
    <n v="45731.707317073167"/>
    <m/>
    <m/>
    <m/>
    <m/>
    <n v="2023"/>
  </r>
  <r>
    <n v="1892"/>
    <x v="119"/>
    <d v="2023-11-06T00:00:00"/>
    <s v="Codelco"/>
    <s v="Codelco División Gabriela Mistral"/>
    <s v="ARIBA"/>
    <m/>
    <s v="IP - Capítulos SIC Suministro de Agua"/>
    <s v="IP"/>
    <s v="LC"/>
    <s v="NAC"/>
    <s v="Chile"/>
    <d v="2023-11-20T00:00:00"/>
    <s v="Julio Jara"/>
    <s v="PI"/>
    <m/>
    <s v="PP"/>
    <m/>
    <d v="2023-11-27T00:00:00"/>
    <n v="1304"/>
    <n v="97"/>
    <n v="74386.503067484664"/>
    <s v="SH-0352 ODS05"/>
    <m/>
    <m/>
    <m/>
    <n v="2023"/>
  </r>
  <r>
    <n v="1891"/>
    <x v="120"/>
    <d v="2023-11-06T00:00:00"/>
    <s v="BHP BILLITON"/>
    <s v="Minera Spence"/>
    <s v="Javiera Garay"/>
    <s v="javiera.a.garay@bhp.com"/>
    <s v="IP Additional Tailings Pupmping Capacity SATPC"/>
    <s v="IP"/>
    <s v="ND"/>
    <s v="NAC"/>
    <s v="Chile"/>
    <d v="2023-11-08T00:00:00"/>
    <s v="Jorge Casanova"/>
    <s v="TA-PI"/>
    <m/>
    <s v="PD"/>
    <m/>
    <d v="2024-01-12T00:00:00"/>
    <m/>
    <m/>
    <s v="N/A"/>
    <m/>
    <m/>
    <m/>
    <m/>
    <n v="2024"/>
  </r>
  <r>
    <n v="1890"/>
    <x v="121"/>
    <d v="2023-11-06T00:00:00"/>
    <s v="VALE"/>
    <s v="VALE"/>
    <s v="Anderson de Matos Gomes"/>
    <s v="Anderson.Gomes2@vale.com"/>
    <s v="Eng Básica e Detalhada Gargalhos Flotação e Remoagem, Espessamento"/>
    <s v="IB"/>
    <s v="LM"/>
    <s v="INT"/>
    <s v="Brasil"/>
    <d v="2023-11-09T00:00:00"/>
    <s v="Dolglas Souza"/>
    <s v="TA"/>
    <s v="Budgetaria"/>
    <s v="PD"/>
    <m/>
    <d v="2023-11-06T00:00:00"/>
    <m/>
    <m/>
    <s v="N/A"/>
    <m/>
    <m/>
    <m/>
    <m/>
    <n v="2023"/>
  </r>
  <r>
    <n v="1889"/>
    <x v="122"/>
    <d v="2023-11-06T00:00:00"/>
    <s v="CMP"/>
    <s v="CMP"/>
    <s v="Juan Álvarez"/>
    <m/>
    <s v="ID Traslado Acopio Los Colorados"/>
    <s v="ID"/>
    <s v="ND"/>
    <s v="NAC"/>
    <s v="Chile"/>
    <s v="Por Definir"/>
    <s v="Domingo Fernández / Francisco Martin"/>
    <s v="BP"/>
    <m/>
    <s v="NL"/>
    <m/>
    <d v="2023-11-06T00:00:00"/>
    <m/>
    <m/>
    <s v="N/A"/>
    <m/>
    <m/>
    <m/>
    <m/>
    <n v="2023"/>
  </r>
  <r>
    <n v="1888"/>
    <x v="123"/>
    <d v="2023-11-06T00:00:00"/>
    <s v="Teck"/>
    <s v="Quebrada Blanca"/>
    <s v="Luis Riveros"/>
    <m/>
    <s v="Estanque Agua de Restitución"/>
    <s v="IC"/>
    <s v="ND"/>
    <s v="NAC"/>
    <s v="Chile"/>
    <d v="2023-11-20T00:00:00"/>
    <s v="Hernán Castro"/>
    <s v="PI"/>
    <m/>
    <s v="PP"/>
    <m/>
    <d v="2024-02-05T00:00:00"/>
    <n v="290"/>
    <n v="11.83511"/>
    <n v="40810.724137931036"/>
    <m/>
    <m/>
    <m/>
    <m/>
    <n v="2024"/>
  </r>
  <r>
    <n v="1887"/>
    <x v="124"/>
    <d v="2023-11-03T00:00:00"/>
    <s v="Aguas Pacifico"/>
    <s v="Aguas Pacifico"/>
    <s v="Hector Rodríguez"/>
    <s v="hector.rodriguez@aguaspacifico.cl"/>
    <s v="Revisión Diseño y Diagnóstico bajo las operaciones Actuales y Futuras"/>
    <s v="ID"/>
    <s v="ND"/>
    <s v="NAC"/>
    <s v="Chile"/>
    <d v="2023-11-13T00:00:00"/>
    <s v="Pedro Valencia"/>
    <s v="PI"/>
    <m/>
    <s v="DP"/>
    <n v="0.01"/>
    <d v="2023-11-06T00:00:00"/>
    <n v="439"/>
    <n v="18"/>
    <n v="41002.277904328017"/>
    <m/>
    <m/>
    <m/>
    <m/>
    <n v="2023"/>
  </r>
  <r>
    <n v="1886"/>
    <x v="125"/>
    <d v="2023-10-01T00:00:00"/>
    <s v="Codelco"/>
    <s v="Codelco División Gabriela Mistral"/>
    <s v="ARIBA"/>
    <m/>
    <s v="ID Aseguramiento de Agua Industrial  DGM"/>
    <s v="ID"/>
    <s v="LM"/>
    <s v="NAC"/>
    <s v="Chile"/>
    <d v="2024-01-09T00:00:00"/>
    <s v="Julio Jara"/>
    <s v="PI"/>
    <s v="Se consulto por estatus via ARIBA el dia 18-03-2024"/>
    <s v="DP"/>
    <n v="0.1"/>
    <d v="2024-03-18T00:00:00"/>
    <n v="5375"/>
    <n v="232"/>
    <n v="43162.79069767442"/>
    <m/>
    <m/>
    <m/>
    <m/>
    <n v="2024"/>
  </r>
  <r>
    <n v="1885"/>
    <x v="126"/>
    <d v="2023-10-31T00:00:00"/>
    <s v="Teck"/>
    <s v="Quebrada Blanca"/>
    <s v="TECK Supplier"/>
    <m/>
    <s v=" Soporte Punto Control Reológico y Granulométrico "/>
    <s v="ITO"/>
    <s v="LM"/>
    <s v="NAC"/>
    <s v="Chile"/>
    <d v="2023-11-22T00:00:00"/>
    <s v="Christian Ihle"/>
    <s v="TA"/>
    <s v="Mensaje en Portal de Teck no siendo favorecidos con la asignación."/>
    <s v="PP"/>
    <m/>
    <d v="2024-01-18T00:00:00"/>
    <n v="2197"/>
    <n v="106"/>
    <n v="48247.610377787896"/>
    <m/>
    <m/>
    <m/>
    <m/>
    <n v="2024"/>
  </r>
  <r>
    <n v="1884"/>
    <x v="127"/>
    <d v="2023-10-31T00:00:00"/>
    <s v="Codelco"/>
    <s v="Codelco División Chuquicamata"/>
    <s v="ARIBA"/>
    <m/>
    <s v="Ing. Contraparte Proyecto Construcción Relaves Espesados Talabre"/>
    <s v="CO"/>
    <s v="LM"/>
    <s v="NAC"/>
    <s v="Chile"/>
    <d v="2023-12-27T00:00:00"/>
    <s v="Christian Ihle"/>
    <s v="TA-PI"/>
    <s v="Se consulto por estatus via ARIBA el dia 18-03-2024"/>
    <s v="DP"/>
    <n v="0.01"/>
    <d v="2024-03-18T00:00:00"/>
    <n v="22888"/>
    <n v="1100"/>
    <n v="48060.118839566581"/>
    <m/>
    <m/>
    <m/>
    <m/>
    <n v="2024"/>
  </r>
  <r>
    <n v="1883"/>
    <x v="128"/>
    <d v="2023-10-30T00:00:00"/>
    <s v="Capstone"/>
    <s v="Capstone"/>
    <m/>
    <m/>
    <s v="Sistema Transporte Concentrado de Pirita MSD a MV"/>
    <s v="ID"/>
    <s v="LM"/>
    <s v="NAC"/>
    <s v="Chile"/>
    <d v="2023-11-21T00:00:00"/>
    <s v="Pedro Valencia"/>
    <s v="OT"/>
    <m/>
    <s v="PP"/>
    <m/>
    <d v="2023-11-24T00:00:00"/>
    <n v="9790"/>
    <n v="443.02859999999998"/>
    <n v="45253.176710929518"/>
    <m/>
    <m/>
    <m/>
    <m/>
    <n v="2023"/>
  </r>
  <r>
    <n v="1882"/>
    <x v="129"/>
    <d v="2023-10-26T00:00:00"/>
    <s v="BHP BILLITON"/>
    <s v="BHP BILLITON"/>
    <s v="Mauricio Bravo"/>
    <s v="mauricio.bravo2@bhp.com"/>
    <s v="CM Servicios de Preparación Operacional"/>
    <s v="CA"/>
    <s v="LM"/>
    <s v="NAC"/>
    <s v="Chile"/>
    <m/>
    <m/>
    <s v="OT"/>
    <s v="No invitados a lista corta"/>
    <s v="NL"/>
    <m/>
    <d v="2023-10-26T00:00:00"/>
    <m/>
    <m/>
    <s v="N/A"/>
    <m/>
    <m/>
    <m/>
    <m/>
    <n v="2023"/>
  </r>
  <r>
    <n v="1881"/>
    <x v="130"/>
    <d v="2023-10-24T00:00:00"/>
    <s v="Codelco"/>
    <s v="Codelco División El Teniente"/>
    <s v="ARIBA"/>
    <m/>
    <s v="Servicio Multidisciplinario Apoyo a la Preparación Minera N°1"/>
    <s v="CA"/>
    <s v="LM"/>
    <s v="NAC"/>
    <s v="Chile"/>
    <m/>
    <m/>
    <s v="OT"/>
    <s v="Carta Excusa"/>
    <s v="NL"/>
    <m/>
    <d v="2023-10-24T00:00:00"/>
    <m/>
    <m/>
    <s v="N/A"/>
    <m/>
    <m/>
    <m/>
    <m/>
    <n v="2023"/>
  </r>
  <r>
    <n v="1880"/>
    <x v="131"/>
    <d v="2023-10-23T00:00:00"/>
    <s v="Caserones"/>
    <s v="Caserones"/>
    <s v="Nelson Carvajal Rodríguez"/>
    <s v="Nelson Rodrigo Carvajal Rodriguez &lt;nelson.carvajal@lundinmining.com&gt;"/>
    <s v="Segunda Etapa ID Traslado Pozos la Brea"/>
    <s v="ID"/>
    <s v="LC"/>
    <s v="NAC"/>
    <s v="Chile"/>
    <d v="2023-10-24T00:00:00"/>
    <s v="Paulo Olivares"/>
    <s v="PI-TA"/>
    <m/>
    <s v="PG"/>
    <m/>
    <d v="2023-11-01T00:00:00"/>
    <n v="956"/>
    <n v="33"/>
    <n v="34518.828451882844"/>
    <s v="SH-0265 OS33"/>
    <m/>
    <m/>
    <m/>
    <n v="2023"/>
  </r>
  <r>
    <n v="1879"/>
    <x v="132"/>
    <d v="2023-10-23T00:00:00"/>
    <s v="Collahuasi"/>
    <s v="Collahuasi"/>
    <s v="Pedro Alegre González"/>
    <s v="rfyanez@collahuasi.cl"/>
    <s v="Adicionales Restitución Quebradas Sector Poniente"/>
    <s v="OS"/>
    <s v="ND"/>
    <s v="NAC"/>
    <s v="Chile"/>
    <s v="-"/>
    <s v="Julio Jara"/>
    <s v="TA"/>
    <s v="No se hara solución por parte de ingeniería."/>
    <s v="PD"/>
    <m/>
    <d v="2023-10-23T00:00:00"/>
    <m/>
    <m/>
    <s v="N/A"/>
    <m/>
    <m/>
    <m/>
    <m/>
    <n v="2023"/>
  </r>
  <r>
    <n v="1878"/>
    <x v="133"/>
    <d v="2023-08-22T00:00:00"/>
    <s v="PROMET"/>
    <s v="Codelco División Radomiro Tomic"/>
    <s v="Luis Freire"/>
    <s v="csantander@incolur.cl"/>
    <s v=" Servicios de Ingeniería, Construcción y Montaje Lixiviación Clorurada Temprana"/>
    <s v="ID"/>
    <s v="ND"/>
    <s v="NAC"/>
    <s v="Chile"/>
    <d v="2023-10-23T00:00:00"/>
    <s v="Francisco Espinoza/Pablo Vasquez"/>
    <s v="BP"/>
    <m/>
    <s v="PP"/>
    <m/>
    <d v="2023-12-31T00:00:00"/>
    <n v="28965"/>
    <n v="1128.547178"/>
    <n v="38962.443569825649"/>
    <m/>
    <m/>
    <m/>
    <m/>
    <n v="2023"/>
  </r>
  <r>
    <n v="1877"/>
    <x v="134"/>
    <d v="2023-10-16T00:00:00"/>
    <s v="Codelco"/>
    <s v="Codelco Distrito Norte"/>
    <s v="ARIBA"/>
    <m/>
    <s v="CM Obras Complementarias Proyectos Distrio Norte"/>
    <s v="CA"/>
    <s v="LM"/>
    <s v="NAC"/>
    <s v="Chile"/>
    <d v="2023-11-20T00:00:00"/>
    <m/>
    <s v="BP-PI-TA"/>
    <s v="Carta Excusa"/>
    <s v="NL"/>
    <m/>
    <d v="2023-10-16T00:00:00"/>
    <m/>
    <m/>
    <s v="N/A"/>
    <m/>
    <m/>
    <m/>
    <m/>
    <n v="2023"/>
  </r>
  <r>
    <n v="1876"/>
    <x v="135"/>
    <d v="2023-10-13T00:00:00"/>
    <s v="Codelco"/>
    <s v="Codelco GCINNOV"/>
    <s v="ARIBA"/>
    <m/>
    <s v="Servicio Ingeniería de Desarrollo Roadmap Tecnológico"/>
    <s v="ID"/>
    <s v="LM"/>
    <s v="NAC"/>
    <s v="Chile"/>
    <d v="2023-11-08T00:00:00"/>
    <s v="Christian Ihle"/>
    <s v="IN"/>
    <s v="Carta Excusa"/>
    <s v="NL"/>
    <m/>
    <d v="2023-10-16T00:00:00"/>
    <m/>
    <m/>
    <s v="N/A"/>
    <m/>
    <m/>
    <m/>
    <m/>
    <n v="2023"/>
  </r>
  <r>
    <n v="1875"/>
    <x v="136"/>
    <d v="2023-10-06T00:00:00"/>
    <s v="Codelco"/>
    <s v="Codelco División El Teniente"/>
    <s v="ARIBA"/>
    <m/>
    <s v="IB Explotación de Recursos Norte Fase II"/>
    <s v="IB"/>
    <s v="LM"/>
    <s v="NAC"/>
    <s v="Chile"/>
    <d v="2023-12-11T00:00:00"/>
    <m/>
    <s v="OT"/>
    <s v="Carta Excusa"/>
    <s v="NL"/>
    <m/>
    <d v="2023-10-12T00:00:00"/>
    <m/>
    <m/>
    <s v="N/A"/>
    <m/>
    <m/>
    <m/>
    <m/>
    <n v="2023"/>
  </r>
  <r>
    <n v="1874"/>
    <x v="137"/>
    <d v="2023-10-11T00:00:00"/>
    <s v="Caserones"/>
    <s v="Caserones"/>
    <s v="Nelson Carvajal Rodríguez"/>
    <s v="Nelson Rodrigo Carvajal Rodriguez &lt;nelson.carvajal@lundinmining.com&gt;"/>
    <s v="Habilitación Pozo Agrícola Norte verde 2 Fundo Caserones "/>
    <s v="ID"/>
    <s v="LC"/>
    <s v="NAC"/>
    <s v="Chile"/>
    <d v="2023-10-18T00:00:00"/>
    <s v="Paulo Olivares"/>
    <s v="TA"/>
    <m/>
    <s v="DP"/>
    <n v="0.3"/>
    <d v="2023-10-11T00:00:00"/>
    <n v="1469"/>
    <n v="55.5"/>
    <n v="37780.803267528929"/>
    <m/>
    <m/>
    <m/>
    <m/>
    <n v="2023"/>
  </r>
  <r>
    <n v="1873"/>
    <x v="138"/>
    <d v="2023-10-11T00:00:00"/>
    <s v="SQM"/>
    <s v="SQM"/>
    <s v="Loreto Aguilar"/>
    <s v="Loreto.aguilar@sqm.com"/>
    <s v="Evaluación Estanques MOPH-I"/>
    <s v="ITO"/>
    <s v="ND"/>
    <s v="NAC"/>
    <s v="Chile"/>
    <d v="2023-10-28T00:00:00"/>
    <m/>
    <s v="PI"/>
    <s v="Carta Excusa"/>
    <s v="NL"/>
    <m/>
    <d v="2023-10-11T00:00:00"/>
    <m/>
    <m/>
    <s v="N/A"/>
    <m/>
    <m/>
    <m/>
    <m/>
    <n v="2023"/>
  </r>
  <r>
    <n v="1872"/>
    <x v="139"/>
    <d v="2023-10-11T00:00:00"/>
    <s v="SQM"/>
    <s v="SQM"/>
    <s v="Loreto Aguilar"/>
    <s v="Loreto.aguilar@sqm.com"/>
    <s v="Ing. Puntos de Izaje y Líneas de Vida"/>
    <s v="ID"/>
    <s v="ND"/>
    <s v="NAC"/>
    <s v="Chile"/>
    <d v="2023-10-28T00:00:00"/>
    <m/>
    <s v="OT"/>
    <s v="Carta Excusa"/>
    <s v="NL"/>
    <m/>
    <d v="2023-10-11T00:00:00"/>
    <m/>
    <m/>
    <s v="N/A"/>
    <m/>
    <m/>
    <m/>
    <m/>
    <n v="2023"/>
  </r>
  <r>
    <n v="1871"/>
    <x v="140"/>
    <d v="2023-10-04T00:00:00"/>
    <s v="Sierra Gorda"/>
    <s v="Sierra Gorda"/>
    <s v="Cesar Avendaño"/>
    <s v="Cristian.Avendano@sgscm.cl"/>
    <s v="ITRB Place Holder First Visit "/>
    <s v="OT"/>
    <s v="ND"/>
    <s v="NAC"/>
    <s v="Chile"/>
    <d v="2023-10-24T00:00:00"/>
    <s v="Pedro Valencia"/>
    <s v="OT"/>
    <m/>
    <s v="PG"/>
    <m/>
    <d v="2023-11-03T00:00:00"/>
    <n v="122"/>
    <n v="7.550611"/>
    <n v="61890.25409836066"/>
    <s v="SH-0271 ODT-16"/>
    <m/>
    <m/>
    <m/>
    <n v="2023"/>
  </r>
  <r>
    <n v="1870"/>
    <x v="141"/>
    <d v="2023-10-06T00:00:00"/>
    <s v="Codelco"/>
    <s v="Codelco División El Teniente"/>
    <s v="ARIBA"/>
    <m/>
    <s v="Ing. Básica Mejoramiento Infraestructura Recirculamiento de Agua"/>
    <s v="IB"/>
    <s v="LM"/>
    <s v="NAC"/>
    <s v="Chile"/>
    <d v="2023-11-28T00:00:00"/>
    <m/>
    <s v="PI"/>
    <s v="Carta Excusa"/>
    <s v="NL"/>
    <m/>
    <d v="2023-10-06T00:00:00"/>
    <m/>
    <m/>
    <s v="N/A"/>
    <m/>
    <m/>
    <m/>
    <m/>
    <n v="2023"/>
  </r>
  <r>
    <n v="1869"/>
    <x v="142"/>
    <d v="2023-10-06T00:00:00"/>
    <s v="Codelco"/>
    <s v="Codelco División Andina"/>
    <s v="ARIBA"/>
    <m/>
    <s v="Inspección Técnica y Monitoreo Condiciones Estructurales"/>
    <s v="OS"/>
    <s v="LM"/>
    <s v="NAC"/>
    <s v="Chile"/>
    <d v="2023-12-01T00:00:00"/>
    <s v="Domingo Fernández"/>
    <s v="BP"/>
    <s v="Carta Excusa"/>
    <s v="NL"/>
    <m/>
    <d v="2023-10-06T00:00:00"/>
    <m/>
    <m/>
    <s v="N/A"/>
    <m/>
    <m/>
    <m/>
    <m/>
    <n v="2023"/>
  </r>
  <r>
    <n v="1868"/>
    <x v="143"/>
    <d v="2023-10-04T00:00:00"/>
    <s v="Sierra Gorda"/>
    <s v="Sierra Gorda"/>
    <s v="Rafael Rodríguez"/>
    <s v="rafael.rodriguez@sgscm.cl"/>
    <s v="Apoyo Desarrollo Modelo Evap. y Bal. Hídrico Depósito de Relaves UA"/>
    <s v="OT"/>
    <s v="LC  "/>
    <s v="NAC"/>
    <s v="Chile"/>
    <d v="2024-02-01T00:00:00"/>
    <s v="Rodrigo Gutiérrez / Christian Ihle"/>
    <s v="TA-PI"/>
    <s v="Baja prioridad en SGSCM."/>
    <s v="DP"/>
    <n v="0.01"/>
    <d v="2024-02-01T00:00:00"/>
    <n v="996"/>
    <n v="51.948"/>
    <n v="52156.626506024098"/>
    <m/>
    <m/>
    <m/>
    <m/>
    <n v="2024"/>
  </r>
  <r>
    <n v="1867"/>
    <x v="144"/>
    <d v="2023-10-04T00:00:00"/>
    <s v="SQM"/>
    <s v="SQM"/>
    <s v="Fabian Retamal"/>
    <s v="Fabian.Retamal@sqm.com"/>
    <s v="Ingeniería Básica Avanzada Pozas de Evaporación Solar TEA"/>
    <s v="IB"/>
    <s v="ND"/>
    <s v="NAC"/>
    <s v="Chile"/>
    <d v="2023-10-25T00:00:00"/>
    <s v="Hugo Arancibia"/>
    <s v="TA-PI"/>
    <s v="Excusados via correo por FM"/>
    <s v="NL"/>
    <m/>
    <d v="2023-10-05T00:00:00"/>
    <m/>
    <m/>
    <s v="N/A"/>
    <m/>
    <m/>
    <m/>
    <m/>
    <n v="2023"/>
  </r>
  <r>
    <n v="1866"/>
    <x v="145"/>
    <d v="2023-10-03T00:00:00"/>
    <s v="VALE"/>
    <s v="VALE"/>
    <s v="Adriana Mota"/>
    <s v="adriana.mota@vale.com"/>
    <s v="Ingeniería de Detalles y Apoyo en Terreno para Construcción Proyecto Sossego IN PIT DISPOSAL B0321-FEL3"/>
    <s v="ID"/>
    <s v="LM"/>
    <s v="INT"/>
    <s v="Brasil"/>
    <d v="2023-11-06T00:00:00"/>
    <s v="Dolglas Souza"/>
    <s v="TA"/>
    <m/>
    <s v="PP"/>
    <m/>
    <d v="2023-11-24T00:00:00"/>
    <n v="114810"/>
    <n v="4704.5909819999997"/>
    <n v="40977.188241442374"/>
    <m/>
    <m/>
    <m/>
    <m/>
    <n v="2023"/>
  </r>
  <r>
    <n v="1865"/>
    <x v="146"/>
    <d v="2023-10-03T00:00:00"/>
    <s v="Teck"/>
    <s v="Quebrada Blanca"/>
    <s v="TECK Supplier"/>
    <m/>
    <s v="Ing. Detalles Construcción Camino Estación Ciclones a Muro de Partida"/>
    <s v="ID"/>
    <s v="LM"/>
    <s v="NAC"/>
    <s v="Chile"/>
    <d v="2023-10-20T00:00:00"/>
    <s v="Gilson Quevedo"/>
    <s v="OT"/>
    <m/>
    <s v="PG"/>
    <m/>
    <d v="2023-11-24T00:00:00"/>
    <n v="3551"/>
    <n v="162"/>
    <n v="45620.951844550829"/>
    <s v="SH-0361"/>
    <m/>
    <m/>
    <m/>
    <n v="2023"/>
  </r>
  <r>
    <n v="1864"/>
    <x v="147"/>
    <d v="2023-09-27T00:00:00"/>
    <s v="Minera Antucoya"/>
    <s v="Minera Antucoya"/>
    <s v="ARIBA"/>
    <m/>
    <s v="RFI Contrato Marco Ingenierías Mayores"/>
    <s v="CA"/>
    <s v="LM"/>
    <s v="NAC"/>
    <s v="Chile"/>
    <d v="2023-11-27T00:00:00"/>
    <s v="Gilson Quevedo"/>
    <s v="BP-PI-TA"/>
    <s v="Se consulto por estatus via ARIBA el dia 18-03-2024"/>
    <s v="DP"/>
    <n v="0.01"/>
    <d v="2024-03-18T00:00:00"/>
    <n v="1000"/>
    <n v="42"/>
    <n v="42000"/>
    <m/>
    <m/>
    <m/>
    <m/>
    <n v="2024"/>
  </r>
  <r>
    <n v="1863"/>
    <x v="148"/>
    <d v="2023-09-21T00:00:00"/>
    <s v="Teck"/>
    <s v="Quebrada Blanca"/>
    <s v="Raúl Olguín"/>
    <m/>
    <s v=" Diseño e Ing. Estructura Metálica Empalizada Eje Central"/>
    <s v="ID"/>
    <s v="LM"/>
    <s v="NAC"/>
    <s v="Chile"/>
    <d v="2023-10-18T00:00:00"/>
    <s v="Domingo Fernández"/>
    <s v="OT"/>
    <s v="A espera de confirmación contrato TECK"/>
    <s v="PG"/>
    <m/>
    <d v="2024-01-19T00:00:00"/>
    <n v="6239"/>
    <n v="277"/>
    <n v="44398.140727680715"/>
    <s v="SH-0365"/>
    <m/>
    <m/>
    <m/>
    <n v="2024"/>
  </r>
  <r>
    <n v="1862"/>
    <x v="149"/>
    <d v="2023-09-14T00:00:00"/>
    <s v="Codelco"/>
    <s v="Codelco División Chuquicamata"/>
    <s v="Ariba"/>
    <m/>
    <s v="Contrato Marco Ing. Estudios DCH"/>
    <s v="CA"/>
    <s v="LM"/>
    <s v="NAC"/>
    <s v="Chile"/>
    <d v="2023-10-16T00:00:00"/>
    <s v="Domingo Fernández"/>
    <s v="BP-PI-TA"/>
    <s v="No aparece en sistema, se consulto, sin respuesta"/>
    <s v="PD"/>
    <m/>
    <d v="2023-09-25T00:00:00"/>
    <m/>
    <m/>
    <s v="N/A"/>
    <m/>
    <m/>
    <m/>
    <m/>
    <n v="2023"/>
  </r>
  <r>
    <n v="1861"/>
    <x v="150"/>
    <d v="2023-09-25T00:00:00"/>
    <s v="Capstone"/>
    <s v="Capstone"/>
    <m/>
    <m/>
    <s v="ID Repot. Inmisario Desaladora Manto Verde"/>
    <s v="ID"/>
    <s v="LM"/>
    <s v="NAC"/>
    <s v="Chile"/>
    <d v="2023-09-28T00:00:00"/>
    <s v="Carla Tapia"/>
    <s v="BP"/>
    <m/>
    <s v="PP"/>
    <n v="0"/>
    <d v="2023-09-25T00:00:00"/>
    <n v="1946"/>
    <n v="90.694007999999997"/>
    <n v="46605.348406988691"/>
    <m/>
    <m/>
    <m/>
    <m/>
    <n v="2023"/>
  </r>
  <r>
    <n v="1860"/>
    <x v="151"/>
    <d v="2023-09-14T00:00:00"/>
    <s v="INCOLUR"/>
    <s v="FERRENOR"/>
    <s v="Claudio Santander"/>
    <s v="csantander@incolur.cl"/>
    <s v="ID EPC Patio Maniobras y Taller"/>
    <s v="ID"/>
    <s v="ND"/>
    <s v="NAC"/>
    <s v="Chile"/>
    <d v="2023-09-29T00:00:00"/>
    <s v="Francisco Martin"/>
    <s v="BP"/>
    <m/>
    <s v="PD"/>
    <m/>
    <d v="2024-02-05T00:00:00"/>
    <m/>
    <m/>
    <s v="N/A"/>
    <m/>
    <m/>
    <m/>
    <m/>
    <n v="2024"/>
  </r>
  <r>
    <n v="1859"/>
    <x v="152"/>
    <d v="2023-09-14T00:00:00"/>
    <s v="WOOD"/>
    <s v="Codelco División El Teniente"/>
    <s v="Marcelo Macaya"/>
    <s v="marcelo.macaya@woodplc.com"/>
    <s v="Consultoría en el Área Hidráulica - Piping "/>
    <s v="AE"/>
    <s v="ND"/>
    <s v="NAC"/>
    <s v="Chile"/>
    <d v="2023-09-22T00:00:00"/>
    <s v="Pablo Vasquez"/>
    <s v="PI"/>
    <m/>
    <s v="PP"/>
    <m/>
    <d v="2023-11-17T00:00:00"/>
    <n v="765"/>
    <n v="75.902501000000001"/>
    <n v="99218.955555555556"/>
    <m/>
    <m/>
    <m/>
    <m/>
    <n v="2023"/>
  </r>
  <r>
    <n v="1858"/>
    <x v="153"/>
    <d v="2023-09-13T00:00:00"/>
    <s v="VALE"/>
    <s v="VALE"/>
    <s v="Jozevan Santos"/>
    <s v="C0657106@vale.com"/>
    <s v=" EC Otimização do processo de flotação e Sump Salobo I e II"/>
    <s v="IC"/>
    <s v="LM"/>
    <s v="INT"/>
    <s v="Brasil"/>
    <d v="2023-09-28T00:00:00"/>
    <s v="Dolglas Souza"/>
    <s v="TA"/>
    <m/>
    <s v="NL"/>
    <m/>
    <d v="2024-02-23T00:00:00"/>
    <n v="2302"/>
    <n v="84"/>
    <n v="36490.008688097303"/>
    <m/>
    <m/>
    <m/>
    <m/>
    <n v="2023"/>
  </r>
  <r>
    <n v="1857"/>
    <x v="154"/>
    <d v="2023-09-13T00:00:00"/>
    <s v="CMP"/>
    <s v="CMP"/>
    <s v="Patricio Ochoa Valenzuela"/>
    <m/>
    <s v="PFS Mejoras Operacionales CNN"/>
    <s v="IP"/>
    <s v="ND"/>
    <s v="NAC"/>
    <s v="Chile"/>
    <s v="Por Definir"/>
    <s v="Francisco Martin"/>
    <s v="BP"/>
    <s v="A espera de invitación"/>
    <s v="NL"/>
    <m/>
    <d v="2023-09-13T00:00:00"/>
    <m/>
    <m/>
    <s v="N/A"/>
    <m/>
    <m/>
    <m/>
    <m/>
    <n v="2023"/>
  </r>
  <r>
    <n v="1856"/>
    <x v="155"/>
    <d v="2023-09-13T00:00:00"/>
    <s v="IPE"/>
    <s v="IPE"/>
    <s v="Enrique Ferrufino Gómez"/>
    <s v="efg@ipe.bo"/>
    <s v="IC-IB Bombeo Nivel -395 a -195 y -195 a Superficie"/>
    <s v="IC/IB"/>
    <s v="ND"/>
    <s v="INT"/>
    <s v="Bolivia"/>
    <d v="2023-10-02T00:00:00"/>
    <s v="Carla Tapia"/>
    <s v="PI"/>
    <m/>
    <s v="PP"/>
    <m/>
    <d v="2023-11-10T00:00:00"/>
    <n v="1807"/>
    <n v="106.8592"/>
    <n v="59136.247924737138"/>
    <m/>
    <m/>
    <m/>
    <m/>
    <n v="2023"/>
  </r>
  <r>
    <n v="1855"/>
    <x v="156"/>
    <d v="2023-09-12T00:00:00"/>
    <s v="Codelco"/>
    <s v="Codelco VP"/>
    <s v="Rodrigo Gutierrez "/>
    <s v="RGuti016@codelco.cl"/>
    <s v="Modelación CFD Proyecto Relaves Espesados Talabre"/>
    <s v="ID"/>
    <s v="LM"/>
    <s v="NAC"/>
    <s v="Chile"/>
    <d v="2023-10-06T00:00:00"/>
    <s v="Christian Ihle"/>
    <s v="TA"/>
    <s v="Pedirle a Carla que consulte a Loreto Cifuentes (inicio dic-ene)"/>
    <s v="PP"/>
    <m/>
    <d v="2024-01-19T00:00:00"/>
    <n v="1061"/>
    <n v="61.530999999999999"/>
    <n v="57993.402450518377"/>
    <m/>
    <m/>
    <m/>
    <m/>
    <n v="2024"/>
  </r>
  <r>
    <n v="1854"/>
    <x v="157"/>
    <d v="2023-09-06T00:00:00"/>
    <s v="Tecproser"/>
    <s v="Caserones"/>
    <s v="Miguel Ríos"/>
    <s v="mrios@tecproser.cl"/>
    <s v="Supervisión Instalación Sistema de Bombeo"/>
    <s v="TP"/>
    <s v="ND"/>
    <s v="NAC"/>
    <s v="Chile"/>
    <d v="2023-09-07T00:00:00"/>
    <s v="Claudio Nordio"/>
    <s v="PI"/>
    <s v="Se envian tarifas por profesional"/>
    <s v="PG"/>
    <m/>
    <d v="2023-09-07T00:00:00"/>
    <n v="1000"/>
    <n v="1"/>
    <n v="1000"/>
    <s v="SH-0353"/>
    <m/>
    <m/>
    <m/>
    <n v="2023"/>
  </r>
  <r>
    <n v="1853"/>
    <x v="158"/>
    <d v="2023-09-04T00:00:00"/>
    <s v="VALE"/>
    <s v="VALE"/>
    <s v="Guilherme Silva"/>
    <s v="guilherme.euler@vale.com"/>
    <s v=" Teste de Reologia de Polpa Vargem Grande"/>
    <s v="ED"/>
    <s v="LM"/>
    <s v="INT"/>
    <s v="Brasil"/>
    <d v="2023-09-05T00:00:00"/>
    <s v="Dolglas Souza"/>
    <s v="TA"/>
    <m/>
    <s v="PP"/>
    <m/>
    <d v="2023-09-04T00:00:00"/>
    <n v="93"/>
    <n v="3"/>
    <n v="32258.06451612903"/>
    <m/>
    <m/>
    <m/>
    <m/>
    <n v="2023"/>
  </r>
  <r>
    <n v="1852"/>
    <x v="159"/>
    <d v="2023-08-31T00:00:00"/>
    <s v="Stracon "/>
    <s v="Constancia"/>
    <m/>
    <m/>
    <s v="ID Truck Shop Constancia "/>
    <s v="ID"/>
    <s v="ND"/>
    <s v="NAC"/>
    <s v="Chile"/>
    <m/>
    <m/>
    <m/>
    <m/>
    <s v="NL"/>
    <m/>
    <d v="2023-08-31T00:00:00"/>
    <m/>
    <m/>
    <s v="N/A"/>
    <m/>
    <m/>
    <m/>
    <m/>
    <n v="2023"/>
  </r>
  <r>
    <n v="1851"/>
    <x v="160"/>
    <d v="2023-07-18T00:00:00"/>
    <s v="Minera Los Pelambres"/>
    <s v="Minera Los Pelambres"/>
    <s v="Rosemary Lara"/>
    <s v="rlarab@ccc.cl"/>
    <s v="Gestión Del Conocimiento Proyecto INCO"/>
    <s v="CT"/>
    <s v="ND"/>
    <s v="NAC"/>
    <s v="Chile"/>
    <d v="2023-09-08T00:00:00"/>
    <s v="Christian Ihle"/>
    <s v="CO "/>
    <m/>
    <s v="DP"/>
    <n v="0.01"/>
    <d v="2023-08-30T00:00:00"/>
    <n v="1000"/>
    <n v="1"/>
    <n v="1000"/>
    <m/>
    <m/>
    <m/>
    <m/>
    <n v="2023"/>
  </r>
  <r>
    <n v="1850"/>
    <x v="161"/>
    <d v="2023-08-28T00:00:00"/>
    <s v="COSAPI"/>
    <s v="Proyecto Arqueros "/>
    <s v="Hector de la Jara"/>
    <s v="hdelajara@cosapi.cl"/>
    <s v="ID Planta Concentradora y de Espesado"/>
    <s v="ID"/>
    <s v="ND"/>
    <s v="NAC"/>
    <s v="Chile"/>
    <d v="2023-10-24T00:00:00"/>
    <s v="Carlos Merlo"/>
    <s v="BP"/>
    <m/>
    <s v="PD"/>
    <m/>
    <d v="2023-11-17T00:00:00"/>
    <n v="59205"/>
    <n v="2473.8449999999998"/>
    <n v="41784.393210032933"/>
    <m/>
    <m/>
    <m/>
    <m/>
    <n v="2023"/>
  </r>
  <r>
    <n v="1849"/>
    <x v="162"/>
    <d v="2023-08-28T00:00:00"/>
    <s v="Codelco"/>
    <s v="Codelco Distrito Norte"/>
    <s v="ARIBA"/>
    <m/>
    <s v="Contrato Marco de Ingenierías Multidisciplinarias Distrito Norte"/>
    <s v="CA"/>
    <s v="LM"/>
    <s v="NAC"/>
    <s v="Chile"/>
    <d v="2023-11-14T00:00:00"/>
    <s v="Julio Jara"/>
    <s v="BP-PI-TA"/>
    <s v="Se consulto por estatus via ARIBA el dia 18-03-2024. _x000a_Respuesta: sigue en evaluación."/>
    <s v="DP"/>
    <n v="0.01"/>
    <d v="2024-03-18T00:00:00"/>
    <n v="1000"/>
    <n v="42"/>
    <n v="42000"/>
    <m/>
    <m/>
    <m/>
    <m/>
    <n v="2024"/>
  </r>
  <r>
    <n v="1848"/>
    <x v="163"/>
    <d v="2023-08-25T00:00:00"/>
    <s v="BHP BILLITON"/>
    <s v="BHP BILLITON"/>
    <s v="Maria Ignacia Troncoso"/>
    <s v="maria.i.troncoso@bhp.com"/>
    <s v="Plan de Entrenamiento Aguas y Relaves"/>
    <s v="CT"/>
    <s v="ND"/>
    <s v="NAC"/>
    <s v="Chile"/>
    <d v="2024-03-05T00:00:00"/>
    <s v="Pablo Vásquez"/>
    <s v="CO"/>
    <s v="Rev. 2 el 05-03-2024"/>
    <s v="PG"/>
    <m/>
    <d v="2024-03-05T00:00:00"/>
    <n v="440"/>
    <n v="25.6"/>
    <n v="58181.818181818184"/>
    <s v="SH-0375"/>
    <m/>
    <m/>
    <m/>
    <n v="2024"/>
  </r>
  <r>
    <n v="1847"/>
    <x v="164"/>
    <d v="2023-08-25T00:00:00"/>
    <s v="AngloAmerican"/>
    <s v="AngloAmerican "/>
    <s v="ARIBA"/>
    <m/>
    <s v="Contrato Marco Ing. Especializada Procesos, Hidráulica, Mecánica y Piping"/>
    <s v="CA"/>
    <s v="LM"/>
    <s v="NAC"/>
    <s v="Chile"/>
    <d v="2023-09-05T00:00:00"/>
    <s v="Domingo Fernández"/>
    <s v="BP-PI-TA"/>
    <m/>
    <s v="NL"/>
    <m/>
    <d v="2023-08-28T00:00:00"/>
    <m/>
    <m/>
    <s v="N/A"/>
    <m/>
    <m/>
    <m/>
    <m/>
    <n v="2023"/>
  </r>
  <r>
    <n v="1846"/>
    <x v="165"/>
    <d v="2023-08-28T00:00:00"/>
    <s v="CMP"/>
    <s v="CMP"/>
    <s v="Jean Rojas Gallardo"/>
    <s v="jdrojas@cmp.cl"/>
    <s v="Servicios Complementarios Prueba Circuito en Serie Relaves El Romeral"/>
    <s v="ID"/>
    <s v="ND"/>
    <s v="NAC"/>
    <s v="Chile"/>
    <d v="2023-08-31T00:00:00"/>
    <s v="Pedro Valencia"/>
    <s v="TA"/>
    <m/>
    <s v="PG"/>
    <m/>
    <d v="2023-11-17T00:00:00"/>
    <n v="2944"/>
    <n v="131.4648"/>
    <n v="44655.163043478264"/>
    <s v="SH-0358"/>
    <m/>
    <m/>
    <m/>
    <n v="2023"/>
  </r>
  <r>
    <n v="1845"/>
    <x v="166"/>
    <d v="2023-08-28T00:00:00"/>
    <s v="Sierra Gorda"/>
    <s v="Sierra Gorda"/>
    <s v="Rafael Rodríguez"/>
    <s v="rafael.rodriguez@sgscm.cl"/>
    <s v="Asesoría Ing. Hidráulico-Piping en Terreno"/>
    <s v="ITO"/>
    <s v="ND"/>
    <s v="NAC"/>
    <s v="Chile"/>
    <d v="2023-09-10T00:00:00"/>
    <s v="Jorge Casanova"/>
    <s v="PI"/>
    <m/>
    <s v="PG"/>
    <m/>
    <d v="2023-08-28T00:00:00"/>
    <n v="857"/>
    <n v="44.278227000000001"/>
    <n v="51666.542590431738"/>
    <s v="SH-0271 ODT-14"/>
    <m/>
    <m/>
    <m/>
    <n v="2023"/>
  </r>
  <r>
    <n v="1844"/>
    <x v="167"/>
    <d v="2023-08-23T00:00:00"/>
    <s v="DRA Global"/>
    <s v="DRA Global"/>
    <s v="Miguel Mosqueira"/>
    <s v="Miguel.Mosqueira@DRAGLOBAL.COM"/>
    <s v="Alimentación Aguas Salinas Lithium"/>
    <s v="ID"/>
    <s v="ND"/>
    <s v="INT"/>
    <s v="Brasil"/>
    <d v="2023-09-01T00:00:00"/>
    <s v="Dolglas Souza"/>
    <s v="PI"/>
    <m/>
    <s v="PD"/>
    <m/>
    <d v="2024-01-19T00:00:00"/>
    <m/>
    <m/>
    <s v="N/A"/>
    <m/>
    <m/>
    <m/>
    <m/>
    <n v="2024"/>
  </r>
  <r>
    <n v="1843"/>
    <x v="168"/>
    <d v="2023-08-23T00:00:00"/>
    <s v="Technip"/>
    <s v="Technip"/>
    <s v="Guillermo López"/>
    <s v="guillermo.lopez@technipenergies.com"/>
    <s v="Apoyo Ingenieria Local Planta H2V Magallanes "/>
    <s v="ID"/>
    <s v="ND"/>
    <s v="NAC"/>
    <s v="Chile"/>
    <d v="2023-09-06T00:00:00"/>
    <s v="Christian Ihle"/>
    <s v="BP"/>
    <s v="Se enviaron tarifas y presentación de SHIMIN."/>
    <s v="DP"/>
    <n v="0.01"/>
    <d v="2023-08-24T00:00:00"/>
    <n v="1000"/>
    <n v="42"/>
    <n v="42000"/>
    <m/>
    <m/>
    <m/>
    <m/>
    <n v="2023"/>
  </r>
  <r>
    <n v="1842"/>
    <x v="169"/>
    <d v="2023-08-23T00:00:00"/>
    <s v="Sierra Gorda"/>
    <s v="Sierra Gorda"/>
    <s v="Marcin Pasiut"/>
    <s v="Marcin.Pasiut@sgscm.cl"/>
    <s v="ID Parrilla Detención Utragruesos para 190 KTPD"/>
    <s v="ID"/>
    <s v="ND"/>
    <s v="INT"/>
    <s v="Perú"/>
    <d v="2023-09-04T00:00:00"/>
    <s v="Jorge Casanova"/>
    <s v="TA"/>
    <m/>
    <s v="PG"/>
    <m/>
    <d v="2023-08-23T00:00:00"/>
    <n v="1564"/>
    <n v="69.264671000000007"/>
    <n v="44286.874040920724"/>
    <s v="SH-0271 ODT-15"/>
    <m/>
    <m/>
    <m/>
    <n v="2023"/>
  </r>
  <r>
    <n v="1841"/>
    <x v="170"/>
    <d v="2023-08-23T00:00:00"/>
    <s v="CMP"/>
    <s v="CMP"/>
    <s v="Patricio Ochoa Valenzuela"/>
    <s v="Patricio Alejandro Ochoa Valenzuela &lt;pochoa@cmp.cl&gt;"/>
    <s v="Verificación Hidráulica Mina los Colorados"/>
    <s v="ID"/>
    <s v="ND"/>
    <s v="NAC"/>
    <s v="Chile"/>
    <d v="2023-08-30T00:00:00"/>
    <s v="Rodrigo Gutierrez"/>
    <s v="PI"/>
    <m/>
    <s v="PP"/>
    <m/>
    <d v="2023-08-24T00:00:00"/>
    <m/>
    <m/>
    <s v="N/A"/>
    <m/>
    <m/>
    <m/>
    <m/>
    <n v="2023"/>
  </r>
  <r>
    <n v="1840"/>
    <x v="171"/>
    <d v="2023-08-23T00:00:00"/>
    <s v="Minera Las Bambas"/>
    <s v="Minera Las Bambas"/>
    <s v="Oreste Guazzotti"/>
    <s v="oguazzottiv@hvcontratistas.com.pe"/>
    <s v="Ingeniería de Detalles Laboratorio HV"/>
    <s v="ID"/>
    <s v="ND"/>
    <s v="INT"/>
    <s v="Perú"/>
    <d v="2023-09-04T00:00:00"/>
    <s v="Domingo Fernández"/>
    <s v="ID"/>
    <m/>
    <s v="NL"/>
    <m/>
    <d v="2023-08-23T00:00:00"/>
    <m/>
    <m/>
    <s v="N/A"/>
    <m/>
    <m/>
    <m/>
    <m/>
    <n v="2023"/>
  </r>
  <r>
    <n v="1839"/>
    <x v="172"/>
    <d v="2023-08-22T00:00:00"/>
    <s v="Pucobre"/>
    <s v="Pucobre"/>
    <s v="Rolando Moraga"/>
    <s v="rolando.moraga@pucobre.cl"/>
    <s v="Reporte para Solicitud de Inversión"/>
    <s v="OS"/>
    <s v="ND"/>
    <s v="NAC"/>
    <s v="Chile"/>
    <d v="2023-08-24T00:00:00"/>
    <s v="Carla Tapia"/>
    <s v="OT"/>
    <m/>
    <s v="NL"/>
    <m/>
    <d v="2023-08-24T00:00:00"/>
    <m/>
    <m/>
    <s v="N/A"/>
    <m/>
    <m/>
    <m/>
    <m/>
    <n v="2023"/>
  </r>
  <r>
    <n v="1838"/>
    <x v="173"/>
    <d v="2023-08-22T00:00:00"/>
    <s v="INCOLUR"/>
    <s v="Codelco División Radomiro Tomic"/>
    <s v="Claudio Santander"/>
    <s v="csantander@incolur.cl"/>
    <s v=" Servicios de Ingeniería, Construcción y Montaje Lixiviación Clorurada Temprana"/>
    <s v="ID"/>
    <s v="ND"/>
    <s v="NAC"/>
    <s v="Chile"/>
    <d v="2023-10-10T00:00:00"/>
    <s v="Francisco Espinoza/Pablo Vasquez"/>
    <s v="BP"/>
    <m/>
    <s v="PD"/>
    <m/>
    <d v="2023-11-17T00:00:00"/>
    <n v="28965"/>
    <n v="1128.547178"/>
    <n v="38962.443569825649"/>
    <m/>
    <m/>
    <m/>
    <m/>
    <n v="2023"/>
  </r>
  <r>
    <n v="1837"/>
    <x v="174"/>
    <d v="2023-08-21T00:00:00"/>
    <s v="Codelco"/>
    <s v="Codelco División Andina"/>
    <s v="ARIBA"/>
    <m/>
    <s v="Estudio de Perfil (FEL 1) Andina Subterránea GCEM"/>
    <s v="IP"/>
    <s v="LM"/>
    <s v="NAC"/>
    <s v="Chile"/>
    <d v="2023-09-12T00:00:00"/>
    <m/>
    <s v="PI"/>
    <s v="Se envía Carta Excusa"/>
    <s v="NL"/>
    <m/>
    <d v="2023-08-21T00:00:00"/>
    <m/>
    <m/>
    <s v="N/A"/>
    <m/>
    <m/>
    <m/>
    <m/>
    <n v="2023"/>
  </r>
  <r>
    <n v="1836"/>
    <x v="175"/>
    <d v="2023-08-17T00:00:00"/>
    <s v="SQM"/>
    <s v="SQM"/>
    <s v="Julio Ibañez"/>
    <s v="Julio.Ibanez@sqm.com"/>
    <s v="Prefactibilidad Planta Amoniaco Verde"/>
    <s v="IC"/>
    <s v="ND"/>
    <s v="NAC"/>
    <s v="Chile"/>
    <d v="2023-09-04T00:00:00"/>
    <s v="Domingo Fernández"/>
    <s v="BP"/>
    <m/>
    <s v="NL"/>
    <m/>
    <d v="2023-08-18T00:00:00"/>
    <m/>
    <m/>
    <s v="N/A"/>
    <m/>
    <m/>
    <m/>
    <m/>
    <n v="2023"/>
  </r>
  <r>
    <n v="1835"/>
    <x v="176"/>
    <d v="2023-08-17T00:00:00"/>
    <s v="CMP"/>
    <s v="CMP"/>
    <s v="Patricio Ochoa Valenzuela"/>
    <s v="Patricio Alejandro Ochoa Valenzuela &lt;pochoa@cmp.cl&gt;"/>
    <s v=" Validación trazado y revisión capacidad equipos"/>
    <s v="ITO"/>
    <s v="ND"/>
    <s v="NAC"/>
    <s v="Chile"/>
    <d v="2023-08-21T00:00:00"/>
    <s v="Pedro Valencia"/>
    <s v="OT"/>
    <s v="Propuesta ganada en su momento y luego cliente decidió realizar el proyecto internamente."/>
    <s v="PP"/>
    <m/>
    <d v="2023-08-29T00:00:00"/>
    <n v="430"/>
    <n v="20.189045240000002"/>
    <n v="46951.268000000004"/>
    <s v="SH-0350"/>
    <m/>
    <m/>
    <m/>
    <n v="2023"/>
  </r>
  <r>
    <n v="1834"/>
    <x v="177"/>
    <d v="2023-08-16T00:00:00"/>
    <s v="Sierra Gorda"/>
    <s v="Sierra Gorda"/>
    <s v="Pablo Cruz"/>
    <s v="rafael.rodriguez@sgscm.cl"/>
    <s v="IT Expansión Depósito de Relaves Sierra Gorda "/>
    <s v="ITO"/>
    <s v="LC"/>
    <s v="NAC"/>
    <s v="Chile"/>
    <s v="TBD"/>
    <s v="Pedro Valencia"/>
    <s v="TA"/>
    <s v="Para segundo semestre 2024"/>
    <s v="EP"/>
    <m/>
    <d v="2023-08-18T00:00:00"/>
    <m/>
    <m/>
    <s v="N/A"/>
    <m/>
    <m/>
    <m/>
    <m/>
    <n v="2023"/>
  </r>
  <r>
    <n v="1833"/>
    <x v="178"/>
    <d v="2023-08-16T00:00:00"/>
    <s v="Caserones"/>
    <s v="Caserones"/>
    <s v="Nelson Carvajal Rodríguez"/>
    <s v="Nelson Rodrigo Carvajal Rodriguez &lt;nelson.carvajal@lundinmining.com&gt;"/>
    <s v=" ID Nuevos Pozos el Tambo Larga Duración"/>
    <s v="ID"/>
    <s v="LC"/>
    <s v="NAC"/>
    <s v="Chile"/>
    <d v="2023-08-22T00:00:00"/>
    <s v="Paulo Olivares"/>
    <s v="PI"/>
    <s v="Se envia nueva version el 22-8 (dscto 2%)"/>
    <s v="PG"/>
    <n v="0"/>
    <d v="2023-08-22T00:00:00"/>
    <n v="2284"/>
    <n v="81.409655040000004"/>
    <n v="35643.456672504384"/>
    <s v="SH-0265 OS32"/>
    <m/>
    <m/>
    <m/>
    <n v="2023"/>
  </r>
  <r>
    <n v="1832"/>
    <x v="179"/>
    <d v="2023-08-11T00:00:00"/>
    <s v="VALE"/>
    <s v="VALE"/>
    <s v="Ahlicely Silva"/>
    <s v="ahlicely.silva@vale.com"/>
    <s v="Avaliação técnica dos processos e aplicação dos PNRs"/>
    <s v="ITO"/>
    <s v="ND"/>
    <s v="INT"/>
    <s v="Brasil"/>
    <d v="2023-08-30T00:00:00"/>
    <s v="Dolglas Souza"/>
    <s v="TA"/>
    <m/>
    <s v="NL"/>
    <m/>
    <d v="2023-08-18T00:00:00"/>
    <m/>
    <m/>
    <s v="N/A"/>
    <m/>
    <m/>
    <m/>
    <m/>
    <n v="2023"/>
  </r>
  <r>
    <n v="1831"/>
    <x v="180"/>
    <d v="2023-08-11T00:00:00"/>
    <s v="VALE"/>
    <s v="VALE"/>
    <s v="Jorge Ribeiro / Guilherme Silva"/>
    <s v="jorge.ribeiro@vale.com"/>
    <s v="Adutora Horizonte para Vargem Grande"/>
    <s v="IC"/>
    <s v="ND"/>
    <s v="INT"/>
    <s v="Brasil"/>
    <d v="2023-08-18T00:00:00"/>
    <s v="Sergio Alvarez"/>
    <s v="PI"/>
    <m/>
    <s v="NL"/>
    <m/>
    <d v="2023-08-18T00:00:00"/>
    <n v="496"/>
    <n v="16.053465469999999"/>
    <n v="32365.857802419352"/>
    <m/>
    <m/>
    <m/>
    <m/>
    <n v="2023"/>
  </r>
  <r>
    <n v="1830"/>
    <x v="181"/>
    <d v="2023-08-11T00:00:00"/>
    <s v="VALE"/>
    <s v="VALE"/>
    <s v="Jorge Ribeiro / Guilherme Silva"/>
    <s v="jorge.ribeiro@vale.com"/>
    <s v="Dimensionamiento bombas água de selagem"/>
    <s v="IC"/>
    <s v="ND"/>
    <s v="INT"/>
    <s v="Brasil"/>
    <d v="2023-08-18T00:00:00"/>
    <s v="Sergio Alvarez"/>
    <s v="PI"/>
    <m/>
    <s v="NL"/>
    <m/>
    <d v="2023-08-18T00:00:00"/>
    <n v="447"/>
    <n v="15.190580000000001"/>
    <n v="33983.400447427295"/>
    <m/>
    <m/>
    <m/>
    <m/>
    <n v="2023"/>
  </r>
  <r>
    <n v="1829"/>
    <x v="182"/>
    <d v="2023-08-07T00:00:00"/>
    <s v="Codelco"/>
    <s v="Codelco División Radomiro Tomic"/>
    <s v="ARIBA"/>
    <m/>
    <s v="Construcción, Montaje e Ingeniería Lixiviación Clorurada Temprana"/>
    <s v="EPC"/>
    <s v="LM"/>
    <s v="NAC"/>
    <s v="Chile"/>
    <d v="2023-09-21T00:00:00"/>
    <s v="Francisco Martin"/>
    <s v="LBP"/>
    <s v="Se envía Carta Excusa"/>
    <s v="NL"/>
    <m/>
    <d v="2023-08-18T00:00:00"/>
    <m/>
    <m/>
    <s v="N/A"/>
    <m/>
    <m/>
    <m/>
    <m/>
    <n v="2023"/>
  </r>
  <r>
    <n v="1828"/>
    <x v="183"/>
    <d v="2023-08-04T00:00:00"/>
    <s v="Consorcio JEJ-SHIMIN"/>
    <s v="Codelco División El Teniente"/>
    <s v="Roberto Quezada Ureta"/>
    <s v="rquez001@codelco.cl"/>
    <s v="Sostenimiento de Taludes Camino Tramo B - SH-0274 - ODS28"/>
    <s v="ID"/>
    <s v="LC"/>
    <s v="NAC"/>
    <s v="Chile"/>
    <d v="2023-10-27T00:00:00"/>
    <s v="Gilson Quevedo"/>
    <s v="TA"/>
    <m/>
    <s v="PG"/>
    <m/>
    <d v="2023-08-18T00:00:00"/>
    <n v="595"/>
    <n v="14"/>
    <n v="23529.411764705881"/>
    <s v="SH-0274 ODS28"/>
    <m/>
    <m/>
    <m/>
    <n v="2023"/>
  </r>
  <r>
    <n v="1827"/>
    <x v="184"/>
    <d v="2023-08-03T00:00:00"/>
    <s v="Codelco"/>
    <s v="Codelco División Radomiro Tomic"/>
    <s v="ARIBA"/>
    <m/>
    <s v="ID Ampliación Botadero de Ripios Fase IX"/>
    <s v="ID"/>
    <s v="LM"/>
    <s v="NAC"/>
    <s v="Chile"/>
    <d v="2023-09-06T00:00:00"/>
    <s v="Domingo Fernández"/>
    <s v="OT"/>
    <s v="Carta Excusa"/>
    <s v="NL"/>
    <m/>
    <d v="2023-08-18T00:00:00"/>
    <m/>
    <m/>
    <s v="N/A"/>
    <m/>
    <m/>
    <m/>
    <m/>
    <n v="2023"/>
  </r>
  <r>
    <n v="1826"/>
    <x v="185"/>
    <d v="2023-08-04T00:00:00"/>
    <s v="Codelco"/>
    <s v="Codelco División Ministro Hales"/>
    <s v="ARIBA"/>
    <m/>
    <s v="Construcción, Montaje y Normalización Sistema Contra Incendios"/>
    <s v="EPC"/>
    <s v="LM"/>
    <s v="NAC"/>
    <s v="Chile"/>
    <d v="2023-09-12T00:00:00"/>
    <m/>
    <s v="COM"/>
    <s v="Se envía Carta Excusa"/>
    <s v="NL"/>
    <m/>
    <d v="2023-08-18T00:00:00"/>
    <m/>
    <m/>
    <s v="N/A"/>
    <m/>
    <m/>
    <m/>
    <m/>
    <n v="2023"/>
  </r>
  <r>
    <n v="1825"/>
    <x v="186"/>
    <d v="2023-08-03T00:00:00"/>
    <s v="Caserones"/>
    <s v="Caserones"/>
    <s v="Nelson Carvajal Rodríguez"/>
    <s v="Nelson Rodrigo Carvajal Rodriguez &lt;nelson.carvajal@lundinmining.com&gt;"/>
    <s v="Pruebas de Bombeo Larga Duración Nuevos Pozos el Tambo"/>
    <s v="IC"/>
    <s v="LC"/>
    <s v="NAC"/>
    <s v="Chile"/>
    <d v="2023-08-14T00:00:00"/>
    <s v="Paulo Olivares"/>
    <s v="TA"/>
    <m/>
    <s v="PG"/>
    <n v="0"/>
    <d v="2023-08-10T00:00:00"/>
    <n v="170"/>
    <n v="7.6389399999999998"/>
    <n v="44934.941176470587"/>
    <s v="SH-0265 OS31"/>
    <m/>
    <m/>
    <m/>
    <n v="2023"/>
  </r>
  <r>
    <n v="1824"/>
    <x v="187"/>
    <d v="2023-08-02T00:00:00"/>
    <s v="Teck"/>
    <s v="Quebrada Blanca"/>
    <s v="Sergio Valdebenito"/>
    <s v="Sergio.Valdebenito@teck.com"/>
    <s v="Ingeniería Apta para Construcción Elementos de Protección contra Aluviones"/>
    <s v="ID"/>
    <s v="ND"/>
    <s v="NAC"/>
    <s v="Chile"/>
    <d v="2023-08-04T00:00:00"/>
    <s v="David Cerón"/>
    <s v="ITO"/>
    <m/>
    <s v="PP"/>
    <m/>
    <d v="2024-02-05T00:00:00"/>
    <n v="266"/>
    <n v="11.47465476"/>
    <n v="43137.799849624062"/>
    <m/>
    <m/>
    <m/>
    <m/>
    <n v="2024"/>
  </r>
  <r>
    <n v="1823"/>
    <x v="188"/>
    <d v="2023-08-01T00:00:00"/>
    <s v="Codelco"/>
    <s v="Codelco División El Teniente"/>
    <s v="ARIBA"/>
    <m/>
    <s v="IC Solución Filtraciones Tranque Barahona"/>
    <s v="IC"/>
    <s v="LM"/>
    <s v="NAC"/>
    <s v="Chile"/>
    <d v="2023-09-11T00:00:00"/>
    <s v="Pablo Vasquez"/>
    <s v="TA"/>
    <s v="Buscar Subcontrato Hidro (hidro estudios)/ Maria Fernanda Rojas"/>
    <s v="NL"/>
    <m/>
    <d v="2023-09-04T00:00:00"/>
    <m/>
    <m/>
    <s v="N/A"/>
    <m/>
    <m/>
    <m/>
    <m/>
    <n v="2023"/>
  </r>
  <r>
    <n v="1822"/>
    <x v="189"/>
    <d v="2023-08-01T00:00:00"/>
    <s v="Codelco"/>
    <s v="Codelco División Norte"/>
    <s v="ARIBA"/>
    <m/>
    <s v="Ingeniería de Perfil Control de Polvo y Sílice"/>
    <s v="IP"/>
    <s v="LM"/>
    <s v="NAC"/>
    <s v="Chile"/>
    <d v="2023-09-12T00:00:00"/>
    <m/>
    <s v="OT"/>
    <s v="Se envía Carta Excusa"/>
    <s v="NL"/>
    <m/>
    <d v="2023-08-02T00:00:00"/>
    <m/>
    <m/>
    <s v="N/A"/>
    <m/>
    <m/>
    <m/>
    <m/>
    <n v="2023"/>
  </r>
  <r>
    <n v="1821"/>
    <x v="190"/>
    <d v="2023-08-01T00:00:00"/>
    <s v="Codelco"/>
    <s v="Codelco División Salvador"/>
    <s v="ARIBA"/>
    <m/>
    <s v="Servicios de Contraparte de Ingeniería y Apoyo PEM"/>
    <s v="CT"/>
    <s v="LM"/>
    <s v="NAC"/>
    <s v="Chile"/>
    <d v="2023-09-12T00:00:00"/>
    <s v="Domingo Fernández"/>
    <s v="OT"/>
    <s v="Carta Excusa"/>
    <s v="NL"/>
    <m/>
    <d v="2023-08-11T00:00:00"/>
    <m/>
    <m/>
    <s v="N/A"/>
    <m/>
    <m/>
    <m/>
    <m/>
    <n v="2023"/>
  </r>
  <r>
    <n v="1820"/>
    <x v="191"/>
    <d v="2023-07-31T00:00:00"/>
    <s v="Codelco"/>
    <s v="Codelco División Norte"/>
    <s v="ARIBA"/>
    <m/>
    <s v="Estudio de Perfil (FEL 1) Proyecto Suministro de Agua Distrito Norte "/>
    <s v="IP "/>
    <s v="LM"/>
    <s v="NAC"/>
    <s v="Chile"/>
    <d v="2023-09-05T00:00:00"/>
    <s v="Christian Ihle"/>
    <s v="PI"/>
    <d v="1899-12-30T12:00:00"/>
    <s v="PP"/>
    <m/>
    <d v="2023-11-17T00:00:00"/>
    <n v="8231"/>
    <n v="300.28355900000003"/>
    <n v="36482.026363746809"/>
    <m/>
    <m/>
    <m/>
    <m/>
    <n v="2023"/>
  </r>
  <r>
    <n v="1819"/>
    <x v="192"/>
    <d v="2023-07-31T00:00:00"/>
    <s v="Universidad de Antofagasta"/>
    <s v="Universidad de Antofagasta"/>
    <s v="Ricardo Jeldres"/>
    <s v="ricardo.jeldres@uantof.cl"/>
    <s v="Capacitación Manejo de Pulpas de Relaves Mineros "/>
    <s v="CT"/>
    <s v="ND"/>
    <s v="NAC"/>
    <s v="Chile"/>
    <d v="2023-08-21T00:00:00"/>
    <s v="Christian Ihle"/>
    <s v="IN"/>
    <m/>
    <s v="PG"/>
    <m/>
    <d v="2023-08-11T00:00:00"/>
    <n v="8"/>
    <n v="0.57734112000000004"/>
    <n v="72167.64"/>
    <s v="SH-0348"/>
    <m/>
    <m/>
    <m/>
    <n v="2023"/>
  </r>
  <r>
    <n v="1818"/>
    <x v="193"/>
    <d v="2023-07-27T00:00:00"/>
    <s v="Capstone"/>
    <s v="Capstone"/>
    <s v="Raul Jorquera"/>
    <s v="Raul.Jorquera@capstonecopper.com"/>
    <s v="Servicio Control Geotécnico Operacional Tranque de Relave Mantoverde"/>
    <s v="OS"/>
    <s v="ND"/>
    <s v="NAC"/>
    <s v="Chile"/>
    <d v="2023-08-22T00:00:00"/>
    <s v="Domingo Fernández"/>
    <s v="OT"/>
    <s v="Laboratorio Geotecnico en terreno, 36 meses._x000a_Se enviara Carta Excusa"/>
    <s v="NL"/>
    <m/>
    <d v="2023-08-11T00:00:00"/>
    <m/>
    <m/>
    <s v="N/A"/>
    <m/>
    <m/>
    <m/>
    <m/>
    <n v="2023"/>
  </r>
  <r>
    <n v="1817"/>
    <x v="194"/>
    <d v="2023-07-07T00:00:00"/>
    <s v="Pucobre"/>
    <s v="Pucobre"/>
    <s v="Rolando Moraga / Waldo Bustos"/>
    <s v="rolando.moraga@pucobre.cl"/>
    <s v="Servicio Nube de Puntos"/>
    <s v="OS"/>
    <s v="ND"/>
    <s v="NAC"/>
    <s v="Chile"/>
    <d v="2023-08-02T00:00:00"/>
    <s v="Claudio Nordio"/>
    <s v="OT"/>
    <m/>
    <s v="DP"/>
    <n v="0.01"/>
    <d v="2023-08-11T00:00:00"/>
    <n v="606"/>
    <n v="24.084827000000001"/>
    <n v="39743.938943894391"/>
    <m/>
    <m/>
    <m/>
    <m/>
    <n v="2023"/>
  </r>
  <r>
    <n v="1816"/>
    <x v="195"/>
    <d v="2023-07-27T00:00:00"/>
    <s v="Acciona"/>
    <s v="Collahuasi"/>
    <s v="Waldo Lopez"/>
    <s v="waldocesar.lopez.gonzalez@acciona.com"/>
    <s v="Ingenieria Terreno para Captación de Agua desde Sentina"/>
    <s v="ID"/>
    <s v="ND"/>
    <s v="NAC"/>
    <s v="Chile"/>
    <d v="2023-08-07T00:00:00"/>
    <s v="Rafael Videla B."/>
    <s v="PI"/>
    <m/>
    <s v="PP"/>
    <m/>
    <d v="2023-11-24T00:00:00"/>
    <n v="1260"/>
    <n v="72.900000000000006"/>
    <n v="57857.142857142862"/>
    <m/>
    <m/>
    <m/>
    <m/>
    <n v="2023"/>
  </r>
  <r>
    <n v="1815"/>
    <x v="196"/>
    <d v="2023-07-14T00:00:00"/>
    <s v="AngloAmerican"/>
    <s v="AngloAmerican El Soldado"/>
    <s v="César Tapia"/>
    <s v="cesar.tapia@angloamerican.com"/>
    <s v="Plan de Ejecución Proyecto Canal de Contorno El Torito - NOC 1"/>
    <s v="ID"/>
    <s v="ND"/>
    <s v="NAC"/>
    <s v="Chile"/>
    <d v="2023-07-17T00:00:00"/>
    <s v="Cristina Díaz"/>
    <s v="TA"/>
    <s v="Se envió un preliminar de costos por realizar el taller de riesgos en faena (traslados y reembolsables). Fue aceptado este envío."/>
    <s v="PG"/>
    <m/>
    <d v="2023-07-27T00:00:00"/>
    <n v="9"/>
    <n v="0.5"/>
    <n v="55555.555555555555"/>
    <s v="SH-0340 NOC 1"/>
    <m/>
    <m/>
    <m/>
    <n v="2023"/>
  </r>
  <r>
    <n v="1814"/>
    <x v="197"/>
    <d v="2023-07-25T00:00:00"/>
    <s v="SQM"/>
    <s v="SQM"/>
    <s v="Mauricio Rebolledo"/>
    <s v="Mauricio.Rebolledo@sqm.com"/>
    <s v="ID MCD Venteos y Drenajes Acueducto TEA"/>
    <s v="ID"/>
    <s v="ND"/>
    <s v="NAC"/>
    <s v="Chile"/>
    <d v="2023-07-31T00:00:00"/>
    <s v="Pedro Valencia"/>
    <s v="PI"/>
    <m/>
    <s v="PG"/>
    <m/>
    <d v="2023-12-10T00:00:00"/>
    <n v="109"/>
    <n v="4.1545199999999998"/>
    <n v="38114.862385321103"/>
    <s v="SH-0363"/>
    <m/>
    <m/>
    <m/>
    <n v="2023"/>
  </r>
  <r>
    <n v="1813"/>
    <x v="198"/>
    <d v="2023-07-20T00:00:00"/>
    <s v="Meridion"/>
    <s v="Panamerican Silver"/>
    <s v="Gaston Scolnik"/>
    <s v="Gaston@mdpsa.com.ar"/>
    <s v="Estado de Muro y Crecimiento Cerro Moro"/>
    <s v="OS"/>
    <s v="ND"/>
    <s v="INT"/>
    <s v="Argentina"/>
    <d v="2023-07-25T00:00:00"/>
    <s v="Pablo Vásquez"/>
    <s v="TA"/>
    <m/>
    <s v="PP"/>
    <m/>
    <d v="2023-07-27T00:00:00"/>
    <n v="3058"/>
    <n v="141.91200000000001"/>
    <n v="46406.801831262266"/>
    <m/>
    <m/>
    <m/>
    <m/>
    <n v="2023"/>
  </r>
  <r>
    <n v="1812"/>
    <x v="199"/>
    <d v="2023-07-18T00:00:00"/>
    <s v="Minera Los Pelambres"/>
    <s v="Minera Los Pelambres"/>
    <s v="Francisca Olivares Salazar"/>
    <s v="fmos1305@gmail.com"/>
    <s v="Cursos de Entrenamiento Operacional 2023 STFT - MLP"/>
    <s v="CT"/>
    <s v="ND"/>
    <s v="NAC"/>
    <s v="Chile"/>
    <d v="2023-07-18T00:00:00"/>
    <s v="David Cerón / Sebastián Briceño"/>
    <s v="CO "/>
    <s v="Enviada una oferta con precios cursos individuales"/>
    <s v="PG"/>
    <m/>
    <d v="2023-09-12T00:00:00"/>
    <n v="1015"/>
    <n v="66.078000000000003"/>
    <n v="65101.477832512312"/>
    <s v="SH-0351"/>
    <m/>
    <m/>
    <m/>
    <n v="2023"/>
  </r>
  <r>
    <n v="1811"/>
    <x v="200"/>
    <d v="2023-03-29T00:00:00"/>
    <s v="BHP BILLITON"/>
    <s v="Minera Spence"/>
    <s v="María Montero"/>
    <s v="maria.a.montero1@bhp.com"/>
    <s v="Extensión Asesoría y Supervisión técnica pruebas &quot;Performance Test&quot; para el Proyecto STWM - NOC 1"/>
    <s v="AE"/>
    <s v="ND"/>
    <s v="NAC"/>
    <s v="Chile"/>
    <d v="2023-07-26T00:00:00"/>
    <s v="Pablo Vásquez"/>
    <s v="TA"/>
    <m/>
    <s v="PD"/>
    <m/>
    <d v="2023-07-27T00:00:00"/>
    <n v="3417"/>
    <n v="129.1626"/>
    <n v="37800"/>
    <s v="SH-0330 NOC1"/>
    <m/>
    <m/>
    <m/>
    <n v="2023"/>
  </r>
  <r>
    <n v="1810"/>
    <x v="201"/>
    <d v="2023-07-14T00:00:00"/>
    <s v="BHP BILLITON"/>
    <s v="Minera Spence"/>
    <s v="Mauricio Bravo"/>
    <s v="mauricio.bravo2@bhp.com"/>
    <s v="Contrato Abierto Servicios de Comisionamiento"/>
    <s v="CA"/>
    <s v="LM"/>
    <s v="NAC"/>
    <s v="Chile"/>
    <d v="2023-08-17T00:00:00"/>
    <s v="Pedro Valencia"/>
    <s v="COM"/>
    <s v="Valores netamente referenciales, Contrato Abierto"/>
    <s v="PG"/>
    <m/>
    <d v="2023-08-11T00:00:00"/>
    <n v="1000"/>
    <n v="42"/>
    <n v="42000"/>
    <s v="SH-0357"/>
    <m/>
    <m/>
    <m/>
    <n v="2023"/>
  </r>
  <r>
    <n v="1809"/>
    <x v="202"/>
    <d v="2023-07-13T00:00:00"/>
    <s v="VALE"/>
    <s v="VALE"/>
    <s v="Guillerme Silva/Jorge Ribeiro"/>
    <s v="guilherme.euler@vale.com jorge.ribeiro@vale.com"/>
    <s v="As Built e Flexibilidade Rota 1800 para Maravilhas 3"/>
    <s v="OS"/>
    <s v="ND"/>
    <s v="INT"/>
    <s v="Brasil"/>
    <d v="2023-08-30T00:00:00"/>
    <s v="Dolglas Souza"/>
    <s v="PI"/>
    <m/>
    <s v="PP"/>
    <m/>
    <d v="2023-11-17T00:00:00"/>
    <n v="1537"/>
    <n v="55.600546000000001"/>
    <n v="36174.720884840593"/>
    <m/>
    <m/>
    <m/>
    <m/>
    <n v="2023"/>
  </r>
  <r>
    <n v="1808"/>
    <x v="203"/>
    <d v="2023-07-11T00:00:00"/>
    <s v="Caserones"/>
    <s v="Caserones"/>
    <s v="Nelson Carvajal Rodríguez"/>
    <s v="ncarvajal@caserones.cl"/>
    <s v="Ingeniería Dewatering Mina Continuo"/>
    <s v="ID"/>
    <s v="LC"/>
    <s v="NAC"/>
    <s v="Chile"/>
    <d v="2023-07-13T00:00:00"/>
    <s v="Cristian López"/>
    <s v="PI"/>
    <s v="Precio"/>
    <s v="PP"/>
    <m/>
    <d v="2023-07-27T00:00:00"/>
    <n v="1248"/>
    <n v="41.509250000000002"/>
    <n v="33260.616987179492"/>
    <m/>
    <m/>
    <m/>
    <m/>
    <n v="2023"/>
  </r>
  <r>
    <n v="1807"/>
    <x v="204"/>
    <d v="2023-05-18T00:00:00"/>
    <s v="Codelco"/>
    <s v="Codelco División Chuquicamata"/>
    <s v="Víctor Carvajal González"/>
    <s v="VCarv002@codelco.cl"/>
    <s v="Ingeniería Básica Complementaria Proyecto Control de Drenajes Muros Tranque Talabre - DCH - SH-0333 - ODS03"/>
    <s v="IB"/>
    <s v="LC"/>
    <s v="NAC"/>
    <s v="Chile"/>
    <d v="2023-08-08T00:00:00"/>
    <s v="Domingo Fernández"/>
    <s v="TA"/>
    <m/>
    <s v="PP"/>
    <m/>
    <d v="2023-08-11T00:00:00"/>
    <n v="4500"/>
    <n v="201.37064899999999"/>
    <n v="44749.033111111108"/>
    <s v="SH-0333 ODS03"/>
    <m/>
    <m/>
    <m/>
    <n v="2023"/>
  </r>
  <r>
    <n v="1806"/>
    <x v="205"/>
    <d v="2023-07-10T00:00:00"/>
    <s v="VALE"/>
    <s v="VALE"/>
    <s v="Marion Novonha"/>
    <m/>
    <s v="Revisão técnica independente Bombeamento de rejeito da barragem B3/B4 para cava da Mutuca - TAC 2"/>
    <s v="RE"/>
    <s v="ND"/>
    <s v="INT"/>
    <s v="Brasil"/>
    <d v="2023-07-10T00:00:00"/>
    <s v="Dolglas Souza"/>
    <s v="PI-TA"/>
    <m/>
    <s v="PP"/>
    <m/>
    <d v="2024-02-05T00:00:00"/>
    <n v="238"/>
    <n v="7.3"/>
    <n v="30672.268907563022"/>
    <s v="SH-0296 TAC 2"/>
    <m/>
    <m/>
    <m/>
    <n v="2024"/>
  </r>
  <r>
    <n v="1805"/>
    <x v="206"/>
    <d v="2023-07-11T00:00:00"/>
    <s v="Collahuasi"/>
    <s v="Collahuasi"/>
    <s v="Ricardo Yañez"/>
    <s v="rfyanez@collahuasi.cl"/>
    <s v="Apoyo Preparación Capítulo Gate Review P345"/>
    <s v="OS"/>
    <s v="ND"/>
    <s v="NAC"/>
    <s v="Chile"/>
    <d v="2023-07-13T00:00:00"/>
    <s v="Cristina Díaz"/>
    <s v="TA"/>
    <s v="Envío preliminar. Luego se acordarán los alcances finales con CMDIC."/>
    <s v="DP"/>
    <n v="0.05"/>
    <d v="2023-07-27T00:00:00"/>
    <n v="438"/>
    <n v="22"/>
    <n v="50228.310502283101"/>
    <s v="SH-0337 OS-02"/>
    <m/>
    <m/>
    <m/>
    <n v="2023"/>
  </r>
  <r>
    <n v="1804"/>
    <x v="207"/>
    <d v="2023-07-10T00:00:00"/>
    <s v="VALE"/>
    <s v="VALE"/>
    <s v="Marion Novonha"/>
    <m/>
    <s v="Revisão técnica independente Bombeamento de rejeito da barragem BSS para cava de Gongo Soco - TAC 3"/>
    <s v="RE"/>
    <s v="ND"/>
    <s v="INT"/>
    <s v="Brasil"/>
    <d v="2023-07-10T00:00:00"/>
    <s v="Dolglas Souza"/>
    <s v="PI-TA"/>
    <m/>
    <s v="PP"/>
    <m/>
    <d v="2024-02-05T00:00:00"/>
    <n v="313"/>
    <n v="9.5"/>
    <n v="30351.437699680511"/>
    <s v="SH-0295 TAC 3"/>
    <m/>
    <m/>
    <m/>
    <n v="2024"/>
  </r>
  <r>
    <n v="1803"/>
    <x v="208"/>
    <d v="2023-07-10T00:00:00"/>
    <s v="VALE"/>
    <s v="VALE"/>
    <s v="Edimilson Silva"/>
    <s v="Edimilson.Silva5@vale.com"/>
    <s v="EC, EB e ED Bombeamento de Polpa e Sump da MOAGEM SLB I&amp;II – VALE TAC 1"/>
    <s v="EC/EB"/>
    <s v="ND"/>
    <s v="INT"/>
    <s v="Brasil"/>
    <d v="2023-07-25T00:00:00"/>
    <s v="Pedro Valencia"/>
    <s v="PI"/>
    <m/>
    <s v="NL"/>
    <m/>
    <d v="2023-07-27T00:00:00"/>
    <m/>
    <m/>
    <s v="N/A"/>
    <s v="SH-0320 TAC 1"/>
    <m/>
    <m/>
    <m/>
    <n v="2023"/>
  </r>
  <r>
    <n v="1802"/>
    <x v="209"/>
    <d v="2023-07-10T00:00:00"/>
    <s v="VALE"/>
    <s v="VALE"/>
    <s v="Anderson Gomes"/>
    <s v="Edimilson.Silva5@vale.com"/>
    <s v="EC_EB e ED Bombeamento de agua recuperada Salobo – VALE - TAC 1"/>
    <s v="EC/EB/ED"/>
    <s v="ND"/>
    <s v="INT"/>
    <s v="Brasil"/>
    <d v="2023-07-26T00:00:00"/>
    <s v="José Tomás Monares"/>
    <s v="PI"/>
    <m/>
    <s v="NL"/>
    <m/>
    <d v="2023-07-27T00:00:00"/>
    <m/>
    <m/>
    <s v="N/A"/>
    <s v="SH-0322 TAC 1"/>
    <m/>
    <m/>
    <m/>
    <n v="2023"/>
  </r>
  <r>
    <n v="1801"/>
    <x v="210"/>
    <d v="2023-07-10T00:00:00"/>
    <s v="VALE"/>
    <s v="VALE"/>
    <s v="Bruno Alvarenga"/>
    <s v="Edimilson.Silva5@vale.com"/>
    <s v="Gerenciamiento e QA/QC Construcao Novo Rejeitoduto"/>
    <s v="IT"/>
    <s v="ND"/>
    <s v="INT"/>
    <s v="Brasil"/>
    <d v="2023-07-10T00:00:00"/>
    <s v="Pedro Valencia"/>
    <s v="PI-TA"/>
    <s v="Envío preliminar. Luego se acordarán los alcances finales con VALE."/>
    <s v="NL"/>
    <m/>
    <d v="2023-11-24T00:00:00"/>
    <n v="8800"/>
    <n v="332"/>
    <n v="37727.272727272728"/>
    <m/>
    <m/>
    <m/>
    <m/>
    <n v="2023"/>
  </r>
  <r>
    <n v="1800"/>
    <x v="211"/>
    <d v="2023-07-10T00:00:00"/>
    <s v="VALE"/>
    <s v="VALE"/>
    <s v="Jozevan"/>
    <m/>
    <s v="Engenharia Detalhada Rejeitoduto Mina do Salobo – VALE - TAC 1"/>
    <s v="ID"/>
    <s v="ND"/>
    <s v="INT"/>
    <s v="Brasil"/>
    <d v="2023-07-26T00:00:00"/>
    <s v="Pedro Valencia"/>
    <s v="PI"/>
    <s v="Aprobada 1606 con estos datos actualizados."/>
    <s v="PP"/>
    <n v="0"/>
    <d v="2023-07-27T00:00:00"/>
    <n v="606"/>
    <n v="18.100000000000001"/>
    <n v="29867.986798679871"/>
    <s v="SH-0336 TAC 1"/>
    <m/>
    <m/>
    <m/>
    <n v="2023"/>
  </r>
  <r>
    <n v="1799"/>
    <x v="212"/>
    <d v="2023-07-07T00:00:00"/>
    <s v="VALE"/>
    <s v="VALE"/>
    <s v="Roderico Cabelo"/>
    <m/>
    <s v="ED Relocação da Captação e Bombeamento da Cava da Mina de Timbopeba en Ouro Preto"/>
    <s v="ED"/>
    <s v="ND"/>
    <s v="INT"/>
    <s v="Brasil"/>
    <d v="2023-07-25T00:00:00"/>
    <s v="Dolglas Souza"/>
    <s v="PI"/>
    <m/>
    <s v="PP"/>
    <m/>
    <d v="2023-11-17T00:00:00"/>
    <n v="9990"/>
    <n v="319"/>
    <n v="31931.931931931933"/>
    <m/>
    <m/>
    <m/>
    <m/>
    <n v="2023"/>
  </r>
  <r>
    <n v="1798"/>
    <x v="213"/>
    <d v="2023-07-07T00:00:00"/>
    <s v="VALE"/>
    <s v="VALE"/>
    <s v="Saulo Sarmento"/>
    <m/>
    <s v="ED Sistema de Bombeamento de Água dos Ponds – Salobo - Vale"/>
    <s v="ED"/>
    <s v="ND"/>
    <s v="INT"/>
    <s v="Brasil"/>
    <d v="2023-07-12T00:00:00"/>
    <s v="Dolglas Souza"/>
    <s v="PI"/>
    <m/>
    <s v="PP"/>
    <n v="0"/>
    <d v="2023-07-27T00:00:00"/>
    <n v="9043"/>
    <n v="294.2"/>
    <n v="32533.451288289285"/>
    <m/>
    <m/>
    <m/>
    <m/>
    <n v="2023"/>
  </r>
  <r>
    <n v="1797"/>
    <x v="214"/>
    <d v="2023-07-06T00:00:00"/>
    <s v="Centinela"/>
    <s v="Centinela"/>
    <s v="Ariba - Iselin Méndez Bravo"/>
    <m/>
    <s v="Contraparte Ingeniería de Detalles Proyecto Depósito de Relaves en Rajo (DRR)"/>
    <s v="CO"/>
    <s v="LM"/>
    <s v="NAC"/>
    <s v="Chile"/>
    <d v="2023-08-16T00:00:00"/>
    <s v="Pablo Vásquez"/>
    <s v="TA-PI"/>
    <s v="Ronda Aclaratoria 23-8"/>
    <s v="PG"/>
    <m/>
    <d v="2023-08-16T00:00:00"/>
    <n v="10466.5"/>
    <n v="475.89982400000002"/>
    <n v="45468.860077389771"/>
    <s v="SH-0354"/>
    <m/>
    <m/>
    <m/>
    <n v="2023"/>
  </r>
  <r>
    <n v="1796"/>
    <x v="215"/>
    <d v="2023-07-06T00:00:00"/>
    <s v="VALE"/>
    <s v="VALE"/>
    <s v="Edimilson Silva"/>
    <s v="Edimilson.Silva5@vale.com"/>
    <s v="ED Desenvolvimento Água de Flushing Rejeitoduto Salobo"/>
    <s v="ED"/>
    <s v="ND"/>
    <s v="INT"/>
    <s v="Brasil"/>
    <d v="2023-07-10T00:00:00"/>
    <s v="Dolglas Souza"/>
    <s v="PI-TA"/>
    <m/>
    <s v="PP"/>
    <n v="0"/>
    <d v="2023-07-27T00:00:00"/>
    <n v="2422"/>
    <n v="73.2"/>
    <n v="30222.956234516929"/>
    <m/>
    <m/>
    <m/>
    <m/>
    <n v="2023"/>
  </r>
  <r>
    <n v="1795"/>
    <x v="216"/>
    <d v="2023-07-05T00:00:00"/>
    <s v="Capstone"/>
    <s v="Capstone"/>
    <s v="Leonardo de La Hoz"/>
    <m/>
    <s v="Sistema de Recuperación Agua Filtrada Puerto Santo Domingo a Los Flamencos"/>
    <s v="ED"/>
    <s v="ND"/>
    <s v="NAC"/>
    <s v="Chile"/>
    <d v="2023-07-17T00:00:00"/>
    <s v="Hernán Castro"/>
    <s v="PI"/>
    <s v="Se suspende Proyecto"/>
    <s v="PD"/>
    <m/>
    <d v="2023-09-04T00:00:00"/>
    <n v="3370"/>
    <n v="151.95255"/>
    <n v="45089.777448071218"/>
    <m/>
    <m/>
    <m/>
    <m/>
    <n v="2023"/>
  </r>
  <r>
    <n v="1794"/>
    <x v="217"/>
    <d v="2023-07-04T00:00:00"/>
    <s v="Collahuasi"/>
    <s v="Collahuasi"/>
    <s v="Ricardo Yañez"/>
    <s v="rfyanez@collahuasi.cl"/>
    <s v="Apoyo Preparación de Documento P345 Riesgos"/>
    <s v="OS"/>
    <s v="ND"/>
    <s v="NAC"/>
    <s v="Chile"/>
    <d v="2023-07-05T00:00:00"/>
    <s v="Cristina Díaz"/>
    <s v="TA"/>
    <m/>
    <s v="PG"/>
    <m/>
    <d v="2023-07-27T00:00:00"/>
    <n v="67"/>
    <n v="3.7"/>
    <n v="55223.880597014926"/>
    <s v="SH-0337 OS-01"/>
    <m/>
    <m/>
    <m/>
    <n v="2023"/>
  </r>
  <r>
    <n v="1793"/>
    <x v="218"/>
    <d v="2023-06-29T00:00:00"/>
    <s v="Fundación Lucksic Scholars"/>
    <s v="Fundación Lucksic Scholars"/>
    <m/>
    <m/>
    <s v="Desarrollo de Simulador Planta de Producción de Arenas para Construcción de Muro de Tranque de Relaves"/>
    <s v="OS"/>
    <s v="PRE"/>
    <s v="NAC"/>
    <s v="Chile"/>
    <d v="2023-06-30T00:00:00"/>
    <s v="Pedro Valencia"/>
    <s v="IN"/>
    <m/>
    <s v="PP"/>
    <m/>
    <d v="2023-07-27T00:00:00"/>
    <m/>
    <m/>
    <s v="N/A"/>
    <m/>
    <m/>
    <m/>
    <m/>
    <n v="2023"/>
  </r>
  <r>
    <n v="1792"/>
    <x v="219"/>
    <d v="2023-06-28T00:00:00"/>
    <s v="IPE"/>
    <s v="Empresa Minera Paitití"/>
    <s v="Enrique Ferrufino Gómez"/>
    <s v="efg@ipe.bo"/>
    <s v="Evaluación Filtros Prensa Áreas 1000 y 3000 Project OSP"/>
    <s v="OS"/>
    <s v="ND"/>
    <s v="INT"/>
    <s v="Bolivia"/>
    <d v="2023-06-28T00:00:00"/>
    <s v="Pedro Valencia"/>
    <s v="BP"/>
    <m/>
    <s v="PG"/>
    <m/>
    <d v="2023-06-30T00:00:00"/>
    <n v="80"/>
    <n v="3.7094309999999999"/>
    <n v="46367.887499999997"/>
    <s v="SH-0345"/>
    <m/>
    <m/>
    <m/>
    <n v="2023"/>
  </r>
  <r>
    <n v="1791"/>
    <x v="220"/>
    <d v="2023-06-27T00:00:00"/>
    <s v="FDA"/>
    <s v="Centinela"/>
    <s v="Marion Célis"/>
    <s v="mcelis@fda.cl"/>
    <s v="Estudio de Prefactibilidad Línea Alternativa Emergencia Relaves"/>
    <s v="IP"/>
    <s v="ND"/>
    <s v="NAC"/>
    <s v="Chile"/>
    <d v="2023-06-30T00:00:00"/>
    <s v="Pedro Valencia"/>
    <s v="PI"/>
    <s v="Enviada en Rev 2."/>
    <s v="PG"/>
    <m/>
    <d v="2023-08-21T00:00:00"/>
    <n v="2961"/>
    <n v="135.73332500000001"/>
    <n v="45840.366430260052"/>
    <s v="SH-0355"/>
    <m/>
    <m/>
    <m/>
    <n v="2023"/>
  </r>
  <r>
    <n v="1790"/>
    <x v="221"/>
    <d v="2023-06-27T00:00:00"/>
    <s v="Fundación Chile"/>
    <s v="BHP BILLITON"/>
    <s v="Patricio Balmaceda"/>
    <s v="patricio.balmaceda@fch.cl"/>
    <s v="Concurso BHP Global Water Challenge"/>
    <s v="OS"/>
    <s v="ND"/>
    <s v="NAC"/>
    <s v="Chile"/>
    <d v="2023-06-28T00:00:00"/>
    <s v="Christian Ihle"/>
    <s v="IN"/>
    <m/>
    <s v="PG"/>
    <m/>
    <d v="2023-06-30T00:00:00"/>
    <n v="545"/>
    <n v="34.276000000000003"/>
    <n v="62891.743119266059"/>
    <s v="SH-0342"/>
    <m/>
    <m/>
    <m/>
    <n v="2023"/>
  </r>
  <r>
    <n v="1789"/>
    <x v="222"/>
    <d v="2023-06-27T00:00:00"/>
    <s v="Verbrec"/>
    <s v="Verbrec"/>
    <s v="Ian Gooding"/>
    <s v=" Ian.Gooding@verbrec.com"/>
    <s v="GA's, MTO's and equipment lists of Magnetite Concentrate Pipeline Pump Stations in Mid West Shared Infrastructure PFS"/>
    <s v="IB"/>
    <s v="ND"/>
    <s v="NAC"/>
    <s v="Chile"/>
    <d v="2023-07-07T00:00:00"/>
    <s v="Christian Ihle"/>
    <s v="PI"/>
    <m/>
    <s v="PG"/>
    <m/>
    <d v="2023-07-25T00:00:00"/>
    <n v="1339"/>
    <n v="50.572000000000003"/>
    <n v="37768.483943241226"/>
    <s v="SH-0346"/>
    <m/>
    <m/>
    <m/>
    <n v="2023"/>
  </r>
  <r>
    <n v="1788"/>
    <x v="223"/>
    <d v="2023-06-22T00:00:00"/>
    <s v="Caserones"/>
    <s v="Caserones"/>
    <s v="Nelson Carvajal Rodríguez"/>
    <s v="ncarvajal@caserones.cl"/>
    <s v="Ingenieria de Detalles Traslado Pozos La Brea"/>
    <s v="ID"/>
    <s v="LC"/>
    <s v="NAC"/>
    <s v="Chile"/>
    <d v="2023-06-23T00:00:00"/>
    <s v="Cristian López"/>
    <s v="OT"/>
    <m/>
    <s v="PG"/>
    <m/>
    <d v="2023-07-31T00:00:00"/>
    <n v="2942"/>
    <n v="92.594110000000001"/>
    <n v="31473.184908225696"/>
    <s v="SH-0265 OS30"/>
    <m/>
    <m/>
    <m/>
    <n v="2023"/>
  </r>
  <r>
    <n v="1787"/>
    <x v="224"/>
    <d v="2023-06-22T00:00:00"/>
    <s v="Caserones"/>
    <s v="Caserones"/>
    <s v="Cintya Lorena Vega Hidalgo"/>
    <s v="cvegah@caserones.cl"/>
    <s v="Ingeniería de Detalles Normalización Circuito  Trasvasije y Distribución de NaSH"/>
    <s v="ID"/>
    <s v="LC"/>
    <s v="NAC"/>
    <s v="Chile"/>
    <d v="2023-07-25T00:00:00"/>
    <s v="Paulo Olivares"/>
    <s v="BP"/>
    <s v="Precio"/>
    <s v="PP"/>
    <m/>
    <d v="2023-07-13T00:00:00"/>
    <n v="5991"/>
    <n v="196.23435699999999"/>
    <n v="32754.858454348188"/>
    <m/>
    <m/>
    <m/>
    <m/>
    <n v="2023"/>
  </r>
  <r>
    <n v="1786"/>
    <x v="225"/>
    <d v="2023-06-20T00:00:00"/>
    <s v="Caserones"/>
    <s v="Caserones"/>
    <s v="Nelson Carvajal Rodríguez"/>
    <s v="ncarvajal@caserones.cl"/>
    <s v="Memorias de Cálculo Malla de Tierra Sector Pozos Amolanas"/>
    <s v="ID"/>
    <s v="LC"/>
    <s v="NAC"/>
    <s v="Chile"/>
    <d v="2023-06-22T00:00:00"/>
    <s v="Cristian López"/>
    <s v="OT"/>
    <m/>
    <s v="PG"/>
    <m/>
    <d v="2023-06-27T00:00:00"/>
    <n v="18"/>
    <n v="0.79200000000000004"/>
    <n v="44000.000000000007"/>
    <s v="SH-0265 OS29"/>
    <m/>
    <m/>
    <m/>
    <n v="2023"/>
  </r>
  <r>
    <n v="1785"/>
    <x v="226"/>
    <d v="2023-06-20T00:00:00"/>
    <s v="Codelco"/>
    <s v="Codelco División El Teniente"/>
    <s v="Roberto Quezada Ureta"/>
    <s v="rquez001@codelco.cl"/>
    <s v="Ingeniería de Prefactibilidad Manejo de Excedentes de Excavación TOVE IV - SH-0274 - ODS28"/>
    <s v="IP"/>
    <s v="LC"/>
    <s v="NAC"/>
    <s v="Chile"/>
    <d v="2023-06-20T00:00:00"/>
    <s v="Gilson Quevedo"/>
    <s v="OT"/>
    <m/>
    <s v="NL"/>
    <m/>
    <d v="2023-06-22T00:00:00"/>
    <m/>
    <m/>
    <s v="N/A"/>
    <m/>
    <m/>
    <m/>
    <m/>
    <n v="2023"/>
  </r>
  <r>
    <n v="1784"/>
    <x v="227"/>
    <d v="2023-06-20T00:00:00"/>
    <s v="Consorcio JEJ-SHIMIN"/>
    <s v="Codelco División El Teniente"/>
    <s v="Roberto Quezada Ureta"/>
    <s v="rquez001@codelco.cl"/>
    <s v="Ingeniería Conceptual Planta Lavado de Vehículos - SH-0274 - ODS27"/>
    <s v="IC"/>
    <s v="LC"/>
    <s v="NAC"/>
    <s v="Chile"/>
    <d v="2023-06-20T00:00:00"/>
    <s v="Francisco Espinoza"/>
    <s v="OT"/>
    <s v="Versión Preliminar enviada por Hugo el 4/8"/>
    <s v="PG"/>
    <m/>
    <d v="2023-08-04T00:00:00"/>
    <n v="1724"/>
    <n v="37.985078000000001"/>
    <n v="22033.107888631093"/>
    <s v="SH-0274 ODS27"/>
    <m/>
    <m/>
    <m/>
    <n v="2023"/>
  </r>
  <r>
    <n v="1783"/>
    <x v="228"/>
    <d v="2023-06-16T00:00:00"/>
    <s v="INCOLUR"/>
    <s v="Codelco DRT"/>
    <s v="Claudio Santander"/>
    <m/>
    <s v="Ingeniería de Detalles Ampliación Botadero de Ripios Fase IX - DRT"/>
    <s v="ID"/>
    <s v="ND"/>
    <s v="NAC"/>
    <s v="Chile"/>
    <d v="2023-06-20T00:00:00"/>
    <s v="Pedro Valencia"/>
    <s v="LBP"/>
    <s v="Propuesta desierta para los EPC"/>
    <s v="PD"/>
    <m/>
    <d v="2023-07-24T00:00:00"/>
    <n v="2009"/>
    <n v="85.3"/>
    <n v="42458.934793429566"/>
    <m/>
    <m/>
    <m/>
    <m/>
    <n v="2023"/>
  </r>
  <r>
    <n v="1782"/>
    <x v="229"/>
    <d v="2023-06-12T00:00:00"/>
    <s v="Caserones"/>
    <s v="Caserones"/>
    <s v="Nelson Carvajal Rodríguez"/>
    <s v="ncarvajal@caserones.cl"/>
    <s v="Normalización TE1 Energización La Brea / El Tambo"/>
    <s v="ID"/>
    <s v="LC"/>
    <s v="NAC"/>
    <s v="Chile"/>
    <d v="2023-06-15T00:00:00"/>
    <s v="Cristian López"/>
    <s v="OT"/>
    <m/>
    <s v="PG"/>
    <m/>
    <d v="2023-06-16T00:00:00"/>
    <n v="120"/>
    <n v="4.9041600000000001"/>
    <n v="40868"/>
    <s v="SH-0265 OS28"/>
    <m/>
    <m/>
    <m/>
    <n v="2023"/>
  </r>
  <r>
    <n v="1781"/>
    <x v="230"/>
    <d v="2023-05-20T00:00:00"/>
    <s v="Codelco"/>
    <s v="Codelco División El Salvador"/>
    <s v="ARIBA"/>
    <m/>
    <s v=" Servicios de Ingeniería Apoyo Superintendencia Agua y Relaves - DSAL"/>
    <s v="CA"/>
    <s v="LM"/>
    <s v="NAC"/>
    <s v="Chile"/>
    <d v="2023-06-12T00:00:00"/>
    <s v="David Cerón"/>
    <s v="BP-LBP-TA-PI"/>
    <m/>
    <s v="PP"/>
    <m/>
    <d v="2023-11-10T00:00:00"/>
    <n v="1000"/>
    <n v="42"/>
    <n v="42000"/>
    <m/>
    <m/>
    <m/>
    <m/>
    <n v="2023"/>
  </r>
  <r>
    <n v="1780"/>
    <x v="231"/>
    <d v="2023-06-06T00:00:00"/>
    <s v="Minera Santo Domingo"/>
    <s v="Minera Santo Domingo"/>
    <m/>
    <m/>
    <s v="Actualización Factibilidad Sistema de Transporte de Concentrado Santo Domingo"/>
    <s v="RE"/>
    <s v="LM"/>
    <s v="NAC"/>
    <s v="Chile"/>
    <d v="2023-06-20T00:00:00"/>
    <s v="Hernán Castro"/>
    <s v="BP-PI"/>
    <s v="Declarada deiserta debido a una definición estratégica de la compañía"/>
    <s v="PD"/>
    <m/>
    <d v="2023-07-05T00:00:00"/>
    <m/>
    <n v="261"/>
    <s v="N/A"/>
    <m/>
    <m/>
    <m/>
    <m/>
    <n v="2023"/>
  </r>
  <r>
    <n v="1779"/>
    <x v="232"/>
    <d v="2023-06-02T00:00:00"/>
    <s v="Collahuasi"/>
    <s v="Collahuasi"/>
    <s v="Pedro Alegre González"/>
    <s v="pjalegre@collahuasi.cl"/>
    <s v="Revisión Ingeniería de Detalles Restitución  Sector Poniente"/>
    <s v="RE"/>
    <s v="ND"/>
    <s v="NAC"/>
    <s v="Chile"/>
    <d v="2023-06-13T00:00:00"/>
    <s v="Rodrigo Gutiérrez"/>
    <s v="PI"/>
    <s v="Enviada revisión 1"/>
    <s v="PG"/>
    <m/>
    <d v="2023-06-30T00:00:00"/>
    <n v="895"/>
    <n v="50"/>
    <n v="55865.921787709492"/>
    <s v="SH-0343"/>
    <m/>
    <m/>
    <m/>
    <n v="2023"/>
  </r>
  <r>
    <n v="1778"/>
    <x v="233"/>
    <d v="2022-08-01T00:00:00"/>
    <s v="VALE"/>
    <s v="VALE"/>
    <s v="Edimilson Silva"/>
    <s v="maurilio.maciel@vale.com "/>
    <s v="Atividades Complementares Estudo E Projeto Solução Técnica para Lançamento do Rejeito Salobo - TAC 2"/>
    <s v="OS"/>
    <s v="LC"/>
    <s v="INT"/>
    <s v="Brasil"/>
    <d v="2023-06-05T00:00:00"/>
    <s v="Dolglas Souza"/>
    <s v="PI-TA"/>
    <s v="289 os3 (NOC)"/>
    <s v="PG"/>
    <m/>
    <d v="2023-07-15T00:00:00"/>
    <n v="197.3"/>
    <n v="8.6999999999999993"/>
    <n v="44095.286365940185"/>
    <s v="SH-0289 OS-03 (NOC)"/>
    <m/>
    <m/>
    <m/>
    <n v="2023"/>
  </r>
  <r>
    <n v="1777"/>
    <x v="234"/>
    <d v="2023-05-31T00:00:00"/>
    <s v="INCOLUR"/>
    <s v="AngloAmerican Sur"/>
    <s v="Carlos Solís Pizarro"/>
    <s v="csolis@incolur.cl"/>
    <s v="Ingeniería de Detalles Repotenciamiento Estación de Ciclones El Torito"/>
    <s v="ID"/>
    <s v="ND"/>
    <s v="NAC"/>
    <s v="Chile"/>
    <d v="2023-06-15T00:00:00"/>
    <s v="Domingo Fernández"/>
    <s v="TA-PI"/>
    <s v="Se rebaja oferta orginal"/>
    <s v="PG"/>
    <m/>
    <d v="2023-06-22T00:00:00"/>
    <n v="973"/>
    <n v="42.508400000000002"/>
    <n v="43687.975334018505"/>
    <s v="SH-0349"/>
    <m/>
    <m/>
    <m/>
    <n v="2023"/>
  </r>
  <r>
    <n v="1776"/>
    <x v="235"/>
    <d v="2023-05-25T00:00:00"/>
    <s v="EMIN"/>
    <s v="Codelco DRT"/>
    <s v="Sergio Henríquez Araya"/>
    <s v="shenriquez@emin.cl"/>
    <s v="Ingeniería de Detalles Ampliación Botadero de Ripios Fase IX - DRT"/>
    <s v="ID"/>
    <s v="ND"/>
    <s v="NAC"/>
    <s v="Chile"/>
    <d v="2023-06-02T00:00:00"/>
    <s v="José Tomás Monares"/>
    <s v="LBP"/>
    <m/>
    <s v="NL"/>
    <n v="0"/>
    <d v="2023-07-24T00:00:00"/>
    <m/>
    <m/>
    <s v="N/A"/>
    <m/>
    <m/>
    <m/>
    <m/>
    <n v="2023"/>
  </r>
  <r>
    <n v="1775"/>
    <x v="236"/>
    <d v="2023-05-30T00:00:00"/>
    <s v="Sierra Gorda"/>
    <s v="Sierra Gorda"/>
    <s v="Rafael Rodríguez"/>
    <s v="rafael.rodriguez@sgscm.cl"/>
    <s v="Análisis Hidráulico Modificación Canal Norte a Tuberías de Traspaso"/>
    <s v="OS"/>
    <s v="LC"/>
    <s v="NAC"/>
    <s v="Chile"/>
    <d v="2023-05-31T00:00:00"/>
    <s v="Jorge Casanova"/>
    <s v="PI"/>
    <m/>
    <s v="PP"/>
    <m/>
    <d v="2024-01-12T00:00:00"/>
    <n v="24"/>
    <n v="1.2"/>
    <n v="49999.999999999993"/>
    <m/>
    <m/>
    <m/>
    <m/>
    <n v="2024"/>
  </r>
  <r>
    <n v="1774"/>
    <x v="237"/>
    <d v="2023-05-22T00:00:00"/>
    <s v="Worley Brasil"/>
    <s v="VALE"/>
    <s v="Humberto Ramos"/>
    <s v="Humberto.Consultoria@Worley.com"/>
    <s v="Proposta Referencial - Rejeitoduto Kinross"/>
    <s v="OS"/>
    <s v="PRE"/>
    <s v="INT"/>
    <s v="Brasil"/>
    <d v="2023-05-25T00:00:00"/>
    <s v="José Tomás Monares"/>
    <s v="TA"/>
    <s v="Oferta Budgetaria"/>
    <s v="PP"/>
    <m/>
    <d v="2023-06-22T00:00:00"/>
    <n v="1160"/>
    <n v="41.5"/>
    <n v="35775.862068965522"/>
    <m/>
    <m/>
    <m/>
    <m/>
    <n v="2023"/>
  </r>
  <r>
    <n v="1773"/>
    <x v="238"/>
    <d v="2023-05-24T00:00:00"/>
    <s v="Collahuasi"/>
    <s v="Collahuasi"/>
    <s v="Jorge F. Cortínez Castro"/>
    <s v="jfcortinez@collahuasi.cl"/>
    <s v="Estudio Molienda Gruesa Óptima para Aumentar Disponibilidad Agua de Proceso y su Impacto en Recuperación de Cobre"/>
    <s v="OS"/>
    <s v="ND"/>
    <s v="NAC"/>
    <s v="Chile"/>
    <d v="2023-06-01T00:00:00"/>
    <s v="Christian Ihle"/>
    <s v="BP"/>
    <m/>
    <s v="PG"/>
    <m/>
    <d v="2023-06-20T00:00:00"/>
    <n v="522"/>
    <n v="35.58135"/>
    <n v="68163.505747126444"/>
    <s v="SH-0341"/>
    <m/>
    <m/>
    <m/>
    <n v="2023"/>
  </r>
  <r>
    <n v="1772"/>
    <x v="239"/>
    <d v="2023-05-18T00:00:00"/>
    <s v="Codelco"/>
    <s v="Codelco División Gabriela Mistral"/>
    <s v="Víctor Carvajal González"/>
    <s v="VCarv002@codelco.cl"/>
    <s v="Ingeniería de Prefactibilidad para Conectar Aducción Salado con DGM - SH-0333 - ODS02"/>
    <s v="IPref"/>
    <s v="LC"/>
    <s v="NAC"/>
    <s v="Chile"/>
    <d v="2023-06-07T00:00:00"/>
    <s v="Christian Ihle"/>
    <s v="PI"/>
    <m/>
    <s v="PP"/>
    <m/>
    <d v="2023-07-11T00:00:00"/>
    <n v="1645"/>
    <n v="76"/>
    <n v="46200.607902735566"/>
    <s v="SH-0333 ODS02"/>
    <m/>
    <m/>
    <m/>
    <n v="2023"/>
  </r>
  <r>
    <n v="1771"/>
    <x v="240"/>
    <d v="2023-05-14T00:00:00"/>
    <s v="Sierra Gorda"/>
    <s v="Sierra Gorda"/>
    <s v="Rafael Rodríguez"/>
    <m/>
    <s v="Ingeniería de Detalles Manifold de Rápida Implementación Líneas de Arena"/>
    <s v="ID"/>
    <s v="ND"/>
    <s v="NAC"/>
    <s v="Chile"/>
    <d v="2023-05-23T00:00:00"/>
    <s v="Jorge Casanova"/>
    <s v="PI"/>
    <m/>
    <s v="PG"/>
    <m/>
    <d v="2023-05-31T00:00:00"/>
    <n v="619"/>
    <n v="26"/>
    <n v="42003.231017770602"/>
    <s v="SH-0271 ODT-12"/>
    <m/>
    <m/>
    <m/>
    <n v="2023"/>
  </r>
  <r>
    <n v="1770"/>
    <x v="241"/>
    <d v="2023-05-14T00:00:00"/>
    <s v="Sierra Gorda"/>
    <s v="Sierra Gorda"/>
    <s v="Rafael Rodríguez"/>
    <s v="rafael.rodriguez@sgscm.cl"/>
    <s v="Ingeniería de Detalles Restitución Línea PCI a Piscina Procesos"/>
    <s v="ID"/>
    <s v="LC"/>
    <s v="NAC"/>
    <s v="Chile"/>
    <d v="2023-06-07T00:00:00"/>
    <s v="Jorge Casanova"/>
    <s v="PI"/>
    <m/>
    <s v="PP"/>
    <m/>
    <d v="2024-01-12T00:00:00"/>
    <n v="1249"/>
    <n v="50"/>
    <n v="40032.025620496395"/>
    <m/>
    <m/>
    <m/>
    <m/>
    <n v="2024"/>
  </r>
  <r>
    <n v="1769"/>
    <x v="242"/>
    <d v="2023-05-10T00:00:00"/>
    <s v="Caserones"/>
    <s v="Caserones"/>
    <s v="José Urdangarin Moreno"/>
    <s v="JUrdangarin@caserones.cl"/>
    <s v="Actualización Ing. Supresor Ariete Estación 0 Bombeo Refino"/>
    <s v="ID"/>
    <s v="LC"/>
    <s v="NAC"/>
    <s v="Chile"/>
    <d v="2023-05-17T00:00:00"/>
    <s v="Cristian López"/>
    <s v="PI"/>
    <s v="Después de visita a terreno se actualizará la versión 1 enviada."/>
    <s v="PG"/>
    <m/>
    <d v="2023-05-17T00:00:00"/>
    <n v="650"/>
    <n v="23.507999999999999"/>
    <n v="36166.153846153851"/>
    <s v="SH-0265 OS27"/>
    <m/>
    <m/>
    <m/>
    <n v="2023"/>
  </r>
  <r>
    <n v="1768"/>
    <x v="243"/>
    <d v="2023-05-16T00:00:00"/>
    <s v="JRI"/>
    <s v="JRI"/>
    <s v="José Muñoz"/>
    <s v="jmunozm@jri.cl"/>
    <s v="Apoyo Proyectista Mecánica - Piping"/>
    <s v="TP"/>
    <s v="ND"/>
    <s v="NAC"/>
    <s v="Chile"/>
    <d v="2023-05-17T00:00:00"/>
    <s v="José Tomás Monares"/>
    <s v="OS"/>
    <s v="1 mes"/>
    <s v="PP"/>
    <m/>
    <d v="2023-06-01T00:00:00"/>
    <n v="160"/>
    <n v="5.76"/>
    <n v="36000"/>
    <m/>
    <m/>
    <m/>
    <m/>
    <n v="2023"/>
  </r>
  <r>
    <n v="1767"/>
    <x v="244"/>
    <d v="2023-05-15T00:00:00"/>
    <s v="Worley Brasil"/>
    <s v="VALE"/>
    <s v="Marizio Junior"/>
    <s v="marizio.Junior@Worley.com"/>
    <s v="Estudio Hidráulico Salobo in Pit Disposal"/>
    <s v="OS"/>
    <s v="ND"/>
    <s v="INT"/>
    <s v="Brasil"/>
    <d v="2023-05-18T00:00:00"/>
    <s v="Carla Tapia"/>
    <s v="PI"/>
    <m/>
    <s v="PP"/>
    <m/>
    <d v="2023-05-19T00:00:00"/>
    <n v="891"/>
    <n v="22.7"/>
    <n v="25476.992143658812"/>
    <m/>
    <m/>
    <m/>
    <m/>
    <n v="2023"/>
  </r>
  <r>
    <n v="1766"/>
    <x v="245"/>
    <d v="2023-05-15T00:00:00"/>
    <s v="Besalco"/>
    <s v="División El Salvador"/>
    <s v="Jose Moreno García"/>
    <s v=" jose.moreno@besalco.cl"/>
    <s v="Ingeniería de Detalles Planta Las Añañucas"/>
    <s v="ID"/>
    <s v="ND"/>
    <s v="NAC"/>
    <s v="Chile"/>
    <d v="2023-06-23T00:00:00"/>
    <s v="Francisco Martin"/>
    <s v="BP"/>
    <s v="Falta de información para participar"/>
    <s v="NL"/>
    <m/>
    <d v="2023-05-17T00:00:00"/>
    <m/>
    <m/>
    <s v="N/A"/>
    <m/>
    <m/>
    <m/>
    <m/>
    <n v="2023"/>
  </r>
  <r>
    <n v="1765"/>
    <x v="246"/>
    <d v="2023-05-15T00:00:00"/>
    <s v="Salobo"/>
    <s v="Salobo"/>
    <s v="Anderson Gomes"/>
    <m/>
    <s v="Ingeniería Mejoramiento Aire Comprimido"/>
    <s v="ID"/>
    <s v="ND"/>
    <s v="INT"/>
    <s v="Brasil"/>
    <d v="2024-03-15T00:00:00"/>
    <s v="Dolglas Souza"/>
    <s v="BP"/>
    <s v="Se cancela"/>
    <s v="DP"/>
    <n v="0.1"/>
    <d v="2024-03-15T00:00:00"/>
    <n v="731"/>
    <n v="25.5"/>
    <n v="34883.720930232557"/>
    <m/>
    <m/>
    <m/>
    <m/>
    <n v="2024"/>
  </r>
  <r>
    <n v="1764"/>
    <x v="247"/>
    <d v="2023-05-11T00:00:00"/>
    <s v="Codelco"/>
    <s v="Codelco"/>
    <s v="ARIBA"/>
    <m/>
    <s v="Servicio Desarrollo de Ingenierías, Estudios y Gestión de Proyectos de Innovación"/>
    <s v="CA"/>
    <s v="LM"/>
    <s v="NAC"/>
    <s v="Chile"/>
    <d v="2023-06-27T00:00:00"/>
    <s v="Christian Ihle"/>
    <s v="BP-PI-TA"/>
    <s v="El servicio será reformulado en su estructura, para hacer más eficiente y efectiva la contratación."/>
    <s v="PD"/>
    <m/>
    <d v="2024-01-23T00:00:00"/>
    <m/>
    <m/>
    <s v="N/A"/>
    <m/>
    <d v="2023-08-15T00:00:00"/>
    <m/>
    <m/>
    <n v="2024"/>
  </r>
  <r>
    <n v="1763"/>
    <x v="248"/>
    <d v="2023-04-28T00:00:00"/>
    <s v="Consorcio JEJ-SHIMIN"/>
    <s v="Codelco División El Teniente"/>
    <s v="Roberto Quezada Ureta"/>
    <s v="rquez001@codelco.cl"/>
    <s v="Servicio de Apoyo a Construcción - SH-0274 - ODS25"/>
    <s v="ITO"/>
    <s v="LC"/>
    <s v="NAC"/>
    <s v="Chile"/>
    <d v="2023-05-09T00:00:00"/>
    <s v="Francisco Delgado"/>
    <s v="TA"/>
    <m/>
    <s v="PG"/>
    <m/>
    <d v="2023-05-16T00:00:00"/>
    <n v="700"/>
    <n v="17.3"/>
    <n v="24714.285714285717"/>
    <s v="SH-0274 ODS25"/>
    <m/>
    <m/>
    <m/>
    <n v="2023"/>
  </r>
  <r>
    <n v="1762"/>
    <x v="249"/>
    <d v="2023-04-27T00:00:00"/>
    <s v="Consorcio JEJ-SHIMIN"/>
    <s v="Codelco División El Teniente"/>
    <s v="Roberto Quezada Ureta"/>
    <s v="rquez001@codelco.cl"/>
    <s v="Complemento a ODS23 Obras de Protección Estribo Derecho - SH-0274 - ODS24"/>
    <s v="ID"/>
    <s v="LC"/>
    <s v="NAC"/>
    <s v="Chile"/>
    <d v="2023-05-09T00:00:00"/>
    <s v="Francisco Delgado"/>
    <s v="TA"/>
    <m/>
    <s v="PG"/>
    <m/>
    <d v="2023-05-09T00:00:00"/>
    <n v="255"/>
    <n v="5.6"/>
    <n v="21960.784313725486"/>
    <s v="SH-0274 ODS24"/>
    <m/>
    <m/>
    <m/>
    <n v="2023"/>
  </r>
  <r>
    <n v="1761"/>
    <x v="250"/>
    <d v="2023-05-09T00:00:00"/>
    <s v="Collahuasi"/>
    <s v="Collahuasi"/>
    <s v="Ricardo Yañez"/>
    <s v="rfyanez@collahuasi.cl"/>
    <s v="Apoyo Preparación Board Paper"/>
    <s v="OS"/>
    <s v="ND"/>
    <s v="NAC"/>
    <s v="Chile"/>
    <d v="2023-05-10T00:00:00"/>
    <s v="Carla Tapia"/>
    <s v="TA"/>
    <m/>
    <s v="PG"/>
    <m/>
    <d v="2023-05-10T00:00:00"/>
    <n v="372"/>
    <n v="19.399999999999999"/>
    <n v="52150.537634408596"/>
    <s v="SH-0337"/>
    <m/>
    <m/>
    <m/>
    <n v="2023"/>
  </r>
  <r>
    <n v="1760"/>
    <x v="251"/>
    <d v="2023-05-01T00:00:00"/>
    <s v="Codelco"/>
    <s v="Codelco"/>
    <s v="ARIBA"/>
    <m/>
    <s v="Contrato Marco Servicios de Ingeniería de Apoyo a la Cartera de Proyectos GCEM"/>
    <s v="CA"/>
    <s v="LM"/>
    <s v="NAC"/>
    <s v="Chile"/>
    <d v="2023-06-01T00:00:00"/>
    <s v="David Cerón"/>
    <s v="BP-PI-TA"/>
    <m/>
    <s v="PG"/>
    <m/>
    <d v="2023-05-08T00:00:00"/>
    <n v="1000"/>
    <n v="42"/>
    <n v="42000"/>
    <s v="SH-0352"/>
    <d v="2023-06-15T00:00:00"/>
    <m/>
    <m/>
    <n v="2023"/>
  </r>
  <r>
    <n v="1759"/>
    <x v="252"/>
    <d v="2023-05-03T00:00:00"/>
    <s v="AngloAmerican"/>
    <s v="AngloAmerican El Soldado"/>
    <s v="César Tapia"/>
    <s v="cesar.tapia@angloamerican.com"/>
    <s v="Plan de Ejecución Proyecto Canal de Contorno El Torito"/>
    <s v="ID"/>
    <s v="ND"/>
    <s v="NAC"/>
    <s v="Chile"/>
    <d v="2023-05-09T00:00:00"/>
    <s v="Cristina Díaz"/>
    <s v="TA"/>
    <m/>
    <s v="PG"/>
    <m/>
    <d v="2023-05-31T00:00:00"/>
    <n v="615"/>
    <n v="26.7"/>
    <n v="43414.634146341457"/>
    <s v="SH-0340"/>
    <m/>
    <m/>
    <m/>
    <n v="2023"/>
  </r>
  <r>
    <n v="1758"/>
    <x v="253"/>
    <d v="2023-02-09T00:00:00"/>
    <s v="Consorcio JEJ-SHIMIN"/>
    <s v="Codelco División El Teniente"/>
    <s v="Roberto Quezada Ureta"/>
    <s v="rquez001@codelco.cl"/>
    <s v="Revisión Sistema de Bombeo Arena Cicloneada - SH-0274 - ODS22"/>
    <s v="OS"/>
    <s v="LC"/>
    <s v="NAC"/>
    <s v="Chile"/>
    <d v="2023-05-03T00:00:00"/>
    <s v="Francisco Delgado"/>
    <s v="TA"/>
    <m/>
    <s v="PG"/>
    <m/>
    <d v="2023-05-16T00:00:00"/>
    <n v="204"/>
    <n v="6.4"/>
    <n v="31372.549019607843"/>
    <s v="SH-0274 ODS22"/>
    <m/>
    <m/>
    <m/>
    <n v="2023"/>
  </r>
  <r>
    <n v="1757"/>
    <x v="254"/>
    <d v="2023-04-27T00:00:00"/>
    <s v="Codelco"/>
    <s v="Codelco División El Teniente"/>
    <s v="Maximiliano Bunster Nuñez"/>
    <s v="Ariba"/>
    <s v="Ingeniería Conceptual Mejoramiento Sistema de Captación y Conducción Agua Mina DET"/>
    <s v="IC"/>
    <s v="LM"/>
    <s v="NAC"/>
    <s v="Chile"/>
    <d v="2023-06-15T00:00:00"/>
    <s v="Rodrigo Gutiérrez / Pedro Valencia"/>
    <s v="PI"/>
    <s v="Por Codelco debido a un cambio en la estrategia en la ejecución del Proyecto"/>
    <s v="PD"/>
    <m/>
    <d v="2023-05-31T00:00:00"/>
    <m/>
    <m/>
    <s v="N/A"/>
    <m/>
    <d v="2023-07-28T00:00:00"/>
    <m/>
    <m/>
    <n v="2023"/>
  </r>
  <r>
    <n v="1756"/>
    <x v="255"/>
    <d v="2023-05-02T00:00:00"/>
    <s v="Collahuasi"/>
    <s v="Collahuasi"/>
    <s v="Jorge F. Cortínez Castro"/>
    <s v="jfcortinez@collahuasi.cl"/>
    <s v="Estudio Molienda Gruesa Óptima para Aumentar Disponibilidad Agua de Proceso y su Impacto en Recuperación de Cobre"/>
    <s v="OS"/>
    <s v="ND"/>
    <s v="NAC"/>
    <s v="Chile"/>
    <d v="2023-05-10T00:00:00"/>
    <s v="Carla Tapia"/>
    <s v="BP"/>
    <s v="Fue licitada. Pasó a O-1773."/>
    <s v="PD"/>
    <m/>
    <d v="2023-05-25T00:00:00"/>
    <n v="522"/>
    <n v="35.491532999999997"/>
    <n v="67991.442528735628"/>
    <m/>
    <m/>
    <m/>
    <m/>
    <n v="2023"/>
  </r>
  <r>
    <n v="1755"/>
    <x v="256"/>
    <d v="2023-05-02T00:00:00"/>
    <s v="VALE"/>
    <s v="VALE"/>
    <s v="Vinícius Wenner"/>
    <s v="wenner.vinicius@vale.com"/>
    <s v="Avaliação de Válvulas e Atuadores Existentes da Concentração Magnetica – Vale"/>
    <s v="ID"/>
    <s v="ND"/>
    <s v="INT"/>
    <s v="Brasil"/>
    <d v="2023-05-05T00:00:00"/>
    <s v="Dolglas Souza"/>
    <s v="PI"/>
    <m/>
    <s v="NL"/>
    <m/>
    <d v="2023-06-22T00:00:00"/>
    <m/>
    <m/>
    <s v="N/A"/>
    <m/>
    <m/>
    <m/>
    <m/>
    <n v="2023"/>
  </r>
  <r>
    <n v="1754"/>
    <x v="257"/>
    <d v="2023-05-01T00:00:00"/>
    <s v="Antamina"/>
    <s v="Antamina"/>
    <s v="Robert Vigo"/>
    <s v="rvigo@antamina.com"/>
    <s v="Ingeniería de Detalles Bombeo de Relaves de Línea de Rebose del TPS hacia Línea Sur 3"/>
    <s v="ID"/>
    <s v="LM"/>
    <s v="INT"/>
    <s v="Perú"/>
    <d v="2023-06-07T00:00:00"/>
    <s v="Carla Tapia"/>
    <s v="TA-PI"/>
    <m/>
    <s v="PP"/>
    <n v="0"/>
    <d v="2023-06-22T00:00:00"/>
    <n v="9627"/>
    <n v="376.94"/>
    <n v="39154.461410615972"/>
    <m/>
    <m/>
    <m/>
    <m/>
    <n v="2023"/>
  </r>
  <r>
    <n v="1753"/>
    <x v="258"/>
    <d v="2023-04-02T00:00:00"/>
    <s v="Knight Piesold"/>
    <s v="Minera Los Pelambres"/>
    <s v="Luis Rebolledo"/>
    <s v="lrebolledo@knightpiesold.com"/>
    <s v="PFS Sitios Alternativos Relaves Futuros Proyecto Desarrollo Pelambres"/>
    <s v="IPref"/>
    <s v="ND"/>
    <s v="NAC"/>
    <s v="Chile"/>
    <d v="2023-05-15T00:00:00"/>
    <s v="Pablo Vásquez"/>
    <s v="TA"/>
    <s v="Lista corta, aclaraciones"/>
    <s v="PP"/>
    <m/>
    <d v="2023-08-25T00:00:00"/>
    <n v="4404"/>
    <n v="270.32400000000001"/>
    <n v="61381.471389645783"/>
    <m/>
    <m/>
    <m/>
    <m/>
    <n v="2023"/>
  </r>
  <r>
    <n v="1752"/>
    <x v="259"/>
    <d v="2023-04-27T00:00:00"/>
    <s v="Caserones"/>
    <s v="Caserones"/>
    <s v="Cintya Lorena Vega Hidalgo"/>
    <s v="cvegah@caserones.cl"/>
    <s v="Reingeniería Manejo Aguas Afloradas Portal Norte Túnel"/>
    <s v="ID"/>
    <s v="LC"/>
    <s v="NAC"/>
    <s v="Chile"/>
    <d v="2023-05-19T00:00:00"/>
    <s v="Cristian López"/>
    <s v="PI"/>
    <s v="No se solicitara"/>
    <s v="NL"/>
    <m/>
    <d v="2023-05-19T00:00:00"/>
    <m/>
    <m/>
    <s v="N/A"/>
    <m/>
    <m/>
    <m/>
    <m/>
    <n v="2023"/>
  </r>
  <r>
    <n v="1751"/>
    <x v="260"/>
    <d v="2023-04-27T00:00:00"/>
    <s v="CMP"/>
    <s v="CMP"/>
    <s v="Alejandra Lezaca"/>
    <s v="alezaca@vega-asociados.cl"/>
    <s v="Contrato Marco Ingeniería Multidisciplinaria"/>
    <s v="CA"/>
    <s v="LM"/>
    <s v="NAC"/>
    <s v="Chile"/>
    <d v="2023-06-07T00:00:00"/>
    <s v="David Cerón"/>
    <s v="BP-PI-TA"/>
    <m/>
    <s v="DP"/>
    <n v="0.01"/>
    <d v="2023-06-22T00:00:00"/>
    <n v="1000"/>
    <n v="40"/>
    <n v="40000"/>
    <m/>
    <m/>
    <m/>
    <m/>
    <n v="2023"/>
  </r>
  <r>
    <n v="1750"/>
    <x v="261"/>
    <d v="2023-04-26T00:00:00"/>
    <s v="ENAMI"/>
    <s v="ENAMI"/>
    <s v="Giselle Álvarez"/>
    <s v="galvarez@enami.cl"/>
    <s v="Alternativas Aumento Vida Útil Depósito Relaves Espesados"/>
    <s v="IC"/>
    <s v="LM"/>
    <s v="NAC"/>
    <s v="Chile"/>
    <d v="2023-05-22T00:00:00"/>
    <s v="Pablo Vásquez"/>
    <s v="TA"/>
    <s v="Muy caros respecto a dos empresas. Ganó Codice, más barata."/>
    <s v="PP"/>
    <m/>
    <d v="2023-05-23T00:00:00"/>
    <n v="1386"/>
    <n v="68.5"/>
    <n v="49422.79942279942"/>
    <m/>
    <m/>
    <m/>
    <m/>
    <n v="2023"/>
  </r>
  <r>
    <n v="1749"/>
    <x v="262"/>
    <d v="2023-04-26T00:00:00"/>
    <s v="Pucobre"/>
    <s v="Pucobre"/>
    <s v="Rolando Moraga / Waldo Bustos"/>
    <m/>
    <s v="ID Planta de Magnetita Pucobre Fase 1"/>
    <s v="ID"/>
    <s v="ND"/>
    <s v="NAC"/>
    <s v="Chile"/>
    <d v="2023-05-25T00:00:00"/>
    <s v="Pedro Valencia"/>
    <s v="BP"/>
    <s v="40 semanas"/>
    <s v="PG"/>
    <m/>
    <d v="2023-06-30T00:00:00"/>
    <n v="24960"/>
    <n v="1012"/>
    <n v="40544.871794871797"/>
    <s v="SH-0344"/>
    <m/>
    <m/>
    <m/>
    <n v="2023"/>
  </r>
  <r>
    <n v="1748"/>
    <x v="263"/>
    <d v="2023-04-26T00:00:00"/>
    <s v="Codelco"/>
    <s v="Codelco División Chuquicamata"/>
    <m/>
    <m/>
    <s v="Ingeniería de Registros Botaderos de Ripios, Distrito Norte - SH-0333 - ODS01"/>
    <s v="OS"/>
    <s v="LC"/>
    <s v="NAC"/>
    <s v="Chile"/>
    <d v="2023-05-08T00:00:00"/>
    <s v="Domingo Fernández"/>
    <s v="LBP"/>
    <s v="Carta excusa por falta de experiencia específica de personal solicitado."/>
    <s v="NL"/>
    <m/>
    <d v="2023-05-02T00:00:00"/>
    <m/>
    <m/>
    <s v="N/A"/>
    <s v="SH-0333 ODS01"/>
    <m/>
    <m/>
    <s v="Por contrato abierto. Carta excusa"/>
    <n v="2023"/>
  </r>
  <r>
    <n v="1747"/>
    <x v="264"/>
    <d v="2023-04-24T00:00:00"/>
    <s v="IDE Technologies"/>
    <s v="IDE Chile"/>
    <s v="Juan Pablo Negroni"/>
    <s v="JuanPN@ide-tech.com"/>
    <s v="ID Planta Osmosis Inversa Rajo Inca"/>
    <s v="ID"/>
    <s v="LM"/>
    <s v="NAC"/>
    <s v="Chile"/>
    <d v="2023-05-08T00:00:00"/>
    <s v="Francisco Martin"/>
    <s v="PI"/>
    <s v="(23-02-24) Se espera nueva info prontamente"/>
    <s v="DP"/>
    <n v="0.01"/>
    <d v="2024-02-23T00:00:00"/>
    <n v="5997"/>
    <n v="251.64108200000001"/>
    <n v="41961.160913790227"/>
    <m/>
    <m/>
    <m/>
    <m/>
    <n v="2024"/>
  </r>
  <r>
    <n v="1746"/>
    <x v="265"/>
    <d v="2023-04-24T00:00:00"/>
    <s v="Mauer"/>
    <s v="Mauer"/>
    <s v="Roberto Soto"/>
    <m/>
    <s v="Asesoría y Acompañamiento a Ensayos para Prueba de Revestimiento"/>
    <s v="OS"/>
    <s v="ND"/>
    <s v="NAC"/>
    <s v="Chile"/>
    <d v="2023-04-28T00:00:00"/>
    <s v="Carla Tapia"/>
    <s v="OT"/>
    <m/>
    <s v="PP"/>
    <n v="0"/>
    <d v="2023-05-02T00:00:00"/>
    <n v="145"/>
    <n v="7.2"/>
    <n v="49655.172413793101"/>
    <m/>
    <m/>
    <m/>
    <m/>
    <n v="2023"/>
  </r>
  <r>
    <n v="1745"/>
    <x v="266"/>
    <d v="2023-04-22T00:00:00"/>
    <s v="LundinGold"/>
    <s v="Minera Fruta del Norte"/>
    <s v="Fernando Benalcázar"/>
    <m/>
    <s v="Ingeniería de Prefactibilidad Acid Rock Drainage"/>
    <s v="IPref"/>
    <s v="LM"/>
    <s v="INT"/>
    <s v="Ecuador"/>
    <d v="2023-04-26T00:00:00"/>
    <s v="Pedro Valencia"/>
    <s v="LBP"/>
    <m/>
    <s v="PP"/>
    <n v="0"/>
    <d v="2023-06-22T00:00:00"/>
    <n v="2224"/>
    <n v="96.606399999999994"/>
    <n v="43438.129496402878"/>
    <m/>
    <m/>
    <m/>
    <m/>
    <n v="2023"/>
  </r>
  <r>
    <n v="1744"/>
    <x v="267"/>
    <d v="2023-04-17T00:00:00"/>
    <s v="Caserones"/>
    <s v="Caserones"/>
    <s v="José Moreno Urdangarin"/>
    <m/>
    <s v="Complemento Revisión Ingeniería Supresor de Ariete 1 y 2 - SH-0265 OS14 (NOC 1)"/>
    <s v="RE"/>
    <s v="LC"/>
    <s v="NAC"/>
    <s v="Chile"/>
    <d v="2023-05-02T00:00:00"/>
    <s v="Cristian López"/>
    <s v="PI"/>
    <s v="Ajustar Valores NOC"/>
    <s v="PG"/>
    <m/>
    <d v="2023-05-02T00:00:00"/>
    <n v="1168"/>
    <n v="40.226999999999997"/>
    <n v="34440.924657534248"/>
    <s v="SH-0265 OS14"/>
    <m/>
    <m/>
    <m/>
    <n v="2023"/>
  </r>
  <r>
    <n v="1743"/>
    <x v="268"/>
    <d v="2023-04-17T00:00:00"/>
    <s v="Ministerio de Minería"/>
    <s v="Ministerio de Minería"/>
    <s v="Mercadopublico"/>
    <s v="www.mercadopublico.cl"/>
    <s v="Apoyo a la Modificación del Reglamento de Depósito de Relaves"/>
    <s v="OS"/>
    <s v="LM"/>
    <s v="NAC"/>
    <s v="Chile"/>
    <d v="2023-04-21T00:00:00"/>
    <s v="Pedro Valencia"/>
    <s v="TA"/>
    <m/>
    <s v="PP"/>
    <m/>
    <d v="2023-05-29T00:00:00"/>
    <n v="702"/>
    <n v="29.7"/>
    <n v="42307.692307692312"/>
    <m/>
    <m/>
    <m/>
    <m/>
    <n v="2023"/>
  </r>
  <r>
    <n v="1742"/>
    <x v="269"/>
    <d v="2023-04-19T00:00:00"/>
    <s v="CMP"/>
    <s v="CMP"/>
    <s v="Pablo Olguín"/>
    <s v="polguin@cmp.cl"/>
    <s v="Complemento Ingeniería Transporte de Agua Fresca PP"/>
    <s v="ID"/>
    <s v="ND"/>
    <s v="NAC"/>
    <s v="Chile"/>
    <d v="2023-04-25T00:00:00"/>
    <s v="Francisco Espinoza"/>
    <s v="PI"/>
    <s v="No se requieren los servicios. P. Olguín 19/07/2023."/>
    <s v="PP"/>
    <m/>
    <d v="2023-06-22T00:00:00"/>
    <n v="1758"/>
    <n v="73.416200000000003"/>
    <n v="41761.205915813429"/>
    <m/>
    <m/>
    <m/>
    <m/>
    <n v="2023"/>
  </r>
  <r>
    <n v="1741"/>
    <x v="270"/>
    <d v="2023-04-18T00:00:00"/>
    <s v="Worley"/>
    <s v="Centinela"/>
    <s v="Javiera Pérez"/>
    <s v="Javiera.Perez@Worley.com"/>
    <s v="Plan de Depositación Proyecto Depósito Relaves Rajo"/>
    <s v="OS"/>
    <s v="ND"/>
    <s v="NAC"/>
    <s v="Chile"/>
    <d v="2023-04-20T00:00:00"/>
    <s v="Pedro Valencia"/>
    <s v="TA"/>
    <m/>
    <s v="PP"/>
    <n v="0"/>
    <d v="2023-07-06T00:00:00"/>
    <n v="1046"/>
    <n v="51"/>
    <n v="48757.17017208413"/>
    <m/>
    <m/>
    <m/>
    <m/>
    <n v="2023"/>
  </r>
  <r>
    <n v="1740"/>
    <x v="271"/>
    <d v="2023-04-17T00:00:00"/>
    <s v="Transelec"/>
    <s v="Centinela"/>
    <s v="Ariba"/>
    <m/>
    <s v="Ingeniería de Contraparte Proyecto SIAM II"/>
    <s v="CO"/>
    <s v="LM"/>
    <s v="NAC"/>
    <s v="Chile"/>
    <d v="2023-04-26T00:00:00"/>
    <s v="Carla Tapia"/>
    <s v="PI"/>
    <m/>
    <s v="PP"/>
    <m/>
    <d v="2023-05-29T00:00:00"/>
    <n v="1700"/>
    <n v="93.47"/>
    <n v="54982.352941176468"/>
    <m/>
    <m/>
    <m/>
    <m/>
    <n v="2023"/>
  </r>
  <r>
    <n v="1739"/>
    <x v="272"/>
    <d v="2023-04-17T00:00:00"/>
    <s v="BHP BILLITON"/>
    <s v="Minera Spence"/>
    <s v="Claudia Flores"/>
    <s v="claudia.flores1@bhp.com"/>
    <s v="Mejoramiento Sistema de Impulsión de Relaves"/>
    <s v="IC"/>
    <s v="LM"/>
    <s v="NAC"/>
    <s v="Chile"/>
    <d v="2023-05-08T00:00:00"/>
    <s v="Pedro Valencia"/>
    <s v="TA"/>
    <s v="Aclaraciones para el 04/05"/>
    <s v="PG"/>
    <m/>
    <d v="2023-05-29T00:00:00"/>
    <n v="5954"/>
    <n v="283.89999999999998"/>
    <n v="47682.230433322133"/>
    <s v="SH-0339"/>
    <m/>
    <m/>
    <m/>
    <n v="2023"/>
  </r>
  <r>
    <n v="1738"/>
    <x v="273"/>
    <d v="2023-04-11T00:00:00"/>
    <s v="Codelco"/>
    <s v="Codelco División Andina"/>
    <s v="Eduardo Gallardo Urrutia"/>
    <s v="Ariba"/>
    <s v="Ingeniería de Factibilidad Reemplazo de Celdas Columnas y Scavenger"/>
    <s v="IB"/>
    <s v="LM"/>
    <s v="NAC"/>
    <s v="Chile"/>
    <d v="2023-05-17T00:00:00"/>
    <s v="Pedro Valencia"/>
    <s v="BP"/>
    <s v="Carta Excusa. No contar con experiencia suficiente en celdas de flotación."/>
    <s v="NL"/>
    <m/>
    <d v="2023-05-17T00:00:00"/>
    <m/>
    <m/>
    <s v="N/A"/>
    <m/>
    <m/>
    <m/>
    <m/>
    <n v="2023"/>
  </r>
  <r>
    <n v="1737"/>
    <x v="274"/>
    <d v="2023-03-30T00:00:00"/>
    <s v="AngloAmerican"/>
    <s v="AngloAmerican"/>
    <s v="Fernando Letelier"/>
    <s v="fernando.letelier@angloamerican.com"/>
    <s v="Revisión de Estaciones de Bombeo ECMP"/>
    <s v="ID"/>
    <s v="ND"/>
    <s v="NAC"/>
    <s v="Chile"/>
    <d v="2023-05-02T00:00:00"/>
    <s v="Francisco Espinoza"/>
    <s v="TA"/>
    <s v="Separar costos de revisión de estaciones y levantamiento y auditoría"/>
    <s v="PP"/>
    <m/>
    <d v="2023-11-10T00:00:00"/>
    <n v="3460"/>
    <n v="145"/>
    <n v="41907.514450867049"/>
    <m/>
    <m/>
    <m/>
    <m/>
    <n v="2023"/>
  </r>
  <r>
    <n v="1736"/>
    <x v="275"/>
    <d v="2023-04-11T00:00:00"/>
    <s v="Wood  "/>
    <s v="Codelco División El Teniente"/>
    <s v="Marcelo Macaya"/>
    <s v="marcelo.macaya@woodplc.com"/>
    <s v="Apoyo Informes de Verificación Hidráulica - Proyecto Mejoramiento Espesador P-5"/>
    <s v="AP"/>
    <s v="ND"/>
    <s v="NAC"/>
    <s v="Chile"/>
    <d v="2023-04-18T00:00:00"/>
    <s v="Pedro Valencia"/>
    <s v="PI"/>
    <m/>
    <s v="DP"/>
    <n v="0.02"/>
    <d v="2023-04-18T00:00:00"/>
    <n v="166"/>
    <n v="10.3879"/>
    <n v="62577.71084337349"/>
    <m/>
    <m/>
    <m/>
    <m/>
    <n v="2023"/>
  </r>
  <r>
    <n v="1735"/>
    <x v="276"/>
    <d v="2023-04-11T00:00:00"/>
    <s v="Codelco"/>
    <s v="Codelco División El Teniente"/>
    <s v="Maximiliano Bunster Nuñez"/>
    <s v="Ariba"/>
    <s v="Ingeniería Básica Mejoramiento Captación y Conducción Río Blanco"/>
    <s v="IB"/>
    <s v="LM"/>
    <s v="NAC"/>
    <s v="Chile"/>
    <d v="2023-06-07T00:00:00"/>
    <s v="Rodrigo Gutiérrez"/>
    <s v="PI"/>
    <s v="Aclaraciones para el 27/06 15hrs"/>
    <s v="PP"/>
    <m/>
    <d v="2023-06-22T00:00:00"/>
    <n v="9448"/>
    <n v="359"/>
    <n v="37997.459779847588"/>
    <m/>
    <m/>
    <m/>
    <m/>
    <n v="2023"/>
  </r>
  <r>
    <n v="1734"/>
    <x v="277"/>
    <d v="2023-04-10T00:00:00"/>
    <s v="Caserones"/>
    <s v="Caserones"/>
    <s v="Felipe Romero"/>
    <s v="fromero@caserones.cl"/>
    <s v="Respuesta a SDI Salfa Montajes Portal Norte / Planos Faltantes"/>
    <s v="OS"/>
    <s v="LC"/>
    <s v="NAC"/>
    <s v="Chile"/>
    <d v="2023-04-11T00:00:00"/>
    <s v="Pedro Valencia"/>
    <s v="PI"/>
    <m/>
    <s v="NL"/>
    <m/>
    <d v="2023-04-11T00:00:00"/>
    <m/>
    <m/>
    <s v="N/A"/>
    <m/>
    <m/>
    <m/>
    <m/>
    <n v="2023"/>
  </r>
  <r>
    <n v="1733"/>
    <x v="278"/>
    <d v="2023-04-03T00:00:00"/>
    <s v="Tetratech"/>
    <s v="Samarco"/>
    <s v="Carvalho Simao     "/>
    <s v="Simao.Carvalho@tetratech.com"/>
    <s v="Avaliação Bombeamento da Lama a Nível FEL 1"/>
    <s v="IC"/>
    <s v="ND"/>
    <s v="INT"/>
    <s v="Brasil"/>
    <d v="2023-04-11T00:00:00"/>
    <s v="Dolglas Souza"/>
    <s v="PI-TA"/>
    <s v="Ver HH y monto con Douglas "/>
    <s v="PP"/>
    <n v="0"/>
    <d v="2023-06-29T00:00:00"/>
    <n v="450"/>
    <n v="15.6"/>
    <n v="34666.666666666664"/>
    <m/>
    <m/>
    <m/>
    <m/>
    <n v="2023"/>
  </r>
  <r>
    <n v="1732"/>
    <x v="279"/>
    <d v="2023-04-06T00:00:00"/>
    <s v="Caserones"/>
    <s v="Caserones"/>
    <s v="Felipe Romero"/>
    <s v="fromero@caserones.cl"/>
    <s v="Modificación Proyecto DropBox"/>
    <s v="ID"/>
    <s v="LC"/>
    <s v="NAC"/>
    <s v="Chile"/>
    <d v="2023-04-11T00:00:00"/>
    <s v="Pedro Valencia"/>
    <s v="PI-TA"/>
    <m/>
    <s v="NL"/>
    <m/>
    <d v="2023-04-11T00:00:00"/>
    <m/>
    <m/>
    <s v="N/A"/>
    <m/>
    <m/>
    <m/>
    <m/>
    <n v="2023"/>
  </r>
  <r>
    <n v="1731"/>
    <x v="280"/>
    <d v="2023-03-29T00:00:00"/>
    <s v="BHP BILLITON"/>
    <s v="Minera Spence"/>
    <s v="María Montero"/>
    <s v="maria.a.montero1@bhp.com"/>
    <s v="Extensión Asesoría y Supervisión técnica pruebas &quot;Performance Test&quot; para el Proyecto STWM"/>
    <s v="AE"/>
    <s v="ND"/>
    <s v="NAC"/>
    <s v="Chile"/>
    <d v="2023-04-06T00:00:00"/>
    <s v="Pablo Vásquez"/>
    <s v="TA"/>
    <s v="4 Semanas"/>
    <s v="PG"/>
    <m/>
    <d v="2023-05-17T00:00:00"/>
    <n v="400"/>
    <n v="22.95"/>
    <n v="57374.999999999993"/>
    <s v="SH-0330"/>
    <m/>
    <m/>
    <m/>
    <n v="2023"/>
  </r>
  <r>
    <n v="1730"/>
    <x v="281"/>
    <d v="2023-03-31T00:00:00"/>
    <s v="IDE Technologies"/>
    <s v="SQM"/>
    <s v="Juan Pablo Negroni"/>
    <s v="JuanPN@ide-tech.com"/>
    <s v="Ingeniería Permisos Planta RO Pampa Blanca"/>
    <s v="IG"/>
    <s v="ND"/>
    <s v="NAC"/>
    <s v="Chile"/>
    <d v="2023-04-28T00:00:00"/>
    <s v="Francisco Martin / Daniela Videla"/>
    <s v="OT"/>
    <m/>
    <s v="NL"/>
    <m/>
    <d v="2023-05-10T00:00:00"/>
    <m/>
    <m/>
    <s v="N/A"/>
    <m/>
    <m/>
    <m/>
    <m/>
    <n v="2023"/>
  </r>
  <r>
    <n v="1729"/>
    <x v="282"/>
    <d v="2023-03-25T00:00:00"/>
    <s v="Consorcio JEJ-SHIMIN"/>
    <s v="Codelco División El Teniente"/>
    <s v="Roberto Quezada Ureta"/>
    <s v="rquez001@codelco.cl"/>
    <s v="Acompañamiento Especializado Reparación de Caminos - SH-0274 - ODS26"/>
    <s v="OS"/>
    <s v="LC"/>
    <s v="NAC"/>
    <s v="Chile"/>
    <d v="2023-05-23T00:00:00"/>
    <s v="Domingo Fernández"/>
    <s v="OT"/>
    <m/>
    <s v="PG"/>
    <m/>
    <d v="2023-05-29T00:00:00"/>
    <n v="622"/>
    <n v="13.7"/>
    <n v="22025.723472668811"/>
    <s v="SH-0274 ODS26"/>
    <m/>
    <m/>
    <m/>
    <n v="2023"/>
  </r>
  <r>
    <n v="1728"/>
    <x v="283"/>
    <d v="2023-03-31T00:00:00"/>
    <s v="Cosapi"/>
    <s v="Codelco División Radomiro Tomic"/>
    <m/>
    <m/>
    <s v=" Servicios de Ingeniería, Construcción y Montaje Lixiviación Clorurada Temprana"/>
    <s v="ID"/>
    <s v="ND"/>
    <s v="NAC"/>
    <s v="Chile"/>
    <d v="2023-05-03T00:00:00"/>
    <s v="Francisco Espinoza"/>
    <s v="PI"/>
    <s v="Codelco declara desierto el proceso “Lixiviación Clorurada Temprana” por cambio de alcance"/>
    <s v="PD"/>
    <m/>
    <d v="2023-05-09T00:00:00"/>
    <m/>
    <m/>
    <s v="N/A"/>
    <m/>
    <m/>
    <m/>
    <m/>
    <n v="2023"/>
  </r>
  <r>
    <n v="1727"/>
    <x v="284"/>
    <d v="2023-03-30T00:00:00"/>
    <s v="Aguas CAP"/>
    <s v="Aguas CAP"/>
    <s v="Cesar Constanzo Sepúlveda"/>
    <s v="e_cconstanzo@aguascap.cl "/>
    <s v="Revisión Experta Capex Proyecto Las Pintadas"/>
    <s v="RE"/>
    <s v="LM"/>
    <s v="NAC"/>
    <s v="Chile"/>
    <d v="2023-04-05T00:00:00"/>
    <s v="Cristina Díaz"/>
    <s v="BP"/>
    <s v="21 días"/>
    <s v="DP"/>
    <n v="0.02"/>
    <d v="2023-04-05T00:00:00"/>
    <n v="321"/>
    <n v="16"/>
    <n v="49844.236760124608"/>
    <m/>
    <m/>
    <m/>
    <m/>
    <n v="2023"/>
  </r>
  <r>
    <n v="1726"/>
    <x v="285"/>
    <d v="2023-03-29T00:00:00"/>
    <s v="SQM"/>
    <s v="SQM"/>
    <s v="Jissel Muñoz"/>
    <s v="Jissel.munoz@sqm.com"/>
    <s v="Ingeniería Monorriel Planta MOPHI"/>
    <s v="ID"/>
    <s v="LM"/>
    <s v="NAC"/>
    <s v="Chile"/>
    <d v="2023-04-26T00:00:00"/>
    <s v="Francisco Martin"/>
    <s v="BP"/>
    <m/>
    <s v="NL"/>
    <m/>
    <d v="2023-04-28T00:00:00"/>
    <m/>
    <m/>
    <s v="N/A"/>
    <m/>
    <m/>
    <m/>
    <m/>
    <n v="2023"/>
  </r>
  <r>
    <n v="1725"/>
    <x v="286"/>
    <d v="2023-03-29T00:00:00"/>
    <s v="AngloAmerican"/>
    <s v="AngloAmerican El Soldado"/>
    <s v="César Tapia"/>
    <s v="cesar.tapia@angloamerican.com"/>
    <s v="Ingeniería de Detalles Agitador Estanque de Arenas"/>
    <s v="ID"/>
    <s v="ND"/>
    <s v="NAC"/>
    <s v="Chile"/>
    <d v="2023-04-21T00:00:00"/>
    <s v="Jorge Casanova"/>
    <s v="TA"/>
    <s v="Nuevos alcances. 18/04"/>
    <s v="PG"/>
    <m/>
    <d v="2023-05-23T00:00:00"/>
    <n v="823"/>
    <n v="33.700000000000003"/>
    <n v="40947.752126366955"/>
    <s v="SH-0338"/>
    <m/>
    <m/>
    <m/>
    <n v="2023"/>
  </r>
  <r>
    <n v="1724"/>
    <x v="287"/>
    <d v="2023-03-29T00:00:00"/>
    <s v="Besalco"/>
    <s v="Codelco División Radomiro Tomic"/>
    <m/>
    <m/>
    <s v=" Servicios de Ingeniería, Construcción y Montaje Lixiviación Clorurada Temprana"/>
    <s v="ID"/>
    <s v="ND"/>
    <s v="NAC"/>
    <s v="Chile"/>
    <d v="2023-05-03T00:00:00"/>
    <s v="Francisco Espinoza"/>
    <s v="PI"/>
    <s v="Cliente desiste de presentar oferta por  plazos ajustados para preparar."/>
    <s v="NL"/>
    <m/>
    <d v="2023-04-25T00:00:00"/>
    <m/>
    <m/>
    <s v="N/A"/>
    <m/>
    <m/>
    <m/>
    <m/>
    <n v="2023"/>
  </r>
  <r>
    <n v="1723"/>
    <x v="288"/>
    <d v="2021-08-23T00:00:00"/>
    <s v="GPP"/>
    <s v="AngloAmerican El Soldado"/>
    <s v="Benjamín Andrade"/>
    <s v="benjamin.andrade@gpp.cl"/>
    <s v="Modificación de Planos Proyecto Puente Carretón y Reemplazo de Tubería de Agua Fresca- AAES"/>
    <s v="OS"/>
    <s v="ND"/>
    <s v="NAC"/>
    <s v="Chile"/>
    <d v="2023-03-30T00:00:00"/>
    <s v="Daniela Videla"/>
    <s v="OT"/>
    <m/>
    <s v="PP"/>
    <n v="0.01"/>
    <d v="2023-03-30T00:00:00"/>
    <n v="296"/>
    <n v="10.174735999999999"/>
    <n v="34374.108108108107"/>
    <m/>
    <m/>
    <m/>
    <m/>
    <n v="2023"/>
  </r>
  <r>
    <n v="1722"/>
    <x v="289"/>
    <d v="2023-03-23T00:00:00"/>
    <s v="INCOLUR"/>
    <s v="Codelco División Radomiro Tomic"/>
    <m/>
    <m/>
    <s v=" Servicios de Ingeniería, Construcción y Montaje Lixiviación Clorurada Temprana"/>
    <s v="ID"/>
    <s v="ND"/>
    <s v="NAC"/>
    <s v="Chile"/>
    <d v="2023-05-03T00:00:00"/>
    <s v="Francisco Espinoza"/>
    <s v="PI"/>
    <s v="Codelco declara desierto el proceso “Lixiviación Clorurada Temprana” por cambio de alcance"/>
    <s v="PD"/>
    <m/>
    <d v="2023-05-09T00:00:00"/>
    <m/>
    <m/>
    <s v="N/A"/>
    <m/>
    <m/>
    <m/>
    <m/>
    <n v="2023"/>
  </r>
  <r>
    <n v="1721"/>
    <x v="290"/>
    <d v="2023-03-20T00:00:00"/>
    <s v="Codelco"/>
    <s v="Codelco División Chuquicamata"/>
    <s v="ARIBA"/>
    <m/>
    <s v=" Servicios de Ingeniería Operacional Especialidades Agua y Relaves - DCH"/>
    <s v="CA"/>
    <s v="LM"/>
    <s v="NAC"/>
    <s v="Chile"/>
    <d v="2023-05-03T00:00:00"/>
    <s v="David Cerón"/>
    <s v="BP-LBP-TA-PI"/>
    <m/>
    <s v="PG"/>
    <m/>
    <d v="2023-11-29T00:00:00"/>
    <n v="1000"/>
    <n v="42"/>
    <n v="42000"/>
    <s v="SH-0360"/>
    <m/>
    <m/>
    <m/>
    <n v="2023"/>
  </r>
  <r>
    <n v="1720"/>
    <x v="291"/>
    <d v="2023-03-17T00:00:00"/>
    <s v="AngloAmerican"/>
    <s v="AngloAmerican"/>
    <s v="Fernando Letelier"/>
    <s v="fernando.letelier@angloamerican.com"/>
    <s v="Ingeniería Fast Track Aumento Rango de Operación ECMP Cota Final"/>
    <s v="ID"/>
    <s v="ND"/>
    <s v="NAC"/>
    <s v="Chile"/>
    <d v="2023-04-10T00:00:00"/>
    <s v="Pedro Valencia"/>
    <s v="TA"/>
    <m/>
    <s v="NL"/>
    <m/>
    <d v="2023-06-01T00:00:00"/>
    <m/>
    <m/>
    <s v="N/A"/>
    <m/>
    <m/>
    <m/>
    <m/>
    <n v="2023"/>
  </r>
  <r>
    <n v="1719"/>
    <x v="292"/>
    <d v="2023-03-15T00:00:00"/>
    <s v="BHP BILLITON"/>
    <s v="BHP BILLITON"/>
    <s v="Claudia Flores"/>
    <s v="claudia.flores1@bhp.com"/>
    <s v="Mejoramiento Sistema de Impulsión de Relaves"/>
    <s v="IC/IB/ID"/>
    <s v="LM"/>
    <s v="NAC"/>
    <s v="Chile"/>
    <d v="2023-03-26T00:00:00"/>
    <s v="Pedro Valencia"/>
    <s v="TA"/>
    <s v="Se envió cotización budgetaria por ID de WP01/WP02 e IC deWP03"/>
    <s v="PD"/>
    <m/>
    <d v="2023-04-17T00:00:00"/>
    <m/>
    <m/>
    <s v="N/A"/>
    <m/>
    <m/>
    <m/>
    <m/>
    <n v="2023"/>
  </r>
  <r>
    <n v="1718"/>
    <x v="293"/>
    <d v="2023-03-15T00:00:00"/>
    <s v="Sodexo"/>
    <s v="Sodexo"/>
    <s v="Christian Navarro"/>
    <s v="christian.navarro@sodexo.com"/>
    <s v="Mejoramiento Red Interior de AP Establecimiento Penitenciario de Antofagasta"/>
    <s v="IC"/>
    <s v="ND"/>
    <s v="NAC"/>
    <s v="Chile"/>
    <d v="2023-03-30T00:00:00"/>
    <s v="Jorge Casanova"/>
    <s v="PI"/>
    <s v="Cliente informa que oferta no alcanzó a ser enviada en los plazos definidos."/>
    <s v="PP"/>
    <m/>
    <d v="2023-03-31T00:00:00"/>
    <n v="200"/>
    <n v="9.9254250000000006"/>
    <n v="49627.125"/>
    <m/>
    <m/>
    <m/>
    <m/>
    <n v="2023"/>
  </r>
  <r>
    <n v="1717"/>
    <x v="294"/>
    <d v="2023-03-14T00:00:00"/>
    <s v="Codelco"/>
    <s v="Codelco División El Teniente"/>
    <s v="Mauricio Rolando Sandoval Fedelli"/>
    <s v="MSand011@codelco.cl"/>
    <s v="Ingeniería de Prefactibilidad Recirculación de Aguas y Abatimiento de Sulfatos - Embalse Carén"/>
    <s v="IC"/>
    <s v="ND"/>
    <s v="NAC"/>
    <s v="Chile"/>
    <d v="2023-03-24T00:00:00"/>
    <s v="Pablo Vásquez"/>
    <s v="PI-TA"/>
    <s v="Considerar Geotécnico externo"/>
    <s v="PD"/>
    <m/>
    <d v="2023-04-20T00:00:00"/>
    <n v="18178"/>
    <n v="781.2"/>
    <n v="42975.024755198589"/>
    <m/>
    <m/>
    <m/>
    <m/>
    <n v="2023"/>
  </r>
  <r>
    <n v="1716"/>
    <x v="295"/>
    <d v="2023-03-10T00:00:00"/>
    <s v="LundinGold"/>
    <s v="Minera Fruta del Norte"/>
    <s v="Fernando Benalcázar"/>
    <m/>
    <s v="Ingeniería de Prefactibilidad y Detalles Fase 2 y 3 PTAR"/>
    <s v="IC/ID"/>
    <s v="LM"/>
    <s v="INT"/>
    <s v="Ecuador"/>
    <d v="2023-03-28T00:00:00"/>
    <s v="Francisco Martin"/>
    <s v="PI-TA"/>
    <s v="215 días"/>
    <s v="PP"/>
    <n v="0.01"/>
    <d v="2023-06-22T00:00:00"/>
    <n v="17145"/>
    <n v="697.32"/>
    <n v="40671.916010498688"/>
    <m/>
    <m/>
    <m/>
    <m/>
    <n v="2023"/>
  </r>
  <r>
    <n v="1715"/>
    <x v="296"/>
    <d v="2023-03-07T00:00:00"/>
    <s v="Volcan"/>
    <s v="Volcan"/>
    <s v="Pedro Paucar"/>
    <s v="ppaucar@volcan.com.pe"/>
    <s v="Diagnóstico Impulsión de Relaves Espesados desde Deep Cone"/>
    <s v="IC"/>
    <s v="ND"/>
    <s v="INT"/>
    <s v="Perú"/>
    <d v="2023-03-31T00:00:00"/>
    <s v="Pedro Valencia"/>
    <s v="PI-TA"/>
    <s v="Esperando datos solicitados por PVZ"/>
    <s v="NL"/>
    <m/>
    <d v="2023-03-31T00:00:00"/>
    <m/>
    <m/>
    <s v="N/A"/>
    <m/>
    <m/>
    <m/>
    <m/>
    <n v="2023"/>
  </r>
  <r>
    <n v="1714"/>
    <x v="297"/>
    <d v="2023-03-09T00:00:00"/>
    <s v="BHP BILLITON"/>
    <s v="Minera Spence"/>
    <s v="Carlos Pavissich"/>
    <s v="carlos.pavissich@bhp.com"/>
    <s v="Ingeniería de Detalles Mejoramiento de Relaves Corto Plazo"/>
    <s v="ID"/>
    <s v="ND"/>
    <s v="NAC"/>
    <s v="Chile"/>
    <d v="2023-04-20T00:00:00"/>
    <s v="Jorge Casanova"/>
    <s v="TA-PI"/>
    <s v="Esperando BT. Van a licitar, según lo recibido como BT para budget en O-1719. Luego de eso esperar BT para licitar con este código."/>
    <s v="PD"/>
    <m/>
    <d v="2023-03-09T00:00:00"/>
    <m/>
    <m/>
    <s v="N/A"/>
    <m/>
    <m/>
    <m/>
    <m/>
    <n v="2023"/>
  </r>
  <r>
    <n v="1713"/>
    <x v="298"/>
    <d v="2023-03-09T00:00:00"/>
    <s v="Knight Piesold"/>
    <s v="Minera Santo Domingo"/>
    <s v="Luis Rebolledo"/>
    <s v="lrebolledo@knightpiesold.com"/>
    <s v="Actualización Factibilidad Tranque de Relaves Santo Domingo"/>
    <s v="IB"/>
    <s v="ND"/>
    <s v="NAC"/>
    <s v="Chile"/>
    <d v="2023-04-05T00:00:00"/>
    <s v="Pedro Valencia"/>
    <s v="TA"/>
    <m/>
    <s v="PG"/>
    <m/>
    <d v="2023-04-17T00:00:00"/>
    <n v="1759"/>
    <n v="86.827999999999989"/>
    <n v="49362.137578169408"/>
    <s v="SH-0335"/>
    <m/>
    <m/>
    <m/>
    <n v="2023"/>
  </r>
  <r>
    <n v="1712"/>
    <x v="299"/>
    <d v="2023-03-07T00:00:00"/>
    <s v="Caserones"/>
    <s v="Caserones"/>
    <s v="Jose Moreno Urdangarin "/>
    <s v="JMorgado@caserones.cl"/>
    <s v="ID Energización Equipos de Bombeo Ubicados en Piscina de Emergencia"/>
    <s v="ID"/>
    <s v="LC"/>
    <s v="NAC"/>
    <s v="Chile"/>
    <d v="2023-03-24T00:00:00"/>
    <s v="Paulo Olivares"/>
    <s v="PI-TA"/>
    <s v="6 semanas"/>
    <s v="PP"/>
    <n v="0"/>
    <d v="2023-06-22T00:00:00"/>
    <n v="1051"/>
    <n v="39.884900000000002"/>
    <n v="37949.47668886774"/>
    <m/>
    <m/>
    <m/>
    <m/>
    <n v="2023"/>
  </r>
  <r>
    <n v="1711"/>
    <x v="300"/>
    <d v="2023-03-01T00:00:00"/>
    <s v="Consorcio JEJ-SHIMIN"/>
    <s v="Codelco División El Teniente"/>
    <s v="Roberto Quezada Ureta"/>
    <s v="rquez001@codelco.cl"/>
    <s v="Modificación Ingeniería de Detalles Obras de Protección Estribo Derecho - SH-0274 - ODS23"/>
    <s v="ID"/>
    <s v="LC"/>
    <s v="NAC"/>
    <s v="Chile"/>
    <d v="2023-03-22T00:00:00"/>
    <s v="Francisco Delgado"/>
    <s v="TA"/>
    <s v="Se envió Revisión 2"/>
    <s v="PG"/>
    <m/>
    <d v="2023-04-11T00:00:00"/>
    <n v="497"/>
    <n v="11.2"/>
    <n v="22535.211267605631"/>
    <s v="SH-0274 ODS23"/>
    <m/>
    <m/>
    <m/>
    <n v="2023"/>
  </r>
  <r>
    <n v="1710"/>
    <x v="301"/>
    <d v="2023-03-01T00:00:00"/>
    <s v="Consorcio JEJ-SHIMIN"/>
    <s v="Codelco División El Teniente"/>
    <s v="Roberto Quezada Ureta"/>
    <s v="rquez001@codelco.cl"/>
    <s v="Verificación Válvula Sostenedora de Presión SRA - SH-0274 - ODS21"/>
    <s v="ID"/>
    <s v="LC"/>
    <s v="NAC"/>
    <s v="Chile"/>
    <d v="2023-03-07T00:00:00"/>
    <s v="Francisco Delgado"/>
    <s v="PI"/>
    <m/>
    <s v="PG"/>
    <m/>
    <d v="2023-04-10T00:00:00"/>
    <n v="127"/>
    <n v="3.5"/>
    <n v="27559.055118110235"/>
    <s v="SH-0274 ODS21"/>
    <m/>
    <m/>
    <m/>
    <n v="2023"/>
  </r>
  <r>
    <n v="1709"/>
    <x v="302"/>
    <d v="2023-03-07T00:00:00"/>
    <s v="VALE"/>
    <s v="VALE"/>
    <s v="Eric Mattos "/>
    <s v="eric.mattos@vale.com"/>
    <s v="Projeto Detalhado Dimensionamento Tubulação Sistema de Filtragem Postos de Combustíveis Sul"/>
    <s v="ID"/>
    <s v="LC"/>
    <s v="INT"/>
    <s v="Brasil"/>
    <d v="2023-03-13T00:00:00"/>
    <s v="Dolglas Souza"/>
    <s v="PI"/>
    <s v="Muy específico el tema, estamos con sobrecarga para tomar dicha especialidad."/>
    <s v="NL"/>
    <m/>
    <d v="2023-03-07T00:00:00"/>
    <m/>
    <m/>
    <s v="N/A"/>
    <m/>
    <m/>
    <m/>
    <m/>
    <n v="2023"/>
  </r>
  <r>
    <n v="1708"/>
    <x v="303"/>
    <d v="2023-03-06T00:00:00"/>
    <s v="Caserones"/>
    <s v="Caserones"/>
    <s v="Alejandra Rojas"/>
    <m/>
    <s v="Actualización Permisos con Vialidad Off Site"/>
    <s v="IG"/>
    <s v="LM"/>
    <s v="NAC"/>
    <s v="Chile"/>
    <d v="2023-03-13T00:00:00"/>
    <s v="Néstor Vargas / David Cerón"/>
    <s v="OT"/>
    <s v="Esperando BT."/>
    <s v="NL"/>
    <m/>
    <d v="2023-03-06T00:00:00"/>
    <m/>
    <m/>
    <s v="N/A"/>
    <m/>
    <m/>
    <m/>
    <m/>
    <n v="2023"/>
  </r>
  <r>
    <n v="1707"/>
    <x v="304"/>
    <d v="2023-03-07T00:00:00"/>
    <s v="CMP"/>
    <s v="CMP"/>
    <s v="Jean Rojas Gallardo"/>
    <s v="jdrojas@cmp.cl"/>
    <s v="Estudio Diagnóstico Modificación Proceso Romeral Vía Cambio de Piping - CAP"/>
    <s v="IC"/>
    <s v="ND"/>
    <s v="NAC"/>
    <s v="Chile"/>
    <d v="2023-03-16T00:00:00"/>
    <s v="Pedro Valencia"/>
    <s v="BP"/>
    <s v="Programar Visita a Terreno_x000a_Se envió rev. 3"/>
    <s v="PG"/>
    <m/>
    <d v="2023-07-31T00:00:00"/>
    <n v="928"/>
    <n v="43.013599999999997"/>
    <n v="46350.862068965514"/>
    <s v="SH-0334"/>
    <m/>
    <m/>
    <m/>
    <n v="2023"/>
  </r>
  <r>
    <n v="1706"/>
    <x v="305"/>
    <d v="2023-03-02T00:00:00"/>
    <s v="VALE"/>
    <s v="VALE"/>
    <s v="Pedro Henrique Braz De Sousa"/>
    <s v="pedro.braz@vale.com"/>
    <s v="Engenharia de Segundo Nível - Hidráulica e Tubulação - Adutora do Rio Tanque"/>
    <s v="RE"/>
    <s v="LC"/>
    <s v="INT"/>
    <s v="Brasil"/>
    <d v="2023-07-20T00:00:00"/>
    <s v="José Tomás Monares"/>
    <s v="PI"/>
    <s v="Correo de Vale. Proceso paralizado. 29/06/2023"/>
    <s v="PP"/>
    <m/>
    <d v="2023-07-13T00:00:00"/>
    <n v="2423"/>
    <n v="79.2"/>
    <n v="32686.751960379694"/>
    <m/>
    <m/>
    <m/>
    <m/>
    <n v="2023"/>
  </r>
  <r>
    <n v="1705"/>
    <x v="306"/>
    <d v="2023-02-23T00:00:00"/>
    <s v="Minera Los Pelambres"/>
    <s v="Minera Los Pelambres"/>
    <s v="Lorena Orrego"/>
    <m/>
    <s v="Servicio de ITO's de Calidad Cambio de Polea 6"/>
    <s v="ITO"/>
    <s v="ND"/>
    <s v="NAC"/>
    <s v="Chile"/>
    <d v="2023-03-16T00:00:00"/>
    <s v="Orlando Peralta"/>
    <s v="BP"/>
    <s v="Reunión aclaratoria 15:00 hrs. Del 15/03"/>
    <s v="PP"/>
    <m/>
    <d v="2023-03-20T00:00:00"/>
    <n v="784"/>
    <n v="43.510800000000003"/>
    <n v="55498.469387755111"/>
    <m/>
    <m/>
    <m/>
    <m/>
    <n v="2023"/>
  </r>
  <r>
    <n v="1704"/>
    <x v="307"/>
    <d v="2023-02-22T00:00:00"/>
    <s v="JEJ"/>
    <s v="Minera Zaldívar"/>
    <s v="Ricardo Alvarado"/>
    <m/>
    <s v="Ingeniería de Detalles Relaves"/>
    <s v="ID"/>
    <s v="ND"/>
    <s v="NAC"/>
    <s v="Chile"/>
    <d v="2023-03-02T00:00:00"/>
    <s v="Francisco Delgado"/>
    <s v="TA"/>
    <m/>
    <s v="PP"/>
    <m/>
    <d v="2023-03-06T00:00:00"/>
    <n v="14502"/>
    <n v="450"/>
    <n v="31030.202730657838"/>
    <m/>
    <m/>
    <m/>
    <m/>
    <n v="2023"/>
  </r>
  <r>
    <n v="1703"/>
    <x v="308"/>
    <d v="2023-02-20T00:00:00"/>
    <s v="Caserones"/>
    <s v="Caserones"/>
    <s v="José Moreno Urdangarin"/>
    <m/>
    <s v="Complemento Revisión Ingeniería Supresor de Ariete 1 y 2 - SH-0265 OS14 (NOC 1)"/>
    <s v="RE"/>
    <s v="LC"/>
    <s v="NAC"/>
    <s v="Chile"/>
    <d v="2023-02-22T00:00:00"/>
    <s v="Vicente Salinas"/>
    <s v="PI"/>
    <s v="PP, da paso a 1744"/>
    <s v="PP"/>
    <m/>
    <d v="2023-02-22T00:00:00"/>
    <n v="54"/>
    <n v="1.8069299999999999"/>
    <n v="33461.666666666664"/>
    <m/>
    <m/>
    <m/>
    <m/>
    <n v="2023"/>
  </r>
  <r>
    <n v="1702"/>
    <x v="309"/>
    <d v="2023-02-17T00:00:00"/>
    <s v="Caserones"/>
    <s v="Caserones"/>
    <s v="José Moreno Urdangarin"/>
    <m/>
    <s v="Complemento ID Habilitación Electromecánica Pozos PAF y PER "/>
    <s v="ID"/>
    <s v="LC"/>
    <s v="NAC"/>
    <s v="Chile"/>
    <d v="2023-02-21T00:00:00"/>
    <s v="Vicente Salinas"/>
    <s v="TA-PI"/>
    <m/>
    <s v="PG"/>
    <m/>
    <d v="2023-02-21T00:00:00"/>
    <n v="747"/>
    <n v="28.273140000000001"/>
    <n v="37848.915662650608"/>
    <s v="SH-0265 OS17 (NOC 1)"/>
    <m/>
    <m/>
    <m/>
    <n v="2023"/>
  </r>
  <r>
    <n v="1701"/>
    <x v="310"/>
    <d v="2023-02-17T00:00:00"/>
    <s v="Codelco"/>
    <s v="Codelco División Andina"/>
    <s v="Tamara Quiroga González"/>
    <m/>
    <s v="Ingeniería de Detalles Reemplazo Espesador Intermedio y Final - PMFC"/>
    <s v="ID"/>
    <s v="LM"/>
    <s v="NAC"/>
    <s v="Chile"/>
    <d v="2023-04-10T00:00:00"/>
    <s v="David Cerón"/>
    <s v="BP"/>
    <m/>
    <s v="PP"/>
    <n v="0"/>
    <d v="2023-06-22T00:00:00"/>
    <n v="14847"/>
    <n v="635"/>
    <n v="42769.583080757053"/>
    <m/>
    <m/>
    <m/>
    <m/>
    <n v="2023"/>
  </r>
  <r>
    <n v="1700"/>
    <x v="311"/>
    <d v="2023-02-15T00:00:00"/>
    <s v="R&amp;Q Ingeniería"/>
    <s v="Compañía Minera Zafranal"/>
    <s v="Jorge Valdebenito"/>
    <m/>
    <s v="Ingeniería Implementación y Explotación Pozo W-6. Proyecto Minero Zafranal"/>
    <s v="IT"/>
    <s v="ND"/>
    <s v="INT"/>
    <s v="Perú"/>
    <d v="2023-02-17T00:00:00"/>
    <s v="Rodrigo Gutiérrez"/>
    <s v="PI"/>
    <m/>
    <s v="PP"/>
    <m/>
    <d v="2023-02-22T00:00:00"/>
    <n v="1777"/>
    <n v="69.693833249999997"/>
    <n v="39219.939926842992"/>
    <m/>
    <m/>
    <m/>
    <m/>
    <n v="2023"/>
  </r>
  <r>
    <n v="1699"/>
    <x v="312"/>
    <d v="2023-02-16T00:00:00"/>
    <s v="Sierra Gorda"/>
    <s v="Sierra Gorda"/>
    <s v="Rafael Rodríguez"/>
    <m/>
    <s v="Estudios Complementarios Transporte de Relaves"/>
    <s v="OS"/>
    <s v="ND"/>
    <s v="NAC"/>
    <s v="Chile"/>
    <d v="2023-02-21T00:00:00"/>
    <s v="Jorge Casanova"/>
    <s v="TA"/>
    <m/>
    <s v="PG"/>
    <m/>
    <d v="2023-02-22T00:00:00"/>
    <n v="72"/>
    <n v="3"/>
    <n v="41666.666666666664"/>
    <s v="SH-0271 ODT-09"/>
    <m/>
    <m/>
    <m/>
    <n v="2023"/>
  </r>
  <r>
    <n v="1698"/>
    <x v="313"/>
    <d v="2023-02-16T00:00:00"/>
    <s v="Sierra Gorda"/>
    <s v="Sierra Gorda"/>
    <s v="Rafael Rodríguez"/>
    <m/>
    <s v="Servicio Especializado en Terreno"/>
    <s v="ITO"/>
    <s v="ND"/>
    <s v="NAC"/>
    <s v="Chile"/>
    <d v="2023-02-17T00:00:00"/>
    <s v="Jorge Casanova"/>
    <s v="OT"/>
    <m/>
    <s v="PG"/>
    <m/>
    <d v="2023-02-22T00:00:00"/>
    <n v="107"/>
    <n v="4.7"/>
    <n v="43925.233644859814"/>
    <s v="SH-0271 ODT-10"/>
    <m/>
    <m/>
    <m/>
    <n v="2023"/>
  </r>
  <r>
    <n v="1697"/>
    <x v="314"/>
    <d v="2023-02-10T00:00:00"/>
    <s v="Arcadis"/>
    <s v="Quellaveco"/>
    <s v="Franzisko Unzaga"/>
    <m/>
    <s v="Orden de Cambio N°1 - Apoyo Especializado Quellaveco"/>
    <s v="AE"/>
    <s v="ND"/>
    <s v="NAC"/>
    <s v="Chile"/>
    <d v="2023-02-09T00:00:00"/>
    <s v="Hugo Andrade"/>
    <s v="COM"/>
    <m/>
    <s v="PG"/>
    <m/>
    <d v="2023-02-22T00:00:00"/>
    <n v="171.4"/>
    <n v="11.29"/>
    <n v="65869.311551925304"/>
    <s v="SH-0315 (NOC 1)"/>
    <m/>
    <m/>
    <m/>
    <n v="2023"/>
  </r>
  <r>
    <n v="1696"/>
    <x v="315"/>
    <d v="2023-02-09T00:00:00"/>
    <s v="Caserones"/>
    <s v="Caserones"/>
    <s v="José Moreno Urdangarin"/>
    <s v="jmoreno@caserones.cl"/>
    <s v="Cotización Ingeniería para Golpe de Ariete Línea de Refino"/>
    <s v="ID"/>
    <s v="LC"/>
    <s v="NAC"/>
    <s v="Chile"/>
    <d v="2023-02-14T00:00:00"/>
    <s v="Vicente Salinas"/>
    <s v="PI"/>
    <m/>
    <s v="PG"/>
    <m/>
    <d v="2023-02-14T00:00:00"/>
    <n v="128"/>
    <n v="5.3144999999999998"/>
    <n v="41519.53125"/>
    <s v="SH-0265 OS26"/>
    <m/>
    <m/>
    <s v="Aprobada cotizacion visita a terreno"/>
    <n v="2023"/>
  </r>
  <r>
    <n v="1695"/>
    <x v="316"/>
    <d v="2023-02-09T00:00:00"/>
    <s v="JEJ"/>
    <s v="Minera Zaldívar"/>
    <s v="Cristián Velásquez"/>
    <m/>
    <s v="Ampliación Etapa 2 Muro Tranque de Relaves (LOM33)"/>
    <s v="IC"/>
    <s v="ND"/>
    <s v="NAC"/>
    <s v="Chile"/>
    <d v="2023-03-30T00:00:00"/>
    <s v="Pablo Vásquez"/>
    <s v="TA"/>
    <m/>
    <s v="PP"/>
    <m/>
    <d v="2023-03-30T00:00:00"/>
    <n v="3667"/>
    <n v="115.61163499999998"/>
    <n v="31527.579765475864"/>
    <m/>
    <m/>
    <m/>
    <m/>
    <n v="2023"/>
  </r>
  <r>
    <n v="1694"/>
    <x v="317"/>
    <d v="2023-02-09T00:00:00"/>
    <s v="VALE"/>
    <s v="VALE"/>
    <s v="Joao Monteiro"/>
    <m/>
    <s v="Revisão do sistema do Rejeitoduto Mina de Viga"/>
    <s v="ID"/>
    <s v="LC"/>
    <s v="INT"/>
    <s v="Brasil"/>
    <d v="2023-07-25T00:00:00"/>
    <s v="Dolglas Souza"/>
    <s v="TA"/>
    <s v="12 semanas. Por asuntos internos de Vale, no se llevará a cabo el proyecto."/>
    <s v="PP"/>
    <n v="0"/>
    <d v="2023-02-22T00:00:00"/>
    <n v="2003"/>
    <n v="64.788674999999998"/>
    <n v="32345.818771842234"/>
    <m/>
    <m/>
    <m/>
    <m/>
    <n v="2023"/>
  </r>
  <r>
    <n v="1693"/>
    <x v="318"/>
    <d v="2023-02-09T00:00:00"/>
    <s v="Lundin Gold"/>
    <s v="Lundin Gold"/>
    <s v="Fernando Benalcázar"/>
    <m/>
    <s v="Diagnóstico y Evaluación Trituradora Principal"/>
    <s v="ED"/>
    <s v="LM"/>
    <s v="INT"/>
    <s v="Ecuador"/>
    <d v="2023-03-06T00:00:00"/>
    <s v="Orlando Peralta"/>
    <s v="BP-OT"/>
    <m/>
    <s v="PP"/>
    <m/>
    <d v="2023-03-07T00:00:00"/>
    <n v="2217"/>
    <n v="97.8"/>
    <n v="44113.667117726654"/>
    <m/>
    <m/>
    <m/>
    <s v="Consultas enviadas el 9/2/23. Esperando respuestas"/>
    <n v="2023"/>
  </r>
  <r>
    <n v="1692"/>
    <x v="319"/>
    <d v="2023-01-31T00:00:00"/>
    <s v="BISA"/>
    <s v="Minera Las Bambas"/>
    <s v="Danilo Barrientos"/>
    <s v="dbarrientos@bisa.com.pe"/>
    <s v="Apoyo Especializado Gestión de Relaves para Minera Las Bambas"/>
    <s v="AE"/>
    <s v="ND"/>
    <s v="NAC"/>
    <s v="Chile"/>
    <d v="2023-02-01T00:00:00"/>
    <s v="Francisco Martin"/>
    <s v="TA"/>
    <s v="Minera Las Bambas no aceptó la modalidad ofrecida por BISA"/>
    <s v="NL"/>
    <m/>
    <d v="2023-02-02T00:00:00"/>
    <m/>
    <m/>
    <s v="N/A"/>
    <m/>
    <m/>
    <m/>
    <m/>
    <n v="2023"/>
  </r>
  <r>
    <n v="1691"/>
    <x v="320"/>
    <d v="2023-01-31T00:00:00"/>
    <s v="Sierra Gorda"/>
    <s v="Sierra Gorda"/>
    <s v="Francisco Vega"/>
    <s v="francisco.vega@sgscm.cl"/>
    <s v="Evaluación Hidráulica Red de Agua Potable Campamento"/>
    <s v="IC"/>
    <s v="ND"/>
    <s v="NAC"/>
    <s v="Chile"/>
    <d v="2023-02-01T00:00:00"/>
    <s v="Jorge Casanova"/>
    <s v="PI"/>
    <s v="Perdida por falta de presupuesto del cliente."/>
    <s v="PP"/>
    <m/>
    <d v="2024-01-12T00:00:00"/>
    <n v="242"/>
    <n v="11.3"/>
    <n v="46694.21487603306"/>
    <m/>
    <m/>
    <m/>
    <m/>
    <n v="2024"/>
  </r>
  <r>
    <n v="1690"/>
    <x v="321"/>
    <d v="2023-01-30T00:00:00"/>
    <s v="Caserones"/>
    <s v="Caserones"/>
    <s v="Jose Moreno Urdangarin "/>
    <m/>
    <s v="Ingeniería de Detalles Transporte de Concentrado Columnas a Espesador Colectivo"/>
    <s v="ID"/>
    <s v="LC"/>
    <s v="NAC"/>
    <s v="Chile"/>
    <d v="2023-02-03T00:00:00"/>
    <s v="Vicente Salinas"/>
    <s v="PI"/>
    <m/>
    <s v="PG"/>
    <m/>
    <d v="2023-02-06T00:00:00"/>
    <n v="3076"/>
    <n v="109.2182"/>
    <n v="35506.566970091022"/>
    <s v="SH-0265 OS25"/>
    <m/>
    <m/>
    <m/>
    <n v="2023"/>
  </r>
  <r>
    <n v="1689"/>
    <x v="322"/>
    <d v="2023-01-25T00:00:00"/>
    <s v="AngloAmerican"/>
    <s v="AngloAmerican Los Bronces"/>
    <s v="Camilo Orellana"/>
    <s v="Camilo.Orellana@angloamerican.com"/>
    <s v="Verificación Ingeniería de Enlace - Adicionales SHIMIN"/>
    <s v="ID"/>
    <s v="LC"/>
    <s v="NAC"/>
    <s v="Chile"/>
    <d v="2023-01-25T00:00:00"/>
    <s v="Francisco Espinoza"/>
    <s v="PI"/>
    <s v="Horas no suman porque se restan del contrato de PEM"/>
    <s v="PG"/>
    <m/>
    <d v="2023-01-27T00:00:00"/>
    <m/>
    <m/>
    <s v="N/A"/>
    <s v="SH-0276 (NOC 5)"/>
    <m/>
    <m/>
    <m/>
    <n v="2023"/>
  </r>
  <r>
    <n v="1688"/>
    <x v="323"/>
    <d v="2023-01-18T00:00:00"/>
    <s v="VALE"/>
    <s v="VALE"/>
    <s v="Cássio Dayrell"/>
    <m/>
    <s v="Adequação Circuito Hídrico VGR1 - Vale"/>
    <s v="OS"/>
    <s v="LC"/>
    <s v="INT"/>
    <s v="Brasil"/>
    <d v="2023-01-24T00:00:00"/>
    <s v="Pedro Valencia"/>
    <s v="ID"/>
    <m/>
    <s v="NL"/>
    <m/>
    <d v="2023-01-24T00:00:00"/>
    <m/>
    <m/>
    <s v="N/A"/>
    <m/>
    <m/>
    <m/>
    <m/>
    <n v="2023"/>
  </r>
  <r>
    <n v="1687"/>
    <x v="324"/>
    <d v="2023-01-24T00:00:00"/>
    <s v="NAVA Consulting"/>
    <s v="Compañía Minera Teck Quebrada Blanca S.A."/>
    <s v="Gail Riddell"/>
    <s v="info@nava.cl"/>
    <s v="Curso Reología Quebrada Blanca"/>
    <s v="CT"/>
    <s v="ND"/>
    <s v="NAC"/>
    <s v="Chile"/>
    <d v="2023-01-25T00:00:00"/>
    <s v="Jorge Casanova"/>
    <s v="CO"/>
    <m/>
    <s v="DP"/>
    <n v="0.01"/>
    <d v="2023-02-22T00:00:00"/>
    <n v="36"/>
    <n v="1.6"/>
    <n v="44444.444444444445"/>
    <m/>
    <m/>
    <m/>
    <m/>
    <n v="2023"/>
  </r>
  <r>
    <n v="1686"/>
    <x v="325"/>
    <d v="2023-01-23T00:00:00"/>
    <s v="BHP BILLITON"/>
    <s v="Minera Spence"/>
    <s v="Carlos Pavissich"/>
    <s v="carlos.pavissich@bhp.com"/>
    <s v="Ingeniería Conceptual Mejoras Mediano y Largo Plazo"/>
    <s v="IC"/>
    <s v="ND"/>
    <s v="NAC"/>
    <s v="Chile"/>
    <d v="2023-01-26T00:00:00"/>
    <s v="Jorge Casanova"/>
    <s v="TA-PI"/>
    <m/>
    <s v="PD"/>
    <m/>
    <d v="2023-04-06T00:00:00"/>
    <m/>
    <m/>
    <s v="N/A"/>
    <m/>
    <m/>
    <m/>
    <s v="alta prob para junio"/>
    <n v="2023"/>
  </r>
  <r>
    <n v="1685"/>
    <x v="326"/>
    <d v="2023-01-23T00:00:00"/>
    <s v="BHP BILLITON"/>
    <s v="Minera Spence"/>
    <s v="Carlos Pavissich"/>
    <s v="carlos.pavissich@bhp.com"/>
    <s v="Ingeniería de Detalles Mejoramiento de Relaves Corto Plazo"/>
    <s v="ID"/>
    <s v="ND"/>
    <s v="NAC"/>
    <s v="Chile"/>
    <d v="2023-01-25T00:00:00"/>
    <s v="Jorge Casanova"/>
    <s v="TA-PI"/>
    <s v="Nuevo código para oferta de solo una parte de esta oferta."/>
    <s v="PP"/>
    <m/>
    <d v="2023-03-15T00:00:00"/>
    <n v="5278"/>
    <n v="250.81200000000001"/>
    <n v="47520.272830617658"/>
    <m/>
    <m/>
    <m/>
    <s v="alta prob para junio"/>
    <n v="2023"/>
  </r>
  <r>
    <n v="1684"/>
    <x v="327"/>
    <d v="2023-02-01T00:00:00"/>
    <s v="JEJ"/>
    <s v="Minera Zaldívar"/>
    <s v="Cristián Velásquez"/>
    <s v="cvelasquez@jej.cl"/>
    <s v="Alcances Adicionales - Zaldívar Muro y Depositación de Relaves"/>
    <s v="IC"/>
    <s v="ND"/>
    <s v="NAC"/>
    <s v="Chile"/>
    <d v="2023-02-08T00:00:00"/>
    <s v="Víctor Mendoza/Rodrigo Gutierrez"/>
    <s v="TA"/>
    <s v="Se envió como O-1695"/>
    <s v="NL"/>
    <m/>
    <d v="2023-03-08T00:00:00"/>
    <m/>
    <m/>
    <s v="N/A"/>
    <m/>
    <m/>
    <m/>
    <s v="Entregar Carta por Pablo Vasquez"/>
    <n v="2023"/>
  </r>
  <r>
    <n v="1683"/>
    <x v="328"/>
    <d v="2023-01-23T00:00:00"/>
    <s v="JJC"/>
    <s v="Antamina"/>
    <s v="Luis Felipe de la Flor"/>
    <m/>
    <s v="ID Repotenciamiento de Dos Bahías Existentes en Truck Shop "/>
    <s v="ID"/>
    <s v="ND"/>
    <s v="NAC"/>
    <s v="Chile"/>
    <d v="2023-04-15T00:00:00"/>
    <s v="Francisco Martin"/>
    <s v="BP"/>
    <s v="87 días"/>
    <s v="PP"/>
    <m/>
    <d v="2023-06-22T00:00:00"/>
    <n v="10403"/>
    <n v="463"/>
    <n v="44506.392386811502"/>
    <m/>
    <m/>
    <m/>
    <s v="cambio fecha entrega EPC al 15/03"/>
    <n v="2023"/>
  </r>
  <r>
    <n v="1682"/>
    <x v="329"/>
    <d v="2023-01-18T00:00:00"/>
    <s v="JEJ"/>
    <s v="Codelco"/>
    <s v="José Lugo Hidalgo"/>
    <s v="jlugo@jej.cl"/>
    <s v="Análisis de Flexibilidad Tubería 16&quot;"/>
    <s v="ID"/>
    <s v="ND"/>
    <s v="NAC"/>
    <s v="Chile"/>
    <d v="2023-01-25T00:00:00"/>
    <s v="Francisco Espinoza"/>
    <s v="PI"/>
    <m/>
    <s v="PP"/>
    <m/>
    <d v="2023-02-27T00:00:00"/>
    <n v="139"/>
    <n v="5.76"/>
    <n v="41438.848920863311"/>
    <m/>
    <m/>
    <m/>
    <m/>
    <n v="2023"/>
  </r>
  <r>
    <n v="1681"/>
    <x v="330"/>
    <d v="2023-01-19T00:00:00"/>
    <s v="Knauf"/>
    <s v="Knauf"/>
    <s v="Andres Jensen"/>
    <s v="andresjensenvelasco@gmail.com"/>
    <s v="Complementos Ingeniería para SEIA"/>
    <s v="IG"/>
    <s v="ND"/>
    <s v="NAC"/>
    <s v="Chile"/>
    <d v="2023-02-03T00:00:00"/>
    <s v="Domingo Fernández"/>
    <s v="OT"/>
    <s v="Se envió revisión 1. Plazo 12 semanas."/>
    <s v="PG"/>
    <m/>
    <d v="2023-02-23T00:00:00"/>
    <n v="2662"/>
    <n v="105.9"/>
    <n v="39782.118707738548"/>
    <s v="SH-0329"/>
    <m/>
    <m/>
    <m/>
    <n v="2023"/>
  </r>
  <r>
    <n v="1680"/>
    <x v="331"/>
    <d v="2023-01-17T00:00:00"/>
    <s v="Sierra Gorda"/>
    <s v="Sierra Gorda"/>
    <s v="Rafael Rodríguez"/>
    <s v="rafael.rodriguez@sgscm.cl"/>
    <s v="Ingeniería de Detalles Continuidad Operacional Berma 11"/>
    <s v="ID"/>
    <s v="ND"/>
    <s v="NAC"/>
    <s v="Chile"/>
    <d v="2023-01-18T00:00:00"/>
    <s v="Jorge Casanova"/>
    <s v="PI"/>
    <m/>
    <s v="PG"/>
    <m/>
    <d v="2023-02-22T00:00:00"/>
    <n v="315"/>
    <n v="12.9"/>
    <n v="40952.380952380954"/>
    <s v="SH-0271 ODT-08"/>
    <m/>
    <m/>
    <s v="cliente de vacaciones"/>
    <n v="2023"/>
  </r>
  <r>
    <n v="1679"/>
    <x v="332"/>
    <d v="2023-01-17T00:00:00"/>
    <s v="Sierra Gorda"/>
    <s v="Sierra Gorda"/>
    <s v="Rafael Rodríguez"/>
    <s v="rafael.rodriguez@sgscm.cl"/>
    <s v="Ingeniería de Detalles Derivación Canal Norte-Sur"/>
    <s v="ID"/>
    <s v="LC"/>
    <s v="NAC"/>
    <s v="Chile"/>
    <d v="2023-01-18T00:00:00"/>
    <s v="Jorge Casanova"/>
    <s v="PI"/>
    <m/>
    <s v="PP"/>
    <m/>
    <d v="2024-01-12T00:00:00"/>
    <n v="393"/>
    <n v="15.6"/>
    <n v="39694.656488549619"/>
    <m/>
    <m/>
    <m/>
    <m/>
    <n v="2024"/>
  </r>
  <r>
    <n v="1678"/>
    <x v="333"/>
    <d v="2023-01-16T00:00:00"/>
    <s v="Collahuasi"/>
    <s v="Collahuasi"/>
    <s v="Claudia Díaz Echeverría"/>
    <s v="cpdiaz.esed@collahuasi.cl "/>
    <s v="Trade-Off Alternativas de Abastecimiento (Restitución Quebradas Sector Oriente)"/>
    <s v="IC"/>
    <s v="LM"/>
    <s v="NAC"/>
    <s v="Chile"/>
    <d v="2023-02-08T00:00:00"/>
    <s v="Rodrigo Gutiérrez"/>
    <s v="PI"/>
    <s v="Envío de aclaraciones N°2"/>
    <s v="PG"/>
    <m/>
    <d v="2023-03-09T00:00:00"/>
    <n v="2427"/>
    <n v="109"/>
    <n v="44911.413267408323"/>
    <s v="SH-0332"/>
    <m/>
    <m/>
    <m/>
    <n v="2023"/>
  </r>
  <r>
    <n v="1677"/>
    <x v="334"/>
    <d v="2023-01-17T00:00:00"/>
    <s v="AngloAmerican"/>
    <s v="AngloAmerican Los Bronces"/>
    <s v="Camilo Orellana"/>
    <s v="Camilo.Orellana@angloamerican.com"/>
    <s v="Modificación de Planos de Ingeniería Primera Línea de Producción"/>
    <s v="ID"/>
    <s v="LC"/>
    <s v="NAC"/>
    <s v="Chile"/>
    <d v="2023-01-17T00:00:00"/>
    <s v="Pedro Valencia"/>
    <s v="TA"/>
    <m/>
    <s v="DP"/>
    <n v="0.01"/>
    <d v="2023-02-08T00:00:00"/>
    <n v="390"/>
    <n v="11.3"/>
    <n v="28974.358974358976"/>
    <m/>
    <m/>
    <m/>
    <m/>
    <n v="2023"/>
  </r>
  <r>
    <n v="1676"/>
    <x v="335"/>
    <d v="2023-01-17T00:00:00"/>
    <s v="PVSA"/>
    <s v="PVSA"/>
    <s v="Jaime Condell"/>
    <s v="jaime.condell@pvsa.cl"/>
    <s v="Ingeniería Inspección Estructuras Siniestradas (Correa es Importante)"/>
    <s v="IC"/>
    <s v="ND"/>
    <s v="NAC"/>
    <s v="Chile"/>
    <d v="2023-01-30T00:00:00"/>
    <s v="Miguel Ángel Sepúlveda"/>
    <s v="OT"/>
    <m/>
    <s v="PP"/>
    <n v="0"/>
    <d v="2023-02-08T00:00:00"/>
    <n v="578"/>
    <n v="26.34872"/>
    <n v="45586.020761245672"/>
    <m/>
    <m/>
    <m/>
    <m/>
    <n v="2023"/>
  </r>
  <r>
    <n v="1675"/>
    <x v="336"/>
    <d v="2023-01-09T00:00:00"/>
    <s v="Consorcio JEJ-SHIMIN"/>
    <s v="Codelco División El Teniente"/>
    <s v="Roberto Quezada Ureta"/>
    <s v="rquez001@codelco.cl"/>
    <s v="Extensión ODS11 / SH-0274 - Manual de Operaciones 7ª Etapa Depósito Carén"/>
    <s v="AO"/>
    <s v="LC"/>
    <s v="NAC"/>
    <s v="Chile"/>
    <d v="2023-01-25T00:00:00"/>
    <s v="Sebastián Briceño"/>
    <s v="TA"/>
    <m/>
    <s v="PG"/>
    <m/>
    <d v="2023-01-25T00:00:00"/>
    <n v="199"/>
    <n v="4.8"/>
    <n v="24120.603015075376"/>
    <s v="SH-0274 ODS20"/>
    <m/>
    <m/>
    <m/>
    <n v="2023"/>
  </r>
  <r>
    <n v="1674"/>
    <x v="337"/>
    <d v="2023-01-03T00:00:00"/>
    <s v="Codelco"/>
    <s v="Codelco División Codelco Norte"/>
    <m/>
    <s v="hbozo@codelco.cl"/>
    <s v="Servicio de Contraparte de Ingeniería y Apoyo Experto"/>
    <s v="CA"/>
    <s v="LM"/>
    <s v="NAC"/>
    <s v="Chile"/>
    <d v="2023-02-17T00:00:00"/>
    <s v="Vicente Salinas"/>
    <s v="BP-LBP-TA-PI"/>
    <m/>
    <s v="NL"/>
    <m/>
    <d v="2023-02-08T00:00:00"/>
    <m/>
    <m/>
    <s v="N/A"/>
    <m/>
    <m/>
    <m/>
    <s v="Conversacion pendiente con Vicente por parte de PV"/>
    <n v="2023"/>
  </r>
  <r>
    <n v="1673"/>
    <x v="338"/>
    <d v="2023-01-09T00:00:00"/>
    <s v="SGS"/>
    <s v="AngloAmerican"/>
    <s v="Jorge Chávez"/>
    <s v="Jorge.Chavez@sgs.com"/>
    <s v="Verificación Hidráulica y Estructural Proyecto Recirculación II en Las Tórtolas"/>
    <s v="OS"/>
    <s v="ND"/>
    <s v="NAC"/>
    <s v="Chile"/>
    <d v="2023-01-27T00:00:00"/>
    <s v="Jorge Casanova"/>
    <s v="PI"/>
    <m/>
    <s v="DP"/>
    <n v="0.01"/>
    <d v="2023-02-08T00:00:00"/>
    <n v="64"/>
    <n v="3.5449099999999998"/>
    <n v="55389.21875"/>
    <m/>
    <m/>
    <m/>
    <m/>
    <n v="2023"/>
  </r>
  <r>
    <n v="1672"/>
    <x v="339"/>
    <d v="2023-01-06T00:00:00"/>
    <s v="PVSA"/>
    <s v="PVSA"/>
    <s v="Eduardo Mosalve"/>
    <s v="eduardo.monsalve@pvsa.cl"/>
    <s v="Nueva Red de Incendio PVSA"/>
    <s v="IB"/>
    <s v="LM"/>
    <s v="NAC"/>
    <s v="Chile"/>
    <d v="2023-02-10T00:00:00"/>
    <s v="José Luis Calderón"/>
    <s v="PI"/>
    <m/>
    <s v="PP"/>
    <m/>
    <d v="2023-03-16T00:00:00"/>
    <n v="1195"/>
    <n v="48.636165199999994"/>
    <n v="40699.719832635979"/>
    <m/>
    <m/>
    <m/>
    <m/>
    <n v="2023"/>
  </r>
  <r>
    <n v="1671"/>
    <x v="340"/>
    <d v="2023-01-04T00:00:00"/>
    <s v="Caserones"/>
    <s v="Caserones"/>
    <s v="Sonja Galleguillos - Ariba"/>
    <s v="sgalleguillos.esed@caserones.cl"/>
    <s v="Asesorías para la Estimación de Caudales de Líneas para Transporte de Arenas"/>
    <s v="ID"/>
    <s v="LM"/>
    <s v="NAC"/>
    <s v="Chile"/>
    <d v="2023-01-09T00:00:00"/>
    <s v="Hernán Castro"/>
    <s v="PI"/>
    <s v="4 semanas"/>
    <s v="PG"/>
    <m/>
    <d v="2023-01-26T00:00:00"/>
    <n v="290"/>
    <n v="23.464026"/>
    <n v="80910.434482758632"/>
    <s v="SH-0325"/>
    <m/>
    <m/>
    <m/>
    <n v="2023"/>
  </r>
  <r>
    <n v="1670"/>
    <x v="341"/>
    <d v="2023-01-03T00:00:00"/>
    <s v="BHP BILLITON"/>
    <s v="Minera Spence"/>
    <s v="Álvaro Sepúlveda"/>
    <s v="alvaro.sepulveda@bhp.com"/>
    <s v="Cotización Servicios de Capacitación"/>
    <s v="CT"/>
    <s v="ND"/>
    <s v="NAC"/>
    <s v="Chile"/>
    <d v="2023-01-05T00:00:00"/>
    <s v="Pablo Vásquez"/>
    <s v="CO"/>
    <m/>
    <s v="PG"/>
    <m/>
    <d v="2023-01-06T00:00:00"/>
    <n v="120"/>
    <n v="5.6"/>
    <n v="46666.666666666664"/>
    <s v="SH-0249"/>
    <m/>
    <m/>
    <m/>
    <n v="2023"/>
  </r>
  <r>
    <n v="1669"/>
    <x v="342"/>
    <d v="2022-12-29T00:00:00"/>
    <s v="Caserones"/>
    <s v="Caserones"/>
    <s v="Felipe Orostegui"/>
    <s v="forostegui@caserones.cl"/>
    <s v="Ingeniería Análisis del Sistema de Depositación de Arenas Actual y Futuro"/>
    <s v="ID"/>
    <s v="LC"/>
    <s v="NAC"/>
    <s v="Chile"/>
    <d v="2022-12-30T00:00:00"/>
    <s v="Vicente Salinas"/>
    <s v="PI"/>
    <m/>
    <s v="PP"/>
    <m/>
    <d v="2023-02-08T00:00:00"/>
    <n v="92"/>
    <n v="3.6720000000000002"/>
    <n v="39913.043478260872"/>
    <m/>
    <m/>
    <m/>
    <s v="Por confirmar con Vicente Salinas"/>
    <n v="2023"/>
  </r>
  <r>
    <n v="1668"/>
    <x v="343"/>
    <d v="2022-12-26T00:00:00"/>
    <s v="Sierra Gorda"/>
    <s v="Sierra Gorda"/>
    <s v="Rafael Rodríguez"/>
    <s v="rafael.rodriguez@sgscm.cl"/>
    <s v="Ingeniería de Detalles Obras Electromecánicas Expansión Depósito de Relaves"/>
    <s v="ID"/>
    <s v="LC"/>
    <s v="NAC"/>
    <s v="Chile"/>
    <d v="2023-01-25T00:00:00"/>
    <s v="Pedro Valencia"/>
    <s v="TA-PI"/>
    <s v="Revisión 4. Plazo 20 semanas"/>
    <s v="PG"/>
    <m/>
    <d v="2023-03-06T00:00:00"/>
    <n v="15000"/>
    <n v="627"/>
    <n v="41800"/>
    <s v="SH-0331"/>
    <m/>
    <m/>
    <m/>
    <n v="2023"/>
  </r>
  <r>
    <n v="1667"/>
    <x v="344"/>
    <d v="2022-12-26T00:00:00"/>
    <s v="AngloAmerican"/>
    <s v="AngloAmerican"/>
    <s v="Horacio Sandoval Riquelme"/>
    <s v="horacio.sandoval.r@outlook.com"/>
    <s v="Extensión Cañería Agua Chancado a Molienda SAG"/>
    <s v="ID"/>
    <s v="LM"/>
    <s v="NAC"/>
    <s v="Chile"/>
    <d v="2023-02-03T00:00:00"/>
    <s v="Carla Tapia"/>
    <s v="PI"/>
    <m/>
    <s v="PP"/>
    <n v="0"/>
    <d v="2023-06-22T00:00:00"/>
    <n v="2526"/>
    <n v="97"/>
    <n v="38400.633412509895"/>
    <m/>
    <m/>
    <m/>
    <m/>
    <n v="2023"/>
  </r>
  <r>
    <n v="1666"/>
    <x v="345"/>
    <d v="2022-12-26T00:00:00"/>
    <s v="AngloAmerican"/>
    <s v="AngloAmerican"/>
    <s v="Horacio Sandoval Riquelme"/>
    <s v="horacio.sandoval.r@outlook.com"/>
    <s v="Proyectos Transformación Planta Sulfuros"/>
    <s v="ID"/>
    <s v="LM"/>
    <s v="NAC"/>
    <s v="Chile"/>
    <d v="2023-02-03T00:00:00"/>
    <s v="David Cerón"/>
    <s v="BP"/>
    <m/>
    <s v="PP"/>
    <n v="0"/>
    <d v="2023-06-22T00:00:00"/>
    <n v="7890"/>
    <n v="299"/>
    <n v="37896.070975918883"/>
    <m/>
    <m/>
    <m/>
    <m/>
    <n v="2023"/>
  </r>
  <r>
    <n v="1665"/>
    <x v="346"/>
    <d v="2022-12-22T00:00:00"/>
    <s v="Minera Los Pelambres"/>
    <s v="Minera Los Pelambres"/>
    <s v="Ariba - Sofía Yañez Vergara"/>
    <m/>
    <s v="Ingenierías Menores GTFT"/>
    <s v="CA"/>
    <s v="LM"/>
    <s v="NAC"/>
    <s v="Chile"/>
    <d v="2023-02-15T00:00:00"/>
    <s v="David Cerón"/>
    <s v="BP-PI-TA"/>
    <m/>
    <s v="PP"/>
    <m/>
    <d v="2023-02-22T00:00:00"/>
    <n v="1000"/>
    <n v="42"/>
    <n v="42000"/>
    <m/>
    <m/>
    <m/>
    <s v="Llegaron aclaraciones de las bases. 14/2, aclaraciones resuletas AM, enviadas"/>
    <n v="2023"/>
  </r>
  <r>
    <n v="1664"/>
    <x v="347"/>
    <d v="2023-01-03T00:00:00"/>
    <s v="Aguas CAP"/>
    <s v="Aguas CAP"/>
    <s v="Karin Lesly Neira Vidal"/>
    <s v="kneira@aguascap.cl"/>
    <s v="Ingeniería de Perfil Proyecto Pumped Storage - Susterra"/>
    <s v="IP"/>
    <s v="LM"/>
    <s v="NAC"/>
    <s v="Chile"/>
    <d v="2022-12-29T00:00:00"/>
    <s v="Carla Tapia"/>
    <s v="PI"/>
    <m/>
    <s v="PG"/>
    <m/>
    <d v="2023-01-06T00:00:00"/>
    <n v="339"/>
    <n v="14"/>
    <n v="41297.935103244839"/>
    <s v="SH-0319"/>
    <m/>
    <m/>
    <m/>
    <n v="2023"/>
  </r>
  <r>
    <n v="1663"/>
    <x v="348"/>
    <d v="2022-12-20T00:00:00"/>
    <s v="Consorcio JEJ-SHIMIN"/>
    <s v="Codelco División El Teniente"/>
    <s v="Roberto Quezada Ureta"/>
    <s v="rquez001@codelco.cl"/>
    <s v="Diseño Botadero El Buitre Etapas 8a y 9a  - ODS19 / SH-0274"/>
    <s v="ID"/>
    <s v="LC"/>
    <s v="NAC"/>
    <s v="Chile"/>
    <d v="2023-03-31T00:00:00"/>
    <s v="Hugo Andrade"/>
    <s v="TA"/>
    <s v="83 días"/>
    <s v="PG"/>
    <m/>
    <d v="2023-04-06T00:00:00"/>
    <n v="1586"/>
    <n v="39.700000000000003"/>
    <n v="25031.525851197981"/>
    <s v="SH-0274 ODS19"/>
    <m/>
    <m/>
    <s v="en espera. Francisco Delgado conversar con Rodrigo Gutierrez y/o Victor Mendoza"/>
    <n v="2023"/>
  </r>
  <r>
    <n v="1662"/>
    <x v="349"/>
    <d v="2022-12-16T00:00:00"/>
    <s v="Sierra Gorda"/>
    <s v="Sierra Gorda"/>
    <s v="Marcin Pasiut"/>
    <s v="Marcin.Pasiut@sgscm.cl"/>
    <s v="Ingeniería de Detalles Relaves SGSCM para 160 ktpd"/>
    <s v="ID"/>
    <s v="LC"/>
    <s v="NAC"/>
    <s v="Chile"/>
    <d v="2022-12-23T00:00:00"/>
    <s v="Pedro Valencia"/>
    <s v="TA-PI"/>
    <m/>
    <s v="PP"/>
    <m/>
    <d v="2023-03-07T00:00:00"/>
    <n v="6117"/>
    <n v="183.5"/>
    <n v="29998.365211705084"/>
    <m/>
    <m/>
    <m/>
    <s v="Postergada para fines de febrero"/>
    <n v="2023"/>
  </r>
  <r>
    <n v="1661"/>
    <x v="350"/>
    <d v="2022-12-12T00:00:00"/>
    <s v="JEJ"/>
    <s v="Codelco División El Teniente"/>
    <s v="Carlos Him"/>
    <s v="chim@jej.cl"/>
    <s v="Análisis de Flexibilidad Tubería Recirculación Scavenger"/>
    <s v="ID"/>
    <s v="ND"/>
    <s v="NAC"/>
    <s v="Chile"/>
    <d v="2022-12-13T00:00:00"/>
    <s v="Francisco Espinoza"/>
    <s v="PI"/>
    <m/>
    <s v="PP"/>
    <m/>
    <d v="2023-01-16T00:00:00"/>
    <n v="142"/>
    <n v="5.3243999999999998"/>
    <n v="37495.774647887323"/>
    <m/>
    <m/>
    <m/>
    <m/>
    <n v="2023"/>
  </r>
  <r>
    <n v="1660"/>
    <x v="351"/>
    <d v="2022-12-07T00:00:00"/>
    <s v="Caserones"/>
    <s v="Caserones"/>
    <s v="Jose Moreno Urdangarin "/>
    <m/>
    <s v="Ingeniería de Detalles Desagüe Fondo Mina MLCC"/>
    <s v="ID"/>
    <s v="LC"/>
    <s v="NAC"/>
    <s v="Chile"/>
    <d v="2022-12-13T00:00:00"/>
    <s v="Vicente Salinas"/>
    <s v="PI"/>
    <s v="8 semanas"/>
    <s v="PG"/>
    <m/>
    <d v="2022-12-13T00:00:00"/>
    <n v="681"/>
    <n v="26.552399999999999"/>
    <n v="38990.308370044055"/>
    <s v="SH-0265 OS24"/>
    <m/>
    <m/>
    <m/>
    <n v="2022"/>
  </r>
  <r>
    <n v="1659"/>
    <x v="352"/>
    <d v="2022-12-09T00:00:00"/>
    <s v="Aclara Resources"/>
    <s v="Aclara Resources"/>
    <s v="Rodrigo Contreras"/>
    <s v=" rodrigo.contreras@aclara-re.com"/>
    <s v="Ingeniería Conceptual Diseño de tres (3) Instalaciones Mineras"/>
    <s v="IC"/>
    <s v="ND"/>
    <s v="NAC"/>
    <s v="Chile"/>
    <d v="2022-12-21T00:00:00"/>
    <s v="Domingo Fernández"/>
    <s v="BP"/>
    <m/>
    <s v="PG"/>
    <m/>
    <d v="2023-01-30T00:00:00"/>
    <n v="1209"/>
    <n v="54.6"/>
    <n v="45161.290322580651"/>
    <s v="SH-0327"/>
    <m/>
    <m/>
    <m/>
    <n v="2023"/>
  </r>
  <r>
    <n v="1658"/>
    <x v="353"/>
    <d v="2022-12-09T00:00:00"/>
    <s v="Aclara Resources"/>
    <s v="Aclara Resources"/>
    <s v="Rodrigo Contreras"/>
    <s v=" rodrigo.contreras@aclara-re.com"/>
    <s v="Ingeniería Conceptual Modificación Oleoducto ENAP en la Zona de Extracción Maite"/>
    <s v="IC"/>
    <s v="ND"/>
    <s v="NAC"/>
    <s v="Chile"/>
    <d v="2022-12-21T00:00:00"/>
    <s v="Carla Tapia"/>
    <s v="PI"/>
    <m/>
    <s v="PG"/>
    <m/>
    <d v="2023-01-27T00:00:00"/>
    <n v="551"/>
    <n v="23"/>
    <n v="41742.286751361164"/>
    <s v="SH-0326"/>
    <m/>
    <m/>
    <m/>
    <n v="2023"/>
  </r>
  <r>
    <n v="1657"/>
    <x v="354"/>
    <d v="2022-12-07T00:00:00"/>
    <s v="VALE"/>
    <s v="VALE"/>
    <s v="Joao Monteiro_CONTR"/>
    <s v=" C0628600@vale.com"/>
    <s v="Fornecimento de Especialista em Rejeitoduto – Mina de Viga - Vale"/>
    <s v="OS"/>
    <s v="LC"/>
    <s v="INT"/>
    <s v="Brasil"/>
    <d v="2022-12-08T00:00:00"/>
    <s v="Dolglas Souza"/>
    <s v="PI"/>
    <m/>
    <s v="PP"/>
    <m/>
    <d v="2023-02-22T00:00:00"/>
    <n v="557"/>
    <n v="24.7"/>
    <n v="44344.703770197491"/>
    <m/>
    <m/>
    <m/>
    <m/>
    <n v="2023"/>
  </r>
  <r>
    <n v="1656"/>
    <x v="355"/>
    <d v="2022-12-01T00:00:00"/>
    <s v="Centinela"/>
    <s v="Centinela"/>
    <s v="Ariba - Iselin Méndez Bravo"/>
    <m/>
    <s v="Contrato Marco de Ingeniería Intermedia y Servicios de Terreno"/>
    <s v="CA"/>
    <s v="LM"/>
    <s v="NAC"/>
    <s v="Chile"/>
    <d v="2023-02-20T00:00:00"/>
    <s v="David Cerón"/>
    <s v="BP-PI-TA"/>
    <m/>
    <s v="PP"/>
    <n v="0"/>
    <d v="2023-02-22T00:00:00"/>
    <n v="1000"/>
    <n v="42.36"/>
    <n v="42360"/>
    <m/>
    <m/>
    <m/>
    <s v="Aclaraciones Técnicas N°2 enviadas 20-02-23. Hugo llamar a Ismael al regreso"/>
    <n v="2023"/>
  </r>
  <r>
    <n v="1655"/>
    <x v="356"/>
    <d v="2022-11-09T00:00:00"/>
    <s v="R&amp;Q Ingeniería"/>
    <s v="Codelco División Chuquicamata"/>
    <s v="José Francisco Rojas Solar"/>
    <s v="jose.rojas@ryq.cl"/>
    <s v="Ingeniería de Contraparte Proyecto Sostenibilidad Largo Plazo Concentradora DCH"/>
    <s v="CO"/>
    <s v="ND"/>
    <s v="NAC"/>
    <s v="Chile"/>
    <d v="2022-12-02T00:00:00"/>
    <s v="David Cerón"/>
    <s v="BP"/>
    <m/>
    <s v="PG"/>
    <m/>
    <d v="2023-01-11T00:00:00"/>
    <n v="2160"/>
    <n v="150"/>
    <n v="69444.444444444453"/>
    <s v="SH-0323"/>
    <m/>
    <m/>
    <m/>
    <n v="2023"/>
  </r>
  <r>
    <n v="1654"/>
    <x v="357"/>
    <d v="2022-10-07T00:00:00"/>
    <s v="Pipeline Intelligence"/>
    <s v="Codelco División Andina"/>
    <s v="Claudio Muñoz Q."/>
    <m/>
    <s v="Servicios de Pig Inteligente para Concentraducto 6”"/>
    <s v="IB"/>
    <s v="LM"/>
    <s v="NAC"/>
    <s v="Chile"/>
    <d v="2022-12-07T00:00:00"/>
    <s v="Carla Tapia"/>
    <s v="PI"/>
    <s v="Propuesta cara para PI."/>
    <s v="PP"/>
    <m/>
    <d v="2022-11-30T00:00:00"/>
    <n v="1656"/>
    <n v="56.935000000000002"/>
    <n v="34381.038647342997"/>
    <m/>
    <m/>
    <m/>
    <m/>
    <n v="2022"/>
  </r>
  <r>
    <n v="1653"/>
    <x v="358"/>
    <d v="2022-11-22T00:00:00"/>
    <s v="Codelco"/>
    <s v="Codelco VP"/>
    <s v="ARIBA"/>
    <m/>
    <s v="Contrato Marco Ingeniería de Contraparte"/>
    <s v="CA"/>
    <s v="LM"/>
    <s v="NAC"/>
    <s v="Chile"/>
    <d v="2023-01-04T00:00:00"/>
    <s v="David Cerón"/>
    <s v="BP-PI-TA"/>
    <m/>
    <s v="NL"/>
    <m/>
    <d v="2022-11-29T00:00:00"/>
    <m/>
    <m/>
    <s v="N/A"/>
    <m/>
    <m/>
    <m/>
    <m/>
    <n v="2022"/>
  </r>
  <r>
    <n v="1652"/>
    <x v="359"/>
    <d v="2022-11-25T00:00:00"/>
    <s v="Intasol"/>
    <s v="Minera Los Pelambres"/>
    <s v="Gail Riddell"/>
    <s v="gail.riddell@nava.cl "/>
    <s v="Ingeniería de Detalles Repulpeo Tranque Los Quillayes"/>
    <s v="ID"/>
    <s v="ND"/>
    <s v="NAC"/>
    <s v="Chile"/>
    <d v="2022-12-20T00:00:00"/>
    <s v="Pablo Vásquez"/>
    <s v="TA"/>
    <s v="Decisión de no licitar. En Congreso Tailings se dio a entender que se adjudicacía a Fraser."/>
    <s v="NL"/>
    <m/>
    <d v="2023-06-22T00:00:00"/>
    <m/>
    <m/>
    <s v="N/A"/>
    <m/>
    <m/>
    <m/>
    <m/>
    <n v="2023"/>
  </r>
  <r>
    <n v="1651"/>
    <x v="360"/>
    <d v="2022-11-25T00:00:00"/>
    <s v="Aguas CAP"/>
    <s v="Aguas CAP"/>
    <s v="José Agüero Caro"/>
    <s v="e_jaguero@aguascap.cl"/>
    <s v="Ingeniería Conceptual e Ingeniería Básica Actualización Optimización Operacional ATA"/>
    <s v="IC/IB"/>
    <s v="LM"/>
    <s v="NAC"/>
    <s v="Chile"/>
    <d v="2022-12-05T00:00:00"/>
    <s v="David Cerón"/>
    <s v="PI"/>
    <m/>
    <s v="PP"/>
    <m/>
    <d v="2023-01-03T00:00:00"/>
    <n v="4158"/>
    <n v="171"/>
    <n v="41125.541125541131"/>
    <m/>
    <m/>
    <m/>
    <m/>
    <n v="2023"/>
  </r>
  <r>
    <n v="1650"/>
    <x v="361"/>
    <d v="2022-11-23T00:00:00"/>
    <s v="BHP BILLITON"/>
    <s v="Minera Spence"/>
    <s v="Carlos Pavissich"/>
    <s v="carlos.pavissich@bhp.com"/>
    <s v="Análisis Impacto por Cambio en Características Reológicas del Relave"/>
    <s v="OS"/>
    <s v="ND"/>
    <s v="NAC"/>
    <s v="Chile"/>
    <d v="2022-11-30T00:00:00"/>
    <s v="Pedro Valencia"/>
    <s v="TA"/>
    <s v="4 Semanas"/>
    <s v="PG"/>
    <m/>
    <d v="2022-11-30T00:00:00"/>
    <n v="423"/>
    <n v="20.712544999999999"/>
    <n v="48965.827423167844"/>
    <s v="SH-0318"/>
    <m/>
    <m/>
    <m/>
    <n v="2022"/>
  </r>
  <r>
    <n v="1649"/>
    <x v="362"/>
    <d v="2022-11-21T00:00:00"/>
    <s v="CMP"/>
    <s v="CMP"/>
    <s v="Ángel Ponce"/>
    <s v="aponce@cmp.cl"/>
    <s v="Apoyo Respuestas a Autoridad Ambiental - Permisos Sectoriales"/>
    <s v="IC"/>
    <s v="ND"/>
    <s v="NAC"/>
    <s v="Chile"/>
    <d v="2022-11-25T00:00:00"/>
    <s v="Daniela Videla"/>
    <s v="BP"/>
    <m/>
    <s v="PP"/>
    <m/>
    <d v="2022-12-07T00:00:00"/>
    <n v="1038"/>
    <n v="38.222000000000001"/>
    <n v="36822.736030828513"/>
    <m/>
    <m/>
    <m/>
    <m/>
    <n v="2022"/>
  </r>
  <r>
    <n v="1648"/>
    <x v="363"/>
    <d v="2022-11-21T00:00:00"/>
    <s v="Folsom Industrial"/>
    <s v="Folsom Industrial"/>
    <s v="David Ray"/>
    <s v=" dray@folsomindustrial.com"/>
    <s v="Pipeline Design"/>
    <s v="IC"/>
    <s v="ND"/>
    <s v="NAC"/>
    <s v="Chile"/>
    <d v="2022-11-25T00:00:00"/>
    <s v="Carla Tapia"/>
    <s v="PI"/>
    <s v="7 Semanas"/>
    <s v="PP"/>
    <n v="0"/>
    <d v="2023-02-22T00:00:00"/>
    <n v="396"/>
    <n v="25.92"/>
    <n v="65454.545454545463"/>
    <m/>
    <m/>
    <m/>
    <m/>
    <n v="2023"/>
  </r>
  <r>
    <n v="1647"/>
    <x v="364"/>
    <d v="2022-11-18T00:00:00"/>
    <s v="Alvarez &amp; Marsal Chile"/>
    <s v="Alvarez &amp; Marsal Chile"/>
    <s v="Julio Iturriaga"/>
    <m/>
    <s v="Revisión Técnica y Económica Proyecto Desaladora Enapac"/>
    <s v="RE"/>
    <s v="ND"/>
    <s v="NAC"/>
    <s v="Chile"/>
    <d v="2022-11-18T00:00:00"/>
    <s v="Hugo Andrade"/>
    <s v="PI"/>
    <s v="1 Semana"/>
    <s v="PG"/>
    <m/>
    <d v="2022-11-21T00:00:00"/>
    <n v="61"/>
    <n v="4.2384019999999998"/>
    <n v="69482"/>
    <s v="SH-0317"/>
    <m/>
    <m/>
    <m/>
    <n v="2022"/>
  </r>
  <r>
    <n v="1646"/>
    <x v="365"/>
    <d v="2022-10-21T00:00:00"/>
    <s v="Fe Grande"/>
    <s v="Orcoma"/>
    <s v="Francisco Riquelme"/>
    <s v="FRIQUELMEB@fegrande.cl"/>
    <s v="Proyecto Orcoma - Construcción Impulsión Agua de Mar "/>
    <s v="ID"/>
    <s v="LM"/>
    <s v="NAC"/>
    <s v="Chile"/>
    <d v="2022-11-25T00:00:00"/>
    <s v="Carla Tapia"/>
    <s v="PI"/>
    <s v="27 Semanas"/>
    <s v="PD"/>
    <n v="0"/>
    <d v="2023-02-08T00:00:00"/>
    <m/>
    <n v="699.83066790000009"/>
    <s v="N/A"/>
    <m/>
    <m/>
    <m/>
    <m/>
    <n v="2023"/>
  </r>
  <r>
    <n v="1645"/>
    <x v="366"/>
    <d v="2022-10-21T00:00:00"/>
    <s v="Puma"/>
    <s v="Orcoma"/>
    <s v="Yessica Godoy Osorio"/>
    <s v="ygodoy@pugamujica.cl"/>
    <s v="Proyecto Orcoma - Construcción Impulsión Agua de Mar "/>
    <s v="ID"/>
    <s v="LM"/>
    <s v="NAC"/>
    <s v="Chile"/>
    <d v="2022-11-25T00:00:00"/>
    <s v="Carla Tapia"/>
    <s v="PI"/>
    <s v="27 Semanas"/>
    <s v="PD"/>
    <n v="0"/>
    <d v="2023-02-08T00:00:00"/>
    <m/>
    <n v="699.83066790000009"/>
    <s v="N/A"/>
    <m/>
    <m/>
    <m/>
    <m/>
    <n v="2023"/>
  </r>
  <r>
    <n v="1644"/>
    <x v="367"/>
    <d v="2022-11-17T00:00:00"/>
    <s v="OHLA Peru"/>
    <s v="Volcan"/>
    <s v="Miguel Angel Carranza Simon"/>
    <s v="mcarranza@ohla-peru.pe"/>
    <s v="Ingeniería de Detalles Taller de Camiones Mina Romina"/>
    <s v="ID"/>
    <s v="LM"/>
    <s v="INT"/>
    <s v="Perú"/>
    <d v="2022-12-15T00:00:00"/>
    <s v="Francisco Martin"/>
    <s v="BP"/>
    <s v="Se envió planilla con HH y costos. Se pretende realizar a fin de mes."/>
    <s v="PD"/>
    <m/>
    <d v="2023-11-24T00:00:00"/>
    <m/>
    <n v="442.30288000000002"/>
    <s v="N/A"/>
    <m/>
    <m/>
    <m/>
    <s v="En espera de Francisco. 11/01"/>
    <n v="2023"/>
  </r>
  <r>
    <n v="1643"/>
    <x v="368"/>
    <d v="2022-11-16T00:00:00"/>
    <s v="VALE"/>
    <s v="VALE"/>
    <s v="Anderson Gomes"/>
    <m/>
    <s v="EC_EB e ED Bombeamento de agua recuperada Salobo – VALE"/>
    <s v="EC/EB/ED"/>
    <s v="LC"/>
    <s v="INT"/>
    <s v="Brasil"/>
    <d v="2022-11-18T00:00:00"/>
    <s v="Dolglas Souza"/>
    <s v="PI"/>
    <s v="6 Semanas"/>
    <s v="PG"/>
    <m/>
    <d v="2023-01-09T00:00:00"/>
    <n v="5417"/>
    <n v="174.5"/>
    <n v="32213.4022521691"/>
    <s v="SH-0322"/>
    <m/>
    <m/>
    <m/>
    <n v="2023"/>
  </r>
  <r>
    <n v="1642"/>
    <x v="369"/>
    <d v="2022-11-14T00:00:00"/>
    <s v="Consorcio JEJ-SHIMIN"/>
    <s v="Codelco División El Teniente"/>
    <s v="Roberto Quezada Ureta"/>
    <s v="rquez001@codelco.cl"/>
    <s v="Informe de Juicio Experto - Sistema Bombeo Arena Cicloneada  - ODS18 / SH-0274"/>
    <s v="RE"/>
    <s v="LC"/>
    <s v="NAC"/>
    <s v="Chile"/>
    <d v="2022-11-15T00:00:00"/>
    <s v="Pedro Valencia"/>
    <s v="TA-PI"/>
    <m/>
    <s v="PG"/>
    <m/>
    <d v="2022-11-23T00:00:00"/>
    <n v="120"/>
    <n v="4.5"/>
    <n v="37500"/>
    <s v="SH-0274 ODS18"/>
    <m/>
    <m/>
    <m/>
    <n v="2022"/>
  </r>
  <r>
    <n v="1641"/>
    <x v="370"/>
    <d v="2022-11-11T00:00:00"/>
    <s v="CMP"/>
    <s v="CMP"/>
    <s v="Aldo Díaz Arce"/>
    <s v="e_adiaz@cmp.cl"/>
    <s v="Análisis de Alternativas e Ingeniería de Detalles: Normalización Taller de Camiones"/>
    <s v="ID"/>
    <s v="LM"/>
    <s v="NAC"/>
    <s v="Chile"/>
    <d v="2022-12-07T00:00:00"/>
    <s v="Francisco Martin"/>
    <s v="BP"/>
    <m/>
    <s v="PG"/>
    <m/>
    <d v="2023-01-27T00:00:00"/>
    <n v="3124"/>
    <n v="161.08799999999999"/>
    <n v="51564.660691421253"/>
    <s v="SH-0328"/>
    <m/>
    <m/>
    <m/>
    <n v="2023"/>
  </r>
  <r>
    <n v="1640"/>
    <x v="371"/>
    <d v="2022-11-08T00:00:00"/>
    <s v="AngloAmerican"/>
    <s v="AngloAmerican"/>
    <s v="Marco García A."/>
    <s v="marco.garcia@angloamerican.com "/>
    <s v="Ingeniería Tubing Definitivo ECMP"/>
    <s v="ID"/>
    <s v="ND"/>
    <s v="NAC"/>
    <s v="Chile"/>
    <d v="2022-11-25T00:00:00"/>
    <s v="Pedro Valencia"/>
    <s v="PI"/>
    <s v="5 Semanas"/>
    <s v="PP"/>
    <n v="0"/>
    <d v="2023-02-08T00:00:00"/>
    <n v="831"/>
    <n v="25.6"/>
    <n v="30806.257521058968"/>
    <m/>
    <m/>
    <m/>
    <s v="PVZ preguntará a Marco García. 11/01"/>
    <n v="2023"/>
  </r>
  <r>
    <n v="1639"/>
    <x v="372"/>
    <d v="2022-11-07T00:00:00"/>
    <s v="CAP Minería"/>
    <s v="CAP Minería"/>
    <s v="Patricio Ochoa Valenzuela"/>
    <s v=" e_pochoa@pe.cmp.cl"/>
    <s v="Ingeniería Cierre Edificio Chancador Primario"/>
    <s v="IC"/>
    <s v="ND"/>
    <s v="NAC"/>
    <s v="Chile"/>
    <d v="2022-11-15T00:00:00"/>
    <s v="Néstor Vargas"/>
    <s v="BP"/>
    <s v="Detenida por CMP por redefinición de lineamientos"/>
    <s v="NL"/>
    <m/>
    <d v="2022-11-15T00:00:00"/>
    <m/>
    <m/>
    <s v="N/A"/>
    <m/>
    <m/>
    <m/>
    <m/>
    <n v="2022"/>
  </r>
  <r>
    <n v="1638"/>
    <x v="373"/>
    <d v="2022-11-08T00:00:00"/>
    <s v="Arcadis"/>
    <s v="Quellaveco"/>
    <s v="Franzisko Unzaga"/>
    <s v="franzisko.unzaga@arcadis.com"/>
    <s v="Asesoría Especializada PEM Sistemas Conducción y Depositación de Relaves Proyecto Quellaveco"/>
    <s v="AE"/>
    <s v="ND"/>
    <s v="NAC"/>
    <s v="Chile"/>
    <d v="2022-11-09T00:00:00"/>
    <s v="Hugo Andrade"/>
    <s v="COM"/>
    <m/>
    <s v="PG"/>
    <m/>
    <d v="2022-11-15T00:00:00"/>
    <n v="180"/>
    <n v="13.367179999999999"/>
    <n v="74262.111111111109"/>
    <s v="SH-0315"/>
    <m/>
    <m/>
    <m/>
    <n v="2022"/>
  </r>
  <r>
    <n v="1637"/>
    <x v="374"/>
    <d v="2022-11-08T00:00:00"/>
    <s v="VALE"/>
    <s v="VALE"/>
    <s v="Maurilio Messias Maciel"/>
    <s v="maurilio.maciel@vale.com "/>
    <s v="Análise dos sistemas de bombeamento da Usina do Salobo – VALE"/>
    <s v="OS"/>
    <s v="LC"/>
    <s v="INT"/>
    <s v="Brasil"/>
    <d v="2022-11-11T00:00:00"/>
    <s v="Dolglas Souza"/>
    <s v="PI"/>
    <s v="Revisión 1. 8 Semanas"/>
    <s v="PG"/>
    <m/>
    <d v="2023-01-10T00:00:00"/>
    <n v="2076"/>
    <n v="67"/>
    <n v="32273.603082851641"/>
    <s v="SH-0321"/>
    <m/>
    <m/>
    <m/>
    <n v="2023"/>
  </r>
  <r>
    <n v="1636"/>
    <x v="375"/>
    <d v="2022-11-08T00:00:00"/>
    <s v="VALE"/>
    <s v="VALE"/>
    <s v="Maurilio Messias Maciel"/>
    <s v="maurilio.maciel@vale.com "/>
    <s v="EC, EB e ED Bombeamento de Polpa e Sump da MOAGEM SLB I&amp;II – VALE"/>
    <s v="EC/EB"/>
    <s v="LC"/>
    <s v="INT"/>
    <s v="Brasil"/>
    <d v="2022-11-11T00:00:00"/>
    <s v="Dolglas Souza"/>
    <s v="PI"/>
    <s v="12 semanas"/>
    <s v="PG"/>
    <m/>
    <d v="2023-01-10T00:00:00"/>
    <n v="6807"/>
    <n v="226.7"/>
    <n v="33303.951814308799"/>
    <s v="SH-0320"/>
    <m/>
    <m/>
    <m/>
    <n v="2023"/>
  </r>
  <r>
    <n v="1635"/>
    <x v="376"/>
    <d v="2022-11-03T00:00:00"/>
    <s v="Consorcio JEJ-SHIMIN"/>
    <s v="Codelco División El Teniente"/>
    <s v="Roberto Quezada Ureta"/>
    <s v="rquez001@codelco.cl"/>
    <s v="Rediseño Fundaciones Sala Eléctrica - ODS16 / SH-0274"/>
    <s v="OS"/>
    <s v="LC"/>
    <s v="NAC"/>
    <s v="Chile"/>
    <d v="2022-11-08T00:00:00"/>
    <s v="Vanessa Veloso"/>
    <s v="OT"/>
    <s v="3 Semanas"/>
    <s v="PG"/>
    <m/>
    <d v="2022-11-24T00:00:00"/>
    <n v="145"/>
    <n v="3.3"/>
    <n v="22758.62068965517"/>
    <s v="SH-0274 ODS16"/>
    <m/>
    <m/>
    <m/>
    <n v="2022"/>
  </r>
  <r>
    <n v="1634"/>
    <x v="377"/>
    <d v="2022-11-03T00:00:00"/>
    <s v="Consorcio JEJ-SHIMIN"/>
    <s v="Codelco División El Teniente"/>
    <s v="Roberto Quezada Ureta"/>
    <s v="rquez001@codelco.cl"/>
    <s v="Respaldo Reducción Altura Pantalla Acústica - ODS14 / SH-0274"/>
    <s v="OS"/>
    <s v="LC"/>
    <s v="NAC"/>
    <s v="Chile"/>
    <d v="2022-11-09T00:00:00"/>
    <s v="Vanessa Veloso"/>
    <s v="OT"/>
    <s v="Horas de JEJ"/>
    <s v="PG"/>
    <m/>
    <d v="2022-11-15T00:00:00"/>
    <m/>
    <m/>
    <s v="N/A"/>
    <s v="SH-0274 ODS14"/>
    <m/>
    <m/>
    <m/>
    <n v="2022"/>
  </r>
  <r>
    <n v="1633"/>
    <x v="378"/>
    <d v="2022-11-02T00:00:00"/>
    <s v="Sierra Gorda"/>
    <s v="Sierra Gorda"/>
    <s v="Marcin Pasiut"/>
    <s v="Marcin.Pasiut@sgscm.cl"/>
    <s v="Ingeniería Básica Avanzada Implementación TSF - Fase II - 160 ktpd"/>
    <s v="IB"/>
    <s v="LC"/>
    <s v="NAC"/>
    <s v="Chile"/>
    <d v="2022-12-07T00:00:00"/>
    <s v="Pedro Valencia"/>
    <s v="TA-PI"/>
    <s v="13 Semanas   "/>
    <s v="PP"/>
    <m/>
    <d v="2023-03-07T00:00:00"/>
    <n v="4326"/>
    <n v="138"/>
    <n v="31900.138696255202"/>
    <m/>
    <m/>
    <m/>
    <s v="Postergada para fines de febrero"/>
    <n v="2022"/>
  </r>
  <r>
    <n v="1632"/>
    <x v="379"/>
    <d v="2022-11-02T00:00:00"/>
    <s v="Sierra Gorda"/>
    <s v="Sierra Gorda"/>
    <s v="Rafael Rodríguez"/>
    <s v="rafael.rodriguez@sgscm.cl"/>
    <s v="Ingeniería de Detalles Barrera Hidráulica Muro 6 y 7"/>
    <s v="ID"/>
    <s v="ND"/>
    <s v="NAC"/>
    <s v="Chile"/>
    <d v="2023-05-24T00:00:00"/>
    <s v="Pedro Valencia"/>
    <s v="TA-PI"/>
    <s v="Revisión 4, incluye pozos. A partir del segundo semestre"/>
    <s v="PG"/>
    <m/>
    <d v="2023-08-02T00:00:00"/>
    <n v="3976"/>
    <n v="154.30000000000001"/>
    <n v="38807.847082494976"/>
    <s v="SH-0347"/>
    <m/>
    <m/>
    <m/>
    <n v="2023"/>
  </r>
  <r>
    <n v="1631"/>
    <x v="380"/>
    <d v="2022-10-27T00:00:00"/>
    <s v="Antamina"/>
    <s v="Antamina"/>
    <s v="Robert Vigo"/>
    <s v="rvigo@antamina.com"/>
    <s v="Ingeniería de Detalles para Sistema de Transporte de Relaves 4165 Fase 2 y Sistema de Transporte de Relaves 4195"/>
    <s v="ID"/>
    <s v="LM"/>
    <s v="INT"/>
    <s v="Perú"/>
    <d v="2023-03-27T00:00:00"/>
    <s v="Pablo Vásquez / Carla Tapia"/>
    <s v="TA-PI"/>
    <s v="Adjudicada a Otro"/>
    <s v="PP"/>
    <m/>
    <d v="2023-05-09T00:00:00"/>
    <n v="60835"/>
    <n v="2564.96"/>
    <n v="42162.570888468807"/>
    <m/>
    <m/>
    <m/>
    <m/>
    <n v="2023"/>
  </r>
  <r>
    <n v="1630"/>
    <x v="381"/>
    <d v="2022-10-27T00:00:00"/>
    <s v="Antamina"/>
    <s v="Antamina"/>
    <s v="Robert Vigo"/>
    <s v="rvigo@antamina.com"/>
    <s v="Licitación LO1501A - Ingeniería de Detalle para Sistema de Transporte de Relaves 4165 Fase 2 y Sistema de Transporte de Relaves 4195"/>
    <s v="ID"/>
    <s v="PRE"/>
    <s v="INT"/>
    <s v="Perú"/>
    <d v="2022-10-28T00:00:00"/>
    <s v="Pablo Vásquez"/>
    <s v="TA-PI"/>
    <m/>
    <s v="NL"/>
    <m/>
    <d v="2022-10-27T00:00:00"/>
    <m/>
    <m/>
    <s v="N/A"/>
    <m/>
    <m/>
    <m/>
    <m/>
    <n v="2022"/>
  </r>
  <r>
    <n v="1629"/>
    <x v="382"/>
    <d v="2022-10-21T00:00:00"/>
    <s v="Sigdo Koppers"/>
    <s v="Orcoma"/>
    <s v="Daniel Pagliero Caro"/>
    <s v="daniel.pagliero@skic.com"/>
    <s v="Proyecto Orcoma - Construcción Impulsión Agua de Mar "/>
    <s v="ID"/>
    <s v="LM"/>
    <s v="NAC"/>
    <s v="Chile"/>
    <d v="2022-11-25T00:00:00"/>
    <s v="Carla Tapia"/>
    <s v="PI"/>
    <s v="27 Semanas"/>
    <s v="PD"/>
    <n v="0"/>
    <d v="2023-02-08T00:00:00"/>
    <n v="19406"/>
    <n v="699.83066790000009"/>
    <n v="36062.592388951874"/>
    <m/>
    <m/>
    <m/>
    <m/>
    <n v="2022"/>
  </r>
  <r>
    <n v="1628"/>
    <x v="383"/>
    <d v="2022-10-21T00:00:00"/>
    <s v="Echeverría Izquierdo"/>
    <s v="Orcoma"/>
    <s v="Luciano Rebolledo Galán"/>
    <s v="lrebolledo@eimontajes.cl"/>
    <s v="Proyecto Orcoma - Construcción Impulsión Agua de Mar "/>
    <s v="ID"/>
    <s v="LM"/>
    <s v="NAC"/>
    <s v="Chile"/>
    <d v="2022-11-25T00:00:00"/>
    <s v="Carla Tapia"/>
    <s v="PI"/>
    <s v="Cliente desiste de participar por no aprobación de Directorio para presentar oferta"/>
    <s v="PP"/>
    <m/>
    <d v="2022-12-20T00:00:00"/>
    <n v="19406"/>
    <n v="699.83066790000009"/>
    <n v="36062.592388951874"/>
    <m/>
    <m/>
    <m/>
    <m/>
    <n v="2022"/>
  </r>
  <r>
    <n v="1627"/>
    <x v="384"/>
    <d v="2022-10-27T00:00:00"/>
    <s v="Consorcio JEJ-SHIMIN"/>
    <s v="Codelco División El Teniente"/>
    <s v="Roberto Quezada Ureta"/>
    <s v="rquez001@codelco.cl"/>
    <s v="Análisis Riesgo de Falla Botadero El Buitre - Cota de Laguna 232 msnm - ODS15 / SH-0274"/>
    <s v="OS"/>
    <s v="LC"/>
    <s v="NAC"/>
    <s v="Chile"/>
    <d v="2022-11-02T00:00:00"/>
    <s v="Vanessa Veloso"/>
    <s v="TA"/>
    <s v="4 Semanas "/>
    <s v="PG"/>
    <m/>
    <d v="2022-11-15T00:00:00"/>
    <n v="175"/>
    <n v="4.5"/>
    <n v="25714.285714285714"/>
    <s v="SH-0274 ODS15"/>
    <m/>
    <m/>
    <m/>
    <n v="2022"/>
  </r>
  <r>
    <n v="1626"/>
    <x v="385"/>
    <d v="2022-10-27T00:00:00"/>
    <s v="Consorcio JEJ-SHIMIN"/>
    <s v="Codelco División El Teniente"/>
    <s v="Roberto Quezada Ureta"/>
    <s v="rquez001@codelco.cl"/>
    <s v="Actualización Informes de M&amp;C 7a Etapa Embalse Carén - ODS13 / SH-0274"/>
    <s v="OS"/>
    <s v="LC"/>
    <s v="NAC"/>
    <s v="Chile"/>
    <d v="2022-11-07T00:00:00"/>
    <s v="Vanessa Veloso"/>
    <s v="TA"/>
    <s v="11 Semanas "/>
    <s v="PG"/>
    <m/>
    <d v="2022-11-22T00:00:00"/>
    <n v="522"/>
    <n v="13.6"/>
    <n v="26053.639846743292"/>
    <s v="SH-0274 ODS13"/>
    <m/>
    <m/>
    <m/>
    <n v="2022"/>
  </r>
  <r>
    <n v="1625"/>
    <x v="386"/>
    <d v="2022-11-28T00:00:00"/>
    <s v="Aclara Resources"/>
    <s v="Aclara Resources"/>
    <s v="Natalia Campos"/>
    <m/>
    <s v="Ingeniería de Factibilidad Nueva Planta Módulo Penco"/>
    <s v="IB"/>
    <s v="ND"/>
    <s v="NAC"/>
    <s v="Chile"/>
    <d v="2023-01-13T00:00:00"/>
    <s v="Claudio Zamorano"/>
    <s v="BP"/>
    <m/>
    <s v="PP"/>
    <m/>
    <d v="2023-01-25T00:00:00"/>
    <n v="54064"/>
    <n v="2599.87"/>
    <n v="48088.7466706126"/>
    <m/>
    <m/>
    <m/>
    <m/>
    <n v="2023"/>
  </r>
  <r>
    <n v="1624"/>
    <x v="387"/>
    <d v="2022-10-24T00:00:00"/>
    <s v="R&amp;Q Ingeniería"/>
    <s v="Sierra Gorda"/>
    <s v="Miguel Ángel Ruiz Jiménez "/>
    <s v="miguel.ruiz@ryq.cl"/>
    <s v="Apoyo a R&amp;Q Cubicaciones Ingeniería Espesador Sierra Gorda"/>
    <s v="AP"/>
    <s v="ND"/>
    <s v="NAC"/>
    <s v="Chile"/>
    <d v="2022-10-26T00:00:00"/>
    <s v="Pedro Valencia"/>
    <s v="BP"/>
    <s v="Para Master en diciembre. INC separado octubre y diciembre."/>
    <s v="PG"/>
    <m/>
    <d v="2022-10-16T00:00:00"/>
    <n v="835"/>
    <n v="29.221499999999999"/>
    <n v="34995.808383233532"/>
    <s v="SH-0314"/>
    <m/>
    <m/>
    <m/>
    <n v="2022"/>
  </r>
  <r>
    <n v="1623"/>
    <x v="388"/>
    <d v="2022-10-24T00:00:00"/>
    <s v="CAP Minería"/>
    <s v="CAP Minería"/>
    <s v="Héctor Guerra"/>
    <s v="hguerra@cmp.cl"/>
    <s v="Consultoría para Optimización de Procesos Operacionales - CMP"/>
    <s v="ID"/>
    <s v="ND"/>
    <s v="NAC"/>
    <s v="Chile"/>
    <d v="2022-10-28T00:00:00"/>
    <s v="José Tomás Monares"/>
    <s v="BP"/>
    <s v="Pasó a prospectos"/>
    <s v="NL"/>
    <m/>
    <d v="2023-01-16T00:00:00"/>
    <m/>
    <m/>
    <s v="N/A"/>
    <m/>
    <m/>
    <m/>
    <s v="Está en prospectos para visita a la serena"/>
    <n v="2023"/>
  </r>
  <r>
    <n v="1622"/>
    <x v="389"/>
    <d v="2022-10-20T00:00:00"/>
    <s v="Caserones"/>
    <s v="Caserones"/>
    <s v="Felipe Romero"/>
    <s v="fromero@caserones.cl"/>
    <s v="Ingeniería Obras Tempranas proyecto SAR La Brea"/>
    <s v="ID"/>
    <s v="LC"/>
    <s v="NAC"/>
    <s v="Chile"/>
    <d v="2022-11-04T00:00:00"/>
    <s v="Vicente Salinas"/>
    <s v="PI-TA"/>
    <s v="8 Semanas"/>
    <s v="PP"/>
    <m/>
    <d v="2022-11-30T00:00:00"/>
    <n v="728"/>
    <n v="25.387454999999999"/>
    <n v="34872.877747252751"/>
    <m/>
    <m/>
    <m/>
    <m/>
    <n v="2022"/>
  </r>
  <r>
    <n v="1621"/>
    <x v="390"/>
    <d v="2022-10-21T00:00:00"/>
    <s v="Besalco"/>
    <s v="Orcoma"/>
    <s v="Jose Moreno García"/>
    <s v="jose.moreno@besalco.cl"/>
    <s v="Proyecto Orcoma - Construcción Impulsión Agua de Mar "/>
    <s v="ID"/>
    <s v="LM"/>
    <s v="NAC"/>
    <s v="Chile"/>
    <d v="2022-11-25T00:00:00"/>
    <s v="Carla Tapia"/>
    <s v="PI"/>
    <s v="27 Semanas"/>
    <s v="PD"/>
    <n v="0"/>
    <d v="2023-02-08T00:00:00"/>
    <n v="19406"/>
    <n v="699.83066790000009"/>
    <n v="36062.592388951874"/>
    <m/>
    <m/>
    <m/>
    <m/>
    <n v="2022"/>
  </r>
  <r>
    <n v="1620"/>
    <x v="391"/>
    <d v="2022-10-21T00:00:00"/>
    <s v="AngloAmerican"/>
    <s v="AngloAmerican"/>
    <s v="Claudio Pizarro"/>
    <s v="claudio.pizarro.r@angloamerican.com"/>
    <s v="Análisis de Laboratorio para Yesos"/>
    <s v="OS"/>
    <s v="ND"/>
    <s v="NAC"/>
    <s v="Chile"/>
    <d v="2022-10-26T00:00:00"/>
    <s v="Jorge Casanova"/>
    <s v="IN"/>
    <s v="4 Semanas"/>
    <s v="PP"/>
    <m/>
    <d v="2023-02-22T00:00:00"/>
    <n v="223"/>
    <n v="12.074999999999999"/>
    <n v="54147.982062780262"/>
    <m/>
    <m/>
    <m/>
    <m/>
    <n v="2022"/>
  </r>
  <r>
    <n v="1619"/>
    <x v="392"/>
    <d v="2022-10-20T00:00:00"/>
    <s v="Sierra Gorda"/>
    <s v="Sierra Gorda"/>
    <s v="José Bozo Cáceres"/>
    <s v="Jose.Bozo@sgscm.cl"/>
    <s v="Ingeniería Básica Proyecto Construcción 4ª Línea de Proceso"/>
    <s v="IB"/>
    <s v="LM"/>
    <s v="NAC"/>
    <s v="Chile"/>
    <d v="2022-12-22T00:00:00"/>
    <s v="Néstor Vargas"/>
    <s v="BP"/>
    <s v="Sistema Ariba indica Proceso Finalizado"/>
    <s v="PP"/>
    <m/>
    <d v="2023-02-01T00:00:00"/>
    <n v="5891"/>
    <n v="227.7"/>
    <n v="38652.18129349855"/>
    <m/>
    <m/>
    <m/>
    <m/>
    <n v="2023"/>
  </r>
  <r>
    <n v="1618"/>
    <x v="393"/>
    <d v="2022-10-07T00:00:00"/>
    <s v="Procemax - Haiwang Hydrocyclones Co"/>
    <s v="Codelco Chile"/>
    <s v="Max Wedeles"/>
    <s v=" max.wedeles@procemax.com"/>
    <s v="Ingeniería, Asistencia y PEM Hidrociclones Rajo Inca"/>
    <s v="OS"/>
    <s v="ND"/>
    <s v="NAC"/>
    <s v="Chile"/>
    <d v="2022-10-26T00:00:00"/>
    <s v="Rodrigo Vera"/>
    <s v="TA"/>
    <s v="24 Semanas"/>
    <s v="PP"/>
    <m/>
    <d v="2023-01-11T00:00:00"/>
    <n v="3609"/>
    <n v="156"/>
    <n v="43225.270157938488"/>
    <m/>
    <m/>
    <m/>
    <m/>
    <n v="2022"/>
  </r>
  <r>
    <n v="1617"/>
    <x v="394"/>
    <d v="2022-10-04T00:00:00"/>
    <s v="Codelco"/>
    <s v="Codelco"/>
    <s v="ARIBA"/>
    <m/>
    <s v="Servicios de Ingeniería Multidisciplinaria"/>
    <s v="CA"/>
    <s v="LM"/>
    <s v="NAC"/>
    <s v="Chile"/>
    <d v="2022-11-09T00:00:00"/>
    <s v="David Cerón"/>
    <s v="BP-PI-TA"/>
    <s v="156 Semanas"/>
    <s v="PP"/>
    <n v="0.01"/>
    <d v="2023-02-20T00:00:00"/>
    <n v="19387"/>
    <n v="875"/>
    <n v="45133.336772063754"/>
    <m/>
    <m/>
    <m/>
    <m/>
    <n v="2022"/>
  </r>
  <r>
    <n v="1616"/>
    <x v="395"/>
    <d v="2022-10-07T00:00:00"/>
    <s v="Codelco"/>
    <s v="Codelco División Andina"/>
    <s v="ARIBA"/>
    <m/>
    <s v="Servicios de Pig Inteligente para Concentraducto 6”"/>
    <s v="IB"/>
    <s v="LM"/>
    <s v="NAC"/>
    <s v="Chile"/>
    <d v="2022-12-05T00:00:00"/>
    <s v="David Cerón"/>
    <s v="PI"/>
    <s v="Carta Excusa. Vamos como subcontrato de Pipeline"/>
    <s v="NL"/>
    <m/>
    <d v="2022-10-11T00:00:00"/>
    <m/>
    <m/>
    <s v="N/A"/>
    <m/>
    <m/>
    <m/>
    <m/>
    <n v="2022"/>
  </r>
  <r>
    <n v="1615"/>
    <x v="396"/>
    <d v="2022-10-27T00:00:00"/>
    <s v="Consorcio JEJ-SHIMIN"/>
    <s v="Codelco División El Teniente"/>
    <s v="Roberto Quezada Ureta"/>
    <s v="rquez001@codelco.cl"/>
    <s v="Revisión y Validación Ing. Det. Estación Bombeo Relave a TOVE IV &quot;Dren Longitudinal&quot; ODS-17 / SH-0274"/>
    <s v="RE"/>
    <s v="LC"/>
    <s v="NAC"/>
    <s v="Chile"/>
    <d v="2022-12-06T00:00:00"/>
    <s v="Pedro Valencia"/>
    <s v="TA-PI"/>
    <m/>
    <s v="PG"/>
    <m/>
    <d v="2022-12-06T00:00:00"/>
    <n v="898"/>
    <n v="24.8"/>
    <n v="27616.926503340757"/>
    <s v="SH-0274 ODS17"/>
    <m/>
    <m/>
    <m/>
    <n v="2022"/>
  </r>
  <r>
    <n v="1614"/>
    <x v="397"/>
    <d v="2022-09-26T00:00:00"/>
    <s v="Caserones"/>
    <s v="Caserones"/>
    <s v="Jose Moreno Urdangarin "/>
    <s v="JMorgado@caserones.cl"/>
    <s v="ID Trazado de Tuberías para Impulsión de Agua Recuperada desde Booster 2 hasta Booster 3"/>
    <s v="ID"/>
    <s v="LC"/>
    <s v="NAC"/>
    <s v="Chile"/>
    <d v="2022-10-06T00:00:00"/>
    <s v="Vicente Salinas"/>
    <s v="PI-TA"/>
    <s v="Se respondieron consultas. Cómo asegurar lo de la tubería. Ctapia propone análisis teórico y en paralelo."/>
    <s v="PP"/>
    <m/>
    <d v="2022-10-05T00:00:00"/>
    <n v="650"/>
    <n v="24.768000000000001"/>
    <n v="38104.615384615383"/>
    <m/>
    <m/>
    <m/>
    <s v="Vicente Salinas. Hacer reunión con Caserones."/>
    <n v="2022"/>
  </r>
  <r>
    <n v="1613"/>
    <x v="398"/>
    <d v="2022-10-04T00:00:00"/>
    <s v="Bechtel"/>
    <s v="BHP BILLITON"/>
    <s v="José Bruce Dinarasarri"/>
    <s v="jebruced@bechtel.com"/>
    <s v="Revisión Independiente SPS Hamburgo Tailings Removal"/>
    <s v="RE"/>
    <s v="ND"/>
    <s v="NAC"/>
    <s v="Chile"/>
    <d v="2022-10-05T00:00:00"/>
    <s v="Pedro Valencia"/>
    <s v="TA-PI"/>
    <s v="3 Semanas"/>
    <s v="PP"/>
    <m/>
    <d v="2023-02-22T00:00:00"/>
    <n v="222"/>
    <n v="11.524800000000001"/>
    <n v="51913.513513513521"/>
    <m/>
    <m/>
    <m/>
    <s v="Francisco preguntará de vuelta de viaje a Perú. Bechtel pretende EPC. Falta bastante."/>
    <n v="2022"/>
  </r>
  <r>
    <n v="1612"/>
    <x v="399"/>
    <d v="2022-09-27T00:00:00"/>
    <s v="JEJ"/>
    <s v="BHP BILLITON"/>
    <s v="Ignacio Fuentes Ortega"/>
    <s v="ifuentes@jej.cl"/>
    <s v="Estudio Fase Selección y Definición Proyecto Laguna Seca Tailings Strategy"/>
    <s v="IB/ID"/>
    <s v="LM"/>
    <s v="NAC"/>
    <s v="Chile"/>
    <d v="2022-11-18T00:00:00"/>
    <s v="Vanessa Veloso"/>
    <s v="TA-PI"/>
    <s v=" J.E.J. decidió no continuar con el proceso  por un alto riesgo en la precisión de las estimaciones, que podría generar problemas de magnitud mayor si adjudicamos este Contrato."/>
    <s v="NL"/>
    <m/>
    <d v="2022-11-14T00:00:00"/>
    <m/>
    <m/>
    <s v="N/A"/>
    <m/>
    <m/>
    <m/>
    <m/>
    <n v="2022"/>
  </r>
  <r>
    <n v="1611"/>
    <x v="400"/>
    <d v="2022-10-03T00:00:00"/>
    <s v="Pucobre"/>
    <s v="Pucobre"/>
    <s v="Rolando Moraga"/>
    <m/>
    <s v="IC Mejoras Conducción desde Portezuelo a DLC1 y DLC2"/>
    <s v="IC"/>
    <s v="ND"/>
    <s v="NAC"/>
    <s v="Chile"/>
    <d v="2022-10-04T00:00:00"/>
    <s v="Pedro Valencia"/>
    <s v="TA-PI"/>
    <s v="3 Semanas"/>
    <s v="PP"/>
    <m/>
    <d v="2023-02-22T00:00:00"/>
    <n v="416"/>
    <n v="17.716000000000001"/>
    <n v="42586.538461538468"/>
    <m/>
    <m/>
    <m/>
    <s v="PVZ llamará a Rolando Moraga. 02/11/2022."/>
    <n v="2022"/>
  </r>
  <r>
    <n v="1610"/>
    <x v="401"/>
    <d v="2022-09-29T00:00:00"/>
    <s v="VALE"/>
    <s v="VALE"/>
    <s v="Priscila Neves_CONTR "/>
    <s v="C0608805@vale.com"/>
    <s v="Projeto Executivo Adutora Fechos – VALE"/>
    <s v="ID"/>
    <s v="LC"/>
    <s v="INT"/>
    <s v="Brasil"/>
    <d v="2022-10-03T00:00:00"/>
    <s v="Dolglas Souza"/>
    <s v="PI"/>
    <s v="12 semanas"/>
    <s v="PP"/>
    <m/>
    <d v="2023-02-22T00:00:00"/>
    <n v="3358"/>
    <n v="111.6"/>
    <n v="33234.067897558067"/>
    <m/>
    <m/>
    <m/>
    <s v="Dolglas preguntará semana del 07 de noviembre."/>
    <n v="2022"/>
  </r>
  <r>
    <n v="1609"/>
    <x v="402"/>
    <d v="2022-09-28T00:00:00"/>
    <s v="Sierra Gorda"/>
    <s v="Sierra Gorda"/>
    <s v="Rafael Rodríguez"/>
    <s v="rafael.rodriguez@sgscm.cl"/>
    <s v="Ingeniería de Detalles Caminos Tranque - SGSCM"/>
    <s v="ID"/>
    <s v="LC"/>
    <s v="NAC"/>
    <s v="Chile"/>
    <d v="2022-10-06T00:00:00"/>
    <s v="Jorge Casanova"/>
    <s v="OT"/>
    <s v="5 semanas. "/>
    <s v="PP"/>
    <m/>
    <d v="2024-01-12T00:00:00"/>
    <n v="365"/>
    <n v="13"/>
    <n v="35616.438356164384"/>
    <m/>
    <m/>
    <m/>
    <s v="PVZ llamará a Rafael Rodríguez"/>
    <n v="2022"/>
  </r>
  <r>
    <n v="1608"/>
    <x v="403"/>
    <d v="2022-09-28T00:00:00"/>
    <s v="Sierra Gorda"/>
    <s v="Sierra Gorda"/>
    <s v="Rafael Rodríguez"/>
    <s v="rafael.rodriguez@sgscm.cl"/>
    <s v="Ingeniería de Detalles Conducción Barrera Hidráulica - SGSCM"/>
    <s v="ID"/>
    <s v="LC"/>
    <s v="NAC"/>
    <s v="Chile"/>
    <d v="2022-10-04T00:00:00"/>
    <s v="Jorge Casanova"/>
    <s v="TA-PI"/>
    <s v="8 Semanas"/>
    <s v="PG"/>
    <m/>
    <d v="2022-10-13T00:00:00"/>
    <n v="866"/>
    <n v="31"/>
    <n v="35796.766743648965"/>
    <s v="SH-0271 ODT-06"/>
    <m/>
    <m/>
    <m/>
    <n v="2022"/>
  </r>
  <r>
    <n v="1607"/>
    <x v="404"/>
    <d v="2022-09-28T00:00:00"/>
    <s v="AngloAmerican"/>
    <s v="AngloAmerican"/>
    <s v="Claudio Pizarro"/>
    <s v="claudio.pizarro.r@angloamerican.com"/>
    <s v="Ingeniería de Detalles Monorriel Underflow Clarificador- AAS "/>
    <s v="ID"/>
    <s v="ND"/>
    <s v="NAC"/>
    <s v="Chile"/>
    <d v="2022-10-05T00:00:00"/>
    <s v="Jorge Casanova"/>
    <s v="BP"/>
    <s v="3 semanas. "/>
    <s v="PP"/>
    <m/>
    <d v="2023-02-22T00:00:00"/>
    <n v="155"/>
    <n v="7.8547000000000002"/>
    <n v="50675.483870967742"/>
    <m/>
    <m/>
    <m/>
    <s v="Jorge Casanova preguntará a Claudio Pizarro"/>
    <n v="2022"/>
  </r>
  <r>
    <n v="1606"/>
    <x v="405"/>
    <d v="2022-09-28T00:00:00"/>
    <s v="VALE"/>
    <s v="VALE"/>
    <s v="Maurilio Messias Maciel"/>
    <s v="maurilio.maciel@vale.com "/>
    <s v="Engenharia Detalhada Rejeitoduto Mina do Salobo – VALE"/>
    <s v="ID"/>
    <s v="LC"/>
    <s v="INT"/>
    <s v="Brasil"/>
    <d v="2023-03-13T00:00:00"/>
    <s v="Dolglas Souza"/>
    <s v="PI"/>
    <s v="12 Semanas. Revisión 1."/>
    <s v="PG"/>
    <m/>
    <d v="2023-05-17T00:00:00"/>
    <n v="6095"/>
    <n v="172"/>
    <n v="28219.852337981953"/>
    <s v="SH-0336"/>
    <m/>
    <m/>
    <m/>
    <n v="2023"/>
  </r>
  <r>
    <n v="1605"/>
    <x v="406"/>
    <d v="2022-09-26T00:00:00"/>
    <s v="Caserones"/>
    <s v="Caserones"/>
    <s v="Jose Moreno Urdangarin "/>
    <s v="JMorgado@caserones.cl"/>
    <s v="Informe CAPEX Proyecto Ingeniería de Detalles Transporte de Concentrado Colectivo desde columnas C6 y C7"/>
    <s v="IC"/>
    <s v="LC"/>
    <s v="NAC"/>
    <s v="Chile"/>
    <d v="2022-09-28T00:00:00"/>
    <s v="Vicente Salinas"/>
    <s v="BP"/>
    <s v="1 semana"/>
    <s v="PG"/>
    <m/>
    <d v="2022-10-03T00:00:00"/>
    <n v="55"/>
    <n v="3.0095999999999998"/>
    <n v="54720"/>
    <s v="SH-0265 OS22"/>
    <m/>
    <m/>
    <m/>
    <n v="2022"/>
  </r>
  <r>
    <n v="1604"/>
    <x v="407"/>
    <d v="2022-09-26T00:00:00"/>
    <s v="Aguas CAP"/>
    <s v="Aguas CAP"/>
    <s v="Cesar Constanzo Sepúlveda"/>
    <s v="e_cconstanzo@aguascap.cl"/>
    <s v="Ingeniería Básica Estaciones Lanzadoras y Receptoras de Pig"/>
    <s v="IB"/>
    <s v="LM"/>
    <s v="NAC"/>
    <s v="Chile"/>
    <d v="2022-10-05T00:00:00"/>
    <s v="David Cerón"/>
    <s v="PI"/>
    <m/>
    <s v="PP"/>
    <m/>
    <d v="2022-11-02T00:00:00"/>
    <n v="2464"/>
    <n v="103"/>
    <n v="41801.948051948049"/>
    <m/>
    <m/>
    <m/>
    <s v="José Tomás Preguntará a Hernán de Aguas Cap por Estatus. Se adjudicaría 12/10."/>
    <n v="2022"/>
  </r>
  <r>
    <n v="1603"/>
    <x v="408"/>
    <d v="2022-09-26T00:00:00"/>
    <s v="VALE"/>
    <s v="VALE"/>
    <s v="Joao Monteiro"/>
    <s v="C0628600@vale.com"/>
    <s v="EC e EB Tratamento de resíduos de polpa de minério de Fábrica – VALE"/>
    <s v="IC/IB"/>
    <s v="LC"/>
    <s v="INT"/>
    <s v="Brasil"/>
    <d v="2022-09-27T00:00:00"/>
    <s v="Dolglas Souza"/>
    <s v="BP"/>
    <s v="Proyecto cancelado por el cliente."/>
    <s v="PD"/>
    <m/>
    <d v="2022-11-16T00:00:00"/>
    <n v="4716"/>
    <n v="160"/>
    <n v="33927.056827820183"/>
    <m/>
    <m/>
    <m/>
    <s v="Dolglas preguntará semana del 07 de noviembre."/>
    <n v="2022"/>
  </r>
  <r>
    <n v="1602"/>
    <x v="409"/>
    <d v="2022-09-26T00:00:00"/>
    <s v="AngloAmerican"/>
    <s v="AngloAmerican"/>
    <s v="Víctor Otárola"/>
    <s v="victor.otarola@angloamerican.com"/>
    <s v="Extensión PEM Estación ECMP 20 KTPD"/>
    <s v="PEM"/>
    <s v="ND"/>
    <s v="NAC"/>
    <s v="Chile"/>
    <d v="2022-09-26T00:00:00"/>
    <s v="Pedro Valencia"/>
    <s v="TA"/>
    <m/>
    <s v="PG"/>
    <m/>
    <d v="2022-09-26T00:00:00"/>
    <n v="1250"/>
    <n v="49.7"/>
    <n v="39760.000000000007"/>
    <s v="SH-0276 (NOC 4)"/>
    <m/>
    <m/>
    <m/>
    <n v="2022"/>
  </r>
  <r>
    <n v="1601"/>
    <x v="410"/>
    <d v="2022-09-23T00:00:00"/>
    <s v="Tractebel"/>
    <s v="CSN"/>
    <s v="Lucas Mota"/>
    <s v="lucas.mota@tractebel.engie.com"/>
    <s v="Engenharia conceitual para os projetos de Adequação da Planta Central P4"/>
    <s v="IC"/>
    <s v="LM"/>
    <s v="INT"/>
    <s v="Brasil"/>
    <d v="2022-09-23T00:00:00"/>
    <s v="Dolglas Souza"/>
    <s v="PI"/>
    <s v="Cliente informa que oferta no cubre necesidades financieras establecidas contractualmente"/>
    <s v="PP"/>
    <m/>
    <d v="2022-09-26T00:00:00"/>
    <n v="1298"/>
    <n v="54"/>
    <n v="41602.465331278894"/>
    <m/>
    <m/>
    <m/>
    <m/>
    <n v="2022"/>
  </r>
  <r>
    <n v="1600"/>
    <x v="411"/>
    <d v="2022-09-22T00:00:00"/>
    <s v="IDE Technologies"/>
    <s v="Centinela"/>
    <s v="Juan Pablo Negroni"/>
    <s v="JuanPN@ide-tech.com"/>
    <s v="Ingeniería de Contraparte Proyecto Feed Proyectos Impulsión Agua de Mar SIAM 1 y SIAM 2"/>
    <s v="CO"/>
    <s v="ND"/>
    <s v="NAC"/>
    <s v="Chile"/>
    <d v="2022-09-23T00:00:00"/>
    <s v="Pedro Valencia"/>
    <s v="PI"/>
    <s v="Se envió presupuesto mensual por FEED (4 meses)"/>
    <s v="PP"/>
    <m/>
    <d v="2023-02-22T00:00:00"/>
    <n v="495"/>
    <n v="32.0762"/>
    <n v="64800.40404040405"/>
    <m/>
    <m/>
    <m/>
    <s v="Francisco  Martin en contacto permanente con JP Negroni."/>
    <n v="2022"/>
  </r>
  <r>
    <n v="1599"/>
    <x v="412"/>
    <d v="2022-09-15T00:00:00"/>
    <s v="Sierra Gorda"/>
    <s v="Sierra Gorda"/>
    <s v="Rafael Rodríguez"/>
    <s v="rafael.rodriguez@sgscm.cl"/>
    <s v="Diseño Mejoras Spigots Fase 0"/>
    <s v="AE"/>
    <s v="LC"/>
    <s v="NAC"/>
    <s v="Chile"/>
    <d v="2022-09-20T00:00:00"/>
    <s v="Jorge Casanova"/>
    <s v="TA-PI"/>
    <s v="Se envió revisión 3. 9 semanas."/>
    <s v="PG"/>
    <m/>
    <d v="2022-11-02T00:00:00"/>
    <n v="1367"/>
    <n v="48.4"/>
    <n v="35405.998536942207"/>
    <s v="SH-0271 ODT-07"/>
    <m/>
    <m/>
    <m/>
    <n v="2022"/>
  </r>
  <r>
    <n v="1598"/>
    <x v="413"/>
    <d v="2022-09-09T00:00:00"/>
    <s v="R&amp;Q Ingeniería"/>
    <s v="Codelco División El Teniente"/>
    <s v="José Francisco Rojas Solar"/>
    <s v="jose.rojas@ryq.cl"/>
    <s v="Evaluación Técnica Adquisición Sistema HighCap en Espesador R-2"/>
    <s v="CO"/>
    <s v="ND"/>
    <s v="NAC"/>
    <s v="Chile"/>
    <d v="2022-09-20T00:00:00"/>
    <s v="Pedro Valencia"/>
    <s v="BP"/>
    <s v="R&amp;Q informa que se adjudicó a RVIA"/>
    <s v="PP"/>
    <m/>
    <d v="2022-11-21T00:00:00"/>
    <n v="310"/>
    <n v="19.600000000000001"/>
    <n v="63225.806451612909"/>
    <m/>
    <m/>
    <m/>
    <s v="David preguntará a José Rojas."/>
    <n v="2022"/>
  </r>
  <r>
    <n v="1597"/>
    <x v="414"/>
    <d v="2022-09-14T00:00:00"/>
    <s v="CAP Minería"/>
    <s v="CAP Minería"/>
    <s v="Rubén Darío Cortés Larraguibel"/>
    <s v="rdcortes@cmp.cl"/>
    <s v="Servicio de Revisión de Ingeniería Proyecto Algarrobo Finos"/>
    <s v="CO"/>
    <s v="ND"/>
    <s v="NAC"/>
    <s v="Chile"/>
    <d v="2022-09-15T00:00:00"/>
    <s v="Pedro Valencia"/>
    <s v="BP"/>
    <s v="Enviada Propuesta Referencial en Revisión 1 según listado de CMP"/>
    <s v="PP"/>
    <n v="0"/>
    <d v="2023-02-08T00:00:00"/>
    <n v="810"/>
    <n v="38.475000000000001"/>
    <n v="47500"/>
    <m/>
    <m/>
    <m/>
    <s v="Revisar en 1 mes más (23/11)"/>
    <n v="2022"/>
  </r>
  <r>
    <n v="1596"/>
    <x v="415"/>
    <d v="2022-09-13T00:00:00"/>
    <s v="IPE"/>
    <s v="Empresa Minera Paitití"/>
    <s v="Enrique Ferrufino Gómez"/>
    <s v="efg@ipe.bo"/>
    <s v="Diseño Conceptual Fusión Precipitado de Plata"/>
    <s v="IC"/>
    <s v="ND"/>
    <s v="INT"/>
    <s v="Bolivia"/>
    <d v="2022-09-14T00:00:00"/>
    <s v="Claudio Zamorano"/>
    <s v="BP"/>
    <s v="Buena probabilidad pero comienza en enero. 6 semanas."/>
    <s v="PP"/>
    <m/>
    <d v="2023-02-22T00:00:00"/>
    <n v="220"/>
    <n v="21"/>
    <n v="95454.545454545456"/>
    <m/>
    <m/>
    <m/>
    <s v="Esperar pago"/>
    <n v="2022"/>
  </r>
  <r>
    <n v="1595"/>
    <x v="416"/>
    <d v="2022-09-13T00:00:00"/>
    <s v="Avoca Engineers SpA"/>
    <s v="Centinela"/>
    <s v="Jon Engels"/>
    <s v="jengels@tailpro.com"/>
    <s v="Revisión Independiente Impulsión de Relaves Alta Densidad"/>
    <s v="RE"/>
    <s v="ND"/>
    <s v="NAC"/>
    <s v="Chile"/>
    <d v="2022-09-14T00:00:00"/>
    <s v="Pedro Valencia"/>
    <s v="TA-PI"/>
    <s v="8 semanas"/>
    <s v="PG"/>
    <m/>
    <d v="2022-10-03T00:00:00"/>
    <n v="165"/>
    <n v="9.6006900000000002"/>
    <n v="58186"/>
    <s v="SH-0312"/>
    <m/>
    <m/>
    <m/>
    <n v="2022"/>
  </r>
  <r>
    <n v="1594"/>
    <x v="417"/>
    <d v="2022-09-12T00:00:00"/>
    <s v="AngloAmerican"/>
    <s v="AngloAmerican"/>
    <s v="Claudio Pizarro"/>
    <s v="claudio.pizarro.r@angloamerican.com"/>
    <s v="Ingenierías Varias Mejoras Yesos - Alcance Electricidad/Instrumentación"/>
    <s v="ID"/>
    <s v="ND"/>
    <s v="NAC"/>
    <s v="Chile"/>
    <d v="2022-09-13T00:00:00"/>
    <s v="Jorge Casanova"/>
    <s v="PI"/>
    <s v="Comenzaría al terminar cosas pendientes. 4 Semanas."/>
    <s v="PP"/>
    <m/>
    <d v="2023-02-22T00:00:00"/>
    <n v="243"/>
    <n v="12.627000000000001"/>
    <n v="51962.962962962971"/>
    <m/>
    <m/>
    <m/>
    <s v="Jorge Casanova preguntará a Claudio Pizarro"/>
    <n v="2022"/>
  </r>
  <r>
    <n v="1593"/>
    <x v="418"/>
    <d v="2022-08-22T00:00:00"/>
    <s v="VALE"/>
    <s v="VALE"/>
    <s v="Lucas Franca"/>
    <s v="lucas.franca@vale.com"/>
    <s v="EC Relocação adutora, rejeitoduto e Rede elétrica de Viga"/>
    <s v="IC"/>
    <s v="LC"/>
    <s v="INT"/>
    <s v="Brasil"/>
    <d v="2022-09-23T00:00:00"/>
    <s v="Dolglas Souza"/>
    <s v="PI-TA"/>
    <s v="10 semanas. Se envió revisión 1."/>
    <s v="PG"/>
    <m/>
    <d v="2022-11-02T00:00:00"/>
    <n v="1951"/>
    <n v="69.099999999999994"/>
    <n v="35417.734495130702"/>
    <s v="SH-0289 OS-05"/>
    <m/>
    <m/>
    <m/>
    <n v="2022"/>
  </r>
  <r>
    <n v="1592"/>
    <x v="419"/>
    <d v="2022-09-12T00:00:00"/>
    <s v="AngloAmerican"/>
    <s v="AngloAmerican"/>
    <s v="Pablo Caviedes"/>
    <s v="pablo.caviedes@angloamerican.com"/>
    <s v="Contrato Marco Ingeniería Multidisciplinarias Menores"/>
    <s v="CA"/>
    <s v="LM"/>
    <s v="NAC"/>
    <s v="Chile"/>
    <d v="2022-11-03T00:00:00"/>
    <s v="David Cerón"/>
    <s v="BP-PI-TA"/>
    <s v="Se consulto por estatus via ARIBA el dia 18-03-2024"/>
    <s v="DP"/>
    <n v="0.01"/>
    <d v="2024-03-18T00:00:00"/>
    <n v="1000"/>
    <n v="40"/>
    <n v="40000"/>
    <m/>
    <m/>
    <m/>
    <s v="Estado pendiente, revisado por TF en Ariba Sourcing el 22/2/2023"/>
    <n v="2022"/>
  </r>
  <r>
    <n v="1591"/>
    <x v="420"/>
    <d v="2022-08-31T00:00:00"/>
    <s v="Consorcio JEJ-SHIMIN"/>
    <s v="Codelco División El Teniente"/>
    <s v="Roberto Quezada Ureta"/>
    <s v="rquez001@codelco.cl"/>
    <s v="Informe de Juicio Experto - Sistema Bombeo Arena Cicloneada - ODS12 / SH-0274"/>
    <s v="RE"/>
    <s v="LC"/>
    <s v="NAC"/>
    <s v="Chile"/>
    <d v="2022-09-01T00:00:00"/>
    <s v="Pedro Valencia"/>
    <s v="TA-PI"/>
    <s v="3 Semanas "/>
    <s v="PG"/>
    <m/>
    <d v="2022-09-12T00:00:00"/>
    <n v="277"/>
    <n v="7.9"/>
    <n v="28519.855595667872"/>
    <s v="SH-0274 ODS12"/>
    <m/>
    <m/>
    <m/>
    <n v="2022"/>
  </r>
  <r>
    <n v="1590"/>
    <x v="421"/>
    <d v="2022-08-31T00:00:00"/>
    <s v="Caserones"/>
    <s v="Caserones"/>
    <s v="Jonathan José Morgado Ponce "/>
    <s v="JMorgado@caserones.cl"/>
    <s v="Modificación Ingeniería de Detalles Pozos de Remediación La Brea"/>
    <s v="ID"/>
    <s v="LC"/>
    <s v="NAC"/>
    <s v="Chile"/>
    <d v="2022-08-31T00:00:00"/>
    <s v="Vicente Salinas"/>
    <s v="TA-PI"/>
    <s v="3 semanas"/>
    <s v="PG"/>
    <m/>
    <d v="2022-09-12T00:00:00"/>
    <n v="291"/>
    <n v="10.5975"/>
    <n v="36417.525773195877"/>
    <s v="SH-0265 OS21"/>
    <m/>
    <m/>
    <m/>
    <n v="2022"/>
  </r>
  <r>
    <n v="1589"/>
    <x v="422"/>
    <d v="2022-08-26T00:00:00"/>
    <s v="Sierra Gorda"/>
    <s v="Sierra Gorda"/>
    <s v="Cristian Avendaño"/>
    <s v="cristian.avendano@sgscm.cl"/>
    <s v="Análisis Impacto Tercer Espesador en Transporte de Relaves"/>
    <s v="OS"/>
    <s v="LC"/>
    <s v="NAC"/>
    <s v="Chile"/>
    <d v="2022-09-06T00:00:00"/>
    <s v="Jorge Casanova"/>
    <s v="PI"/>
    <s v="3 semanas"/>
    <s v="PG"/>
    <m/>
    <d v="2022-09-07T00:00:00"/>
    <n v="200"/>
    <n v="7.5"/>
    <n v="37500"/>
    <s v="SH-0271 ODT-05"/>
    <m/>
    <m/>
    <m/>
    <n v="2022"/>
  </r>
  <r>
    <n v="1588"/>
    <x v="423"/>
    <d v="2022-08-30T00:00:00"/>
    <s v="Caserones"/>
    <s v="Caserones"/>
    <s v="Jonathan José Morgado Ponce "/>
    <s v="JMorgado@caserones.cl"/>
    <s v="Actividades Adicionales - OS4 ID Pozos de Remediación la Brea"/>
    <s v="ID"/>
    <s v="LC"/>
    <s v="NAC"/>
    <s v="Chile"/>
    <d v="2022-08-30T00:00:00"/>
    <s v="Vicente Salinas"/>
    <s v="TA-PI"/>
    <s v="3 semanas"/>
    <s v="PG"/>
    <m/>
    <d v="2022-08-30T00:00:00"/>
    <n v="142"/>
    <n v="5.4"/>
    <n v="38028.169014084509"/>
    <s v="SH-0265 OS04"/>
    <m/>
    <m/>
    <m/>
    <n v="2022"/>
  </r>
  <r>
    <n v="1587"/>
    <x v="424"/>
    <d v="2022-08-29T00:00:00"/>
    <s v="JEJ"/>
    <s v="Minera Zaldívar"/>
    <s v="Cristián Velásquez"/>
    <s v="cvelasquez@jej.cl"/>
    <s v="Zaldívar Muro y Depositación de Relaves"/>
    <s v="IC"/>
    <s v="ND"/>
    <s v="NAC"/>
    <s v="Chile"/>
    <d v="2022-09-23T00:00:00"/>
    <s v="Víctor Mendoza"/>
    <s v="TA"/>
    <s v="Se envió un listado de entregables con HH's &quot;abultadas&quot; según tarifas de contrato abierto de JEJ/CMZ. Reunión con CMZ 17/10. Nuevos alcances. Emitir Rev. 1"/>
    <s v="PG"/>
    <m/>
    <d v="2022-10-17T00:00:00"/>
    <n v="6032"/>
    <n v="216.7"/>
    <n v="35925.066312997347"/>
    <s v="SH-0313"/>
    <m/>
    <m/>
    <m/>
    <n v="2022"/>
  </r>
  <r>
    <n v="1586"/>
    <x v="425"/>
    <d v="2022-08-29T00:00:00"/>
    <s v="IDE Technologies"/>
    <s v="FARADAY SpA"/>
    <m/>
    <m/>
    <s v="Estudio Alternativas de Trazados Acueducto"/>
    <s v="IC"/>
    <s v="ND"/>
    <s v="NAC"/>
    <s v="Chile"/>
    <d v="2022-09-07T00:00:00"/>
    <s v="Pedro Valencia"/>
    <s v="PI"/>
    <s v="S/I"/>
    <s v="NL"/>
    <m/>
    <d v="2022-11-09T00:00:00"/>
    <m/>
    <m/>
    <s v="N/A"/>
    <m/>
    <m/>
    <m/>
    <m/>
    <n v="2022"/>
  </r>
  <r>
    <n v="1585"/>
    <x v="426"/>
    <d v="2022-08-29T00:00:00"/>
    <s v="Tetratech"/>
    <s v="Nexa"/>
    <s v="Carvalho Simao     "/>
    <s v="Simao.Carvalho@tetratech.com"/>
    <s v="ID Bombeo a Pozas de Jarosita – Tetratech – Nexa Peru"/>
    <s v="ID"/>
    <s v="LM"/>
    <s v="INT"/>
    <s v="Brasil"/>
    <d v="2022-08-31T00:00:00"/>
    <s v="Dolglas Souza"/>
    <s v="PI"/>
    <m/>
    <s v="NL"/>
    <m/>
    <d v="2022-08-29T00:00:00"/>
    <m/>
    <m/>
    <s v="N/A"/>
    <m/>
    <m/>
    <m/>
    <m/>
    <n v="2022"/>
  </r>
  <r>
    <n v="1584"/>
    <x v="427"/>
    <d v="2022-08-25T00:00:00"/>
    <s v="Caserones"/>
    <s v="Caserones"/>
    <s v="Jose Moreno Urdangarin "/>
    <s v="JMorgado@caserones.cl"/>
    <s v="Informe Memoria Descriptiva Construcción Dump Leach "/>
    <s v="OS"/>
    <s v="LC"/>
    <s v="NAC"/>
    <s v="Chile"/>
    <d v="2022-08-25T00:00:00"/>
    <s v="Vicente Salinas"/>
    <s v="LBP"/>
    <s v="3 semanas"/>
    <s v="PG"/>
    <m/>
    <d v="2022-08-25T00:00:00"/>
    <n v="95"/>
    <n v="4.3875000000000002"/>
    <n v="46184.210526315794"/>
    <s v="SH-0265 OS19"/>
    <m/>
    <m/>
    <m/>
    <n v="2022"/>
  </r>
  <r>
    <n v="1583"/>
    <x v="428"/>
    <d v="2022-08-18T00:00:00"/>
    <s v="Caserones"/>
    <s v="Caserones"/>
    <s v="Jose Moreno Urdangarin "/>
    <s v="JMorgado@caserones.cl"/>
    <s v="Verificación Hidráulica Aumento Capacidad de Porteo desde Tranque La Brea"/>
    <s v="OS"/>
    <s v="LC"/>
    <s v="NAC"/>
    <s v="Chile"/>
    <d v="2022-08-25T00:00:00"/>
    <s v="Vicente Salinas"/>
    <s v="PI"/>
    <s v="2 semanas"/>
    <s v="PG"/>
    <m/>
    <d v="2022-08-25T00:00:00"/>
    <n v="65"/>
    <n v="2.3624999999999998"/>
    <n v="36346.153846153844"/>
    <s v="SH-0265 OS18"/>
    <m/>
    <m/>
    <m/>
    <n v="2022"/>
  </r>
  <r>
    <n v="1582"/>
    <x v="429"/>
    <d v="2022-08-22T00:00:00"/>
    <s v="Knight Piesold"/>
    <s v="Codelco División Andina"/>
    <s v="Luis Rebolledo"/>
    <s v="lrebolledo@knightpiesold.com"/>
    <s v="Servicio de Revisión Independiente Tranque Ovejería"/>
    <s v="RE"/>
    <s v="ND"/>
    <s v="NAC"/>
    <s v="Chile"/>
    <d v="2022-08-25T00:00:00"/>
    <s v="Pedro Valencia"/>
    <s v="TA"/>
    <s v="8 semanas"/>
    <s v="PP"/>
    <n v="0.3"/>
    <d v="2022-11-02T00:00:00"/>
    <n v="80"/>
    <n v="5.6"/>
    <n v="70000"/>
    <m/>
    <m/>
    <m/>
    <s v="PVZ preguntará a Luis Rebolledo"/>
    <n v="2022"/>
  </r>
  <r>
    <n v="1581"/>
    <x v="430"/>
    <d v="2022-08-22T00:00:00"/>
    <s v="VALE"/>
    <s v="VALE"/>
    <s v="Vinícius Rodrigues Neiva"/>
    <s v="rodrigues@retaengenharia.com.br"/>
    <s v="ED Caixa de Rejeito Barragem Sul Superior - VALE"/>
    <s v="ID"/>
    <s v="LC"/>
    <s v="INT"/>
    <s v="Brasil"/>
    <d v="2022-08-25T00:00:00"/>
    <s v="Dolglas Souza"/>
    <s v="TA"/>
    <s v="8 semanas"/>
    <s v="PP"/>
    <m/>
    <d v="2023-02-22T00:00:00"/>
    <n v="2970"/>
    <n v="91.7"/>
    <n v="30875.420875420874"/>
    <m/>
    <m/>
    <m/>
    <s v="Dolglas preguntará semana del 07 de noviembre."/>
    <n v="2022"/>
  </r>
  <r>
    <n v="1580"/>
    <x v="431"/>
    <d v="2022-08-19T00:00:00"/>
    <s v="Caserones"/>
    <s v="Caserones"/>
    <s v="Jonathan José Morgado Ponce "/>
    <s v="JMorgado@caserones.cl"/>
    <s v="ID Reparación Piscina de Emergencia Área Hidrometalurgia"/>
    <s v="RE"/>
    <s v="LC"/>
    <s v="NAC"/>
    <s v="Chile"/>
    <d v="2022-07-08T00:00:00"/>
    <s v="Vicente Salinas"/>
    <s v="LBP"/>
    <s v="10 semanas"/>
    <s v="PP"/>
    <m/>
    <d v="2023-02-22T00:00:00"/>
    <n v="1279"/>
    <n v="45.5625"/>
    <n v="35623.534010946052"/>
    <m/>
    <m/>
    <m/>
    <s v="Vicente Salinas. Dejar status quo."/>
    <n v="2022"/>
  </r>
  <r>
    <n v="1579"/>
    <x v="432"/>
    <d v="2022-08-16T00:00:00"/>
    <s v="IPE"/>
    <s v="Empresa Minera Paitití"/>
    <s v="Rodolfo Sejas"/>
    <s v="rsejas@orvana.com"/>
    <s v="Estudio de Revisión del Circuito CIC-Stripping-EW Au-Ag Existente"/>
    <s v="RE"/>
    <s v="ND"/>
    <s v="INT"/>
    <s v="Bolivia"/>
    <d v="2022-08-17T00:00:00"/>
    <s v="Claudio Zamorano"/>
    <s v="LBP"/>
    <m/>
    <s v="PG"/>
    <m/>
    <d v="2022-08-24T00:00:00"/>
    <n v="190"/>
    <n v="9.4"/>
    <n v="49473.684210526313"/>
    <s v="SH-0290"/>
    <m/>
    <m/>
    <m/>
    <n v="2022"/>
  </r>
  <r>
    <n v="1578"/>
    <x v="433"/>
    <d v="2022-08-17T00:00:00"/>
    <s v="AngloAmerican"/>
    <s v="AngloAmerican"/>
    <s v="Claudio Pizarro"/>
    <s v="claudio.pizarro.r@angloamerican.com"/>
    <s v="Estudio Trade Off alternativas anti congelamiento SILF AAS"/>
    <s v="OS"/>
    <s v="ND"/>
    <s v="NAC"/>
    <s v="Chile"/>
    <d v="2022-08-18T00:00:00"/>
    <s v="Jorge Casanova"/>
    <s v="PI"/>
    <s v="Comenzaría al terminar cosas pendientes, 5 semanas."/>
    <s v="PP"/>
    <m/>
    <d v="2023-02-22T00:00:00"/>
    <n v="346"/>
    <n v="17.6251"/>
    <n v="50939.595375722543"/>
    <m/>
    <m/>
    <m/>
    <s v="Jorge Casanova preguntará a Claudio Pizarro"/>
    <n v="2022"/>
  </r>
  <r>
    <n v="1577"/>
    <x v="434"/>
    <d v="2022-08-08T00:00:00"/>
    <s v="Caserones"/>
    <s v="Caserones"/>
    <s v="Jonathan José Morgado Ponce "/>
    <s v="JMorgado@caserones.cl"/>
    <s v="Pendientes de SHIMIN - Evaluaciones Técnicas"/>
    <s v="ID"/>
    <s v="LC"/>
    <s v="NAC"/>
    <s v="Chile"/>
    <d v="2022-08-17T00:00:00"/>
    <s v="Vicente Salinas"/>
    <s v="TA-PI"/>
    <s v="3 semanas"/>
    <s v="PG"/>
    <m/>
    <d v="2022-08-17T00:00:00"/>
    <n v="115"/>
    <n v="3.9428999999999998"/>
    <n v="34286.086956521736"/>
    <s v="SH-0265 OS16"/>
    <m/>
    <m/>
    <m/>
    <n v="2022"/>
  </r>
  <r>
    <n v="1576"/>
    <x v="435"/>
    <d v="2022-08-08T00:00:00"/>
    <s v="Teck"/>
    <s v="Quebrada Blanca"/>
    <s v="César Parra"/>
    <s v="Cesar.ParraV@teck.com"/>
    <s v="Servicio Soporte Operacional de Especialistas y Técnicos SITF COM&amp;PEM"/>
    <s v="PEM"/>
    <s v="LM"/>
    <s v="NAC"/>
    <s v="Chile"/>
    <d v="2022-09-29T00:00:00"/>
    <s v="Pedro Valencia"/>
    <s v="COM"/>
    <s v="40 semanas"/>
    <s v="PP"/>
    <m/>
    <d v="2023-01-16T00:00:00"/>
    <n v="41400"/>
    <n v="1990.8406"/>
    <n v="48087.937198067637"/>
    <m/>
    <m/>
    <m/>
    <m/>
    <n v="2023"/>
  </r>
  <r>
    <n v="1575"/>
    <x v="436"/>
    <d v="2022-08-08T00:00:00"/>
    <s v="R&amp;Q Ingeniería"/>
    <s v="Codelco División El Salvador"/>
    <s v="José Francisco Rojas Solar"/>
    <s v="jose.rojas@ryq.cl"/>
    <s v="Ingeniería de Contraparte Ing. Pref. Construcción Depósito de Relaves N°3 PFE Potrerillos"/>
    <s v="CO"/>
    <s v="ND"/>
    <s v="NAC"/>
    <s v="Chile"/>
    <d v="2022-08-09T00:00:00"/>
    <s v="Pedro Valencia"/>
    <s v="TA"/>
    <s v="R&amp;Q informa que se adjudicó a RVIA"/>
    <s v="PP"/>
    <m/>
    <d v="2022-11-21T00:00:00"/>
    <n v="493"/>
    <n v="31"/>
    <n v="62880.32454361055"/>
    <m/>
    <m/>
    <m/>
    <s v="David preguntará a José Rojas."/>
    <n v="2022"/>
  </r>
  <r>
    <n v="1574"/>
    <x v="437"/>
    <d v="2022-08-04T00:00:00"/>
    <s v="Minera Los Pelambres"/>
    <s v="Minera Los Pelambres"/>
    <s v="Anays Díaz León"/>
    <s v="adiazl@pelambres.cl"/>
    <s v="Cursos de Entrenamiento Operacional 2022 STFT - MLP"/>
    <s v="CT"/>
    <s v="ND"/>
    <s v="NAC"/>
    <s v="Chile"/>
    <d v="2022-08-12T00:00:00"/>
    <s v="Pablo Vásquez"/>
    <s v="CO"/>
    <s v="8 semanas"/>
    <s v="PG"/>
    <m/>
    <d v="2022-08-24T00:00:00"/>
    <n v="591"/>
    <n v="36.973125000000003"/>
    <n v="62560.279187817257"/>
    <s v="SH-0310"/>
    <m/>
    <m/>
    <m/>
    <n v="2022"/>
  </r>
  <r>
    <n v="1573"/>
    <x v="438"/>
    <d v="2022-08-04T00:00:00"/>
    <s v="BHP BILLITON"/>
    <s v="BHP BILLITON"/>
    <s v="John Paul Chan"/>
    <s v="johnpaul.chan@bhp.com"/>
    <s v="Ingeniería para Proyectos Menores SPENCE y CMCC"/>
    <s v="CA"/>
    <s v="LM"/>
    <s v="NAC"/>
    <s v="Chile"/>
    <d v="2022-08-25T00:00:00"/>
    <s v="Pedro Valencia"/>
    <s v="BP-PI-TA"/>
    <s v="No llegaron las respuestas. Se consultó por el proceso y se debía entregar propuesta al día siguiente."/>
    <s v="NL"/>
    <m/>
    <d v="2022-08-04T00:00:00"/>
    <m/>
    <m/>
    <s v="N/A"/>
    <m/>
    <m/>
    <m/>
    <m/>
    <n v="2022"/>
  </r>
  <r>
    <n v="1572"/>
    <x v="439"/>
    <d v="2022-08-04T00:00:00"/>
    <s v="Consorcio JEJ-SHIMIN"/>
    <s v="Codelco División El Teniente"/>
    <s v="Roberto Quezada Ureta"/>
    <s v="rquez001@codelco.cl"/>
    <s v="Actualización Manual de Operaciones 7ª Etapa Depósito Carén  - ODS11 / SH-0274"/>
    <s v="AO"/>
    <s v="LC"/>
    <s v="NAC"/>
    <s v="Chile"/>
    <d v="2022-08-08T00:00:00"/>
    <s v="Pedro Valencia"/>
    <s v="TA"/>
    <s v="2 semanas"/>
    <s v="PG"/>
    <m/>
    <d v="2022-09-26T00:00:00"/>
    <n v="308"/>
    <n v="7.8"/>
    <n v="25324.675324675321"/>
    <s v="SH-0274 ODS11"/>
    <m/>
    <m/>
    <m/>
    <n v="2022"/>
  </r>
  <r>
    <n v="1571"/>
    <x v="440"/>
    <d v="2022-08-03T00:00:00"/>
    <s v="Caserones"/>
    <s v="Caserones"/>
    <s v="Jonathan José Morgado Ponce "/>
    <s v="JMorgado@caserones.cl"/>
    <s v="Verificación de Bombas - Proyecto Pozos de Remediación La Brea"/>
    <s v="OS"/>
    <s v="LC"/>
    <s v="NAC"/>
    <s v="Chile"/>
    <d v="2022-08-05T00:00:00"/>
    <s v="Cristian López"/>
    <s v="TA-PI"/>
    <s v="2 semanas"/>
    <s v="PG"/>
    <m/>
    <d v="2022-08-08T00:00:00"/>
    <n v="58"/>
    <n v="2.1775000000000002"/>
    <n v="37543.10344827587"/>
    <s v="SH-0265 OS15"/>
    <m/>
    <m/>
    <m/>
    <n v="2022"/>
  </r>
  <r>
    <n v="1570"/>
    <x v="441"/>
    <d v="2022-08-01T00:00:00"/>
    <s v="VALE"/>
    <s v="VALE"/>
    <s v="Maurilio Messias Maciel"/>
    <s v="maurilio.maciel@vale.com "/>
    <s v="Solicitição de Solução Técnica para Lançamento do Rejeito Salobo - TAC 1"/>
    <s v="OS"/>
    <s v="ND"/>
    <s v="INT"/>
    <s v="Brasil"/>
    <d v="2022-08-05T00:00:00"/>
    <s v="Dolglas Souza"/>
    <s v="TA-PI"/>
    <s v="12 semanas"/>
    <s v="PG"/>
    <m/>
    <d v="2023-07-10T00:00:00"/>
    <n v="546"/>
    <n v="16.3"/>
    <n v="29853.479853479854"/>
    <s v="SH-0289 OS-03"/>
    <m/>
    <m/>
    <m/>
    <n v="2022"/>
  </r>
  <r>
    <n v="1569"/>
    <x v="442"/>
    <d v="2022-08-02T00:00:00"/>
    <s v="Sigdo Koppers"/>
    <s v="Minera Escondida "/>
    <s v="Juan Herrera"/>
    <s v="Juan.herrera@skic.com"/>
    <s v="Servicio de Ingeniería de Detalles Procesos y Control Planta de Diésel"/>
    <s v="ID"/>
    <s v="LM"/>
    <s v="NAC"/>
    <s v="Chile"/>
    <d v="2022-08-12T00:00:00"/>
    <s v="David Cerón"/>
    <s v="BP"/>
    <s v="Perdida por diferencia de 180% en HH's y 203% en $"/>
    <s v="PP"/>
    <m/>
    <d v="2022-09-13T00:00:00"/>
    <n v="931"/>
    <n v="43.77375"/>
    <n v="47017.991407089146"/>
    <m/>
    <m/>
    <m/>
    <m/>
    <n v="2022"/>
  </r>
  <r>
    <n v="1568"/>
    <x v="443"/>
    <d v="2022-07-29T00:00:00"/>
    <s v="Collahuasi"/>
    <s v="Collahuasi"/>
    <s v="Cristian Tapia"/>
    <m/>
    <s v="Ingeniería de Detalles Sistema de Recuperación de Aguas Bypass"/>
    <s v="ID"/>
    <s v="LM"/>
    <s v="NAC"/>
    <s v="Chile"/>
    <d v="2022-08-22T00:00:00"/>
    <s v="Hernán Castro"/>
    <s v="PI-TA"/>
    <s v="13 semanas. Se enviaron aclaraciones por HH's y tarifas."/>
    <s v="PP"/>
    <m/>
    <d v="2022-12-07T00:00:00"/>
    <n v="5904"/>
    <n v="265"/>
    <n v="44884.823848238484"/>
    <m/>
    <m/>
    <m/>
    <m/>
    <n v="2022"/>
  </r>
  <r>
    <n v="1567"/>
    <x v="444"/>
    <d v="2022-07-28T00:00:00"/>
    <s v="VALE"/>
    <s v="VALE"/>
    <s v="Jorge Ribeiro"/>
    <s v=" jorge.ribeiro@vale.com"/>
    <s v="Engenharia e análise do sistema de bombeamento de Minério da Mina de Viga"/>
    <s v="ED"/>
    <s v="LC"/>
    <s v="INT"/>
    <s v="Brasil"/>
    <d v="2022-07-15T00:00:00"/>
    <s v="Dolglas Souza"/>
    <s v="PI"/>
    <s v="8 semanas._x000a_Rev 3 el dia 16-01-2024"/>
    <s v="NL"/>
    <m/>
    <d v="2024-01-16T00:00:00"/>
    <n v="494"/>
    <n v="31"/>
    <n v="62753.036437246956"/>
    <s v="SH-0289 OS-04"/>
    <m/>
    <m/>
    <m/>
    <n v="2022"/>
  </r>
  <r>
    <n v="1566"/>
    <x v="445"/>
    <d v="2022-07-26T00:00:00"/>
    <s v="Collahuasi"/>
    <s v="Collahuasi"/>
    <s v="Marta Bastías"/>
    <s v="mabastia@collahuasi.cl"/>
    <s v="Actualización Manuales de Operaciones Mineroducto"/>
    <s v="AO"/>
    <s v="LM"/>
    <s v="NAC"/>
    <s v="Chile"/>
    <d v="2022-09-14T00:00:00"/>
    <s v="Hernán Castro"/>
    <s v="PI"/>
    <s v="17 Semanas"/>
    <s v="PP"/>
    <m/>
    <d v="2023-02-22T00:00:00"/>
    <n v="1099"/>
    <n v="53"/>
    <n v="48225.659690627843"/>
    <m/>
    <m/>
    <m/>
    <s v="Pidieron aclaraciones. Esperar."/>
    <n v="2022"/>
  </r>
  <r>
    <n v="1565"/>
    <x v="446"/>
    <d v="2022-07-27T00:00:00"/>
    <s v="AngloAmerican"/>
    <s v="AngloAmerican El Soldado"/>
    <s v="Daniel Gallardo"/>
    <s v="daniel.gallardo-externo@angloamerican.com"/>
    <s v="Informe Aplicabilidad Requerimiento de Distancia Peligrosa para Depósito de Relaves Filtrados"/>
    <s v="OS"/>
    <s v="ND"/>
    <s v="NAC"/>
    <s v="Chile"/>
    <d v="2022-08-09T00:00:00"/>
    <s v="David Cerón"/>
    <s v="TA"/>
    <m/>
    <s v="PP"/>
    <m/>
    <d v="2022-11-02T00:00:00"/>
    <n v="50"/>
    <n v="1.9"/>
    <n v="38000"/>
    <m/>
    <m/>
    <m/>
    <m/>
    <n v="2022"/>
  </r>
  <r>
    <n v="1564"/>
    <x v="447"/>
    <d v="2022-07-21T00:00:00"/>
    <s v="AngloAmerican"/>
    <s v="AngloAmerican El Soldado"/>
    <s v="César Tapia"/>
    <s v="cesar.tapia@angloamerican.com"/>
    <s v="Servicios de Ingeniería Ciclones Tranque El Torito"/>
    <s v="OS"/>
    <s v="ND"/>
    <s v="NAC"/>
    <s v="Chile"/>
    <d v="2022-07-25T00:00:00"/>
    <s v="Jorge Casanova"/>
    <s v="TA-PI"/>
    <s v="César Tapia informa que este tema pasó a la VP de AA y que se licitará."/>
    <s v="PP"/>
    <m/>
    <d v="2022-10-05T00:00:00"/>
    <n v="403"/>
    <n v="14.7"/>
    <n v="36476.426799007444"/>
    <m/>
    <m/>
    <m/>
    <m/>
    <n v="2022"/>
  </r>
  <r>
    <n v="1563"/>
    <x v="448"/>
    <d v="2022-07-20T00:00:00"/>
    <s v="R&amp;Q Ingeniería"/>
    <s v="Minera Florida"/>
    <s v="Miguel Ángel Ruiz Jiménez "/>
    <s v="miguel.ruiz@ryq.cl"/>
    <s v="Ingeniería de Detalles Muro Inicio Fase 2 Depósito en Pasta"/>
    <s v="ID"/>
    <s v="ND"/>
    <s v="NAC"/>
    <s v="Chile"/>
    <d v="2022-07-20T00:00:00"/>
    <s v="Daniela Videla"/>
    <s v="TA"/>
    <s v="R&amp;Q informa que no se adjudicó a R&amp;Q+SHIMIN. Sin información de adjudicado."/>
    <s v="PP"/>
    <m/>
    <d v="2022-11-21T00:00:00"/>
    <n v="1087"/>
    <n v="51.4"/>
    <n v="47286.108555657767"/>
    <m/>
    <m/>
    <m/>
    <s v="David preguntará a José Rojas."/>
    <n v="2022"/>
  </r>
  <r>
    <n v="1562"/>
    <x v="449"/>
    <d v="2022-07-19T00:00:00"/>
    <s v="Minera Zaldívar"/>
    <s v="Minera Zaldívar"/>
    <s v="Jaime Rand Rojas"/>
    <s v="jaime.rand@aminerals.cl"/>
    <s v="Servicio de Contraparte Proyecto Fase 15 SIPE"/>
    <s v="CO"/>
    <s v="ND"/>
    <s v="NAC"/>
    <s v="Chile"/>
    <d v="2022-07-20T00:00:00"/>
    <s v="Claudio Zamorano"/>
    <s v="BP"/>
    <s v="Se unificó con la oferta O-1561"/>
    <s v="NL"/>
    <m/>
    <d v="2022-07-19T00:00:00"/>
    <m/>
    <m/>
    <s v="N/A"/>
    <m/>
    <m/>
    <m/>
    <m/>
    <n v="2022"/>
  </r>
  <r>
    <n v="1561"/>
    <x v="450"/>
    <d v="2022-07-19T00:00:00"/>
    <s v="Minera Zaldívar"/>
    <s v="Minera Zaldívar"/>
    <s v="Jaime Rand Rojas"/>
    <s v="jaime.rand@aminerals.cl"/>
    <s v="Extensión Servicio de Contraparte para Superintendencia de Proyectos Estratégicos"/>
    <s v="CO"/>
    <s v="ND"/>
    <s v="NAC"/>
    <s v="Chile"/>
    <d v="2022-08-01T00:00:00"/>
    <s v="Claudio Zamorano"/>
    <s v="BP"/>
    <s v="Revisión 2. Extensión del proyecto SH-0256 hasta noviembre de 2022. 4 meses."/>
    <s v="PG"/>
    <m/>
    <d v="2022-08-25T00:00:00"/>
    <n v="1620"/>
    <n v="76.346500000000006"/>
    <n v="47127.469135802472"/>
    <s v="SH-0256"/>
    <m/>
    <m/>
    <m/>
    <n v="2022"/>
  </r>
  <r>
    <n v="1560"/>
    <x v="451"/>
    <d v="2022-07-18T00:00:00"/>
    <s v="Parés y Alvarez"/>
    <s v="Codelco División El Teniente"/>
    <s v="Andres Jara"/>
    <m/>
    <s v="Ingeniería de Detalles Mejoramiento Recuperación de Aguas Espesador R-2"/>
    <s v="ID"/>
    <s v="LM"/>
    <s v="NAC"/>
    <s v="Chile"/>
    <d v="2022-08-31T00:00:00"/>
    <s v="Hugo Andrade"/>
    <s v="TA-PI"/>
    <s v="34 Semanas"/>
    <s v="PD"/>
    <m/>
    <d v="2023-04-04T00:00:00"/>
    <n v="4353"/>
    <n v="218"/>
    <n v="50080.404318860557"/>
    <m/>
    <m/>
    <m/>
    <s v="Francisco preguntará a P&amp;A"/>
    <n v="2022"/>
  </r>
  <r>
    <n v="1559"/>
    <x v="452"/>
    <d v="2022-09-02T00:00:00"/>
    <s v="Rallingeniera"/>
    <s v="Worley"/>
    <s v="Sandro Garrido Escobar"/>
    <s v="Sandro.Garrido@worley.com"/>
    <s v="Ingeniería de Perfil Impulsión Carbonato de Calcio a Alta Densidad"/>
    <s v="IP"/>
    <s v="LC"/>
    <s v="NAC"/>
    <s v="Chile"/>
    <d v="2022-09-06T00:00:00"/>
    <s v="Jorge Casanova"/>
    <s v="PI"/>
    <s v="S/I"/>
    <s v="NL"/>
    <m/>
    <d v="2022-09-02T00:00:00"/>
    <m/>
    <m/>
    <s v="N/A"/>
    <m/>
    <m/>
    <m/>
    <m/>
    <n v="2022"/>
  </r>
  <r>
    <n v="1558"/>
    <x v="453"/>
    <d v="2022-07-15T00:00:00"/>
    <s v="Tetratech"/>
    <s v="Equinox"/>
    <s v="Nibaldo Siqueira"/>
    <s v="Simao.Carvalho@tetratech.com"/>
    <s v="EB e ED Sistema de Bombeamento segunda Barragem"/>
    <s v="IC"/>
    <s v="LM"/>
    <s v="INT"/>
    <s v="Brasil"/>
    <d v="2022-07-19T00:00:00"/>
    <s v="Dolglas Souza"/>
    <s v="PI"/>
    <s v="12 Semanas"/>
    <s v="PP"/>
    <m/>
    <d v="2023-02-22T00:00:00"/>
    <n v="1670"/>
    <n v="65.400000000000006"/>
    <n v="39161.67664670659"/>
    <m/>
    <m/>
    <m/>
    <s v="Dolglas consultará."/>
    <n v="2022"/>
  </r>
  <r>
    <n v="1557"/>
    <x v="454"/>
    <d v="2022-07-15T00:00:00"/>
    <s v="Verbrec"/>
    <s v="Verbrec"/>
    <s v="Ian Gooding"/>
    <s v=" Ian.Gooding@verbrec.com"/>
    <s v="Estimación de Costos Línea de Agua 15 km El Zorro Project"/>
    <s v="IC"/>
    <s v="ND"/>
    <s v="NAC"/>
    <s v="Chile"/>
    <d v="2022-07-15T00:00:00"/>
    <s v="Hugo Andrade"/>
    <s v="PI"/>
    <s v="3 semanas"/>
    <s v="PG"/>
    <m/>
    <d v="2022-08-01T00:00:00"/>
    <n v="115"/>
    <n v="6.46"/>
    <n v="56173.913043478264"/>
    <s v="SH-0311"/>
    <m/>
    <m/>
    <m/>
    <n v="2022"/>
  </r>
  <r>
    <n v="1556"/>
    <x v="455"/>
    <d v="2022-07-14T00:00:00"/>
    <s v="VALE"/>
    <s v="VALE"/>
    <s v="Tiago Portela"/>
    <s v="Tiago.Portela@vale.com"/>
    <s v="Elaboração de Padrões – Oleoduto e Gasoduto"/>
    <s v="ED"/>
    <s v="LC"/>
    <s v="INT"/>
    <s v="Brasil"/>
    <d v="2022-07-15T00:00:00"/>
    <s v="Dolglas Souza"/>
    <s v="PI"/>
    <m/>
    <s v="PG"/>
    <m/>
    <d v="2022-08-24T00:00:00"/>
    <n v="1440"/>
    <n v="33.370240000000003"/>
    <n v="23173.777777777781"/>
    <s v="SH-0235 OS04"/>
    <m/>
    <m/>
    <m/>
    <n v="2022"/>
  </r>
  <r>
    <n v="1555"/>
    <x v="456"/>
    <d v="2022-07-12T00:00:00"/>
    <s v="AngloAmerican"/>
    <s v="AngloAmerican El Soldado"/>
    <s v="Daigo Shioyama"/>
    <s v="daigo.shioyama@angloamerican.com"/>
    <s v="Sistema de Impulsión de Pulpa desde Molienda a Planta CPF"/>
    <s v="ID"/>
    <s v="LM"/>
    <s v="NAC"/>
    <s v="Chile"/>
    <d v="2022-07-14T00:00:00"/>
    <s v="Hernán Castro"/>
    <s v="BP"/>
    <s v="Mucho tiempo. Sin respuesta del Cliente."/>
    <s v="PP"/>
    <m/>
    <d v="2022-11-02T00:00:00"/>
    <n v="771"/>
    <n v="29.97"/>
    <n v="38871.595330739299"/>
    <m/>
    <m/>
    <m/>
    <s v="David preguntará a Daigo."/>
    <n v="2022"/>
  </r>
  <r>
    <n v="1554"/>
    <x v="457"/>
    <d v="2022-07-11T00:00:00"/>
    <s v="Sierra Gorda"/>
    <s v="Sierra Gorda"/>
    <m/>
    <m/>
    <s v="Asesoría por extensión de Fase 0"/>
    <s v="AE"/>
    <s v="ND"/>
    <s v="NAC"/>
    <s v="Chile"/>
    <d v="2022-07-12T00:00:00"/>
    <s v="Jorge Casanova"/>
    <s v="TA-PI"/>
    <s v="Se aprobó la Etapa I. 4 semanas."/>
    <s v="PG"/>
    <m/>
    <d v="2022-07-27T00:00:00"/>
    <n v="280"/>
    <n v="11.8"/>
    <n v="42142.857142857145"/>
    <s v="SH-0308"/>
    <m/>
    <m/>
    <m/>
    <n v="2022"/>
  </r>
  <r>
    <n v="1553"/>
    <x v="458"/>
    <d v="2022-07-07T00:00:00"/>
    <s v="Caserones"/>
    <s v="Caserones"/>
    <m/>
    <m/>
    <s v="Revisión Ingeniería Detalles Repotenciamiento Sistema de Agua Recuperada La Brea"/>
    <s v="RE"/>
    <s v="LC"/>
    <s v="NAC"/>
    <s v="Chile"/>
    <d v="2022-07-08T00:00:00"/>
    <s v="Vicente Salinas"/>
    <s v="PI-TA"/>
    <s v="12 semanas"/>
    <s v="PG"/>
    <m/>
    <d v="2022-09-01T00:00:00"/>
    <n v="2623"/>
    <n v="111.71926000000001"/>
    <n v="42592.169271826155"/>
    <s v="SH-0265 OS20"/>
    <m/>
    <m/>
    <m/>
    <n v="2022"/>
  </r>
  <r>
    <n v="1552"/>
    <x v="459"/>
    <d v="2022-07-06T00:00:00"/>
    <s v="Codelco"/>
    <s v="Codelco División Gabriela Mistral"/>
    <m/>
    <m/>
    <s v="Contrato Marco Servicios de Ingeniería Proyectos Menores"/>
    <s v="CA"/>
    <s v="LM"/>
    <s v="NAC"/>
    <s v="Chile"/>
    <d v="2022-09-05T00:00:00"/>
    <s v="David Cerón"/>
    <s v="BP-PI-TA"/>
    <s v="104 semanas"/>
    <s v="PP"/>
    <m/>
    <d v="2023-07-11T00:00:00"/>
    <n v="1000"/>
    <n v="42.36"/>
    <n v="42360"/>
    <m/>
    <m/>
    <m/>
    <m/>
    <n v="2022"/>
  </r>
  <r>
    <n v="1551"/>
    <x v="460"/>
    <d v="2022-07-06T00:00:00"/>
    <s v="Wood Chile Ltd."/>
    <s v="Wood Chile Ltd."/>
    <s v="Patricio Ruz"/>
    <s v="patricio.ruz@woodplc.com"/>
    <s v="Apoyo Consultor Relaves"/>
    <s v="AE"/>
    <s v="ND"/>
    <s v="NAC"/>
    <s v="Chile"/>
    <d v="2022-07-07T00:00:00"/>
    <s v="Pablo Vásquez"/>
    <s v="TA"/>
    <m/>
    <s v="NL"/>
    <m/>
    <d v="2022-07-06T00:00:00"/>
    <m/>
    <m/>
    <s v="N/A"/>
    <m/>
    <m/>
    <m/>
    <m/>
    <n v="2022"/>
  </r>
  <r>
    <n v="1550"/>
    <x v="461"/>
    <d v="2022-10-27T00:00:00"/>
    <s v="Caserones"/>
    <s v="Caserones"/>
    <s v="Jose Moreno Urdangarin "/>
    <s v="jmoreno@caserones.cl"/>
    <s v="Ingeniería de Detalles Normalización y Mejoras Sistema Red De Incendio CH1 y Colector de Polvos"/>
    <s v="ID"/>
    <s v="LC"/>
    <s v="NAC"/>
    <s v="Chile"/>
    <d v="2022-11-08T00:00:00"/>
    <s v="Vicente Salinas"/>
    <s v="PI"/>
    <s v="10 Semanas"/>
    <s v="PP"/>
    <m/>
    <d v="2023-04-03T00:00:00"/>
    <n v="4376"/>
    <n v="157.65528"/>
    <n v="36027.257769652657"/>
    <m/>
    <m/>
    <m/>
    <m/>
    <n v="2022"/>
  </r>
  <r>
    <n v="1549"/>
    <x v="462"/>
    <d v="2022-07-06T00:00:00"/>
    <s v="Mogroup"/>
    <s v="Mogroup"/>
    <s v="Antonio Oyanedel"/>
    <s v="antonio.oyanedel@mogroup.com"/>
    <s v="Licitación Contrato Marco Ingenierías Metso Outotec"/>
    <s v="CA"/>
    <s v="LM"/>
    <s v="NAC"/>
    <s v="Chile"/>
    <d v="2022-08-05T00:00:00"/>
    <s v="David Cerón"/>
    <s v="OT"/>
    <s v="F. Martin consultó a Mogroup"/>
    <s v="PP"/>
    <m/>
    <d v="2022-11-02T00:00:00"/>
    <n v="2185"/>
    <n v="102.75"/>
    <n v="47025.171624713956"/>
    <m/>
    <m/>
    <m/>
    <s v="Francisco Martin consultará."/>
    <n v="2022"/>
  </r>
  <r>
    <n v="1548"/>
    <x v="463"/>
    <d v="2022-07-04T00:00:00"/>
    <s v="Caserones"/>
    <s v="Caserones"/>
    <s v="Jose Moreno Urdangarin "/>
    <m/>
    <s v="Ingeniería Dewatering Mina Continuo"/>
    <s v="IB"/>
    <s v="LC"/>
    <s v="NAC"/>
    <s v="Chile"/>
    <d v="2022-08-01T00:00:00"/>
    <s v="Vicente Salinas"/>
    <s v="PI"/>
    <s v="8 semanas"/>
    <s v="PG"/>
    <m/>
    <d v="2022-10-17T00:00:00"/>
    <n v="1361"/>
    <n v="43.148000000000003"/>
    <n v="31703.159441587075"/>
    <s v="SH-0265 OS23"/>
    <m/>
    <m/>
    <m/>
    <n v="2022"/>
  </r>
  <r>
    <n v="1547"/>
    <x v="464"/>
    <d v="2022-06-27T00:00:00"/>
    <s v="Empresa Minera Paitití"/>
    <s v="Empresa Minera Paitití"/>
    <s v="Ranulfo Mamani "/>
    <s v="rmamani@orvana.com"/>
    <s v="Evaluación del Estado Actual de los Equipos Existentes para Usar en el_x000a_Oxide StockPile Project OSP"/>
    <s v="OS"/>
    <s v="ND"/>
    <s v="INT"/>
    <s v="Bolivia"/>
    <d v="2022-07-06T00:00:00"/>
    <s v="Rafael Videla B."/>
    <s v="OT"/>
    <s v="Sin información desde el Cliente"/>
    <s v="NL"/>
    <m/>
    <d v="2022-09-06T00:00:00"/>
    <m/>
    <m/>
    <s v="N/A"/>
    <m/>
    <m/>
    <m/>
    <m/>
    <n v="2022"/>
  </r>
  <r>
    <n v="1546"/>
    <x v="465"/>
    <d v="2022-06-30T00:00:00"/>
    <s v="BHP BILLITON"/>
    <s v="BHP BILLITON"/>
    <s v="Jaime Villagra"/>
    <s v="jaime.villagra@bhp.com"/>
    <s v="Contrato Marco Servicios de Ingeniería Estudios para proyectos Medium &amp; Large"/>
    <s v="CA"/>
    <s v="PRE"/>
    <s v="NAC"/>
    <s v="Chile"/>
    <d v="2022-07-07T00:00:00"/>
    <s v="David Cerón"/>
    <s v="BP-PI-TA"/>
    <s v="Falta de experiencia en Concentradora, Manejo de Materiales, Infraestructura"/>
    <s v="NL"/>
    <m/>
    <d v="2022-07-07T00:00:00"/>
    <m/>
    <m/>
    <s v="N/A"/>
    <m/>
    <m/>
    <m/>
    <m/>
    <n v="2022"/>
  </r>
  <r>
    <n v="1545"/>
    <x v="466"/>
    <d v="2022-06-28T00:00:00"/>
    <s v="Caserones"/>
    <s v="Caserones"/>
    <s v="Jose Moreno Urdangarin "/>
    <s v="jmoreno@caserones.cl"/>
    <s v="Ingeniería de Detalles Habilitación Electromecánica Pozos PAF y PER"/>
    <s v="ID"/>
    <s v="LC"/>
    <s v="NAC"/>
    <s v="Chile"/>
    <d v="2022-06-30T00:00:00"/>
    <s v="Hernán Castro"/>
    <s v="TA-PI"/>
    <s v="8 semanas"/>
    <s v="PG"/>
    <m/>
    <d v="2022-08-23T00:00:00"/>
    <n v="2186"/>
    <n v="75.252099999999999"/>
    <n v="34424.565416285455"/>
    <s v="SH-0265 OS17"/>
    <m/>
    <m/>
    <s v="Se envio Complemento con fecha 20/02/2023"/>
    <n v="2022"/>
  </r>
  <r>
    <n v="1544"/>
    <x v="467"/>
    <d v="2022-06-28T00:00:00"/>
    <s v="Pipeline Intelligence"/>
    <s v="AngloAmerican El Soldado"/>
    <s v="Juan Manuel Silva"/>
    <m/>
    <s v="Ingeniería Trampas El Soldado"/>
    <s v="ID"/>
    <s v="ND"/>
    <s v="NAC"/>
    <s v="Chile"/>
    <d v="2022-07-04T00:00:00"/>
    <s v="Hernán Castro"/>
    <s v="PI"/>
    <m/>
    <s v="PG"/>
    <m/>
    <d v="2022-07-04T00:00:00"/>
    <n v="229"/>
    <n v="9.1356000000000002"/>
    <n v="39893.449781659387"/>
    <s v="SH-0306"/>
    <m/>
    <m/>
    <m/>
    <n v="2022"/>
  </r>
  <r>
    <n v="1543"/>
    <x v="468"/>
    <d v="2022-06-28T00:00:00"/>
    <s v="Tetratech"/>
    <s v="Yamana Gold"/>
    <s v="Carvalho Simao     "/>
    <s v="Simao.Carvalho@tetratech.com"/>
    <s v="Desenvolvimento de Engenharia Conceitual Fase 4 Expansão de Planta Metalúrgica"/>
    <s v="IC"/>
    <s v="LM"/>
    <s v="INT"/>
    <s v="Brasil"/>
    <d v="2022-06-29T00:00:00"/>
    <s v="Dolglas Souza"/>
    <s v="BP-PI-TA"/>
    <s v="4 semanas"/>
    <s v="PP"/>
    <m/>
    <d v="2023-02-22T00:00:00"/>
    <n v="225"/>
    <n v="8.8000000000000007"/>
    <n v="39111.111111111117"/>
    <m/>
    <m/>
    <m/>
    <s v="Dolglas consultará."/>
    <n v="2022"/>
  </r>
  <r>
    <n v="1542"/>
    <x v="469"/>
    <d v="2022-06-23T00:00:00"/>
    <s v="Minera Los Pelambres"/>
    <s v="Minera Los Pelambres"/>
    <s v="Andrea Albiña Guerra"/>
    <s v="otiaalbina@eeccmlp.cl"/>
    <s v="Cursos de Entrenamiento Operacional 2022 STFT - MLP"/>
    <s v="CT"/>
    <s v="ND"/>
    <s v="NAC"/>
    <s v="Chile"/>
    <d v="2022-06-29T00:00:00"/>
    <s v="Pablo Vásquez"/>
    <s v="CO"/>
    <m/>
    <s v="PP"/>
    <m/>
    <d v="2022-08-24T00:00:00"/>
    <n v="363"/>
    <n v="23.040220000000001"/>
    <n v="63471.68044077135"/>
    <s v="SH-0310"/>
    <m/>
    <m/>
    <m/>
    <n v="2022"/>
  </r>
  <r>
    <n v="1541"/>
    <x v="470"/>
    <d v="2022-06-13T00:00:00"/>
    <s v="Pucobre"/>
    <s v="Pucobre"/>
    <s v="Jorge Portilla"/>
    <s v="jorge.portilla@pucobre.cl"/>
    <s v="Ingeniería Planta de Cal  "/>
    <s v="ID"/>
    <s v="LM"/>
    <s v="NAC"/>
    <s v="Chile"/>
    <d v="2022-06-29T00:00:00"/>
    <s v="Pedro Valencia"/>
    <s v="BP"/>
    <s v="SHIMIN fue muy caro"/>
    <s v="PP"/>
    <m/>
    <d v="2022-09-30T00:00:00"/>
    <n v="6134"/>
    <n v="214"/>
    <n v="34887.51222693186"/>
    <m/>
    <m/>
    <m/>
    <m/>
    <n v="2022"/>
  </r>
  <r>
    <n v="1540"/>
    <x v="471"/>
    <d v="2022-06-18T00:00:00"/>
    <s v="Minera Zaldívar"/>
    <s v="Minera Zaldívar"/>
    <s v="Anllelina Rojas Vásquez"/>
    <s v="arojasva@aminerals.cl"/>
    <s v="Servicio Apoyo a la Gestión de Proyectos"/>
    <s v="OS"/>
    <s v="LM"/>
    <s v="NAC"/>
    <s v="Chile"/>
    <d v="2022-07-18T00:00:00"/>
    <s v="David Cerón"/>
    <s v="OT"/>
    <s v="Falta de personal"/>
    <s v="NL"/>
    <m/>
    <d v="2022-06-23T00:00:00"/>
    <m/>
    <m/>
    <s v="N/A"/>
    <m/>
    <m/>
    <m/>
    <m/>
    <n v="2022"/>
  </r>
  <r>
    <n v="1539"/>
    <x v="472"/>
    <d v="2022-06-18T00:00:00"/>
    <s v="Codelco"/>
    <s v="Codelco División El Teniente"/>
    <m/>
    <m/>
    <s v="Servicio de Contraparte y Gestión de Ingeniería"/>
    <s v="CO"/>
    <s v="LM"/>
    <s v="NAC"/>
    <s v="Chile"/>
    <d v="2022-08-11T00:00:00"/>
    <s v="David Cerón"/>
    <s v="BP-PI-TA"/>
    <s v="Falta de personal"/>
    <s v="NL"/>
    <m/>
    <d v="2022-06-22T00:00:00"/>
    <m/>
    <m/>
    <s v="N/A"/>
    <m/>
    <m/>
    <m/>
    <m/>
    <n v="2022"/>
  </r>
  <r>
    <n v="1538"/>
    <x v="473"/>
    <d v="2022-06-18T00:00:00"/>
    <s v="Codelco"/>
    <s v="Codelco División El Salvador"/>
    <m/>
    <m/>
    <s v="Estudio de Perfil Proyecto Aseguramiento de Suministro Hídrico División Salvador"/>
    <s v="IP"/>
    <s v="PRE"/>
    <s v="NAC"/>
    <s v="Chile"/>
    <d v="2022-07-01T00:00:00"/>
    <s v="David Cerón"/>
    <s v="PI"/>
    <s v="Precalificación"/>
    <s v="NL"/>
    <m/>
    <d v="2022-06-18T00:00:00"/>
    <m/>
    <m/>
    <s v="N/A"/>
    <m/>
    <m/>
    <m/>
    <m/>
    <n v="2022"/>
  </r>
  <r>
    <n v="1537"/>
    <x v="474"/>
    <d v="2022-06-16T00:00:00"/>
    <s v="Caserones"/>
    <s v="Caserones"/>
    <s v="Jaime Eduardo Muñoz Duran"/>
    <s v="jmunozd@caserones.cl"/>
    <s v="Revisión Ingeniería Supresor de Ariete 1 y 2"/>
    <s v="RE"/>
    <s v="LC"/>
    <s v="NAC"/>
    <s v="Chile"/>
    <d v="2022-06-17T00:00:00"/>
    <s v="Pedro Valencia"/>
    <s v="PI"/>
    <s v="15 días"/>
    <s v="PG"/>
    <m/>
    <d v="2022-07-22T00:00:00"/>
    <n v="1141"/>
    <n v="38.59704"/>
    <n v="33827.379491673972"/>
    <s v="SH-0265 OS14"/>
    <m/>
    <m/>
    <m/>
    <n v="2022"/>
  </r>
  <r>
    <n v="1536"/>
    <x v="475"/>
    <d v="2022-06-16T00:00:00"/>
    <s v="AngloAmerican"/>
    <s v="AngloAmerican"/>
    <s v="Eloy garcía"/>
    <s v="claudio.pizarro.r@angloamerican.com"/>
    <s v="Revisión Experta Proyecto Impulsión Relaves a la Cola"/>
    <s v="RE"/>
    <s v="ND"/>
    <s v="NAC"/>
    <s v="Chile"/>
    <d v="2022-06-17T00:00:00"/>
    <s v="Pedro Valencia"/>
    <s v="PI-TA"/>
    <s v="4 semanas"/>
    <s v="PP"/>
    <m/>
    <d v="2022-10-03T00:00:00"/>
    <n v="118"/>
    <n v="8.2088000000000001"/>
    <n v="69566.101694915254"/>
    <m/>
    <m/>
    <m/>
    <m/>
    <n v="2022"/>
  </r>
  <r>
    <n v="1535"/>
    <x v="476"/>
    <d v="2022-06-13T00:00:00"/>
    <s v="IPE"/>
    <s v="Empresa Minera Paitití"/>
    <s v="Rodolfo Sejas"/>
    <s v="rsejas@orvana.com"/>
    <s v="Ingeniería de Terreno y PEM_x000a_Oxide StockPile Project OSP"/>
    <s v="PEM"/>
    <s v="ND"/>
    <s v="INT"/>
    <s v="Bolivia"/>
    <d v="2022-06-14T00:00:00"/>
    <s v="Pedro Valencia"/>
    <s v="COM"/>
    <s v="S/I"/>
    <s v="NL"/>
    <m/>
    <d v="2022-11-09T00:00:00"/>
    <m/>
    <m/>
    <s v="N/A"/>
    <m/>
    <m/>
    <m/>
    <m/>
    <n v="2022"/>
  </r>
  <r>
    <n v="1534"/>
    <x v="477"/>
    <d v="2022-06-13T00:00:00"/>
    <s v="Proyecmetal_x000a_"/>
    <s v="Proyecmetal_x000a_"/>
    <s v="René Burgos / Luis Guzmán"/>
    <s v="rburgos@proyecmetal.cl"/>
    <s v="Revisión Experta de Ingeniería Proyecto Montaje Electromecánico MIC 6 y 7"/>
    <s v="RE"/>
    <s v="ND"/>
    <s v="NAC"/>
    <s v="Chile"/>
    <d v="2022-06-14T00:00:00"/>
    <s v="Pedro Valencia"/>
    <s v="BP"/>
    <s v="12 semanas"/>
    <s v="PP"/>
    <m/>
    <d v="2022-10-03T00:00:00"/>
    <n v="1582"/>
    <n v="84.7"/>
    <n v="53539.823008849562"/>
    <m/>
    <m/>
    <m/>
    <m/>
    <n v="2022"/>
  </r>
  <r>
    <n v="1533"/>
    <x v="478"/>
    <d v="2022-06-08T00:00:00"/>
    <s v="_x000a_ProWerks Ltda._x000a_"/>
    <s v="AngloAmerican El Soldado"/>
    <s v="Miguel Ríos"/>
    <s v="mrios@prowerks.cl"/>
    <s v="Ingeniería Detalles Líneas paralelas y Automáticas Piscinas de Recuperación de Concentrado Plantas LT1 y LT2"/>
    <s v="ID"/>
    <s v="ND"/>
    <s v="NAC"/>
    <s v="Chile"/>
    <d v="2022-06-10T00:00:00"/>
    <s v="Pedro Valencia"/>
    <s v="BP-PI-TA"/>
    <s v="9 semanas"/>
    <s v="PP"/>
    <m/>
    <d v="2022-10-03T00:00:00"/>
    <n v="1947"/>
    <n v="94.961429999999993"/>
    <n v="48773.204930662556"/>
    <m/>
    <m/>
    <m/>
    <m/>
    <n v="2022"/>
  </r>
  <r>
    <n v="1532"/>
    <x v="479"/>
    <d v="2022-06-08T00:00:00"/>
    <s v="_x000a_ProWerks Ltda._x000a_"/>
    <s v="AngloAmerican El Soldado"/>
    <s v="Miguel Ríos"/>
    <s v="mrios@prowerks.cl"/>
    <s v="Ingeniería Detalles Cambio Bombas Peristálticas Alimentación Filtros de Concentrado Planta LT1"/>
    <s v="ID"/>
    <s v="ND"/>
    <s v="NAC"/>
    <s v="Chile"/>
    <d v="2022-06-10T00:00:00"/>
    <s v="Pedro Valencia"/>
    <s v="PI-TA"/>
    <s v="9 semanas"/>
    <s v="PP"/>
    <m/>
    <d v="2022-10-03T00:00:00"/>
    <n v="1984"/>
    <n v="95.783180000000002"/>
    <n v="48277.8125"/>
    <m/>
    <m/>
    <m/>
    <m/>
    <n v="2022"/>
  </r>
  <r>
    <n v="1531"/>
    <x v="480"/>
    <d v="2022-06-08T00:00:00"/>
    <s v="Grupo SK"/>
    <s v="Grupo SK"/>
    <s v="Eduardo Monsalve"/>
    <s v="eduardo.monsalve@pvsa.cl"/>
    <s v="Asesoría para Permisos para Implementar Desvío Vial a Ruta 5"/>
    <s v="AE"/>
    <s v="ND"/>
    <s v="NAC"/>
    <s v="Chile"/>
    <d v="2022-06-09T00:00:00"/>
    <s v="Daniela Videla"/>
    <s v="OT"/>
    <s v="8 Semanas"/>
    <s v="PP"/>
    <m/>
    <d v="2022-06-08T00:00:00"/>
    <n v="445"/>
    <n v="15.909079999999999"/>
    <n v="35750.741573033709"/>
    <m/>
    <m/>
    <m/>
    <m/>
    <n v="2022"/>
  </r>
  <r>
    <n v="1530"/>
    <x v="481"/>
    <d v="2022-06-07T00:00:00"/>
    <s v="AngloAmerican"/>
    <s v="AngloAmerican El Soldado"/>
    <s v="César Tapia"/>
    <s v="cesar.tapia@angloamerican.com"/>
    <s v="Trade Off Transporte Mina Planta"/>
    <s v="TO"/>
    <s v="ND"/>
    <s v="NAC"/>
    <s v="Chile"/>
    <d v="2022-06-08T00:00:00"/>
    <s v="Pedro Valencia"/>
    <s v="PI"/>
    <s v="César Tapia informa que este tema por el momento no se realizará."/>
    <s v="PP"/>
    <m/>
    <d v="2022-10-05T00:00:00"/>
    <n v="177"/>
    <n v="7.3"/>
    <n v="41242.937853107345"/>
    <m/>
    <m/>
    <m/>
    <m/>
    <n v="2022"/>
  </r>
  <r>
    <n v="1529"/>
    <x v="482"/>
    <d v="2022-06-07T00:00:00"/>
    <s v="Daniel Vicente Gaponov Medina"/>
    <s v="Arata Arata Com. Ltda."/>
    <s v="Daniel Vicente Gaponov Medina"/>
    <s v="dagaponovm@gmail.com"/>
    <s v="Proyecto Modificación Cauce, Villa Alemana"/>
    <s v="ID"/>
    <s v="ND"/>
    <s v="NAC"/>
    <s v="Chile"/>
    <d v="2022-06-07T00:00:00"/>
    <s v="Daniela Videla"/>
    <s v="OT"/>
    <s v="3 semanas"/>
    <s v="PP"/>
    <m/>
    <d v="2022-11-02T00:00:00"/>
    <n v="324"/>
    <n v="11.935499999999999"/>
    <n v="36837.962962962964"/>
    <m/>
    <m/>
    <m/>
    <s v="Daniela preguntará."/>
    <n v="2022"/>
  </r>
  <r>
    <n v="1528"/>
    <x v="483"/>
    <d v="2022-06-03T00:00:00"/>
    <s v="GRT ING"/>
    <s v="Worley"/>
    <s v="Marcelo Aguilar"/>
    <s v="marcelo.aguilar@grt-ing.cl"/>
    <s v="IC Sistema Contraincendios Relaves Filtrados de Planta de Pellets"/>
    <s v="IC"/>
    <s v="ND"/>
    <s v="NAC"/>
    <s v="Chile"/>
    <d v="2022-06-07T00:00:00"/>
    <s v="Claudio Muñoz"/>
    <s v="OT"/>
    <m/>
    <s v="PG"/>
    <m/>
    <d v="2022-06-03T00:00:00"/>
    <n v="483"/>
    <n v="16.369260000000001"/>
    <n v="33890.80745341615"/>
    <s v="SH-0305"/>
    <m/>
    <m/>
    <m/>
    <n v="2022"/>
  </r>
  <r>
    <n v="1527"/>
    <x v="484"/>
    <d v="2022-05-27T00:00:00"/>
    <s v="Codelco"/>
    <s v="Codelco División El Teniente"/>
    <m/>
    <m/>
    <s v="CE-001 Ingeniería de Prefactibilidad Proyecto Desarrollo Caren"/>
    <s v="IC"/>
    <s v="PRE"/>
    <s v="NAC"/>
    <s v="Chile"/>
    <d v="2022-07-01T00:00:00"/>
    <s v="Claudio Muñoz"/>
    <s v="TA"/>
    <s v="Falta de experiencia para el alcance solicitado. Desarrollo de proyectos con Capex mayor a MUSD400"/>
    <s v="PP"/>
    <m/>
    <d v="2022-05-30T00:00:00"/>
    <n v="1"/>
    <m/>
    <n v="0"/>
    <m/>
    <m/>
    <m/>
    <m/>
    <n v="2022"/>
  </r>
  <r>
    <n v="1526"/>
    <x v="485"/>
    <d v="2022-05-03T00:00:00"/>
    <s v="Codelco"/>
    <s v="Codelco División El Teniente"/>
    <m/>
    <m/>
    <s v="Servicio de Instalación Sistemas Extinción de Incendio - DET"/>
    <s v="EPC"/>
    <s v="LM"/>
    <s v="NAC"/>
    <s v="Chile"/>
    <d v="2022-07-01T00:00:00"/>
    <s v="NA"/>
    <s v="OT"/>
    <s v="Fuera del alcance de SHIMIN"/>
    <s v="NL"/>
    <m/>
    <d v="2022-05-30T00:00:00"/>
    <m/>
    <m/>
    <s v="N/A"/>
    <m/>
    <m/>
    <m/>
    <m/>
    <n v="2022"/>
  </r>
  <r>
    <n v="1525"/>
    <x v="486"/>
    <d v="2022-05-23T00:00:00"/>
    <s v="AngloAmerican"/>
    <s v="AngloAmerican El Soldado"/>
    <s v="César Tapia"/>
    <s v="cesar.tapia@angloamerican.com"/>
    <s v="Ingeniería para Compras Estación de Ciclones El Torito"/>
    <s v="ID"/>
    <s v="ND"/>
    <s v="NAC"/>
    <s v="Chile"/>
    <d v="2022-05-27T00:00:00"/>
    <s v="Pedro Valencia"/>
    <s v="TA"/>
    <s v="César Tapia informa que este tema pasó a la VP de AA y que se asignó a otro consultor."/>
    <s v="PP"/>
    <m/>
    <d v="2022-10-05T00:00:00"/>
    <n v="2594"/>
    <n v="94"/>
    <n v="36237.471087124133"/>
    <m/>
    <m/>
    <m/>
    <m/>
    <n v="2022"/>
  </r>
  <r>
    <n v="1524"/>
    <x v="487"/>
    <d v="2022-05-25T00:00:00"/>
    <s v="Tetratech"/>
    <s v="Nexa"/>
    <s v="Nibaldo Siqueira"/>
    <m/>
    <s v="Estudo de Trade off - Sistema de Limpeza de Linha de Distribuição de Pasta"/>
    <s v="TO"/>
    <s v="LM"/>
    <s v="INT"/>
    <s v="Brasil"/>
    <d v="2022-06-01T00:00:00"/>
    <s v="Dolglas Souza"/>
    <s v="PI"/>
    <s v="8 Semanas"/>
    <s v="PP"/>
    <n v="0.1"/>
    <d v="2022-06-01T00:00:00"/>
    <n v="1019"/>
    <n v="40"/>
    <n v="39254.170755642786"/>
    <m/>
    <m/>
    <m/>
    <m/>
    <n v="2022"/>
  </r>
  <r>
    <n v="1523"/>
    <x v="488"/>
    <d v="2022-05-23T00:00:00"/>
    <s v="BHP BILLITON"/>
    <s v="Minera Spence"/>
    <s v="María Montero"/>
    <s v="maria.a.montero1@bhp.com"/>
    <s v="Asesoría y Supervisión técnica pruebas &quot;Performance Test&quot; para el Proyecto STWM"/>
    <s v="AE"/>
    <s v="ND"/>
    <s v="NAC"/>
    <s v="Chile"/>
    <d v="2022-05-27T00:00:00"/>
    <s v="Jorge Casanova"/>
    <s v="TA"/>
    <s v="8 Semanas"/>
    <s v="PG"/>
    <m/>
    <d v="2022-07-07T00:00:00"/>
    <n v="750"/>
    <n v="43"/>
    <n v="57333.333333333336"/>
    <s v="SH-0249"/>
    <m/>
    <m/>
    <m/>
    <n v="2022"/>
  </r>
  <r>
    <n v="1522"/>
    <x v="489"/>
    <d v="2022-05-23T00:00:00"/>
    <s v="Skava"/>
    <s v="AngloAmerican Los Bronces"/>
    <s v="Hugo Andrade"/>
    <m/>
    <s v="Opciones de Suministro de Agua Alternativas a desaladora de Aguas Pacífico a Las Tórtolas - Skava - AALB"/>
    <s v="IC"/>
    <s v="ND"/>
    <s v="NAC"/>
    <s v="Chile"/>
    <d v="2022-05-24T00:00:00"/>
    <s v="Pedro Valencia"/>
    <s v="PI"/>
    <s v="5 semanas"/>
    <s v="PP"/>
    <m/>
    <d v="2022-11-02T00:00:00"/>
    <n v="830"/>
    <n v="41.34"/>
    <n v="49807.22891566265"/>
    <m/>
    <m/>
    <m/>
    <s v="Hugo consulta a Marco de Skava"/>
    <n v="2022"/>
  </r>
  <r>
    <n v="1521"/>
    <x v="490"/>
    <d v="2022-05-15T00:00:00"/>
    <s v="Codelco"/>
    <s v="Codelco División El Teniente"/>
    <m/>
    <m/>
    <s v=" Servicio de Ingenierías Operación Plantas DET - Codelco DET"/>
    <s v="CA"/>
    <s v="LM"/>
    <s v="NAC"/>
    <s v="Chile"/>
    <d v="2022-07-08T00:00:00"/>
    <s v="David Cerón"/>
    <s v="BP-PI-TA"/>
    <s v="156 Semanas"/>
    <s v="PP"/>
    <n v="0.01"/>
    <d v="2023-02-22T00:00:00"/>
    <n v="1000"/>
    <n v="42"/>
    <n v="42000"/>
    <m/>
    <m/>
    <m/>
    <s v="Esperar proceso Ariba. David verificará en portal."/>
    <n v="2022"/>
  </r>
  <r>
    <n v="1520"/>
    <x v="491"/>
    <d v="2022-05-16T00:00:00"/>
    <s v="Minera Los Pelambres"/>
    <s v="Minera Los Pelambres"/>
    <s v="Danitza Carvajal Mujica"/>
    <s v="otidcarvajal@eeccmlp.cl"/>
    <s v="Capacitación Operaciones INCO"/>
    <s v="CT"/>
    <s v="LM"/>
    <s v="NAC"/>
    <s v="Chile"/>
    <d v="2022-05-30T00:00:00"/>
    <s v="Vanessa Veloso"/>
    <s v="CO"/>
    <s v="Costos. Consultar."/>
    <s v="PP"/>
    <m/>
    <d v="2022-05-19T00:00:00"/>
    <n v="1015"/>
    <n v="45.583799999999997"/>
    <n v="44910.147783251225"/>
    <m/>
    <m/>
    <m/>
    <m/>
    <n v="2022"/>
  </r>
  <r>
    <n v="1519"/>
    <x v="492"/>
    <d v="2022-05-16T00:00:00"/>
    <s v="Tetratech"/>
    <s v="MUSA"/>
    <s v="Carvalho Simao     "/>
    <m/>
    <s v="EC Recuperação de Rejeitos Friáveis - Tetratech - MUSA"/>
    <s v="IC"/>
    <s v="ND"/>
    <s v="INT"/>
    <s v="Brasil"/>
    <d v="2022-05-18T00:00:00"/>
    <s v="Dolglas Souza"/>
    <s v="TA"/>
    <s v="4 semanas. Pidieron rebaja alrededor de 40%."/>
    <s v="PP"/>
    <m/>
    <d v="2022-11-02T00:00:00"/>
    <n v="305"/>
    <n v="11.6"/>
    <n v="38032.786885245907"/>
    <m/>
    <m/>
    <m/>
    <s v="Dolglas consultará."/>
    <n v="2022"/>
  </r>
  <r>
    <n v="1518"/>
    <x v="493"/>
    <d v="2022-05-16T00:00:00"/>
    <s v="AngloAmerican"/>
    <s v="AngloAmerican"/>
    <s v="Fernando Letelier"/>
    <s v="fernando.letelier@angloamerican.com"/>
    <s v="Soporte Técnico Presentación Proyecto ECME Cota Final"/>
    <s v="OS"/>
    <s v="ND"/>
    <s v="NAC"/>
    <s v="Chile"/>
    <d v="2022-05-17T00:00:00"/>
    <s v="Pedro Valencia"/>
    <s v="TA"/>
    <s v="2 Semanas   "/>
    <s v="PG"/>
    <m/>
    <d v="2022-05-18T00:00:00"/>
    <n v="70"/>
    <n v="3.7050000000000001"/>
    <n v="52928.571428571428"/>
    <s v="SH-0302"/>
    <m/>
    <m/>
    <m/>
    <n v="2022"/>
  </r>
  <r>
    <n v="1517"/>
    <x v="494"/>
    <d v="2022-05-12T00:00:00"/>
    <s v="Pucobre"/>
    <s v="Pucobre"/>
    <s v="Carmen Suárez"/>
    <s v="carmen.suarez@pucobre.cl"/>
    <s v="Ingeniería de Factibilidad Planta de Magnetita"/>
    <s v="IB"/>
    <s v="LM"/>
    <s v="NAC"/>
    <s v="Chile"/>
    <d v="2022-06-10T00:00:00"/>
    <s v="Pedro Valencia"/>
    <s v="BP-PI-TA"/>
    <s v="21 semanas"/>
    <s v="PG"/>
    <m/>
    <d v="2022-07-30T00:00:00"/>
    <n v="11228"/>
    <n v="391"/>
    <n v="34823.655147844678"/>
    <s v="SH-0309"/>
    <m/>
    <m/>
    <m/>
    <n v="2022"/>
  </r>
  <r>
    <n v="1516"/>
    <x v="495"/>
    <d v="2022-05-05T00:00:00"/>
    <s v="Collahuasi"/>
    <s v="Collahuasi"/>
    <s v="Marta Bastías"/>
    <s v="mabastia@collahuasi.cl"/>
    <s v="Servicio Control QaQc Depósito de Relaves Pampa Pabellón"/>
    <s v="OS"/>
    <s v="LM"/>
    <s v="NAC"/>
    <s v="Chile"/>
    <d v="2022-05-16T00:00:00"/>
    <s v="Pedro Valencia"/>
    <s v="TA"/>
    <m/>
    <s v="NL"/>
    <m/>
    <d v="2022-05-13T00:00:00"/>
    <m/>
    <m/>
    <s v="N/A"/>
    <m/>
    <m/>
    <m/>
    <m/>
    <n v="2022"/>
  </r>
  <r>
    <n v="1515"/>
    <x v="496"/>
    <d v="2022-05-10T00:00:00"/>
    <s v="Teck"/>
    <s v="Quebrada Blanca"/>
    <s v="César Parra"/>
    <s v="Cesar.ParraV@teck.com"/>
    <s v="Servicios de Gestión de Integridad de Ductos"/>
    <s v="OS"/>
    <s v="LM"/>
    <s v="NAC"/>
    <s v="Chile"/>
    <d v="2023-03-08T00:00:00"/>
    <s v="Carla Tapia"/>
    <s v="PI"/>
    <m/>
    <s v="PP"/>
    <m/>
    <d v="2023-03-09T00:00:00"/>
    <n v="24788"/>
    <n v="1400"/>
    <n v="56478.941423269331"/>
    <m/>
    <m/>
    <m/>
    <m/>
    <n v="2023"/>
  </r>
  <r>
    <n v="1514"/>
    <x v="497"/>
    <d v="2022-05-11T00:00:00"/>
    <s v="VALE"/>
    <s v="VALE"/>
    <m/>
    <m/>
    <s v="Avaliação de segurança do sistema de água de processo das Usinas 1, 3 e 4 Carajás Serra Norte"/>
    <s v="ID"/>
    <s v="LC"/>
    <s v="INT"/>
    <s v="Brasil"/>
    <d v="2022-06-02T00:00:00"/>
    <s v="Dolglas Souza"/>
    <s v="PI"/>
    <m/>
    <s v="PP"/>
    <m/>
    <d v="2022-05-12T00:00:00"/>
    <n v="1250"/>
    <m/>
    <n v="0"/>
    <m/>
    <m/>
    <m/>
    <m/>
    <n v="2022"/>
  </r>
  <r>
    <n v="1513"/>
    <x v="498"/>
    <d v="2022-05-11T00:00:00"/>
    <s v="AngloAmerican"/>
    <s v="AngloAmerican Los Bronces"/>
    <s v="Camilo Orellana"/>
    <s v="Camilo.Orellana@angloamerican.com"/>
    <s v="Ingeniería de Detalles Mejoramiento Conducción Gravitacional Aguas Contactadas Donoso Norte"/>
    <s v="ID"/>
    <s v="ND"/>
    <s v="NAC"/>
    <s v="Chile"/>
    <d v="2022-05-13T00:00:00"/>
    <s v="Hernán Castro"/>
    <s v="OT"/>
    <s v="9 semanas"/>
    <s v="PG"/>
    <m/>
    <d v="2022-06-06T00:00:00"/>
    <n v="1150"/>
    <n v="56.192500000000003"/>
    <n v="48863.043478260872"/>
    <s v="SH-0304"/>
    <m/>
    <m/>
    <m/>
    <n v="2022"/>
  </r>
  <r>
    <n v="1512"/>
    <x v="499"/>
    <d v="2022-05-09T00:00:00"/>
    <s v="IPE"/>
    <s v="Empresa Minera Paitití"/>
    <s v="Enrique Ferrufino Gómez"/>
    <s v="efg@ipe.bo"/>
    <s v="Ingeniería Básica para Construcción_x000a_Oxide StockPile Project OSP - Cotizaciones a Firme Equipos Principales"/>
    <s v="ID"/>
    <s v="ND"/>
    <s v="INT"/>
    <s v="Bolivia"/>
    <d v="2022-05-12T00:00:00"/>
    <s v="Pedro Valencia"/>
    <s v="LBP"/>
    <s v="4 semanas"/>
    <s v="PP"/>
    <m/>
    <d v="2022-10-03T00:00:00"/>
    <n v="549"/>
    <n v="42.649635000000004"/>
    <n v="77686.038251366117"/>
    <m/>
    <m/>
    <m/>
    <m/>
    <n v="2022"/>
  </r>
  <r>
    <n v="1511"/>
    <x v="500"/>
    <d v="2022-05-10T00:00:00"/>
    <s v="Sierra Gorda"/>
    <s v="Sierra Gorda"/>
    <s v="Cristian Avendaño"/>
    <s v="cristian.avendano@sgscm.cl"/>
    <s v="Actualización Ingeniería Mejoramiento en Transporte y Distribución de Relaves para 160 ktpd Nominal e informes de Prefactibilidad y Estudio de Factibilidad"/>
    <s v="ID"/>
    <s v="ND"/>
    <s v="NAC"/>
    <s v="Chile"/>
    <d v="2022-05-18T00:00:00"/>
    <s v="Pedro Valencia"/>
    <s v="TA-PI"/>
    <m/>
    <s v="PG"/>
    <m/>
    <d v="2022-05-18T00:00:00"/>
    <n v="1783"/>
    <n v="79"/>
    <n v="44307.347167694898"/>
    <s v="SH-0303"/>
    <m/>
    <m/>
    <m/>
    <n v="2022"/>
  </r>
  <r>
    <n v="1510"/>
    <x v="501"/>
    <d v="2022-05-09T00:00:00"/>
    <s v="JEJ"/>
    <s v="BHP BILLITON"/>
    <m/>
    <m/>
    <s v="Estudio Fase Selección Proyecto Laguna Seca Tailings Strategy"/>
    <s v="IB"/>
    <s v="LM"/>
    <s v="NAC"/>
    <s v="Chile"/>
    <d v="2022-06-14T00:00:00"/>
    <s v="Víctor Mendoza"/>
    <s v="TA-PI"/>
    <s v="JEJ avisa propuesta perdida"/>
    <s v="PP"/>
    <m/>
    <d v="2022-09-30T00:00:00"/>
    <n v="15000"/>
    <n v="450"/>
    <n v="30000"/>
    <m/>
    <m/>
    <m/>
    <m/>
    <n v="2022"/>
  </r>
  <r>
    <n v="1509"/>
    <x v="502"/>
    <d v="2022-05-09T00:00:00"/>
    <s v="Caserones"/>
    <s v="Caserones"/>
    <s v="Jose Moreno Urdangarin "/>
    <m/>
    <s v="Ingeniería Conceptual Dewatering Mina"/>
    <s v="IC"/>
    <s v="LC"/>
    <s v="NAC"/>
    <s v="Chile"/>
    <d v="2022-05-10T00:00:00"/>
    <s v="Vicente Salinas"/>
    <s v="OT"/>
    <s v="9 semanas"/>
    <s v="PG"/>
    <m/>
    <d v="2022-05-10T00:00:00"/>
    <n v="1830"/>
    <n v="57.395000000000003"/>
    <n v="31363.38797814208"/>
    <s v="SH-0265 OS12"/>
    <m/>
    <m/>
    <m/>
    <n v="2022"/>
  </r>
  <r>
    <n v="1508"/>
    <x v="503"/>
    <d v="2022-05-03T00:00:00"/>
    <s v="Codelco"/>
    <s v="Codelco División Codelco Norte"/>
    <m/>
    <m/>
    <s v=" Servicios de Ingeniería Especialidades Agua y Relaves - CODELCO - Distrito Norte"/>
    <s v="CA"/>
    <s v="LM"/>
    <s v="NAC"/>
    <s v="Chile"/>
    <d v="2022-06-22T00:00:00"/>
    <s v="David Cerón"/>
    <s v="TA-PI"/>
    <s v="104 semanas"/>
    <s v="PG"/>
    <m/>
    <d v="2023-04-03T00:00:00"/>
    <n v="1000"/>
    <n v="42"/>
    <n v="42000"/>
    <s v="SH-0333"/>
    <m/>
    <m/>
    <m/>
    <n v="2023"/>
  </r>
  <r>
    <n v="1507"/>
    <x v="504"/>
    <d v="2022-05-03T00:00:00"/>
    <s v="AngloAmerican"/>
    <s v="AngloAmerican El Soldado"/>
    <s v="César Tapia"/>
    <s v="cesar.tapia@angloamerican.com"/>
    <s v="Nueva Extensión Complemento Ingeniería Etapa Final Estación de Ciclones"/>
    <s v="ID"/>
    <s v="ND"/>
    <s v="NAC"/>
    <s v="Chile"/>
    <d v="2022-05-04T00:00:00"/>
    <s v="Pedro Valencia"/>
    <s v="TA"/>
    <m/>
    <s v="PP"/>
    <m/>
    <d v="2022-05-04T00:00:00"/>
    <m/>
    <m/>
    <s v="N/A"/>
    <m/>
    <m/>
    <m/>
    <m/>
    <n v="2022"/>
  </r>
  <r>
    <n v="1506"/>
    <x v="505"/>
    <d v="2022-05-03T00:00:00"/>
    <s v="MYMA"/>
    <s v="Santiago Metals"/>
    <s v="Lucía Acuña"/>
    <s v="lacuna@myma.cl"/>
    <s v="Ingeniería de Detalles Habilitación Pozos Florida 1 y 2 en Estación carrera Pinto"/>
    <s v="ID"/>
    <s v="ND"/>
    <s v="NAC"/>
    <s v="Chile"/>
    <d v="2022-05-15T00:00:00"/>
    <s v="Claudio Muñoz"/>
    <s v="PI"/>
    <s v="14 semanas"/>
    <s v="PP"/>
    <m/>
    <d v="2022-10-03T00:00:00"/>
    <n v="3097"/>
    <n v="141.66749999999999"/>
    <n v="45743.461414271871"/>
    <m/>
    <m/>
    <m/>
    <m/>
    <n v="2022"/>
  </r>
  <r>
    <n v="1505"/>
    <x v="506"/>
    <d v="2022-04-29T00:00:00"/>
    <s v="VALE"/>
    <s v="VALE"/>
    <m/>
    <m/>
    <s v="Engenharia Detalhada para Lavagem Inversa Mineroduto Gelado"/>
    <s v="ID"/>
    <s v="LC"/>
    <s v="INT"/>
    <s v="Brasil"/>
    <d v="2022-05-05T00:00:00"/>
    <s v="Dolglas Souza"/>
    <s v="PI"/>
    <s v="6 semanas"/>
    <s v="PP"/>
    <m/>
    <d v="2022-11-10T00:00:00"/>
    <n v="1440"/>
    <n v="42.5"/>
    <n v="29513.888888888887"/>
    <m/>
    <m/>
    <m/>
    <m/>
    <n v="2022"/>
  </r>
  <r>
    <n v="1504"/>
    <x v="507"/>
    <d v="2022-04-28T00:00:00"/>
    <s v="Caserones"/>
    <s v="Caserones"/>
    <m/>
    <m/>
    <s v="Estudio Transiente línea de refino"/>
    <s v="ID"/>
    <s v="LC"/>
    <s v="NAC"/>
    <s v="Chile"/>
    <d v="2022-04-28T00:00:00"/>
    <s v="Vicente Salinas"/>
    <s v="PI"/>
    <s v="15 días"/>
    <s v="PG"/>
    <m/>
    <d v="2022-06-06T00:00:00"/>
    <n v="173"/>
    <n v="6.1369999999999996"/>
    <n v="35473.988439306355"/>
    <s v="SH-0265 OS13"/>
    <m/>
    <m/>
    <m/>
    <n v="2022"/>
  </r>
  <r>
    <n v="1503"/>
    <x v="508"/>
    <d v="2022-04-27T00:00:00"/>
    <s v="Minsur"/>
    <s v="Minsur"/>
    <s v="Rolando Bazan"/>
    <s v="rolando.bazan@minsur.com"/>
    <s v="Revisión Experta Drop Boxes UM San Rafael"/>
    <s v="RE"/>
    <s v="ND"/>
    <s v="INT"/>
    <s v="Perú"/>
    <d v="2022-05-02T00:00:00"/>
    <s v="Pedro Valencia"/>
    <s v="PI"/>
    <s v="3 semanas"/>
    <s v="PP"/>
    <m/>
    <d v="2022-10-03T00:00:00"/>
    <n v="500"/>
    <n v="23"/>
    <n v="46000"/>
    <m/>
    <m/>
    <m/>
    <m/>
    <n v="2022"/>
  </r>
  <r>
    <n v="1502"/>
    <x v="509"/>
    <d v="2022-04-27T00:00:00"/>
    <s v="Codelco"/>
    <s v="Codelco División Andina"/>
    <m/>
    <m/>
    <s v="Precalificación Ingeniería Prefactibilidad Proyecto Sistema de Agua Recirculada  Tranque Ovejería a Cordillera"/>
    <s v="IC"/>
    <s v="PRE"/>
    <s v="NAC"/>
    <s v="Chile"/>
    <d v="2022-05-17T00:00:00"/>
    <s v="David Cerón"/>
    <s v="PI"/>
    <s v="Precalificación"/>
    <s v="PP"/>
    <m/>
    <d v="2022-11-02T00:00:00"/>
    <s v=""/>
    <m/>
    <s v="N/A"/>
    <m/>
    <m/>
    <m/>
    <s v="Precalificación Ingeniería Prefactibilidad Proyecto Sistema de Agua Recirculada  Tranque Ovejería a Cordillera"/>
    <n v="2022"/>
  </r>
  <r>
    <n v="1501"/>
    <x v="510"/>
    <d v="2022-04-22T00:00:00"/>
    <s v="RYQ-Concesiones"/>
    <s v="RYQ-Concesiones"/>
    <s v="Miguel Ángel Ruiz Jiménez "/>
    <s v="miguel.ruiz@ryq.cl"/>
    <s v="Adicionales Fase II Ingeniería Básica Avanzada Planta Desaladora IV Región Coquimbo"/>
    <s v="IBA"/>
    <s v="LM"/>
    <s v="NAC"/>
    <s v="Chile"/>
    <d v="2022-11-30T00:00:00"/>
    <s v="Carla Tapia"/>
    <s v="PI"/>
    <s v="Se envió Oferta Original Ampliada y una Oferta Alternativa incluyendo la Planta Desaladora"/>
    <s v="PG"/>
    <m/>
    <d v="2023-01-18T00:00:00"/>
    <n v="1181"/>
    <n v="55.065600000000003"/>
    <n v="46626.248941574937"/>
    <s v="SH-0324 OS-01"/>
    <m/>
    <m/>
    <m/>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E781B-7C8A-49EA-9504-D6AE00E76ED8}" name="TablaDinámica1" cacheId="370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5:C280" firstHeaderRow="0" firstDataRow="1" firstDataCol="1" rowPageCount="2" colPageCount="1"/>
  <pivotFields count="25">
    <pivotField showAll="0"/>
    <pivotField showAll="0"/>
    <pivotField axis="axisRow" multipleItemSelectionAllowed="1" showAll="0">
      <items count="256">
        <item x="175"/>
        <item x="35"/>
        <item x="60"/>
        <item x="194"/>
        <item x="128"/>
        <item x="18"/>
        <item x="245"/>
        <item x="125"/>
        <item x="224"/>
        <item x="164"/>
        <item x="204"/>
        <item x="116"/>
        <item x="52"/>
        <item x="5"/>
        <item x="213"/>
        <item x="211"/>
        <item x="1"/>
        <item x="168"/>
        <item x="71"/>
        <item x="207"/>
        <item x="244"/>
        <item x="120"/>
        <item x="8"/>
        <item x="184"/>
        <item x="246"/>
        <item x="254"/>
        <item x="79"/>
        <item x="157"/>
        <item x="72"/>
        <item x="234"/>
        <item x="166"/>
        <item x="158"/>
        <item x="87"/>
        <item x="237"/>
        <item x="145"/>
        <item x="135"/>
        <item x="152"/>
        <item x="41"/>
        <item x="172"/>
        <item x="160"/>
        <item x="78"/>
        <item x="141"/>
        <item x="16"/>
        <item x="15"/>
        <item x="23"/>
        <item x="165"/>
        <item x="243"/>
        <item x="4"/>
        <item x="144"/>
        <item x="153"/>
        <item x="66"/>
        <item x="22"/>
        <item x="83"/>
        <item x="77"/>
        <item x="92"/>
        <item x="19"/>
        <item x="106"/>
        <item x="53"/>
        <item x="89"/>
        <item x="146"/>
        <item x="142"/>
        <item x="64"/>
        <item x="63"/>
        <item x="11"/>
        <item x="17"/>
        <item x="111"/>
        <item x="225"/>
        <item x="51"/>
        <item x="124"/>
        <item x="229"/>
        <item x="9"/>
        <item x="149"/>
        <item x="94"/>
        <item x="97"/>
        <item x="91"/>
        <item x="188"/>
        <item x="220"/>
        <item x="140"/>
        <item x="117"/>
        <item x="85"/>
        <item x="156"/>
        <item x="189"/>
        <item x="210"/>
        <item x="122"/>
        <item x="6"/>
        <item x="154"/>
        <item x="88"/>
        <item x="57"/>
        <item x="44"/>
        <item x="36"/>
        <item x="151"/>
        <item x="43"/>
        <item x="118"/>
        <item x="107"/>
        <item x="163"/>
        <item x="130"/>
        <item x="33"/>
        <item x="102"/>
        <item x="134"/>
        <item x="180"/>
        <item x="131"/>
        <item x="7"/>
        <item x="231"/>
        <item x="181"/>
        <item x="170"/>
        <item x="126"/>
        <item x="109"/>
        <item x="50"/>
        <item x="232"/>
        <item x="226"/>
        <item x="95"/>
        <item x="235"/>
        <item x="148"/>
        <item x="173"/>
        <item x="250"/>
        <item x="70"/>
        <item x="26"/>
        <item x="61"/>
        <item x="38"/>
        <item x="253"/>
        <item x="236"/>
        <item x="208"/>
        <item x="123"/>
        <item x="67"/>
        <item x="37"/>
        <item x="114"/>
        <item x="161"/>
        <item x="80"/>
        <item x="143"/>
        <item x="108"/>
        <item x="198"/>
        <item x="74"/>
        <item x="133"/>
        <item x="240"/>
        <item x="228"/>
        <item x="183"/>
        <item x="104"/>
        <item x="202"/>
        <item x="137"/>
        <item x="24"/>
        <item x="218"/>
        <item x="201"/>
        <item x="76"/>
        <item x="58"/>
        <item x="178"/>
        <item x="105"/>
        <item x="82"/>
        <item x="216"/>
        <item x="185"/>
        <item x="177"/>
        <item x="112"/>
        <item x="217"/>
        <item x="40"/>
        <item x="69"/>
        <item x="30"/>
        <item x="186"/>
        <item x="155"/>
        <item x="121"/>
        <item x="59"/>
        <item x="182"/>
        <item x="174"/>
        <item x="200"/>
        <item x="193"/>
        <item x="90"/>
        <item x="199"/>
        <item x="215"/>
        <item x="247"/>
        <item x="159"/>
        <item x="195"/>
        <item x="27"/>
        <item x="230"/>
        <item x="138"/>
        <item x="150"/>
        <item x="219"/>
        <item x="47"/>
        <item x="196"/>
        <item x="167"/>
        <item x="252"/>
        <item x="93"/>
        <item x="96"/>
        <item x="132"/>
        <item x="45"/>
        <item x="84"/>
        <item x="249"/>
        <item x="248"/>
        <item x="113"/>
        <item x="162"/>
        <item x="223"/>
        <item x="176"/>
        <item x="115"/>
        <item x="239"/>
        <item x="242"/>
        <item x="238"/>
        <item x="21"/>
        <item x="110"/>
        <item x="65"/>
        <item x="100"/>
        <item x="251"/>
        <item x="62"/>
        <item x="68"/>
        <item x="75"/>
        <item x="227"/>
        <item x="139"/>
        <item x="48"/>
        <item x="169"/>
        <item x="136"/>
        <item x="241"/>
        <item x="10"/>
        <item x="39"/>
        <item x="98"/>
        <item x="129"/>
        <item x="42"/>
        <item x="203"/>
        <item x="3"/>
        <item x="147"/>
        <item x="28"/>
        <item x="13"/>
        <item x="209"/>
        <item x="222"/>
        <item x="14"/>
        <item x="32"/>
        <item x="46"/>
        <item x="25"/>
        <item x="81"/>
        <item x="73"/>
        <item x="29"/>
        <item x="31"/>
        <item x="192"/>
        <item x="127"/>
        <item x="34"/>
        <item x="103"/>
        <item x="56"/>
        <item x="86"/>
        <item x="187"/>
        <item x="55"/>
        <item x="191"/>
        <item x="20"/>
        <item x="205"/>
        <item x="99"/>
        <item x="179"/>
        <item x="190"/>
        <item x="212"/>
        <item x="233"/>
        <item x="2"/>
        <item x="49"/>
        <item x="54"/>
        <item x="101"/>
        <item x="171"/>
        <item x="206"/>
        <item x="214"/>
        <item x="197"/>
        <item x="119"/>
        <item x="12"/>
        <item x="221"/>
        <item x="0"/>
        <item t="default"/>
      </items>
    </pivotField>
    <pivotField showAll="0"/>
    <pivotField showAll="0"/>
    <pivotField showAll="0"/>
    <pivotField showAll="0"/>
    <pivotField axis="axisRow" showAll="0" sortType="descending">
      <items count="42">
        <item x="25"/>
        <item x="37"/>
        <item x="4"/>
        <item x="22"/>
        <item x="38"/>
        <item x="7"/>
        <item x="28"/>
        <item x="9"/>
        <item x="29"/>
        <item x="12"/>
        <item x="17"/>
        <item x="33"/>
        <item x="23"/>
        <item x="10"/>
        <item x="31"/>
        <item x="35"/>
        <item x="40"/>
        <item x="26"/>
        <item x="34"/>
        <item x="5"/>
        <item x="32"/>
        <item x="15"/>
        <item x="2"/>
        <item x="16"/>
        <item x="21"/>
        <item x="1"/>
        <item x="20"/>
        <item x="14"/>
        <item x="6"/>
        <item x="27"/>
        <item x="11"/>
        <item x="19"/>
        <item x="36"/>
        <item x="39"/>
        <item x="13"/>
        <item x="3"/>
        <item x="24"/>
        <item x="8"/>
        <item x="30"/>
        <item x="1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multipleItemSelectionAllowed="1" showAll="0">
      <items count="8">
        <item h="1" x="2"/>
        <item h="1" x="1"/>
        <item h="1" x="4"/>
        <item h="1" x="6"/>
        <item x="5"/>
        <item h="1" x="3"/>
        <item h="1" x="0"/>
        <item t="default"/>
      </items>
    </pivotField>
    <pivotField showAll="0"/>
    <pivotField showAll="0"/>
    <pivotField dataField="1" showAll="0"/>
    <pivotField dataField="1" showAll="0"/>
    <pivotField showAll="0"/>
    <pivotField showAll="0"/>
    <pivotField showAll="0"/>
    <pivotField showAll="0"/>
    <pivotField showAll="0"/>
    <pivotField axis="axisPage" multipleItemSelectionAllowed="1" showAll="0">
      <items count="14">
        <item x="0"/>
        <item x="12"/>
        <item x="11"/>
        <item x="10"/>
        <item x="9"/>
        <item x="8"/>
        <item x="7"/>
        <item x="6"/>
        <item x="5"/>
        <item x="4"/>
        <item x="3"/>
        <item x="2"/>
        <item x="1"/>
        <item t="default"/>
      </items>
    </pivotField>
  </pivotFields>
  <rowFields count="2">
    <field x="2"/>
    <field x="7"/>
  </rowFields>
  <rowItems count="275">
    <i>
      <x v="3"/>
    </i>
    <i r="1">
      <x v="1"/>
    </i>
    <i r="1">
      <x v="35"/>
    </i>
    <i>
      <x v="8"/>
    </i>
    <i r="1">
      <x v="19"/>
    </i>
    <i r="1">
      <x v="22"/>
    </i>
    <i r="1">
      <x v="25"/>
    </i>
    <i r="1">
      <x v="29"/>
    </i>
    <i r="1">
      <x v="35"/>
    </i>
    <i>
      <x v="9"/>
    </i>
    <i r="1">
      <x v="5"/>
    </i>
    <i>
      <x v="13"/>
    </i>
    <i r="1">
      <x v="25"/>
    </i>
    <i r="1">
      <x v="37"/>
    </i>
    <i r="1">
      <x v="22"/>
    </i>
    <i r="1">
      <x v="40"/>
    </i>
    <i>
      <x v="19"/>
    </i>
    <i r="1">
      <x v="22"/>
    </i>
    <i r="1">
      <x v="4"/>
    </i>
    <i r="1">
      <x v="5"/>
    </i>
    <i>
      <x v="20"/>
    </i>
    <i r="1">
      <x v="25"/>
    </i>
    <i>
      <x v="22"/>
    </i>
    <i r="1">
      <x v="39"/>
    </i>
    <i r="1">
      <x v="3"/>
    </i>
    <i r="1">
      <x v="7"/>
    </i>
    <i r="1">
      <x v="25"/>
    </i>
    <i r="1">
      <x v="1"/>
    </i>
    <i r="1">
      <x v="21"/>
    </i>
    <i r="1">
      <x v="40"/>
    </i>
    <i r="1">
      <x v="19"/>
    </i>
    <i r="1">
      <x v="8"/>
    </i>
    <i r="1">
      <x v="22"/>
    </i>
    <i r="1">
      <x v="24"/>
    </i>
    <i r="1">
      <x v="5"/>
    </i>
    <i r="1">
      <x v="13"/>
    </i>
    <i r="1">
      <x v="2"/>
    </i>
    <i>
      <x v="25"/>
    </i>
    <i r="1">
      <x v="36"/>
    </i>
    <i>
      <x v="27"/>
    </i>
    <i r="1">
      <x v="40"/>
    </i>
    <i>
      <x v="29"/>
    </i>
    <i r="1">
      <x v="3"/>
    </i>
    <i r="1">
      <x v="25"/>
    </i>
    <i>
      <x v="30"/>
    </i>
    <i r="1">
      <x v="8"/>
    </i>
    <i r="1">
      <x v="3"/>
    </i>
    <i>
      <x v="35"/>
    </i>
    <i r="1">
      <x v="13"/>
    </i>
    <i r="1">
      <x v="19"/>
    </i>
    <i>
      <x v="37"/>
    </i>
    <i r="1">
      <x v="2"/>
    </i>
    <i r="1">
      <x v="25"/>
    </i>
    <i r="1">
      <x v="40"/>
    </i>
    <i>
      <x v="42"/>
    </i>
    <i r="1">
      <x v="19"/>
    </i>
    <i r="1">
      <x v="22"/>
    </i>
    <i r="1">
      <x v="25"/>
    </i>
    <i>
      <x v="43"/>
    </i>
    <i r="1">
      <x v="19"/>
    </i>
    <i r="1">
      <x v="22"/>
    </i>
    <i r="1">
      <x v="24"/>
    </i>
    <i r="1">
      <x v="40"/>
    </i>
    <i r="1">
      <x v="25"/>
    </i>
    <i r="1">
      <x v="35"/>
    </i>
    <i>
      <x v="44"/>
    </i>
    <i r="1">
      <x v="25"/>
    </i>
    <i r="1">
      <x v="7"/>
    </i>
    <i r="1">
      <x v="2"/>
    </i>
    <i r="1">
      <x v="22"/>
    </i>
    <i r="1">
      <x v="36"/>
    </i>
    <i r="1">
      <x v="13"/>
    </i>
    <i r="1">
      <x v="27"/>
    </i>
    <i r="1">
      <x v="19"/>
    </i>
    <i r="1">
      <x v="20"/>
    </i>
    <i r="1">
      <x v="14"/>
    </i>
    <i r="1">
      <x v="35"/>
    </i>
    <i r="1">
      <x v="5"/>
    </i>
    <i r="1">
      <x v="3"/>
    </i>
    <i r="1">
      <x v="30"/>
    </i>
    <i r="1">
      <x v="40"/>
    </i>
    <i r="1">
      <x v="21"/>
    </i>
    <i>
      <x v="46"/>
    </i>
    <i r="1">
      <x v="22"/>
    </i>
    <i>
      <x v="48"/>
    </i>
    <i r="1">
      <x v="22"/>
    </i>
    <i r="1">
      <x v="6"/>
    </i>
    <i>
      <x v="49"/>
    </i>
    <i r="1">
      <x v="8"/>
    </i>
    <i>
      <x v="50"/>
    </i>
    <i r="1">
      <x v="22"/>
    </i>
    <i>
      <x v="51"/>
    </i>
    <i r="1">
      <x v="22"/>
    </i>
    <i r="1">
      <x v="13"/>
    </i>
    <i>
      <x v="53"/>
    </i>
    <i r="1">
      <x v="25"/>
    </i>
    <i r="1">
      <x v="2"/>
    </i>
    <i r="1">
      <x v="35"/>
    </i>
    <i>
      <x v="55"/>
    </i>
    <i r="1">
      <x v="19"/>
    </i>
    <i r="1">
      <x v="25"/>
    </i>
    <i r="1">
      <x v="30"/>
    </i>
    <i r="1">
      <x v="35"/>
    </i>
    <i r="1">
      <x v="40"/>
    </i>
    <i>
      <x v="57"/>
    </i>
    <i r="1">
      <x v="13"/>
    </i>
    <i>
      <x v="58"/>
    </i>
    <i r="1">
      <x v="30"/>
    </i>
    <i>
      <x v="61"/>
    </i>
    <i r="1">
      <x v="22"/>
    </i>
    <i>
      <x v="63"/>
    </i>
    <i r="1">
      <x v="25"/>
    </i>
    <i r="1">
      <x v="40"/>
    </i>
    <i>
      <x v="64"/>
    </i>
    <i r="1">
      <x v="2"/>
    </i>
    <i>
      <x v="67"/>
    </i>
    <i r="1">
      <x v="25"/>
    </i>
    <i r="1">
      <x v="2"/>
    </i>
    <i r="1">
      <x v="30"/>
    </i>
    <i r="1">
      <x v="21"/>
    </i>
    <i r="1">
      <x v="13"/>
    </i>
    <i r="1">
      <x v="19"/>
    </i>
    <i r="1">
      <x v="22"/>
    </i>
    <i r="1">
      <x v="40"/>
    </i>
    <i>
      <x v="70"/>
    </i>
    <i r="1">
      <x v="25"/>
    </i>
    <i>
      <x v="71"/>
    </i>
    <i r="1">
      <x v="40"/>
    </i>
    <i>
      <x v="76"/>
    </i>
    <i r="1">
      <x v="22"/>
    </i>
    <i>
      <x v="78"/>
    </i>
    <i r="1">
      <x v="22"/>
    </i>
    <i r="1">
      <x v="40"/>
    </i>
    <i r="1">
      <x v="16"/>
    </i>
    <i>
      <x v="88"/>
    </i>
    <i r="1">
      <x v="25"/>
    </i>
    <i r="1">
      <x v="7"/>
    </i>
    <i>
      <x v="90"/>
    </i>
    <i r="1">
      <x v="3"/>
    </i>
    <i>
      <x v="91"/>
    </i>
    <i r="1">
      <x v="19"/>
    </i>
    <i r="1">
      <x v="13"/>
    </i>
    <i>
      <x v="102"/>
    </i>
    <i r="1">
      <x v="5"/>
    </i>
    <i r="1">
      <x v="22"/>
    </i>
    <i>
      <x v="106"/>
    </i>
    <i r="1">
      <x v="25"/>
    </i>
    <i>
      <x v="114"/>
    </i>
    <i r="1">
      <x v="25"/>
    </i>
    <i>
      <x v="116"/>
    </i>
    <i r="1">
      <x v="25"/>
    </i>
    <i>
      <x v="121"/>
    </i>
    <i r="1">
      <x v="22"/>
    </i>
    <i>
      <x v="122"/>
    </i>
    <i r="1">
      <x v="2"/>
    </i>
    <i>
      <x v="124"/>
    </i>
    <i r="1">
      <x v="25"/>
    </i>
    <i r="1">
      <x v="5"/>
    </i>
    <i>
      <x v="125"/>
    </i>
    <i r="1">
      <x v="25"/>
    </i>
    <i>
      <x v="131"/>
    </i>
    <i r="1">
      <x v="35"/>
    </i>
    <i>
      <x v="133"/>
    </i>
    <i r="1">
      <x v="21"/>
    </i>
    <i>
      <x v="134"/>
    </i>
    <i r="1">
      <x v="5"/>
    </i>
    <i>
      <x v="138"/>
    </i>
    <i r="1">
      <x v="25"/>
    </i>
    <i r="1">
      <x v="13"/>
    </i>
    <i>
      <x v="142"/>
    </i>
    <i r="1">
      <x v="29"/>
    </i>
    <i r="1">
      <x v="22"/>
    </i>
    <i r="1">
      <x v="40"/>
    </i>
    <i r="1">
      <x v="19"/>
    </i>
    <i>
      <x v="145"/>
    </i>
    <i r="1">
      <x v="2"/>
    </i>
    <i r="1">
      <x v="25"/>
    </i>
    <i r="1">
      <x v="40"/>
    </i>
    <i r="1">
      <x v="13"/>
    </i>
    <i>
      <x v="147"/>
    </i>
    <i r="1">
      <x v="30"/>
    </i>
    <i>
      <x v="169"/>
    </i>
    <i r="1">
      <x v="34"/>
    </i>
    <i>
      <x v="171"/>
    </i>
    <i r="1">
      <x v="25"/>
    </i>
    <i>
      <x v="173"/>
    </i>
    <i r="1">
      <x v="5"/>
    </i>
    <i>
      <x v="175"/>
    </i>
    <i r="1">
      <x v="29"/>
    </i>
    <i>
      <x v="176"/>
    </i>
    <i r="1">
      <x v="22"/>
    </i>
    <i r="1">
      <x v="25"/>
    </i>
    <i>
      <x v="181"/>
    </i>
    <i r="1">
      <x v="19"/>
    </i>
    <i r="1">
      <x v="40"/>
    </i>
    <i r="1">
      <x v="10"/>
    </i>
    <i r="1">
      <x v="22"/>
    </i>
    <i>
      <x v="187"/>
    </i>
    <i r="1">
      <x v="13"/>
    </i>
    <i>
      <x v="189"/>
    </i>
    <i r="1">
      <x v="13"/>
    </i>
    <i r="1">
      <x v="2"/>
    </i>
    <i>
      <x v="190"/>
    </i>
    <i r="1">
      <x v="3"/>
    </i>
    <i>
      <x v="191"/>
    </i>
    <i r="1">
      <x v="40"/>
    </i>
    <i>
      <x v="192"/>
    </i>
    <i r="1">
      <x v="25"/>
    </i>
    <i>
      <x v="193"/>
    </i>
    <i r="1">
      <x v="22"/>
    </i>
    <i r="1">
      <x v="25"/>
    </i>
    <i r="1">
      <x v="29"/>
    </i>
    <i r="1">
      <x v="19"/>
    </i>
    <i>
      <x v="196"/>
    </i>
    <i r="1">
      <x v="25"/>
    </i>
    <i r="1">
      <x v="30"/>
    </i>
    <i>
      <x v="202"/>
    </i>
    <i r="1">
      <x v="25"/>
    </i>
    <i>
      <x v="208"/>
    </i>
    <i r="1">
      <x v="22"/>
    </i>
    <i r="1">
      <x v="13"/>
    </i>
    <i r="1">
      <x v="35"/>
    </i>
    <i>
      <x v="216"/>
    </i>
    <i r="1">
      <x v="25"/>
    </i>
    <i r="1">
      <x v="19"/>
    </i>
    <i r="1">
      <x v="30"/>
    </i>
    <i r="1">
      <x v="21"/>
    </i>
    <i r="1">
      <x v="27"/>
    </i>
    <i>
      <x v="219"/>
    </i>
    <i r="1">
      <x v="25"/>
    </i>
    <i r="1">
      <x v="22"/>
    </i>
    <i r="1">
      <x v="13"/>
    </i>
    <i r="1">
      <x v="40"/>
    </i>
    <i r="1">
      <x/>
    </i>
    <i r="1">
      <x v="7"/>
    </i>
    <i>
      <x v="220"/>
    </i>
    <i r="1">
      <x v="2"/>
    </i>
    <i r="1">
      <x v="19"/>
    </i>
    <i r="1">
      <x v="25"/>
    </i>
    <i>
      <x v="222"/>
    </i>
    <i r="1">
      <x v="13"/>
    </i>
    <i r="1">
      <x v="22"/>
    </i>
    <i>
      <x v="224"/>
    </i>
    <i r="1">
      <x v="6"/>
    </i>
    <i>
      <x v="225"/>
    </i>
    <i r="1">
      <x v="25"/>
    </i>
    <i r="1">
      <x v="19"/>
    </i>
    <i r="1">
      <x v="30"/>
    </i>
    <i r="1">
      <x v="22"/>
    </i>
    <i r="1">
      <x v="35"/>
    </i>
    <i>
      <x v="227"/>
    </i>
    <i r="1">
      <x v="25"/>
    </i>
    <i>
      <x v="231"/>
    </i>
    <i r="1">
      <x v="2"/>
    </i>
    <i r="1">
      <x v="35"/>
    </i>
    <i>
      <x v="234"/>
    </i>
    <i r="1">
      <x v="22"/>
    </i>
    <i r="1">
      <x v="19"/>
    </i>
    <i>
      <x v="240"/>
    </i>
    <i r="1">
      <x v="13"/>
    </i>
    <i>
      <x v="241"/>
    </i>
    <i r="1">
      <x v="10"/>
    </i>
    <i>
      <x v="243"/>
    </i>
    <i r="1">
      <x v="28"/>
    </i>
    <i r="1">
      <x v="13"/>
    </i>
    <i>
      <x v="245"/>
    </i>
    <i r="1">
      <x v="30"/>
    </i>
    <i>
      <x v="252"/>
    </i>
    <i r="1">
      <x v="19"/>
    </i>
    <i r="1">
      <x v="22"/>
    </i>
    <i>
      <x v="253"/>
    </i>
    <i r="1">
      <x v="22"/>
    </i>
    <i>
      <x v="254"/>
    </i>
    <i r="1">
      <x v="3"/>
    </i>
    <i t="grand">
      <x/>
    </i>
  </rowItems>
  <colFields count="1">
    <field x="-2"/>
  </colFields>
  <colItems count="2">
    <i>
      <x/>
    </i>
    <i i="1">
      <x v="1"/>
    </i>
  </colItems>
  <pageFields count="2">
    <pageField fld="24" hier="-1"/>
    <pageField fld="14" hier="-1"/>
  </pageFields>
  <dataFields count="2">
    <dataField name="Suma de Monto (M$)" fld="18" baseField="2" baseItem="0"/>
    <dataField name="Suma de Horas Lic (hh) " fld="17" baseField="7" baseItem="4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2200D-9A4B-44EC-A779-2AAE3B80FCE2}" name="TablaDinámica1" cacheId="370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20"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441cd668458f36b8ed10eb9b3978e682&amp;qlt=95" TargetMode="External"/><Relationship Id="rId18" Type="http://schemas.openxmlformats.org/officeDocument/2006/relationships/hyperlink" Target="https://www.bing.com/images/search?form=xlimg&amp;q=Bolivia" TargetMode="External"/><Relationship Id="rId26" Type="http://schemas.openxmlformats.org/officeDocument/2006/relationships/hyperlink" Target="https://www.bing.com/images/search?form=xlimg&amp;q=Rep%c3%bablica%20Popular%20China" TargetMode="External"/><Relationship Id="rId3" Type="http://schemas.openxmlformats.org/officeDocument/2006/relationships/hyperlink" Target="https://www.bing.com/th?id=OSK.acaf7231494e5a4a8ee318314814273b&amp;qlt=95" TargetMode="External"/><Relationship Id="rId21" Type="http://schemas.openxmlformats.org/officeDocument/2006/relationships/hyperlink" Target="https://www.bing.com/th?id=OSK.3f927e75427ebafe7094da2e742615b4&amp;qlt=95" TargetMode="External"/><Relationship Id="rId34" Type="http://schemas.openxmlformats.org/officeDocument/2006/relationships/hyperlink" Target="https://www.bing.com/images/search?form=xlimg&amp;q=Rep%c3%bablica%20del%20Congo" TargetMode="External"/><Relationship Id="rId7" Type="http://schemas.openxmlformats.org/officeDocument/2006/relationships/hyperlink" Target="https://www.bing.com/th?id=OSK.tQXULeX9mJL9tZYUR4uoQsIzqVt9sqINCaOnrhxMOXc&amp;qlt=95" TargetMode="External"/><Relationship Id="rId12" Type="http://schemas.openxmlformats.org/officeDocument/2006/relationships/hyperlink" Target="https://www.bing.com/images/search?form=xlimg&amp;q=Uzbekist%c3%a1n" TargetMode="External"/><Relationship Id="rId17" Type="http://schemas.openxmlformats.org/officeDocument/2006/relationships/hyperlink" Target="https://www.bing.com/th?id=OSK.S1ikZHHhYUh6yxMMYyF3FkIyGGI9hFCjvqZ8D8nDWu8&amp;qlt=95" TargetMode="External"/><Relationship Id="rId25" Type="http://schemas.openxmlformats.org/officeDocument/2006/relationships/hyperlink" Target="https://www.bing.com/th?id=OSK.1b283907c23714ac8244f20ea63f79e3&amp;qlt=95" TargetMode="External"/><Relationship Id="rId33" Type="http://schemas.openxmlformats.org/officeDocument/2006/relationships/hyperlink" Target="https://www.bing.com/th?id=OSK.puiO8ff2GHD_6hAXzm9RkDWOulnD91CaFpYUlYAE1jo&amp;qlt=95" TargetMode="External"/><Relationship Id="rId2" Type="http://schemas.openxmlformats.org/officeDocument/2006/relationships/hyperlink" Target="https://www.bing.com/images/search?form=xlimg&amp;q=Chile" TargetMode="External"/><Relationship Id="rId16" Type="http://schemas.openxmlformats.org/officeDocument/2006/relationships/hyperlink" Target="https://www.bing.com/images/search?form=xlimg&amp;q=Nicaragua" TargetMode="External"/><Relationship Id="rId20" Type="http://schemas.openxmlformats.org/officeDocument/2006/relationships/hyperlink" Target="https://www.bing.com/images/search?form=xlimg&amp;q=National%20Digital%20Archives" TargetMode="External"/><Relationship Id="rId29" Type="http://schemas.openxmlformats.org/officeDocument/2006/relationships/hyperlink" Target="https://www.bing.com/th?id=OSK.9db88443a5b029b282a055a505bca666&amp;qlt=95" TargetMode="External"/><Relationship Id="rId1" Type="http://schemas.openxmlformats.org/officeDocument/2006/relationships/hyperlink" Target="https://www.bing.com/th?id=OSK.f08a1f4814f6d59744e74f3bc6582c1c&amp;qlt=95" TargetMode="External"/><Relationship Id="rId6" Type="http://schemas.openxmlformats.org/officeDocument/2006/relationships/hyperlink" Target="https://www.bing.com/images/search?form=xlimg&amp;q=Argentina" TargetMode="External"/><Relationship Id="rId11" Type="http://schemas.openxmlformats.org/officeDocument/2006/relationships/hyperlink" Target="https://www.bing.com/th?id=OSK.fb0bedbdae5ccba814a14303ed6b790d&amp;qlt=95" TargetMode="External"/><Relationship Id="rId24" Type="http://schemas.openxmlformats.org/officeDocument/2006/relationships/hyperlink" Target="https://www.bing.com/images/search?form=xlimg&amp;q=M%c3%a9xico" TargetMode="External"/><Relationship Id="rId32" Type="http://schemas.openxmlformats.org/officeDocument/2006/relationships/hyperlink" Target="https://www.bing.com/images/search?form=xlimg&amp;q=Angola" TargetMode="External"/><Relationship Id="rId5" Type="http://schemas.openxmlformats.org/officeDocument/2006/relationships/hyperlink" Target="https://www.bing.com/th?id=OSK.4b80ee00960e1c0332a283d24ed7db5f&amp;qlt=95" TargetMode="External"/><Relationship Id="rId15" Type="http://schemas.openxmlformats.org/officeDocument/2006/relationships/hyperlink" Target="https://www.bing.com/th?id=OSK.f22f202e5b50e42cedf41e4454803790&amp;qlt=95" TargetMode="External"/><Relationship Id="rId23" Type="http://schemas.openxmlformats.org/officeDocument/2006/relationships/hyperlink" Target="https://www.bing.com/th?id=OSK.6ba6437e7148e449313280dfcf6b25b6&amp;qlt=95" TargetMode="External"/><Relationship Id="rId28" Type="http://schemas.openxmlformats.org/officeDocument/2006/relationships/hyperlink" Target="https://www.bing.com/images/search?form=xlimg&amp;q=Canad%c3%a1" TargetMode="External"/><Relationship Id="rId36" Type="http://schemas.openxmlformats.org/officeDocument/2006/relationships/hyperlink" Target="https://www.bing.com/images/search?form=xlimg&amp;q=Alaska" TargetMode="External"/><Relationship Id="rId10" Type="http://schemas.openxmlformats.org/officeDocument/2006/relationships/hyperlink" Target="https://www.bing.com/images/search?form=xlimg&amp;q=Australia" TargetMode="External"/><Relationship Id="rId19" Type="http://schemas.openxmlformats.org/officeDocument/2006/relationships/hyperlink" Target="https://www.bing.com/th?id=OSK.Z4LjAxrNfqld-mr9omoGXOBf71Sh658OoXF1B3o4HUw&amp;qlt=95" TargetMode="External"/><Relationship Id="rId31" Type="http://schemas.openxmlformats.org/officeDocument/2006/relationships/hyperlink" Target="https://www.bing.com/th?id=OSK.ab95910a635477d7f259107727ae230a&amp;qlt=95" TargetMode="External"/><Relationship Id="rId4" Type="http://schemas.openxmlformats.org/officeDocument/2006/relationships/hyperlink" Target="https://www.bing.com/images/search?form=xlimg&amp;q=Brasil" TargetMode="External"/><Relationship Id="rId9" Type="http://schemas.openxmlformats.org/officeDocument/2006/relationships/hyperlink" Target="https://www.bing.com/th?id=OSK.c92b376e30bf611bbfdd041dfd3e159c&amp;qlt=95" TargetMode="External"/><Relationship Id="rId14" Type="http://schemas.openxmlformats.org/officeDocument/2006/relationships/hyperlink" Target="https://www.bing.com/images/search?form=xlimg&amp;q=Ecuador" TargetMode="External"/><Relationship Id="rId22" Type="http://schemas.openxmlformats.org/officeDocument/2006/relationships/hyperlink" Target="https://www.bing.com/images/search?form=xlimg&amp;q=Guatemala" TargetMode="External"/><Relationship Id="rId27" Type="http://schemas.openxmlformats.org/officeDocument/2006/relationships/hyperlink" Target="https://www.bing.com/th?id=OSK.67727dfde4ce2049f05818da942038b7&amp;qlt=95" TargetMode="External"/><Relationship Id="rId30" Type="http://schemas.openxmlformats.org/officeDocument/2006/relationships/hyperlink" Target="https://www.bing.com/images/search?form=xlimg&amp;q=Rep%c3%bablica%20Democr%c3%a1tica%20del%20Congo" TargetMode="External"/><Relationship Id="rId35" Type="http://schemas.openxmlformats.org/officeDocument/2006/relationships/hyperlink" Target="https://www.bing.com/th?id=OSK.663cb9756b46527e5e0a509fad1ba30d&amp;qlt=95" TargetMode="External"/><Relationship Id="rId8" Type="http://schemas.openxmlformats.org/officeDocument/2006/relationships/hyperlink" Target="https://www.bing.com/images/search?form=xlimg&amp;q=Per%c3%b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Srd>
</file>

<file path=xl/richData/rdarray.xml><?xml version="1.0" encoding="utf-8"?>
<arrayData xmlns="http://schemas.microsoft.com/office/spreadsheetml/2017/richdata2" count="56">
  <a r="1">
    <v t="s">Idioma español</v>
  </a>
  <a r="1">
    <v t="r">17</v>
  </a>
  <a r="15">
    <v t="r">37</v>
    <v t="r">38</v>
    <v t="r">39</v>
    <v t="r">40</v>
    <v t="r">41</v>
    <v t="r">42</v>
    <v t="r">43</v>
    <v t="r">44</v>
    <v t="r">45</v>
    <v t="r">46</v>
    <v t="r">47</v>
    <v t="r">48</v>
    <v t="r">49</v>
    <v t="r">50</v>
    <v t="r">51</v>
  </a>
  <a r="1">
    <v t="s">Idioma portugués</v>
  </a>
  <a r="2">
    <v t="r">78</v>
    <v t="r">79</v>
  </a>
  <a r="27">
    <v t="r">99</v>
    <v t="r">100</v>
    <v t="r">101</v>
    <v t="r">102</v>
    <v t="r">103</v>
    <v t="r">104</v>
    <v t="r">105</v>
    <v t="r">106</v>
    <v t="r">107</v>
    <v t="r">108</v>
    <v t="r">109</v>
    <v t="r">110</v>
    <v t="r">111</v>
    <v t="r">112</v>
    <v t="r">113</v>
    <v t="r">114</v>
    <v t="r">115</v>
    <v t="r">116</v>
    <v t="r">117</v>
    <v t="r">118</v>
    <v t="r">119</v>
    <v t="r">120</v>
    <v t="r">121</v>
    <v t="r">122</v>
    <v t="r">123</v>
    <v t="r">124</v>
    <v t="r">125</v>
  </a>
  <a r="3">
    <v t="s">Fernando de Noronha Time Zone</v>
    <v t="s">Brasília Time Zone</v>
    <v t="s">Amazon Time Zone</v>
  </a>
  <a r="1">
    <v t="s">Español rioplatense</v>
  </a>
  <a r="2">
    <v t="r">152</v>
    <v t="r">153</v>
  </a>
  <a r="23">
    <v t="r">173</v>
    <v t="r">174</v>
    <v t="r">175</v>
    <v t="r">176</v>
    <v t="r">177</v>
    <v t="r">178</v>
    <v t="r">179</v>
    <v t="r">180</v>
    <v t="r">181</v>
    <v t="r">182</v>
    <v t="r">183</v>
    <v t="r">184</v>
    <v t="r">185</v>
    <v t="r">186</v>
    <v t="r">187</v>
    <v t="r">188</v>
    <v t="r">189</v>
    <v t="r">190</v>
    <v t="r">191</v>
    <v t="r">192</v>
    <v t="r">193</v>
    <v t="r">194</v>
    <v t="r">195</v>
  </a>
  <a r="1">
    <v t="s">Hora oficial argentina</v>
  </a>
  <a r="2">
    <v t="r">221</v>
    <v t="r">222</v>
  </a>
  <a r="24">
    <v t="r">240</v>
    <v t="r">241</v>
    <v t="r">242</v>
    <v t="r">243</v>
    <v t="r">244</v>
    <v t="r">245</v>
    <v t="r">246</v>
    <v t="r">247</v>
    <v t="r">248</v>
    <v t="r">249</v>
    <v t="r">250</v>
    <v t="r">251</v>
    <v t="r">252</v>
    <v t="r">253</v>
    <v t="r">254</v>
    <v t="r">255</v>
    <v t="r">256</v>
    <v t="r">257</v>
    <v t="r">258</v>
    <v t="r">259</v>
    <v t="r">260</v>
    <v t="r">261</v>
    <v t="r">262</v>
    <v t="r">263</v>
  </a>
  <a r="1">
    <v t="s">Huso horario del Perú</v>
  </a>
  <a r="1">
    <v t="s">Inglés australiano</v>
  </a>
  <a r="2">
    <v t="r">291</v>
    <v t="r">292</v>
  </a>
  <a r="15">
    <v t="r">312</v>
    <v t="r">313</v>
    <v t="r">314</v>
    <v t="r">315</v>
    <v t="r">316</v>
    <v t="r">317</v>
    <v t="r">318</v>
    <v t="r">319</v>
    <v t="r">320</v>
    <v t="r">321</v>
    <v t="r">322</v>
    <v t="r">323</v>
    <v t="r">324</v>
    <v t="r">325</v>
    <v t="r">326</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s">Idioma uzbeko</v>
  </a>
  <a r="2">
    <v t="r">350</v>
    <v t="r">351</v>
  </a>
  <a r="14">
    <v t="r">339</v>
    <v t="r">368</v>
    <v t="r">369</v>
    <v t="r">370</v>
    <v t="r">371</v>
    <v t="r">372</v>
    <v t="r">373</v>
    <v t="r">374</v>
    <v t="r">375</v>
    <v t="r">376</v>
    <v t="r">377</v>
    <v t="r">378</v>
    <v t="r">379</v>
    <v t="r">380</v>
  </a>
  <a r="2">
    <v t="r">405</v>
    <v t="r">406</v>
  </a>
  <a r="24">
    <v t="r">426</v>
    <v t="r">427</v>
    <v t="r">428</v>
    <v t="r">429</v>
    <v t="r">430</v>
    <v t="r">431</v>
    <v t="r">432</v>
    <v t="r">433</v>
    <v t="r">434</v>
    <v t="r">435</v>
    <v t="r">436</v>
    <v t="r">437</v>
    <v t="r">438</v>
    <v t="r">439</v>
    <v t="r">440</v>
    <v t="r">441</v>
    <v t="r">442</v>
    <v t="r">443</v>
    <v t="r">444</v>
    <v t="r">445</v>
    <v t="r">446</v>
    <v t="r">447</v>
    <v t="r">448</v>
    <v t="r">449</v>
  </a>
  <a r="1">
    <v t="s">Español nicaragüense</v>
  </a>
  <a r="2">
    <v t="r">473</v>
    <v t="r">474</v>
  </a>
  <a r="17">
    <v t="r">493</v>
    <v t="r">494</v>
    <v t="r">495</v>
    <v t="r">496</v>
    <v t="r">497</v>
    <v t="r">498</v>
    <v t="r">499</v>
    <v t="r">500</v>
    <v t="r">501</v>
    <v t="r">502</v>
    <v t="r">503</v>
    <v t="r">504</v>
    <v t="r">505</v>
    <v t="r">506</v>
    <v t="r">507</v>
    <v t="r">508</v>
    <v t="r">509</v>
  </a>
  <a r="5">
    <v t="s">Idioma aimara</v>
    <v t="s">Lenguas de Bolivia</v>
    <v t="s">Idioma guaraní</v>
    <v t="s">Lenguas quechuas</v>
    <v t="s">Español boliviano</v>
  </a>
  <a r="2">
    <v t="r">535</v>
    <v t="r">536</v>
  </a>
  <a r="9">
    <v t="r">554</v>
    <v t="r">555</v>
    <v t="r">556</v>
    <v t="r">557</v>
    <v t="r">558</v>
    <v t="r">559</v>
    <v t="r">560</v>
    <v t="r">561</v>
    <v t="r">562</v>
  </a>
  <a r="1">
    <v t="s">Español guatemalteco</v>
  </a>
  <a r="2">
    <v t="r">596</v>
    <v t="r">597</v>
  </a>
  <a r="22">
    <v t="r">617</v>
    <v t="r">618</v>
    <v t="r">619</v>
    <v t="r">620</v>
    <v t="r">621</v>
    <v t="r">622</v>
    <v t="r">623</v>
    <v t="r">624</v>
    <v t="r">625</v>
    <v t="r">626</v>
    <v t="r">627</v>
    <v t="r">628</v>
    <v t="r">629</v>
    <v t="r">630</v>
    <v t="r">631</v>
    <v t="r">632</v>
    <v t="r">633</v>
    <v t="r">634</v>
    <v t="r">635</v>
    <v t="r">636</v>
    <v t="r">637</v>
    <v t="r">638</v>
  </a>
  <a r="1">
    <v t="s">Español mexicano</v>
  </a>
  <a r="2">
    <v t="r">664</v>
    <v t="r">665</v>
  </a>
  <a r="32">
    <v t="r">651</v>
    <v t="r">683</v>
    <v t="r">684</v>
    <v t="r">685</v>
    <v t="r">686</v>
    <v t="r">687</v>
    <v t="r">688</v>
    <v t="r">689</v>
    <v t="r">690</v>
    <v t="r">691</v>
    <v t="r">692</v>
    <v t="r">693</v>
    <v t="r">694</v>
    <v t="r">695</v>
    <v t="r">696</v>
    <v t="r">697</v>
    <v t="r">698</v>
    <v t="r">699</v>
    <v t="r">700</v>
    <v t="r">701</v>
    <v t="r">702</v>
    <v t="r">703</v>
    <v t="r">704</v>
    <v t="r">705</v>
    <v t="r">706</v>
    <v t="r">707</v>
    <v t="r">708</v>
    <v t="r">709</v>
    <v t="r">710</v>
    <v t="r">711</v>
    <v t="r">712</v>
    <v t="r">713</v>
  </a>
  <a r="4">
    <v t="s">Hora estándar del centro</v>
    <v t="s">Tiempo de la montaña</v>
    <v t="s">Tiempo del Pacífico</v>
    <v t="s">Horario del este de América del Norte</v>
  </a>
  <a r="1">
    <v t="s">Mandarín estándar</v>
  </a>
  <a r="4">
    <v t="r">741</v>
    <v t="r">742</v>
    <v t="r">743</v>
    <v t="r">744</v>
  </a>
  <a r="33">
    <v t="r">727</v>
    <v t="r">762</v>
    <v t="r">763</v>
    <v t="r">764</v>
    <v t="r">765</v>
    <v t="r">766</v>
    <v t="r">767</v>
    <v t="r">768</v>
    <v t="r">729</v>
    <v t="r">769</v>
    <v t="r">770</v>
    <v t="r">771</v>
    <v t="r">772</v>
    <v t="r">773</v>
    <v t="r">774</v>
    <v t="r">775</v>
    <v t="r">776</v>
    <v t="r">777</v>
    <v t="r">778</v>
    <v t="r">779</v>
    <v t="r">780</v>
    <v t="r">781</v>
    <v t="r">782</v>
    <v t="r">783</v>
    <v t="r">784</v>
    <v t="r">785</v>
    <v t="r">786</v>
    <v t="r">787</v>
    <v t="r">788</v>
    <v t="r">789</v>
    <v t="r">790</v>
    <v t="r">791</v>
    <v t="r">792</v>
  </a>
  <a r="1">
    <v t="s">Huso horario de China</v>
  </a>
  <a r="2">
    <v t="s">Francés canadiense</v>
    <v t="s">Inglés canadiense</v>
  </a>
  <a r="2">
    <v t="r">820</v>
    <v t="r">821</v>
  </a>
  <a r="13">
    <v t="r">841</v>
    <v t="r">842</v>
    <v t="r">843</v>
    <v t="r">844</v>
    <v t="r">845</v>
    <v t="r">846</v>
    <v t="r">847</v>
    <v t="r">848</v>
    <v t="r">849</v>
    <v t="r">850</v>
    <v t="r">851</v>
    <v t="r">852</v>
    <v t="r">853</v>
  </a>
  <a r="6">
    <v t="s">Newfoundland Time Zone</v>
    <v t="s">Tiempo del Atlántico</v>
    <v t="s">Hora estándar del centro</v>
    <v t="s">Tiempo de la montaña</v>
    <v t="s">Tiempo del Pacífico</v>
    <v t="s">Horario del este de América del Norte</v>
  </a>
  <a r="1">
    <v t="s">Francés de Bélgica</v>
  </a>
  <a r="2">
    <v t="r">879</v>
    <v t="r">880</v>
  </a>
  <a r="8">
    <v t="r">900</v>
    <v t="r">901</v>
    <v t="r">902</v>
    <v t="r">903</v>
    <v t="r">867</v>
    <v t="r">904</v>
    <v t="r">905</v>
    <v t="r">906</v>
  </a>
  <a r="1">
    <v t="s">Portugués angoleño</v>
  </a>
  <a r="2">
    <v t="r">931</v>
    <v t="r">932</v>
  </a>
  <a r="18">
    <v t="r">951</v>
    <v t="r">952</v>
    <v t="r">953</v>
    <v t="r">954</v>
    <v t="r">955</v>
    <v t="r">956</v>
    <v t="r">957</v>
    <v t="r">958</v>
    <v t="r">959</v>
    <v t="r">960</v>
    <v t="r">961</v>
    <v t="r">962</v>
    <v t="r">963</v>
    <v t="r">964</v>
    <v t="r">965</v>
    <v t="r">966</v>
    <v t="r">967</v>
    <v t="r">968</v>
  </a>
  <a r="1">
    <v t="s">African French</v>
  </a>
  <a r="2">
    <v t="r">993</v>
    <v t="r">994</v>
  </a>
  <a r="12">
    <v t="r">1011</v>
    <v t="r">981</v>
    <v t="r">1012</v>
    <v t="r">1013</v>
    <v t="r">1014</v>
    <v t="r">1015</v>
    <v t="r">1016</v>
    <v t="r">1017</v>
    <v t="r">1018</v>
    <v t="r">1019</v>
    <v t="r">1020</v>
    <v t="r">1021</v>
  </a>
  <a r="17">
    <v t="s">Idioma dena'ina</v>
    <v t="s">Idioma iñupiaq</v>
    <v t="s">Idioma tanacross</v>
    <v t="s">Idioma koyukón</v>
    <v t="s">Tsimshian</v>
    <v t="s">Idioma aleutiano</v>
    <v t="s">Idioma dinak'i</v>
    <v t="s">Idioma eyak</v>
    <v t="s">Idioma haida</v>
    <v t="s">Idioma inglés</v>
    <v t="s">Idioma tlingit</v>
    <v t="s">Idioma hän</v>
    <v t="s">Idioma alutiiq</v>
    <v t="s">Idioma gwichʼin</v>
    <v t="s">Idioma ahtna</v>
    <v t="s">Idioma holikachuk</v>
    <v t="s">Idioma deg xinag</v>
  </a>
  <a r="4">
    <v t="r">1038</v>
    <v t="r">1039</v>
    <v t="r">1040</v>
    <v t="r">1041</v>
  </a>
  <a r="1">
    <v t="s">Tiempo de Hawái-Aleutiano</v>
  </a>
</arrayData>
</file>

<file path=xl/richData/rdrichvalue.xml><?xml version="1.0" encoding="utf-8"?>
<rvData xmlns="http://schemas.microsoft.com/office/spreadsheetml/2017/richdata" count="1064">
  <rv s="0">
    <v>536870912</v>
    <v>Chile</v>
    <v>604665af-d1f4-5c64-9b93-1ef5f0471308</v>
    <v>es-ES</v>
    <v>Map</v>
  </rv>
  <rv s="1">
    <fb>756102</fb>
    <v>24</v>
  </rv>
  <rv s="1">
    <fb>0.24256925086238501</fb>
    <v>25</v>
  </rv>
  <rv s="1">
    <fb>2.55754475703323E-2</fb>
    <v>25</v>
  </rv>
  <rv s="0">
    <v>536870912</v>
    <v>Santiago de Chile</v>
    <v>190dd277-52dd-5feb-5523-200c59886f8e</v>
    <v>es-ES</v>
    <v>Map</v>
  </rv>
  <rv s="1">
    <fb>203791650000</fb>
    <v>26</v>
  </rv>
  <rv s="1">
    <fb>56</fb>
    <v>27</v>
  </rv>
  <rv s="1">
    <fb>74.647212262567805</fb>
    <v>28</v>
  </rv>
  <rv s="1">
    <fb>3879.6756048594998</fb>
    <v>24</v>
  </rv>
  <rv s="1">
    <fb>85822.467999999993</fb>
    <v>24</v>
  </rv>
  <rv s="1">
    <fb>80.042000000000002</fb>
    <v>28</v>
  </rv>
  <rv s="1">
    <fb>0.32240714050000002</fb>
    <v>25</v>
  </rv>
  <rv s="2">
    <v>0</v>
  </rv>
  <rv s="3">
    <v>0</v>
    <v>22</v>
    <v>2</v>
    <v>7</v>
    <v>0</v>
    <v>Image of Chile</v>
  </rv>
  <rv s="1">
    <fb>0.182194149378896</fb>
    <v>25</v>
  </rv>
  <rv s="1">
    <fb>131.913566974844</fb>
    <v>29</v>
  </rv>
  <rv s="4">
    <v>https://www.bing.com/search?q=Chile&amp;form=skydnc</v>
    <v>Aprenda más con Bing</v>
  </rv>
  <rv s="0">
    <v>805306368</v>
    <v>Gabriel Boric (Presidente)</v>
    <v>a5b9649e-0dda-ce69-dd77-b90d92799948</v>
    <v>es-ES</v>
    <v>Generic</v>
  </rv>
  <rv s="2">
    <v>1</v>
  </rv>
  <rv s="1">
    <fb>1.0143016</fb>
    <v>25</v>
  </rv>
  <rv s="1">
    <fb>0.88464419999999999</fb>
    <v>25</v>
  </rv>
  <rv s="1">
    <fb>2.5912000000000002</fb>
    <v>30</v>
  </rv>
  <rv s="1">
    <fb>6.2</fb>
    <v>28</v>
  </rv>
  <rv s="1">
    <fb>282318159744.65002</fb>
    <v>26</v>
  </rv>
  <rv s="1">
    <fb>172683</fb>
    <v>24</v>
  </rv>
  <rv s="1">
    <fb>16610135</fb>
    <v>24</v>
  </rv>
  <rv s="1">
    <fb>0.36299999999999999</fb>
    <v>25</v>
  </rv>
  <rv s="1">
    <fb>2.3E-2</fb>
    <v>25</v>
  </rv>
  <rv s="1">
    <fb>0.51300000000000001</fb>
    <v>25</v>
  </rv>
  <rv s="1">
    <fb>5.7999999999999996E-2</fb>
    <v>25</v>
  </rv>
  <rv s="1">
    <fb>0.19699999999999998</fb>
    <v>25</v>
  </rv>
  <rv s="1">
    <fb>0.62644001007080097</fb>
    <v>25</v>
  </rv>
  <rv s="1">
    <fb>9.6999999999999989E-2</fb>
    <v>25</v>
  </rv>
  <rv s="1">
    <fb>0.13600000000000001</fb>
    <v>25</v>
  </rv>
  <rv s="1">
    <fb>1.03</fb>
    <v>31</v>
  </rv>
  <rv s="1">
    <fb>13</fb>
    <v>28</v>
  </rv>
  <rv s="1">
    <fb>2</fb>
    <v>31</v>
  </rv>
  <rv s="0">
    <v>536870912</v>
    <v>Región de Arica y Parinacota</v>
    <v>e82edc74-d7d4-52a9-63c9-da07aa4c8d07</v>
    <v>es-ES</v>
    <v>Map</v>
  </rv>
  <rv s="0">
    <v>536870912</v>
    <v>Región de Tarapacá</v>
    <v>f71529e3-ca1d-662b-2695-7619691fe930</v>
    <v>es-ES</v>
    <v>Map</v>
  </rv>
  <rv s="0">
    <v>536870912</v>
    <v>Región de Antofagasta</v>
    <v>0e94e649-e291-382e-a367-acb53290d201</v>
    <v>es-ES</v>
    <v>Map</v>
  </rv>
  <rv s="0">
    <v>536870912</v>
    <v>Región de Atacama</v>
    <v>f345e54e-574a-13c9-92e8-8aee46fdab13</v>
    <v>es-ES</v>
    <v>Map</v>
  </rv>
  <rv s="0">
    <v>536870912</v>
    <v>Región de Coquimbo</v>
    <v>76048cc3-d603-9c38-a167-a7ca5b8cbbc2</v>
    <v>es-ES</v>
    <v>Map</v>
  </rv>
  <rv s="0">
    <v>536870912</v>
    <v>Región de Valparaíso</v>
    <v>16db3fa8-cd1b-2e46-c8fd-319a483e9f74</v>
    <v>es-ES</v>
    <v>Map</v>
  </rv>
  <rv s="0">
    <v>536870912</v>
    <v>Región del Libertador General Bernardo O'Higgins</v>
    <v>a69b3fd5-459d-0124-d048-5d97d3c59ccc</v>
    <v>es-ES</v>
    <v>Map</v>
  </rv>
  <rv s="0">
    <v>536870912</v>
    <v>Región del Maule</v>
    <v>1e2324a1-9cb4-35ae-b663-73c3f67a17d5</v>
    <v>es-ES</v>
    <v>Map</v>
  </rv>
  <rv s="0">
    <v>536870912</v>
    <v>Región del Biobío</v>
    <v>e7f0592f-2534-c4f2-c1d3-fdea2c39f853</v>
    <v>es-ES</v>
    <v>Map</v>
  </rv>
  <rv s="0">
    <v>536870912</v>
    <v>Región de La Araucanía</v>
    <v>2d02ef0b-dd81-faa4-520b-0ec94f6d1f8e</v>
    <v>es-ES</v>
    <v>Map</v>
  </rv>
  <rv s="0">
    <v>536870912</v>
    <v>Región de Los Ríos</v>
    <v>d63a8dc4-6856-1b2f-c860-14be52df0d59</v>
    <v>es-ES</v>
    <v>Map</v>
  </rv>
  <rv s="0">
    <v>536870912</v>
    <v>Región de Los Lagos</v>
    <v>e02e6fdd-6c61-e5bb-60a2-e02511b76154</v>
    <v>es-ES</v>
    <v>Map</v>
  </rv>
  <rv s="0">
    <v>536870912</v>
    <v>Región de Aysén del General Carlos Ibáñez del Campo</v>
    <v>f1dfad18-7a71-c02b-6499-9d48079ad086</v>
    <v>es-ES</v>
    <v>Map</v>
  </rv>
  <rv s="0">
    <v>536870912</v>
    <v>Región de Magallanes y de la Antártica Chilena</v>
    <v>bae16453-cc13-6536-3ecf-d010cdfe7779</v>
    <v>es-ES</v>
    <v>Map</v>
  </rv>
  <rv s="0">
    <v>536870912</v>
    <v>Región Metropolitana de Santiago</v>
    <v>593b7d08-69b9-06ed-9b5c-adea6868ff88</v>
    <v>es-ES</v>
    <v>Map</v>
  </rv>
  <rv s="2">
    <v>2</v>
  </rv>
  <rv s="1">
    <fb>122000</fb>
    <v>24</v>
  </rv>
  <rv s="1">
    <fb>7.09000015258789E-2</fb>
    <v>32</v>
  </rv>
  <rv s="1">
    <fb>1.649</fb>
    <v>30</v>
  </rv>
  <rv s="1">
    <fb>0.34</fb>
    <v>25</v>
  </rv>
  <rv s="1">
    <fb>12.428000000000001</fb>
    <v>30</v>
  </rv>
  <rv s="1">
    <fb>0.21171649832251302</fb>
    <v>25</v>
  </rv>
  <rv s="5">
    <v>#VALUE!</v>
    <v>es-ES</v>
    <v>604665af-d1f4-5c64-9b93-1ef5f0471308</v>
    <v>536870912</v>
    <v>1</v>
    <v>16</v>
    <v>17</v>
    <v>18</v>
    <v>Chile</v>
    <v>20</v>
    <v>21</v>
    <v>Map</v>
    <v>22</v>
    <v>23</v>
    <v>CL</v>
    <v>1</v>
    <v>2</v>
    <v>3</v>
    <v>4</v>
    <v>5</v>
    <v>4</v>
    <v>6</v>
    <v>CLF</v>
    <v>7</v>
    <v>8</v>
    <v>Chile, oficialmente República de Chile, es un país soberano ubicado en el extremo sur de América del Sur. Adopta la forma de gobierno republicana, democrática, unitaria y presidencialista. Su capital y ciudad más poblada es Santiago. Con una ...</v>
    <v>9</v>
    <v>10</v>
    <v>11</v>
    <v>Himno nacional de Chile</v>
    <v>12</v>
    <v>13</v>
    <v>14</v>
    <v>15</v>
    <v>16</v>
    <v>18</v>
    <v>19</v>
    <v>20</v>
    <v>21</v>
    <v>22</v>
    <v>Chile</v>
    <v>Chile</v>
    <v>23</v>
    <v>24</v>
    <v>25</v>
    <v>26</v>
    <v>27</v>
    <v>28</v>
    <v>29</v>
    <v>30</v>
    <v>31</v>
    <v>32</v>
    <v>33</v>
    <v>34</v>
    <v>35</v>
    <v>36</v>
    <v>52</v>
    <v>53</v>
    <v>54</v>
    <v>55</v>
    <v>56</v>
    <v>57</v>
    <v>58</v>
    <v>Chile</v>
    <v>mdp/vdpid/46</v>
  </rv>
  <rv s="0">
    <v>536870912</v>
    <v>Brasil</v>
    <v>a828cf41-b938-49fe-7986-4b336618d413</v>
    <v>es-ES</v>
    <v>Map</v>
  </rv>
  <rv s="1">
    <fb>8515767</fb>
    <v>24</v>
  </rv>
  <rv s="1">
    <fb>0.58931054038338704</fb>
    <v>25</v>
  </rv>
  <rv s="1">
    <fb>3.7329762121689397E-2</fb>
    <v>25</v>
  </rv>
  <rv s="0">
    <v>536870912</v>
    <v>Brasilia</v>
    <v>0f4c1a26-f33c-b6de-a63f-578da6617369</v>
    <v>es-ES</v>
    <v>Map</v>
  </rv>
  <rv s="1">
    <fb>1187361690000</fb>
    <v>26</v>
  </rv>
  <rv s="0">
    <v>536870912</v>
    <v>São Paulo</v>
    <v>c6cf2f6e-626c-4267-ae48-9e13ea74d2b9</v>
    <v>es-ES</v>
    <v>Map</v>
  </rv>
  <rv s="1">
    <fb>55</fb>
    <v>27</v>
  </rv>
  <rv s="1">
    <fb>59.1075326389753</fb>
    <v>28</v>
  </rv>
  <rv s="1">
    <fb>2619.96061573831</fb>
    <v>24</v>
  </rv>
  <rv s="1">
    <fb>462298.69</fb>
    <v>24</v>
  </rv>
  <rv s="1">
    <fb>75.671999999999997</fb>
    <v>28</v>
  </rv>
  <rv s="1">
    <fb>0.28289823089999999</fb>
    <v>25</v>
  </rv>
  <rv s="2">
    <v>3</v>
  </rv>
  <rv s="3">
    <v>1</v>
    <v>22</v>
    <v>34</v>
    <v>7</v>
    <v>0</v>
    <v>Image of Brasil</v>
  </rv>
  <rv s="1">
    <fb>0.14178605589771201</fb>
    <v>25</v>
  </rv>
  <rv s="1">
    <fb>167.397860280061</fb>
    <v>29</v>
  </rv>
  <rv s="4">
    <v>https://www.bing.com/search?q=Brasil&amp;form=skydnc</v>
    <v>Aprenda más con Bing</v>
  </rv>
  <rv s="0">
    <v>805306368</v>
    <v>Luiz Inácio Lula da Silva (Presidente)</v>
    <v>d1dff6dd-e1d9-642a-4044-fc3f6765ae2b</v>
    <v>es-ES</v>
    <v>Generic</v>
  </rv>
  <rv s="0">
    <v>805306368</v>
    <v>Geraldo Alckmin (Vicepresidente)</v>
    <v>ea2c259d-ca87-ae96-81e3-8e0b97870fa3</v>
    <v>es-ES</v>
    <v>Generic</v>
  </rv>
  <rv s="2">
    <v>4</v>
  </rv>
  <rv s="1">
    <fb>1.1544783999999999</fb>
    <v>25</v>
  </rv>
  <rv s="1">
    <fb>0.513436</fb>
    <v>25</v>
  </rv>
  <rv s="1">
    <fb>2.1499000000000001</fb>
    <v>30</v>
  </rv>
  <rv s="1">
    <fb>12.8</fb>
    <v>28</v>
  </rv>
  <rv s="1">
    <fb>1839758040765.6201</fb>
    <v>26</v>
  </rv>
  <rv s="1">
    <fb>215313498</fb>
    <v>24</v>
  </rv>
  <rv s="1">
    <fb>183241641</fb>
    <v>24</v>
  </rv>
  <rv s="1">
    <fb>0.42499999999999999</fb>
    <v>25</v>
  </rv>
  <rv s="1">
    <fb>0.01</fb>
    <v>25</v>
  </rv>
  <rv s="1">
    <fb>0.58399999999999996</fb>
    <v>25</v>
  </rv>
  <rv s="1">
    <fb>3.1E-2</fb>
    <v>25</v>
  </rv>
  <rv s="1">
    <fb>0.192</fb>
    <v>25</v>
  </rv>
  <rv s="1">
    <fb>0.63883998870849601</fb>
    <v>25</v>
  </rv>
  <rv s="1">
    <fb>7.2999999999999995E-2</fb>
    <v>25</v>
  </rv>
  <rv s="1">
    <fb>0.12</fb>
    <v>25</v>
  </rv>
  <rv s="1">
    <fb>1.02</fb>
    <v>31</v>
  </rv>
  <rv s="1">
    <fb>60</fb>
    <v>28</v>
  </rv>
  <rv s="1">
    <fb>1.53</fb>
    <v>31</v>
  </rv>
  <rv s="0">
    <v>536870912</v>
    <v>Acre</v>
    <v>8960bf27-5261-01d1-4019-e7d898f67bb4</v>
    <v>es-ES</v>
    <v>Map</v>
  </rv>
  <rv s="0">
    <v>536870912</v>
    <v>Amapá</v>
    <v>28d39e09-4b9f-31f6-cc72-48b1f9be59db</v>
    <v>es-ES</v>
    <v>Map</v>
  </rv>
  <rv s="0">
    <v>536870912</v>
    <v>Amazonas</v>
    <v>f79e57ca-6fc1-5a6a-015b-38d90f33902f</v>
    <v>es-ES</v>
    <v>Map</v>
  </rv>
  <rv s="0">
    <v>536870912</v>
    <v>Pará</v>
    <v>7a0db70a-73db-e83d-e548-6fab7a523b35</v>
    <v>es-ES</v>
    <v>Map</v>
  </rv>
  <rv s="0">
    <v>536870912</v>
    <v>Rondonia</v>
    <v>25fbe5d5-9bc1-0ec2-ac78-2d9fe5b147dd</v>
    <v>es-ES</v>
    <v>Map</v>
  </rv>
  <rv s="0">
    <v>536870912</v>
    <v>Roraima</v>
    <v>3b8383a2-7c79-31f6-2359-bd9ba2099213</v>
    <v>es-ES</v>
    <v>Map</v>
  </rv>
  <rv s="0">
    <v>536870912</v>
    <v>Tocantins</v>
    <v>f7a46dfe-e192-d6f7-e5f8-084e555ba7cb</v>
    <v>es-ES</v>
    <v>Map</v>
  </rv>
  <rv s="0">
    <v>536870912</v>
    <v>Alagoas</v>
    <v>4e3f1ba4-1948-0514-728a-55b34ab027b4</v>
    <v>es-ES</v>
    <v>Map</v>
  </rv>
  <rv s="0">
    <v>536870912</v>
    <v>Estado de Bahía</v>
    <v>e904684f-6d5b-f7bb-c27d-bdb50a0ec8ab</v>
    <v>es-ES</v>
    <v>Map</v>
  </rv>
  <rv s="0">
    <v>536870912</v>
    <v>Ceará</v>
    <v>b598e20e-29fb-ccf6-be0e-2650e6ba40c5</v>
    <v>es-ES</v>
    <v>Map</v>
  </rv>
  <rv s="0">
    <v>536870912</v>
    <v>Maranhão</v>
    <v>98274980-9da4-ff5e-78a1-e512bb4179ca</v>
    <v>es-ES</v>
    <v>Map</v>
  </rv>
  <rv s="0">
    <v>536870912</v>
    <v>Paraíba</v>
    <v>f5be810b-3322-2252-c10f-35206d84b548</v>
    <v>es-ES</v>
    <v>Map</v>
  </rv>
  <rv s="0">
    <v>536870912</v>
    <v>Pernambuco</v>
    <v>5538aab1-15ae-294f-2c10-f5083201cca1</v>
    <v>es-ES</v>
    <v>Map</v>
  </rv>
  <rv s="0">
    <v>536870912</v>
    <v>Piauí</v>
    <v>ab11433a-8357-ae6d-67fe-8570cc271399</v>
    <v>es-ES</v>
    <v>Map</v>
  </rv>
  <rv s="0">
    <v>536870912</v>
    <v>Río Grande del Norte</v>
    <v>4cccb40d-d26b-4493-e031-bcf803f1c2b1</v>
    <v>es-ES</v>
    <v>Map</v>
  </rv>
  <rv s="0">
    <v>536870912</v>
    <v>Sergipe</v>
    <v>a7f70762-a1ab-d5de-8bf0-3eb8532c1eb9</v>
    <v>es-ES</v>
    <v>Map</v>
  </rv>
  <rv s="0">
    <v>536870912</v>
    <v>Goiás</v>
    <v>38750702-647a-b72a-2cec-e4a55e078f36</v>
    <v>es-ES</v>
    <v>Map</v>
  </rv>
  <rv s="0">
    <v>536870912</v>
    <v>Mato Grosso</v>
    <v>af05c757-4d77-813e-b8eb-97635c07f37a</v>
    <v>es-ES</v>
    <v>Map</v>
  </rv>
  <rv s="0">
    <v>536870912</v>
    <v>Mato Grosso del Sur</v>
    <v>7de24933-1d79-fc85-387b-3ce7947910b6</v>
    <v>es-ES</v>
    <v>Map</v>
  </rv>
  <rv s="0">
    <v>536870912</v>
    <v>Espírito Santo</v>
    <v>dbc4d679-53e7-49d7-c6b3-88a4ca7f522f</v>
    <v>es-ES</v>
    <v>Map</v>
  </rv>
  <rv s="0">
    <v>536870912</v>
    <v>Minas Gerais</v>
    <v>974e2066-dee0-aecd-c973-50babb750033</v>
    <v>es-ES</v>
    <v>Map</v>
  </rv>
  <rv s="0">
    <v>536870912</v>
    <v>Estado de Río de Janeiro</v>
    <v>3f5a22fa-26bd-86f9-0345-3a6206e8aab5</v>
    <v>es-ES</v>
    <v>Map</v>
  </rv>
  <rv s="0">
    <v>536870912</v>
    <v>Estado de São Paulo</v>
    <v>4d56ae2d-1aad-8c4f-dca2-4456acc12f89</v>
    <v>es-ES</v>
    <v>Map</v>
  </rv>
  <rv s="0">
    <v>536870912</v>
    <v>Estado de Paraná</v>
    <v>a33450c4-459a-0682-41ee-635b343dd785</v>
    <v>es-ES</v>
    <v>Map</v>
  </rv>
  <rv s="0">
    <v>536870912</v>
    <v>Río Grande del Sur</v>
    <v>9644dbbf-be0c-de9c-a534-3d7ff4801a8b</v>
    <v>es-ES</v>
    <v>Map</v>
  </rv>
  <rv s="0">
    <v>536870912</v>
    <v>Santa Catarina</v>
    <v>6262969d-76c7-e65f-1be5-668011a93ff0</v>
    <v>es-ES</v>
    <v>Map</v>
  </rv>
  <rv s="0">
    <v>536870912</v>
    <v>Distrito Federal</v>
    <v>88dfc3b6-8e7a-694d-61b2-96d14f226ec4</v>
    <v>es-ES</v>
    <v>Map</v>
  </rv>
  <rv s="2">
    <v>5</v>
  </rv>
  <rv s="1">
    <fb>730000</fb>
    <v>24</v>
  </rv>
  <rv s="1">
    <fb>0.12083000183105501</fb>
    <v>32</v>
  </rv>
  <rv s="1">
    <fb>1.73</fb>
    <v>30</v>
  </rv>
  <rv s="1">
    <fb>0.65099999999999991</fb>
    <v>25</v>
  </rv>
  <rv s="1">
    <fb>13.923999999999999</fb>
    <v>30</v>
  </rv>
  <rv s="1">
    <fb>0.33924533448829503</fb>
    <v>25</v>
  </rv>
  <rv s="2">
    <v>6</v>
  </rv>
  <rv s="6">
    <v>#VALUE!</v>
    <v>es-ES</v>
    <v>a828cf41-b938-49fe-7986-4b336618d413</v>
    <v>536870912</v>
    <v>1</v>
    <v>37</v>
    <v>17</v>
    <v>38</v>
    <v>Brasil</v>
    <v>20</v>
    <v>21</v>
    <v>Map</v>
    <v>22</v>
    <v>39</v>
    <v>BR</v>
    <v>61</v>
    <v>62</v>
    <v>63</v>
    <v>64</v>
    <v>65</v>
    <v>66</v>
    <v>67</v>
    <v>BRL</v>
    <v>68</v>
    <v>69</v>
    <v>Brasil, oficialmente República Federativa de Brasil, es un país soberano de América del Sur que comprende la mitad oriental del continente y algunos grupos de pequeñas islas en el océano Atlántico. Su capital es Brasilia y su ciudad más poblada ...</v>
    <v>70</v>
    <v>71</v>
    <v>72</v>
    <v>Himno nacional del Brasil</v>
    <v>73</v>
    <v>74</v>
    <v>75</v>
    <v>76</v>
    <v>77</v>
    <v>80</v>
    <v>81</v>
    <v>82</v>
    <v>83</v>
    <v>84</v>
    <v>Brasil</v>
    <v>República Federativa do Brasil</v>
    <v>85</v>
    <v>86</v>
    <v>87</v>
    <v>88</v>
    <v>89</v>
    <v>90</v>
    <v>91</v>
    <v>92</v>
    <v>93</v>
    <v>94</v>
    <v>95</v>
    <v>96</v>
    <v>97</v>
    <v>98</v>
    <v>126</v>
    <v>127</v>
    <v>128</v>
    <v>129</v>
    <v>130</v>
    <v>131</v>
    <v>132</v>
    <v>Brasil</v>
    <v>mdp/vdpid/32</v>
    <v>133</v>
  </rv>
  <rv s="0">
    <v>536870912</v>
    <v>Argentina</v>
    <v>87153d87-9bb0-166a-3d56-613bdc274e1b</v>
    <v>es-ES</v>
    <v>Map</v>
  </rv>
  <rv s="1">
    <fb>2780400</fb>
    <v>24</v>
  </rv>
  <rv s="1">
    <fb>9.7984058182512504E-2</fb>
    <v>25</v>
  </rv>
  <rv s="1">
    <fb>0.53548304349234199</fb>
    <v>25</v>
  </rv>
  <rv s="0">
    <v>536870912</v>
    <v>Buenos Aires</v>
    <v>857a6814-3fe8-c414-84da-24018be87fce</v>
    <v>es-ES</v>
    <v>Map</v>
  </rv>
  <rv s="1">
    <fb>39393540000</fb>
    <v>26</v>
  </rv>
  <rv s="1">
    <fb>54</fb>
    <v>27</v>
  </rv>
  <rv s="1">
    <fb>87.722407479689195</fb>
    <v>28</v>
  </rv>
  <rv s="1">
    <fb>3074.70207056563</fb>
    <v>24</v>
  </rv>
  <rv s="1">
    <fb>201347.636</fb>
    <v>24</v>
  </rv>
  <rv s="1">
    <fb>76.52</fb>
    <v>28</v>
  </rv>
  <rv s="1">
    <fb>0.17628076140000001</fb>
    <v>25</v>
  </rv>
  <rv s="2">
    <v>7</v>
  </rv>
  <rv s="3">
    <v>2</v>
    <v>22</v>
    <v>41</v>
    <v>7</v>
    <v>0</v>
    <v>Image of Argentina</v>
  </rv>
  <rv s="1">
    <fb>0.10087499305375699</fb>
    <v>25</v>
  </rv>
  <rv s="1">
    <fb>232.75109166666701</fb>
    <v>29</v>
  </rv>
  <rv s="4">
    <v>https://www.bing.com/search?q=Argentina&amp;form=skydnc</v>
    <v>Aprenda más con Bing</v>
  </rv>
  <rv s="0">
    <v>805306368</v>
    <v>Javier Milei (Presidente)</v>
    <v>9e292152-d659-8459-891a-e2e34df73a4f</v>
    <v>es-ES</v>
    <v>Generic</v>
  </rv>
  <rv s="0">
    <v>805306368</v>
    <v>Victoria Villarruel (Vicepresidente)</v>
    <v>c9d496be-e912-ca9e-b72e-cd37e371c69a</v>
    <v>es-ES</v>
    <v>Generic</v>
  </rv>
  <rv s="2">
    <v>8</v>
  </rv>
  <rv s="1">
    <fb>1.0974146</fb>
    <v>25</v>
  </rv>
  <rv s="1">
    <fb>0.89958519999999997</fb>
    <v>25</v>
  </rv>
  <rv s="1">
    <fb>3.96</fb>
    <v>30</v>
  </rv>
  <rv s="1">
    <fb>8.8000000000000007</fb>
    <v>28</v>
  </rv>
  <rv s="1">
    <fb>449663446954.073</fb>
    <v>26</v>
  </rv>
  <rv s="1">
    <fb>46234830</fb>
    <v>24</v>
  </rv>
  <rv s="1">
    <fb>41339571</fb>
    <v>24</v>
  </rv>
  <rv s="1">
    <fb>0.29899999999999999</fb>
    <v>25</v>
  </rv>
  <rv s="1">
    <fb>1.8000000000000002E-2</fb>
    <v>25</v>
  </rv>
  <rv s="1">
    <fb>0.46500000000000002</fb>
    <v>25</v>
  </rv>
  <rv s="1">
    <fb>0.05</fb>
    <v>25</v>
  </rv>
  <rv s="1">
    <fb>0.23199999999999998</fb>
    <v>25</v>
  </rv>
  <rv s="1">
    <fb>0.61301998138427694</fb>
    <v>25</v>
  </rv>
  <rv s="1">
    <fb>9.9000000000000005E-2</fb>
    <v>25</v>
  </rv>
  <rv s="1">
    <fb>0.154</fb>
    <v>25</v>
  </rv>
  <rv s="1">
    <fb>1.1000000000000001</fb>
    <v>31</v>
  </rv>
  <rv s="1">
    <fb>39</fb>
    <v>28</v>
  </rv>
  <rv s="1">
    <fb>3.35</fb>
    <v>31</v>
  </rv>
  <rv s="0">
    <v>536870912</v>
    <v>Provincia de Buenos Aires</v>
    <v>83e02b50-6d03-7c2c-eadf-7346066b2dea</v>
    <v>es-ES</v>
    <v>Map</v>
  </rv>
  <rv s="0">
    <v>536870912</v>
    <v>Provincia de Catamarca</v>
    <v>3c1c44fb-1be4-0807-a41a-389b53882281</v>
    <v>es-ES</v>
    <v>Map</v>
  </rv>
  <rv s="0">
    <v>536870912</v>
    <v>Provincia del Chaco</v>
    <v>7ba7eceb-7d6e-ca38-3de8-8edff91abe6c</v>
    <v>es-ES</v>
    <v>Map</v>
  </rv>
  <rv s="0">
    <v>536870912</v>
    <v>Provincia de Córdoba</v>
    <v>ee360e95-eb6e-6500-1854-d0ba2979c8c5</v>
    <v>es-ES</v>
    <v>Map</v>
  </rv>
  <rv s="0">
    <v>536870912</v>
    <v>Provincia de Corrientes</v>
    <v>370306e6-e553-7210-5bdd-cba530b5bb5e</v>
    <v>es-ES</v>
    <v>Map</v>
  </rv>
  <rv s="0">
    <v>536870912</v>
    <v>Provincia de Entre Ríos</v>
    <v>8f271891-a2e7-4452-b33a-32b209204098</v>
    <v>es-ES</v>
    <v>Map</v>
  </rv>
  <rv s="0">
    <v>536870912</v>
    <v>Provincia de Formosa</v>
    <v>2c10e13d-832d-d54f-08b1-364c9870d186</v>
    <v>es-ES</v>
    <v>Map</v>
  </rv>
  <rv s="0">
    <v>536870912</v>
    <v>Provincia de Jujuy</v>
    <v>4336eba8-fc73-200e-9d91-4273dd01d498</v>
    <v>es-ES</v>
    <v>Map</v>
  </rv>
  <rv s="0">
    <v>536870912</v>
    <v>Provincia de La Pampa</v>
    <v>44de277d-e840-a824-59d9-b6a9740aba03</v>
    <v>es-ES</v>
    <v>Map</v>
  </rv>
  <rv s="0">
    <v>536870912</v>
    <v>Provincia de La Rioja</v>
    <v>dac821c4-934d-98a0-3515-ecf294d05f34</v>
    <v>es-ES</v>
    <v>Map</v>
  </rv>
  <rv s="0">
    <v>536870912</v>
    <v>Provincia de Mendoza</v>
    <v>67d55d79-bbf5-f1ea-b2b6-9eaf7f8cbf5c</v>
    <v>es-ES</v>
    <v>Map</v>
  </rv>
  <rv s="0">
    <v>536870912</v>
    <v>Provincia de Misiones</v>
    <v>b5dd089e-a58d-3344-220d-67d53fbe2b62</v>
    <v>es-ES</v>
    <v>Map</v>
  </rv>
  <rv s="0">
    <v>536870912</v>
    <v>Provincia del Neuquén</v>
    <v>bf5efd04-a076-eedb-ad38-b133bbf30276</v>
    <v>es-ES</v>
    <v>Map</v>
  </rv>
  <rv s="0">
    <v>536870912</v>
    <v>Provincia de Río Negro</v>
    <v>d2c8f222-11b8-dd86-e0ab-8d14cb406edc</v>
    <v>es-ES</v>
    <v>Map</v>
  </rv>
  <rv s="0">
    <v>536870912</v>
    <v>Provincia de Salta</v>
    <v>f6ae2fbd-0520-148c-3526-8bf23d36cb82</v>
    <v>es-ES</v>
    <v>Map</v>
  </rv>
  <rv s="0">
    <v>536870912</v>
    <v>Provincia de San Juan</v>
    <v>17fa2e93-239c-11e6-f03e-d1c2f5cce2fe</v>
    <v>es-ES</v>
    <v>Map</v>
  </rv>
  <rv s="0">
    <v>536870912</v>
    <v>Provincia de San Luis</v>
    <v>5bdf188c-b213-ac45-dd24-12759c1ef35f</v>
    <v>es-ES</v>
    <v>Map</v>
  </rv>
  <rv s="0">
    <v>536870912</v>
    <v>Provincia de Santa Cruz</v>
    <v>33b38460-8bb6-75dd-5a16-ccfffb6378dc</v>
    <v>es-ES</v>
    <v>Map</v>
  </rv>
  <rv s="0">
    <v>536870912</v>
    <v>Provincia de Santa Fe</v>
    <v>7e0bc671-7ee3-bfe7-3fbf-0780b251b2f6</v>
    <v>es-ES</v>
    <v>Map</v>
  </rv>
  <rv s="0">
    <v>536870912</v>
    <v>Provincia de Santiago del Estero</v>
    <v>ec88ec56-2be0-4304-ab71-391ce9c013de</v>
    <v>es-ES</v>
    <v>Map</v>
  </rv>
  <rv s="0">
    <v>536870912</v>
    <v>Provincia de Tierra del Fuego, Antártida e Islas del Atlántico Sur</v>
    <v>3bb8cbb1-ced9-fc53-1bf4-d1685a3435ea</v>
    <v>es-ES</v>
    <v>Map</v>
  </rv>
  <rv s="0">
    <v>536870912</v>
    <v>Provincia de Tucumán</v>
    <v>4f81112c-c69e-b6cc-2acc-73c36fc9a0aa</v>
    <v>es-ES</v>
    <v>Map</v>
  </rv>
  <rv s="0">
    <v>536870912</v>
    <v>Provincia del Chubut</v>
    <v>893cfb2e-6128-06e8-d927-6cdee06773f8</v>
    <v>es-ES</v>
    <v>Map</v>
  </rv>
  <rv s="2">
    <v>9</v>
  </rv>
  <rv s="1">
    <fb>105000</fb>
    <v>24</v>
  </rv>
  <rv s="1">
    <fb>9.7889995574951205E-2</fb>
    <v>32</v>
  </rv>
  <rv s="1">
    <fb>2.2610000000000001</fb>
    <v>30</v>
  </rv>
  <rv s="1">
    <fb>1.0629999999999999</fb>
    <v>25</v>
  </rv>
  <rv s="1">
    <fb>17.021000000000001</fb>
    <v>30</v>
  </rv>
  <rv s="1">
    <fb>0.54335712119385104</fb>
    <v>25</v>
  </rv>
  <rv s="2">
    <v>10</v>
  </rv>
  <rv s="6">
    <v>#VALUE!</v>
    <v>es-ES</v>
    <v>87153d87-9bb0-166a-3d56-613bdc274e1b</v>
    <v>536870912</v>
    <v>1</v>
    <v>44</v>
    <v>17</v>
    <v>38</v>
    <v>Argentina</v>
    <v>20</v>
    <v>21</v>
    <v>Map</v>
    <v>22</v>
    <v>45</v>
    <v>AR</v>
    <v>136</v>
    <v>137</v>
    <v>138</v>
    <v>139</v>
    <v>140</v>
    <v>139</v>
    <v>141</v>
    <v>ARS</v>
    <v>142</v>
    <v>143</v>
    <v>Argentina, oficialmente República Argentina, es un país soberano de América del Sur, ubicado en el extremo sur y sudeste de dicho subcontinente. Adopta la forma de gobierno republicana, democrática, representativa y federal.</v>
    <v>144</v>
    <v>145</v>
    <v>146</v>
    <v>Himno Nacional Argentino</v>
    <v>147</v>
    <v>148</v>
    <v>149</v>
    <v>150</v>
    <v>151</v>
    <v>154</v>
    <v>155</v>
    <v>156</v>
    <v>157</v>
    <v>158</v>
    <v>Argentina</v>
    <v>República Argentina</v>
    <v>159</v>
    <v>160</v>
    <v>161</v>
    <v>162</v>
    <v>163</v>
    <v>164</v>
    <v>165</v>
    <v>166</v>
    <v>167</v>
    <v>168</v>
    <v>169</v>
    <v>170</v>
    <v>171</v>
    <v>172</v>
    <v>196</v>
    <v>197</v>
    <v>198</v>
    <v>199</v>
    <v>200</v>
    <v>201</v>
    <v>202</v>
    <v>Argentina</v>
    <v>mdp/vdpid/11</v>
    <v>203</v>
  </rv>
  <rv s="0">
    <v>536870912</v>
    <v>Perú</v>
    <v>02dd0e01-24ad-0f52-3d28-54e36db1ce25</v>
    <v>es-ES</v>
    <v>Map</v>
  </rv>
  <rv s="1">
    <fb>1285216</fb>
    <v>24</v>
  </rv>
  <rv s="1">
    <fb>0.57660467529296899</fb>
    <v>25</v>
  </rv>
  <rv s="1">
    <fb>2.1371534256997799E-2</fb>
    <v>25</v>
  </rv>
  <rv s="0">
    <v>536870912</v>
    <v>Lima</v>
    <v>56111e08-84b2-d298-3309-317c86bbca62</v>
    <v>es-ES</v>
    <v>Map</v>
  </rv>
  <rv s="1">
    <fb>98964960000</fb>
    <v>26</v>
  </rv>
  <rv s="1">
    <fb>51</fb>
    <v>27</v>
  </rv>
  <rv s="1">
    <fb>79.555683573486803</fb>
    <v>28</v>
  </rv>
  <rv s="1">
    <fb>1345.8795888743</fb>
    <v>24</v>
  </rv>
  <rv s="1">
    <fb>57414.218999999997</fb>
    <v>24</v>
  </rv>
  <rv s="1">
    <fb>76.516000000000005</fb>
    <v>28</v>
  </rv>
  <rv s="1">
    <fb>0.30916759560000001</fb>
    <v>25</v>
  </rv>
  <rv s="3">
    <v>3</v>
    <v>22</v>
    <v>47</v>
    <v>7</v>
    <v>0</v>
    <v>Image of Perú</v>
  </rv>
  <rv s="1">
    <fb>0.14321901146650698</fb>
    <v>25</v>
  </rv>
  <rv s="1">
    <fb>129.78454434275901</fb>
    <v>29</v>
  </rv>
  <rv s="4">
    <v>https://www.bing.com/search?q=Per%c3%ba&amp;form=skydnc</v>
    <v>Aprenda más con Bing</v>
  </rv>
  <rv s="0">
    <v>805306368</v>
    <v>Dina Boluarte (Presidente)</v>
    <v>555553a8-1ef5-72bc-ec28-32a5d7cceeba</v>
    <v>es-ES</v>
    <v>Generic</v>
  </rv>
  <rv s="0">
    <v>805306368</v>
    <v>Gustavo Adrianzén (Primer ministro)</v>
    <v>3ed4b7db-9afa-d326-cdb8-78f39a34f73a</v>
    <v>es-ES</v>
    <v>Generic</v>
  </rv>
  <rv s="2">
    <v>11</v>
  </rv>
  <rv s="1">
    <fb>1.0694512</fb>
    <v>25</v>
  </rv>
  <rv s="1">
    <fb>0.70737859999999997</fb>
    <v>25</v>
  </rv>
  <rv s="1">
    <fb>1.27</fb>
    <v>30</v>
  </rv>
  <rv s="1">
    <fb>11.1</fb>
    <v>28</v>
  </rv>
  <rv s="1">
    <fb>226848050819.52499</fb>
    <v>26</v>
  </rv>
  <rv s="1">
    <fb>34049588</fb>
    <v>24</v>
  </rv>
  <rv s="1">
    <fb>25390339</fb>
    <v>24</v>
  </rv>
  <rv s="1">
    <fb>0.32100000000000001</fb>
    <v>25</v>
  </rv>
  <rv s="1">
    <fb>0.48299999999999998</fb>
    <v>25</v>
  </rv>
  <rv s="1">
    <fb>4.9000000000000002E-2</fb>
    <v>25</v>
  </rv>
  <rv s="1">
    <fb>0.22</fb>
    <v>25</v>
  </rv>
  <rv s="1">
    <fb>0.77633003234863296</fb>
    <v>25</v>
  </rv>
  <rv s="1">
    <fb>0.14800000000000002</fb>
    <v>25</v>
  </rv>
  <rv s="1">
    <fb>0.99</fb>
    <v>31</v>
  </rv>
  <rv s="1">
    <fb>88</fb>
    <v>28</v>
  </rv>
  <rv s="1">
    <fb>1.28</fb>
    <v>31</v>
  </rv>
  <rv s="0">
    <v>536870912</v>
    <v>Departamento de Amazonas</v>
    <v>8fd2c397-430b-3b7f-cd67-016b0865bb77</v>
    <v>es-ES</v>
    <v>Map</v>
  </rv>
  <rv s="0">
    <v>536870912</v>
    <v>Departamento de Áncash</v>
    <v>7b707fd9-e2cf-8406-e49c-af6b030955d1</v>
    <v>es-ES</v>
    <v>Map</v>
  </rv>
  <rv s="0">
    <v>536870912</v>
    <v>Departamento de Apurímac</v>
    <v>800ddbab-575a-70c1-73fb-0290eb389167</v>
    <v>es-ES</v>
    <v>Map</v>
  </rv>
  <rv s="0">
    <v>536870912</v>
    <v>Departamento de Arequipa</v>
    <v>5a642799-3e4d-dd3e-7ff3-67f11414b050</v>
    <v>es-ES</v>
    <v>Map</v>
  </rv>
  <rv s="0">
    <v>536870912</v>
    <v>Departamento de Ayacucho</v>
    <v>d1839726-2ca4-b1ef-90be-f17cf629e5a6</v>
    <v>es-ES</v>
    <v>Map</v>
  </rv>
  <rv s="0">
    <v>536870912</v>
    <v>Departamento de Cajamarca</v>
    <v>68429fc3-bf3f-3dd1-75f6-0329ead35de7</v>
    <v>es-ES</v>
    <v>Map</v>
  </rv>
  <rv s="0">
    <v>536870912</v>
    <v>Departamento del Cuzco</v>
    <v>d5a43b50-0d9c-e14e-2536-12eac1fa9141</v>
    <v>es-ES</v>
    <v>Map</v>
  </rv>
  <rv s="0">
    <v>536870912</v>
    <v>Departamento de Huancavelica</v>
    <v>c866aaa9-74e9-9c95-da3d-3b862680adb2</v>
    <v>es-ES</v>
    <v>Map</v>
  </rv>
  <rv s="0">
    <v>536870912</v>
    <v>Departamento de Huánuco</v>
    <v>c91622ff-1edf-da71-50d1-875f82c3f5c0</v>
    <v>es-ES</v>
    <v>Map</v>
  </rv>
  <rv s="0">
    <v>536870912</v>
    <v>Departamento de Ica</v>
    <v>89e75a31-d2bc-f604-2b7b-82852a081ccb</v>
    <v>es-ES</v>
    <v>Map</v>
  </rv>
  <rv s="0">
    <v>536870912</v>
    <v>Departamento de Junín</v>
    <v>b7838db7-815d-9260-1afc-73f6844d1fd1</v>
    <v>es-ES</v>
    <v>Map</v>
  </rv>
  <rv s="0">
    <v>536870912</v>
    <v>Departamento de La Libertad</v>
    <v>80573590-c6cd-50b0-765c-f2424644af3e</v>
    <v>es-ES</v>
    <v>Map</v>
  </rv>
  <rv s="0">
    <v>536870912</v>
    <v>Departamento de Lambayeque</v>
    <v>d0c78bd2-c7e3-ba11-5a61-c4f472e0d2f0</v>
    <v>es-ES</v>
    <v>Map</v>
  </rv>
  <rv s="0">
    <v>536870912</v>
    <v>Departamento de Loreto</v>
    <v>f3ea022e-f8be-cc49-e4cc-372b13d31d81</v>
    <v>es-ES</v>
    <v>Map</v>
  </rv>
  <rv s="0">
    <v>536870912</v>
    <v>Departamento de Madre de Dios</v>
    <v>471cf309-64b3-5670-8548-af31fa325bae</v>
    <v>es-ES</v>
    <v>Map</v>
  </rv>
  <rv s="0">
    <v>536870912</v>
    <v>Departamento de Moquegua</v>
    <v>dfc4fc5d-72d8-edd7-de96-0b06b1476e21</v>
    <v>es-ES</v>
    <v>Map</v>
  </rv>
  <rv s="0">
    <v>536870912</v>
    <v>Departamento de Pasco</v>
    <v>ee736d02-c7b1-0a50-e924-b716f580197d</v>
    <v>es-ES</v>
    <v>Map</v>
  </rv>
  <rv s="0">
    <v>536870912</v>
    <v>Departamento de Piura</v>
    <v>cedfe6cd-7566-a773-bc19-8b9f638eb87f</v>
    <v>es-ES</v>
    <v>Map</v>
  </rv>
  <rv s="0">
    <v>536870912</v>
    <v>Departamento de Puno</v>
    <v>4367f597-2f58-5eea-e94e-af80d252cd78</v>
    <v>es-ES</v>
    <v>Map</v>
  </rv>
  <rv s="0">
    <v>536870912</v>
    <v>Departamento de San Martín</v>
    <v>4281890f-8cad-bdb9-ae00-7ae494271b7f</v>
    <v>es-ES</v>
    <v>Map</v>
  </rv>
  <rv s="0">
    <v>536870912</v>
    <v>Departamento de Tacna</v>
    <v>ace388be-cdf0-bdb7-79ea-5702146107bb</v>
    <v>es-ES</v>
    <v>Map</v>
  </rv>
  <rv s="0">
    <v>536870912</v>
    <v>Departamento de Tumbes</v>
    <v>fada96e6-3bd8-2079-e30c-fc8b76650e64</v>
    <v>es-ES</v>
    <v>Map</v>
  </rv>
  <rv s="0">
    <v>536870912</v>
    <v>Departamento de Ucayali</v>
    <v>204e0044-14cd-8bb3-0575-52fd893f3efe</v>
    <v>es-ES</v>
    <v>Map</v>
  </rv>
  <rv s="0">
    <v>536870912</v>
    <v>Departamento de Lima</v>
    <v>1189d6b9-d0e8-419b-4036-0684e693abcf</v>
    <v>es-ES</v>
    <v>Map</v>
  </rv>
  <rv s="2">
    <v>12</v>
  </rv>
  <rv s="1">
    <fb>158000</fb>
    <v>24</v>
  </rv>
  <rv s="1">
    <fb>3.3099999427795401E-2</fb>
    <v>32</v>
  </rv>
  <rv s="1">
    <fb>2.254</fb>
    <v>30</v>
  </rv>
  <rv s="1">
    <fb>0.36799999999999999</fb>
    <v>25</v>
  </rv>
  <rv s="1">
    <fb>17.949000000000002</fb>
    <v>30</v>
  </rv>
  <rv s="1">
    <fb>0.18505468749999998</fb>
    <v>25</v>
  </rv>
  <rv s="2">
    <v>13</v>
  </rv>
  <rv s="6">
    <v>#VALUE!</v>
    <v>es-ES</v>
    <v>02dd0e01-24ad-0f52-3d28-54e36db1ce25</v>
    <v>536870912</v>
    <v>1</v>
    <v>50</v>
    <v>17</v>
    <v>38</v>
    <v>Perú</v>
    <v>20</v>
    <v>21</v>
    <v>Map</v>
    <v>22</v>
    <v>51</v>
    <v>PE</v>
    <v>206</v>
    <v>207</v>
    <v>208</v>
    <v>209</v>
    <v>210</v>
    <v>209</v>
    <v>211</v>
    <v>PEN</v>
    <v>212</v>
    <v>213</v>
    <v>Perú, oficialmente República del Perú, es un país soberano, ubicado en el oeste de América del Sur. Limita al norte, con Ecuador y Colombia; al este, con Brasil y Bolivia; al sur, con Chile; y al oeste, con el océano Pacífico, que bordea sus ...</v>
    <v>214</v>
    <v>215</v>
    <v>216</v>
    <v>Himno Nacional del Perú</v>
    <v>12</v>
    <v>217</v>
    <v>218</v>
    <v>219</v>
    <v>220</v>
    <v>223</v>
    <v>224</v>
    <v>225</v>
    <v>226</v>
    <v>227</v>
    <v>Perú</v>
    <v>República del Perú</v>
    <v>228</v>
    <v>229</v>
    <v>230</v>
    <v>231</v>
    <v>163</v>
    <v>232</v>
    <v>233</v>
    <v>234</v>
    <v>235</v>
    <v>168</v>
    <v>236</v>
    <v>237</v>
    <v>238</v>
    <v>239</v>
    <v>264</v>
    <v>265</v>
    <v>266</v>
    <v>267</v>
    <v>268</v>
    <v>269</v>
    <v>270</v>
    <v>Perú</v>
    <v>mdp/vdpid/187</v>
    <v>271</v>
  </rv>
  <rv s="0">
    <v>536870912</v>
    <v>Australia</v>
    <v>06de2191-243d-a83f-6990-2eb1c7f3382a</v>
    <v>es-ES</v>
    <v>Map</v>
  </rv>
  <rv s="1">
    <fb>7692024</fb>
    <v>24</v>
  </rv>
  <rv s="1">
    <fb>0.16258278059599401</fb>
    <v>25</v>
  </rv>
  <rv s="1">
    <fb>1.61076787290379E-2</fb>
    <v>25</v>
  </rv>
  <rv s="0">
    <v>536870912</v>
    <v>Canberra</v>
    <v>59ab58e3-2f00-9175-e7b8-76d910040855</v>
    <v>es-ES</v>
    <v>Map</v>
  </rv>
  <rv s="1">
    <fb>1487598500000</fb>
    <v>26</v>
  </rv>
  <rv s="0">
    <v>536870912</v>
    <v>Sídney</v>
    <v>3ecec2e8-2993-42e7-7299-f693bbe3b9b9</v>
    <v>es-ES</v>
    <v>Map</v>
  </rv>
  <rv s="1">
    <fb>61</fb>
    <v>27</v>
  </rv>
  <rv s="1">
    <fb>89.625630110237395</fb>
    <v>28</v>
  </rv>
  <rv s="1">
    <fb>10071.3989785006</fb>
    <v>24</v>
  </rv>
  <rv s="1">
    <fb>375907.837</fb>
    <v>24</v>
  </rv>
  <rv s="1">
    <fb>82.748780487804893</fb>
    <v>28</v>
  </rv>
  <rv s="1">
    <fb>0.19558295019999999</fb>
    <v>25</v>
  </rv>
  <rv s="2">
    <v>14</v>
  </rv>
  <rv s="3">
    <v>4</v>
    <v>22</v>
    <v>53</v>
    <v>7</v>
    <v>0</v>
    <v>Image of Australia</v>
  </rv>
  <rv s="1">
    <fb>0.22985815296127299</fb>
    <v>25</v>
  </rv>
  <rv s="1">
    <fb>119.797086368366</fb>
    <v>29</v>
  </rv>
  <rv s="4">
    <v>https://www.bing.com/search?q=Australia&amp;form=skydnc</v>
    <v>Aprenda más con Bing</v>
  </rv>
  <rv s="0">
    <v>805306368</v>
    <v>Carlos III del Reino Unido (Monarca)</v>
    <v>afc6f6a9-5b55-9178-3e6f-2c8b6d16ee9c</v>
    <v>es-ES</v>
    <v>Generic</v>
  </rv>
  <rv s="0">
    <v>805306368</v>
    <v>Anthony Albanese (Primer ministro)</v>
    <v>00f8b947-2f64-9828-df4d-5993583bdbe4</v>
    <v>es-ES</v>
    <v>Generic</v>
  </rv>
  <rv s="2">
    <v>15</v>
  </rv>
  <rv s="1">
    <fb>1.0033898000000001</fb>
    <v>25</v>
  </rv>
  <rv s="1">
    <fb>1.1314216000000001</fb>
    <v>25</v>
  </rv>
  <rv s="1">
    <fb>3.6778</fb>
    <v>30</v>
  </rv>
  <rv s="1">
    <fb>3.1</fb>
    <v>28</v>
  </rv>
  <rv s="1">
    <fb>1392680589329.1399</fb>
    <v>26</v>
  </rv>
  <rv s="1">
    <fb>25978935</fb>
    <v>24</v>
  </rv>
  <rv s="1">
    <fb>21844756</fb>
    <v>24</v>
  </rv>
  <rv s="1">
    <fb>0.27</fb>
    <v>25</v>
  </rv>
  <rv s="1">
    <fb>2.7999999999999997E-2</fb>
    <v>25</v>
  </rv>
  <rv s="1">
    <fb>0.42100000000000004</fb>
    <v>25</v>
  </rv>
  <rv s="1">
    <fb>7.400000000000001E-2</fb>
    <v>25</v>
  </rv>
  <rv s="1">
    <fb>0.221</fb>
    <v>25</v>
  </rv>
  <rv s="1">
    <fb>0.65517997741699208</fb>
    <v>25</v>
  </rv>
  <rv s="1">
    <fb>0.122</fb>
    <v>25</v>
  </rv>
  <rv s="1">
    <fb>0.161</fb>
    <v>25</v>
  </rv>
  <rv s="1">
    <fb>0.93</fb>
    <v>31</v>
  </rv>
  <rv s="1">
    <fb>6</fb>
    <v>28</v>
  </rv>
  <rv s="1">
    <fb>13.59</fb>
    <v>31</v>
  </rv>
  <rv s="0">
    <v>536870912</v>
    <v>Territorio de la Capital Australiana</v>
    <v>c296eb2e-2c1a-16bf-bc37-164541ce7365</v>
    <v>es-ES</v>
    <v>Map</v>
  </rv>
  <rv s="0">
    <v>536870912</v>
    <v>Nueva Gales del Sur</v>
    <v>9143b1e4-782f-52c3-0f4a-cea5eaf6f36a</v>
    <v>es-ES</v>
    <v>Map</v>
  </rv>
  <rv s="0">
    <v>536870912</v>
    <v>Territorio del Norte</v>
    <v>20947ace-4dd4-0516-21df-2af8da517b06</v>
    <v>es-ES</v>
    <v>Map</v>
  </rv>
  <rv s="0">
    <v>536870912</v>
    <v>Queensland</v>
    <v>d8d1c6ea-bc68-82f2-5bb3-ae7aa11442b4</v>
    <v>es-ES</v>
    <v>Map</v>
  </rv>
  <rv s="0">
    <v>536870912</v>
    <v>Australia Meridional</v>
    <v>202994ba-49c2-98c5-91fa-e0b05ffcf2da</v>
    <v>es-ES</v>
    <v>Map</v>
  </rv>
  <rv s="0">
    <v>536870912</v>
    <v>Tasmania</v>
    <v>8327961c-5e1c-9007-38cc-b90bc76e7bc3</v>
    <v>es-ES</v>
    <v>Map</v>
  </rv>
  <rv s="0">
    <v>536870912</v>
    <v>Victoria</v>
    <v>afad25fd-4cbc-2e30-7764-19bd8a1cb1bc</v>
    <v>es-ES</v>
    <v>Map</v>
  </rv>
  <rv s="0">
    <v>536870912</v>
    <v>Australia Occidental</v>
    <v>bf87c7cd-72cb-99af-809b-eb7577149dcd</v>
    <v>es-ES</v>
    <v>Map</v>
  </rv>
  <rv s="0">
    <v>536870912</v>
    <v>Isla de Navidad</v>
    <v>66788ba9-2bf3-1a5c-abea-c2feb1989f85</v>
    <v>es-ES</v>
    <v>Map</v>
  </rv>
  <rv s="0">
    <v>536870912</v>
    <v>Territorio de las Islas Ashmore y Cartier</v>
    <v>0cf3b96d-0c52-2057-50e3-f4d0baacc740</v>
    <v>es-ES</v>
    <v>Map</v>
  </rv>
  <rv s="0">
    <v>536870912</v>
    <v>Islas Cocos</v>
    <v>02bce610-1981-8169-049c-5f416771ad7e</v>
    <v>es-ES</v>
    <v>Map</v>
  </rv>
  <rv s="0">
    <v>536870912</v>
    <v>Territorio de las Islas del Mar del Coral</v>
    <v>12fcab3d-6815-b0bc-3cf7-b1396ef5cd47</v>
    <v>es-ES</v>
    <v>Map</v>
  </rv>
  <rv s="0">
    <v>536870912</v>
    <v>Territorio de las Islas Heard y McDonald</v>
    <v>fb1ed011-1cc6-3fa2-760a-a9290a0bfc5d</v>
    <v>es-ES</v>
    <v>Map</v>
  </rv>
  <rv s="0">
    <v>536870912</v>
    <v>Territorio de la Bahía de Jervis</v>
    <v>e59341af-b7a6-b4f4-6a5d-590c58c94b7c</v>
    <v>es-ES</v>
    <v>Map</v>
  </rv>
  <rv s="0">
    <v>536870912</v>
    <v>Isla Norfolk</v>
    <v>edf78bdd-d272-9969-118f-522fd065d490</v>
    <v>es-ES</v>
    <v>Map</v>
  </rv>
  <rv s="2">
    <v>16</v>
  </rv>
  <rv s="1">
    <fb>58000</fb>
    <v>24</v>
  </rv>
  <rv s="1">
    <fb>5.2680001258850098E-2</fb>
    <v>32</v>
  </rv>
  <rv s="1">
    <fb>1.74</fb>
    <v>30</v>
  </rv>
  <rv s="1">
    <fb>0.47399999999999998</fb>
    <v>25</v>
  </rv>
  <rv s="1">
    <fb>12.6</fb>
    <v>30</v>
  </rv>
  <rv s="1">
    <fb>0.48241944248714902</fb>
    <v>25</v>
  </rv>
  <rv s="2">
    <v>17</v>
  </rv>
  <rv s="6">
    <v>#VALUE!</v>
    <v>es-ES</v>
    <v>06de2191-243d-a83f-6990-2eb1c7f3382a</v>
    <v>536870912</v>
    <v>1</v>
    <v>56</v>
    <v>17</v>
    <v>38</v>
    <v>Australia</v>
    <v>20</v>
    <v>21</v>
    <v>Map</v>
    <v>22</v>
    <v>57</v>
    <v>AU</v>
    <v>274</v>
    <v>275</v>
    <v>276</v>
    <v>277</v>
    <v>278</v>
    <v>279</v>
    <v>280</v>
    <v>AUD</v>
    <v>281</v>
    <v>282</v>
    <v>Australia, oficialmente, la Mancomunidad de Australia, es un país soberano que comprende la Australia continental, la isla de Tasmania y numerosas islas menores. Con una superficie de 7 741 220 km², Australia es el país más grande de Oceanía y ...</v>
    <v>283</v>
    <v>284</v>
    <v>285</v>
    <v>Advance Australia Fair</v>
    <v>286</v>
    <v>287</v>
    <v>288</v>
    <v>289</v>
    <v>290</v>
    <v>293</v>
    <v>294</v>
    <v>295</v>
    <v>296</v>
    <v>297</v>
    <v>Australia</v>
    <v>Commonwealth of Australia</v>
    <v>298</v>
    <v>299</v>
    <v>300</v>
    <v>301</v>
    <v>302</v>
    <v>303</v>
    <v>304</v>
    <v>305</v>
    <v>306</v>
    <v>307</v>
    <v>308</v>
    <v>309</v>
    <v>310</v>
    <v>311</v>
    <v>327</v>
    <v>328</v>
    <v>329</v>
    <v>330</v>
    <v>331</v>
    <v>332</v>
    <v>333</v>
    <v>Australia</v>
    <v>mdp/vdpid/12</v>
    <v>334</v>
  </rv>
  <rv s="0">
    <v>536870912</v>
    <v>Uzbekistán</v>
    <v>fbaefa3b-5942-368c-9138-b177b90efb38</v>
    <v>es-ES</v>
    <v>Map</v>
  </rv>
  <rv s="1">
    <fb>448978</fb>
    <v>24</v>
  </rv>
  <rv s="1">
    <fb>7.5429713899785603E-2</fb>
    <v>25</v>
  </rv>
  <rv s="0">
    <v>536870912</v>
    <v>Taskent</v>
    <v>9a082910-0210-882c-d498-45343d7316df</v>
    <v>es-ES</v>
    <v>Map</v>
  </rv>
  <rv s="1">
    <fb>998</fb>
    <v>27</v>
  </rv>
  <rv s="1">
    <fb>97.738499471809007</fb>
    <v>28</v>
  </rv>
  <rv s="1">
    <fb>1645.44162925056</fb>
    <v>24</v>
  </rv>
  <rv s="1">
    <fb>91810.679000000004</fb>
    <v>24</v>
  </rv>
  <rv s="1">
    <fb>71.572999999999993</fb>
    <v>28</v>
  </rv>
  <rv s="1">
    <fb>0.42732442009999999</fb>
    <v>25</v>
  </rv>
  <rv s="2">
    <v>18</v>
  </rv>
  <rv s="3">
    <v>5</v>
    <v>22</v>
    <v>59</v>
    <v>7</v>
    <v>0</v>
    <v>Image of Uzbekistán</v>
  </rv>
  <rv s="1">
    <fb>0.14755695573088201</fb>
    <v>25</v>
  </rv>
  <rv s="4">
    <v>https://www.bing.com/search?q=Uzbekist%c3%a1n&amp;form=skydnc</v>
    <v>Aprenda más con Bing</v>
  </rv>
  <rv s="0">
    <v>805306368</v>
    <v>Shavkat Mirziyoyev (Presidente)</v>
    <v>c5895c46-c1eb-feb7-57fb-304e2233b324</v>
    <v>es-ES</v>
    <v>Generic</v>
  </rv>
  <rv s="0">
    <v>805306368</v>
    <v>Abdulla Aripov (Primer ministro)</v>
    <v>7f535ca8-4a0d-d432-d298-301940dec034</v>
    <v>es-ES</v>
    <v>Generic</v>
  </rv>
  <rv s="2">
    <v>19</v>
  </rv>
  <rv s="1">
    <fb>1.0423298000000001</fb>
    <v>25</v>
  </rv>
  <rv s="1">
    <fb>0.10076349999999999</fb>
    <v>25</v>
  </rv>
  <rv s="1">
    <fb>2.3685</fb>
    <v>30</v>
  </rv>
  <rv s="1">
    <fb>19.100000000000001</fb>
    <v>28</v>
  </rv>
  <rv s="1">
    <fb>57921286440.349503</fb>
    <v>26</v>
  </rv>
  <rv s="1">
    <fb>34915100</fb>
    <v>24</v>
  </rv>
  <rv s="1">
    <fb>16935729</fb>
    <v>24</v>
  </rv>
  <rv s="1">
    <fb>0.28300000000000003</fb>
    <v>25</v>
  </rv>
  <rv s="1">
    <fb>2.8999999999999998E-2</fb>
    <v>25</v>
  </rv>
  <rv s="1">
    <fb>0.434</fb>
    <v>25</v>
  </rv>
  <rv s="1">
    <fb>0.214</fb>
    <v>25</v>
  </rv>
  <rv s="1">
    <fb>0.65059997558593807</fb>
    <v>25</v>
  </rv>
  <rv s="1">
    <fb>0.158</fb>
    <v>25</v>
  </rv>
  <rv s="1">
    <fb>29</fb>
    <v>28</v>
  </rv>
  <rv s="1">
    <fb>0.24</fb>
    <v>31</v>
  </rv>
  <rv s="0">
    <v>536870912</v>
    <v>Karakalpakistán</v>
    <v>74032845-b5fe-a4aa-b67a-8c6da7831a09</v>
    <v>es-ES</v>
    <v>Map</v>
  </rv>
  <rv s="0">
    <v>536870912</v>
    <v>Provincia de Andijon</v>
    <v>0662f365-28c1-fd4d-9a45-18c6d874b47e</v>
    <v>es-ES</v>
    <v>Map</v>
  </rv>
  <rv s="0">
    <v>536870912</v>
    <v>Provincia de Bujará</v>
    <v>60d752ad-a68b-3f13-2d20-39bc59fb4576</v>
    <v>es-ES</v>
    <v>Map</v>
  </rv>
  <rv s="0">
    <v>536870912</v>
    <v>Provincia de Ferganá</v>
    <v>0de78b83-1d6e-1a10-7ac4-27ab5d66aeab</v>
    <v>es-ES</v>
    <v>Map</v>
  </rv>
  <rv s="0">
    <v>536870912</v>
    <v>Provincia de Yizaj</v>
    <v>e37d88f2-caf4-58e7-6a43-846282d60e03</v>
    <v>es-ES</v>
    <v>Map</v>
  </rv>
  <rv s="0">
    <v>536870912</v>
    <v>Provincia de Namangán</v>
    <v>1b1e8b72-a5b9-d4f2-81a6-958b035e5f9a</v>
    <v>es-ES</v>
    <v>Map</v>
  </rv>
  <rv s="0">
    <v>536870912</v>
    <v>Provincia de Navoi</v>
    <v>025059a8-cfea-d967-a8a8-5adf17313efe</v>
    <v>es-ES</v>
    <v>Map</v>
  </rv>
  <rv s="0">
    <v>536870912</v>
    <v>Provincia de Kashkadar</v>
    <v>cee568ae-ba49-3c1d-e6c6-fcbc96807e20</v>
    <v>es-ES</v>
    <v>Map</v>
  </rv>
  <rv s="0">
    <v>536870912</v>
    <v>Provincia de Samarcanda</v>
    <v>55d0a29b-c35d-5a5b-dc3c-6e8c07ed6993</v>
    <v>es-ES</v>
    <v>Map</v>
  </rv>
  <rv s="0">
    <v>536870912</v>
    <v>Provincia de Sir Daria</v>
    <v>da57c295-298d-d098-7553-ef3bd9c4d156</v>
    <v>es-ES</v>
    <v>Map</v>
  </rv>
  <rv s="0">
    <v>536870912</v>
    <v>Provincia de Surjandaria</v>
    <v>de4d3b5b-9633-41e7-8b54-e0053a803788</v>
    <v>es-ES</v>
    <v>Map</v>
  </rv>
  <rv s="0">
    <v>536870912</v>
    <v>Provincia de Taskent</v>
    <v>6019235b-571e-e048-fc80-195cec8e6cc7</v>
    <v>es-ES</v>
    <v>Map</v>
  </rv>
  <rv s="0">
    <v>536870912</v>
    <v>Provincia de Corasmia</v>
    <v>1a369522-72bb-2b2b-412f-fccf0c7578c3</v>
    <v>es-ES</v>
    <v>Map</v>
  </rv>
  <rv s="2">
    <v>20</v>
  </rv>
  <rv s="1">
    <fb>68000</fb>
    <v>24</v>
  </rv>
  <rv s="1">
    <fb>5.9169998168945304E-2</fb>
    <v>32</v>
  </rv>
  <rv s="1">
    <fb>2.419</fb>
    <v>30</v>
  </rv>
  <rv s="1">
    <fb>0.316</fb>
    <v>25</v>
  </rv>
  <rv s="1">
    <fb>23.3</fb>
    <v>30</v>
  </rv>
  <rv s="1">
    <fb>0.62929007992477703</fb>
    <v>25</v>
  </rv>
  <rv s="7">
    <v>#VALUE!</v>
    <v>es-ES</v>
    <v>fbaefa3b-5942-368c-9138-b177b90efb38</v>
    <v>536870912</v>
    <v>1</v>
    <v>62</v>
    <v>63</v>
    <v>64</v>
    <v>Uzbekistán</v>
    <v>20</v>
    <v>21</v>
    <v>Map</v>
    <v>22</v>
    <v>65</v>
    <v>UZ</v>
    <v>337</v>
    <v>338</v>
    <v>339</v>
    <v>339</v>
    <v>340</v>
    <v>UZS</v>
    <v>341</v>
    <v>342</v>
    <v>Uzbekistán, oficialmente República de Uzbekistán, es un país situado en Asia Central. Limita al noroeste y al norte con Kazajistán, al sur con Afganistán, al noreste con Kirguistán, al sureste con Tayikistán y al suroeste con Turkmenistán. Junto ...</v>
    <v>343</v>
    <v>344</v>
    <v>345</v>
    <v>Himno nacional de Uzbekistán</v>
    <v>346</v>
    <v>347</v>
    <v>348</v>
    <v>349</v>
    <v>352</v>
    <v>353</v>
    <v>354</v>
    <v>355</v>
    <v>356</v>
    <v>Uzbekistán</v>
    <v>République d’Ouzbékistan</v>
    <v>357</v>
    <v>358</v>
    <v>359</v>
    <v>360</v>
    <v>361</v>
    <v>362</v>
    <v>304</v>
    <v>363</v>
    <v>364</v>
    <v>95</v>
    <v>365</v>
    <v>34</v>
    <v>366</v>
    <v>367</v>
    <v>381</v>
    <v>382</v>
    <v>383</v>
    <v>384</v>
    <v>385</v>
    <v>386</v>
    <v>387</v>
    <v>Uzbekistán</v>
    <v>mdp/vdpid/247</v>
  </rv>
  <rv s="0">
    <v>536870912</v>
    <v>Ecuador</v>
    <v>2079204c-c2a1-f4df-5ade-9c8e04ca07ce</v>
    <v>es-ES</v>
    <v>Map</v>
  </rv>
  <rv s="1">
    <fb>255586.91</fb>
    <v>24</v>
  </rv>
  <rv s="1">
    <fb>0.50205952611632298</fb>
    <v>25</v>
  </rv>
  <rv s="1">
    <fb>2.6601251546613603E-3</fb>
    <v>25</v>
  </rv>
  <rv s="0">
    <v>536870912</v>
    <v>Quito</v>
    <v>dfa87a53-572b-ac85-a4bb-f3f9e6216a7c</v>
    <v>es-CL</v>
    <v>Map</v>
  </rv>
  <rv s="1">
    <fb>747000000</fb>
    <v>26</v>
  </rv>
  <rv s="0">
    <v>536870912</v>
    <v>Guayaquil</v>
    <v>92f08a91-8f1e-636f-8b59-cfe6db9e4eec</v>
    <v>es-CL</v>
    <v>Map</v>
  </rv>
  <rv s="1">
    <fb>593</fb>
    <v>27</v>
  </rv>
  <rv s="1">
    <fb>86.884660364734302</fb>
    <v>28</v>
  </rv>
  <rv s="1">
    <fb>1376.3931153262699</fb>
    <v>24</v>
  </rv>
  <rv s="1">
    <fb>41154.741000000002</fb>
    <v>24</v>
  </rv>
  <rv s="1">
    <fb>76.8</fb>
    <v>28</v>
  </rv>
  <rv s="1">
    <fb>0.43712133000000003</fb>
    <v>25</v>
  </rv>
  <rv s="3">
    <v>6</v>
    <v>22</v>
    <v>67</v>
    <v>7</v>
    <v>0</v>
    <v>Image of Ecuador</v>
  </rv>
  <rv s="1">
    <fb>124.142674729473</fb>
    <v>29</v>
  </rv>
  <rv s="4">
    <v>https://www.bing.com/search?q=Ecuador&amp;form=skydnc</v>
    <v>Aprenda más con Bing</v>
  </rv>
  <rv s="0">
    <v>805306368</v>
    <v>Daniel Noboa (Presidente)</v>
    <v>ab584480-89aa-1c0e-40b6-0ffc6980662b</v>
    <v>es-CL</v>
    <v>Generic</v>
  </rv>
  <rv s="0">
    <v>805306368</v>
    <v>Verónica Abad (Vicepresidente)</v>
    <v>23478539-2abc-9338-b6a3-b00cc85bbfed</v>
    <v>es-CL</v>
    <v>Generic</v>
  </rv>
  <rv s="2">
    <v>21</v>
  </rv>
  <rv s="1">
    <fb>1.0326795</fb>
    <v>25</v>
  </rv>
  <rv s="1">
    <fb>0.4489223</fb>
    <v>25</v>
  </rv>
  <rv s="1">
    <fb>2.0367999999999999</fb>
    <v>30</v>
  </rv>
  <rv s="1">
    <fb>12.2</fb>
    <v>28</v>
  </rv>
  <rv s="1">
    <fb>107435665000</fb>
    <v>26</v>
  </rv>
  <rv s="1">
    <fb>18001000</fb>
    <v>24</v>
  </rv>
  <rv s="1">
    <fb>11116711</fb>
    <v>24</v>
  </rv>
  <rv s="1">
    <fb>0.34399999999999997</fb>
    <v>25</v>
  </rv>
  <rv s="1">
    <fb>1.6E-2</fb>
    <v>25</v>
  </rv>
  <rv s="1">
    <fb>0.51</fb>
    <v>25</v>
  </rv>
  <rv s="1">
    <fb>4.5999999999999999E-2</fb>
    <v>25</v>
  </rv>
  <rv s="1">
    <fb>0.21199999999999999</fb>
    <v>25</v>
  </rv>
  <rv s="1">
    <fb>0.68038002014160204</fb>
    <v>25</v>
  </rv>
  <rv s="1">
    <fb>9.1999999999999998E-2</fb>
    <v>25</v>
  </rv>
  <rv s="1">
    <fb>0.14000000000000001</fb>
    <v>25</v>
  </rv>
  <rv s="1">
    <fb>0.61</fb>
    <v>31</v>
  </rv>
  <rv s="1">
    <fb>59</fb>
    <v>28</v>
  </rv>
  <rv s="1">
    <fb>2.46</fb>
    <v>31</v>
  </rv>
  <rv s="0">
    <v>536870912</v>
    <v>Provincia de Azuay</v>
    <v>2cfb014a-a9af-60a1-4b8f-eb162fbe6e72</v>
    <v>es-CL</v>
    <v>Map</v>
  </rv>
  <rv s="0">
    <v>536870912</v>
    <v>Provincia de Bolívar</v>
    <v>4d552046-3a62-f923-d3c4-56ddfbf58477</v>
    <v>es-CL</v>
    <v>Map</v>
  </rv>
  <rv s="0">
    <v>536870912</v>
    <v>Provincia de Cañar</v>
    <v>a9ec6560-75bb-6acb-2850-5ee8b3c0e70d</v>
    <v>es-CL</v>
    <v>Map</v>
  </rv>
  <rv s="0">
    <v>536870912</v>
    <v>Provincia de Carchi</v>
    <v>6468a0ed-1faa-e59e-3c47-ec3e06264004</v>
    <v>es-CL</v>
    <v>Map</v>
  </rv>
  <rv s="0">
    <v>536870912</v>
    <v>Provincia de Chimborazo</v>
    <v>8776cfea-2701-3c6f-4474-bbac439954bf</v>
    <v>es-CL</v>
    <v>Map</v>
  </rv>
  <rv s="0">
    <v>536870912</v>
    <v>Provincia de Cotopaxi</v>
    <v>c06a9fc2-f34f-e68c-9741-9cc620c63e4d</v>
    <v>es-CL</v>
    <v>Map</v>
  </rv>
  <rv s="0">
    <v>536870912</v>
    <v>Provincia de El Oro</v>
    <v>eb5def5b-73f4-3340-75cc-09e9ce42c3fb</v>
    <v>es-CL</v>
    <v>Map</v>
  </rv>
  <rv s="0">
    <v>536870912</v>
    <v>Provincia de Esmeraldas</v>
    <v>ac309a0c-71b1-692d-39ec-110d81cf9f9f</v>
    <v>es-CL</v>
    <v>Map</v>
  </rv>
  <rv s="0">
    <v>536870912</v>
    <v>Provincia de Galápagos</v>
    <v>56ad541f-3fad-e18e-448d-20d5660471b1</v>
    <v>es-CL</v>
    <v>Map</v>
  </rv>
  <rv s="0">
    <v>536870912</v>
    <v>Provincia del Guayas</v>
    <v>472795a7-7487-ff7b-83a0-7eb6b94a297f</v>
    <v>es-CL</v>
    <v>Map</v>
  </rv>
  <rv s="0">
    <v>536870912</v>
    <v>Provincia de Imbabura</v>
    <v>b55e8a0c-2c01-bedd-7ab6-6a27556de38b</v>
    <v>es-CL</v>
    <v>Map</v>
  </rv>
  <rv s="0">
    <v>536870912</v>
    <v>Provincia de Loja</v>
    <v>b0bacdd5-a2fc-0810-4f62-4031e901c349</v>
    <v>es-CL</v>
    <v>Map</v>
  </rv>
  <rv s="0">
    <v>536870912</v>
    <v>Provincia de Manabí</v>
    <v>b6790b9c-12f8-5243-0a7b-3dcdb354b2b3</v>
    <v>es-CL</v>
    <v>Map</v>
  </rv>
  <rv s="0">
    <v>536870912</v>
    <v>Provincia de Morona Santiago</v>
    <v>2ed9fd24-df04-212a-d4d9-9b4b29ad2b2d</v>
    <v>es-CL</v>
    <v>Map</v>
  </rv>
  <rv s="0">
    <v>536870912</v>
    <v>Provincia de Napo</v>
    <v>621a491f-2896-9a1d-47d2-a574afc14ace</v>
    <v>es-CL</v>
    <v>Map</v>
  </rv>
  <rv s="0">
    <v>536870912</v>
    <v>Provincia de Orellana</v>
    <v>49c9bc21-2a8d-a97d-ae97-23ca6dd7c735</v>
    <v>es-CL</v>
    <v>Map</v>
  </rv>
  <rv s="0">
    <v>536870912</v>
    <v>Provincia de Pastaza</v>
    <v>6817a2a5-110b-9f8f-f0f5-b13e6624dc59</v>
    <v>es-CL</v>
    <v>Map</v>
  </rv>
  <rv s="0">
    <v>536870912</v>
    <v>Provincia de Pichincha</v>
    <v>f4e8db75-5a82-3d59-f5e9-bd08cf6fff8a</v>
    <v>es-CL</v>
    <v>Map</v>
  </rv>
  <rv s="0">
    <v>536870912</v>
    <v>Provincia de Santa Elena</v>
    <v>fcff532e-26eb-8c4a-404f-8fc422552e15</v>
    <v>es-CL</v>
    <v>Map</v>
  </rv>
  <rv s="0">
    <v>536870912</v>
    <v>Provincia de Santo Domingo de los Tsáchilas</v>
    <v>cc2d928b-7e0d-05a2-5a13-c73529a5cda5</v>
    <v>es-CL</v>
    <v>Map</v>
  </rv>
  <rv s="0">
    <v>536870912</v>
    <v>Provincia de Sucumbíos</v>
    <v>ebfa2524-d55a-4b2c-ac5d-113b02b7f1b0</v>
    <v>es-CL</v>
    <v>Map</v>
  </rv>
  <rv s="0">
    <v>536870912</v>
    <v>Provincia de Tungurahua</v>
    <v>ee9cb293-dbab-c572-3cae-cffcd293f198</v>
    <v>es-CL</v>
    <v>Map</v>
  </rv>
  <rv s="0">
    <v>536870912</v>
    <v>Provincia de Zamora Chinchipe</v>
    <v>521e2066-d6bb-80df-996f-3f406f806d03</v>
    <v>es-CL</v>
    <v>Map</v>
  </rv>
  <rv s="0">
    <v>536870912</v>
    <v>Provincia de Los Ríos</v>
    <v>522c5a50-5b8f-afec-3199-c8ca4eefcf8e</v>
    <v>es-CL</v>
    <v>Map</v>
  </rv>
  <rv s="2">
    <v>22</v>
  </rv>
  <rv s="1">
    <fb>41000</fb>
    <v>24</v>
  </rv>
  <rv s="1">
    <fb>3.9679999351501502E-2</fb>
    <v>32</v>
  </rv>
  <rv s="1">
    <fb>2.427</fb>
    <v>30</v>
  </rv>
  <rv s="1">
    <fb>19.719000000000001</fb>
    <v>30</v>
  </rv>
  <rv s="1">
    <fb>0.22209695603156698</fb>
    <v>25</v>
  </rv>
  <rv s="8">
    <v>#VALUE!</v>
    <v>es-ES</v>
    <v>2079204c-c2a1-f4df-5ade-9c8e04ca07ce</v>
    <v>536870912</v>
    <v>1</v>
    <v>70</v>
    <v>71</v>
    <v>72</v>
    <v>Ecuador</v>
    <v>20</v>
    <v>21</v>
    <v>Map</v>
    <v>22</v>
    <v>73</v>
    <v>EC</v>
    <v>390</v>
    <v>391</v>
    <v>392</v>
    <v>393</v>
    <v>394</v>
    <v>395</v>
    <v>396</v>
    <v>USD</v>
    <v>397</v>
    <v>398</v>
    <v>Ecuador, oficialmente República del Ecuador, es un país soberano constituido en un Estado social, democrático, de derecho y plurinacional, cuya forma de gobierno es la de una república presidencialista, unitaria y descentralizada. Está ubicado ...</v>
    <v>399</v>
    <v>400</v>
    <v>401</v>
    <v>Salve, oh patria</v>
    <v>12</v>
    <v>402</v>
    <v>403</v>
    <v>404</v>
    <v>407</v>
    <v>408</v>
    <v>409</v>
    <v>410</v>
    <v>411</v>
    <v>Ecuador</v>
    <v>República del Ecuador</v>
    <v>412</v>
    <v>413</v>
    <v>414</v>
    <v>415</v>
    <v>416</v>
    <v>417</v>
    <v>418</v>
    <v>419</v>
    <v>420</v>
    <v>421</v>
    <v>422</v>
    <v>423</v>
    <v>424</v>
    <v>425</v>
    <v>450</v>
    <v>451</v>
    <v>452</v>
    <v>453</v>
    <v>415</v>
    <v>454</v>
    <v>455</v>
    <v>Ecuador</v>
    <v>mdp/vdpid/66</v>
  </rv>
  <rv s="0">
    <v>536870912</v>
    <v>Nicaragua</v>
    <v>69beb9ab-56a0-e052-4bf5-5aac6f9d8bc4</v>
    <v>es-ES</v>
    <v>Map</v>
  </rv>
  <rv s="1">
    <fb>130375</fb>
    <v>24</v>
  </rv>
  <rv s="1">
    <fb>0.25876682732258599</fb>
    <v>25</v>
  </rv>
  <rv s="1">
    <fb>5.3762899084413E-2</fb>
    <v>25</v>
  </rv>
  <rv s="0">
    <v>536870912</v>
    <v>Managua</v>
    <v>a2ab3b13-a211-525f-4c89-5ec78fab662f</v>
    <v>es-CL</v>
    <v>Map</v>
  </rv>
  <rv s="1">
    <fb>505</fb>
    <v>27</v>
  </rv>
  <rv s="1">
    <fb>40.6953920569917</fb>
    <v>28</v>
  </rv>
  <rv s="1">
    <fb>568.31381080701397</fb>
    <v>24</v>
  </rv>
  <rv s="1">
    <fb>5592.1750000000002</fb>
    <v>24</v>
  </rv>
  <rv s="1">
    <fb>74.275000000000006</fb>
    <v>28</v>
  </rv>
  <rv s="1">
    <fb>0.35988268679999996</fb>
    <v>25</v>
  </rv>
  <rv s="2">
    <v>23</v>
  </rv>
  <rv s="3">
    <v>7</v>
    <v>22</v>
    <v>75</v>
    <v>7</v>
    <v>0</v>
    <v>Image of Nicaragua</v>
  </rv>
  <rv s="1">
    <fb>0.15588586333905899</fb>
    <v>25</v>
  </rv>
  <rv s="1">
    <fb>162.739607236815</fb>
    <v>29</v>
  </rv>
  <rv s="4">
    <v>https://www.bing.com/search?q=Nicaragua&amp;form=skydnc</v>
    <v>Aprenda más con Bing</v>
  </rv>
  <rv s="0">
    <v>805306368</v>
    <v>Daniel Ortega (Presidente)</v>
    <v>ac55a86e-637b-881b-bf5a-b4ef15e8fa9c</v>
    <v>es-CL</v>
    <v>Generic</v>
  </rv>
  <rv s="0">
    <v>805306368</v>
    <v>Rosario Murillo (Vicepresidente)</v>
    <v>09da9873-a16b-b570-19b5-b4d6beb3e2f5</v>
    <v>es-CL</v>
    <v>Generic</v>
  </rv>
  <rv s="2">
    <v>24</v>
  </rv>
  <rv s="1">
    <fb>1.2064043</fb>
    <v>25</v>
  </rv>
  <rv s="1">
    <fb>0.17423739999999999</fb>
    <v>25</v>
  </rv>
  <rv s="1">
    <fb>0.97750000000000004</fb>
    <v>30</v>
  </rv>
  <rv s="1">
    <fb>15.7</fb>
    <v>28</v>
  </rv>
  <rv s="1">
    <fb>12520915291.183701</fb>
    <v>26</v>
  </rv>
  <rv s="1">
    <fb>6948392</fb>
    <v>24</v>
  </rv>
  <rv s="1">
    <fb>3846137</fb>
    <v>24</v>
  </rv>
  <rv s="1">
    <fb>0.37200000000000005</fb>
    <v>25</v>
  </rv>
  <rv s="1">
    <fb>0.02</fb>
    <v>25</v>
  </rv>
  <rv s="1">
    <fb>0.52100000000000002</fb>
    <v>25</v>
  </rv>
  <rv s="1">
    <fb>5.0999999999999997E-2</fb>
    <v>25</v>
  </rv>
  <rv s="1">
    <fb>0.2</fb>
    <v>25</v>
  </rv>
  <rv s="1">
    <fb>0.66404998779296909</fb>
    <v>25</v>
  </rv>
  <rv s="1">
    <fb>0.13699999999999998</fb>
    <v>25</v>
  </rv>
  <rv s="1">
    <fb>0.91</fb>
    <v>31</v>
  </rv>
  <rv s="1">
    <fb>98</fb>
    <v>28</v>
  </rv>
  <rv s="1">
    <fb>0.54</fb>
    <v>31</v>
  </rv>
  <rv s="0">
    <v>536870912</v>
    <v>Departamento de Boaco</v>
    <v>f4a2997d-6569-deac-bd36-1d9768d518db</v>
    <v>es-CL</v>
    <v>Map</v>
  </rv>
  <rv s="0">
    <v>536870912</v>
    <v>Departamento de Carazo</v>
    <v>b62e3414-410f-d232-ca00-d86157c9c0fe</v>
    <v>es-CL</v>
    <v>Map</v>
  </rv>
  <rv s="0">
    <v>536870912</v>
    <v>Departamento de Chinandega</v>
    <v>14f90df8-68f9-84d9-a362-3345b849bb38</v>
    <v>es-CL</v>
    <v>Map</v>
  </rv>
  <rv s="0">
    <v>536870912</v>
    <v>Departamento de Chontales</v>
    <v>1eed54b8-e6d3-bfd5-63ee-cc9a5b0041d7</v>
    <v>es-CL</v>
    <v>Map</v>
  </rv>
  <rv s="0">
    <v>536870912</v>
    <v>Departamento de Estelí</v>
    <v>dfd7438e-3ec0-15c9-87fe-fc72effd4a92</v>
    <v>es-CL</v>
    <v>Map</v>
  </rv>
  <rv s="0">
    <v>536870912</v>
    <v>Departamento de Granada</v>
    <v>5e3471d8-4752-03dd-5cd5-dd61e1ee616c</v>
    <v>es-CL</v>
    <v>Map</v>
  </rv>
  <rv s="0">
    <v>536870912</v>
    <v>Departamento de Jinotega</v>
    <v>60398820-edbb-ec8a-84c4-b5ac8549d71e</v>
    <v>es-CL</v>
    <v>Map</v>
  </rv>
  <rv s="0">
    <v>536870912</v>
    <v>Departamento de León</v>
    <v>a0f42223-6d04-d9d7-7b62-12425cccc416</v>
    <v>es-CL</v>
    <v>Map</v>
  </rv>
  <rv s="0">
    <v>536870912</v>
    <v>Departamento de Madriz</v>
    <v>81728ee1-79f6-9b76-c5cc-ee37f878b3a0</v>
    <v>es-CL</v>
    <v>Map</v>
  </rv>
  <rv s="0">
    <v>536870912</v>
    <v>Departamento de Managua</v>
    <v>617c016b-1093-0490-3463-34b0e746c50d</v>
    <v>es-CL</v>
    <v>Map</v>
  </rv>
  <rv s="0">
    <v>536870912</v>
    <v>Departamento de Masaya</v>
    <v>375fbc9c-cbcf-1580-6076-ec3acfdd9353</v>
    <v>es-CL</v>
    <v>Map</v>
  </rv>
  <rv s="0">
    <v>536870912</v>
    <v>Departamento de Matagalpa</v>
    <v>bda587c9-d64e-df8e-4b77-d9ba64a91c5e</v>
    <v>es-CL</v>
    <v>Map</v>
  </rv>
  <rv s="0">
    <v>536870912</v>
    <v>Departamento de Nueva Segovia</v>
    <v>3e264ac6-d062-e9da-1ef9-6cdee93cd8d0</v>
    <v>es-CL</v>
    <v>Map</v>
  </rv>
  <rv s="0">
    <v>536870912</v>
    <v>Departamento de Rivas</v>
    <v>d3c0a132-7da8-49f2-a7a1-f47797b6b409</v>
    <v>es-CL</v>
    <v>Map</v>
  </rv>
  <rv s="0">
    <v>536870912</v>
    <v>Departamento de Río San Juan</v>
    <v>d3ff03b5-049c-549d-a0ce-006ec8b69962</v>
    <v>es-CL</v>
    <v>Map</v>
  </rv>
  <rv s="0">
    <v>536870912</v>
    <v>Región Autónoma de la Costa Caribe Norte</v>
    <v>1d653296-e843-a712-1c4f-a638d23e4441</v>
    <v>es-CL</v>
    <v>Map</v>
  </rv>
  <rv s="0">
    <v>536870912</v>
    <v>Región Autónoma de la Costa Caribe Sur</v>
    <v>89d65d77-37fc-6893-ed2e-4c5f37a4d6cb</v>
    <v>es-CL</v>
    <v>Map</v>
  </rv>
  <rv s="2">
    <v>25</v>
  </rv>
  <rv s="1">
    <fb>12000</fb>
    <v>24</v>
  </rv>
  <rv s="1">
    <fb>6.8369998931884807E-2</fb>
    <v>32</v>
  </rv>
  <rv s="1">
    <fb>2.4039999999999999</fb>
    <v>30</v>
  </rv>
  <rv s="1">
    <fb>0.60599999999999998</fb>
    <v>25</v>
  </rv>
  <rv s="1">
    <fb>20.640999999999998</fb>
    <v>30</v>
  </rv>
  <rv s="1">
    <fb>0.42089080937344198</fb>
    <v>25</v>
  </rv>
  <rv s="9">
    <v>#VALUE!</v>
    <v>es-ES</v>
    <v>69beb9ab-56a0-e052-4bf5-5aac6f9d8bc4</v>
    <v>536870912</v>
    <v>1</v>
    <v>78</v>
    <v>79</v>
    <v>80</v>
    <v>Nicaragua</v>
    <v>20</v>
    <v>21</v>
    <v>Map</v>
    <v>22</v>
    <v>81</v>
    <v>NI</v>
    <v>458</v>
    <v>459</v>
    <v>460</v>
    <v>461</v>
    <v>461</v>
    <v>462</v>
    <v>NIC</v>
    <v>463</v>
    <v>464</v>
    <v>Nicaragua, oficialmente llamado República de Nicaragua, es un país ubicado en América Central. Su capital y ciudad más poblada es Managua, aunque anteriormente era León. Está compuesta por quince departamentos y dos regiones autónomas: Costa ...</v>
    <v>465</v>
    <v>466</v>
    <v>467</v>
    <v>Salve a ti</v>
    <v>468</v>
    <v>469</v>
    <v>470</v>
    <v>471</v>
    <v>472</v>
    <v>475</v>
    <v>476</v>
    <v>477</v>
    <v>478</v>
    <v>479</v>
    <v>Nicaragua</v>
    <v>la République du Nicaragua</v>
    <v>480</v>
    <v>481</v>
    <v>482</v>
    <v>483</v>
    <v>484</v>
    <v>485</v>
    <v>486</v>
    <v>487</v>
    <v>488</v>
    <v>421</v>
    <v>489</v>
    <v>490</v>
    <v>491</v>
    <v>492</v>
    <v>510</v>
    <v>511</v>
    <v>512</v>
    <v>513</v>
    <v>514</v>
    <v>515</v>
    <v>516</v>
    <v>Nicaragua</v>
    <v>mdp/vdpid/182</v>
  </rv>
  <rv s="0">
    <v>536870912</v>
    <v>Bolivia</v>
    <v>2da62ca9-5c7a-8f0a-b312-b40ce201f0d0</v>
    <v>es-ES</v>
    <v>Map</v>
  </rv>
  <rv s="1">
    <fb>1098581</fb>
    <v>24</v>
  </rv>
  <rv s="1">
    <fb>0.50286162651158495</fb>
    <v>25</v>
  </rv>
  <rv s="1">
    <fb>1.83954504969032E-2</fb>
    <v>25</v>
  </rv>
  <rv s="0">
    <v>536870912</v>
    <v>Sucre</v>
    <v>f8e304d7-f705-ae11-2527-4417e0689505</v>
    <v>es-CL</v>
    <v>Map</v>
  </rv>
  <rv s="0">
    <v>536870912</v>
    <v>Santa Cruz de la Sierra</v>
    <v>af7cf39e-638f-ff6b-c0bc-d59f11e7993e</v>
    <v>es-CL</v>
    <v>Map</v>
  </rv>
  <rv s="1">
    <fb>591</fb>
    <v>27</v>
  </rv>
  <rv s="1">
    <fb>84.153289986877496</fb>
    <v>28</v>
  </rv>
  <rv s="1">
    <fb>742.53839974288599</fb>
    <v>24</v>
  </rv>
  <rv s="1">
    <fb>21605.964</fb>
    <v>24</v>
  </rv>
  <rv s="1">
    <fb>71.239000000000004</fb>
    <v>28</v>
  </rv>
  <rv s="1">
    <fb>0.25921914619999997</fb>
    <v>25</v>
  </rv>
  <rv s="2">
    <v>26</v>
  </rv>
  <rv s="3">
    <v>8</v>
    <v>22</v>
    <v>83</v>
    <v>7</v>
    <v>0</v>
    <v>Image of Bolivia</v>
  </rv>
  <rv s="1">
    <fb>0.169648658038032</fb>
    <v>25</v>
  </rv>
  <rv s="1">
    <fb>148.31751847535801</fb>
    <v>29</v>
  </rv>
  <rv s="4">
    <v>https://www.bing.com/search?q=Bolivia&amp;form=skydnc</v>
    <v>Aprenda más con Bing</v>
  </rv>
  <rv s="0">
    <v>805306368</v>
    <v>Luis Arce (Presidente)</v>
    <v>d1f13422-1d15-493d-8364-b20f08fc79ae</v>
    <v>es-CL</v>
    <v>Generic</v>
  </rv>
  <rv s="0">
    <v>805306368</v>
    <v>David Choquehuanca (Vicepresidente)</v>
    <v>4084c748-353c-a859-544a-e1be262507f3</v>
    <v>es-CL</v>
    <v>Generic</v>
  </rv>
  <rv s="2">
    <v>27</v>
  </rv>
  <rv s="1">
    <fb>0.98150919999999997</fb>
    <v>25</v>
  </rv>
  <rv s="1">
    <fb>1.5901000000000001</fb>
    <v>30</v>
  </rv>
  <rv s="1">
    <fb>21.8</fb>
    <v>28</v>
  </rv>
  <rv s="1">
    <fb>40895322865.412399</fb>
    <v>26</v>
  </rv>
  <rv s="1">
    <fb>12224110</fb>
    <v>24</v>
  </rv>
  <rv s="1">
    <fb>8033035</fb>
    <v>24</v>
  </rv>
  <rv s="1">
    <fb>0.30399999999999999</fb>
    <v>25</v>
  </rv>
  <rv s="1">
    <fb>1.4999999999999999E-2</fb>
    <v>25</v>
  </rv>
  <rv s="1">
    <fb>0.47200000000000003</fb>
    <v>25</v>
  </rv>
  <rv s="1">
    <fb>0.22899999999999998</fb>
    <v>25</v>
  </rv>
  <rv s="1">
    <fb>0.718130035400391</fb>
    <v>25</v>
  </rv>
  <rv s="1">
    <fb>0.10099999999999999</fb>
    <v>25</v>
  </rv>
  <rv s="1">
    <fb>0.153</fb>
    <v>25</v>
  </rv>
  <rv s="1">
    <fb>0.71</fb>
    <v>31</v>
  </rv>
  <rv s="1">
    <fb>155</fb>
    <v>28</v>
  </rv>
  <rv s="1">
    <fb>1.36</fb>
    <v>31</v>
  </rv>
  <rv s="0">
    <v>536870912</v>
    <v>Departamento del Beni</v>
    <v>2c2bad54-59b5-c8ba-a70d-7afc08c53963</v>
    <v>es-CL</v>
    <v>Map</v>
  </rv>
  <rv s="0">
    <v>536870912</v>
    <v>Departamento de Chuquisaca</v>
    <v>02bf17fb-0e5b-d89f-1f80-9faaf75f002a</v>
    <v>es-CL</v>
    <v>Map</v>
  </rv>
  <rv s="0">
    <v>536870912</v>
    <v>Departamento de Cochabamba</v>
    <v>773b6e15-7981-19c3-9b72-f562f8e78fd5</v>
    <v>es-CL</v>
    <v>Map</v>
  </rv>
  <rv s="0">
    <v>536870912</v>
    <v>Departamento de La Paz</v>
    <v>29c87a7e-90c5-955f-b0fc-971e7610a8fc</v>
    <v>es-CL</v>
    <v>Map</v>
  </rv>
  <rv s="0">
    <v>536870912</v>
    <v>Departamento de Oruro</v>
    <v>2431b55d-5fe3-644e-77d3-89d8bace76db</v>
    <v>es-CL</v>
    <v>Map</v>
  </rv>
  <rv s="0">
    <v>536870912</v>
    <v>Departamento de Santa Cruz</v>
    <v>4fbb234c-7880-72ad-ed91-20faf0a1ce64</v>
    <v>es-CL</v>
    <v>Map</v>
  </rv>
  <rv s="0">
    <v>536870912</v>
    <v>Departamento de Potosí</v>
    <v>a546933d-2809-ff8f-ceed-3714ac903a55</v>
    <v>es-CL</v>
    <v>Map</v>
  </rv>
  <rv s="0">
    <v>536870912</v>
    <v>Departamento de Tarija</v>
    <v>bef97951-fecf-0d6d-8e48-4bac07be159e</v>
    <v>es-CL</v>
    <v>Map</v>
  </rv>
  <rv s="0">
    <v>536870912</v>
    <v>Departamento de Pando</v>
    <v>eed3cf44-05da-c432-d53e-c47683dc5a6b</v>
    <v>es-CL</v>
    <v>Map</v>
  </rv>
  <rv s="2">
    <v>28</v>
  </rv>
  <rv s="1">
    <fb>71000</fb>
    <v>24</v>
  </rv>
  <rv s="1">
    <fb>3.4979999065399198E-2</fb>
    <v>32</v>
  </rv>
  <rv s="1">
    <fb>2.73</fb>
    <v>30</v>
  </rv>
  <rv s="1">
    <fb>0.83700000000000008</fb>
    <v>25</v>
  </rv>
  <rv s="1">
    <fb>21.75</fb>
    <v>30</v>
  </rv>
  <rv s="1">
    <fb>0.34787224222283797</fb>
    <v>25</v>
  </rv>
  <rv s="10">
    <v>#VALUE!</v>
    <v>es-ES</v>
    <v>2da62ca9-5c7a-8f0a-b312-b40ce201f0d0</v>
    <v>536870912</v>
    <v>1</v>
    <v>86</v>
    <v>87</v>
    <v>88</v>
    <v>Bolivia</v>
    <v>20</v>
    <v>21</v>
    <v>Map</v>
    <v>22</v>
    <v>89</v>
    <v>BO</v>
    <v>519</v>
    <v>520</v>
    <v>521</v>
    <v>522</v>
    <v>523</v>
    <v>524</v>
    <v>BOB</v>
    <v>525</v>
    <v>526</v>
    <v>Bolivia, oficialmente el Estado Plurinacional de Bolivia, es un país soberano ubicado en la región centro occidental de América del Sur, miembro de la Comunidad Andina, constituido políticamente como un Estado social plurinacional, unitario, ...</v>
    <v>527</v>
    <v>528</v>
    <v>529</v>
    <v>Himno nacional de Bolivia</v>
    <v>530</v>
    <v>531</v>
    <v>532</v>
    <v>533</v>
    <v>534</v>
    <v>537</v>
    <v>538</v>
    <v>539</v>
    <v>540</v>
    <v>Bolivia</v>
    <v>Estado Plurinacional de Bolivia</v>
    <v>541</v>
    <v>542</v>
    <v>543</v>
    <v>544</v>
    <v>545</v>
    <v>546</v>
    <v>418</v>
    <v>547</v>
    <v>548</v>
    <v>549</v>
    <v>550</v>
    <v>551</v>
    <v>552</v>
    <v>553</v>
    <v>563</v>
    <v>564</v>
    <v>565</v>
    <v>566</v>
    <v>567</v>
    <v>568</v>
    <v>569</v>
    <v>Bolivia</v>
    <v>mdp/vdpid/26</v>
  </rv>
  <rv s="0">
    <v>536870912</v>
    <v>National Digital Archives</v>
    <v>b9284095-4a6d-a1dd-0419-a9679088fb99</v>
    <v>es-ES</v>
    <v>Map</v>
  </rv>
  <rv s="0">
    <v>536870912</v>
    <v>Voivodato de Mazovia</v>
    <v>32cae853-042c-0a77-5173-f511fead52f6</v>
    <v>es-CL</v>
    <v>Map</v>
  </rv>
  <rv s="0">
    <v>536870912</v>
    <v>Varsovia</v>
    <v>c79f30ac-b9a3-0949-6bdf-956551e5fc81</v>
    <v>es-CL</v>
    <v>Map</v>
  </rv>
  <rv s="3">
    <v>9</v>
    <v>22</v>
    <v>90</v>
    <v>7</v>
    <v>0</v>
    <v>Image of National Digital Archives</v>
  </rv>
  <rv s="1">
    <fb>52.20861111</fb>
    <v>94</v>
  </rv>
  <rv s="4">
    <v>https://www.bing.com/search?q=Narodowe+Archiwum+Cyfrowe&amp;form=skydnc</v>
    <v>Aprenda más con Bing</v>
  </rv>
  <rv s="1">
    <fb>20.97777778</fb>
    <v>94</v>
  </rv>
  <rv s="0">
    <v>536870912</v>
    <v>Polonia</v>
    <v>1d6059a2-d1f1-d2d7-4261-dc7cd5cdb84b</v>
    <v>es-CL</v>
    <v>Map</v>
  </rv>
  <rv s="11">
    <v>#VALUE!</v>
    <v>es-ES</v>
    <v>b9284095-4a6d-a1dd-0419-a9679088fb99</v>
    <v>536870912</v>
    <v>1</v>
    <v>91</v>
    <v>92</v>
    <v>93</v>
    <v>National Digital Archives</v>
    <v>20</v>
    <v>21</v>
    <v>Map</v>
    <v>22</v>
    <v>National Digital Archives are the national archives of Poland, collecting and digitising audiovisual materials. National Digital Archives are one of three central State Archives, other two being Central Archives of Historical Records and ...</v>
    <v>572</v>
    <v>573</v>
    <v>574</v>
    <v>575</v>
    <v>576</v>
    <v>577</v>
    <v>National Digital Archives</v>
    <v>578</v>
    <v>National Digital Archives</v>
    <v>mdp/vdpid/7020684608186351619</v>
  </rv>
  <rv s="0">
    <v>536870912</v>
    <v>Guatemala</v>
    <v>3d01de6a-8ed9-25cb-a652-cd408b2f3daf</v>
    <v>es-ES</v>
    <v>Map</v>
  </rv>
  <rv s="1">
    <fb>108889</fb>
    <v>24</v>
  </rv>
  <rv s="1">
    <fb>0.32695036372305403</fb>
    <v>25</v>
  </rv>
  <rv s="1">
    <fb>3.69998398008601E-2</fb>
    <v>25</v>
  </rv>
  <rv s="0">
    <v>536870912</v>
    <v>Ciudad de Guatemala</v>
    <v>e595416a-1039-c34c-75ac-9ed87ae194b0</v>
    <v>es-CL</v>
    <v>Map</v>
  </rv>
  <rv s="1">
    <fb>502</fb>
    <v>27</v>
  </rv>
  <rv s="1">
    <fb>37.378596963442199</fb>
    <v>28</v>
  </rv>
  <rv s="1">
    <fb>577.897354201025</fb>
    <v>24</v>
  </rv>
  <rv s="1">
    <fb>16776.525000000001</fb>
    <v>24</v>
  </rv>
  <rv s="1">
    <fb>74.063000000000002</fb>
    <v>28</v>
  </rv>
  <rv s="1">
    <fb>0.5576571736</fb>
    <v>25</v>
  </rv>
  <rv s="2">
    <v>29</v>
  </rv>
  <rv s="3">
    <v>10</v>
    <v>22</v>
    <v>96</v>
    <v>7</v>
    <v>0</v>
    <v>Image of Guatemala</v>
  </rv>
  <rv s="1">
    <fb>0.10591263848138499</fb>
    <v>25</v>
  </rv>
  <rv s="1">
    <fb>142.921394880398</fb>
    <v>29</v>
  </rv>
  <rv s="4">
    <v>https://www.bing.com/search?q=Guatemala&amp;form=skydnc</v>
    <v>Aprenda más con Bing</v>
  </rv>
  <rv s="0">
    <v>805306368</v>
    <v>Bernardo Arévalo (Presidente)</v>
    <v>c2c1360c-29d1-67d6-e0f9-970455468a7c</v>
    <v>es-CL</v>
    <v>Generic</v>
  </rv>
  <rv s="0">
    <v>805306368</v>
    <v>Karin Herrera (Vicepresidente)</v>
    <v>a5c52e4b-f5c7-0673-7166-7aa516a307d9</v>
    <v>es-CL</v>
    <v>Generic</v>
  </rv>
  <rv s="2">
    <v>30</v>
  </rv>
  <rv s="1">
    <fb>1.0190261999999999</fb>
    <v>25</v>
  </rv>
  <rv s="1">
    <fb>0.2178329</fb>
    <v>25</v>
  </rv>
  <rv s="1">
    <fb>0.35489999999999999</fb>
    <v>30</v>
  </rv>
  <rv s="1">
    <fb>22.1</fb>
    <v>28</v>
  </rv>
  <rv s="1">
    <fb>76710385879.662704</fb>
    <v>26</v>
  </rv>
  <rv s="1">
    <fb>17357886</fb>
    <v>24</v>
  </rv>
  <rv s="1">
    <fb>8540945</fb>
    <v>24</v>
  </rv>
  <rv s="1">
    <fb>0.38100000000000001</fb>
    <v>25</v>
  </rv>
  <rv s="1">
    <fb>1.7000000000000001E-2</fb>
    <v>25</v>
  </rv>
  <rv s="1">
    <fb>0.53600000000000003</fb>
    <v>25</v>
  </rv>
  <rv s="1">
    <fb>4.4999999999999998E-2</fb>
    <v>25</v>
  </rv>
  <rv s="1">
    <fb>0.20100000000000001</fb>
    <v>25</v>
  </rv>
  <rv s="1">
    <fb>0.62349998474121104</fb>
    <v>25</v>
  </rv>
  <rv s="1">
    <fb>8.5999999999999993E-2</fb>
    <v>25</v>
  </rv>
  <rv s="1">
    <fb>0.13200000000000001</fb>
    <v>25</v>
  </rv>
  <rv s="1">
    <fb>0.79</fb>
    <v>31</v>
  </rv>
  <rv s="1">
    <fb>95</fb>
    <v>28</v>
  </rv>
  <rv s="1">
    <fb>1.6</fb>
    <v>31</v>
  </rv>
  <rv s="0">
    <v>536870912</v>
    <v>Departamento de Alta Verapaz</v>
    <v>381e3e42-7a15-a354-6dad-f74a02232a41</v>
    <v>es-CL</v>
    <v>Map</v>
  </rv>
  <rv s="0">
    <v>536870912</v>
    <v>Departamento de Baja Verapaz</v>
    <v>bca3ec95-4821-ade2-b0fc-b75f833ca51c</v>
    <v>es-CL</v>
    <v>Map</v>
  </rv>
  <rv s="0">
    <v>536870912</v>
    <v>Departamento de Chimaltenango</v>
    <v>f1745554-5ae8-ecf1-59fd-6af2aea988c5</v>
    <v>es-CL</v>
    <v>Map</v>
  </rv>
  <rv s="0">
    <v>536870912</v>
    <v>Departamento de Chiquimula</v>
    <v>30bc9e99-0043-87fc-8f3b-fb0cef9bf2b4</v>
    <v>es-CL</v>
    <v>Map</v>
  </rv>
  <rv s="0">
    <v>536870912</v>
    <v>Departamento de Petén</v>
    <v>8c865c1e-04d4-5790-f140-3438b0dbe8a6</v>
    <v>es-CL</v>
    <v>Map</v>
  </rv>
  <rv s="0">
    <v>536870912</v>
    <v>Departamento de El Progreso</v>
    <v>7ff89c33-8b3c-0bd8-77f9-ec7248ec720f</v>
    <v>es-CL</v>
    <v>Map</v>
  </rv>
  <rv s="0">
    <v>536870912</v>
    <v>Departamento de Quiché</v>
    <v>eecce26d-daad-373e-55f4-f2740f42f402</v>
    <v>es-CL</v>
    <v>Map</v>
  </rv>
  <rv s="0">
    <v>536870912</v>
    <v>Departamento de Escuintla</v>
    <v>abd75e25-b2c9-90ca-4fac-de9b4c5a7cf0</v>
    <v>es-CL</v>
    <v>Map</v>
  </rv>
  <rv s="0">
    <v>536870912</v>
    <v>Departamento de Guatemala</v>
    <v>1a31de51-7ef1-3e03-6240-dde1a488e191</v>
    <v>es-CL</v>
    <v>Map</v>
  </rv>
  <rv s="0">
    <v>536870912</v>
    <v>Departamento de Huehuetenango</v>
    <v>dc427828-8884-d89b-5e20-9c4db48d9311</v>
    <v>es-CL</v>
    <v>Map</v>
  </rv>
  <rv s="0">
    <v>536870912</v>
    <v>Departamento de Izabal</v>
    <v>581acd22-c156-0dd0-2ea5-99fd7da38105</v>
    <v>es-CL</v>
    <v>Map</v>
  </rv>
  <rv s="0">
    <v>536870912</v>
    <v>Departamento de Jalapa</v>
    <v>9fa1196a-5717-1cb6-b7c0-d4892a1d4ba8</v>
    <v>es-CL</v>
    <v>Map</v>
  </rv>
  <rv s="0">
    <v>536870912</v>
    <v>Departamento de Jutiapa</v>
    <v>6d800b28-dad5-b072-ee37-b3bc5daa8c5e</v>
    <v>es-CL</v>
    <v>Map</v>
  </rv>
  <rv s="0">
    <v>536870912</v>
    <v>Departamento de Quetzaltenango</v>
    <v>edf55a6e-f9fe-9c89-7273-2cb88cf661db</v>
    <v>es-CL</v>
    <v>Map</v>
  </rv>
  <rv s="0">
    <v>536870912</v>
    <v>Departamento de Retalhuleu</v>
    <v>46dc9f99-5d18-06c3-57f0-f505e44ea577</v>
    <v>es-CL</v>
    <v>Map</v>
  </rv>
  <rv s="0">
    <v>536870912</v>
    <v>Departamento de Sacatepéquez</v>
    <v>f55da8fc-713d-49b9-9940-4a56ca5b71ee</v>
    <v>es-CL</v>
    <v>Map</v>
  </rv>
  <rv s="0">
    <v>536870912</v>
    <v>Departamento de San Marcos</v>
    <v>44adc098-6846-0dd7-959c-6919902ece12</v>
    <v>es-CL</v>
    <v>Map</v>
  </rv>
  <rv s="0">
    <v>536870912</v>
    <v>Departamento de Santa Rosa</v>
    <v>8a56ff9f-689c-51b6-2d01-8c101a4a5a90</v>
    <v>es-CL</v>
    <v>Map</v>
  </rv>
  <rv s="0">
    <v>536870912</v>
    <v>Departamento de Sololá</v>
    <v>362640e8-1f00-a696-287f-7e08764c4b97</v>
    <v>es-CL</v>
    <v>Map</v>
  </rv>
  <rv s="0">
    <v>536870912</v>
    <v>Departamento de Suchitepéquez</v>
    <v>ee120c09-4352-be58-fb89-611858334f29</v>
    <v>es-CL</v>
    <v>Map</v>
  </rv>
  <rv s="0">
    <v>536870912</v>
    <v>Departamento de Totonicapán</v>
    <v>ffdfafdc-be79-3444-f809-ee868b4472da</v>
    <v>es-CL</v>
    <v>Map</v>
  </rv>
  <rv s="0">
    <v>536870912</v>
    <v>Departamento de Zacapa</v>
    <v>8a303b4e-cd02-ab4a-5331-66b5ede5f123</v>
    <v>es-CL</v>
    <v>Map</v>
  </rv>
  <rv s="2">
    <v>31</v>
  </rv>
  <rv s="1">
    <fb>43000</fb>
    <v>24</v>
  </rv>
  <rv s="1">
    <fb>2.4590001106262197E-2</fb>
    <v>32</v>
  </rv>
  <rv s="1">
    <fb>2.87</fb>
    <v>30</v>
  </rv>
  <rv s="1">
    <fb>0.35200000000000004</fb>
    <v>25</v>
  </rv>
  <rv s="1">
    <fb>24.561</fb>
    <v>30</v>
  </rv>
  <rv s="1">
    <fb>0.35983575961179498</fb>
    <v>25</v>
  </rv>
  <rv s="9">
    <v>#VALUE!</v>
    <v>es-ES</v>
    <v>3d01de6a-8ed9-25cb-a652-cd408b2f3daf</v>
    <v>536870912</v>
    <v>1</v>
    <v>99</v>
    <v>79</v>
    <v>80</v>
    <v>Guatemala</v>
    <v>20</v>
    <v>21</v>
    <v>Map</v>
    <v>22</v>
    <v>100</v>
    <v>GT</v>
    <v>581</v>
    <v>582</v>
    <v>583</v>
    <v>584</v>
    <v>584</v>
    <v>585</v>
    <v>GTQ</v>
    <v>586</v>
    <v>587</v>
    <v>Guatemala ; oficialmente la República de Guatemala, es un país soberano situado en el extremo noroccidental de América Central. De acuerdo con su constitución, su forma de gobierno consiste en una república democrática, laica y representativa ...</v>
    <v>588</v>
    <v>589</v>
    <v>590</v>
    <v>Himno Nacional de Guatemala</v>
    <v>591</v>
    <v>592</v>
    <v>593</v>
    <v>594</v>
    <v>595</v>
    <v>598</v>
    <v>599</v>
    <v>600</v>
    <v>601</v>
    <v>602</v>
    <v>Guatemala</v>
    <v>Guatemala</v>
    <v>603</v>
    <v>604</v>
    <v>605</v>
    <v>606</v>
    <v>607</v>
    <v>608</v>
    <v>609</v>
    <v>610</v>
    <v>611</v>
    <v>612</v>
    <v>613</v>
    <v>614</v>
    <v>615</v>
    <v>616</v>
    <v>639</v>
    <v>640</v>
    <v>641</v>
    <v>642</v>
    <v>643</v>
    <v>644</v>
    <v>645</v>
    <v>Guatemala</v>
    <v>mdp/vdpid/99</v>
  </rv>
  <rv s="0">
    <v>536870912</v>
    <v>México</v>
    <v>8e475659-4bdc-d912-6494-affce0096bc1</v>
    <v>es-ES</v>
    <v>Map</v>
  </rv>
  <rv s="1">
    <fb>1972550</fb>
    <v>24</v>
  </rv>
  <rv s="1">
    <fb>0.339249458255099</fb>
    <v>25</v>
  </rv>
  <rv s="1">
    <fb>3.6359614212704998E-2</fb>
    <v>25</v>
  </rv>
  <rv s="0">
    <v>536870912</v>
    <v>Ciudad de México</v>
    <v>f1281260-8340-e258-c8ec-3522504400e5</v>
    <v>es-CL</v>
    <v>Map</v>
  </rv>
  <rv s="1">
    <fb>413618820000</fb>
    <v>26</v>
  </rv>
  <rv s="1">
    <fb>52</fb>
    <v>27</v>
  </rv>
  <rv s="1">
    <fb>90.426207910940704</fb>
    <v>28</v>
  </rv>
  <rv s="1">
    <fb>2157.32394883914</fb>
    <v>24</v>
  </rv>
  <rv s="1">
    <fb>486405.54800000001</fb>
    <v>24</v>
  </rv>
  <rv s="1">
    <fb>74.992000000000004</fb>
    <v>28</v>
  </rv>
  <rv s="1">
    <fb>0.41370018680000004</fb>
    <v>25</v>
  </rv>
  <rv s="2">
    <v>32</v>
  </rv>
  <rv s="3">
    <v>11</v>
    <v>22</v>
    <v>102</v>
    <v>7</v>
    <v>0</v>
    <v>Image of México</v>
  </rv>
  <rv s="1">
    <fb>0.130829255322402</fb>
    <v>25</v>
  </rv>
  <rv s="1">
    <fb>141.54252296997399</fb>
    <v>29</v>
  </rv>
  <rv s="4">
    <v>https://www.bing.com/search?q=M%c3%a9xico&amp;form=skydnc</v>
    <v>Aprenda más con Bing</v>
  </rv>
  <rv s="0">
    <v>805306368</v>
    <v>Andrés Manuel López Obrador (Presidente)</v>
    <v>f285a927-f27b-4a8e-277b-5c53b148cf20</v>
    <v>es-CL</v>
    <v>Generic</v>
  </rv>
  <rv s="0">
    <v>805306368</v>
    <v>Norma Lucía Piña Hernández (Juez presidente)</v>
    <v>c6ded009-db4d-d436-ada5-514c16278dd4</v>
    <v>es-CL</v>
    <v>Generic</v>
  </rv>
  <rv s="2">
    <v>33</v>
  </rv>
  <rv s="1">
    <fb>1.0577000999999999</fb>
    <v>25</v>
  </rv>
  <rv s="1">
    <fb>0.40228960000000002</fb>
    <v>25</v>
  </rv>
  <rv s="1">
    <fb>2.3826999999999998</fb>
    <v>30</v>
  </rv>
  <rv s="1">
    <fb>11</fb>
    <v>28</v>
  </rv>
  <rv s="1">
    <fb>1258286717124.53</fb>
    <v>26</v>
  </rv>
  <rv s="1">
    <fb>127504125</fb>
    <v>24</v>
  </rv>
  <rv s="1">
    <fb>102626859</fb>
    <v>24</v>
  </rv>
  <rv s="1">
    <fb>0.36399999999999999</fb>
    <v>25</v>
  </rv>
  <rv s="1">
    <fb>0.51700000000000002</fb>
    <v>25</v>
  </rv>
  <rv s="1">
    <fb>5.4000000000000006E-2</fb>
    <v>25</v>
  </rv>
  <rv s="1">
    <fb>0.60680000305175807</fb>
    <v>25</v>
  </rv>
  <rv s="1">
    <fb>9.5000000000000001E-2</fb>
    <v>25</v>
  </rv>
  <rv s="1">
    <fb>0.13500000000000001</fb>
    <v>25</v>
  </rv>
  <rv s="1">
    <fb>0.73</fb>
    <v>31</v>
  </rv>
  <rv s="1">
    <fb>33</fb>
    <v>28</v>
  </rv>
  <rv s="1">
    <fb>0.49</fb>
    <v>31</v>
  </rv>
  <rv s="0">
    <v>536870912</v>
    <v>Aguascalientes</v>
    <v>7f39db16-d0e9-f4ba-b929-2a69336bbcb0</v>
    <v>es-CL</v>
    <v>Map</v>
  </rv>
  <rv s="0">
    <v>536870912</v>
    <v>Baja California</v>
    <v>6b504587-24aa-0512-9ca8-180f7fa0f586</v>
    <v>es-CL</v>
    <v>Map</v>
  </rv>
  <rv s="0">
    <v>536870912</v>
    <v>Baja California Sur</v>
    <v>72f2373c-402d-1899-776e-ebde71dada5d</v>
    <v>es-CL</v>
    <v>Map</v>
  </rv>
  <rv s="0">
    <v>536870912</v>
    <v>Campeche</v>
    <v>7c67b06b-20b4-3244-d633-4a6255df7395</v>
    <v>es-CL</v>
    <v>Map</v>
  </rv>
  <rv s="0">
    <v>536870912</v>
    <v>Chiapas</v>
    <v>f0d5e228-a3c3-8699-7df3-32ab85b078b3</v>
    <v>es-CL</v>
    <v>Map</v>
  </rv>
  <rv s="0">
    <v>536870912</v>
    <v>Chihuahua</v>
    <v>ce5a5e29-7bae-05e8-fec7-e028f5c1e139</v>
    <v>es-CL</v>
    <v>Map</v>
  </rv>
  <rv s="0">
    <v>536870912</v>
    <v>Coahuila</v>
    <v>b1fb0720-5dff-3cd3-aa9b-e91c0988b9f4</v>
    <v>es-CL</v>
    <v>Map</v>
  </rv>
  <rv s="0">
    <v>536870912</v>
    <v>Colima</v>
    <v>c5187e51-1440-155f-505d-5c7804e1489f</v>
    <v>es-CL</v>
    <v>Map</v>
  </rv>
  <rv s="0">
    <v>536870912</v>
    <v>Durango</v>
    <v>d5a4a060-173a-aa5a-3023-abf4cbc2f03d</v>
    <v>es-CL</v>
    <v>Map</v>
  </rv>
  <rv s="0">
    <v>536870912</v>
    <v>Guanajuato</v>
    <v>9eaf00cd-2b5c-3655-adbc-dc91f1f0fca3</v>
    <v>es-CL</v>
    <v>Map</v>
  </rv>
  <rv s="0">
    <v>536870912</v>
    <v>Estado de Guerrero</v>
    <v>86638283-e8d0-0d69-1241-dc688f82149b</v>
    <v>es-CL</v>
    <v>Map</v>
  </rv>
  <rv s="0">
    <v>536870912</v>
    <v>Estado de Hidalgo</v>
    <v>76baa939-e01a-077d-0c83-522220d05a5b</v>
    <v>es-CL</v>
    <v>Map</v>
  </rv>
  <rv s="0">
    <v>536870912</v>
    <v>Jalisco</v>
    <v>18c29bf9-bbf0-e90f-10f3-c48c9791339b</v>
    <v>es-CL</v>
    <v>Map</v>
  </rv>
  <rv s="0">
    <v>536870912</v>
    <v>Estado de México</v>
    <v>884c2c6c-6f06-85ee-aa8d-65b8980f2231</v>
    <v>es-CL</v>
    <v>Map</v>
  </rv>
  <rv s="0">
    <v>536870912</v>
    <v>Michoacán</v>
    <v>33ec3160-5b7b-5fef-defd-4574b6b819d6</v>
    <v>es-CL</v>
    <v>Map</v>
  </rv>
  <rv s="0">
    <v>536870912</v>
    <v>Morelos</v>
    <v>457cd12b-12ce-71c2-81d5-f60ba9645b36</v>
    <v>es-CL</v>
    <v>Map</v>
  </rv>
  <rv s="0">
    <v>536870912</v>
    <v>Nayarit</v>
    <v>d5ab8703-9922-20b7-03c7-acb17f76b03e</v>
    <v>es-CL</v>
    <v>Map</v>
  </rv>
  <rv s="0">
    <v>536870912</v>
    <v>Nuevo León</v>
    <v>1696b325-bf35-b9aa-28db-3304c1996498</v>
    <v>es-CL</v>
    <v>Map</v>
  </rv>
  <rv s="0">
    <v>536870912</v>
    <v>Oaxaca</v>
    <v>2a651e2b-4cd2-6315-971b-6bddb30dfb4d</v>
    <v>es-CL</v>
    <v>Map</v>
  </rv>
  <rv s="0">
    <v>536870912</v>
    <v>Puebla</v>
    <v>e266f3f0-af5e-7537-36e1-118cfcc783a3</v>
    <v>es-CL</v>
    <v>Map</v>
  </rv>
  <rv s="0">
    <v>536870912</v>
    <v>Querétaro</v>
    <v>4a2d4179-0f55-70d5-99e7-165b2289a273</v>
    <v>es-CL</v>
    <v>Map</v>
  </rv>
  <rv s="0">
    <v>536870912</v>
    <v>Quintana Roo</v>
    <v>96bcffec-8d1c-5e86-ab0e-e31d5b9a157c</v>
    <v>es-CL</v>
    <v>Map</v>
  </rv>
  <rv s="0">
    <v>536870912</v>
    <v>San Luis Potosí</v>
    <v>c228dff2-2024-525b-1b90-fe82a2f5ccfc</v>
    <v>es-CL</v>
    <v>Map</v>
  </rv>
  <rv s="0">
    <v>536870912</v>
    <v>Sinaloa</v>
    <v>ef7dcafc-cca2-39b2-e063-e2bbf5b2022e</v>
    <v>es-CL</v>
    <v>Map</v>
  </rv>
  <rv s="0">
    <v>536870912</v>
    <v>Sonora</v>
    <v>e59e4f16-5e42-af6e-b970-e0ae59046077</v>
    <v>es-CL</v>
    <v>Map</v>
  </rv>
  <rv s="0">
    <v>536870912</v>
    <v>Tabasco</v>
    <v>f96880d9-0a36-58d3-7351-a4c7070c642d</v>
    <v>es-CL</v>
    <v>Map</v>
  </rv>
  <rv s="0">
    <v>536870912</v>
    <v>Tamaulipas</v>
    <v>6f2fce2f-2090-8583-dbf3-dd9d6fc3cab3</v>
    <v>es-CL</v>
    <v>Map</v>
  </rv>
  <rv s="0">
    <v>536870912</v>
    <v>Tlaxcala</v>
    <v>77063c53-3a0e-fbf0-30d8-68218fbc38fa</v>
    <v>es-CL</v>
    <v>Map</v>
  </rv>
  <rv s="0">
    <v>536870912</v>
    <v>Estado de Veracruz</v>
    <v>10381f79-264a-f2fd-08f8-cc5377683832</v>
    <v>es-CL</v>
    <v>Map</v>
  </rv>
  <rv s="0">
    <v>536870912</v>
    <v>Yucatán</v>
    <v>f096e19b-5b56-f73a-3e33-e3f03e33fffc</v>
    <v>es-CL</v>
    <v>Map</v>
  </rv>
  <rv s="0">
    <v>536870912</v>
    <v>Zacatecas</v>
    <v>135a47e4-6f2c-2112-febf-50c21b485bd3</v>
    <v>es-CL</v>
    <v>Map</v>
  </rv>
  <rv s="2">
    <v>34</v>
  </rv>
  <rv s="1">
    <fb>336000</fb>
    <v>24</v>
  </rv>
  <rv s="1">
    <fb>3.4249999523162801E-2</fb>
    <v>32</v>
  </rv>
  <rv s="1">
    <fb>2.129</fb>
    <v>30</v>
  </rv>
  <rv s="1">
    <fb>0.55100000000000005</fb>
    <v>25</v>
  </rv>
  <rv s="1">
    <fb>17.602</fb>
    <v>30</v>
  </rv>
  <rv s="1">
    <fb>0.54649553743666202</fb>
    <v>25</v>
  </rv>
  <rv s="2">
    <v>35</v>
  </rv>
  <rv s="6">
    <v>#VALUE!</v>
    <v>es-ES</v>
    <v>8e475659-4bdc-d912-6494-affce0096bc1</v>
    <v>536870912</v>
    <v>1</v>
    <v>105</v>
    <v>17</v>
    <v>38</v>
    <v>México</v>
    <v>20</v>
    <v>21</v>
    <v>Map</v>
    <v>22</v>
    <v>106</v>
    <v>MX</v>
    <v>648</v>
    <v>649</v>
    <v>650</v>
    <v>651</v>
    <v>652</v>
    <v>651</v>
    <v>653</v>
    <v>MXN</v>
    <v>654</v>
    <v>655</v>
    <v>México, cuyo nombre oficial es Estados Unidos Mexicanos, es un país soberano ubicado en la parte meridional de América del Norte; su capital y ciudad más poblada es la Ciudad de México. De acuerdo con la constitución vigente, su forma de ...</v>
    <v>656</v>
    <v>657</v>
    <v>658</v>
    <v>Himno Nacional Mexicano</v>
    <v>659</v>
    <v>660</v>
    <v>661</v>
    <v>662</v>
    <v>663</v>
    <v>666</v>
    <v>667</v>
    <v>668</v>
    <v>669</v>
    <v>670</v>
    <v>México</v>
    <v>Estaos Xuníos Mexicanos</v>
    <v>671</v>
    <v>672</v>
    <v>673</v>
    <v>674</v>
    <v>484</v>
    <v>675</v>
    <v>676</v>
    <v>487</v>
    <v>677</v>
    <v>678</v>
    <v>679</v>
    <v>680</v>
    <v>681</v>
    <v>682</v>
    <v>714</v>
    <v>715</v>
    <v>716</v>
    <v>717</v>
    <v>718</v>
    <v>719</v>
    <v>720</v>
    <v>México</v>
    <v>mdp/vdpid/166</v>
    <v>721</v>
  </rv>
  <rv s="0">
    <v>536870912</v>
    <v>República Popular China</v>
    <v>5fcc3d97-0cf2-94e5-6dad-cd70e387bd69</v>
    <v>es-ES</v>
    <v>Map</v>
  </rv>
  <rv s="1">
    <fb>9596961</fb>
    <v>24</v>
  </rv>
  <rv s="1">
    <fb>0.22353941805732902</fb>
    <v>25</v>
  </rv>
  <rv s="1">
    <fb>2.8992357992594101E-2</fb>
    <v>25</v>
  </rv>
  <rv s="0">
    <v>536870912</v>
    <v>Pekín</v>
    <v>e43bc499-902a-5deb-aced-aa4a247e6822</v>
    <v>es-CL</v>
    <v>Map</v>
  </rv>
  <rv s="1">
    <fb>8515504380000</fb>
    <v>26</v>
  </rv>
  <rv s="0">
    <v>536870912</v>
    <v>Shanghái</v>
    <v>29ece984-463e-6074-60e1-83f8c012ef70</v>
    <v>es-CL</v>
    <v>Map</v>
  </rv>
  <rv s="1">
    <fb>86</fb>
    <v>27</v>
  </rv>
  <rv s="1">
    <fb>87.670430768185398</fb>
    <v>28</v>
  </rv>
  <rv s="1">
    <fb>3927.0444999890101</fb>
    <v>24</v>
  </rv>
  <rv s="1">
    <fb>9893037.9519999996</fb>
    <v>24</v>
  </rv>
  <rv s="1">
    <fb>76.959999999999994</fb>
    <v>28</v>
  </rv>
  <rv s="1">
    <fb>0.32386296240000001</fb>
    <v>25</v>
  </rv>
  <rv s="2">
    <v>36</v>
  </rv>
  <rv s="3">
    <v>12</v>
    <v>22</v>
    <v>108</v>
    <v>7</v>
    <v>0</v>
    <v>Image of República Popular China</v>
  </rv>
  <rv s="1">
    <fb>9.4193182022714303E-2</fb>
    <v>25</v>
  </rv>
  <rv s="1">
    <fb>125.083155733959</fb>
    <v>29</v>
  </rv>
  <rv s="4">
    <v>https://www.bing.com/search?q=Rep%c3%bablica+Popular+China&amp;form=skydnc</v>
    <v>Aprenda más con Bing</v>
  </rv>
  <rv s="0">
    <v>805306368</v>
    <v>Xi Jinping (Presidente)</v>
    <v>cd954b68-481c-b388-8b3d-6c0081dc9adf</v>
    <v>es-CL</v>
    <v>Generic</v>
  </rv>
  <rv s="0">
    <v>805306368</v>
    <v>Xi Jinping (Secretario general)</v>
    <v>cd954b68-481c-b388-8b3d-6c0081dc9adf</v>
    <v>es-CL</v>
    <v>Generic</v>
  </rv>
  <rv s="0">
    <v>805306368</v>
    <v>Han Zheng (Vicepresidente)</v>
    <v>e9aab0c7-cc9c-fc04-646c-f65aabe8bd9a</v>
    <v>es-CL</v>
    <v>Generic</v>
  </rv>
  <rv s="0">
    <v>805306368</v>
    <v>Li Qiang (Premier)</v>
    <v>f0d727f0-3735-908f-e9a5-a6e2264d2e8e</v>
    <v>es-CL</v>
    <v>Generic</v>
  </rv>
  <rv s="2">
    <v>37</v>
  </rv>
  <rv s="1">
    <fb>1.0022275</fb>
    <v>25</v>
  </rv>
  <rv s="1">
    <fb>0.50604439999999995</fb>
    <v>25</v>
  </rv>
  <rv s="1">
    <fb>1.9798</fb>
    <v>30</v>
  </rv>
  <rv s="1">
    <fb>7.4</fb>
    <v>28</v>
  </rv>
  <rv s="1">
    <fb>18460000000000</fb>
    <v>26</v>
  </rv>
  <rv s="1">
    <fb>1412175000</fb>
    <v>24</v>
  </rv>
  <rv s="1">
    <fb>842933962</fb>
    <v>24</v>
  </rv>
  <rv s="1">
    <fb>0.29299999999999998</fb>
    <v>25</v>
  </rv>
  <rv s="1">
    <fb>2.7000000000000003E-2</fb>
    <v>25</v>
  </rv>
  <rv s="1">
    <fb>0.45299999999999996</fb>
    <v>25</v>
  </rv>
  <rv s="1">
    <fb>6.5000000000000002E-2</fb>
    <v>25</v>
  </rv>
  <rv s="1">
    <fb>0.222</fb>
    <v>25</v>
  </rv>
  <rv s="1">
    <fb>0.67986999511718804</fb>
    <v>25</v>
  </rv>
  <rv s="1">
    <fb>0.107</fb>
    <v>25</v>
  </rv>
  <rv s="1">
    <fb>0.96</fb>
    <v>31</v>
  </rv>
  <rv s="1">
    <fb>0.87</fb>
    <v>31</v>
  </rv>
  <rv s="0">
    <v>536870912</v>
    <v>Tianjin</v>
    <v>45fdbb85-8f7d-7f8b-dc59-7cb26189ef7d</v>
    <v>es-CL</v>
    <v>Map</v>
  </rv>
  <rv s="0">
    <v>536870912</v>
    <v>Hebei</v>
    <v>268021ac-4731-f143-328a-f385a6b2f343</v>
    <v>es-CL</v>
    <v>Map</v>
  </rv>
  <rv s="0">
    <v>536870912</v>
    <v>Shanxi</v>
    <v>075dd860-13e3-fb9e-dab0-6f2a22a59c5d</v>
    <v>es-CL</v>
    <v>Map</v>
  </rv>
  <rv s="0">
    <v>536870912</v>
    <v>Mongolia Interior</v>
    <v>2c74fdb2-19bf-0f2d-f20d-13b21d6103e6</v>
    <v>es-CL</v>
    <v>Map</v>
  </rv>
  <rv s="0">
    <v>536870912</v>
    <v>Liaoning</v>
    <v>50b9b45b-7555-8f4e-500a-81f90d66f392</v>
    <v>es-CL</v>
    <v>Map</v>
  </rv>
  <rv s="0">
    <v>536870912</v>
    <v>Jilin</v>
    <v>20bba38c-89a4-7448-c64a-9ec85a4ba341</v>
    <v>es-CL</v>
    <v>Map</v>
  </rv>
  <rv s="0">
    <v>536870912</v>
    <v>Heilongjiang</v>
    <v>a7c2e681-f80e-cae6-2ae7-fccb47f12008</v>
    <v>es-CL</v>
    <v>Map</v>
  </rv>
  <rv s="0">
    <v>536870912</v>
    <v>Jiangsu</v>
    <v>c979b1db-2e4e-7b88-511f-1cd5a525053c</v>
    <v>es-CL</v>
    <v>Map</v>
  </rv>
  <rv s="0">
    <v>536870912</v>
    <v>Zhejiang</v>
    <v>5464490d-3361-4945-967e-d8879b9c8415</v>
    <v>es-CL</v>
    <v>Map</v>
  </rv>
  <rv s="0">
    <v>536870912</v>
    <v>Anhui</v>
    <v>7a26b7d2-0ec9-86cd-351a-a9f347c4b9cd</v>
    <v>es-CL</v>
    <v>Map</v>
  </rv>
  <rv s="0">
    <v>536870912</v>
    <v>Fujian</v>
    <v>f7e228b4-20f3-6c06-f9d2-0e381cb472db</v>
    <v>es-CL</v>
    <v>Map</v>
  </rv>
  <rv s="0">
    <v>536870912</v>
    <v>Jiangxi</v>
    <v>60bbd587-912f-cf97-4a3b-4e9236f59153</v>
    <v>es-CL</v>
    <v>Map</v>
  </rv>
  <rv s="0">
    <v>536870912</v>
    <v>Shandong</v>
    <v>311c787d-5f0d-3960-4647-a0b3ee6bb863</v>
    <v>es-CL</v>
    <v>Map</v>
  </rv>
  <rv s="0">
    <v>536870912</v>
    <v>Henan</v>
    <v>e1b3708c-e5d8-671a-5b9c-e74cf7d11971</v>
    <v>es-CL</v>
    <v>Map</v>
  </rv>
  <rv s="0">
    <v>536870912</v>
    <v>Hubei</v>
    <v>03c5c53c-6c11-7737-b58a-31b9b73bce20</v>
    <v>es-CL</v>
    <v>Map</v>
  </rv>
  <rv s="0">
    <v>536870912</v>
    <v>Hunan</v>
    <v>84852e67-826c-7232-5aec-3bd5a776c21b</v>
    <v>es-CL</v>
    <v>Map</v>
  </rv>
  <rv s="0">
    <v>536870912</v>
    <v>Provincia de Cantón</v>
    <v>533d187e-5296-4200-eed8-55f3257c948f</v>
    <v>es-CL</v>
    <v>Map</v>
  </rv>
  <rv s="0">
    <v>536870912</v>
    <v>Guangxi</v>
    <v>b2e2f034-494c-f814-7555-fa5d56071d6f</v>
    <v>es-CL</v>
    <v>Map</v>
  </rv>
  <rv s="0">
    <v>536870912</v>
    <v>Hainan</v>
    <v>85cb11dd-f8f0-f5e0-35d3-42ce64c34e9e</v>
    <v>es-CL</v>
    <v>Map</v>
  </rv>
  <rv s="0">
    <v>536870912</v>
    <v>Chongqing</v>
    <v>69bf0da4-4c0f-d795-e3d4-f2087fc9101e</v>
    <v>es-CL</v>
    <v>Map</v>
  </rv>
  <rv s="0">
    <v>536870912</v>
    <v>Sichuan</v>
    <v>49bf1471-e0d6-011f-bb5b-edd67fea0a6f</v>
    <v>es-CL</v>
    <v>Map</v>
  </rv>
  <rv s="0">
    <v>536870912</v>
    <v>Guizhou</v>
    <v>3025ec8b-299d-6131-4293-401f8dd1701e</v>
    <v>es-CL</v>
    <v>Map</v>
  </rv>
  <rv s="0">
    <v>536870912</v>
    <v>Yunnan</v>
    <v>62345ab8-b0e6-d4c5-87b4-0e7a5b39c7dc</v>
    <v>es-CL</v>
    <v>Map</v>
  </rv>
  <rv s="0">
    <v>536870912</v>
    <v>Hong Kong</v>
    <v>304df1d5-38ee-e835-eb2a-554caba5c30e</v>
    <v>es-CL</v>
    <v>Map</v>
  </rv>
  <rv s="0">
    <v>536870912</v>
    <v>Región autónoma de Xizang</v>
    <v>47172d29-ddc9-3139-5851-4a08c8219822</v>
    <v>es-CL</v>
    <v>Map</v>
  </rv>
  <rv s="0">
    <v>536870912</v>
    <v>Shaanxi</v>
    <v>2c52cd90-c486-5a30-6fdf-b777d9331efd</v>
    <v>es-CL</v>
    <v>Map</v>
  </rv>
  <rv s="0">
    <v>536870912</v>
    <v>Gansu</v>
    <v>2bf7e5b1-3ba4-5943-77aa-7ac1cb9a0535</v>
    <v>es-CL</v>
    <v>Map</v>
  </rv>
  <rv s="0">
    <v>536870912</v>
    <v>Qinghai</v>
    <v>c8ddeac2-af7f-8ee9-dbac-33f9f697d88c</v>
    <v>es-CL</v>
    <v>Map</v>
  </rv>
  <rv s="0">
    <v>536870912</v>
    <v>Ningxia</v>
    <v>b9d307c1-70f4-a27f-6800-d624b3030236</v>
    <v>es-CL</v>
    <v>Map</v>
  </rv>
  <rv s="0">
    <v>536870912</v>
    <v>Sinkiang</v>
    <v>8e7874f1-5a52-a168-5737-ced81488dfca</v>
    <v>es-CL</v>
    <v>Map</v>
  </rv>
  <rv s="0">
    <v>536870912</v>
    <v>Macao</v>
    <v>d7203e23-120a-c7fd-485a-3fbcf88a3288</v>
    <v>es-CL</v>
    <v>Map</v>
  </rv>
  <rv s="2">
    <v>38</v>
  </rv>
  <rv s="1">
    <fb>2695000</fb>
    <v>24</v>
  </rv>
  <rv s="1">
    <fb>4.3200001716613798E-2</fb>
    <v>32</v>
  </rv>
  <rv s="1">
    <fb>1.69</fb>
    <v>30</v>
  </rv>
  <rv s="1">
    <fb>0.59200000000000008</fb>
    <v>25</v>
  </rv>
  <rv s="1">
    <fb>10.9</fb>
    <v>30</v>
  </rv>
  <rv s="1">
    <fb>0.56212313103349798</fb>
    <v>25</v>
  </rv>
  <rv s="2">
    <v>39</v>
  </rv>
  <rv s="6">
    <v>#VALUE!</v>
    <v>es-ES</v>
    <v>5fcc3d97-0cf2-94e5-6dad-cd70e387bd69</v>
    <v>536870912</v>
    <v>1</v>
    <v>112</v>
    <v>17</v>
    <v>38</v>
    <v>República Popular China</v>
    <v>20</v>
    <v>21</v>
    <v>Map</v>
    <v>22</v>
    <v>113</v>
    <v>CN</v>
    <v>724</v>
    <v>725</v>
    <v>726</v>
    <v>727</v>
    <v>728</v>
    <v>729</v>
    <v>730</v>
    <v>CNY</v>
    <v>731</v>
    <v>732</v>
    <v>La República Popular China, mayormente conocida como China, es un país soberano de Asia Oriental. Es uno de los países más antiguos, y el segundo más poblado del mundo después de ser superada por India en abril de 2023. Es la primera potencia ...</v>
    <v>733</v>
    <v>734</v>
    <v>735</v>
    <v>Marcha de los voluntarios</v>
    <v>736</v>
    <v>737</v>
    <v>738</v>
    <v>739</v>
    <v>740</v>
    <v>745</v>
    <v>746</v>
    <v>747</v>
    <v>748</v>
    <v>749</v>
    <v>República Popular China</v>
    <v>中华人民共和国</v>
    <v>750</v>
    <v>751</v>
    <v>752</v>
    <v>753</v>
    <v>754</v>
    <v>755</v>
    <v>756</v>
    <v>757</v>
    <v>758</v>
    <v>759</v>
    <v>550</v>
    <v>760</v>
    <v>366</v>
    <v>761</v>
    <v>793</v>
    <v>794</v>
    <v>795</v>
    <v>796</v>
    <v>797</v>
    <v>798</v>
    <v>799</v>
    <v>República Popular China</v>
    <v>mdp/vdpid/45</v>
    <v>800</v>
  </rv>
  <rv s="0">
    <v>536870912</v>
    <v>Canadá</v>
    <v>370ed614-32e1-4326-a356-dc0a7dd56aaa</v>
    <v>es-ES</v>
    <v>Map</v>
  </rv>
  <rv s="1">
    <fb>9984670</fb>
    <v>24</v>
  </rv>
  <rv s="1">
    <fb>0.38161546668997998</fb>
    <v>25</v>
  </rv>
  <rv s="1">
    <fb>1.9492690241159599E-2</fb>
    <v>25</v>
  </rv>
  <rv s="0">
    <v>536870912</v>
    <v>Ottawa</v>
    <v>3f2544d2-4937-9101-2f53-621199e253e5</v>
    <v>es-CL</v>
    <v>Map</v>
  </rv>
  <rv s="1">
    <fb>1937902710000</fb>
    <v>26</v>
  </rv>
  <rv s="0">
    <v>536870912</v>
    <v>Toronto</v>
    <v>e9c1d78f-effd-4cbf-af56-ce709763b200</v>
    <v>es-CL</v>
    <v>Map</v>
  </rv>
  <rv s="1">
    <fb>1</fb>
    <v>27</v>
  </rv>
  <rv s="1">
    <fb>74.089062024805997</fb>
    <v>28</v>
  </rv>
  <rv s="1">
    <fb>15588.4871464315</fb>
    <v>24</v>
  </rv>
  <rv s="1">
    <fb>544894.19799999997</fb>
    <v>24</v>
  </rv>
  <rv s="1">
    <fb>81.948780487804896</fb>
    <v>28</v>
  </rv>
  <rv s="1">
    <fb>0.1458492763</fb>
    <v>25</v>
  </rv>
  <rv s="2">
    <v>40</v>
  </rv>
  <rv s="3">
    <v>13</v>
    <v>22</v>
    <v>115</v>
    <v>7</v>
    <v>0</v>
    <v>Image of Canadá</v>
  </rv>
  <rv s="1">
    <fb>0.12844017475747799</fb>
    <v>25</v>
  </rv>
  <rv s="1">
    <fb>116.75729822552999</fb>
    <v>29</v>
  </rv>
  <rv s="4">
    <v>https://www.bing.com/search?q=Canad%c3%a1&amp;form=skydnc</v>
    <v>Aprenda más con Bing</v>
  </rv>
  <rv s="0">
    <v>805306368</v>
    <v>Carlos III del Reino Unido (Monarca)</v>
    <v>afc6f6a9-5b55-9178-3e6f-2c8b6d16ee9c</v>
    <v>es-CL</v>
    <v>Generic</v>
  </rv>
  <rv s="0">
    <v>805306368</v>
    <v>Justin Trudeau (Primer ministro)</v>
    <v>d37aba31-28d1-b943-f0c6-dbddeb460528</v>
    <v>es-CL</v>
    <v>Generic</v>
  </rv>
  <rv s="2">
    <v>41</v>
  </rv>
  <rv s="1">
    <fb>1.0094368</fb>
    <v>25</v>
  </rv>
  <rv s="1">
    <fb>0.68922510000000003</fb>
    <v>25</v>
  </rv>
  <rv s="1">
    <fb>2.6101999999999999</fb>
    <v>30</v>
  </rv>
  <rv s="1">
    <fb>4.3</fb>
    <v>28</v>
  </rv>
  <rv s="1">
    <fb>1736425629519.96</fb>
    <v>26</v>
  </rv>
  <rv s="1">
    <fb>38929902</fb>
    <v>24</v>
  </rv>
  <rv s="1">
    <fb>30628482</fb>
    <v>24</v>
  </rv>
  <rv s="1">
    <fb>0.251</fb>
    <v>25</v>
  </rv>
  <rv s="1">
    <fb>2.4E-2</fb>
    <v>25</v>
  </rv>
  <rv s="1">
    <fb>0.40600000000000003</fb>
    <v>25</v>
  </rv>
  <rv s="1">
    <fb>6.7000000000000004E-2</fb>
    <v>25</v>
  </rv>
  <rv s="1">
    <fb>0.23300000000000001</fb>
    <v>25</v>
  </rv>
  <rv s="1">
    <fb>0.65070999145507802</fb>
    <v>25</v>
  </rv>
  <rv s="1">
    <fb>0.124</fb>
    <v>25</v>
  </rv>
  <rv s="1">
    <fb>0.17</fb>
    <v>25</v>
  </rv>
  <rv s="1">
    <fb>0.81</fb>
    <v>31</v>
  </rv>
  <rv s="1">
    <fb>10</fb>
    <v>28</v>
  </rv>
  <rv s="1">
    <fb>9.51</fb>
    <v>31</v>
  </rv>
  <rv s="0">
    <v>536870912</v>
    <v>Ontario</v>
    <v>070ad921-224a-9ed5-6fe1-8eab57b4b2e7</v>
    <v>es-CL</v>
    <v>Map</v>
  </rv>
  <rv s="0">
    <v>536870912</v>
    <v>Quebec</v>
    <v>32da1fe8-6bb5-f40e-e008-82becf7ef390</v>
    <v>es-CL</v>
    <v>Map</v>
  </rv>
  <rv s="0">
    <v>536870912</v>
    <v>Nueva Escocia</v>
    <v>baa4aedd-bbb6-989e-cba4-ec2c9bdd906a</v>
    <v>es-CL</v>
    <v>Map</v>
  </rv>
  <rv s="0">
    <v>536870912</v>
    <v>Nuevo Brunswick</v>
    <v>ed967bed-da27-9206-2407-d4e698015192</v>
    <v>es-CL</v>
    <v>Map</v>
  </rv>
  <rv s="0">
    <v>536870912</v>
    <v>Manitoba</v>
    <v>21c9c883-dcc4-1490-a815-79c6eb525369</v>
    <v>es-CL</v>
    <v>Map</v>
  </rv>
  <rv s="0">
    <v>536870912</v>
    <v>Terranova y Labrador</v>
    <v>895215e2-2c65-6494-fa6a-1f441a39ac4f</v>
    <v>es-CL</v>
    <v>Map</v>
  </rv>
  <rv s="0">
    <v>536870912</v>
    <v>Isla del Príncipe Eduardo</v>
    <v>4e4aadcb-4928-0762-e307-bc01ba8f3dfb</v>
    <v>es-CL</v>
    <v>Map</v>
  </rv>
  <rv s="0">
    <v>536870912</v>
    <v>Saskatchewan</v>
    <v>ec7108bb-bd34-c969-f3f2-2a9eed70102e</v>
    <v>es-CL</v>
    <v>Map</v>
  </rv>
  <rv s="0">
    <v>536870912</v>
    <v>Alberta</v>
    <v>ac4b7d59-c4be-889f-9a45-7e7c524794ec</v>
    <v>es-CL</v>
    <v>Map</v>
  </rv>
  <rv s="0">
    <v>536870912</v>
    <v>Yukón</v>
    <v>68d0a1b9-92a8-857c-53f4-9150cd050ece</v>
    <v>es-CL</v>
    <v>Map</v>
  </rv>
  <rv s="0">
    <v>536870912</v>
    <v>Territorios del Noroeste</v>
    <v>2e2284ce-2cc1-0b16-10e6-0783ada7c95b</v>
    <v>es-CL</v>
    <v>Map</v>
  </rv>
  <rv s="0">
    <v>536870912</v>
    <v>Nunavut</v>
    <v>5220a5b2-1244-23fe-9851-d4b0373ac92e</v>
    <v>es-CL</v>
    <v>Map</v>
  </rv>
  <rv s="0">
    <v>536870912</v>
    <v>Columbia Británica</v>
    <v>32a8fd1c-cd9d-0da9-35fb-f952ed824d4f</v>
    <v>es-CL</v>
    <v>Map</v>
  </rv>
  <rv s="2">
    <v>42</v>
  </rv>
  <rv s="1">
    <fb>72000</fb>
    <v>24</v>
  </rv>
  <rv s="1">
    <fb>5.5640001296997095E-2</fb>
    <v>32</v>
  </rv>
  <rv s="1">
    <fb>1.4987999999999999</fb>
    <v>30</v>
  </rv>
  <rv s="1">
    <fb>0.245</fb>
    <v>25</v>
  </rv>
  <rv s="1">
    <fb>10.1</fb>
    <v>30</v>
  </rv>
  <rv s="1">
    <fb>6.8918382450780802E-2</fb>
    <v>25</v>
  </rv>
  <rv s="2">
    <v>43</v>
  </rv>
  <rv s="6">
    <v>#VALUE!</v>
    <v>es-ES</v>
    <v>370ed614-32e1-4326-a356-dc0a7dd56aaa</v>
    <v>536870912</v>
    <v>1</v>
    <v>118</v>
    <v>17</v>
    <v>38</v>
    <v>Canadá</v>
    <v>20</v>
    <v>21</v>
    <v>Map</v>
    <v>22</v>
    <v>119</v>
    <v>CA</v>
    <v>803</v>
    <v>804</v>
    <v>805</v>
    <v>806</v>
    <v>807</v>
    <v>808</v>
    <v>809</v>
    <v>CAD</v>
    <v>810</v>
    <v>811</v>
    <v>Canadá es un país soberano ubicado en América del Norte, cuya forma de gobierno es la monarquía parlamentaria federal. Su territorio está organizado en diez provincias y tres territorios. Su capital es la ciudad de Ottawa y su ciudad más poblada ...</v>
    <v>812</v>
    <v>813</v>
    <v>814</v>
    <v>O Canada</v>
    <v>815</v>
    <v>816</v>
    <v>817</v>
    <v>818</v>
    <v>819</v>
    <v>822</v>
    <v>823</v>
    <v>824</v>
    <v>825</v>
    <v>826</v>
    <v>Canadá</v>
    <v>Canada</v>
    <v>827</v>
    <v>828</v>
    <v>829</v>
    <v>830</v>
    <v>831</v>
    <v>832</v>
    <v>833</v>
    <v>834</v>
    <v>835</v>
    <v>836</v>
    <v>837</v>
    <v>838</v>
    <v>839</v>
    <v>840</v>
    <v>854</v>
    <v>855</v>
    <v>856</v>
    <v>857</v>
    <v>858</v>
    <v>859</v>
    <v>860</v>
    <v>Canadá</v>
    <v>mdp/vdpid/39</v>
    <v>861</v>
  </rv>
  <rv s="0">
    <v>536870912</v>
    <v>República Democrática del Congo</v>
    <v>ca4ca1f6-14e8-4ec4-828b-9f989adfdedf</v>
    <v>es-ES</v>
    <v>Map</v>
  </rv>
  <rv s="1">
    <fb>2344858</fb>
    <v>24</v>
  </rv>
  <rv s="1">
    <fb>0.67165079618888002</fb>
    <v>25</v>
  </rv>
  <rv s="1">
    <fb>2.8858510729000902E-2</fb>
    <v>25</v>
  </rv>
  <rv s="0">
    <v>536870912</v>
    <v>Kinsasa</v>
    <v>2acb1013-1141-4cb4-9703-aa6eef3bc16a</v>
    <v>es-CL</v>
    <v>Map</v>
  </rv>
  <rv s="1">
    <fb>243</fb>
    <v>27</v>
  </rv>
  <rv s="1">
    <fb>5.3558141424821999</fb>
    <v>28</v>
  </rv>
  <rv s="1">
    <fb>108.516701140545</fb>
    <v>24</v>
  </rv>
  <rv s="1">
    <fb>2020.5170000000001</fb>
    <v>24</v>
  </rv>
  <rv s="1">
    <fb>60.368000000000002</fb>
    <v>28</v>
  </rv>
  <rv s="1">
    <fb>0.37426708410000004</fb>
    <v>25</v>
  </rv>
  <rv s="2">
    <v>44</v>
  </rv>
  <rv s="3">
    <v>14</v>
    <v>22</v>
    <v>121</v>
    <v>7</v>
    <v>0</v>
    <v>Image of República Democrática del Congo</v>
  </rv>
  <rv s="1">
    <fb>0.10704062801046201</fb>
    <v>25</v>
  </rv>
  <rv s="1">
    <fb>133.85092657703501</fb>
    <v>29</v>
  </rv>
  <rv s="4">
    <v>https://www.bing.com/search?q=Rep%c3%bablica+Democr%c3%a1tica+del+Congo&amp;form=skydnc</v>
    <v>Aprenda más con Bing</v>
  </rv>
  <rv s="0">
    <v>805306368</v>
    <v>Félix Tshisekedi (Presidente)</v>
    <v>c33cb891-5387-79e5-c3ac-161bddd248b5</v>
    <v>es-CL</v>
    <v>Generic</v>
  </rv>
  <rv s="0">
    <v>805306368</v>
    <v>Jean-Michel Sama Lukonde (Primer ministro)</v>
    <v>3a92aae7-edf2-2ad7-bcc3-ade7c0b5fa53</v>
    <v>es-CL</v>
    <v>Generic</v>
  </rv>
  <rv s="2">
    <v>45</v>
  </rv>
  <rv s="1">
    <fb>1.0797707999999999</fb>
    <v>25</v>
  </rv>
  <rv s="1">
    <fb>6.6033400000000006E-2</fb>
    <v>25</v>
  </rv>
  <rv s="1">
    <fb>7.3999999999999996E-2</fb>
    <v>30</v>
  </rv>
  <rv s="1">
    <fb>68.2</fb>
    <v>28</v>
  </rv>
  <rv s="1">
    <fb>47319624204.093803</fb>
    <v>26</v>
  </rv>
  <rv s="1">
    <fb>99010212</fb>
    <v>24</v>
  </rv>
  <rv s="1">
    <fb>39095679</fb>
    <v>24</v>
  </rv>
  <rv s="1">
    <fb>0.32</fb>
    <v>25</v>
  </rv>
  <rv s="1">
    <fb>2.1000000000000001E-2</fb>
    <v>25</v>
  </rv>
  <rv s="1">
    <fb>0.48399999999999999</fb>
    <v>25</v>
  </rv>
  <rv s="1">
    <fb>5.5E-2</fb>
    <v>25</v>
  </rv>
  <rv s="1">
    <fb>0.21600000000000003</fb>
    <v>25</v>
  </rv>
  <rv s="1">
    <fb>0.63462001800537104</fb>
    <v>25</v>
  </rv>
  <rv s="1">
    <fb>0.1</fb>
    <v>25</v>
  </rv>
  <rv s="1">
    <fb>0.14499999999999999</fb>
    <v>25</v>
  </rv>
  <rv s="1">
    <fb>1.49</fb>
    <v>31</v>
  </rv>
  <rv s="1">
    <fb>473</fb>
    <v>28</v>
  </rv>
  <rv s="1">
    <fb>0.18</fb>
    <v>31</v>
  </rv>
  <rv s="0">
    <v>536870912</v>
    <v>Provincia de Équateur</v>
    <v>0f6db8a7-f756-4513-8871-9fce750158e0</v>
    <v>es-CL</v>
    <v>Map</v>
  </rv>
  <rv s="0">
    <v>536870912</v>
    <v>Provincia de Kasai Occidental</v>
    <v>f109ad29-3f8e-4a1d-ba07-ff0b3b9ec275</v>
    <v>es-CL</v>
    <v>Map</v>
  </rv>
  <rv s="0">
    <v>536870912</v>
    <v>Provincia de Kasai Oriental</v>
    <v>19bed4cb-4bbb-4863-afdf-a7ac510bc840</v>
    <v>es-CL</v>
    <v>Map</v>
  </rv>
  <rv s="0">
    <v>536870912</v>
    <v>Provincia de Katanga</v>
    <v>56ae1879-db81-4f74-a52e-7fe9ed5ea5a2</v>
    <v>es-CL</v>
    <v>Map</v>
  </rv>
  <rv s="0">
    <v>536870912</v>
    <v>Provincia de Maniema</v>
    <v>061168d8-c9d6-4e36-a475-b6c1b6b53803</v>
    <v>es-CL</v>
    <v>Map</v>
  </rv>
  <rv s="0">
    <v>536870912</v>
    <v>Provincia de Kivu del Norte</v>
    <v>cff98cf5-c18d-4744-b7fd-3460e4e602e4</v>
    <v>es-CL</v>
    <v>Map</v>
  </rv>
  <rv s="0">
    <v>536870912</v>
    <v>Provincia de Kivu del Sur</v>
    <v>9e033254-96ff-4a56-bf8a-9bd770751374</v>
    <v>es-CL</v>
    <v>Map</v>
  </rv>
  <rv s="2">
    <v>46</v>
  </rv>
  <rv s="1">
    <fb>134000</fb>
    <v>24</v>
  </rv>
  <rv s="1">
    <fb>4.2360000610351597E-2</fb>
    <v>32</v>
  </rv>
  <rv s="1">
    <fb>5.9189999999999996</fb>
    <v>30</v>
  </rv>
  <rv s="1">
    <fb>0.50700000000000001</fb>
    <v>25</v>
  </rv>
  <rv s="1">
    <fb>41.183</fb>
    <v>30</v>
  </rv>
  <rv s="1">
    <fb>0.115568690589092</fb>
    <v>25</v>
  </rv>
  <rv s="9">
    <v>#VALUE!</v>
    <v>es-ES</v>
    <v>ca4ca1f6-14e8-4ec4-828b-9f989adfdedf</v>
    <v>536870912</v>
    <v>1</v>
    <v>124</v>
    <v>79</v>
    <v>80</v>
    <v>República Democrática del Congo</v>
    <v>20</v>
    <v>21</v>
    <v>Map</v>
    <v>22</v>
    <v>125</v>
    <v>CD</v>
    <v>864</v>
    <v>865</v>
    <v>866</v>
    <v>867</v>
    <v>867</v>
    <v>868</v>
    <v>CDF</v>
    <v>869</v>
    <v>870</v>
    <v>La República Democrática del Congo, también conocida popularmente como R. D. Congo, Congo Democrático, Congo-Kinsasa o Congo del Este, y denominado Zaire entre los años 1971 y 1997, es uno de los cincuenta y cuatro países que forman el ...</v>
    <v>871</v>
    <v>872</v>
    <v>873</v>
    <v>Debout Congolais</v>
    <v>874</v>
    <v>875</v>
    <v>876</v>
    <v>877</v>
    <v>878</v>
    <v>881</v>
    <v>882</v>
    <v>883</v>
    <v>884</v>
    <v>885</v>
    <v>República Democrática del Congo</v>
    <v>République démocratique du Congo</v>
    <v>886</v>
    <v>887</v>
    <v>888</v>
    <v>889</v>
    <v>890</v>
    <v>891</v>
    <v>892</v>
    <v>893</v>
    <v>894</v>
    <v>895</v>
    <v>896</v>
    <v>897</v>
    <v>898</v>
    <v>899</v>
    <v>907</v>
    <v>908</v>
    <v>909</v>
    <v>910</v>
    <v>911</v>
    <v>912</v>
    <v>913</v>
    <v>República Democrática del Congo</v>
    <v>mdp/vdpid/44</v>
  </rv>
  <rv s="0">
    <v>536870912</v>
    <v>Angola</v>
    <v>c44de41a-6be7-26a0-e667-1b91b20b039f</v>
    <v>es-ES</v>
    <v>Map</v>
  </rv>
  <rv s="1">
    <fb>1246700</fb>
    <v>24</v>
  </rv>
  <rv s="1">
    <fb>0.46307210410483696</fb>
    <v>25</v>
  </rv>
  <rv s="1">
    <fb>0.17145319942787199</fb>
    <v>25</v>
  </rv>
  <rv s="0">
    <v>536870912</v>
    <v>Luanda</v>
    <v>8a776407-8935-f0e9-c346-94fa1f94d32b</v>
    <v>es-CL</v>
    <v>Map</v>
  </rv>
  <rv s="1">
    <fb>244</fb>
    <v>27</v>
  </rv>
  <rv s="1">
    <fb>48.305593009732902</fb>
    <v>28</v>
  </rv>
  <rv s="1">
    <fb>312.228824978484</fb>
    <v>24</v>
  </rv>
  <rv s="1">
    <fb>34693.487000000001</fb>
    <v>24</v>
  </rv>
  <rv s="1">
    <fb>60.781999999999996</fb>
    <v>28</v>
  </rv>
  <rv s="1">
    <fb>0.33387796799999997</fb>
    <v>25</v>
  </rv>
  <rv s="2">
    <v>47</v>
  </rv>
  <rv s="3">
    <v>15</v>
    <v>22</v>
    <v>127</v>
    <v>7</v>
    <v>0</v>
    <v>Image of Angola</v>
  </rv>
  <rv s="1">
    <fb>9.2237774537182501E-2</fb>
    <v>25</v>
  </rv>
  <rv s="1">
    <fb>261.72720165799001</fb>
    <v>29</v>
  </rv>
  <rv s="4">
    <v>https://www.bing.com/search?q=Angola&amp;form=skydnc</v>
    <v>Aprenda más con Bing</v>
  </rv>
  <rv s="0">
    <v>805306368</v>
    <v>João Lourenço (Presidente)</v>
    <v>ed80ec01-2935-4c79-9f19-8a6e4629a905</v>
    <v>es-CL</v>
    <v>Generic</v>
  </rv>
  <rv s="0">
    <v>805306368</v>
    <v>Esperança da Costa (Vicepresidente)</v>
    <v>d556a1a1-4870-2baa-2bdb-e5cde6c6c7cf</v>
    <v>es-CL</v>
    <v>Generic</v>
  </rv>
  <rv s="2">
    <v>48</v>
  </rv>
  <rv s="1">
    <fb>1.1347795999999999</fb>
    <v>25</v>
  </rv>
  <rv s="1">
    <fb>9.336259999999999E-2</fb>
    <v>25</v>
  </rv>
  <rv s="1">
    <fb>0.21460000000000001</fb>
    <v>30</v>
  </rv>
  <rv s="1">
    <fb>51.6</fb>
    <v>28</v>
  </rv>
  <rv s="1">
    <fb>94635415869.985107</fb>
    <v>26</v>
  </rv>
  <rv s="1">
    <fb>35588987</fb>
    <v>24</v>
  </rv>
  <rv s="1">
    <fb>21061025</fb>
    <v>24</v>
  </rv>
  <rv s="1">
    <fb>0.39600000000000002</fb>
    <v>25</v>
  </rv>
  <rv s="1">
    <fb>1.3000000000000001E-2</fb>
    <v>25</v>
  </rv>
  <rv s="1">
    <fb>0.55600000000000005</fb>
    <v>25</v>
  </rv>
  <rv s="1">
    <fb>3.7999999999999999E-2</fb>
    <v>25</v>
  </rv>
  <rv s="1">
    <fb>0.20399999999999999</fb>
    <v>25</v>
  </rv>
  <rv s="1">
    <fb>0.77492996215820298</fb>
    <v>25</v>
  </rv>
  <rv s="1">
    <fb>7.6999999999999999E-2</fb>
    <v>25</v>
  </rv>
  <rv s="1">
    <fb>0.126</fb>
    <v>25</v>
  </rv>
  <rv s="1">
    <fb>0.97</fb>
    <v>31</v>
  </rv>
  <rv s="1">
    <fb>241</fb>
    <v>28</v>
  </rv>
  <rv s="0">
    <v>536870912</v>
    <v>Provincia de Bengo</v>
    <v>327e9606-e870-8641-b1fc-3603da70608f</v>
    <v>es-CL</v>
    <v>Map</v>
  </rv>
  <rv s="0">
    <v>536870912</v>
    <v>Provincia de Benguela</v>
    <v>1d609f56-97f4-4bd4-3c63-12f32c8e2c99</v>
    <v>es-CL</v>
    <v>Map</v>
  </rv>
  <rv s="0">
    <v>536870912</v>
    <v>Provincia de Bié</v>
    <v>1ae476bf-5de5-fbcb-eb8c-d9c924ab73b2</v>
    <v>es-CL</v>
    <v>Map</v>
  </rv>
  <rv s="0">
    <v>536870912</v>
    <v>Provincia de Cabinda</v>
    <v>7672281f-a928-c930-b47c-81f5b7876acf</v>
    <v>es-CL</v>
    <v>Map</v>
  </rv>
  <rv s="0">
    <v>536870912</v>
    <v>Provincia de Cuando Cubango</v>
    <v>d9441e4b-03d2-6adb-f1c1-8dbfb4d68ac4</v>
    <v>es-CL</v>
    <v>Map</v>
  </rv>
  <rv s="0">
    <v>536870912</v>
    <v>Provincia de Cuanza Norte</v>
    <v>b8bbd69b-0659-b2bf-d552-01eba5ae5792</v>
    <v>es-CL</v>
    <v>Map</v>
  </rv>
  <rv s="0">
    <v>536870912</v>
    <v>Provincia de Cuanza Sur</v>
    <v>8a98e101-ea44-19fe-1981-331be311010a</v>
    <v>es-CL</v>
    <v>Map</v>
  </rv>
  <rv s="0">
    <v>536870912</v>
    <v>Provincia de Cunene</v>
    <v>e0b594d2-cc63-d93d-07f2-cf72875cdd28</v>
    <v>es-CL</v>
    <v>Map</v>
  </rv>
  <rv s="0">
    <v>536870912</v>
    <v>Provincia de Huambo</v>
    <v>04981c62-f1c7-4dd8-ddf0-315359e7ce19</v>
    <v>es-CL</v>
    <v>Map</v>
  </rv>
  <rv s="0">
    <v>536870912</v>
    <v>Provincia de Huíla</v>
    <v>abf6abfc-f076-1235-dc02-972c822a69c8</v>
    <v>es-CL</v>
    <v>Map</v>
  </rv>
  <rv s="0">
    <v>536870912</v>
    <v>Provincia de Luanda</v>
    <v>3fc5bc35-c317-3bea-49c0-8dd6d20e2533</v>
    <v>es-CL</v>
    <v>Map</v>
  </rv>
  <rv s="0">
    <v>536870912</v>
    <v>Provincia de Lunda Norte</v>
    <v>2b0900d5-fff2-cf13-a8f4-d20c45f69dde</v>
    <v>es-CL</v>
    <v>Map</v>
  </rv>
  <rv s="0">
    <v>536870912</v>
    <v>Provincia de Lunda Sur</v>
    <v>41523132-0a9a-7b5a-cd2f-4f0b9710d443</v>
    <v>es-CL</v>
    <v>Map</v>
  </rv>
  <rv s="0">
    <v>536870912</v>
    <v>Provincia de Malanje</v>
    <v>3099b36f-1396-31fe-b591-dd982d3e0128</v>
    <v>es-CL</v>
    <v>Map</v>
  </rv>
  <rv s="0">
    <v>536870912</v>
    <v>Provincia de Namibe</v>
    <v>a646f8c8-b948-11ea-ba49-12591ba9542c</v>
    <v>es-CL</v>
    <v>Map</v>
  </rv>
  <rv s="0">
    <v>536870912</v>
    <v>Provincia de Moxico</v>
    <v>f682e4b6-b04b-667e-8c02-59063a376b5a</v>
    <v>es-CL</v>
    <v>Map</v>
  </rv>
  <rv s="0">
    <v>536870912</v>
    <v>Provincia de Uíge</v>
    <v>6a34ff6c-96f1-ccb1-d2c7-5cf62f9924de</v>
    <v>es-CL</v>
    <v>Map</v>
  </rv>
  <rv s="0">
    <v>536870912</v>
    <v>Provincia de Zaire</v>
    <v>3a002640-0183-b075-1951-2692cabc6b71</v>
    <v>es-CL</v>
    <v>Map</v>
  </rv>
  <rv s="2">
    <v>49</v>
  </rv>
  <rv s="1">
    <fb>117000</fb>
    <v>24</v>
  </rv>
  <rv s="1">
    <fb>6.8860001564025899E-2</fb>
    <v>32</v>
  </rv>
  <rv s="1">
    <fb>5.5190000000000001</fb>
    <v>30</v>
  </rv>
  <rv s="1">
    <fb>0.49099999999999999</fb>
    <v>25</v>
  </rv>
  <rv s="1">
    <fb>40.728999999999999</fb>
    <v>30</v>
  </rv>
  <rv s="1">
    <fb>0.47477340178070099</fb>
    <v>25</v>
  </rv>
  <rv s="9">
    <v>#VALUE!</v>
    <v>es-ES</v>
    <v>c44de41a-6be7-26a0-e667-1b91b20b039f</v>
    <v>536870912</v>
    <v>1</v>
    <v>130</v>
    <v>79</v>
    <v>80</v>
    <v>Angola</v>
    <v>20</v>
    <v>21</v>
    <v>Map</v>
    <v>22</v>
    <v>131</v>
    <v>AO</v>
    <v>916</v>
    <v>917</v>
    <v>918</v>
    <v>919</v>
    <v>919</v>
    <v>920</v>
    <v>AOA</v>
    <v>921</v>
    <v>922</v>
    <v>Angola, cuyo nombre oficial es República de Angola, es un país ubicado al sur de África que tiene fronteras con Namibia por el sur, con Zambia por el sureste, con la República Democrática del Congo por el norte y el noreste y con la República ...</v>
    <v>923</v>
    <v>924</v>
    <v>925</v>
    <v>Angola Avante!</v>
    <v>926</v>
    <v>927</v>
    <v>928</v>
    <v>929</v>
    <v>930</v>
    <v>933</v>
    <v>934</v>
    <v>935</v>
    <v>936</v>
    <v>937</v>
    <v>Angola</v>
    <v>República de Angola</v>
    <v>938</v>
    <v>939</v>
    <v>940</v>
    <v>941</v>
    <v>942</v>
    <v>943</v>
    <v>944</v>
    <v>945</v>
    <v>946</v>
    <v>947</v>
    <v>948</v>
    <v>949</v>
    <v>950</v>
    <v>551</v>
    <v>969</v>
    <v>970</v>
    <v>971</v>
    <v>972</v>
    <v>973</v>
    <v>974</v>
    <v>975</v>
    <v>Angola</v>
    <v>mdp/vdpid/9</v>
  </rv>
  <rv s="0">
    <v>536870912</v>
    <v>República del Congo</v>
    <v>d348daf0-6f72-4058-aa09-8c7ed5e322ca</v>
    <v>es-ES</v>
    <v>Map</v>
  </rv>
  <rv s="1">
    <fb>342000</fb>
    <v>24</v>
  </rv>
  <rv s="1">
    <fb>0.65354610862005902</fb>
    <v>25</v>
  </rv>
  <rv s="1">
    <fb>2.20607305781522E-2</fb>
    <v>25</v>
  </rv>
  <rv s="0">
    <v>536870912</v>
    <v>Brazzaville</v>
    <v>63e3986d-f939-bd73-7be2-8bfd765b3a3e</v>
    <v>es-CL</v>
    <v>Map</v>
  </rv>
  <rv s="1">
    <fb>242</fb>
    <v>27</v>
  </rv>
  <rv s="1">
    <fb>40.480603383492301</fb>
    <v>28</v>
  </rv>
  <rv s="1">
    <fb>202.872128916055</fb>
    <v>24</v>
  </rv>
  <rv s="1">
    <fb>3281.9650000000001</fb>
    <v>24</v>
  </rv>
  <rv s="1">
    <fb>64.290000000000006</fb>
    <v>28</v>
  </rv>
  <rv s="1">
    <fb>0.43843710930000002</fb>
    <v>25</v>
  </rv>
  <rv s="2">
    <v>50</v>
  </rv>
  <rv s="3">
    <v>16</v>
    <v>22</v>
    <v>133</v>
    <v>7</v>
    <v>0</v>
    <v>Image of República del Congo</v>
  </rv>
  <rv s="1">
    <fb>8.9637438631416988E-2</fb>
    <v>25</v>
  </rv>
  <rv s="1">
    <fb>124.740496075729</fb>
    <v>29</v>
  </rv>
  <rv s="4">
    <v>https://www.bing.com/search?q=Rep%c3%bablica+del+Congo&amp;form=skydnc</v>
    <v>Aprenda más con Bing</v>
  </rv>
  <rv s="0">
    <v>805306368</v>
    <v>Denis Sassou-Nguesso (Presidente)</v>
    <v>ba213a5c-a251-a613-593e-094d8c346678</v>
    <v>es-CL</v>
    <v>Generic</v>
  </rv>
  <rv s="0">
    <v>805306368</v>
    <v>Anatole Collinet Makosso (Primer ministro)</v>
    <v>d4504222-bb94-91a5-a0db-8c6709c4967b</v>
    <v>es-CL</v>
    <v>Generic</v>
  </rv>
  <rv s="2">
    <v>51</v>
  </rv>
  <rv s="1">
    <fb>1.0664006000000001</fb>
    <v>25</v>
  </rv>
  <rv s="1">
    <fb>0.1266688</fb>
    <v>25</v>
  </rv>
  <rv s="1">
    <fb>0.1159</fb>
    <v>30</v>
  </rv>
  <rv s="1">
    <fb>36.200000000000003</fb>
    <v>28</v>
  </rv>
  <rv s="1">
    <fb>10820591130.7349</fb>
    <v>26</v>
  </rv>
  <rv s="1">
    <fb>5970424</fb>
    <v>24</v>
  </rv>
  <rv s="1">
    <fb>3625010</fb>
    <v>24</v>
  </rv>
  <rv s="1">
    <fb>0.379</fb>
    <v>25</v>
  </rv>
  <rv s="1">
    <fb>0.53700000000000003</fb>
    <v>25</v>
  </rv>
  <rv s="1">
    <fb>4.2000000000000003E-2</fb>
    <v>25</v>
  </rv>
  <rv s="1">
    <fb>0.20699999999999999</fb>
    <v>25</v>
  </rv>
  <rv s="1">
    <fb>0.69447998046875004</fb>
    <v>25</v>
  </rv>
  <rv s="1">
    <fb>8.199999999999999E-2</fb>
    <v>25</v>
  </rv>
  <rv s="1">
    <fb>378</fb>
    <v>28</v>
  </rv>
  <rv s="1">
    <fb>0.88</fb>
    <v>31</v>
  </rv>
  <rv s="0">
    <v>536870912</v>
    <v>Departamento de Bouenza</v>
    <v>d0582ea1-c222-f030-bfb3-b157dc51b466</v>
    <v>es-CL</v>
    <v>Map</v>
  </rv>
  <rv s="0">
    <v>536870912</v>
    <v>Departamento de Cuvette</v>
    <v>64377e94-f9d7-8f1e-6f02-a4f1872c966f</v>
    <v>es-CL</v>
    <v>Map</v>
  </rv>
  <rv s="0">
    <v>536870912</v>
    <v>Departamento de Cuvette-Oeste</v>
    <v>d249651c-02d0-a5f9-a845-3257cb92d63b</v>
    <v>es-CL</v>
    <v>Map</v>
  </rv>
  <rv s="0">
    <v>536870912</v>
    <v>Departamento de Kouilou</v>
    <v>e987f5e2-9949-6e83-3850-109b34c31025</v>
    <v>es-CL</v>
    <v>Map</v>
  </rv>
  <rv s="0">
    <v>536870912</v>
    <v>Departamento de Lékoumou</v>
    <v>b11a45c9-b4eb-7a1a-4f39-f6df1e83e4ff</v>
    <v>es-CL</v>
    <v>Map</v>
  </rv>
  <rv s="0">
    <v>536870912</v>
    <v>Departamento de Likouala</v>
    <v>aac5ca14-d404-d58d-d40e-83890f392d25</v>
    <v>es-CL</v>
    <v>Map</v>
  </rv>
  <rv s="0">
    <v>536870912</v>
    <v>Departamento de Niari</v>
    <v>874ced78-f2b8-4b4e-8b13-c630c613775e</v>
    <v>es-CL</v>
    <v>Map</v>
  </rv>
  <rv s="0">
    <v>536870912</v>
    <v>Departamento de Plateaux</v>
    <v>d5a4aaba-493e-3db5-a45a-1735438770a8</v>
    <v>es-CL</v>
    <v>Map</v>
  </rv>
  <rv s="0">
    <v>536870912</v>
    <v>Pointe-Noire</v>
    <v>73c569d0-bb14-0000-b351-0b810f5e414e</v>
    <v>es-CL</v>
    <v>Map</v>
  </rv>
  <rv s="0">
    <v>536870912</v>
    <v>Departamento de Pool</v>
    <v>180c85ab-76f6-64a9-4dad-4e0f56c0e7cd</v>
    <v>es-CL</v>
    <v>Map</v>
  </rv>
  <rv s="0">
    <v>536870912</v>
    <v>Departamento de Sangha</v>
    <v>592836ed-6822-d700-36c7-3b3dc9382351</v>
    <v>es-CL</v>
    <v>Map</v>
  </rv>
  <rv s="2">
    <v>52</v>
  </rv>
  <rv s="1">
    <fb>9.4720001220703107E-2</fb>
    <v>32</v>
  </rv>
  <rv s="1">
    <fb>4.4279999999999999</fb>
    <v>30</v>
  </rv>
  <rv s="1">
    <fb>0.54299999999999993</fb>
    <v>25</v>
  </rv>
  <rv s="1">
    <fb>32.862000000000002</fb>
    <v>30</v>
  </rv>
  <rv s="1">
    <fb>0.31118594436310398</fb>
    <v>25</v>
  </rv>
  <rv s="12">
    <v>#VALUE!</v>
    <v>es-ES</v>
    <v>d348daf0-6f72-4058-aa09-8c7ed5e322ca</v>
    <v>536870912</v>
    <v>1</v>
    <v>136</v>
    <v>137</v>
    <v>138</v>
    <v>República del Congo</v>
    <v>20</v>
    <v>21</v>
    <v>Map</v>
    <v>22</v>
    <v>139</v>
    <v>978</v>
    <v>979</v>
    <v>980</v>
    <v>981</v>
    <v>981</v>
    <v>982</v>
    <v>XAF</v>
    <v>983</v>
    <v>984</v>
    <v>La República del Congo, también conocida con los nombres de Congo-Brazzaville o simplemente Congo del Oeste, es un país de África Central. Limita al norte con Camerún y la República Centroafricana, al sur y al este con la República Democrática ...</v>
    <v>985</v>
    <v>986</v>
    <v>987</v>
    <v>La Congolaise</v>
    <v>988</v>
    <v>989</v>
    <v>990</v>
    <v>991</v>
    <v>992</v>
    <v>995</v>
    <v>996</v>
    <v>997</v>
    <v>998</v>
    <v>999</v>
    <v>República del Congo</v>
    <v>Repubilika ya Kongo</v>
    <v>1000</v>
    <v>1001</v>
    <v>1002</v>
    <v>1003</v>
    <v>416</v>
    <v>1004</v>
    <v>1005</v>
    <v>1006</v>
    <v>1007</v>
    <v>1008</v>
    <v>613</v>
    <v>949</v>
    <v>1009</v>
    <v>1010</v>
    <v>1022</v>
    <v>511</v>
    <v>1023</v>
    <v>1024</v>
    <v>1025</v>
    <v>1026</v>
    <v>1027</v>
    <v>República del Congo</v>
    <v>mdp/vdpid/43</v>
  </rv>
  <rv s="0">
    <v>536870912</v>
    <v>Alaska</v>
    <v>31c4c7a1-54e7-4306-ac9b-f1b02e85bda5</v>
    <v>es-ES</v>
    <v>Map</v>
  </rv>
  <rv s="1">
    <fb>1717856</fb>
    <v>24</v>
  </rv>
  <rv s="0">
    <v>536870912</v>
    <v>Juneau</v>
    <v>ce47a020-534a-e2f0-3b98-c25d5457ce0e</v>
    <v>es-CL</v>
    <v>Map</v>
  </rv>
  <rv s="0">
    <v>536870912</v>
    <v>Anchorage</v>
    <v>bd15c49e-153e-8826-0032-c90bafba7d11</v>
    <v>es-CL</v>
    <v>Map</v>
  </rv>
  <rv s="1">
    <fb>250969</fb>
    <v>24</v>
  </rv>
  <rv s="2">
    <v>53</v>
  </rv>
  <rv s="3">
    <v>17</v>
    <v>22</v>
    <v>140</v>
    <v>7</v>
    <v>0</v>
    <v>Image of Alaska</v>
  </rv>
  <rv s="1">
    <fb>72515</fb>
    <v>26</v>
  </rv>
  <rv s="4">
    <v>https://www.bing.com/search?q=Alaska&amp;form=skydnc</v>
    <v>Aprenda más con Bing</v>
  </rv>
  <rv s="0">
    <v>805306368</v>
    <v>Mike Dunleavy (Gobernador)</v>
    <v>86533fd4-0581-b5ef-b7d9-2a5897049014</v>
    <v>es-CL</v>
    <v>Generic</v>
  </rv>
  <rv s="0">
    <v>805306368</v>
    <v>Nancy Dahlstrom (Vicegobernador)</v>
    <v>9004ab7f-e3e7-3f05-596c-0fe7e02eb6db</v>
    <v>es-CL</v>
    <v>Generic</v>
  </rv>
  <rv s="0">
    <v>805306368</v>
    <v>Lisa Murkowski (Senado)</v>
    <v>18b81ffa-9007-62da-3b30-acbefbf51353</v>
    <v>es-CL</v>
    <v>Generic</v>
  </rv>
  <rv s="0">
    <v>805306368</v>
    <v>Dan Sullivan (Senado)</v>
    <v>147235ce-727a-24ed-0dca-9a7fdcca7d71</v>
    <v>es-CL</v>
    <v>Generic</v>
  </rv>
  <rv s="2">
    <v>54</v>
  </rv>
  <rv s="0">
    <v>536870912</v>
    <v>Estados Unidos</v>
    <v>5232ed96-85b1-2edb-12c6-63e6c597a1de</v>
    <v>es-CL</v>
    <v>Map</v>
  </rv>
  <rv s="1">
    <fb>1503</fb>
    <v>24</v>
  </rv>
  <rv s="1">
    <fb>2.81</fb>
    <v>30</v>
  </rv>
  <rv s="1">
    <fb>733391</fb>
    <v>24</v>
  </rv>
  <rv s="1">
    <fb>6.3E-2</fb>
    <v>25</v>
  </rv>
  <rv s="1">
    <fb>0.66500000000000004</fb>
    <v>25</v>
  </rv>
  <rv s="1">
    <fb>7.2000000000000008E-2</fb>
    <v>25</v>
  </rv>
  <rv s="1">
    <fb>0.67700000000000005</fb>
    <v>25</v>
  </rv>
  <rv s="1">
    <fb>0.92099999999999993</fb>
    <v>25</v>
  </rv>
  <rv s="1">
    <fb>7.0000000000000007E-2</fb>
    <v>25</v>
  </rv>
  <rv s="1">
    <fb>0.14800000000000002</fb>
    <v>148</v>
  </rv>
  <rv s="1">
    <fb>0.28000000000000003</fb>
    <v>25</v>
  </rv>
  <rv s="1">
    <fb>7.4999999999999997E-2</fb>
    <v>25</v>
  </rv>
  <rv s="1">
    <fb>0.252</fb>
    <v>25</v>
  </rv>
  <rv s="1">
    <fb>3.9E-2</fb>
    <v>25</v>
  </rv>
  <rv s="1">
    <fb>8.1000000000000003E-2</fb>
    <v>25</v>
  </rv>
  <rv s="1">
    <fb>1146</fb>
    <v>26</v>
  </rv>
  <rv s="1">
    <fb>310658</fb>
    <v>24</v>
  </rv>
  <rv s="1">
    <fb>250000</fb>
    <v>26</v>
  </rv>
  <rv s="2">
    <v>55</v>
  </rv>
  <rv s="13">
    <v>#VALUE!</v>
    <v>es-ES</v>
    <v>31c4c7a1-54e7-4306-ac9b-f1b02e85bda5</v>
    <v>536870912</v>
    <v>1</v>
    <v>144</v>
    <v>145</v>
    <v>146</v>
    <v>Alaska</v>
    <v>20</v>
    <v>21</v>
    <v>Map</v>
    <v>22</v>
    <v>147</v>
    <v>US-AK</v>
    <v>1030</v>
    <v>609</v>
    <v>1031</v>
    <v>1032</v>
    <v>Alaska es uno de los cincuenta estados que junto con Washington D. C., forman los Estados Unidos. Su capital es Juneau y su ciudad más poblada es Anchorage. Está ubicado en el extremo noroeste de América del Norte, en la región Oeste del país, ...</v>
    <v>1033</v>
    <v>1034</v>
    <v>1035</v>
    <v>1036</v>
    <v>1037</v>
    <v>1042</v>
    <v>Alaska</v>
    <v>1043</v>
    <v>1044</v>
    <v>1045</v>
    <v>1046</v>
    <v>1047</v>
    <v>1048</v>
    <v>1049</v>
    <v>1050</v>
    <v>1051</v>
    <v>1052</v>
    <v>1053</v>
    <v>1054</v>
    <v>168</v>
    <v>1055</v>
    <v>1056</v>
    <v>942</v>
    <v>1057</v>
    <v>1058</v>
    <v>304</v>
    <v>1059</v>
    <v>1060</v>
    <v>Alaska</v>
    <v>1061</v>
    <v>mdp/vdpid/1040</v>
    <v>1062</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Descripción" t="s"/>
    <k n="División de administración 1 (estado/provincia/otro)" t="r"/>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rvStructures>
</file>

<file path=xl/richData/rdsupportingpropertybag.xml><?xml version="1.0" encoding="utf-8"?>
<supportingPropertyBags xmlns="http://schemas.microsoft.com/office/spreadsheetml/2017/richdata2">
  <spbArrays count="9">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6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Gastos de salud varios (%)</v>
      <v t="s">Médicos por mil</v>
      <v t="s">Tamaño de las fuerzas armadas</v>
      <v t="s">Código de llamada</v>
      <v t="s">_Flags</v>
      <v t="s">VDPID/VSID</v>
      <v t="s">UniqueName</v>
      <v t="s">_DisplayString</v>
      <v t="s">LearnMoreOnLink</v>
      <v t="s">Imagen</v>
      <v t="s">Descripción</v>
    </a>
    <a count="23">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Latitud</v>
      <v t="s">Longitud</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51">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Zona(s) horaria(s)</v>
      <v t="s">_Flags</v>
      <v t="s">VDPID/VSID</v>
      <v t="s">UniqueName</v>
      <v t="s">_DisplayString</v>
      <v t="s">LearnMoreOnLink</v>
      <v t="s">Imagen</v>
      <v t="s">Descripción</v>
    </a>
  </spbArrays>
  <spbData count="149">
    <spb s="0">
      <v xml:space="preserve">data.worldbank.org	</v>
      <v xml:space="preserve">	</v>
      <v xml:space="preserve">http://data.worldbank.org/indicator/FP.CPI.TOTL	</v>
      <v xml:space="preserve">	</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https://es.wikipedia.org/wiki/Chile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https://www.cia.gov/library/publications/the-world-factbook/geos/ci.html?Transportation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
      <v>0</v>
      <v>1</v>
      <v>2</v>
      <v>2</v>
      <v>2</v>
      <v>2</v>
      <v>3</v>
      <v>2</v>
      <v>2</v>
      <v>2</v>
      <v>3</v>
      <v>4</v>
      <v>2</v>
      <v>5</v>
      <v>6</v>
      <v>2</v>
      <v>2</v>
      <v>7</v>
      <v>6</v>
      <v>8</v>
      <v>9</v>
      <v>10</v>
      <v>6</v>
      <v>6</v>
      <v>6</v>
      <v>1</v>
      <v>6</v>
      <v>2</v>
      <v>6</v>
      <v>11</v>
      <v>12</v>
      <v>13</v>
      <v>14</v>
      <v>6</v>
      <v>6</v>
      <v>6</v>
      <v>15</v>
      <v>6</v>
      <v>6</v>
      <v>6</v>
      <v>6</v>
      <v>6</v>
      <v>6</v>
      <v>6</v>
      <v>1</v>
    </spb>
    <spb s="2">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0</v>
      <v>Name</v>
      <v>LearnMoreOnLink</v>
    </spb>
    <spb s="4">
      <v>0</v>
      <v>0</v>
      <v>0</v>
    </spb>
    <spb s="5">
      <v>19</v>
      <v>19</v>
      <v>19</v>
    </spb>
    <spb s="6">
      <v>1</v>
      <v>2</v>
    </spb>
    <spb s="7">
      <v>https://www.bing.com</v>
      <v>https://www.bing.com/th?id=Ga%5Cbing_yt.png&amp;w=100&amp;h=40&amp;c=0&amp;pid=0.1</v>
      <v>Con tecnología de Bing</v>
    </spb>
    <spb s="8">
      <v>2019</v>
      <v>2019</v>
      <v>kilómetro cuadrado</v>
      <v>2021</v>
      <v>2018</v>
      <v>2019</v>
      <v>2019</v>
      <v>años (2018)</v>
      <v>2019</v>
      <v>por mil (2018)</v>
      <v>2018</v>
      <v>por mil (2018)</v>
      <v>2016</v>
      <v>2016</v>
      <v>2018</v>
      <v>por litro (2016)</v>
      <v>2019</v>
      <v>2015</v>
      <v>muertes por 100 000 (2017)</v>
      <v>kWh (2014)</v>
      <v>2017</v>
      <v>kilotones por año (2016)</v>
      <v>2015</v>
      <v>2017</v>
      <v>2017</v>
      <v>2019</v>
      <v>2017</v>
      <v>2017</v>
      <v>2017</v>
      <v>2017</v>
      <v>2017</v>
      <v>2017</v>
      <v>2017</v>
      <v>2019</v>
    </spb>
    <spb s="9">
      <v>3</v>
    </spb>
    <spb s="9">
      <v>4</v>
    </spb>
    <spb s="9">
      <v>5</v>
    </spb>
    <spb s="9">
      <v>6</v>
    </spb>
    <spb s="9">
      <v>7</v>
    </spb>
    <spb s="9">
      <v>8</v>
    </spb>
    <spb s="9">
      <v>9</v>
    </spb>
    <spb s="9">
      <v>10</v>
    </spb>
    <spb s="9">
      <v>11</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https://es.wikipedia.org/wiki/Brasil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
      <v>0</v>
      <v>33</v>
      <v>34</v>
      <v>34</v>
      <v>34</v>
      <v>34</v>
      <v>35</v>
      <v>34</v>
      <v>34</v>
      <v>34</v>
      <v>35</v>
      <v>4</v>
      <v>34</v>
      <v>5</v>
      <v>36</v>
      <v>34</v>
      <v>34</v>
      <v>7</v>
      <v>36</v>
      <v>8</v>
      <v>9</v>
      <v>10</v>
      <v>36</v>
      <v>36</v>
      <v>36</v>
      <v>33</v>
      <v>36</v>
      <v>34</v>
      <v>36</v>
      <v>11</v>
      <v>12</v>
      <v>13</v>
      <v>14</v>
      <v>36</v>
      <v>36</v>
      <v>36</v>
      <v>15</v>
      <v>36</v>
      <v>36</v>
      <v>36</v>
      <v>36</v>
      <v>36</v>
      <v>36</v>
      <v>36</v>
      <v>33</v>
    </spb>
    <spb s="3">
      <v>1</v>
      <v>Name</v>
      <v>LearnMoreOnLink</v>
    </spb>
    <spb s="8">
      <v>2019</v>
      <v>2019</v>
      <v>kilómetro cuadrado</v>
      <v>2022</v>
      <v>2018</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https://es.wikipedia.org/wiki/Argentina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
      <v>0</v>
      <v>40</v>
      <v>41</v>
      <v>41</v>
      <v>41</v>
      <v>41</v>
      <v>42</v>
      <v>41</v>
      <v>41</v>
      <v>41</v>
      <v>42</v>
      <v>4</v>
      <v>41</v>
      <v>5</v>
      <v>43</v>
      <v>41</v>
      <v>41</v>
      <v>7</v>
      <v>43</v>
      <v>8</v>
      <v>9</v>
      <v>10</v>
      <v>43</v>
      <v>43</v>
      <v>43</v>
      <v>40</v>
      <v>43</v>
      <v>41</v>
      <v>43</v>
      <v>11</v>
      <v>12</v>
      <v>13</v>
      <v>14</v>
      <v>43</v>
      <v>43</v>
      <v>43</v>
      <v>15</v>
      <v>43</v>
      <v>43</v>
      <v>43</v>
      <v>43</v>
      <v>43</v>
      <v>43</v>
      <v>43</v>
      <v>40</v>
    </spb>
    <spb s="8">
      <v>2019</v>
      <v>2019</v>
      <v>kilómetro cuadrado</v>
      <v>2022</v>
      <v>2017</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https://es.wikipedia.org/wiki/Per%C3%BA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46</v>
      <v>47</v>
      <v>47</v>
      <v>47</v>
      <v>47</v>
      <v>48</v>
      <v>47</v>
      <v>47</v>
      <v>47</v>
      <v>48</v>
      <v>4</v>
      <v>47</v>
      <v>5</v>
      <v>49</v>
      <v>47</v>
      <v>47</v>
      <v>7</v>
      <v>49</v>
      <v>8</v>
      <v>9</v>
      <v>10</v>
      <v>49</v>
      <v>49</v>
      <v>49</v>
      <v>46</v>
      <v>49</v>
      <v>47</v>
      <v>49</v>
      <v>11</v>
      <v>12</v>
      <v>13</v>
      <v>14</v>
      <v>49</v>
      <v>49</v>
      <v>49</v>
      <v>15</v>
      <v>49</v>
      <v>49</v>
      <v>49</v>
      <v>49</v>
      <v>49</v>
      <v>49</v>
      <v>49</v>
      <v>46</v>
    </spb>
    <spb s="8">
      <v>2019</v>
      <v>2019</v>
      <v>kilómetro cuadrado</v>
      <v>2022</v>
      <v>2016</v>
      <v>2019</v>
      <v>2019</v>
      <v>años (2018)</v>
      <v>2019</v>
      <v>por mil (2018)</v>
      <v>2018</v>
      <v>por mil (2018)</v>
      <v>2016</v>
      <v>2016</v>
      <v>2018</v>
      <v>por litro (2016)</v>
      <v>2019</v>
      <v>2015</v>
      <v>muertes por 100 000 (2017)</v>
      <v>kWh (2014)</v>
      <v>2017</v>
      <v>kilotones por año (2016)</v>
      <v>2014</v>
      <v>2018</v>
      <v>2017</v>
      <v>2019</v>
      <v>2018</v>
      <v>2018</v>
      <v>2018</v>
      <v>2018</v>
      <v>2018</v>
      <v>2018</v>
      <v>2018</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https://es.wikipedia.org/wiki/Australia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
      <v>0</v>
      <v>52</v>
      <v>53</v>
      <v>53</v>
      <v>53</v>
      <v>53</v>
      <v>54</v>
      <v>53</v>
      <v>53</v>
      <v>53</v>
      <v>54</v>
      <v>4</v>
      <v>53</v>
      <v>5</v>
      <v>55</v>
      <v>53</v>
      <v>53</v>
      <v>7</v>
      <v>55</v>
      <v>8</v>
      <v>9</v>
      <v>10</v>
      <v>55</v>
      <v>55</v>
      <v>55</v>
      <v>52</v>
      <v>55</v>
      <v>53</v>
      <v>55</v>
      <v>11</v>
      <v>12</v>
      <v>13</v>
      <v>14</v>
      <v>55</v>
      <v>55</v>
      <v>55</v>
      <v>15</v>
      <v>55</v>
      <v>55</v>
      <v>55</v>
      <v>55</v>
      <v>55</v>
      <v>55</v>
      <v>55</v>
      <v>52</v>
    </spb>
    <spb s="8">
      <v>2019</v>
      <v>2019</v>
      <v>kilómetro cuadrado</v>
      <v>2022</v>
      <v>2017</v>
      <v>2019</v>
      <v>2019</v>
      <v>años (2018)</v>
      <v>2019</v>
      <v>por mil (2018)</v>
      <v>2018</v>
      <v>por mil (2018)</v>
      <v>2016</v>
      <v>2016</v>
      <v>2018</v>
      <v>por litro (2016)</v>
      <v>2019</v>
      <v>2014</v>
      <v>muertes por 100 000 (2017)</v>
      <v>kWh (2014)</v>
      <v>2017</v>
      <v>kilotones por año (2016)</v>
      <v>2015</v>
      <v>2017</v>
      <v>2017</v>
      <v>2019</v>
      <v>2014</v>
      <v>2014</v>
      <v>2014</v>
      <v>2014</v>
      <v>2014</v>
      <v>2014</v>
      <v>2014</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https://es.wikipedia.org/wiki/Uzbekist%C3%A1n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0">
      <v>58</v>
      <v>59</v>
      <v>59</v>
      <v>59</v>
      <v>59</v>
      <v>60</v>
      <v>59</v>
      <v>59</v>
      <v>59</v>
      <v>60</v>
      <v>4</v>
      <v>59</v>
      <v>5</v>
      <v>59</v>
      <v>59</v>
      <v>7</v>
      <v>61</v>
      <v>8</v>
      <v>9</v>
      <v>10</v>
      <v>61</v>
      <v>61</v>
      <v>61</v>
      <v>58</v>
      <v>61</v>
      <v>59</v>
      <v>61</v>
      <v>11</v>
      <v>12</v>
      <v>13</v>
      <v>14</v>
      <v>61</v>
      <v>61</v>
      <v>61</v>
      <v>15</v>
      <v>61</v>
      <v>61</v>
      <v>61</v>
      <v>61</v>
      <v>61</v>
      <v>61</v>
      <v>61</v>
    </spb>
    <spb s="11">
      <v>GDP</v>
      <v>Area</v>
      <v>Image</v>
      <v>Name</v>
      <v>Population</v>
      <v>UniqueName</v>
      <v>VDPID/VSID</v>
      <v>Abbreviation</v>
      <v>Description</v>
      <v>National anthem</v>
      <v>Official name</v>
      <v>Minimum wage</v>
      <v>LearnMoreOnLink</v>
      <v>Physicians per thousand</v>
      <v>Currency code</v>
      <v>Urban population</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2</v>
      <v>Name</v>
      <v>LearnMoreOnLink</v>
    </spb>
    <spb s="12">
      <v>2019</v>
      <v>kilómetro cuadrado</v>
      <v>2021</v>
      <v>2014</v>
      <v>2019</v>
      <v>años (2018)</v>
      <v>2019</v>
      <v>por mil (2018)</v>
      <v>2018</v>
      <v>por mil (2018)</v>
      <v>2016</v>
      <v>2016</v>
      <v>2018</v>
      <v>por litro (2016)</v>
      <v>2019</v>
      <v>2015</v>
      <v>muertes por 100 000 (2017)</v>
      <v>kWh (2014)</v>
      <v>2017</v>
      <v>kilotones por año (2016)</v>
      <v>2013</v>
      <v>2018</v>
      <v>2018</v>
      <v>2019</v>
      <v>2003</v>
      <v>2003</v>
      <v>2003</v>
      <v>2003</v>
      <v>2003</v>
      <v>2003</v>
      <v>2003</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https://es.wikipedia.org/wiki/Ecuador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13">
      <v>0</v>
      <v>66</v>
      <v>67</v>
      <v>67</v>
      <v>67</v>
      <v>67</v>
      <v>68</v>
      <v>67</v>
      <v>67</v>
      <v>67</v>
      <v>68</v>
      <v>4</v>
      <v>67</v>
      <v>5</v>
      <v>69</v>
      <v>67</v>
      <v>67</v>
      <v>7</v>
      <v>69</v>
      <v>8</v>
      <v>9</v>
      <v>10</v>
      <v>69</v>
      <v>69</v>
      <v>66</v>
      <v>69</v>
      <v>67</v>
      <v>69</v>
      <v>11</v>
      <v>12</v>
      <v>13</v>
      <v>14</v>
      <v>69</v>
      <v>69</v>
      <v>69</v>
      <v>15</v>
      <v>69</v>
      <v>69</v>
      <v>69</v>
      <v>69</v>
      <v>69</v>
      <v>69</v>
      <v>69</v>
      <v>66</v>
    </spb>
    <spb s="14">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3</v>
      <v>Name</v>
      <v>LearnMoreOnLink</v>
    </spb>
    <spb s="15">
      <v>2019</v>
      <v>2019</v>
      <v>kilómetro cuadrado</v>
      <v>2022</v>
      <v>2016</v>
      <v>2019</v>
      <v>2019</v>
      <v>años (2018)</v>
      <v>2019</v>
      <v>por mil (2018)</v>
      <v>2018</v>
      <v>por mil (2018)</v>
      <v>2016</v>
      <v>2016</v>
      <v>por litro (2016)</v>
      <v>2019</v>
      <v>2015</v>
      <v>muertes por 100 000 (2017)</v>
      <v>kWh (2014)</v>
      <v>2017</v>
      <v>kilotones por año (2016)</v>
      <v>2014</v>
      <v>2018</v>
      <v>2015</v>
      <v>2019</v>
      <v>2018</v>
      <v>2018</v>
      <v>2018</v>
      <v>2018</v>
      <v>2018</v>
      <v>2018</v>
      <v>2018</v>
      <v>2000</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https://es.wikipedia.org/wiki/Nicaragua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16">
      <v>0</v>
      <v>74</v>
      <v>75</v>
      <v>75</v>
      <v>75</v>
      <v>75</v>
      <v>76</v>
      <v>75</v>
      <v>75</v>
      <v>75</v>
      <v>76</v>
      <v>4</v>
      <v>75</v>
      <v>5</v>
      <v>77</v>
      <v>75</v>
      <v>75</v>
      <v>7</v>
      <v>77</v>
      <v>8</v>
      <v>9</v>
      <v>10</v>
      <v>77</v>
      <v>77</v>
      <v>77</v>
      <v>74</v>
      <v>77</v>
      <v>75</v>
      <v>77</v>
      <v>11</v>
      <v>12</v>
      <v>13</v>
      <v>14</v>
      <v>77</v>
      <v>77</v>
      <v>77</v>
      <v>15</v>
      <v>77</v>
      <v>77</v>
      <v>77</v>
      <v>77</v>
      <v>77</v>
      <v>77</v>
      <v>77</v>
    </spb>
    <spb s="17">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4</v>
      <v>Name</v>
      <v>LearnMoreOnLink</v>
    </spb>
    <spb s="18">
      <v>2019</v>
      <v>2019</v>
      <v>kilómetro cuadrado</v>
      <v>2022</v>
      <v>2018</v>
      <v>2019</v>
      <v>2019</v>
      <v>años (2018)</v>
      <v>2019</v>
      <v>por mil (2018)</v>
      <v>2018</v>
      <v>por mil (2018)</v>
      <v>2016</v>
      <v>2016</v>
      <v>2018</v>
      <v>por litro (2016)</v>
      <v>2019</v>
      <v>2015</v>
      <v>muertes por 100 000 (2017)</v>
      <v>kWh (2014)</v>
      <v>2017</v>
      <v>kilotones por año (2016)</v>
      <v>2014</v>
      <v>2010</v>
      <v>2002</v>
      <v>2019</v>
      <v>2014</v>
      <v>2014</v>
      <v>2014</v>
      <v>2014</v>
      <v>2014</v>
      <v>2014</v>
      <v>2014</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https://es.wikipedia.org/wiki/Bolivia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19">
      <v>0</v>
      <v>82</v>
      <v>83</v>
      <v>83</v>
      <v>83</v>
      <v>83</v>
      <v>84</v>
      <v>83</v>
      <v>83</v>
      <v>83</v>
      <v>84</v>
      <v>4</v>
      <v>83</v>
      <v>5</v>
      <v>85</v>
      <v>83</v>
      <v>83</v>
      <v>7</v>
      <v>85</v>
      <v>8</v>
      <v>9</v>
      <v>10</v>
      <v>85</v>
      <v>85</v>
      <v>85</v>
      <v>82</v>
      <v>85</v>
      <v>83</v>
      <v>85</v>
      <v>11</v>
      <v>12</v>
      <v>13</v>
      <v>14</v>
      <v>85</v>
      <v>85</v>
      <v>15</v>
      <v>85</v>
      <v>85</v>
      <v>85</v>
      <v>85</v>
      <v>85</v>
      <v>85</v>
      <v>85</v>
    </spb>
    <spb s="20">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v>
      <v>Name</v>
      <v>LearnMoreOnLink</v>
    </spb>
    <spb s="21">
      <v>2019</v>
      <v>2019</v>
      <v>kilómetro cuadrado</v>
      <v>2022</v>
      <v>2016</v>
      <v>2019</v>
      <v>2019</v>
      <v>años (2018)</v>
      <v>2019</v>
      <v>por mil (2018)</v>
      <v>2018</v>
      <v>por mil (2018)</v>
      <v>2016</v>
      <v>2016</v>
      <v>2007</v>
      <v>por litro (2016)</v>
      <v>2019</v>
      <v>2015</v>
      <v>muertes por 100 000 (2017)</v>
      <v>kWh (2014)</v>
      <v>2017</v>
      <v>kilotones por año (2016)</v>
      <v>2014</v>
      <v>2018</v>
      <v>2019</v>
      <v>2018</v>
      <v>2018</v>
      <v>2018</v>
      <v>2018</v>
      <v>2018</v>
      <v>2018</v>
      <v>2018</v>
    </spb>
    <spb s="0">
      <v xml:space="preserve">Wikipedia	</v>
      <v xml:space="preserve">CC BY-SA 3.0	</v>
      <v xml:space="preserve">https://en.wikipedia.org/wiki/National_Digital_Archives	</v>
      <v xml:space="preserve">https://creativecommons.org/licenses/by-sa/3.0	</v>
    </spb>
    <spb s="22">
      <v>90</v>
      <v>90</v>
      <v>90</v>
      <v>90</v>
      <v>90</v>
      <v>90</v>
      <v>90</v>
      <v>90</v>
    </spb>
    <spb s="23">
      <v>Image</v>
      <v>Name</v>
      <v>Latitude</v>
      <v>Longitude</v>
      <v>UniqueName</v>
      <v>VDPID/VSID</v>
      <v>Description</v>
      <v>Country/region</v>
      <v>LearnMoreOnLink</v>
      <v>Admin Division 1 (State/province/other)</v>
      <v>Admin Division 2 (County/district/other)</v>
    </spb>
    <spb s="3">
      <v>6</v>
      <v>Name</v>
      <v>LearnMoreOnLink</v>
    </spb>
    <spb s="9">
      <v>12</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https://es.wikipedia.org/wiki/Guatemala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16">
      <v>0</v>
      <v>95</v>
      <v>96</v>
      <v>96</v>
      <v>96</v>
      <v>96</v>
      <v>97</v>
      <v>96</v>
      <v>96</v>
      <v>96</v>
      <v>97</v>
      <v>4</v>
      <v>96</v>
      <v>5</v>
      <v>98</v>
      <v>96</v>
      <v>96</v>
      <v>7</v>
      <v>98</v>
      <v>8</v>
      <v>9</v>
      <v>10</v>
      <v>98</v>
      <v>98</v>
      <v>98</v>
      <v>95</v>
      <v>98</v>
      <v>96</v>
      <v>98</v>
      <v>11</v>
      <v>12</v>
      <v>13</v>
      <v>14</v>
      <v>98</v>
      <v>98</v>
      <v>98</v>
      <v>15</v>
      <v>98</v>
      <v>98</v>
      <v>98</v>
      <v>98</v>
      <v>98</v>
      <v>98</v>
      <v>98</v>
    </spb>
    <spb s="18">
      <v>2019</v>
      <v>2019</v>
      <v>kilómetro cuadrado</v>
      <v>2022</v>
      <v>2018</v>
      <v>2019</v>
      <v>2019</v>
      <v>años (2018)</v>
      <v>2019</v>
      <v>por mil (2018)</v>
      <v>2018</v>
      <v>por mil (2018)</v>
      <v>2016</v>
      <v>2016</v>
      <v>2018</v>
      <v>por litro (2016)</v>
      <v>2019</v>
      <v>2015</v>
      <v>muertes por 100 000 (2017)</v>
      <v>kWh (2014)</v>
      <v>2017</v>
      <v>kilotones por año (2016)</v>
      <v>2014</v>
      <v>2018</v>
      <v>2015</v>
      <v>2019</v>
      <v>2014</v>
      <v>2014</v>
      <v>2014</v>
      <v>2014</v>
      <v>2014</v>
      <v>2014</v>
      <v>2014</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https://es.wikipedia.org/wiki/M%C3%A9xico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101</v>
      <v>102</v>
      <v>102</v>
      <v>102</v>
      <v>102</v>
      <v>103</v>
      <v>102</v>
      <v>102</v>
      <v>102</v>
      <v>103</v>
      <v>4</v>
      <v>102</v>
      <v>5</v>
      <v>104</v>
      <v>102</v>
      <v>102</v>
      <v>7</v>
      <v>104</v>
      <v>8</v>
      <v>9</v>
      <v>10</v>
      <v>104</v>
      <v>104</v>
      <v>104</v>
      <v>101</v>
      <v>104</v>
      <v>102</v>
      <v>104</v>
      <v>11</v>
      <v>12</v>
      <v>13</v>
      <v>14</v>
      <v>104</v>
      <v>104</v>
      <v>104</v>
      <v>15</v>
      <v>104</v>
      <v>104</v>
      <v>104</v>
      <v>104</v>
      <v>104</v>
      <v>104</v>
      <v>104</v>
      <v>101</v>
    </spb>
    <spb s="8">
      <v>2019</v>
      <v>2019</v>
      <v>kilómetro cuadrado</v>
      <v>2022</v>
      <v>2017</v>
      <v>2019</v>
      <v>2019</v>
      <v>años (2018)</v>
      <v>2019</v>
      <v>por mil (2018)</v>
      <v>2018</v>
      <v>por mil (2018)</v>
      <v>2016</v>
      <v>2016</v>
      <v>2018</v>
      <v>por litro (2016)</v>
      <v>2019</v>
      <v>2015</v>
      <v>muertes por 100 000 (2017)</v>
      <v>kWh (2014)</v>
      <v>2017</v>
      <v>kilotones por año (2016)</v>
      <v>2015</v>
      <v>2017</v>
      <v>2017</v>
      <v>2019</v>
      <v>2018</v>
      <v>2018</v>
      <v>2018</v>
      <v>2018</v>
      <v>2018</v>
      <v>2018</v>
      <v>2018</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https://es.wikipedia.org/wiki/Rep%C3%BAblica_Popular_China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24">
      <v>0</v>
      <v>107</v>
      <v>108</v>
      <v>108</v>
      <v>108</v>
      <v>108</v>
      <v>109</v>
      <v>108</v>
      <v>108</v>
      <v>108</v>
      <v>109</v>
      <v>4</v>
      <v>108</v>
      <v>5</v>
      <v>110</v>
      <v>108</v>
      <v>108</v>
      <v>110</v>
      <v>8</v>
      <v>9</v>
      <v>10</v>
      <v>110</v>
      <v>110</v>
      <v>110</v>
      <v>111</v>
      <v>110</v>
      <v>108</v>
      <v>110</v>
      <v>11</v>
      <v>12</v>
      <v>13</v>
      <v>14</v>
      <v>110</v>
      <v>110</v>
      <v>110</v>
      <v>15</v>
      <v>110</v>
      <v>110</v>
      <v>110</v>
      <v>110</v>
      <v>110</v>
      <v>110</v>
      <v>110</v>
      <v>111</v>
    </spb>
    <spb s="8">
      <v>2019</v>
      <v>2022</v>
      <v>kilómetro cuadrado</v>
      <v>2022</v>
      <v>2017</v>
      <v>2019</v>
      <v>2019</v>
      <v>años (2020)</v>
      <v>2019</v>
      <v>por mil (2018)</v>
      <v>2018</v>
      <v>por mil (2018)</v>
      <v>2016</v>
      <v>2016</v>
      <v>2017</v>
      <v>por litro (2016)</v>
      <v>2019</v>
      <v>2015</v>
      <v>muertes por 100 000 (2017)</v>
      <v>kWh (2014)</v>
      <v>2017</v>
      <v>kilotones por año (2016)</v>
      <v>2014</v>
      <v>2018</v>
      <v>2018</v>
      <v>2019</v>
      <v>2016</v>
      <v>2016</v>
      <v>2016</v>
      <v>2016</v>
      <v>2016</v>
      <v>2016</v>
      <v>2016</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https://es.wikipedia.org/wiki/Canad%C3%A1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
      <v>0</v>
      <v>114</v>
      <v>115</v>
      <v>115</v>
      <v>115</v>
      <v>115</v>
      <v>116</v>
      <v>115</v>
      <v>115</v>
      <v>115</v>
      <v>116</v>
      <v>4</v>
      <v>115</v>
      <v>5</v>
      <v>117</v>
      <v>115</v>
      <v>115</v>
      <v>7</v>
      <v>117</v>
      <v>8</v>
      <v>9</v>
      <v>10</v>
      <v>117</v>
      <v>117</v>
      <v>117</v>
      <v>114</v>
      <v>117</v>
      <v>115</v>
      <v>117</v>
      <v>11</v>
      <v>12</v>
      <v>13</v>
      <v>14</v>
      <v>117</v>
      <v>117</v>
      <v>117</v>
      <v>15</v>
      <v>117</v>
      <v>117</v>
      <v>117</v>
      <v>117</v>
      <v>117</v>
      <v>117</v>
      <v>117</v>
      <v>114</v>
    </spb>
    <spb s="8">
      <v>2019</v>
      <v>2019</v>
      <v>kilómetro cuadrado</v>
      <v>2022</v>
      <v>2017</v>
      <v>2019</v>
      <v>2019</v>
      <v>años (2018)</v>
      <v>2019</v>
      <v>por mil (2018)</v>
      <v>2018</v>
      <v>por mil (2018)</v>
      <v>2016</v>
      <v>2016</v>
      <v>2018</v>
      <v>por litro (2016)</v>
      <v>2019</v>
      <v>2015</v>
      <v>muertes por 100 000 (2017)</v>
      <v>kWh (2014)</v>
      <v>2017</v>
      <v>kilotones por año (2016)</v>
      <v>2015</v>
      <v>2017</v>
      <v>2017</v>
      <v>2019</v>
      <v>2013</v>
      <v>2013</v>
      <v>2013</v>
      <v>2013</v>
      <v>2013</v>
      <v>2013</v>
      <v>2013</v>
      <v>2018</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https://es.wikipedia.org/wiki/Rep%C3%BAblica_Democr%C3%A1tica_del_Congo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16">
      <v>0</v>
      <v>120</v>
      <v>121</v>
      <v>121</v>
      <v>121</v>
      <v>121</v>
      <v>122</v>
      <v>121</v>
      <v>121</v>
      <v>121</v>
      <v>122</v>
      <v>4</v>
      <v>121</v>
      <v>5</v>
      <v>123</v>
      <v>121</v>
      <v>121</v>
      <v>7</v>
      <v>123</v>
      <v>8</v>
      <v>9</v>
      <v>10</v>
      <v>123</v>
      <v>123</v>
      <v>123</v>
      <v>120</v>
      <v>123</v>
      <v>121</v>
      <v>123</v>
      <v>11</v>
      <v>12</v>
      <v>13</v>
      <v>14</v>
      <v>123</v>
      <v>123</v>
      <v>123</v>
      <v>15</v>
      <v>123</v>
      <v>123</v>
      <v>123</v>
      <v>123</v>
      <v>123</v>
      <v>123</v>
      <v>123</v>
    </spb>
    <spb s="18">
      <v>2016</v>
      <v>2019</v>
      <v>kilómetro cuadrado</v>
      <v>2022</v>
      <v>2016</v>
      <v>2019</v>
      <v>2016</v>
      <v>años (2018)</v>
      <v>2019</v>
      <v>por mil (2018)</v>
      <v>2018</v>
      <v>por mil (2018)</v>
      <v>2016</v>
      <v>2016</v>
      <v>1989</v>
      <v>por litro (2016)</v>
      <v>2019</v>
      <v>2015</v>
      <v>muertes por 100 000 (2017)</v>
      <v>kWh (2014)</v>
      <v>2017</v>
      <v>kilotones por año (2016)</v>
      <v>2014</v>
      <v>2015</v>
      <v>2016</v>
      <v>2019</v>
      <v>2012</v>
      <v>2012</v>
      <v>2012</v>
      <v>2012</v>
      <v>2012</v>
      <v>2012</v>
      <v>2012</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https://es.wikipedia.org/wiki/Angola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16">
      <v>0</v>
      <v>126</v>
      <v>127</v>
      <v>127</v>
      <v>127</v>
      <v>127</v>
      <v>128</v>
      <v>127</v>
      <v>127</v>
      <v>127</v>
      <v>128</v>
      <v>4</v>
      <v>127</v>
      <v>5</v>
      <v>129</v>
      <v>127</v>
      <v>127</v>
      <v>7</v>
      <v>129</v>
      <v>8</v>
      <v>9</v>
      <v>10</v>
      <v>129</v>
      <v>129</v>
      <v>129</v>
      <v>126</v>
      <v>129</v>
      <v>127</v>
      <v>129</v>
      <v>11</v>
      <v>12</v>
      <v>13</v>
      <v>14</v>
      <v>129</v>
      <v>129</v>
      <v>129</v>
      <v>15</v>
      <v>129</v>
      <v>129</v>
      <v>129</v>
      <v>129</v>
      <v>129</v>
      <v>129</v>
      <v>129</v>
    </spb>
    <spb s="18">
      <v>2019</v>
      <v>2019</v>
      <v>kilómetro cuadrado</v>
      <v>2022</v>
      <v>2017</v>
      <v>2019</v>
      <v>2019</v>
      <v>años (2018)</v>
      <v>2019</v>
      <v>por mil (2018)</v>
      <v>2018</v>
      <v>por mil (2018)</v>
      <v>2016</v>
      <v>2016</v>
      <v>2017</v>
      <v>por litro (2016)</v>
      <v>2019</v>
      <v>2015</v>
      <v>muertes por 100 000 (2017)</v>
      <v>kWh (2014)</v>
      <v>2017</v>
      <v>kilotones por año (2016)</v>
      <v>2014</v>
      <v>2015</v>
      <v>2016</v>
      <v>2019</v>
      <v>2018</v>
      <v>2018</v>
      <v>2018</v>
      <v>2018</v>
      <v>2018</v>
      <v>2018</v>
      <v>2018</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https://es.wikipedia.org/wiki/Rep%C3%BAblica_del_Congo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25">
      <v>0</v>
      <v>132</v>
      <v>133</v>
      <v>133</v>
      <v>133</v>
      <v>133</v>
      <v>133</v>
      <v>133</v>
      <v>133</v>
      <v>134</v>
      <v>4</v>
      <v>133</v>
      <v>5</v>
      <v>135</v>
      <v>133</v>
      <v>133</v>
      <v>7</v>
      <v>135</v>
      <v>8</v>
      <v>9</v>
      <v>10</v>
      <v>135</v>
      <v>135</v>
      <v>135</v>
      <v>132</v>
      <v>135</v>
      <v>133</v>
      <v>135</v>
      <v>11</v>
      <v>12</v>
      <v>13</v>
      <v>14</v>
      <v>135</v>
      <v>135</v>
      <v>135</v>
      <v>15</v>
      <v>135</v>
      <v>135</v>
      <v>135</v>
      <v>135</v>
      <v>135</v>
      <v>135</v>
      <v>135</v>
    </spb>
    <spb s="26">
      <v>CPI</v>
      <v>GDP</v>
      <v>Area</v>
      <v>Image</v>
      <v>Name</v>
      <v>Population</v>
      <v>UniqueName</v>
      <v>VDPID/VSID</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7</v>
      <v>Name</v>
      <v>LearnMoreOnLink</v>
    </spb>
    <spb s="18">
      <v>2019</v>
      <v>2019</v>
      <v>kilómetro cuadrado</v>
      <v>2022</v>
      <v>2011</v>
      <v>2019</v>
      <v>2019</v>
      <v>años (2018)</v>
      <v>2019</v>
      <v>por mil (2018)</v>
      <v>2018</v>
      <v>por mil (2018)</v>
      <v>2016</v>
      <v>2016</v>
      <v>2018</v>
      <v>por litro (2016)</v>
      <v>2019</v>
      <v>2015</v>
      <v>muertes por 100 000 (2017)</v>
      <v>kWh (2014)</v>
      <v>2017</v>
      <v>kilotones por año (2016)</v>
      <v>2014</v>
      <v>2012</v>
      <v>2017</v>
      <v>2019</v>
      <v>2011</v>
      <v>2011</v>
      <v>2011</v>
      <v>2011</v>
      <v>2011</v>
      <v>2011</v>
      <v>2011</v>
    </spb>
    <spb s="0">
      <v xml:space="preserve">Wikipedia	</v>
      <v xml:space="preserve">CC BY-SA 3.0	</v>
      <v xml:space="preserve">https://es.wikipedia.org/wiki/Alaska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http://en.wikipedia.org/wiki/Alaska	</v>
      <v xml:space="preserve">http://creativecommons.org/licenses/by-sa/3.0/	</v>
    </spb>
    <spb s="0">
      <v xml:space="preserve">Wikipedia	US Census	US Census	</v>
      <v xml:space="preserve">CC-BY-SA			</v>
      <v xml:space="preserve">http://en.wikipedia.org/wiki/Alaska	https://www.census.gov/popest/data/state/asrh/2014/files/SC-EST2014-AGESEX-CIV.csv	http://www.census.gov/quickfacts/table/VET605214/02	</v>
      <v xml:space="preserve">http://creativecommons.org/licenses/by-sa/3.0/			</v>
    </spb>
    <spb s="27">
      <v>140</v>
      <v>140</v>
      <v>141</v>
      <v>140</v>
      <v>140</v>
      <v>142</v>
      <v>140</v>
      <v>140</v>
      <v>140</v>
      <v>141</v>
      <v>141</v>
      <v>141</v>
      <v>143</v>
      <v>141</v>
      <v>140</v>
      <v>141</v>
      <v>143</v>
      <v>141</v>
      <v>141</v>
      <v>141</v>
      <v>141</v>
      <v>141</v>
      <v>141</v>
      <v>141</v>
      <v>141</v>
      <v>141</v>
      <v>141</v>
      <v>141</v>
      <v>141</v>
      <v>141</v>
      <v>141</v>
      <v>143</v>
    </spb>
    <spb s="28">
      <v>Area</v>
      <v>Image</v>
      <v>Name</v>
      <v>Households</v>
      <v>Population</v>
      <v>UniqueName</v>
      <v>VDPID/VSID</v>
      <v>Abbreviation</v>
      <v>Description</v>
      <v>Country/region</v>
      <v>LearnMoreOnLink</v>
      <v>Largest city</v>
      <v>Persons per household</v>
      <v>Housing units</v>
      <v>Population: White (%)</v>
      <v>Median gross rent</v>
      <v>Population: Asian (%)</v>
      <v>Capital/Major City</v>
      <v>Building permits</v>
      <v>Median household income</v>
      <v>Population change (%)</v>
      <v>Population: Age 65+ (%)</v>
      <v>Population: Under age 5 (%)</v>
      <v>Population: Hispanic or Latino (%)</v>
      <v>Population: Under age 18 (%)</v>
      <v>Population: Two or more races (%)</v>
      <v>Population: Black or African American (%)</v>
      <v>Population: Bachelor's degree or higher (%)</v>
      <v>Population: Persons with a disability (%)</v>
      <v>Population: In civilian labor force (%)</v>
      <v>Population: High school graduate or higher (%)</v>
      <v>Population: Foreign born persons (%)</v>
      <v>Population: American Indian and Alaskan Native (%)</v>
      <v>Population: Native Hawaiian and Other Pacific Islander (%)</v>
      <v>Median value, owner-occupied housing units</v>
    </spb>
    <spb s="3">
      <v>8</v>
      <v>Name</v>
      <v>LearnMoreOnLink</v>
    </spb>
    <spb s="29">
      <v>kilómetro cuadrado</v>
      <v>2015</v>
      <v>2020</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personas (2015)</v>
      <v>2015</v>
    </spb>
    <spb s="9">
      <v>13</v>
    </spb>
  </spbData>
</supportingPropertyBags>
</file>

<file path=xl/richData/rdsupportingpropertybagstructure.xml><?xml version="1.0" encoding="utf-8"?>
<spbStructures xmlns="http://schemas.microsoft.com/office/spreadsheetml/2017/richdata2" count="30">
  <s>
    <k n="SourceText" t="s"/>
    <k n="LicenseText" t="s"/>
    <k n="SourceAddress" t="s"/>
    <k n="LicenseAddres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Order" t="spba"/>
    <k n="TitleProperty" t="s"/>
    <k n="SubTitleProperty" t="s"/>
  </s>
  <s>
    <k n="ShowInCardView" t="b"/>
    <k n="ShowInDotNotation" t="b"/>
    <k n="ShowInAutoComplete" t="b"/>
  </s>
  <s>
    <k n="UniqueName" t="spb"/>
    <k n="VDPID/VSID" t="spb"/>
    <k n="LearnMoreOnLink" t="spb"/>
  </s>
  <s>
    <k n="Imagen" t="i"/>
    <k n="Nombre" t="i"/>
  </s>
  <s>
    <k n="link" t="s"/>
    <k n="logo" t="s"/>
    <k n="name"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_Self" t="i"/>
  </s>
  <s>
    <k n="PIB" t="spb"/>
    <k n="`Área" t="spb"/>
    <k n="Nombre" t="spb"/>
    <k n="Población" t="spb"/>
    <k n="UniqueName" t="spb"/>
    <k n="Abreviatura" t="spb"/>
    <k n="Descripción" t="spb"/>
    <k n="Himno nacional" t="spb"/>
    <k n="Nombre oficial" t="spb"/>
    <k n="Salario mínimo"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
    <k n="`Área" t="s"/>
    <k n="Población" t="s"/>
    <k n="Médicos por mil" t="s"/>
    <k n="Población urbana"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Nombre" t="spb"/>
    <k n="Latitud" t="spb"/>
    <k n="Longitud" t="spb"/>
    <k n="UniqueName" t="spb"/>
    <k n="Descripción" t="spb"/>
    <k n="País o región" t="spb"/>
    <k n="División de administración 1 (estado/provincia/otro)" t="spb"/>
    <k n="División de administración 2 (condado/distrito/otro)" t="spb"/>
  </s>
  <s>
    <k n="Imagen" t="s"/>
    <k n="Nombre" t="s"/>
    <k n="Latitud" t="s"/>
    <k n="Longitud" t="s"/>
    <k n="UniqueName" t="s"/>
    <k n="VDPID/VSID" t="s"/>
    <k n="Descripción" t="s"/>
    <k n="País o región" t="s"/>
    <k n="LearnMoreOnLink" t="s"/>
    <k n="División de administración 1 (estado/provincia/otro)" t="s"/>
    <k n="División de administración 2 (condado/distrito/otro)"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pb"/>
    <k n="PIB" t="spb"/>
    <k n="`Área" t="spb"/>
    <k n="Nombre" t="spb"/>
    <k n="Población" t="spb"/>
    <k n="UniqueName"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Área" t="spb"/>
    <k n="Nombre" t="spb"/>
    <k n="Hogares" t="spb"/>
    <k n="Población" t="spb"/>
    <k n="UniqueName" t="spb"/>
    <k n="Abreviatura" t="spb"/>
    <k n="Descripción" t="spb"/>
    <k n="País o región" t="spb"/>
    <k n="Ciudad más grande" t="spb"/>
    <k n="Personas por hogar" t="spb"/>
    <k n="Unidades de vivienda" t="spb"/>
    <k n="Población: blanca (%)" t="spb"/>
    <k n="Renta mediana en bruto" t="spb"/>
    <k n="Población: asiática (%)" t="spb"/>
    <k n="Capital/ciudad principal" t="spb"/>
    <k n="Permisos de construcción" t="spb"/>
    <k n="Ingresos medios del hogar" t="spb"/>
    <k n="Cambio en la población (%)" t="spb"/>
    <k n="Población: más de 65 años (%)" t="spb"/>
    <k n="Población: menor de 5 años (%)" t="spb"/>
    <k n="Población: hispana o latina (%)" t="spb"/>
    <k n="Población: menores de 18 años (%)" t="spb"/>
    <k n="Población: dos o más etnicidades (%)" t="spb"/>
    <k n="Población: negra o afroamericana (%)" t="spb"/>
    <k n="Población: licenciatura o superior (%)" t="spb"/>
    <k n="Población: personas con discapacidad (%)" t="spb"/>
    <k n="Población: en la fuerza laboral civil (%)" t="spb"/>
    <k n="Población: graduado en secundaria o superior (%)" t="spb"/>
    <k n="Población: personas nacidas en el extranjero (%)" t="spb"/>
    <k n="Población: indio americano y nativo de Alaska (%)" t="spb"/>
    <k n="Población: nativa de Hawái y otras islas del Pacífico (%)" t="spb"/>
    <k n="Valor medio, unidades de vivienda ocupadas por propietario" t="spb"/>
  </s>
  <s>
    <k n="Área" t="s"/>
    <k n="Imagen" t="s"/>
    <k n="Nombre" t="s"/>
    <k n="Hogares" t="s"/>
    <k n="Población" t="s"/>
    <k n="UniqueName" t="s"/>
    <k n="VDPID/VSID" t="s"/>
    <k n="Abreviatura" t="s"/>
    <k n="Descripción" t="s"/>
    <k n="País o región" t="s"/>
    <k n="LearnMoreOnLink" t="s"/>
    <k n="Ciudad más grande" t="s"/>
    <k n="Personas por hogar" t="s"/>
    <k n="Unidades de vivienda" t="s"/>
    <k n="Población: blanca (%)" t="s"/>
    <k n="Renta mediana en bruto" t="s"/>
    <k n="Población: asiática (%)" t="s"/>
    <k n="Capital/ciudad principal"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
    <k n="`Área" t="s"/>
    <k n="Hogares" t="s"/>
    <k n="Población" t="s"/>
    <k n="Personas por hogar" t="s"/>
    <k n="Unidades de vivienda" t="s"/>
    <k n="Población: blanca (%)" t="s"/>
    <k n="Renta mediana en bruto" t="s"/>
    <k n="Población: asiática (%)"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IsHeroField" t="b"/>
    <rPr n="IsTitleField" t="b"/>
    <rPr n="NumberFormat" t="s"/>
  </richProperties>
  <richStyles>
    <rSty>
      <rpv i="0">1</rpv>
    </rSty>
    <rSty>
      <rpv i="1">1</rpv>
    </rSty>
    <rSty dxfid="0">
      <rpv i="2">#,##0</rpv>
    </rSty>
    <rSty dxfid="3">
      <rpv i="2">0.0%</rpv>
    </rSty>
    <rSty dxfid="1">
      <rpv i="2">_([$$-en-US]* #,##0_);_([$$-en-US]* (#,##0);_([$$-en-US]* "-"_);_(@_)</rpv>
    </rSty>
    <rSty dxfid="5">
      <rpv i="2">0</rpv>
    </rSty>
    <rSty dxfid="1">
      <rpv i="2">0.0</rpv>
    </rSty>
    <rSty dxfid="4">
      <rpv i="2">#,##0.00</rpv>
    </rSty>
    <rSty dxfid="2">
      <rpv i="2">0.00</rpv>
    </rSty>
    <rSty dxfid="1">
      <rpv i="2">_([$$-en-US]* #,##0.00_);_([$$-en-US]* (#,##0.00);_([$$-en-US]* "-"??_);_(@_)</rpv>
    </rSty>
    <rSty dxfid="3"/>
    <rSty dxfid="1">
      <rpv i="2">0.0000</rpv>
    </rSty>
    <rSty dxfid="6"/>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114" dT="2026-01-20T12:40:23.37" personId="{C21E7422-E644-6F4B-8DE1-0A0BBB48385A}" id="{C4F57766-ADD5-4E20-850F-813BD52CD5F6}">
    <text>@Tomas Fernandez Dejé Carlos Martínez por alcance de propuesta, orientado principalmente a diseño de conducciones</text>
    <mentions>
      <mention mentionpersonId="{7096C6DC-5CBD-4013-A822-2E266983C3F2}" mentionId="{958A55EE-956E-4135-87D0-8AB91F5CCABD}" startIndex="0" length="16"/>
    </mentions>
  </threadedComment>
  <threadedComment ref="T823" dT="2024-03-11T11:51:51.19" personId="{C21E7422-E644-6F4B-8DE1-0A0BBB48385A}" id="{D8E17F4E-DE7C-6246-BC70-70165C358B4F}">
    <text>@Tomas Fernandez Hola, tengo anotado que Matías Muñoz debe trabajar en esta propuesta, pero figura como ganada, por favor aclarar. @David Ceron</text>
    <mentions>
      <mention mentionpersonId="{7096C6DC-5CBD-4013-A822-2E266983C3F2}" mentionId="{2B431F36-E48C-A447-ACE8-8386C1BD9B97}" startIndex="0" length="16"/>
      <mention mentionpersonId="{505408CE-2895-4E2D-882B-B625FC8D75F8}" mentionId="{EE7499E1-9C86-334D-BA3F-872913CB2708}" startIndex="131" length="12"/>
    </mentions>
  </threadedComment>
  <threadedComment ref="T823" dT="2024-03-11T12:03:25.37" personId="{4AF8C2F5-B0E1-49B2-BA75-A416FF716419}" id="{F0715BDE-9DA1-4DAA-9C7D-E522F6BCBB8A}" parentId="{D8E17F4E-DE7C-6246-BC70-70165C358B4F}">
    <text>@Christian Ihle puede que estés confundiendo. Efectivamente esa oferta se realizó en noviembre 2023 y se ganó, siendo la OS34 del proyecto SH-0265.</text>
    <mentions>
      <mention mentionpersonId="{A12091EE-E396-4FF2-BA56-E53965C6993F}" mentionId="{0632710B-E81A-4E8A-87A7-9475F681EFDF}" startIndex="0" length="15"/>
    </mentions>
  </threadedComment>
  <threadedComment ref="T823" dT="2024-03-11T12:07:45.76" personId="{B59D56F1-1806-4D96-A447-DF67A051BDC9}" id="{753BDF84-A498-45B0-A372-4E262E9898D4}" parentId="{D8E17F4E-DE7C-6246-BC70-70165C358B4F}">
    <text>@Christian Ihle Es la O-1990, puede que no este en este listado por que llego el mismo viernes, actualizare esta planilla</text>
    <mentions>
      <mention mentionpersonId="{A12091EE-E396-4FF2-BA56-E53965C6993F}" mentionId="{3C5CE8A0-4A05-44E2-9150-91FBC396E22D}" startIndex="0" length="15"/>
    </mentions>
  </threadedComment>
  <threadedComment ref="T823" dT="2024-03-11T12:22:49.06" personId="{C21E7422-E644-6F4B-8DE1-0A0BBB48385A}" id="{0FD796AC-9ECB-4D5F-A030-E12890C313C5}" parentId="{D8E17F4E-DE7C-6246-BC70-70165C358B4F}">
    <text xml:space="preserve">Ok, gracias </text>
  </threadedComment>
  <threadedComment ref="T823" dT="2024-03-11T12:36:02.77" personId="{C21E7422-E644-6F4B-8DE1-0A0BBB48385A}" id="{40C9B3C6-BF86-4EE9-AC57-C1D9E4FAEA47}" parentId="{D8E17F4E-DE7C-6246-BC70-70165C358B4F}">
    <text xml:space="preserve">Así fue David.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1" Type="http://schemas.openxmlformats.org/officeDocument/2006/relationships/hyperlink" Target="mailto:VCarv002@codelco.cl" TargetMode="External"/><Relationship Id="rId170" Type="http://schemas.openxmlformats.org/officeDocument/2006/relationships/hyperlink" Target="mailto:jose.rojas@ryq.cl" TargetMode="External"/><Relationship Id="rId268" Type="http://schemas.openxmlformats.org/officeDocument/2006/relationships/hyperlink" Target="mailto:rene.lagas@angloamerican.com" TargetMode="External"/><Relationship Id="rId475" Type="http://schemas.openxmlformats.org/officeDocument/2006/relationships/hyperlink" Target="mailto:hugo.andrade@arcadis.cl" TargetMode="External"/><Relationship Id="rId682" Type="http://schemas.openxmlformats.org/officeDocument/2006/relationships/hyperlink" Target="mailto:ricardo.puelma@capstonecopper.com" TargetMode="External"/><Relationship Id="rId128" Type="http://schemas.openxmlformats.org/officeDocument/2006/relationships/hyperlink" Target="mailto:rquez001@codelco.cl" TargetMode="External"/><Relationship Id="rId335" Type="http://schemas.openxmlformats.org/officeDocument/2006/relationships/hyperlink" Target="mailto:ribanez@aui.cl" TargetMode="External"/><Relationship Id="rId542" Type="http://schemas.openxmlformats.org/officeDocument/2006/relationships/hyperlink" Target="mailto:guilherme.euler@vale.com" TargetMode="External"/><Relationship Id="rId987" Type="http://schemas.openxmlformats.org/officeDocument/2006/relationships/hyperlink" Target="mailto:Simao.Carvalho@tetratech.com" TargetMode="External"/><Relationship Id="rId1172" Type="http://schemas.openxmlformats.org/officeDocument/2006/relationships/hyperlink" Target="mailto:c0711007@vale.com" TargetMode="External"/><Relationship Id="rId402" Type="http://schemas.openxmlformats.org/officeDocument/2006/relationships/hyperlink" Target="mailto:vsalinas@caserones.cl" TargetMode="External"/><Relationship Id="rId847" Type="http://schemas.openxmlformats.org/officeDocument/2006/relationships/hyperlink" Target="mailto:cnitsche@RONIT.CL" TargetMode="External"/><Relationship Id="rId1032" Type="http://schemas.openxmlformats.org/officeDocument/2006/relationships/hyperlink" Target="mailto:christian.rodriguez@bhp.com" TargetMode="External"/><Relationship Id="rId707" Type="http://schemas.openxmlformats.org/officeDocument/2006/relationships/hyperlink" Target="mailto:asdiaz@cmp.cl" TargetMode="External"/><Relationship Id="rId914" Type="http://schemas.openxmlformats.org/officeDocument/2006/relationships/hyperlink" Target="mailto:carlos.castillo@ryq.cl" TargetMode="External"/><Relationship Id="rId43" Type="http://schemas.openxmlformats.org/officeDocument/2006/relationships/hyperlink" Target="mailto:marcelo.macaya@woodplc.com" TargetMode="External"/><Relationship Id="rId192" Type="http://schemas.openxmlformats.org/officeDocument/2006/relationships/hyperlink" Target="mailto:JMorgado@caserones.cl" TargetMode="External"/><Relationship Id="rId497" Type="http://schemas.openxmlformats.org/officeDocument/2006/relationships/hyperlink" Target="mailto:Juanmanuel.silva@glemans.com" TargetMode="External"/><Relationship Id="rId357" Type="http://schemas.openxmlformats.org/officeDocument/2006/relationships/hyperlink" Target="mailto:olimpiadelrosario.cabrera@mmg.com" TargetMode="External"/><Relationship Id="rId1194" Type="http://schemas.microsoft.com/office/2019/04/relationships/documenttask" Target="../documenttasks/documenttask1.xml"/><Relationship Id="rId217" Type="http://schemas.openxmlformats.org/officeDocument/2006/relationships/hyperlink" Target="mailto:patricio.ruz@woodplc.com" TargetMode="External"/><Relationship Id="rId564" Type="http://schemas.openxmlformats.org/officeDocument/2006/relationships/hyperlink" Target="mailto:nelson.carvajal@lundinmining.com" TargetMode="External"/><Relationship Id="rId771" Type="http://schemas.openxmlformats.org/officeDocument/2006/relationships/hyperlink" Target="mailto:PRocc001@ecometales.cl" TargetMode="External"/><Relationship Id="rId869" Type="http://schemas.openxmlformats.org/officeDocument/2006/relationships/hyperlink" Target="mailto:macarena.gervilla@ryq.cl" TargetMode="External"/><Relationship Id="rId424" Type="http://schemas.openxmlformats.org/officeDocument/2006/relationships/hyperlink" Target="mailto:vsalinas@caserones.cl" TargetMode="External"/><Relationship Id="rId631" Type="http://schemas.openxmlformats.org/officeDocument/2006/relationships/hyperlink" Target="mailto:marina.resston@vale.com" TargetMode="External"/><Relationship Id="rId729" Type="http://schemas.openxmlformats.org/officeDocument/2006/relationships/hyperlink" Target="mailto:smruti.patra@bhp.com" TargetMode="External"/><Relationship Id="rId1054" Type="http://schemas.openxmlformats.org/officeDocument/2006/relationships/hyperlink" Target="mailto:Felix.Lastra@sgscm.cl" TargetMode="External"/><Relationship Id="rId936" Type="http://schemas.openxmlformats.org/officeDocument/2006/relationships/hyperlink" Target="mailto:stephan.matulic@bhp.com" TargetMode="External"/><Relationship Id="rId1121" Type="http://schemas.openxmlformats.org/officeDocument/2006/relationships/hyperlink" Target="mailto:stephan.matulic@bhp.com" TargetMode="External"/><Relationship Id="rId65" Type="http://schemas.openxmlformats.org/officeDocument/2006/relationships/hyperlink" Target="mailto:rquez001@codelco.cl" TargetMode="External"/><Relationship Id="rId281" Type="http://schemas.openxmlformats.org/officeDocument/2006/relationships/hyperlink" Target="mailto:jose.rojas@ryq.cl" TargetMode="External"/><Relationship Id="rId141" Type="http://schemas.openxmlformats.org/officeDocument/2006/relationships/hyperlink" Target="mailto:ifuentes@jej.cl" TargetMode="External"/><Relationship Id="rId379" Type="http://schemas.openxmlformats.org/officeDocument/2006/relationships/hyperlink" Target="mailto:Jorge.Agustini@mmg.com" TargetMode="External"/><Relationship Id="rId586" Type="http://schemas.openxmlformats.org/officeDocument/2006/relationships/hyperlink" Target="mailto:asdiaza@cmp.cl" TargetMode="External"/><Relationship Id="rId793" Type="http://schemas.openxmlformats.org/officeDocument/2006/relationships/hyperlink" Target="mailto:lrebolledo@knightpiesold.com" TargetMode="External"/><Relationship Id="rId7" Type="http://schemas.openxmlformats.org/officeDocument/2006/relationships/hyperlink" Target="mailto:cvegah@caserones.cl" TargetMode="External"/><Relationship Id="rId239" Type="http://schemas.openxmlformats.org/officeDocument/2006/relationships/hyperlink" Target="mailto:fernando.letelier@angloamerican.com" TargetMode="External"/><Relationship Id="rId446" Type="http://schemas.openxmlformats.org/officeDocument/2006/relationships/hyperlink" Target="mailto:cfarias@caserones.cl" TargetMode="External"/><Relationship Id="rId653" Type="http://schemas.openxmlformats.org/officeDocument/2006/relationships/hyperlink" Target="mailto:nelson.carvajal@lundinmining.com" TargetMode="External"/><Relationship Id="rId1076" Type="http://schemas.openxmlformats.org/officeDocument/2006/relationships/hyperlink" Target="mailto:eduardo.monsalve@pvsa.cl" TargetMode="External"/><Relationship Id="rId306" Type="http://schemas.openxmlformats.org/officeDocument/2006/relationships/hyperlink" Target="mailto:jose.rojas@ryq.cl" TargetMode="External"/><Relationship Id="rId860" Type="http://schemas.openxmlformats.org/officeDocument/2006/relationships/hyperlink" Target="mailto:mandreani@edic.cl" TargetMode="External"/><Relationship Id="rId958" Type="http://schemas.openxmlformats.org/officeDocument/2006/relationships/hyperlink" Target="mailto:amancill@bechtel.com" TargetMode="External"/><Relationship Id="rId1143" Type="http://schemas.openxmlformats.org/officeDocument/2006/relationships/hyperlink" Target="mailto:stephan.matulic@bhp.com" TargetMode="External"/><Relationship Id="rId87" Type="http://schemas.openxmlformats.org/officeDocument/2006/relationships/hyperlink" Target="mailto:sgalleguillos.esed@caserones.cl" TargetMode="External"/><Relationship Id="rId513" Type="http://schemas.openxmlformats.org/officeDocument/2006/relationships/hyperlink" Target="mailto:jose.rojas@ryq.cl" TargetMode="External"/><Relationship Id="rId720" Type="http://schemas.openxmlformats.org/officeDocument/2006/relationships/hyperlink" Target="mailto:pochoa@cmp.cl" TargetMode="External"/><Relationship Id="rId818" Type="http://schemas.openxmlformats.org/officeDocument/2006/relationships/hyperlink" Target="mailto:mcelis@fda.cl" TargetMode="External"/><Relationship Id="rId1003" Type="http://schemas.openxmlformats.org/officeDocument/2006/relationships/hyperlink" Target="mailto:ewerton.dutra@vale.com" TargetMode="External"/><Relationship Id="rId14" Type="http://schemas.openxmlformats.org/officeDocument/2006/relationships/hyperlink" Target="mailto:csolis@incolur.cl" TargetMode="External"/><Relationship Id="rId163" Type="http://schemas.openxmlformats.org/officeDocument/2006/relationships/hyperlink" Target="mailto:jmunozd@caserones.cl" TargetMode="External"/><Relationship Id="rId370" Type="http://schemas.openxmlformats.org/officeDocument/2006/relationships/hyperlink" Target="mailto:agelleguillos@consorciobas.cl" TargetMode="External"/><Relationship Id="rId230" Type="http://schemas.openxmlformats.org/officeDocument/2006/relationships/hyperlink" Target="mailto:jose.rojas@ryq.cl" TargetMode="External"/><Relationship Id="rId468" Type="http://schemas.openxmlformats.org/officeDocument/2006/relationships/hyperlink" Target="mailto:steve.klose@worleyparsons.com" TargetMode="External"/><Relationship Id="rId675" Type="http://schemas.openxmlformats.org/officeDocument/2006/relationships/hyperlink" Target="mailto:stephan.matulic@bhp.com" TargetMode="External"/><Relationship Id="rId882" Type="http://schemas.openxmlformats.org/officeDocument/2006/relationships/hyperlink" Target="mailto:francisco.gonzalez@draglobal.com" TargetMode="External"/><Relationship Id="rId1098" Type="http://schemas.openxmlformats.org/officeDocument/2006/relationships/hyperlink" Target="mailto:Felix.Lastra@sgscm.cl" TargetMode="External"/><Relationship Id="rId328" Type="http://schemas.openxmlformats.org/officeDocument/2006/relationships/hyperlink" Target="mailto:garaujo@caserones.cl" TargetMode="External"/><Relationship Id="rId535" Type="http://schemas.openxmlformats.org/officeDocument/2006/relationships/hyperlink" Target="mailto:jdrojas@cmp.cl" TargetMode="External"/><Relationship Id="rId742" Type="http://schemas.openxmlformats.org/officeDocument/2006/relationships/hyperlink" Target="mailto:paulina.marchant2@bhp.com" TargetMode="External"/><Relationship Id="rId1165" Type="http://schemas.openxmlformats.org/officeDocument/2006/relationships/hyperlink" Target="mailto:rodrigo.a.lopez2@bhp.com" TargetMode="External"/><Relationship Id="rId602" Type="http://schemas.openxmlformats.org/officeDocument/2006/relationships/hyperlink" Target="mailto:jfcortinez@collahuasi.cl" TargetMode="External"/><Relationship Id="rId1025" Type="http://schemas.openxmlformats.org/officeDocument/2006/relationships/hyperlink" Target="mailto:lisbeth.barra1@bhp.com" TargetMode="External"/><Relationship Id="rId907" Type="http://schemas.openxmlformats.org/officeDocument/2006/relationships/hyperlink" Target="mailto:MAACEITU@collahuasi.cl" TargetMode="External"/><Relationship Id="rId36" Type="http://schemas.openxmlformats.org/officeDocument/2006/relationships/hyperlink" Target="http://www.mercadopublico.cl/" TargetMode="External"/><Relationship Id="rId185" Type="http://schemas.openxmlformats.org/officeDocument/2006/relationships/hyperlink" Target="mailto:Sandro.Garrido@worley.com" TargetMode="External"/><Relationship Id="rId392" Type="http://schemas.openxmlformats.org/officeDocument/2006/relationships/hyperlink" Target="mailto:gcoloma@sibelcosam.com" TargetMode="External"/><Relationship Id="rId697" Type="http://schemas.openxmlformats.org/officeDocument/2006/relationships/hyperlink" Target="mailto:guilherme.menezes1@vale.com" TargetMode="External"/><Relationship Id="rId252" Type="http://schemas.openxmlformats.org/officeDocument/2006/relationships/hyperlink" Target="mailto:stephan.matulic@bhp.com" TargetMode="External"/><Relationship Id="rId1187" Type="http://schemas.openxmlformats.org/officeDocument/2006/relationships/hyperlink" Target="mailto:eric.brito@vale.com" TargetMode="External"/><Relationship Id="rId112" Type="http://schemas.openxmlformats.org/officeDocument/2006/relationships/hyperlink" Target="mailto:jose.moreno@besalco.cl" TargetMode="External"/><Relationship Id="rId557" Type="http://schemas.openxmlformats.org/officeDocument/2006/relationships/hyperlink" Target="mailto:hector.rodriguez@aguaspacifico.cl" TargetMode="External"/><Relationship Id="rId764" Type="http://schemas.openxmlformats.org/officeDocument/2006/relationships/hyperlink" Target="mailto:guilherme.euler@vale.com" TargetMode="External"/><Relationship Id="rId971" Type="http://schemas.openxmlformats.org/officeDocument/2006/relationships/hyperlink" Target="mailto:constanza.diaz-externo@angloamerican.com" TargetMode="External"/><Relationship Id="rId417" Type="http://schemas.openxmlformats.org/officeDocument/2006/relationships/hyperlink" Target="mailto:vsalinas@caserones.cl" TargetMode="External"/><Relationship Id="rId624" Type="http://schemas.openxmlformats.org/officeDocument/2006/relationships/hyperlink" Target="mailto:ppinochet@jej.cl" TargetMode="External"/><Relationship Id="rId831" Type="http://schemas.openxmlformats.org/officeDocument/2006/relationships/hyperlink" Target="mailto:gmoreno@cmp.cl" TargetMode="External"/><Relationship Id="rId1047" Type="http://schemas.openxmlformats.org/officeDocument/2006/relationships/hyperlink" Target="mailto:lisbeth.barra1@bhp.com" TargetMode="External"/><Relationship Id="rId929" Type="http://schemas.openxmlformats.org/officeDocument/2006/relationships/hyperlink" Target="mailto:Felix.Lastra@sgscm.cl" TargetMode="External"/><Relationship Id="rId1114" Type="http://schemas.openxmlformats.org/officeDocument/2006/relationships/hyperlink" Target="mailto:stephan.matulic@bhp.com" TargetMode="External"/><Relationship Id="rId58" Type="http://schemas.openxmlformats.org/officeDocument/2006/relationships/hyperlink" Target="mailto:victor.otarola@angloamerican.com" TargetMode="External"/><Relationship Id="rId274" Type="http://schemas.openxmlformats.org/officeDocument/2006/relationships/hyperlink" Target="mailto:jose.rojas@ryq.cl" TargetMode="External"/><Relationship Id="rId481" Type="http://schemas.openxmlformats.org/officeDocument/2006/relationships/hyperlink" Target="mailto:rorellana@caserones.cl" TargetMode="External"/><Relationship Id="rId134" Type="http://schemas.openxmlformats.org/officeDocument/2006/relationships/hyperlink" Target="mailto:jose.moreno@besalco.cl" TargetMode="External"/><Relationship Id="rId579" Type="http://schemas.openxmlformats.org/officeDocument/2006/relationships/hyperlink" Target="mailto:rquez001@codelco.cl" TargetMode="External"/><Relationship Id="rId786" Type="http://schemas.openxmlformats.org/officeDocument/2006/relationships/hyperlink" Target="mailto:asdiaza@cmp.cl" TargetMode="External"/><Relationship Id="rId993" Type="http://schemas.openxmlformats.org/officeDocument/2006/relationships/hyperlink" Target="mailto:guilherme.euler@vale.com" TargetMode="External"/><Relationship Id="rId341" Type="http://schemas.openxmlformats.org/officeDocument/2006/relationships/hyperlink" Target="mailto:cmerlo@caserones.cl" TargetMode="External"/><Relationship Id="rId439" Type="http://schemas.openxmlformats.org/officeDocument/2006/relationships/hyperlink" Target="mailto:cfarias@caserones.cl" TargetMode="External"/><Relationship Id="rId646" Type="http://schemas.openxmlformats.org/officeDocument/2006/relationships/hyperlink" Target="mailto:rfyanez@collahuasi.cl" TargetMode="External"/><Relationship Id="rId1069" Type="http://schemas.openxmlformats.org/officeDocument/2006/relationships/hyperlink" Target="mailto:lc0707423@vale.com" TargetMode="External"/><Relationship Id="rId201" Type="http://schemas.openxmlformats.org/officeDocument/2006/relationships/hyperlink" Target="mailto:adiazl@pelambres.cl" TargetMode="External"/><Relationship Id="rId506" Type="http://schemas.openxmlformats.org/officeDocument/2006/relationships/hyperlink" Target="mailto:Juanmanuel.silva@glemans.com" TargetMode="External"/><Relationship Id="rId853" Type="http://schemas.openxmlformats.org/officeDocument/2006/relationships/hyperlink" Target="mailto:Juan.Naranjo@lundingold.com" TargetMode="External"/><Relationship Id="rId1136" Type="http://schemas.openxmlformats.org/officeDocument/2006/relationships/hyperlink" Target="mailto:stephan.matulic@bhp.com" TargetMode="External"/><Relationship Id="rId713" Type="http://schemas.openxmlformats.org/officeDocument/2006/relationships/hyperlink" Target="mailto:mcelis@fda.cl" TargetMode="External"/><Relationship Id="rId920" Type="http://schemas.openxmlformats.org/officeDocument/2006/relationships/hyperlink" Target="mailto:stephan.matulic@bhp.com" TargetMode="External"/><Relationship Id="rId145" Type="http://schemas.openxmlformats.org/officeDocument/2006/relationships/hyperlink" Target="mailto:joel.perez@mmg.com" TargetMode="External"/><Relationship Id="rId352" Type="http://schemas.openxmlformats.org/officeDocument/2006/relationships/hyperlink" Target="mailto:cmerlo@caserones.cl" TargetMode="External"/><Relationship Id="rId212" Type="http://schemas.openxmlformats.org/officeDocument/2006/relationships/hyperlink" Target="mailto:jaime.rand@aminerals.cl" TargetMode="External"/><Relationship Id="rId657" Type="http://schemas.openxmlformats.org/officeDocument/2006/relationships/hyperlink" Target="mailto:stephan.matulic@bhp.com" TargetMode="External"/><Relationship Id="rId864" Type="http://schemas.openxmlformats.org/officeDocument/2006/relationships/hyperlink" Target="mailto:eric.brito@vale.com" TargetMode="External"/><Relationship Id="rId296" Type="http://schemas.openxmlformats.org/officeDocument/2006/relationships/hyperlink" Target="mailto:marcelo.bravo@rsa-tailings.cl" TargetMode="External"/><Relationship Id="rId517" Type="http://schemas.openxmlformats.org/officeDocument/2006/relationships/hyperlink" Target="mailto:Edimilson.Silva5@vale.com" TargetMode="External"/><Relationship Id="rId724" Type="http://schemas.openxmlformats.org/officeDocument/2006/relationships/hyperlink" Target="mailto:anderson.gomes2@vale.com" TargetMode="External"/><Relationship Id="rId931" Type="http://schemas.openxmlformats.org/officeDocument/2006/relationships/hyperlink" Target="mailto:Felix.Lastra@sgscm.cl" TargetMode="External"/><Relationship Id="rId1147" Type="http://schemas.openxmlformats.org/officeDocument/2006/relationships/hyperlink" Target="mailto:sergio.rosales@aguaspacifico.cl" TargetMode="External"/><Relationship Id="rId60" Type="http://schemas.openxmlformats.org/officeDocument/2006/relationships/hyperlink" Target="mailto:ppaucar@volcan.com.pe" TargetMode="External"/><Relationship Id="rId156" Type="http://schemas.openxmlformats.org/officeDocument/2006/relationships/hyperlink" Target="mailto:dconcha@aguascap.cl" TargetMode="External"/><Relationship Id="rId363" Type="http://schemas.openxmlformats.org/officeDocument/2006/relationships/hyperlink" Target="mailto:vsalinas@caserones.cl" TargetMode="External"/><Relationship Id="rId570" Type="http://schemas.openxmlformats.org/officeDocument/2006/relationships/hyperlink" Target="mailto:lrebolledo@knightpiesold.com" TargetMode="External"/><Relationship Id="rId1007" Type="http://schemas.openxmlformats.org/officeDocument/2006/relationships/hyperlink" Target="mailto:e_iobreque@cmp.clfalopezd@cmp.cl" TargetMode="External"/><Relationship Id="rId223" Type="http://schemas.openxmlformats.org/officeDocument/2006/relationships/hyperlink" Target="mailto:Simao.Carvalho@tetratech.com" TargetMode="External"/><Relationship Id="rId430" Type="http://schemas.openxmlformats.org/officeDocument/2006/relationships/hyperlink" Target="mailto:vsalinas@caserones.cl" TargetMode="External"/><Relationship Id="rId668" Type="http://schemas.openxmlformats.org/officeDocument/2006/relationships/hyperlink" Target="mailto:pablo.caviedes@angloamerican.com" TargetMode="External"/><Relationship Id="rId875" Type="http://schemas.openxmlformats.org/officeDocument/2006/relationships/hyperlink" Target="mailto:paul.villanueva@stracon.com" TargetMode="External"/><Relationship Id="rId1060" Type="http://schemas.openxmlformats.org/officeDocument/2006/relationships/hyperlink" Target="mailto:lucas.phillipe.siqueira@vale.com" TargetMode="External"/><Relationship Id="rId18" Type="http://schemas.openxmlformats.org/officeDocument/2006/relationships/hyperlink" Target="mailto:jose.rojas@ryq.cl" TargetMode="External"/><Relationship Id="rId528" Type="http://schemas.openxmlformats.org/officeDocument/2006/relationships/hyperlink" Target="mailto:rquez001@codelco.cl" TargetMode="External"/><Relationship Id="rId735" Type="http://schemas.openxmlformats.org/officeDocument/2006/relationships/hyperlink" Target="mailto:mcarranza@ohla-peru.pe" TargetMode="External"/><Relationship Id="rId942" Type="http://schemas.openxmlformats.org/officeDocument/2006/relationships/hyperlink" Target="mailto:e_iobreque@cmp.clfalopezd@cmp.cl" TargetMode="External"/><Relationship Id="rId1158" Type="http://schemas.openxmlformats.org/officeDocument/2006/relationships/hyperlink" Target="mailto:juan.r.gonzalez1@bhp.com" TargetMode="External"/><Relationship Id="rId167" Type="http://schemas.openxmlformats.org/officeDocument/2006/relationships/hyperlink" Target="mailto:maurilio.maciel@vale.com" TargetMode="External"/><Relationship Id="rId374" Type="http://schemas.openxmlformats.org/officeDocument/2006/relationships/hyperlink" Target="mailto:felipe.yevenes@sqm.com" TargetMode="External"/><Relationship Id="rId581" Type="http://schemas.openxmlformats.org/officeDocument/2006/relationships/hyperlink" Target="mailto:rquez001@codelco.cl" TargetMode="External"/><Relationship Id="rId1018" Type="http://schemas.openxmlformats.org/officeDocument/2006/relationships/hyperlink" Target="mailto:e_iobreque@cmp.clfalopezd@cmp.cl" TargetMode="External"/><Relationship Id="rId71" Type="http://schemas.openxmlformats.org/officeDocument/2006/relationships/hyperlink" Target="mailto:Camilo.Orellana@angloamerican.com" TargetMode="External"/><Relationship Id="rId234" Type="http://schemas.openxmlformats.org/officeDocument/2006/relationships/hyperlink" Target="mailto:dagaponovm@gmail.com" TargetMode="External"/><Relationship Id="rId679" Type="http://schemas.openxmlformats.org/officeDocument/2006/relationships/hyperlink" Target="mailto:paulina.marchant2@bhp.com" TargetMode="External"/><Relationship Id="rId802" Type="http://schemas.openxmlformats.org/officeDocument/2006/relationships/hyperlink" Target="mailto:Marcelo.Jeunon1@vale.com" TargetMode="External"/><Relationship Id="rId886" Type="http://schemas.openxmlformats.org/officeDocument/2006/relationships/hyperlink" Target="mailto:guilherme.dino@vale.com" TargetMode="External"/><Relationship Id="rId2" Type="http://schemas.openxmlformats.org/officeDocument/2006/relationships/hyperlink" Target="mailto:efg@ipe.bo" TargetMode="External"/><Relationship Id="rId29" Type="http://schemas.openxmlformats.org/officeDocument/2006/relationships/hyperlink" Target="mailto:alezaca@vega-asociados.cl" TargetMode="External"/><Relationship Id="rId441" Type="http://schemas.openxmlformats.org/officeDocument/2006/relationships/hyperlink" Target="mailto:vsalinas@caserones.cl" TargetMode="External"/><Relationship Id="rId539" Type="http://schemas.openxmlformats.org/officeDocument/2006/relationships/hyperlink" Target="mailto:ricardo.jeldres@uantof.cl" TargetMode="External"/><Relationship Id="rId746" Type="http://schemas.openxmlformats.org/officeDocument/2006/relationships/hyperlink" Target="mailto:alejandro.lazo@capstonecopper.com" TargetMode="External"/><Relationship Id="rId1071" Type="http://schemas.openxmlformats.org/officeDocument/2006/relationships/hyperlink" Target="mailto:nelson.carvajal@lundinmining.com" TargetMode="External"/><Relationship Id="rId1169" Type="http://schemas.openxmlformats.org/officeDocument/2006/relationships/hyperlink" Target="mailto:e_mbaliellas@aguascap.cl" TargetMode="External"/><Relationship Id="rId178" Type="http://schemas.openxmlformats.org/officeDocument/2006/relationships/hyperlink" Target="mailto:jose.rojas@ryq.cl" TargetMode="External"/><Relationship Id="rId301" Type="http://schemas.openxmlformats.org/officeDocument/2006/relationships/hyperlink" Target="mailto:jmunozd@caserones.cl" TargetMode="External"/><Relationship Id="rId953" Type="http://schemas.openxmlformats.org/officeDocument/2006/relationships/hyperlink" Target="mailto:rquez001@codelco.cl" TargetMode="External"/><Relationship Id="rId1029" Type="http://schemas.openxmlformats.org/officeDocument/2006/relationships/hyperlink" Target="mailto:marcos.issa@vale.com" TargetMode="External"/><Relationship Id="rId82" Type="http://schemas.openxmlformats.org/officeDocument/2006/relationships/hyperlink" Target="mailto:jaime.condell@pvsa.cl" TargetMode="External"/><Relationship Id="rId385" Type="http://schemas.openxmlformats.org/officeDocument/2006/relationships/hyperlink" Target="mailto:pemorales@enap.cl" TargetMode="External"/><Relationship Id="rId592" Type="http://schemas.openxmlformats.org/officeDocument/2006/relationships/hyperlink" Target="mailto:C0644994@vale.com" TargetMode="External"/><Relationship Id="rId606" Type="http://schemas.openxmlformats.org/officeDocument/2006/relationships/hyperlink" Target="mailto:jbriceno@jej.cl" TargetMode="External"/><Relationship Id="rId813" Type="http://schemas.openxmlformats.org/officeDocument/2006/relationships/hyperlink" Target="mailto:novascontratacoes.DBPG@Vale.com" TargetMode="External"/><Relationship Id="rId245" Type="http://schemas.openxmlformats.org/officeDocument/2006/relationships/hyperlink" Target="mailto:jose.rojas@ryq.cl" TargetMode="External"/><Relationship Id="rId452" Type="http://schemas.openxmlformats.org/officeDocument/2006/relationships/hyperlink" Target="mailto:cfarias@caserones.cl" TargetMode="External"/><Relationship Id="rId897" Type="http://schemas.openxmlformats.org/officeDocument/2006/relationships/hyperlink" Target="mailto:ehsepulv@Bechtel.com" TargetMode="External"/><Relationship Id="rId1082" Type="http://schemas.openxmlformats.org/officeDocument/2006/relationships/hyperlink" Target="mailto:cnitsche@RONIT.CL" TargetMode="External"/><Relationship Id="rId105" Type="http://schemas.openxmlformats.org/officeDocument/2006/relationships/hyperlink" Target="mailto:e_jaguero@aguascap.cl" TargetMode="External"/><Relationship Id="rId312" Type="http://schemas.openxmlformats.org/officeDocument/2006/relationships/hyperlink" Target="mailto:pcortes@tandp.cl" TargetMode="External"/><Relationship Id="rId757" Type="http://schemas.openxmlformats.org/officeDocument/2006/relationships/hyperlink" Target="mailto:pochoa@cmp.cl" TargetMode="External"/><Relationship Id="rId964" Type="http://schemas.openxmlformats.org/officeDocument/2006/relationships/hyperlink" Target="mailto:MAACEITU@collahuasi.cl" TargetMode="External"/><Relationship Id="rId93" Type="http://schemas.openxmlformats.org/officeDocument/2006/relationships/hyperlink" Target="mailto:jose.rojas@ryq.cl" TargetMode="External"/><Relationship Id="rId189" Type="http://schemas.openxmlformats.org/officeDocument/2006/relationships/hyperlink" Target="mailto:cvelasquez@jej.cl" TargetMode="External"/><Relationship Id="rId396" Type="http://schemas.openxmlformats.org/officeDocument/2006/relationships/hyperlink" Target="mailto:Jorge.Agustini@mmg.com" TargetMode="External"/><Relationship Id="rId617" Type="http://schemas.openxmlformats.org/officeDocument/2006/relationships/hyperlink" Target="mailto:Alberto.Garcia@empiricaconsultores.cl" TargetMode="External"/><Relationship Id="rId824" Type="http://schemas.openxmlformats.org/officeDocument/2006/relationships/hyperlink" Target="mailto:nelson.carvajal@lundinmining.com" TargetMode="External"/><Relationship Id="rId256" Type="http://schemas.openxmlformats.org/officeDocument/2006/relationships/hyperlink" Target="mailto:cristian.henriquez@angloamerican.com" TargetMode="External"/><Relationship Id="rId463" Type="http://schemas.openxmlformats.org/officeDocument/2006/relationships/hyperlink" Target="mailto:jsolis@mineracentinela.cl" TargetMode="External"/><Relationship Id="rId670" Type="http://schemas.openxmlformats.org/officeDocument/2006/relationships/hyperlink" Target="mailto:iguzman@enami.cl" TargetMode="External"/><Relationship Id="rId1093" Type="http://schemas.openxmlformats.org/officeDocument/2006/relationships/hyperlink" Target="mailto:KABRAVO@collahuasi.cl" TargetMode="External"/><Relationship Id="rId1107" Type="http://schemas.openxmlformats.org/officeDocument/2006/relationships/hyperlink" Target="mailto:javier.castillo@cenizas.cl" TargetMode="External"/><Relationship Id="rId116" Type="http://schemas.openxmlformats.org/officeDocument/2006/relationships/hyperlink" Target="mailto:e_adiaz@cmp.cl" TargetMode="External"/><Relationship Id="rId323" Type="http://schemas.openxmlformats.org/officeDocument/2006/relationships/hyperlink" Target="mailto:victor.lungoci@cerronegro.cl" TargetMode="External"/><Relationship Id="rId530" Type="http://schemas.openxmlformats.org/officeDocument/2006/relationships/hyperlink" Target="mailto:jorge.ribeiro@vale.com" TargetMode="External"/><Relationship Id="rId768" Type="http://schemas.openxmlformats.org/officeDocument/2006/relationships/hyperlink" Target="mailto:pazocar@jej.cl" TargetMode="External"/><Relationship Id="rId975" Type="http://schemas.openxmlformats.org/officeDocument/2006/relationships/hyperlink" Target="mailto:marcela.cubillos@stantec.com" TargetMode="External"/><Relationship Id="rId1160" Type="http://schemas.openxmlformats.org/officeDocument/2006/relationships/hyperlink" Target="mailto:nelson.carvajal@lundinmining.com" TargetMode="External"/><Relationship Id="rId20" Type="http://schemas.openxmlformats.org/officeDocument/2006/relationships/hyperlink" Target="mailto:jfcortinez@collahuasi.cl" TargetMode="External"/><Relationship Id="rId628" Type="http://schemas.openxmlformats.org/officeDocument/2006/relationships/hyperlink" Target="mailto:claudio.pavez@coxabengoa.com" TargetMode="External"/><Relationship Id="rId835" Type="http://schemas.openxmlformats.org/officeDocument/2006/relationships/hyperlink" Target="mailto:jose.mello@neogeoconsult.com" TargetMode="External"/><Relationship Id="rId267" Type="http://schemas.openxmlformats.org/officeDocument/2006/relationships/hyperlink" Target="mailto:rene.lagas@angloamerican.com" TargetMode="External"/><Relationship Id="rId474" Type="http://schemas.openxmlformats.org/officeDocument/2006/relationships/hyperlink" Target="mailto:rorellana@caserones.cl" TargetMode="External"/><Relationship Id="rId1020" Type="http://schemas.openxmlformats.org/officeDocument/2006/relationships/hyperlink" Target="mailto:cristina.alfaro@bhp.com" TargetMode="External"/><Relationship Id="rId1118" Type="http://schemas.openxmlformats.org/officeDocument/2006/relationships/hyperlink" Target="mailto:stephan.matulic@bhp.com" TargetMode="External"/><Relationship Id="rId127" Type="http://schemas.openxmlformats.org/officeDocument/2006/relationships/hyperlink" Target="mailto:lrebolledo@eimontajes.cl" TargetMode="External"/><Relationship Id="rId681" Type="http://schemas.openxmlformats.org/officeDocument/2006/relationships/hyperlink" Target="mailto:Osvaldo.Sanmartin1@bhpbilliton.com" TargetMode="External"/><Relationship Id="rId779" Type="http://schemas.openxmlformats.org/officeDocument/2006/relationships/hyperlink" Target="mailto:sergio.gaete@capstonecopper.com" TargetMode="External"/><Relationship Id="rId902" Type="http://schemas.openxmlformats.org/officeDocument/2006/relationships/hyperlink" Target="mailto:jade.choucair@vale.com%20/%20fernanda.lima.silva@vale.com" TargetMode="External"/><Relationship Id="rId986" Type="http://schemas.openxmlformats.org/officeDocument/2006/relationships/hyperlink" Target="mailto:c0637231@vale.com" TargetMode="External"/><Relationship Id="rId31" Type="http://schemas.openxmlformats.org/officeDocument/2006/relationships/hyperlink" Target="mailto:wenner.vinicius@vale.com" TargetMode="External"/><Relationship Id="rId334" Type="http://schemas.openxmlformats.org/officeDocument/2006/relationships/hyperlink" Target="mailto:rafael.carpio@mmg.com" TargetMode="External"/><Relationship Id="rId541" Type="http://schemas.openxmlformats.org/officeDocument/2006/relationships/hyperlink" Target="mailto:waldocesar.lopez.gonzalez@acciona.com" TargetMode="External"/><Relationship Id="rId639" Type="http://schemas.openxmlformats.org/officeDocument/2006/relationships/hyperlink" Target="mailto:stephan.matulic@bhp.com" TargetMode="External"/><Relationship Id="rId1171" Type="http://schemas.openxmlformats.org/officeDocument/2006/relationships/hyperlink" Target="mailto:avarg017@contratistas.codelco.cl" TargetMode="External"/><Relationship Id="rId180" Type="http://schemas.openxmlformats.org/officeDocument/2006/relationships/hyperlink" Target="mailto:jose.rojas@ryq.cl" TargetMode="External"/><Relationship Id="rId278" Type="http://schemas.openxmlformats.org/officeDocument/2006/relationships/hyperlink" Target="mailto:AVera019@codelco.cl%3E" TargetMode="External"/><Relationship Id="rId401" Type="http://schemas.openxmlformats.org/officeDocument/2006/relationships/hyperlink" Target="mailto:vsalinas@caserones.cl" TargetMode="External"/><Relationship Id="rId846" Type="http://schemas.openxmlformats.org/officeDocument/2006/relationships/hyperlink" Target="mailto:stephan.matulic@bhp.com" TargetMode="External"/><Relationship Id="rId1031" Type="http://schemas.openxmlformats.org/officeDocument/2006/relationships/hyperlink" Target="mailto:fredturolla@pezco.com.br" TargetMode="External"/><Relationship Id="rId1129" Type="http://schemas.openxmlformats.org/officeDocument/2006/relationships/hyperlink" Target="mailto:stephan.matulic@bhp.com" TargetMode="External"/><Relationship Id="rId485" Type="http://schemas.openxmlformats.org/officeDocument/2006/relationships/hyperlink" Target="mailto:rorellana@caserones.cl" TargetMode="External"/><Relationship Id="rId692" Type="http://schemas.openxmlformats.org/officeDocument/2006/relationships/hyperlink" Target="mailto:stephan.matulic@bhp.com" TargetMode="External"/><Relationship Id="rId706" Type="http://schemas.openxmlformats.org/officeDocument/2006/relationships/hyperlink" Target="mailto:asdiaz@cmp.cl" TargetMode="External"/><Relationship Id="rId913" Type="http://schemas.openxmlformats.org/officeDocument/2006/relationships/hyperlink" Target="mailto:lucas.phillipe.siqueira@vale.com" TargetMode="External"/><Relationship Id="rId42" Type="http://schemas.openxmlformats.org/officeDocument/2006/relationships/hyperlink" Target="mailto:fernando.letelier@angloamerican.com" TargetMode="External"/><Relationship Id="rId138" Type="http://schemas.openxmlformats.org/officeDocument/2006/relationships/hyperlink" Target="mailto:jose.rojas@ryq.cl" TargetMode="External"/><Relationship Id="rId345" Type="http://schemas.openxmlformats.org/officeDocument/2006/relationships/hyperlink" Target="mailto:jorge.agustini@mmg.com" TargetMode="External"/><Relationship Id="rId552" Type="http://schemas.openxmlformats.org/officeDocument/2006/relationships/hyperlink" Target="mailto:Loreto.aguilar@sqm.com" TargetMode="External"/><Relationship Id="rId997" Type="http://schemas.openxmlformats.org/officeDocument/2006/relationships/hyperlink" Target="mailto:nelson.carvajal@lundinmining.com" TargetMode="External"/><Relationship Id="rId1182" Type="http://schemas.openxmlformats.org/officeDocument/2006/relationships/hyperlink" Target="mailto:rita.gomes4@bhp.com" TargetMode="External"/><Relationship Id="rId191" Type="http://schemas.openxmlformats.org/officeDocument/2006/relationships/hyperlink" Target="mailto:JMorgado@caserones.cl" TargetMode="External"/><Relationship Id="rId205" Type="http://schemas.openxmlformats.org/officeDocument/2006/relationships/hyperlink" Target="mailto:maurilio.maciel@vale.com" TargetMode="External"/><Relationship Id="rId412" Type="http://schemas.openxmlformats.org/officeDocument/2006/relationships/hyperlink" Target="mailto:rodrigo.fernandez@ryq.cl" TargetMode="External"/><Relationship Id="rId857" Type="http://schemas.openxmlformats.org/officeDocument/2006/relationships/hyperlink" Target="mailto:cristina.alfaro@bhp.com" TargetMode="External"/><Relationship Id="rId1042" Type="http://schemas.openxmlformats.org/officeDocument/2006/relationships/hyperlink" Target="mailto:Felix.Lastra@sgscm.cl" TargetMode="External"/><Relationship Id="rId289" Type="http://schemas.openxmlformats.org/officeDocument/2006/relationships/hyperlink" Target="mailto:jose.rojas@ryq.cl" TargetMode="External"/><Relationship Id="rId496" Type="http://schemas.openxmlformats.org/officeDocument/2006/relationships/hyperlink" Target="mailto:hugo.andrade@arcadis.cl" TargetMode="External"/><Relationship Id="rId717" Type="http://schemas.openxmlformats.org/officeDocument/2006/relationships/hyperlink" Target="mailto:rfyanez@collahuasi.cl" TargetMode="External"/><Relationship Id="rId924" Type="http://schemas.openxmlformats.org/officeDocument/2006/relationships/hyperlink" Target="mailto:guilherme.menezes1@vale.com" TargetMode="External"/><Relationship Id="rId53" Type="http://schemas.openxmlformats.org/officeDocument/2006/relationships/hyperlink" Target="mailto:fernando.letelier@angloamerican.com" TargetMode="External"/><Relationship Id="rId149" Type="http://schemas.openxmlformats.org/officeDocument/2006/relationships/hyperlink" Target="mailto:cmerlo@caserones.cl" TargetMode="External"/><Relationship Id="rId356" Type="http://schemas.openxmlformats.org/officeDocument/2006/relationships/hyperlink" Target="mailto:vsalinas@caserones.cl" TargetMode="External"/><Relationship Id="rId563" Type="http://schemas.openxmlformats.org/officeDocument/2006/relationships/hyperlink" Target="mailto:nelson.carvajal@lundinmining.com" TargetMode="External"/><Relationship Id="rId770" Type="http://schemas.openxmlformats.org/officeDocument/2006/relationships/hyperlink" Target="mailto:asdiaza@cmp.cl" TargetMode="External"/><Relationship Id="rId1193" Type="http://schemas.microsoft.com/office/2017/10/relationships/threadedComment" Target="../threadedComments/threadedComment1.xml"/><Relationship Id="rId216" Type="http://schemas.openxmlformats.org/officeDocument/2006/relationships/hyperlink" Target="mailto:daigo.shioyama@angloamerican.com" TargetMode="External"/><Relationship Id="rId423" Type="http://schemas.openxmlformats.org/officeDocument/2006/relationships/hyperlink" Target="mailto:vsalinas@caserones.cl" TargetMode="External"/><Relationship Id="rId868" Type="http://schemas.openxmlformats.org/officeDocument/2006/relationships/hyperlink" Target="mailto:cristina.alfaro@bhp.com" TargetMode="External"/><Relationship Id="rId1053" Type="http://schemas.openxmlformats.org/officeDocument/2006/relationships/hyperlink" Target="mailto:JEFERNANDE@collahuasi.cl" TargetMode="External"/><Relationship Id="rId630" Type="http://schemas.openxmlformats.org/officeDocument/2006/relationships/hyperlink" Target="mailto:marina.resston@vale.com" TargetMode="External"/><Relationship Id="rId728" Type="http://schemas.openxmlformats.org/officeDocument/2006/relationships/hyperlink" Target="mailto:evelyn.gonzalez2@bhp.com" TargetMode="External"/><Relationship Id="rId935" Type="http://schemas.openxmlformats.org/officeDocument/2006/relationships/hyperlink" Target="mailto:juanpablo.saavedra@pucobre.cl" TargetMode="External"/><Relationship Id="rId64" Type="http://schemas.openxmlformats.org/officeDocument/2006/relationships/hyperlink" Target="mailto:rquez001@codelco.cl" TargetMode="External"/><Relationship Id="rId367" Type="http://schemas.openxmlformats.org/officeDocument/2006/relationships/hyperlink" Target="mailto:rafael.carpio@mmg.com" TargetMode="External"/><Relationship Id="rId574" Type="http://schemas.openxmlformats.org/officeDocument/2006/relationships/hyperlink" Target="mailto:isanchez@knightpiesold.com" TargetMode="External"/><Relationship Id="rId1120" Type="http://schemas.openxmlformats.org/officeDocument/2006/relationships/hyperlink" Target="mailto:stephan.matulic@bhp.com" TargetMode="External"/><Relationship Id="rId227" Type="http://schemas.openxmlformats.org/officeDocument/2006/relationships/hyperlink" Target="mailto:arojasva@aminerals.cl" TargetMode="External"/><Relationship Id="rId781" Type="http://schemas.openxmlformats.org/officeDocument/2006/relationships/hyperlink" Target="mailto:anderson.gomes2@vale.com" TargetMode="External"/><Relationship Id="rId879" Type="http://schemas.openxmlformats.org/officeDocument/2006/relationships/hyperlink" Target="mailto:ronald.ventura@pe.panamericansilver.com" TargetMode="External"/><Relationship Id="rId434" Type="http://schemas.openxmlformats.org/officeDocument/2006/relationships/hyperlink" Target="mailto:vsalinas@caserones.cl" TargetMode="External"/><Relationship Id="rId641" Type="http://schemas.openxmlformats.org/officeDocument/2006/relationships/hyperlink" Target="mailto:javiera.a.garay@bhp.com" TargetMode="External"/><Relationship Id="rId739" Type="http://schemas.openxmlformats.org/officeDocument/2006/relationships/hyperlink" Target="mailto:nelson.carvajal@lundinmining.com" TargetMode="External"/><Relationship Id="rId1064" Type="http://schemas.openxmlformats.org/officeDocument/2006/relationships/hyperlink" Target="mailto:v-malfaro@lundinmining.com" TargetMode="External"/><Relationship Id="rId280" Type="http://schemas.openxmlformats.org/officeDocument/2006/relationships/hyperlink" Target="mailto:AVera019@codelco.cl%3E" TargetMode="External"/><Relationship Id="rId501" Type="http://schemas.openxmlformats.org/officeDocument/2006/relationships/hyperlink" Target="mailto:rorellana@caserones.cl" TargetMode="External"/><Relationship Id="rId946" Type="http://schemas.openxmlformats.org/officeDocument/2006/relationships/hyperlink" Target="mailto:c0637231@vale.com" TargetMode="External"/><Relationship Id="rId1131" Type="http://schemas.openxmlformats.org/officeDocument/2006/relationships/hyperlink" Target="mailto:stephan.matulic@bhp.com" TargetMode="External"/><Relationship Id="rId75" Type="http://schemas.openxmlformats.org/officeDocument/2006/relationships/hyperlink" Target="mailto:jlugo@jej.cl" TargetMode="External"/><Relationship Id="rId140" Type="http://schemas.openxmlformats.org/officeDocument/2006/relationships/hyperlink" Target="mailto:JMorgado@caserones.cl" TargetMode="External"/><Relationship Id="rId378" Type="http://schemas.openxmlformats.org/officeDocument/2006/relationships/hyperlink" Target="mailto:christian.jensenmontt@angloamerican.com" TargetMode="External"/><Relationship Id="rId585" Type="http://schemas.openxmlformats.org/officeDocument/2006/relationships/hyperlink" Target="mailto:ricardo.puelma@capstonecopper.com" TargetMode="External"/><Relationship Id="rId792" Type="http://schemas.openxmlformats.org/officeDocument/2006/relationships/hyperlink" Target="mailto:Arturo.Geldres@vale.com" TargetMode="External"/><Relationship Id="rId806" Type="http://schemas.openxmlformats.org/officeDocument/2006/relationships/hyperlink" Target="mailto:Marcelo.Jeunon1@vale.com" TargetMode="External"/><Relationship Id="rId6" Type="http://schemas.openxmlformats.org/officeDocument/2006/relationships/hyperlink" Target="mailto:ncarvajal@caserones.cl" TargetMode="External"/><Relationship Id="rId238" Type="http://schemas.openxmlformats.org/officeDocument/2006/relationships/hyperlink" Target="mailto:otidcarvajal@eeccmlp.cl" TargetMode="External"/><Relationship Id="rId445" Type="http://schemas.openxmlformats.org/officeDocument/2006/relationships/hyperlink" Target="mailto:fvera@nutram.cl" TargetMode="External"/><Relationship Id="rId652" Type="http://schemas.openxmlformats.org/officeDocument/2006/relationships/hyperlink" Target="mailto:stephan.matulic@bhp.com" TargetMode="External"/><Relationship Id="rId1075" Type="http://schemas.openxmlformats.org/officeDocument/2006/relationships/hyperlink" Target="mailto:cnitsche@RONIT.CL" TargetMode="External"/><Relationship Id="rId291" Type="http://schemas.openxmlformats.org/officeDocument/2006/relationships/hyperlink" Target="mailto:JuanPN@ide-tech.com" TargetMode="External"/><Relationship Id="rId305" Type="http://schemas.openxmlformats.org/officeDocument/2006/relationships/hyperlink" Target="mailto:jose.rojas@ryq.cl" TargetMode="External"/><Relationship Id="rId512" Type="http://schemas.openxmlformats.org/officeDocument/2006/relationships/hyperlink" Target="mailto:rorellana@caserones.cl" TargetMode="External"/><Relationship Id="rId957" Type="http://schemas.openxmlformats.org/officeDocument/2006/relationships/hyperlink" Target="mailto:guido.aedo@capstonecopper.com" TargetMode="External"/><Relationship Id="rId1142" Type="http://schemas.openxmlformats.org/officeDocument/2006/relationships/hyperlink" Target="mailto:stephan.matulic@bhp.com" TargetMode="External"/><Relationship Id="rId86" Type="http://schemas.openxmlformats.org/officeDocument/2006/relationships/hyperlink" Target="mailto:eduardo.monsalve@pvsa.cl" TargetMode="External"/><Relationship Id="rId151" Type="http://schemas.openxmlformats.org/officeDocument/2006/relationships/hyperlink" Target="mailto:cmerlo@caserones.cl" TargetMode="External"/><Relationship Id="rId389" Type="http://schemas.openxmlformats.org/officeDocument/2006/relationships/hyperlink" Target="mailto:gemita.gonzalez@sqm.com" TargetMode="External"/><Relationship Id="rId596" Type="http://schemas.openxmlformats.org/officeDocument/2006/relationships/hyperlink" Target="mailto:carolina.cofre@arcadis.com" TargetMode="External"/><Relationship Id="rId817" Type="http://schemas.openxmlformats.org/officeDocument/2006/relationships/hyperlink" Target="mailto:falopezd@cmp.cl" TargetMode="External"/><Relationship Id="rId1002" Type="http://schemas.openxmlformats.org/officeDocument/2006/relationships/hyperlink" Target="mailto:lucas.phillipe.siqueira@vale.com" TargetMode="External"/><Relationship Id="rId249" Type="http://schemas.openxmlformats.org/officeDocument/2006/relationships/hyperlink" Target="mailto:miguel.ruiz@ryq.cl" TargetMode="External"/><Relationship Id="rId456" Type="http://schemas.openxmlformats.org/officeDocument/2006/relationships/hyperlink" Target="mailto:rorellana@caserones.cl" TargetMode="External"/><Relationship Id="rId663" Type="http://schemas.openxmlformats.org/officeDocument/2006/relationships/hyperlink" Target="mailto:eric.romero@coxabengoa.com" TargetMode="External"/><Relationship Id="rId870" Type="http://schemas.openxmlformats.org/officeDocument/2006/relationships/hyperlink" Target="mailto:nelson.carvajal@lundinmining.com" TargetMode="External"/><Relationship Id="rId1086" Type="http://schemas.openxmlformats.org/officeDocument/2006/relationships/hyperlink" Target="mailto:paola.amigo@bhp.com" TargetMode="External"/><Relationship Id="rId13" Type="http://schemas.openxmlformats.org/officeDocument/2006/relationships/hyperlink" Target="mailto:maurilio.maciel@vale.com" TargetMode="External"/><Relationship Id="rId109" Type="http://schemas.openxmlformats.org/officeDocument/2006/relationships/hyperlink" Target="mailto:FRIQUELMEB@fegrande.cl" TargetMode="External"/><Relationship Id="rId316" Type="http://schemas.openxmlformats.org/officeDocument/2006/relationships/hyperlink" Target="mailto:marco.a.martin@lundinmining.com" TargetMode="External"/><Relationship Id="rId523" Type="http://schemas.openxmlformats.org/officeDocument/2006/relationships/hyperlink" Target="mailto:Gaston@mdpsa.com.ar" TargetMode="External"/><Relationship Id="rId968" Type="http://schemas.openxmlformats.org/officeDocument/2006/relationships/hyperlink" Target="mailto:jose.rojas@ryq.cl" TargetMode="External"/><Relationship Id="rId1153" Type="http://schemas.openxmlformats.org/officeDocument/2006/relationships/hyperlink" Target="mailto:Felix.Lastra@sgscm.cl" TargetMode="External"/><Relationship Id="rId97" Type="http://schemas.openxmlformats.org/officeDocument/2006/relationships/hyperlink" Target="mailto:chim@jej.cl" TargetMode="External"/><Relationship Id="rId730" Type="http://schemas.openxmlformats.org/officeDocument/2006/relationships/hyperlink" Target="mailto:jleon@knightpiesold.com" TargetMode="External"/><Relationship Id="rId828" Type="http://schemas.openxmlformats.org/officeDocument/2006/relationships/hyperlink" Target="mailto:falopezd@cmp.cl" TargetMode="External"/><Relationship Id="rId1013" Type="http://schemas.openxmlformats.org/officeDocument/2006/relationships/hyperlink" Target="mailto:lucas.phillipe.siqueira@vale.com" TargetMode="External"/><Relationship Id="rId162" Type="http://schemas.openxmlformats.org/officeDocument/2006/relationships/hyperlink" Target="mailto:jsilva062@contratistas.codelco.cl" TargetMode="External"/><Relationship Id="rId467" Type="http://schemas.openxmlformats.org/officeDocument/2006/relationships/hyperlink" Target="mailto:rene.lagas@angloamerican.com" TargetMode="External"/><Relationship Id="rId1097" Type="http://schemas.openxmlformats.org/officeDocument/2006/relationships/hyperlink" Target="mailto:Felix.Lastra@sgscm.cl" TargetMode="External"/><Relationship Id="rId674" Type="http://schemas.openxmlformats.org/officeDocument/2006/relationships/hyperlink" Target="mailto:mrondanelli@aguascap.cl" TargetMode="External"/><Relationship Id="rId881" Type="http://schemas.openxmlformats.org/officeDocument/2006/relationships/hyperlink" Target="mailto:Christian.Vega@sgscm.cl" TargetMode="External"/><Relationship Id="rId979" Type="http://schemas.openxmlformats.org/officeDocument/2006/relationships/hyperlink" Target="mailto:rafael.depujadas@ocaglobal.com" TargetMode="External"/><Relationship Id="rId24" Type="http://schemas.openxmlformats.org/officeDocument/2006/relationships/hyperlink" Target="mailto:marizio.Junior@Worley.com" TargetMode="External"/><Relationship Id="rId327" Type="http://schemas.openxmlformats.org/officeDocument/2006/relationships/hyperlink" Target="mailto:JuanCarlos.Tapia@sedgman.com" TargetMode="External"/><Relationship Id="rId534" Type="http://schemas.openxmlformats.org/officeDocument/2006/relationships/hyperlink" Target="mailto:rafael.rodriguez@sgscm.cl" TargetMode="External"/><Relationship Id="rId741" Type="http://schemas.openxmlformats.org/officeDocument/2006/relationships/hyperlink" Target="mailto:ricardo.puelma@capstonecopper.com" TargetMode="External"/><Relationship Id="rId839" Type="http://schemas.openxmlformats.org/officeDocument/2006/relationships/hyperlink" Target="mailto:cnitsche@RONIT.CL" TargetMode="External"/><Relationship Id="rId1164" Type="http://schemas.openxmlformats.org/officeDocument/2006/relationships/hyperlink" Target="mailto:martin.arnaez@australgold.com" TargetMode="External"/><Relationship Id="rId173" Type="http://schemas.openxmlformats.org/officeDocument/2006/relationships/hyperlink" Target="mailto:lucas.mota@tractebel.engie.com" TargetMode="External"/><Relationship Id="rId380" Type="http://schemas.openxmlformats.org/officeDocument/2006/relationships/hyperlink" Target="mailto:vsalinas@caserones.cl" TargetMode="External"/><Relationship Id="rId601" Type="http://schemas.openxmlformats.org/officeDocument/2006/relationships/hyperlink" Target="mailto:gunter.lipper@equinoxgold.com" TargetMode="External"/><Relationship Id="rId1024" Type="http://schemas.openxmlformats.org/officeDocument/2006/relationships/hyperlink" Target="mailto:Felix.Lastra@sgscm.cl" TargetMode="External"/><Relationship Id="rId240" Type="http://schemas.openxmlformats.org/officeDocument/2006/relationships/hyperlink" Target="mailto:carmen.suarez@pucobre.cl" TargetMode="External"/><Relationship Id="rId478" Type="http://schemas.openxmlformats.org/officeDocument/2006/relationships/hyperlink" Target="mailto:cmjaque@collahuasi.cl" TargetMode="External"/><Relationship Id="rId685" Type="http://schemas.openxmlformats.org/officeDocument/2006/relationships/hyperlink" Target="mailto:anderson.gomes2@vale.com" TargetMode="External"/><Relationship Id="rId892" Type="http://schemas.openxmlformats.org/officeDocument/2006/relationships/hyperlink" Target="mailto:C0653631@vale.com" TargetMode="External"/><Relationship Id="rId906" Type="http://schemas.openxmlformats.org/officeDocument/2006/relationships/hyperlink" Target="mailto:guido.aedo@capstonecopper.com" TargetMode="External"/><Relationship Id="rId35" Type="http://schemas.openxmlformats.org/officeDocument/2006/relationships/hyperlink" Target="mailto:galvarez@enami.cl" TargetMode="External"/><Relationship Id="rId100" Type="http://schemas.openxmlformats.org/officeDocument/2006/relationships/hyperlink" Target="mailto:carlos.pavissich@bhp.com" TargetMode="External"/><Relationship Id="rId338" Type="http://schemas.openxmlformats.org/officeDocument/2006/relationships/hyperlink" Target="mailto:cmerlo@caserones.cl" TargetMode="External"/><Relationship Id="rId545" Type="http://schemas.openxmlformats.org/officeDocument/2006/relationships/hyperlink" Target="mailto:csantander@incolur.cl" TargetMode="External"/><Relationship Id="rId752" Type="http://schemas.openxmlformats.org/officeDocument/2006/relationships/hyperlink" Target="mailto:German.Lagrange@fluor.com" TargetMode="External"/><Relationship Id="rId1175" Type="http://schemas.openxmlformats.org/officeDocument/2006/relationships/hyperlink" Target="mailto:arthur.pinto@vale.com" TargetMode="External"/><Relationship Id="rId184" Type="http://schemas.openxmlformats.org/officeDocument/2006/relationships/hyperlink" Target="mailto:pablo.caviedes@angloamerican.com" TargetMode="External"/><Relationship Id="rId391" Type="http://schemas.openxmlformats.org/officeDocument/2006/relationships/hyperlink" Target="mailto:rafael.simoes@enrc.com.br" TargetMode="External"/><Relationship Id="rId405" Type="http://schemas.openxmlformats.org/officeDocument/2006/relationships/hyperlink" Target="mailto:dconcha@aguascap.cl" TargetMode="External"/><Relationship Id="rId612" Type="http://schemas.openxmlformats.org/officeDocument/2006/relationships/hyperlink" Target="mailto:Fabiano.Teixeira@vale.com" TargetMode="External"/><Relationship Id="rId1035" Type="http://schemas.openxmlformats.org/officeDocument/2006/relationships/hyperlink" Target="mailto:Felix.Lastra@sgscm.cl" TargetMode="External"/><Relationship Id="rId251" Type="http://schemas.openxmlformats.org/officeDocument/2006/relationships/hyperlink" Target="mailto:victor.otarola@angloamerican.com" TargetMode="External"/><Relationship Id="rId489" Type="http://schemas.openxmlformats.org/officeDocument/2006/relationships/hyperlink" Target="mailto:rorellana@caserones.cl" TargetMode="External"/><Relationship Id="rId696" Type="http://schemas.openxmlformats.org/officeDocument/2006/relationships/hyperlink" Target="mailto:asdiaz@cmp.cl" TargetMode="External"/><Relationship Id="rId917" Type="http://schemas.openxmlformats.org/officeDocument/2006/relationships/hyperlink" Target="mailto:Ignacio.Lagos@Worley.com" TargetMode="External"/><Relationship Id="rId1102" Type="http://schemas.openxmlformats.org/officeDocument/2006/relationships/hyperlink" Target="mailto:marcelo.camargos@itaminas.com.br" TargetMode="External"/><Relationship Id="rId46" Type="http://schemas.openxmlformats.org/officeDocument/2006/relationships/hyperlink" Target="mailto:maria.a.montero1@bhp.com" TargetMode="External"/><Relationship Id="rId349" Type="http://schemas.openxmlformats.org/officeDocument/2006/relationships/hyperlink" Target="mailto:bladimir.quispe@mmg.com" TargetMode="External"/><Relationship Id="rId556" Type="http://schemas.openxmlformats.org/officeDocument/2006/relationships/hyperlink" Target="mailto:mauricio.bravo2@bhp.com" TargetMode="External"/><Relationship Id="rId763" Type="http://schemas.openxmlformats.org/officeDocument/2006/relationships/hyperlink" Target="mailto:asdiaza@cmp.cl" TargetMode="External"/><Relationship Id="rId1186" Type="http://schemas.openxmlformats.org/officeDocument/2006/relationships/hyperlink" Target="mailto:c0711007@vale.com" TargetMode="External"/><Relationship Id="rId111" Type="http://schemas.openxmlformats.org/officeDocument/2006/relationships/hyperlink" Target="mailto:ygodoy@pugamujica.cl" TargetMode="External"/><Relationship Id="rId195" Type="http://schemas.openxmlformats.org/officeDocument/2006/relationships/hyperlink" Target="mailto:rodrigues@retaengenharia.com.br" TargetMode="External"/><Relationship Id="rId209" Type="http://schemas.openxmlformats.org/officeDocument/2006/relationships/hyperlink" Target="mailto:daniel.gallardo-externo@angloamerican.com" TargetMode="External"/><Relationship Id="rId416" Type="http://schemas.openxmlformats.org/officeDocument/2006/relationships/hyperlink" Target="mailto:vsalinas@caserones.cl" TargetMode="External"/><Relationship Id="rId970" Type="http://schemas.openxmlformats.org/officeDocument/2006/relationships/hyperlink" Target="mailto:C0682142@vale.com" TargetMode="External"/><Relationship Id="rId1046" Type="http://schemas.openxmlformats.org/officeDocument/2006/relationships/hyperlink" Target="mailto:C0708961@vale.com" TargetMode="External"/><Relationship Id="rId623" Type="http://schemas.openxmlformats.org/officeDocument/2006/relationships/hyperlink" Target="mailto:isanchez@knightpiesold.com" TargetMode="External"/><Relationship Id="rId830" Type="http://schemas.openxmlformats.org/officeDocument/2006/relationships/hyperlink" Target="mailto:Juan.Naranjo@lundingold.com" TargetMode="External"/><Relationship Id="rId928" Type="http://schemas.openxmlformats.org/officeDocument/2006/relationships/hyperlink" Target="mailto:nelson.carvajal@lundinmining.com" TargetMode="External"/><Relationship Id="rId57" Type="http://schemas.openxmlformats.org/officeDocument/2006/relationships/hyperlink" Target="mailto:MSand011@codelco.cl" TargetMode="External"/><Relationship Id="rId262" Type="http://schemas.openxmlformats.org/officeDocument/2006/relationships/hyperlink" Target="mailto:lucas.mota@tractebel.engie.com" TargetMode="External"/><Relationship Id="rId567" Type="http://schemas.openxmlformats.org/officeDocument/2006/relationships/hyperlink" Target="mailto:csantander@incolur.cl" TargetMode="External"/><Relationship Id="rId1113" Type="http://schemas.openxmlformats.org/officeDocument/2006/relationships/hyperlink" Target="mailto:paola.amigo@bhp.com" TargetMode="External"/><Relationship Id="rId122" Type="http://schemas.openxmlformats.org/officeDocument/2006/relationships/hyperlink" Target="mailto:rquez001@codelco.cl" TargetMode="External"/><Relationship Id="rId774" Type="http://schemas.openxmlformats.org/officeDocument/2006/relationships/hyperlink" Target="mailto:pochoa@cmp.cl" TargetMode="External"/><Relationship Id="rId981" Type="http://schemas.openxmlformats.org/officeDocument/2006/relationships/hyperlink" Target="mailto:rafael.depujadas@ocaglobal.com" TargetMode="External"/><Relationship Id="rId1057" Type="http://schemas.openxmlformats.org/officeDocument/2006/relationships/hyperlink" Target="mailto:lc0707423@vale.com" TargetMode="External"/><Relationship Id="rId427" Type="http://schemas.openxmlformats.org/officeDocument/2006/relationships/hyperlink" Target="mailto:cfarias@caserones.cl" TargetMode="External"/><Relationship Id="rId634" Type="http://schemas.openxmlformats.org/officeDocument/2006/relationships/hyperlink" Target="mailto:rquez001@codelco.cl" TargetMode="External"/><Relationship Id="rId841" Type="http://schemas.openxmlformats.org/officeDocument/2006/relationships/hyperlink" Target="mailto:Juan.Naranjo@lundingold.com" TargetMode="External"/><Relationship Id="rId273" Type="http://schemas.openxmlformats.org/officeDocument/2006/relationships/hyperlink" Target="mailto:katherine.viveros@arcadis.com" TargetMode="External"/><Relationship Id="rId480" Type="http://schemas.openxmlformats.org/officeDocument/2006/relationships/hyperlink" Target="mailto:francisco.soto@empiricaconsultores.cl" TargetMode="External"/><Relationship Id="rId701" Type="http://schemas.openxmlformats.org/officeDocument/2006/relationships/hyperlink" Target="mailto:mcarranza@ohla-peru.pe" TargetMode="External"/><Relationship Id="rId939" Type="http://schemas.openxmlformats.org/officeDocument/2006/relationships/hyperlink" Target="mailto:lrebolledo@knightpiesold.com" TargetMode="External"/><Relationship Id="rId1124" Type="http://schemas.openxmlformats.org/officeDocument/2006/relationships/hyperlink" Target="mailto:stephan.matulic@bhp.com" TargetMode="External"/><Relationship Id="rId68" Type="http://schemas.openxmlformats.org/officeDocument/2006/relationships/hyperlink" Target="mailto:jmoreno@caserones.cl" TargetMode="External"/><Relationship Id="rId133" Type="http://schemas.openxmlformats.org/officeDocument/2006/relationships/hyperlink" Target="mailto:fromero@caserones.cl" TargetMode="External"/><Relationship Id="rId340" Type="http://schemas.openxmlformats.org/officeDocument/2006/relationships/hyperlink" Target="mailto:cmerlo@caserones.cl" TargetMode="External"/><Relationship Id="rId578" Type="http://schemas.openxmlformats.org/officeDocument/2006/relationships/hyperlink" Target="mailto:rbecker@resister.cl" TargetMode="External"/><Relationship Id="rId785" Type="http://schemas.openxmlformats.org/officeDocument/2006/relationships/hyperlink" Target="mailto:stephan.matulic@bhp.com" TargetMode="External"/><Relationship Id="rId992" Type="http://schemas.openxmlformats.org/officeDocument/2006/relationships/hyperlink" Target="mailto:c0637231@vale.com" TargetMode="External"/><Relationship Id="rId200" Type="http://schemas.openxmlformats.org/officeDocument/2006/relationships/hyperlink" Target="mailto:jose.rojas@ryq.cl" TargetMode="External"/><Relationship Id="rId438" Type="http://schemas.openxmlformats.org/officeDocument/2006/relationships/hyperlink" Target="mailto:cfarias@caserones.cl" TargetMode="External"/><Relationship Id="rId645" Type="http://schemas.openxmlformats.org/officeDocument/2006/relationships/hyperlink" Target="mailto:daniel.warner@bhp.com" TargetMode="External"/><Relationship Id="rId852" Type="http://schemas.openxmlformats.org/officeDocument/2006/relationships/hyperlink" Target="mailto:jcollio@cmp.cl" TargetMode="External"/><Relationship Id="rId1068" Type="http://schemas.openxmlformats.org/officeDocument/2006/relationships/hyperlink" Target="mailto:lucas.phillipe.siqueira@vale.com" TargetMode="External"/><Relationship Id="rId284" Type="http://schemas.openxmlformats.org/officeDocument/2006/relationships/hyperlink" Target="mailto:guilherme.machado@vale.com" TargetMode="External"/><Relationship Id="rId491" Type="http://schemas.openxmlformats.org/officeDocument/2006/relationships/hyperlink" Target="mailto:rorellana@caserones.cl" TargetMode="External"/><Relationship Id="rId505" Type="http://schemas.openxmlformats.org/officeDocument/2006/relationships/hyperlink" Target="mailto:rorellana@caserones.cl" TargetMode="External"/><Relationship Id="rId712" Type="http://schemas.openxmlformats.org/officeDocument/2006/relationships/hyperlink" Target="mailto:rquez001@codelco.cl" TargetMode="External"/><Relationship Id="rId1135" Type="http://schemas.openxmlformats.org/officeDocument/2006/relationships/hyperlink" Target="mailto:stephan.matulic@bhp.com" TargetMode="External"/><Relationship Id="rId79" Type="http://schemas.openxmlformats.org/officeDocument/2006/relationships/hyperlink" Target="mailto:Camilo.Orellana@angloamerican.com" TargetMode="External"/><Relationship Id="rId144" Type="http://schemas.openxmlformats.org/officeDocument/2006/relationships/hyperlink" Target="mailto:cristobalguajardo@prodiel.com" TargetMode="External"/><Relationship Id="rId589" Type="http://schemas.openxmlformats.org/officeDocument/2006/relationships/hyperlink" Target="mailto:javiera.a.garay@bhp.com" TargetMode="External"/><Relationship Id="rId796" Type="http://schemas.openxmlformats.org/officeDocument/2006/relationships/hyperlink" Target="mailto:Javier.Undurraga@sgscm.cl" TargetMode="External"/><Relationship Id="rId351" Type="http://schemas.openxmlformats.org/officeDocument/2006/relationships/hyperlink" Target="mailto:olimpiadelrosario.cabrera@mmg.com" TargetMode="External"/><Relationship Id="rId449" Type="http://schemas.openxmlformats.org/officeDocument/2006/relationships/hyperlink" Target="mailto:cfarias@caserones.cl" TargetMode="External"/><Relationship Id="rId656" Type="http://schemas.openxmlformats.org/officeDocument/2006/relationships/hyperlink" Target="mailto:fabiana.facci@bamin.com.br" TargetMode="External"/><Relationship Id="rId863" Type="http://schemas.openxmlformats.org/officeDocument/2006/relationships/hyperlink" Target="mailto:Fabiano.Teixeira@vale.com" TargetMode="External"/><Relationship Id="rId1079" Type="http://schemas.openxmlformats.org/officeDocument/2006/relationships/hyperlink" Target="mailto:JEFERNANDE@collahuasi.cl" TargetMode="External"/><Relationship Id="rId211" Type="http://schemas.openxmlformats.org/officeDocument/2006/relationships/hyperlink" Target="mailto:jaime.rand@aminerals.cl" TargetMode="External"/><Relationship Id="rId295" Type="http://schemas.openxmlformats.org/officeDocument/2006/relationships/hyperlink" Target="mailto:lrebolledo@knightpiesold.com" TargetMode="External"/><Relationship Id="rId309" Type="http://schemas.openxmlformats.org/officeDocument/2006/relationships/hyperlink" Target="mailto:ramon.valdivia@hatch.com" TargetMode="External"/><Relationship Id="rId516" Type="http://schemas.openxmlformats.org/officeDocument/2006/relationships/hyperlink" Target="mailto:Edimilson.Silva5@vale.com" TargetMode="External"/><Relationship Id="rId1146" Type="http://schemas.openxmlformats.org/officeDocument/2006/relationships/hyperlink" Target="mailto:e_iobreque@cmp.clfalopezd@cmp.cl" TargetMode="External"/><Relationship Id="rId723" Type="http://schemas.openxmlformats.org/officeDocument/2006/relationships/hyperlink" Target="mailto:anderson.gomes2@vale.com" TargetMode="External"/><Relationship Id="rId930" Type="http://schemas.openxmlformats.org/officeDocument/2006/relationships/hyperlink" Target="mailto:Felix.Lastra@sgscm.cl" TargetMode="External"/><Relationship Id="rId1006" Type="http://schemas.openxmlformats.org/officeDocument/2006/relationships/hyperlink" Target="mailto:francisca.chadwick@angloamerican.com" TargetMode="External"/><Relationship Id="rId155" Type="http://schemas.openxmlformats.org/officeDocument/2006/relationships/hyperlink" Target="mailto:cmerlo@caserones.cl" TargetMode="External"/><Relationship Id="rId362" Type="http://schemas.openxmlformats.org/officeDocument/2006/relationships/hyperlink" Target="mailto:pcheng@mineracentinela.cl" TargetMode="External"/><Relationship Id="rId222" Type="http://schemas.openxmlformats.org/officeDocument/2006/relationships/hyperlink" Target="mailto:jmoreno@caserones.cl" TargetMode="External"/><Relationship Id="rId667" Type="http://schemas.openxmlformats.org/officeDocument/2006/relationships/hyperlink" Target="mailto:AVera019@codelco.cl%3E" TargetMode="External"/><Relationship Id="rId874" Type="http://schemas.openxmlformats.org/officeDocument/2006/relationships/hyperlink" Target="mailto:sschuchhardt@mineracentinela.cl" TargetMode="External"/><Relationship Id="rId17" Type="http://schemas.openxmlformats.org/officeDocument/2006/relationships/hyperlink" Target="mailto:roberto.andrade@angloamerican.com" TargetMode="External"/><Relationship Id="rId527" Type="http://schemas.openxmlformats.org/officeDocument/2006/relationships/hyperlink" Target="mailto:Sergio.Valdebenito@teck.com" TargetMode="External"/><Relationship Id="rId734" Type="http://schemas.openxmlformats.org/officeDocument/2006/relationships/hyperlink" Target="mailto:mcarranza@ohla-peru.pe" TargetMode="External"/><Relationship Id="rId941" Type="http://schemas.openxmlformats.org/officeDocument/2006/relationships/hyperlink" Target="mailto:marcelo.aguilar@grt-ing.cl" TargetMode="External"/><Relationship Id="rId1157" Type="http://schemas.openxmlformats.org/officeDocument/2006/relationships/hyperlink" Target="mailto:sergio.gomez@lundinmining.com" TargetMode="External"/><Relationship Id="rId70" Type="http://schemas.openxmlformats.org/officeDocument/2006/relationships/hyperlink" Target="mailto:francisco.vega@sgscm.cl" TargetMode="External"/><Relationship Id="rId166" Type="http://schemas.openxmlformats.org/officeDocument/2006/relationships/hyperlink" Target="mailto:rafael.rodriguez@sgscm.cl" TargetMode="External"/><Relationship Id="rId373" Type="http://schemas.openxmlformats.org/officeDocument/2006/relationships/hyperlink" Target="mailto:rodrigo.fernandez@ryq.cl" TargetMode="External"/><Relationship Id="rId580" Type="http://schemas.openxmlformats.org/officeDocument/2006/relationships/hyperlink" Target="mailto:rquez001@codelco.cl" TargetMode="External"/><Relationship Id="rId801" Type="http://schemas.openxmlformats.org/officeDocument/2006/relationships/hyperlink" Target="mailto:Marcelo.Jeunon1@vale.com" TargetMode="External"/><Relationship Id="rId1017" Type="http://schemas.openxmlformats.org/officeDocument/2006/relationships/hyperlink" Target="mailto:cristina.alfaro@bhp.com" TargetMode="External"/><Relationship Id="rId1" Type="http://schemas.openxmlformats.org/officeDocument/2006/relationships/hyperlink" Target="mailto:rfyanez@collahuasi.cl" TargetMode="External"/><Relationship Id="rId233" Type="http://schemas.openxmlformats.org/officeDocument/2006/relationships/hyperlink" Target="mailto:mrios@prowerks.cl" TargetMode="External"/><Relationship Id="rId440" Type="http://schemas.openxmlformats.org/officeDocument/2006/relationships/hyperlink" Target="mailto:cfarias@caserones.cl" TargetMode="External"/><Relationship Id="rId678" Type="http://schemas.openxmlformats.org/officeDocument/2006/relationships/hyperlink" Target="mailto:pochoa@cmp.cl" TargetMode="External"/><Relationship Id="rId885" Type="http://schemas.openxmlformats.org/officeDocument/2006/relationships/hyperlink" Target="mailto:rquez001@codelco.cl" TargetMode="External"/><Relationship Id="rId1070" Type="http://schemas.openxmlformats.org/officeDocument/2006/relationships/hyperlink" Target="mailto:paola.amigo@bhp.com" TargetMode="External"/><Relationship Id="rId28" Type="http://schemas.openxmlformats.org/officeDocument/2006/relationships/hyperlink" Target="mailto:rquez001@codelco.cl" TargetMode="External"/><Relationship Id="rId300" Type="http://schemas.openxmlformats.org/officeDocument/2006/relationships/hyperlink" Target="mailto:jmunozd@caserones.cl" TargetMode="External"/><Relationship Id="rId538" Type="http://schemas.openxmlformats.org/officeDocument/2006/relationships/hyperlink" Target="mailto:rolando.moraga@pucobre.cl" TargetMode="External"/><Relationship Id="rId745" Type="http://schemas.openxmlformats.org/officeDocument/2006/relationships/hyperlink" Target="mailto:nelson.carvajal@lundinmining.com" TargetMode="External"/><Relationship Id="rId952" Type="http://schemas.openxmlformats.org/officeDocument/2006/relationships/hyperlink" Target="mailto:rquez001@codelco.cl" TargetMode="External"/><Relationship Id="rId1168" Type="http://schemas.openxmlformats.org/officeDocument/2006/relationships/hyperlink" Target="mailto:Francisco.Aranda@ghd.com" TargetMode="External"/><Relationship Id="rId81" Type="http://schemas.openxmlformats.org/officeDocument/2006/relationships/hyperlink" Target="mailto:Camilo.Orellana@angloamerican.com" TargetMode="External"/><Relationship Id="rId177" Type="http://schemas.openxmlformats.org/officeDocument/2006/relationships/hyperlink" Target="mailto:rdcortes@cmp.cl" TargetMode="External"/><Relationship Id="rId384" Type="http://schemas.openxmlformats.org/officeDocument/2006/relationships/hyperlink" Target="mailto:vsalinas@caserones.cl" TargetMode="External"/><Relationship Id="rId591" Type="http://schemas.openxmlformats.org/officeDocument/2006/relationships/hyperlink" Target="mailto:julio.sanhueza@sgscm.cl" TargetMode="External"/><Relationship Id="rId605" Type="http://schemas.openxmlformats.org/officeDocument/2006/relationships/hyperlink" Target="mailto:jbriceno@jej.cl" TargetMode="External"/><Relationship Id="rId812" Type="http://schemas.openxmlformats.org/officeDocument/2006/relationships/hyperlink" Target="mailto:falopezd@cmp.cl" TargetMode="External"/><Relationship Id="rId1028" Type="http://schemas.openxmlformats.org/officeDocument/2006/relationships/hyperlink" Target="mailto:lucas.phillipe.siqueira@vale.com" TargetMode="External"/><Relationship Id="rId244" Type="http://schemas.openxmlformats.org/officeDocument/2006/relationships/hyperlink" Target="mailto:efg@ipe.bo" TargetMode="External"/><Relationship Id="rId689" Type="http://schemas.openxmlformats.org/officeDocument/2006/relationships/hyperlink" Target="mailto:jdrojas@cmp.cl" TargetMode="External"/><Relationship Id="rId896" Type="http://schemas.openxmlformats.org/officeDocument/2006/relationships/hyperlink" Target="mailto:nelson.carvajal@lundinmining.com" TargetMode="External"/><Relationship Id="rId1081" Type="http://schemas.openxmlformats.org/officeDocument/2006/relationships/hyperlink" Target="mailto:ehsepulv@Bechtel.com" TargetMode="External"/><Relationship Id="rId39" Type="http://schemas.openxmlformats.org/officeDocument/2006/relationships/hyperlink" Target="mailto:polguin@cmp.cl" TargetMode="External"/><Relationship Id="rId451" Type="http://schemas.openxmlformats.org/officeDocument/2006/relationships/hyperlink" Target="mailto:cfarias@caserones.cl" TargetMode="External"/><Relationship Id="rId549" Type="http://schemas.openxmlformats.org/officeDocument/2006/relationships/hyperlink" Target="mailto:RGuti016@codelco.cl" TargetMode="External"/><Relationship Id="rId756" Type="http://schemas.openxmlformats.org/officeDocument/2006/relationships/hyperlink" Target="mailto:pochoa@cmp.cl" TargetMode="External"/><Relationship Id="rId1179" Type="http://schemas.openxmlformats.org/officeDocument/2006/relationships/hyperlink" Target="mailto:arthur.pinto@vale.com" TargetMode="External"/><Relationship Id="rId104" Type="http://schemas.openxmlformats.org/officeDocument/2006/relationships/hyperlink" Target="mailto:jose.rojas@ryq.cl" TargetMode="External"/><Relationship Id="rId188" Type="http://schemas.openxmlformats.org/officeDocument/2006/relationships/hyperlink" Target="mailto:JMorgado@caserones.cl" TargetMode="External"/><Relationship Id="rId311" Type="http://schemas.openxmlformats.org/officeDocument/2006/relationships/hyperlink" Target="mailto:claudio.pavez@abengoa.com" TargetMode="External"/><Relationship Id="rId395" Type="http://schemas.openxmlformats.org/officeDocument/2006/relationships/hyperlink" Target="mailto:Jorge.Agustini@mmg.com" TargetMode="External"/><Relationship Id="rId409" Type="http://schemas.openxmlformats.org/officeDocument/2006/relationships/hyperlink" Target="mailto:vsalinas@caserones.cl" TargetMode="External"/><Relationship Id="rId963" Type="http://schemas.openxmlformats.org/officeDocument/2006/relationships/hyperlink" Target="mailto:nelson.carvajal@lundinmining.com" TargetMode="External"/><Relationship Id="rId1039" Type="http://schemas.openxmlformats.org/officeDocument/2006/relationships/hyperlink" Target="mailto:julio.ibanez@concordiaconsulting.cl" TargetMode="External"/><Relationship Id="rId92" Type="http://schemas.openxmlformats.org/officeDocument/2006/relationships/hyperlink" Target="mailto:horacio.sandoval.r@outlook.com" TargetMode="External"/><Relationship Id="rId616" Type="http://schemas.openxmlformats.org/officeDocument/2006/relationships/hyperlink" Target="mailto:jmunoz@jri.cl" TargetMode="External"/><Relationship Id="rId823" Type="http://schemas.openxmlformats.org/officeDocument/2006/relationships/hyperlink" Target="mailto:falopezd@cmp.cl" TargetMode="External"/><Relationship Id="rId255" Type="http://schemas.openxmlformats.org/officeDocument/2006/relationships/hyperlink" Target="mailto:jtapia@jej.cl" TargetMode="External"/><Relationship Id="rId462" Type="http://schemas.openxmlformats.org/officeDocument/2006/relationships/hyperlink" Target="mailto:jsolis@mineracentinela.cl" TargetMode="External"/><Relationship Id="rId1092" Type="http://schemas.openxmlformats.org/officeDocument/2006/relationships/hyperlink" Target="mailto:guilherme.euler@vale.com" TargetMode="External"/><Relationship Id="rId1106" Type="http://schemas.openxmlformats.org/officeDocument/2006/relationships/hyperlink" Target="mailto:c0711007@vale.com" TargetMode="External"/><Relationship Id="rId115" Type="http://schemas.openxmlformats.org/officeDocument/2006/relationships/hyperlink" Target="mailto:rquez001@codelco.cl" TargetMode="External"/><Relationship Id="rId322" Type="http://schemas.openxmlformats.org/officeDocument/2006/relationships/hyperlink" Target="mailto:Jmoreno.esed@caserones.cl" TargetMode="External"/><Relationship Id="rId767" Type="http://schemas.openxmlformats.org/officeDocument/2006/relationships/hyperlink" Target="mailto:claudia.flores1@bhp.com" TargetMode="External"/><Relationship Id="rId974" Type="http://schemas.openxmlformats.org/officeDocument/2006/relationships/hyperlink" Target="mailto:Felix.Lastra@sgscm.cl" TargetMode="External"/><Relationship Id="rId199" Type="http://schemas.openxmlformats.org/officeDocument/2006/relationships/hyperlink" Target="mailto:Cesar.ParraV@teck.com" TargetMode="External"/><Relationship Id="rId627" Type="http://schemas.openxmlformats.org/officeDocument/2006/relationships/hyperlink" Target="mailto:pderolucero@masterservices.cl" TargetMode="External"/><Relationship Id="rId834" Type="http://schemas.openxmlformats.org/officeDocument/2006/relationships/hyperlink" Target="mailto:e_iobreque@cmp.clfalopezd@cmp.cl" TargetMode="External"/><Relationship Id="rId266" Type="http://schemas.openxmlformats.org/officeDocument/2006/relationships/hyperlink" Target="mailto:rene.lagas@angloamerican.com" TargetMode="External"/><Relationship Id="rId473" Type="http://schemas.openxmlformats.org/officeDocument/2006/relationships/hyperlink" Target="mailto:victor.araya@propipe.cl" TargetMode="External"/><Relationship Id="rId680" Type="http://schemas.openxmlformats.org/officeDocument/2006/relationships/hyperlink" Target="mailto:paulina.marchant2@bhp.com" TargetMode="External"/><Relationship Id="rId901" Type="http://schemas.openxmlformats.org/officeDocument/2006/relationships/hyperlink" Target="mailto:jade.choucair@vale.com%20/%20fernanda.lima.silva@vale.com" TargetMode="External"/><Relationship Id="rId1117" Type="http://schemas.openxmlformats.org/officeDocument/2006/relationships/hyperlink" Target="mailto:stephan.matulic@bhp.com" TargetMode="External"/><Relationship Id="rId30" Type="http://schemas.openxmlformats.org/officeDocument/2006/relationships/hyperlink" Target="mailto:jfcortinez@collahuasi.cl" TargetMode="External"/><Relationship Id="rId126" Type="http://schemas.openxmlformats.org/officeDocument/2006/relationships/hyperlink" Target="mailto:daniel.pagliero@skic.com" TargetMode="External"/><Relationship Id="rId333" Type="http://schemas.openxmlformats.org/officeDocument/2006/relationships/hyperlink" Target="mailto:guillermo@colomaconsultores.cl" TargetMode="External"/><Relationship Id="rId540" Type="http://schemas.openxmlformats.org/officeDocument/2006/relationships/hyperlink" Target="mailto:rolando.moraga@pucobre.cl" TargetMode="External"/><Relationship Id="rId778" Type="http://schemas.openxmlformats.org/officeDocument/2006/relationships/hyperlink" Target="mailto:pochoa@cmp.cl" TargetMode="External"/><Relationship Id="rId985" Type="http://schemas.openxmlformats.org/officeDocument/2006/relationships/hyperlink" Target="mailto:Cesar.Garrido2@teck.com" TargetMode="External"/><Relationship Id="rId1170" Type="http://schemas.openxmlformats.org/officeDocument/2006/relationships/hyperlink" Target="mailto:nelson.carvajal@lundinmining.com" TargetMode="External"/><Relationship Id="rId638" Type="http://schemas.openxmlformats.org/officeDocument/2006/relationships/hyperlink" Target="mailto:stephan.matulic@bhp.com" TargetMode="External"/><Relationship Id="rId845" Type="http://schemas.openxmlformats.org/officeDocument/2006/relationships/hyperlink" Target="mailto:cnitsche@RONIT.CL" TargetMode="External"/><Relationship Id="rId1030" Type="http://schemas.openxmlformats.org/officeDocument/2006/relationships/hyperlink" Target="mailto:juanmanuel.araya@bain.com" TargetMode="External"/><Relationship Id="rId277" Type="http://schemas.openxmlformats.org/officeDocument/2006/relationships/hyperlink" Target="mailto:jose.rojas@ryq.cl" TargetMode="External"/><Relationship Id="rId400" Type="http://schemas.openxmlformats.org/officeDocument/2006/relationships/hyperlink" Target="mailto:silvia.lagos@edoctum.com" TargetMode="External"/><Relationship Id="rId484" Type="http://schemas.openxmlformats.org/officeDocument/2006/relationships/hyperlink" Target="mailto:Juanmanuel.silva@glemans.com" TargetMode="External"/><Relationship Id="rId705" Type="http://schemas.openxmlformats.org/officeDocument/2006/relationships/hyperlink" Target="mailto:ksotop@cemin.com" TargetMode="External"/><Relationship Id="rId1128" Type="http://schemas.openxmlformats.org/officeDocument/2006/relationships/hyperlink" Target="mailto:stephan.matulic@bhp.com" TargetMode="External"/><Relationship Id="rId137" Type="http://schemas.openxmlformats.org/officeDocument/2006/relationships/hyperlink" Target="mailto:jose.rojas@ryq.cl" TargetMode="External"/><Relationship Id="rId344" Type="http://schemas.openxmlformats.org/officeDocument/2006/relationships/hyperlink" Target="mailto:olimpiadelrosario.cabrera@mmg.com" TargetMode="External"/><Relationship Id="rId691" Type="http://schemas.openxmlformats.org/officeDocument/2006/relationships/hyperlink" Target="mailto:stephan.matulic@bhp.com" TargetMode="External"/><Relationship Id="rId789" Type="http://schemas.openxmlformats.org/officeDocument/2006/relationships/hyperlink" Target="mailto:RRORBEZO@collahuasi.cl" TargetMode="External"/><Relationship Id="rId912" Type="http://schemas.openxmlformats.org/officeDocument/2006/relationships/hyperlink" Target="mailto:Ignacio.Lagos@Worley.com" TargetMode="External"/><Relationship Id="rId996" Type="http://schemas.openxmlformats.org/officeDocument/2006/relationships/hyperlink" Target="mailto:nelson.carvajal@lundinmining.com" TargetMode="External"/><Relationship Id="rId41" Type="http://schemas.openxmlformats.org/officeDocument/2006/relationships/hyperlink" Target="mailto:claudia.flores1@bhp.com" TargetMode="External"/><Relationship Id="rId551" Type="http://schemas.openxmlformats.org/officeDocument/2006/relationships/hyperlink" Target="mailto:Cristian.Avendano@sgscm.cl" TargetMode="External"/><Relationship Id="rId649" Type="http://schemas.openxmlformats.org/officeDocument/2006/relationships/hyperlink" Target="mailto:alberto.garcia@empirica.cl" TargetMode="External"/><Relationship Id="rId856" Type="http://schemas.openxmlformats.org/officeDocument/2006/relationships/hyperlink" Target="mailto:cristina.alfaro@bhp.com" TargetMode="External"/><Relationship Id="rId1181" Type="http://schemas.openxmlformats.org/officeDocument/2006/relationships/hyperlink" Target="mailto:dvaras@proforma.cl" TargetMode="External"/><Relationship Id="rId190" Type="http://schemas.openxmlformats.org/officeDocument/2006/relationships/hyperlink" Target="mailto:Simao.Carvalho@tetratech.com" TargetMode="External"/><Relationship Id="rId204" Type="http://schemas.openxmlformats.org/officeDocument/2006/relationships/hyperlink" Target="mailto:JMorgado@caserones.cl" TargetMode="External"/><Relationship Id="rId288" Type="http://schemas.openxmlformats.org/officeDocument/2006/relationships/hyperlink" Target="mailto:efg@ipe.bo" TargetMode="External"/><Relationship Id="rId411" Type="http://schemas.openxmlformats.org/officeDocument/2006/relationships/hyperlink" Target="mailto:rodrigo.fernandez@ryq.cl" TargetMode="External"/><Relationship Id="rId509" Type="http://schemas.openxmlformats.org/officeDocument/2006/relationships/hyperlink" Target="mailto:rorellana@caserones.cl" TargetMode="External"/><Relationship Id="rId1041" Type="http://schemas.openxmlformats.org/officeDocument/2006/relationships/hyperlink" Target="mailto:cjerez@codelco.cl" TargetMode="External"/><Relationship Id="rId1139" Type="http://schemas.openxmlformats.org/officeDocument/2006/relationships/hyperlink" Target="mailto:stephan.matulic@bhp.com" TargetMode="External"/><Relationship Id="rId495" Type="http://schemas.openxmlformats.org/officeDocument/2006/relationships/hyperlink" Target="mailto:rorellana@caserones.cl" TargetMode="External"/><Relationship Id="rId716" Type="http://schemas.openxmlformats.org/officeDocument/2006/relationships/hyperlink" Target="mailto:MellaME@bv.com" TargetMode="External"/><Relationship Id="rId923" Type="http://schemas.openxmlformats.org/officeDocument/2006/relationships/hyperlink" Target="mailto:valeska.brandao@vale.com" TargetMode="External"/><Relationship Id="rId52" Type="http://schemas.openxmlformats.org/officeDocument/2006/relationships/hyperlink" Target="mailto:fernando.letelier@angloamerican.com" TargetMode="External"/><Relationship Id="rId148" Type="http://schemas.openxmlformats.org/officeDocument/2006/relationships/hyperlink" Target="mailto:cmerlo@caserones.cl" TargetMode="External"/><Relationship Id="rId355" Type="http://schemas.openxmlformats.org/officeDocument/2006/relationships/hyperlink" Target="mailto:vsalinas@caserones.cl" TargetMode="External"/><Relationship Id="rId562" Type="http://schemas.openxmlformats.org/officeDocument/2006/relationships/hyperlink" Target="mailto:Paulina.Guerra@sqm.com" TargetMode="External"/><Relationship Id="rId1192" Type="http://schemas.openxmlformats.org/officeDocument/2006/relationships/comments" Target="../comments1.xml"/><Relationship Id="rId215" Type="http://schemas.openxmlformats.org/officeDocument/2006/relationships/hyperlink" Target="mailto:Tiago.Portela@vale.com" TargetMode="External"/><Relationship Id="rId422" Type="http://schemas.openxmlformats.org/officeDocument/2006/relationships/hyperlink" Target="mailto:roliva@caserones.cl" TargetMode="External"/><Relationship Id="rId867" Type="http://schemas.openxmlformats.org/officeDocument/2006/relationships/hyperlink" Target="mailto:constanza.gutierrez@sqm.com" TargetMode="External"/><Relationship Id="rId1052" Type="http://schemas.openxmlformats.org/officeDocument/2006/relationships/hyperlink" Target="mailto:v-malfaro@lundinmining.com" TargetMode="External"/><Relationship Id="rId299" Type="http://schemas.openxmlformats.org/officeDocument/2006/relationships/hyperlink" Target="mailto:jmunozd@caserones.cl" TargetMode="External"/><Relationship Id="rId727" Type="http://schemas.openxmlformats.org/officeDocument/2006/relationships/hyperlink" Target="mailto:romane.pizarro@capstonecopper.com" TargetMode="External"/><Relationship Id="rId934" Type="http://schemas.openxmlformats.org/officeDocument/2006/relationships/hyperlink" Target="mailto:jjemio@codelco.cl" TargetMode="External"/><Relationship Id="rId63" Type="http://schemas.openxmlformats.org/officeDocument/2006/relationships/hyperlink" Target="mailto:JMorgado@caserones.cl" TargetMode="External"/><Relationship Id="rId159" Type="http://schemas.openxmlformats.org/officeDocument/2006/relationships/hyperlink" Target="mailto:vsalinas@caserones.cl" TargetMode="External"/><Relationship Id="rId366" Type="http://schemas.openxmlformats.org/officeDocument/2006/relationships/hyperlink" Target="mailto:camunoz@collahuasi.cl" TargetMode="External"/><Relationship Id="rId573" Type="http://schemas.openxmlformats.org/officeDocument/2006/relationships/hyperlink" Target="mailto:javiera.a.garay@bhp.com" TargetMode="External"/><Relationship Id="rId780" Type="http://schemas.openxmlformats.org/officeDocument/2006/relationships/hyperlink" Target="mailto:sergio.gaete@capstonecopper.com" TargetMode="External"/><Relationship Id="rId226" Type="http://schemas.openxmlformats.org/officeDocument/2006/relationships/hyperlink" Target="mailto:jmunozd@caserones.cl" TargetMode="External"/><Relationship Id="rId433" Type="http://schemas.openxmlformats.org/officeDocument/2006/relationships/hyperlink" Target="mailto:vsalinas@caserones.cl" TargetMode="External"/><Relationship Id="rId878" Type="http://schemas.openxmlformats.org/officeDocument/2006/relationships/hyperlink" Target="mailto:e_iobreque@cmp.cl" TargetMode="External"/><Relationship Id="rId1063" Type="http://schemas.openxmlformats.org/officeDocument/2006/relationships/hyperlink" Target="mailto:e_iobreque@cmp.clfalopezd@cmp.cl" TargetMode="External"/><Relationship Id="rId640" Type="http://schemas.openxmlformats.org/officeDocument/2006/relationships/hyperlink" Target="mailto:stephan.matulic@bhp.com" TargetMode="External"/><Relationship Id="rId738" Type="http://schemas.openxmlformats.org/officeDocument/2006/relationships/hyperlink" Target="mailto:gmoreno@cmp.cl" TargetMode="External"/><Relationship Id="rId945" Type="http://schemas.openxmlformats.org/officeDocument/2006/relationships/hyperlink" Target="mailto:c0637231@vale.com" TargetMode="External"/><Relationship Id="rId74" Type="http://schemas.openxmlformats.org/officeDocument/2006/relationships/hyperlink" Target="mailto:carlos.pavissich@bhp.com" TargetMode="External"/><Relationship Id="rId377" Type="http://schemas.openxmlformats.org/officeDocument/2006/relationships/hyperlink" Target="mailto:francisco.mendoza@mmg.com" TargetMode="External"/><Relationship Id="rId500" Type="http://schemas.openxmlformats.org/officeDocument/2006/relationships/hyperlink" Target="mailto:cmjaque@collahuasi.cl" TargetMode="External"/><Relationship Id="rId584" Type="http://schemas.openxmlformats.org/officeDocument/2006/relationships/hyperlink" Target="mailto:garacena@ceibo.tech" TargetMode="External"/><Relationship Id="rId805" Type="http://schemas.openxmlformats.org/officeDocument/2006/relationships/hyperlink" Target="mailto:Marcelo.Jeunon1@vale.com" TargetMode="External"/><Relationship Id="rId1130" Type="http://schemas.openxmlformats.org/officeDocument/2006/relationships/hyperlink" Target="mailto:stephan.matulic@bhp.com" TargetMode="External"/><Relationship Id="rId5" Type="http://schemas.openxmlformats.org/officeDocument/2006/relationships/hyperlink" Target="mailto:daigo.shioyama@angloamerican.com" TargetMode="External"/><Relationship Id="rId237" Type="http://schemas.openxmlformats.org/officeDocument/2006/relationships/hyperlink" Target="mailto:maria.a.montero1@bhp.com" TargetMode="External"/><Relationship Id="rId791" Type="http://schemas.openxmlformats.org/officeDocument/2006/relationships/hyperlink" Target="mailto:asdiaza@cmp.cl" TargetMode="External"/><Relationship Id="rId889" Type="http://schemas.openxmlformats.org/officeDocument/2006/relationships/hyperlink" Target="mailto:jeahumada@collahuasi.cl" TargetMode="External"/><Relationship Id="rId1074" Type="http://schemas.openxmlformats.org/officeDocument/2006/relationships/hyperlink" Target="mailto:herman.hodl@pya.cl" TargetMode="External"/><Relationship Id="rId444" Type="http://schemas.openxmlformats.org/officeDocument/2006/relationships/hyperlink" Target="mailto:fvera@nutram.cl" TargetMode="External"/><Relationship Id="rId651" Type="http://schemas.openxmlformats.org/officeDocument/2006/relationships/hyperlink" Target="mailto:ricardo.puelma@capstonecopper.com" TargetMode="External"/><Relationship Id="rId749" Type="http://schemas.openxmlformats.org/officeDocument/2006/relationships/hyperlink" Target="mailto:sergio.gaete@capstonecopper.com" TargetMode="External"/><Relationship Id="rId290" Type="http://schemas.openxmlformats.org/officeDocument/2006/relationships/hyperlink" Target="mailto:jose.rojas@ryq.cl" TargetMode="External"/><Relationship Id="rId304" Type="http://schemas.openxmlformats.org/officeDocument/2006/relationships/hyperlink" Target="mailto:jengels@tailpro.com" TargetMode="External"/><Relationship Id="rId388" Type="http://schemas.openxmlformats.org/officeDocument/2006/relationships/hyperlink" Target="mailto:gemita.gonzalez@sqm.com" TargetMode="External"/><Relationship Id="rId511" Type="http://schemas.openxmlformats.org/officeDocument/2006/relationships/hyperlink" Target="mailto:rorellana@caserones.cl" TargetMode="External"/><Relationship Id="rId609" Type="http://schemas.openxmlformats.org/officeDocument/2006/relationships/hyperlink" Target="mailto:jose.rojas@ryq.cl" TargetMode="External"/><Relationship Id="rId956" Type="http://schemas.openxmlformats.org/officeDocument/2006/relationships/hyperlink" Target="mailto:v-calvarez@lundinmining.com" TargetMode="External"/><Relationship Id="rId1141" Type="http://schemas.openxmlformats.org/officeDocument/2006/relationships/hyperlink" Target="mailto:stephan.matulic@bhp.com" TargetMode="External"/><Relationship Id="rId85" Type="http://schemas.openxmlformats.org/officeDocument/2006/relationships/hyperlink" Target="mailto:Jorge.Chavez@sgs.com" TargetMode="External"/><Relationship Id="rId150" Type="http://schemas.openxmlformats.org/officeDocument/2006/relationships/hyperlink" Target="mailto:cmerlo@caserones.cl" TargetMode="External"/><Relationship Id="rId595" Type="http://schemas.openxmlformats.org/officeDocument/2006/relationships/hyperlink" Target="mailto:guilherme.euler@vale.com" TargetMode="External"/><Relationship Id="rId816" Type="http://schemas.openxmlformats.org/officeDocument/2006/relationships/hyperlink" Target="mailto:stephan.matulic@bhp.com" TargetMode="External"/><Relationship Id="rId1001" Type="http://schemas.openxmlformats.org/officeDocument/2006/relationships/hyperlink" Target="mailto:leandro.costa@gerdau.com.br" TargetMode="External"/><Relationship Id="rId248" Type="http://schemas.openxmlformats.org/officeDocument/2006/relationships/hyperlink" Target="mailto:rolando.bazan@minsur.com" TargetMode="External"/><Relationship Id="rId455" Type="http://schemas.openxmlformats.org/officeDocument/2006/relationships/hyperlink" Target="mailto:Jorge.Agustini@mmg.com" TargetMode="External"/><Relationship Id="rId662" Type="http://schemas.openxmlformats.org/officeDocument/2006/relationships/hyperlink" Target="mailto:francisco.gonzalez@draglobal.com" TargetMode="External"/><Relationship Id="rId1085" Type="http://schemas.openxmlformats.org/officeDocument/2006/relationships/hyperlink" Target="mailto:jose.rojas@ryq.cl" TargetMode="External"/><Relationship Id="rId12" Type="http://schemas.openxmlformats.org/officeDocument/2006/relationships/hyperlink" Target="mailto:pjalegre@collahuasi.cl" TargetMode="External"/><Relationship Id="rId108" Type="http://schemas.openxmlformats.org/officeDocument/2006/relationships/hyperlink" Target="mailto:daigo.shioyama@angloamerican.com" TargetMode="External"/><Relationship Id="rId315" Type="http://schemas.openxmlformats.org/officeDocument/2006/relationships/hyperlink" Target="mailto:jdiaz@serviciosaxis.cl" TargetMode="External"/><Relationship Id="rId522" Type="http://schemas.openxmlformats.org/officeDocument/2006/relationships/hyperlink" Target="mailto:fmos1305@gmail.com" TargetMode="External"/><Relationship Id="rId967" Type="http://schemas.openxmlformats.org/officeDocument/2006/relationships/hyperlink" Target="mailto:nelson.carvajal@lundinmining.com" TargetMode="External"/><Relationship Id="rId1152" Type="http://schemas.openxmlformats.org/officeDocument/2006/relationships/hyperlink" Target="mailto:marcos.madrid@bhp.com" TargetMode="External"/><Relationship Id="rId96" Type="http://schemas.openxmlformats.org/officeDocument/2006/relationships/hyperlink" Target="mailto:rquez001@codelco.cl" TargetMode="External"/><Relationship Id="rId161" Type="http://schemas.openxmlformats.org/officeDocument/2006/relationships/hyperlink" Target="mailto:mvicencio.adc@aminerals.cl" TargetMode="External"/><Relationship Id="rId399" Type="http://schemas.openxmlformats.org/officeDocument/2006/relationships/hyperlink" Target="mailto:pcheng@mineracentinela.cl" TargetMode="External"/><Relationship Id="rId827" Type="http://schemas.openxmlformats.org/officeDocument/2006/relationships/hyperlink" Target="mailto:jfcortinez@collahuasi.cl" TargetMode="External"/><Relationship Id="rId1012" Type="http://schemas.openxmlformats.org/officeDocument/2006/relationships/hyperlink" Target="mailto:Felix.Lastra@sgscm.cl" TargetMode="External"/><Relationship Id="rId259" Type="http://schemas.openxmlformats.org/officeDocument/2006/relationships/hyperlink" Target="mailto:victor.otarola@angloamerican.com" TargetMode="External"/><Relationship Id="rId466" Type="http://schemas.openxmlformats.org/officeDocument/2006/relationships/hyperlink" Target="mailto:rene.lagas@angloamerican.com" TargetMode="External"/><Relationship Id="rId673" Type="http://schemas.openxmlformats.org/officeDocument/2006/relationships/hyperlink" Target="mailto:rafael@orspipelines.com" TargetMode="External"/><Relationship Id="rId880" Type="http://schemas.openxmlformats.org/officeDocument/2006/relationships/hyperlink" Target="mailto:marcos.braga@vale.com" TargetMode="External"/><Relationship Id="rId1096" Type="http://schemas.openxmlformats.org/officeDocument/2006/relationships/hyperlink" Target="mailto:e_mbaliellas@aguascap.cl" TargetMode="External"/><Relationship Id="rId23" Type="http://schemas.openxmlformats.org/officeDocument/2006/relationships/hyperlink" Target="mailto:jmunozm@jri.cl" TargetMode="External"/><Relationship Id="rId119" Type="http://schemas.openxmlformats.org/officeDocument/2006/relationships/hyperlink" Target="mailto:maurilio.maciel@vale.com" TargetMode="External"/><Relationship Id="rId326" Type="http://schemas.openxmlformats.org/officeDocument/2006/relationships/hyperlink" Target="mailto:JuanCarlos.Tapia@sedgman.com" TargetMode="External"/><Relationship Id="rId533" Type="http://schemas.openxmlformats.org/officeDocument/2006/relationships/hyperlink" Target="mailto:oguazzottiv@hvcontratistas.com.pe" TargetMode="External"/><Relationship Id="rId978" Type="http://schemas.openxmlformats.org/officeDocument/2006/relationships/hyperlink" Target="mailto:cjerez@codelco.cl" TargetMode="External"/><Relationship Id="rId1163" Type="http://schemas.openxmlformats.org/officeDocument/2006/relationships/hyperlink" Target="mailto:nelson.carvajal@lundinmining.com" TargetMode="External"/><Relationship Id="rId740" Type="http://schemas.openxmlformats.org/officeDocument/2006/relationships/hyperlink" Target="mailto:mauricio.bravo2@bhp.com" TargetMode="External"/><Relationship Id="rId838" Type="http://schemas.openxmlformats.org/officeDocument/2006/relationships/hyperlink" Target="mailto:leonardo.parraguez@capstonecopper.com" TargetMode="External"/><Relationship Id="rId1023" Type="http://schemas.openxmlformats.org/officeDocument/2006/relationships/hyperlink" Target="mailto:cristina.alfaro@bhp.com" TargetMode="External"/><Relationship Id="rId172" Type="http://schemas.openxmlformats.org/officeDocument/2006/relationships/hyperlink" Target="mailto:victor.otarola@angloamerican.com" TargetMode="External"/><Relationship Id="rId477" Type="http://schemas.openxmlformats.org/officeDocument/2006/relationships/hyperlink" Target="mailto:hugo.andrade@arcadis.cl" TargetMode="External"/><Relationship Id="rId600" Type="http://schemas.openxmlformats.org/officeDocument/2006/relationships/hyperlink" Target="mailto:cynthia.vargas@hemco.com.ni" TargetMode="External"/><Relationship Id="rId684" Type="http://schemas.openxmlformats.org/officeDocument/2006/relationships/hyperlink" Target="mailto:mvilches@colbun.cl" TargetMode="External"/><Relationship Id="rId337" Type="http://schemas.openxmlformats.org/officeDocument/2006/relationships/hyperlink" Target="mailto:cfarias@caserones.cl" TargetMode="External"/><Relationship Id="rId891" Type="http://schemas.openxmlformats.org/officeDocument/2006/relationships/hyperlink" Target="mailto:ffernandez@syncore.cl" TargetMode="External"/><Relationship Id="rId905" Type="http://schemas.openxmlformats.org/officeDocument/2006/relationships/hyperlink" Target="mailto:dnunez@metaprojectgroup.com" TargetMode="External"/><Relationship Id="rId989" Type="http://schemas.openxmlformats.org/officeDocument/2006/relationships/hyperlink" Target="mailto:stephan.matulic@bhp.com" TargetMode="External"/><Relationship Id="rId34" Type="http://schemas.openxmlformats.org/officeDocument/2006/relationships/hyperlink" Target="mailto:cvegah@caserones.cl" TargetMode="External"/><Relationship Id="rId544" Type="http://schemas.openxmlformats.org/officeDocument/2006/relationships/hyperlink" Target="mailto:guillermo.lopez@technipenergies.com" TargetMode="External"/><Relationship Id="rId751" Type="http://schemas.openxmlformats.org/officeDocument/2006/relationships/hyperlink" Target="mailto:RRORBEZO@collahuasi.cl" TargetMode="External"/><Relationship Id="rId849" Type="http://schemas.openxmlformats.org/officeDocument/2006/relationships/hyperlink" Target="mailto:alexander.delarosa@stracon.com" TargetMode="External"/><Relationship Id="rId1174" Type="http://schemas.openxmlformats.org/officeDocument/2006/relationships/hyperlink" Target="mailto:wagner.souza.santos@vale.com" TargetMode="External"/><Relationship Id="rId183" Type="http://schemas.openxmlformats.org/officeDocument/2006/relationships/hyperlink" Target="mailto:lucas.franca@vale.com" TargetMode="External"/><Relationship Id="rId390" Type="http://schemas.openxmlformats.org/officeDocument/2006/relationships/hyperlink" Target="mailto:vsalinas@caserones.cl" TargetMode="External"/><Relationship Id="rId404" Type="http://schemas.openxmlformats.org/officeDocument/2006/relationships/hyperlink" Target="mailto:Jorge.Agustini@mmg.com" TargetMode="External"/><Relationship Id="rId611" Type="http://schemas.openxmlformats.org/officeDocument/2006/relationships/hyperlink" Target="mailto:julio.nunes@vale.com" TargetMode="External"/><Relationship Id="rId1034" Type="http://schemas.openxmlformats.org/officeDocument/2006/relationships/hyperlink" Target="mailto:mauricio.diaz@nordes.cl" TargetMode="External"/><Relationship Id="rId250" Type="http://schemas.openxmlformats.org/officeDocument/2006/relationships/hyperlink" Target="mailto:jose.rojas@ryq.cl" TargetMode="External"/><Relationship Id="rId488" Type="http://schemas.openxmlformats.org/officeDocument/2006/relationships/hyperlink" Target="mailto:Juanmanuel.silva@glemans.com" TargetMode="External"/><Relationship Id="rId695" Type="http://schemas.openxmlformats.org/officeDocument/2006/relationships/hyperlink" Target="mailto:guilherme.menezes1@vale.com" TargetMode="External"/><Relationship Id="rId709" Type="http://schemas.openxmlformats.org/officeDocument/2006/relationships/hyperlink" Target="mailto:francisco.gonzalez@draglobal.com" TargetMode="External"/><Relationship Id="rId916" Type="http://schemas.openxmlformats.org/officeDocument/2006/relationships/hyperlink" Target="mailto:nelson.carvajal@lundinmining.com" TargetMode="External"/><Relationship Id="rId1101" Type="http://schemas.openxmlformats.org/officeDocument/2006/relationships/hyperlink" Target="mailto:lucas.phillipe.siqueira@vale.com" TargetMode="External"/><Relationship Id="rId45" Type="http://schemas.openxmlformats.org/officeDocument/2006/relationships/hyperlink" Target="mailto:Simao.Carvalho@tetratech.com" TargetMode="External"/><Relationship Id="rId110" Type="http://schemas.openxmlformats.org/officeDocument/2006/relationships/hyperlink" Target="mailto:jose.moreno@besalco.cl" TargetMode="External"/><Relationship Id="rId348" Type="http://schemas.openxmlformats.org/officeDocument/2006/relationships/hyperlink" Target="mailto:jocanad@hotmail.com" TargetMode="External"/><Relationship Id="rId555" Type="http://schemas.openxmlformats.org/officeDocument/2006/relationships/hyperlink" Target="mailto:rfyanez@collahuasi.cl" TargetMode="External"/><Relationship Id="rId762" Type="http://schemas.openxmlformats.org/officeDocument/2006/relationships/hyperlink" Target="mailto:juan.r.gonzalez1@bhp.com" TargetMode="External"/><Relationship Id="rId1185" Type="http://schemas.openxmlformats.org/officeDocument/2006/relationships/hyperlink" Target="mailto:flavio.letelier@besalco.cl" TargetMode="External"/><Relationship Id="rId194" Type="http://schemas.openxmlformats.org/officeDocument/2006/relationships/hyperlink" Target="mailto:JMorgado@caserones.cl" TargetMode="External"/><Relationship Id="rId208" Type="http://schemas.openxmlformats.org/officeDocument/2006/relationships/hyperlink" Target="mailto:mabastia@collahuasi.cl" TargetMode="External"/><Relationship Id="rId415" Type="http://schemas.openxmlformats.org/officeDocument/2006/relationships/hyperlink" Target="mailto:vsalinas@caserones.cl" TargetMode="External"/><Relationship Id="rId622" Type="http://schemas.openxmlformats.org/officeDocument/2006/relationships/hyperlink" Target="mailto:jaalvarez@cmp.cl" TargetMode="External"/><Relationship Id="rId1045" Type="http://schemas.openxmlformats.org/officeDocument/2006/relationships/hyperlink" Target="mailto:lucas.phillipe.siqueira@vale.com" TargetMode="External"/><Relationship Id="rId261" Type="http://schemas.openxmlformats.org/officeDocument/2006/relationships/hyperlink" Target="mailto:arojasva@aminerals.cl" TargetMode="External"/><Relationship Id="rId499" Type="http://schemas.openxmlformats.org/officeDocument/2006/relationships/hyperlink" Target="mailto:Juanmanuel.silva@glemans.com" TargetMode="External"/><Relationship Id="rId927" Type="http://schemas.openxmlformats.org/officeDocument/2006/relationships/hyperlink" Target="mailto:cnitsche@RONIT.CL" TargetMode="External"/><Relationship Id="rId1112" Type="http://schemas.openxmlformats.org/officeDocument/2006/relationships/hyperlink" Target="mailto:sergio.rosales@aguaspacifico.cl" TargetMode="External"/><Relationship Id="rId56" Type="http://schemas.openxmlformats.org/officeDocument/2006/relationships/hyperlink" Target="mailto:christian.navarro@sodexo.com" TargetMode="External"/><Relationship Id="rId359" Type="http://schemas.openxmlformats.org/officeDocument/2006/relationships/hyperlink" Target="mailto:vsalinas@caserones.cl" TargetMode="External"/><Relationship Id="rId566" Type="http://schemas.openxmlformats.org/officeDocument/2006/relationships/hyperlink" Target="mailto:ahlicely.silva@vale.com" TargetMode="External"/><Relationship Id="rId773" Type="http://schemas.openxmlformats.org/officeDocument/2006/relationships/hyperlink" Target="mailto:pochoa@cmp.cl" TargetMode="External"/><Relationship Id="rId121" Type="http://schemas.openxmlformats.org/officeDocument/2006/relationships/hyperlink" Target="mailto:rquez001@codelco.cl" TargetMode="External"/><Relationship Id="rId219" Type="http://schemas.openxmlformats.org/officeDocument/2006/relationships/hyperlink" Target="mailto:rmamani@orvana.com" TargetMode="External"/><Relationship Id="rId426" Type="http://schemas.openxmlformats.org/officeDocument/2006/relationships/hyperlink" Target="mailto:cmerlo@caserones.cl" TargetMode="External"/><Relationship Id="rId633" Type="http://schemas.openxmlformats.org/officeDocument/2006/relationships/hyperlink" Target="mailto:rquez001@codelco.cl" TargetMode="External"/><Relationship Id="rId980" Type="http://schemas.openxmlformats.org/officeDocument/2006/relationships/hyperlink" Target="mailto:lisbeth.barra1@bhp.com" TargetMode="External"/><Relationship Id="rId1056" Type="http://schemas.openxmlformats.org/officeDocument/2006/relationships/hyperlink" Target="mailto:lucas.phillipe.siqueira@vale.com" TargetMode="External"/><Relationship Id="rId840" Type="http://schemas.openxmlformats.org/officeDocument/2006/relationships/hyperlink" Target="mailto:Felix.Lastra@sgscm.cl" TargetMode="External"/><Relationship Id="rId938" Type="http://schemas.openxmlformats.org/officeDocument/2006/relationships/hyperlink" Target="mailto:v-calvarez@lundinmining.com" TargetMode="External"/><Relationship Id="rId67" Type="http://schemas.openxmlformats.org/officeDocument/2006/relationships/hyperlink" Target="mailto:pedro.braz@vale.com" TargetMode="External"/><Relationship Id="rId272" Type="http://schemas.openxmlformats.org/officeDocument/2006/relationships/hyperlink" Target="mailto:jose.rojas@ryq.cl" TargetMode="External"/><Relationship Id="rId577" Type="http://schemas.openxmlformats.org/officeDocument/2006/relationships/hyperlink" Target="mailto:C0644994@vale.com" TargetMode="External"/><Relationship Id="rId700" Type="http://schemas.openxmlformats.org/officeDocument/2006/relationships/hyperlink" Target="mailto:mcarranza@ohla-peru.pe" TargetMode="External"/><Relationship Id="rId1123" Type="http://schemas.openxmlformats.org/officeDocument/2006/relationships/hyperlink" Target="mailto:stephan.matulic@bhp.com" TargetMode="External"/><Relationship Id="rId132" Type="http://schemas.openxmlformats.org/officeDocument/2006/relationships/hyperlink" Target="mailto:hguerra@cmp.cl" TargetMode="External"/><Relationship Id="rId784" Type="http://schemas.openxmlformats.org/officeDocument/2006/relationships/hyperlink" Target="mailto:rafael.depujadas@ocaglobal.com" TargetMode="External"/><Relationship Id="rId991" Type="http://schemas.openxmlformats.org/officeDocument/2006/relationships/hyperlink" Target="mailto:Cristiano.Sacramento1@vale.com" TargetMode="External"/><Relationship Id="rId1067" Type="http://schemas.openxmlformats.org/officeDocument/2006/relationships/hyperlink" Target="mailto:lc0707423@vale.com" TargetMode="External"/><Relationship Id="rId437" Type="http://schemas.openxmlformats.org/officeDocument/2006/relationships/hyperlink" Target="mailto:jtapi056@codelco.cl" TargetMode="External"/><Relationship Id="rId644" Type="http://schemas.openxmlformats.org/officeDocument/2006/relationships/hyperlink" Target="mailto:stephan.matulic@bhp.com" TargetMode="External"/><Relationship Id="rId851" Type="http://schemas.openxmlformats.org/officeDocument/2006/relationships/hyperlink" Target="mailto:ffernandez@syncore.cl" TargetMode="External"/><Relationship Id="rId283" Type="http://schemas.openxmlformats.org/officeDocument/2006/relationships/hyperlink" Target="mailto:jose.rojas@ryq.cl" TargetMode="External"/><Relationship Id="rId490" Type="http://schemas.openxmlformats.org/officeDocument/2006/relationships/hyperlink" Target="mailto:hugo.andrade@arcadis.cl" TargetMode="External"/><Relationship Id="rId504" Type="http://schemas.openxmlformats.org/officeDocument/2006/relationships/hyperlink" Target="mailto:cmjaque@collahuasi.cl" TargetMode="External"/><Relationship Id="rId711" Type="http://schemas.openxmlformats.org/officeDocument/2006/relationships/hyperlink" Target="mailto:Pablo.Cruz@sgscm.cl" TargetMode="External"/><Relationship Id="rId949" Type="http://schemas.openxmlformats.org/officeDocument/2006/relationships/hyperlink" Target="mailto:lrebolledo@knightpiesold.com" TargetMode="External"/><Relationship Id="rId1134" Type="http://schemas.openxmlformats.org/officeDocument/2006/relationships/hyperlink" Target="mailto:stephan.matulic@bhp.com" TargetMode="External"/><Relationship Id="rId78" Type="http://schemas.openxmlformats.org/officeDocument/2006/relationships/hyperlink" Target="mailto:rafael.rodriguez@sgscm.cl" TargetMode="External"/><Relationship Id="rId143" Type="http://schemas.openxmlformats.org/officeDocument/2006/relationships/hyperlink" Target="mailto:vsalinas@caserones.cl" TargetMode="External"/><Relationship Id="rId350" Type="http://schemas.openxmlformats.org/officeDocument/2006/relationships/hyperlink" Target="mailto:cdoto035@codelco.cl" TargetMode="External"/><Relationship Id="rId588" Type="http://schemas.openxmlformats.org/officeDocument/2006/relationships/hyperlink" Target="mailto:tomas.perez@sqm.cl" TargetMode="External"/><Relationship Id="rId795" Type="http://schemas.openxmlformats.org/officeDocument/2006/relationships/hyperlink" Target="mailto:pochoa@cmp.cl" TargetMode="External"/><Relationship Id="rId809" Type="http://schemas.openxmlformats.org/officeDocument/2006/relationships/hyperlink" Target="mailto:Marcelo.Jeunon1@vale.com" TargetMode="External"/><Relationship Id="rId9" Type="http://schemas.openxmlformats.org/officeDocument/2006/relationships/hyperlink" Target="mailto:rquez001@codelco.cl" TargetMode="External"/><Relationship Id="rId210" Type="http://schemas.openxmlformats.org/officeDocument/2006/relationships/hyperlink" Target="mailto:miguel.ruiz@ryq.cl" TargetMode="External"/><Relationship Id="rId448" Type="http://schemas.openxmlformats.org/officeDocument/2006/relationships/hyperlink" Target="mailto:rorellana@caserones.cl" TargetMode="External"/><Relationship Id="rId655" Type="http://schemas.openxmlformats.org/officeDocument/2006/relationships/hyperlink" Target="mailto:ricardo.puelma@capstonecopper.com" TargetMode="External"/><Relationship Id="rId862" Type="http://schemas.openxmlformats.org/officeDocument/2006/relationships/hyperlink" Target="mailto:ADRIANA.RIBEIRO1@vale.com" TargetMode="External"/><Relationship Id="rId1078" Type="http://schemas.openxmlformats.org/officeDocument/2006/relationships/hyperlink" Target="mailto:JEFERNANDE@collahuasi.cl" TargetMode="External"/><Relationship Id="rId294" Type="http://schemas.openxmlformats.org/officeDocument/2006/relationships/hyperlink" Target="mailto:gabrielacp@ide-tech.com" TargetMode="External"/><Relationship Id="rId308" Type="http://schemas.openxmlformats.org/officeDocument/2006/relationships/hyperlink" Target="mailto:simone.pereira@vale.com" TargetMode="External"/><Relationship Id="rId515" Type="http://schemas.openxmlformats.org/officeDocument/2006/relationships/hyperlink" Target="mailto:Edimilson.Silva5@vale.com" TargetMode="External"/><Relationship Id="rId722" Type="http://schemas.openxmlformats.org/officeDocument/2006/relationships/hyperlink" Target="mailto:juan.r.gonzalez1@bhp.com" TargetMode="External"/><Relationship Id="rId1145" Type="http://schemas.openxmlformats.org/officeDocument/2006/relationships/hyperlink" Target="mailto:paulo.karol@vale.com" TargetMode="External"/><Relationship Id="rId89" Type="http://schemas.openxmlformats.org/officeDocument/2006/relationships/hyperlink" Target="mailto:forostegui@caserones.cl" TargetMode="External"/><Relationship Id="rId154" Type="http://schemas.openxmlformats.org/officeDocument/2006/relationships/hyperlink" Target="mailto:agalleguillos@consorciobas.cl" TargetMode="External"/><Relationship Id="rId361" Type="http://schemas.openxmlformats.org/officeDocument/2006/relationships/hyperlink" Target="mailto:vsalinas@caserones.cl" TargetMode="External"/><Relationship Id="rId599" Type="http://schemas.openxmlformats.org/officeDocument/2006/relationships/hyperlink" Target="mailto:miturrate@fda.cl" TargetMode="External"/><Relationship Id="rId1005" Type="http://schemas.openxmlformats.org/officeDocument/2006/relationships/hyperlink" Target="mailto:leonardo.gomes2@vale.com" TargetMode="External"/><Relationship Id="rId459" Type="http://schemas.openxmlformats.org/officeDocument/2006/relationships/hyperlink" Target="mailto:maalvarez@salfamontajes.com" TargetMode="External"/><Relationship Id="rId666" Type="http://schemas.openxmlformats.org/officeDocument/2006/relationships/hyperlink" Target="mailto:AVera019@codelco.cl%3E" TargetMode="External"/><Relationship Id="rId873" Type="http://schemas.openxmlformats.org/officeDocument/2006/relationships/hyperlink" Target="mailto:RRORBEZO@collahuasi.cl" TargetMode="External"/><Relationship Id="rId1089" Type="http://schemas.openxmlformats.org/officeDocument/2006/relationships/hyperlink" Target="mailto:quirogavega.enry123@gmail.com" TargetMode="External"/><Relationship Id="rId16" Type="http://schemas.openxmlformats.org/officeDocument/2006/relationships/hyperlink" Target="mailto:claudio.pizarro.r@angloamerican.com" TargetMode="External"/><Relationship Id="rId221" Type="http://schemas.openxmlformats.org/officeDocument/2006/relationships/hyperlink" Target="mailto:jaime.villagra@bhp.com" TargetMode="External"/><Relationship Id="rId319" Type="http://schemas.openxmlformats.org/officeDocument/2006/relationships/hyperlink" Target="mailto:jmoreno.esed@caserones.cl" TargetMode="External"/><Relationship Id="rId526" Type="http://schemas.openxmlformats.org/officeDocument/2006/relationships/hyperlink" Target="mailto:Mauricio.Rebolledo@sqm.com" TargetMode="External"/><Relationship Id="rId1156" Type="http://schemas.openxmlformats.org/officeDocument/2006/relationships/hyperlink" Target="mailto:fchacana@metaprojectgroup.com" TargetMode="External"/><Relationship Id="rId733" Type="http://schemas.openxmlformats.org/officeDocument/2006/relationships/hyperlink" Target="mailto:mcarranza@ohla-peru.pe" TargetMode="External"/><Relationship Id="rId940" Type="http://schemas.openxmlformats.org/officeDocument/2006/relationships/hyperlink" Target="mailto:lrebolledo@knightpiesold.com" TargetMode="External"/><Relationship Id="rId1016" Type="http://schemas.openxmlformats.org/officeDocument/2006/relationships/hyperlink" Target="mailto:cristina.alfaro@bhp.com" TargetMode="External"/><Relationship Id="rId165" Type="http://schemas.openxmlformats.org/officeDocument/2006/relationships/hyperlink" Target="mailto:rafael.rodriguez@sgscm.cl" TargetMode="External"/><Relationship Id="rId372" Type="http://schemas.openxmlformats.org/officeDocument/2006/relationships/hyperlink" Target="mailto:vsalinas@caserones.cl" TargetMode="External"/><Relationship Id="rId677" Type="http://schemas.openxmlformats.org/officeDocument/2006/relationships/hyperlink" Target="mailto:e_vsanchez@pe.cmp.cl" TargetMode="External"/><Relationship Id="rId800" Type="http://schemas.openxmlformats.org/officeDocument/2006/relationships/hyperlink" Target="mailto:Marcelo.Jeunon1@vale.com" TargetMode="External"/><Relationship Id="rId232" Type="http://schemas.openxmlformats.org/officeDocument/2006/relationships/hyperlink" Target="mailto:mrios@prowerks.cl" TargetMode="External"/><Relationship Id="rId884" Type="http://schemas.openxmlformats.org/officeDocument/2006/relationships/hyperlink" Target="mailto:paul.villanueva@stracon.com" TargetMode="External"/><Relationship Id="rId27" Type="http://schemas.openxmlformats.org/officeDocument/2006/relationships/hyperlink" Target="mailto:rfyanez@collahuasi.cl" TargetMode="External"/><Relationship Id="rId537" Type="http://schemas.openxmlformats.org/officeDocument/2006/relationships/hyperlink" Target="mailto:rlarab@ccc.cl" TargetMode="External"/><Relationship Id="rId744" Type="http://schemas.openxmlformats.org/officeDocument/2006/relationships/hyperlink" Target="mailto:Jose.Bozo@sgscm.cl" TargetMode="External"/><Relationship Id="rId951" Type="http://schemas.openxmlformats.org/officeDocument/2006/relationships/hyperlink" Target="mailto:Marina.Nicacio@vale.com" TargetMode="External"/><Relationship Id="rId1167" Type="http://schemas.openxmlformats.org/officeDocument/2006/relationships/hyperlink" Target="mailto:nilson.saldias@capstonecopper.com" TargetMode="External"/><Relationship Id="rId80" Type="http://schemas.openxmlformats.org/officeDocument/2006/relationships/hyperlink" Target="mailto:cpdiaz.esed@collahuasi.cl" TargetMode="External"/><Relationship Id="rId176" Type="http://schemas.openxmlformats.org/officeDocument/2006/relationships/hyperlink" Target="mailto:jose.rojas@ryq.cl" TargetMode="External"/><Relationship Id="rId383" Type="http://schemas.openxmlformats.org/officeDocument/2006/relationships/hyperlink" Target="mailto:vsalinas@caserones.cl" TargetMode="External"/><Relationship Id="rId590" Type="http://schemas.openxmlformats.org/officeDocument/2006/relationships/hyperlink" Target="mailto:fbenavente@eimontajes.cl" TargetMode="External"/><Relationship Id="rId604" Type="http://schemas.openxmlformats.org/officeDocument/2006/relationships/hyperlink" Target="mailto:jdrojas@cmp.cl" TargetMode="External"/><Relationship Id="rId811" Type="http://schemas.openxmlformats.org/officeDocument/2006/relationships/hyperlink" Target="mailto:Marcelo.Jeunon1@vale.com" TargetMode="External"/><Relationship Id="rId1027" Type="http://schemas.openxmlformats.org/officeDocument/2006/relationships/hyperlink" Target="mailto:Alejandra.Vanetta@teck.com" TargetMode="External"/><Relationship Id="rId243" Type="http://schemas.openxmlformats.org/officeDocument/2006/relationships/hyperlink" Target="mailto:Cesar.ParraV@teck.com" TargetMode="External"/><Relationship Id="rId450" Type="http://schemas.openxmlformats.org/officeDocument/2006/relationships/hyperlink" Target="mailto:felgueta@antolin.cl" TargetMode="External"/><Relationship Id="rId688" Type="http://schemas.openxmlformats.org/officeDocument/2006/relationships/hyperlink" Target="mailto:asdiaz@cmp.cl" TargetMode="External"/><Relationship Id="rId895" Type="http://schemas.openxmlformats.org/officeDocument/2006/relationships/hyperlink" Target="mailto:nelson.carvajal@lundinmining.com" TargetMode="External"/><Relationship Id="rId909" Type="http://schemas.openxmlformats.org/officeDocument/2006/relationships/hyperlink" Target="mailto:mcarranza@ohla-peru.pe" TargetMode="External"/><Relationship Id="rId1080" Type="http://schemas.openxmlformats.org/officeDocument/2006/relationships/hyperlink" Target="mailto:Juan.Naranjo@lundingold.com" TargetMode="External"/><Relationship Id="rId38" Type="http://schemas.openxmlformats.org/officeDocument/2006/relationships/hyperlink" Target="mailto:lrebolledo@knightpiesold.com" TargetMode="External"/><Relationship Id="rId103" Type="http://schemas.openxmlformats.org/officeDocument/2006/relationships/hyperlink" Target="mailto:gail.riddell@nava.cl" TargetMode="External"/><Relationship Id="rId310" Type="http://schemas.openxmlformats.org/officeDocument/2006/relationships/hyperlink" Target="mailto:ramon.valdivia@hatch.com" TargetMode="External"/><Relationship Id="rId548" Type="http://schemas.openxmlformats.org/officeDocument/2006/relationships/hyperlink" Target="mailto:C0657106@vale.com" TargetMode="External"/><Relationship Id="rId755" Type="http://schemas.openxmlformats.org/officeDocument/2006/relationships/hyperlink" Target="mailto:pochoa@cmp.cl" TargetMode="External"/><Relationship Id="rId962" Type="http://schemas.openxmlformats.org/officeDocument/2006/relationships/hyperlink" Target="mailto:nelson.carvajal@lundinmining.com" TargetMode="External"/><Relationship Id="rId1178" Type="http://schemas.openxmlformats.org/officeDocument/2006/relationships/hyperlink" Target="mailto:gpardo@aguascap.cl" TargetMode="External"/><Relationship Id="rId91" Type="http://schemas.openxmlformats.org/officeDocument/2006/relationships/hyperlink" Target="mailto:horacio.sandoval.r@outlook.com" TargetMode="External"/><Relationship Id="rId187" Type="http://schemas.openxmlformats.org/officeDocument/2006/relationships/hyperlink" Target="mailto:JMorgado@caserones.cl" TargetMode="External"/><Relationship Id="rId394" Type="http://schemas.openxmlformats.org/officeDocument/2006/relationships/hyperlink" Target="mailto:vsalinas@caserones.cl" TargetMode="External"/><Relationship Id="rId408" Type="http://schemas.openxmlformats.org/officeDocument/2006/relationships/hyperlink" Target="mailto:vsalinas@caserones.cl" TargetMode="External"/><Relationship Id="rId615" Type="http://schemas.openxmlformats.org/officeDocument/2006/relationships/hyperlink" Target="mailto:MellaME@bv.com" TargetMode="External"/><Relationship Id="rId822" Type="http://schemas.openxmlformats.org/officeDocument/2006/relationships/hyperlink" Target="mailto:mcelis@fda.cl" TargetMode="External"/><Relationship Id="rId1038" Type="http://schemas.openxmlformats.org/officeDocument/2006/relationships/hyperlink" Target="mailto:ryanez1@fmi.com" TargetMode="External"/><Relationship Id="rId254" Type="http://schemas.openxmlformats.org/officeDocument/2006/relationships/hyperlink" Target="mailto:Simao.Carvalho@tetratech.com" TargetMode="External"/><Relationship Id="rId699" Type="http://schemas.openxmlformats.org/officeDocument/2006/relationships/hyperlink" Target="mailto:mcarranza@ohla-peru.pe" TargetMode="External"/><Relationship Id="rId1091" Type="http://schemas.openxmlformats.org/officeDocument/2006/relationships/hyperlink" Target="mailto:dbarrientos@bisa.com.pe" TargetMode="External"/><Relationship Id="rId1105" Type="http://schemas.openxmlformats.org/officeDocument/2006/relationships/hyperlink" Target="mailto:leonardo.parraguez@capstonecopper.com" TargetMode="External"/><Relationship Id="rId49" Type="http://schemas.openxmlformats.org/officeDocument/2006/relationships/hyperlink" Target="mailto:rquez001@codelco.cl" TargetMode="External"/><Relationship Id="rId114" Type="http://schemas.openxmlformats.org/officeDocument/2006/relationships/hyperlink" Target="mailto:mcarranza@ohla-peru.pe" TargetMode="External"/><Relationship Id="rId461" Type="http://schemas.openxmlformats.org/officeDocument/2006/relationships/hyperlink" Target="mailto:jsolis@mineracentinela.cl" TargetMode="External"/><Relationship Id="rId559" Type="http://schemas.openxmlformats.org/officeDocument/2006/relationships/hyperlink" Target="mailto:javiera.a.garay@bhp.com" TargetMode="External"/><Relationship Id="rId766" Type="http://schemas.openxmlformats.org/officeDocument/2006/relationships/hyperlink" Target="mailto:marcos.madrid@bhp.com" TargetMode="External"/><Relationship Id="rId1189" Type="http://schemas.openxmlformats.org/officeDocument/2006/relationships/hyperlink" Target="mailto:cassio.dayrell@vale.com" TargetMode="External"/><Relationship Id="rId198" Type="http://schemas.openxmlformats.org/officeDocument/2006/relationships/hyperlink" Target="mailto:JMorgado@caserones.cl" TargetMode="External"/><Relationship Id="rId321" Type="http://schemas.openxmlformats.org/officeDocument/2006/relationships/hyperlink" Target="mailto:victor.lungoci@cerronegro.cl" TargetMode="External"/><Relationship Id="rId419" Type="http://schemas.openxmlformats.org/officeDocument/2006/relationships/hyperlink" Target="mailto:vsalinas@caserones.cl" TargetMode="External"/><Relationship Id="rId626" Type="http://schemas.openxmlformats.org/officeDocument/2006/relationships/hyperlink" Target="mailto:disoliss@bechtel.com" TargetMode="External"/><Relationship Id="rId973" Type="http://schemas.openxmlformats.org/officeDocument/2006/relationships/hyperlink" Target="mailto:Felix.Lastra@sgscm.cl" TargetMode="External"/><Relationship Id="rId1049" Type="http://schemas.openxmlformats.org/officeDocument/2006/relationships/hyperlink" Target="mailto:leonardo.parraguez@capstonecopper.com" TargetMode="External"/><Relationship Id="rId833" Type="http://schemas.openxmlformats.org/officeDocument/2006/relationships/hyperlink" Target="mailto:Juan.Naranjo@lundingold.com" TargetMode="External"/><Relationship Id="rId1116" Type="http://schemas.openxmlformats.org/officeDocument/2006/relationships/hyperlink" Target="mailto:stephan.matulic@bhp.com" TargetMode="External"/><Relationship Id="rId265" Type="http://schemas.openxmlformats.org/officeDocument/2006/relationships/hyperlink" Target="mailto:lucas.mota@tractebel.engie.com" TargetMode="External"/><Relationship Id="rId472" Type="http://schemas.openxmlformats.org/officeDocument/2006/relationships/hyperlink" Target="mailto:pmaureira@apires.cl" TargetMode="External"/><Relationship Id="rId900" Type="http://schemas.openxmlformats.org/officeDocument/2006/relationships/hyperlink" Target="mailto:Javiera.Perez@Worley.com" TargetMode="External"/><Relationship Id="rId125" Type="http://schemas.openxmlformats.org/officeDocument/2006/relationships/hyperlink" Target="mailto:rvigo@antamina.com" TargetMode="External"/><Relationship Id="rId332" Type="http://schemas.openxmlformats.org/officeDocument/2006/relationships/hyperlink" Target="mailto:pcheng@mineracentinela.cl" TargetMode="External"/><Relationship Id="rId777" Type="http://schemas.openxmlformats.org/officeDocument/2006/relationships/hyperlink" Target="mailto:pochoa@cmp.cl" TargetMode="External"/><Relationship Id="rId984" Type="http://schemas.openxmlformats.org/officeDocument/2006/relationships/hyperlink" Target="mailto:cassio.dayrell@vale.com" TargetMode="External"/><Relationship Id="rId637" Type="http://schemas.openxmlformats.org/officeDocument/2006/relationships/hyperlink" Target="mailto:stephan.matulic@bhp.com" TargetMode="External"/><Relationship Id="rId844" Type="http://schemas.openxmlformats.org/officeDocument/2006/relationships/hyperlink" Target="mailto:francisco.calaf@cenizas.cl" TargetMode="External"/><Relationship Id="rId276" Type="http://schemas.openxmlformats.org/officeDocument/2006/relationships/hyperlink" Target="mailto:AVera019@codelco.cl%3E" TargetMode="External"/><Relationship Id="rId483" Type="http://schemas.openxmlformats.org/officeDocument/2006/relationships/hyperlink" Target="mailto:rorellana@caserones.cl" TargetMode="External"/><Relationship Id="rId690" Type="http://schemas.openxmlformats.org/officeDocument/2006/relationships/hyperlink" Target="mailto:rbecker@resiter.cl" TargetMode="External"/><Relationship Id="rId704" Type="http://schemas.openxmlformats.org/officeDocument/2006/relationships/hyperlink" Target="mailto:msotogal@bechtel.com" TargetMode="External"/><Relationship Id="rId911" Type="http://schemas.openxmlformats.org/officeDocument/2006/relationships/hyperlink" Target="mailto:e_iobreque@cmp.clfalopezd@cmp.cl" TargetMode="External"/><Relationship Id="rId1127" Type="http://schemas.openxmlformats.org/officeDocument/2006/relationships/hyperlink" Target="mailto:stephan.matulic@bhp.com" TargetMode="External"/><Relationship Id="rId40" Type="http://schemas.openxmlformats.org/officeDocument/2006/relationships/hyperlink" Target="mailto:Javiera.Perez@Worley.com" TargetMode="External"/><Relationship Id="rId136" Type="http://schemas.openxmlformats.org/officeDocument/2006/relationships/hyperlink" Target="mailto:Jose.Bozo@sgscm.cl" TargetMode="External"/><Relationship Id="rId343" Type="http://schemas.openxmlformats.org/officeDocument/2006/relationships/hyperlink" Target="mailto:javier.bustos@fam.cl" TargetMode="External"/><Relationship Id="rId550" Type="http://schemas.openxmlformats.org/officeDocument/2006/relationships/hyperlink" Target="mailto:Fabian.Retamal@sqm.com" TargetMode="External"/><Relationship Id="rId788" Type="http://schemas.openxmlformats.org/officeDocument/2006/relationships/hyperlink" Target="mailto:asdiaza@cmp.cl" TargetMode="External"/><Relationship Id="rId995" Type="http://schemas.openxmlformats.org/officeDocument/2006/relationships/hyperlink" Target="mailto:nelson.carvajal@lundinmining.com" TargetMode="External"/><Relationship Id="rId1180" Type="http://schemas.openxmlformats.org/officeDocument/2006/relationships/hyperlink" Target="mailto:Felix.Lastra@sgscm.cl" TargetMode="External"/><Relationship Id="rId203" Type="http://schemas.openxmlformats.org/officeDocument/2006/relationships/hyperlink" Target="mailto:rquez001@codelco.cl" TargetMode="External"/><Relationship Id="rId648" Type="http://schemas.openxmlformats.org/officeDocument/2006/relationships/hyperlink" Target="mailto:fsantander@besalcomd.cl" TargetMode="External"/><Relationship Id="rId855" Type="http://schemas.openxmlformats.org/officeDocument/2006/relationships/hyperlink" Target="mailto:danielle.sampaio@vale.com" TargetMode="External"/><Relationship Id="rId1040" Type="http://schemas.openxmlformats.org/officeDocument/2006/relationships/hyperlink" Target="mailto:cjerez@codelco.cl" TargetMode="External"/><Relationship Id="rId287" Type="http://schemas.openxmlformats.org/officeDocument/2006/relationships/hyperlink" Target="mailto:jose.rojas@ryq.cl" TargetMode="External"/><Relationship Id="rId410" Type="http://schemas.openxmlformats.org/officeDocument/2006/relationships/hyperlink" Target="mailto:hector.pavez@nyrstar.com" TargetMode="External"/><Relationship Id="rId494" Type="http://schemas.openxmlformats.org/officeDocument/2006/relationships/hyperlink" Target="mailto:rorellana@caserones.cl" TargetMode="External"/><Relationship Id="rId508" Type="http://schemas.openxmlformats.org/officeDocument/2006/relationships/hyperlink" Target="mailto:Juanmanuel.silva@glemans.com" TargetMode="External"/><Relationship Id="rId715" Type="http://schemas.openxmlformats.org/officeDocument/2006/relationships/hyperlink" Target="mailto:Fernanda.Stumptner@teck.com" TargetMode="External"/><Relationship Id="rId922" Type="http://schemas.openxmlformats.org/officeDocument/2006/relationships/hyperlink" Target="mailto:e_iobreque@cmp.clfalopezd@cmp.cl" TargetMode="External"/><Relationship Id="rId1138" Type="http://schemas.openxmlformats.org/officeDocument/2006/relationships/hyperlink" Target="mailto:stephan.matulic@bhp.com" TargetMode="External"/><Relationship Id="rId147" Type="http://schemas.openxmlformats.org/officeDocument/2006/relationships/hyperlink" Target="mailto:cmerlo@caserones.cl" TargetMode="External"/><Relationship Id="rId354" Type="http://schemas.openxmlformats.org/officeDocument/2006/relationships/hyperlink" Target="mailto:vsalinas@caserones.cl" TargetMode="External"/><Relationship Id="rId799" Type="http://schemas.openxmlformats.org/officeDocument/2006/relationships/hyperlink" Target="mailto:Marcelo.Jeunon1@vale.com" TargetMode="External"/><Relationship Id="rId1191" Type="http://schemas.openxmlformats.org/officeDocument/2006/relationships/vmlDrawing" Target="../drawings/vmlDrawing1.vml"/><Relationship Id="rId51" Type="http://schemas.openxmlformats.org/officeDocument/2006/relationships/hyperlink" Target="mailto:Jissel.munoz@sqm.com" TargetMode="External"/><Relationship Id="rId561" Type="http://schemas.openxmlformats.org/officeDocument/2006/relationships/hyperlink" Target="mailto:Anderson.Gomes2@vale.com" TargetMode="External"/><Relationship Id="rId659" Type="http://schemas.openxmlformats.org/officeDocument/2006/relationships/hyperlink" Target="mailto:jaime.gutierrez@bhp.com" TargetMode="External"/><Relationship Id="rId866" Type="http://schemas.openxmlformats.org/officeDocument/2006/relationships/hyperlink" Target="mailto:nilson.saldias@capstonecopper.com" TargetMode="External"/><Relationship Id="rId214" Type="http://schemas.openxmlformats.org/officeDocument/2006/relationships/hyperlink" Target="mailto:daigo.shioyama@angloamerican.com" TargetMode="External"/><Relationship Id="rId298" Type="http://schemas.openxmlformats.org/officeDocument/2006/relationships/hyperlink" Target="mailto:jose.rojas@ryq.cl" TargetMode="External"/><Relationship Id="rId421" Type="http://schemas.openxmlformats.org/officeDocument/2006/relationships/hyperlink" Target="mailto:vsalinas@caserones.cl" TargetMode="External"/><Relationship Id="rId519" Type="http://schemas.openxmlformats.org/officeDocument/2006/relationships/hyperlink" Target="mailto:VCarv002@codelco.cl" TargetMode="External"/><Relationship Id="rId1051" Type="http://schemas.openxmlformats.org/officeDocument/2006/relationships/hyperlink" Target="mailto:v-malfaro@lundinmining.com" TargetMode="External"/><Relationship Id="rId1149" Type="http://schemas.openxmlformats.org/officeDocument/2006/relationships/hyperlink" Target="mailto:jaime.araya@cmsg.cl" TargetMode="External"/><Relationship Id="rId158" Type="http://schemas.openxmlformats.org/officeDocument/2006/relationships/hyperlink" Target="mailto:vsalinas@caserones.cl" TargetMode="External"/><Relationship Id="rId726" Type="http://schemas.openxmlformats.org/officeDocument/2006/relationships/hyperlink" Target="mailto:MAACEITU@collahuasi.cl" TargetMode="External"/><Relationship Id="rId933" Type="http://schemas.openxmlformats.org/officeDocument/2006/relationships/hyperlink" Target="mailto:Juan.Naranjo@lundingold.com" TargetMode="External"/><Relationship Id="rId1009" Type="http://schemas.openxmlformats.org/officeDocument/2006/relationships/hyperlink" Target="mailto:leonardo.parraguez@capstonecopper.com" TargetMode="External"/><Relationship Id="rId62" Type="http://schemas.openxmlformats.org/officeDocument/2006/relationships/hyperlink" Target="mailto:jdrojas@cmp.cl" TargetMode="External"/><Relationship Id="rId365" Type="http://schemas.openxmlformats.org/officeDocument/2006/relationships/hyperlink" Target="mailto:jorge.agustini@mmg.com" TargetMode="External"/><Relationship Id="rId572" Type="http://schemas.openxmlformats.org/officeDocument/2006/relationships/hyperlink" Target="mailto:javiera.a.garay@bhp.com" TargetMode="External"/><Relationship Id="rId225" Type="http://schemas.openxmlformats.org/officeDocument/2006/relationships/hyperlink" Target="mailto:jorge.portilla@pucobre.cl" TargetMode="External"/><Relationship Id="rId432" Type="http://schemas.openxmlformats.org/officeDocument/2006/relationships/hyperlink" Target="mailto:vsalinas@caserones.cl" TargetMode="External"/><Relationship Id="rId877" Type="http://schemas.openxmlformats.org/officeDocument/2006/relationships/hyperlink" Target="mailto:paul.villanueva@stracon.com" TargetMode="External"/><Relationship Id="rId1062" Type="http://schemas.openxmlformats.org/officeDocument/2006/relationships/hyperlink" Target="mailto:Felix.Lastra@sgscm.cl" TargetMode="External"/><Relationship Id="rId737" Type="http://schemas.openxmlformats.org/officeDocument/2006/relationships/hyperlink" Target="mailto:gmoreno@cmp.cl" TargetMode="External"/><Relationship Id="rId944" Type="http://schemas.openxmlformats.org/officeDocument/2006/relationships/hyperlink" Target="mailto:daniela.moreno@bhp.com" TargetMode="External"/><Relationship Id="rId73" Type="http://schemas.openxmlformats.org/officeDocument/2006/relationships/hyperlink" Target="mailto:carlos.pavissich@bhp.com" TargetMode="External"/><Relationship Id="rId169" Type="http://schemas.openxmlformats.org/officeDocument/2006/relationships/hyperlink" Target="mailto:e_cconstanzo@aguascap.cl" TargetMode="External"/><Relationship Id="rId376" Type="http://schemas.openxmlformats.org/officeDocument/2006/relationships/hyperlink" Target="mailto:felipe.yevenes@sqm.com" TargetMode="External"/><Relationship Id="rId583" Type="http://schemas.openxmlformats.org/officeDocument/2006/relationships/hyperlink" Target="mailto:rquez001@codelco.cl" TargetMode="External"/><Relationship Id="rId790" Type="http://schemas.openxmlformats.org/officeDocument/2006/relationships/hyperlink" Target="mailto:asdiaza@cmp.cl" TargetMode="External"/><Relationship Id="rId804" Type="http://schemas.openxmlformats.org/officeDocument/2006/relationships/hyperlink" Target="mailto:Marcelo.Jeunon1@vale.com" TargetMode="External"/><Relationship Id="rId4" Type="http://schemas.openxmlformats.org/officeDocument/2006/relationships/hyperlink" Target="mailto:patricio.balmaceda@fch.cl" TargetMode="External"/><Relationship Id="rId236" Type="http://schemas.openxmlformats.org/officeDocument/2006/relationships/hyperlink" Target="mailto:eduardo.monsalve@pvsa.cl" TargetMode="External"/><Relationship Id="rId443" Type="http://schemas.openxmlformats.org/officeDocument/2006/relationships/hyperlink" Target="mailto:fvera@nutram.cl" TargetMode="External"/><Relationship Id="rId650" Type="http://schemas.openxmlformats.org/officeDocument/2006/relationships/hyperlink" Target="mailto:cassio.dayrell@vale.com" TargetMode="External"/><Relationship Id="rId888" Type="http://schemas.openxmlformats.org/officeDocument/2006/relationships/hyperlink" Target="mailto:jose.gomez2@bhp.com" TargetMode="External"/><Relationship Id="rId1073" Type="http://schemas.openxmlformats.org/officeDocument/2006/relationships/hyperlink" Target="mailto:stephan.matulic@bhp.com" TargetMode="External"/><Relationship Id="rId303" Type="http://schemas.openxmlformats.org/officeDocument/2006/relationships/hyperlink" Target="mailto:o.diaz@icpingenieria.cl" TargetMode="External"/><Relationship Id="rId748" Type="http://schemas.openxmlformats.org/officeDocument/2006/relationships/hyperlink" Target="mailto:claudia.flores1@bhp.com" TargetMode="External"/><Relationship Id="rId955" Type="http://schemas.openxmlformats.org/officeDocument/2006/relationships/hyperlink" Target="mailto:e_iobreque@cmp.clfalopezd@cmp.cl" TargetMode="External"/><Relationship Id="rId1140" Type="http://schemas.openxmlformats.org/officeDocument/2006/relationships/hyperlink" Target="mailto:stephan.matulic@bhp.com" TargetMode="External"/><Relationship Id="rId84" Type="http://schemas.openxmlformats.org/officeDocument/2006/relationships/hyperlink" Target="mailto:hbozo@codelco.cl" TargetMode="External"/><Relationship Id="rId387" Type="http://schemas.openxmlformats.org/officeDocument/2006/relationships/hyperlink" Target="mailto:gemita.gonzalez@sqm.com" TargetMode="External"/><Relationship Id="rId510" Type="http://schemas.openxmlformats.org/officeDocument/2006/relationships/hyperlink" Target="mailto:rorellana@caserones.cl" TargetMode="External"/><Relationship Id="rId594" Type="http://schemas.openxmlformats.org/officeDocument/2006/relationships/hyperlink" Target="mailto:guilherme.euler@vale.com" TargetMode="External"/><Relationship Id="rId608" Type="http://schemas.openxmlformats.org/officeDocument/2006/relationships/hyperlink" Target="mailto:leonardo@intasol.co.za" TargetMode="External"/><Relationship Id="rId815" Type="http://schemas.openxmlformats.org/officeDocument/2006/relationships/hyperlink" Target="mailto:mauricio.bravo2@bhp.com" TargetMode="External"/><Relationship Id="rId247" Type="http://schemas.openxmlformats.org/officeDocument/2006/relationships/hyperlink" Target="mailto:jose.rojas@ryq.cl" TargetMode="External"/><Relationship Id="rId899" Type="http://schemas.openxmlformats.org/officeDocument/2006/relationships/hyperlink" Target="mailto:guido.aedo@capstonecopper.com" TargetMode="External"/><Relationship Id="rId1000" Type="http://schemas.openxmlformats.org/officeDocument/2006/relationships/hyperlink" Target="mailto:lucas.phillipe.siqueira@vale.com" TargetMode="External"/><Relationship Id="rId1084" Type="http://schemas.openxmlformats.org/officeDocument/2006/relationships/hyperlink" Target="mailto:lacuna@myma.cl" TargetMode="External"/><Relationship Id="rId107" Type="http://schemas.openxmlformats.org/officeDocument/2006/relationships/hyperlink" Target="mailto:aponce@cmp.cl" TargetMode="External"/><Relationship Id="rId454" Type="http://schemas.openxmlformats.org/officeDocument/2006/relationships/hyperlink" Target="mailto:vsalinas@caserones.cl" TargetMode="External"/><Relationship Id="rId661" Type="http://schemas.openxmlformats.org/officeDocument/2006/relationships/hyperlink" Target="mailto:Alberto.Garcia@empiricaconsultores.cl" TargetMode="External"/><Relationship Id="rId759" Type="http://schemas.openxmlformats.org/officeDocument/2006/relationships/hyperlink" Target="mailto:pochoa@cmp.cl" TargetMode="External"/><Relationship Id="rId966" Type="http://schemas.openxmlformats.org/officeDocument/2006/relationships/hyperlink" Target="mailto:Christian.Vega@sgscm.cl" TargetMode="External"/><Relationship Id="rId11" Type="http://schemas.openxmlformats.org/officeDocument/2006/relationships/hyperlink" Target="mailto:ncarvajal@caserones.cl" TargetMode="External"/><Relationship Id="rId314" Type="http://schemas.openxmlformats.org/officeDocument/2006/relationships/hyperlink" Target="mailto:Sergio.merlo@tedagua.com" TargetMode="External"/><Relationship Id="rId398" Type="http://schemas.openxmlformats.org/officeDocument/2006/relationships/hyperlink" Target="mailto:Jorge.Agustini@mmg.com" TargetMode="External"/><Relationship Id="rId521" Type="http://schemas.openxmlformats.org/officeDocument/2006/relationships/hyperlink" Target="mailto:mauricio.bravo2@bhp.com" TargetMode="External"/><Relationship Id="rId619" Type="http://schemas.openxmlformats.org/officeDocument/2006/relationships/hyperlink" Target="mailto:nelson.carvajal@lundinmining.com" TargetMode="External"/><Relationship Id="rId1151" Type="http://schemas.openxmlformats.org/officeDocument/2006/relationships/hyperlink" Target="mailto:nelson.carvajal@lundinmining.com" TargetMode="External"/><Relationship Id="rId95" Type="http://schemas.openxmlformats.org/officeDocument/2006/relationships/hyperlink" Target="mailto:jose.rojas@ryq.cl" TargetMode="External"/><Relationship Id="rId160" Type="http://schemas.openxmlformats.org/officeDocument/2006/relationships/hyperlink" Target="mailto:christian.navarro@sodexo.com" TargetMode="External"/><Relationship Id="rId826" Type="http://schemas.openxmlformats.org/officeDocument/2006/relationships/hyperlink" Target="mailto:novascontratacoes.DBPG@Vale.com" TargetMode="External"/><Relationship Id="rId1011" Type="http://schemas.openxmlformats.org/officeDocument/2006/relationships/hyperlink" Target="mailto:constanza.gutierrez@sqm.com" TargetMode="External"/><Relationship Id="rId1109" Type="http://schemas.openxmlformats.org/officeDocument/2006/relationships/hyperlink" Target="mailto:C065361@vale.com" TargetMode="External"/><Relationship Id="rId258" Type="http://schemas.openxmlformats.org/officeDocument/2006/relationships/hyperlink" Target="mailto:victor.otarola@angloamerican.com" TargetMode="External"/><Relationship Id="rId465" Type="http://schemas.openxmlformats.org/officeDocument/2006/relationships/hyperlink" Target="mailto:gtamblayp@hotmail.com" TargetMode="External"/><Relationship Id="rId672" Type="http://schemas.openxmlformats.org/officeDocument/2006/relationships/hyperlink" Target="mailto:Alberto.Garcia@empiricaconsultores.cl" TargetMode="External"/><Relationship Id="rId1095" Type="http://schemas.openxmlformats.org/officeDocument/2006/relationships/hyperlink" Target="mailto:jrengifo@cmp.cl" TargetMode="External"/><Relationship Id="rId22" Type="http://schemas.openxmlformats.org/officeDocument/2006/relationships/hyperlink" Target="mailto:JUrdangarin@caserones.cl" TargetMode="External"/><Relationship Id="rId118" Type="http://schemas.openxmlformats.org/officeDocument/2006/relationships/hyperlink" Target="mailto:franzisko.unzaga@arcadis.com" TargetMode="External"/><Relationship Id="rId325" Type="http://schemas.openxmlformats.org/officeDocument/2006/relationships/hyperlink" Target="mailto:rodrigo.toro@honeywell.com" TargetMode="External"/><Relationship Id="rId532" Type="http://schemas.openxmlformats.org/officeDocument/2006/relationships/hyperlink" Target="mailto:rafael.rodriguez@sgscm.cl" TargetMode="External"/><Relationship Id="rId977" Type="http://schemas.openxmlformats.org/officeDocument/2006/relationships/hyperlink" Target="mailto:Emely.Fuenzalida@teck.com" TargetMode="External"/><Relationship Id="rId1162" Type="http://schemas.openxmlformats.org/officeDocument/2006/relationships/hyperlink" Target="mailto:martin.arnaez@australgold.com" TargetMode="External"/><Relationship Id="rId171" Type="http://schemas.openxmlformats.org/officeDocument/2006/relationships/hyperlink" Target="mailto:C0628600@vale.com" TargetMode="External"/><Relationship Id="rId837" Type="http://schemas.openxmlformats.org/officeDocument/2006/relationships/hyperlink" Target="mailto:danielle.sampaio@vale.com" TargetMode="External"/><Relationship Id="rId1022" Type="http://schemas.openxmlformats.org/officeDocument/2006/relationships/hyperlink" Target="mailto:cristina.alfaro@bhp.com" TargetMode="External"/><Relationship Id="rId269" Type="http://schemas.openxmlformats.org/officeDocument/2006/relationships/hyperlink" Target="mailto:rene.lagas@angloamerican.com" TargetMode="External"/><Relationship Id="rId476" Type="http://schemas.openxmlformats.org/officeDocument/2006/relationships/hyperlink" Target="mailto:francisco.soto@empiricaconsultores.cl" TargetMode="External"/><Relationship Id="rId683" Type="http://schemas.openxmlformats.org/officeDocument/2006/relationships/hyperlink" Target="mailto:folivaress@pelambres.cl" TargetMode="External"/><Relationship Id="rId890" Type="http://schemas.openxmlformats.org/officeDocument/2006/relationships/hyperlink" Target="mailto:jeahumada@collahuasi.cl" TargetMode="External"/><Relationship Id="rId904" Type="http://schemas.openxmlformats.org/officeDocument/2006/relationships/hyperlink" Target="mailto:jhonycon@minerasancristobal.com" TargetMode="External"/><Relationship Id="rId33" Type="http://schemas.openxmlformats.org/officeDocument/2006/relationships/hyperlink" Target="mailto:lrebolledo@knightpiesold.com" TargetMode="External"/><Relationship Id="rId129" Type="http://schemas.openxmlformats.org/officeDocument/2006/relationships/hyperlink" Target="mailto:rquez001@codelco.cl" TargetMode="External"/><Relationship Id="rId336" Type="http://schemas.openxmlformats.org/officeDocument/2006/relationships/hyperlink" Target="mailto:pcheng@mineracentinela.cl" TargetMode="External"/><Relationship Id="rId543" Type="http://schemas.openxmlformats.org/officeDocument/2006/relationships/hyperlink" Target="mailto:hdelajara@cosapi.cl" TargetMode="External"/><Relationship Id="rId988" Type="http://schemas.openxmlformats.org/officeDocument/2006/relationships/hyperlink" Target="mailto:cnitsche@RONIT.CL" TargetMode="External"/><Relationship Id="rId1173" Type="http://schemas.openxmlformats.org/officeDocument/2006/relationships/hyperlink" Target="mailto:wagner.souza.santos@vale.com" TargetMode="External"/><Relationship Id="rId182" Type="http://schemas.openxmlformats.org/officeDocument/2006/relationships/hyperlink" Target="mailto:jose.rojas@ryq.cl" TargetMode="External"/><Relationship Id="rId403" Type="http://schemas.openxmlformats.org/officeDocument/2006/relationships/hyperlink" Target="mailto:vsalinas@caserones.cl" TargetMode="External"/><Relationship Id="rId750" Type="http://schemas.openxmlformats.org/officeDocument/2006/relationships/hyperlink" Target="mailto:javiera.a.garay@bhp.com" TargetMode="External"/><Relationship Id="rId848" Type="http://schemas.openxmlformats.org/officeDocument/2006/relationships/hyperlink" Target="mailto:mcarranza@ohla-peru.pe" TargetMode="External"/><Relationship Id="rId1033" Type="http://schemas.openxmlformats.org/officeDocument/2006/relationships/hyperlink" Target="mailto:jorge.poblete@bhp.com" TargetMode="External"/><Relationship Id="rId487" Type="http://schemas.openxmlformats.org/officeDocument/2006/relationships/hyperlink" Target="mailto:hugo.andrade@arcadis.cl" TargetMode="External"/><Relationship Id="rId610" Type="http://schemas.openxmlformats.org/officeDocument/2006/relationships/hyperlink" Target="mailto:C0645060@vale.com" TargetMode="External"/><Relationship Id="rId694" Type="http://schemas.openxmlformats.org/officeDocument/2006/relationships/hyperlink" Target="mailto:evelyn.gonzalez2@bhp.com" TargetMode="External"/><Relationship Id="rId708" Type="http://schemas.openxmlformats.org/officeDocument/2006/relationships/hyperlink" Target="mailto:asdiaz@cmp.cl" TargetMode="External"/><Relationship Id="rId915" Type="http://schemas.openxmlformats.org/officeDocument/2006/relationships/hyperlink" Target="mailto:constanza.diaz-externo@angloamerican.com" TargetMode="External"/><Relationship Id="rId347" Type="http://schemas.openxmlformats.org/officeDocument/2006/relationships/hyperlink" Target="mailto:olimpiadelrosario.cabrera@mmg.com" TargetMode="External"/><Relationship Id="rId999" Type="http://schemas.openxmlformats.org/officeDocument/2006/relationships/hyperlink" Target="mailto:lucas.phillipe.siqueira@vale.com" TargetMode="External"/><Relationship Id="rId1100" Type="http://schemas.openxmlformats.org/officeDocument/2006/relationships/hyperlink" Target="mailto:nrojas@CMSG.CL" TargetMode="External"/><Relationship Id="rId1184" Type="http://schemas.openxmlformats.org/officeDocument/2006/relationships/hyperlink" Target="mailto:eric.brito@vale.com" TargetMode="External"/><Relationship Id="rId44" Type="http://schemas.openxmlformats.org/officeDocument/2006/relationships/hyperlink" Target="mailto:fromero@caserones.cl" TargetMode="External"/><Relationship Id="rId554" Type="http://schemas.openxmlformats.org/officeDocument/2006/relationships/hyperlink" Target="mailto:csantander@incolur.cl" TargetMode="External"/><Relationship Id="rId761" Type="http://schemas.openxmlformats.org/officeDocument/2006/relationships/hyperlink" Target="mailto:fabio.silva@equinoxgold.com" TargetMode="External"/><Relationship Id="rId859" Type="http://schemas.openxmlformats.org/officeDocument/2006/relationships/hyperlink" Target="mailto:cristina.alfaro@bhp.com" TargetMode="External"/><Relationship Id="rId193" Type="http://schemas.openxmlformats.org/officeDocument/2006/relationships/hyperlink" Target="mailto:jose.rojas@ryq.cl" TargetMode="External"/><Relationship Id="rId207" Type="http://schemas.openxmlformats.org/officeDocument/2006/relationships/hyperlink" Target="mailto:Tiago.Portela@vale.com" TargetMode="External"/><Relationship Id="rId414" Type="http://schemas.openxmlformats.org/officeDocument/2006/relationships/hyperlink" Target="mailto:vsalinas@caserones.cl" TargetMode="External"/><Relationship Id="rId498" Type="http://schemas.openxmlformats.org/officeDocument/2006/relationships/hyperlink" Target="mailto:Juanmanuel.silva@glemans.com" TargetMode="External"/><Relationship Id="rId621" Type="http://schemas.openxmlformats.org/officeDocument/2006/relationships/hyperlink" Target="mailto:nelson.carvajal@lundinmining.com" TargetMode="External"/><Relationship Id="rId1044" Type="http://schemas.openxmlformats.org/officeDocument/2006/relationships/hyperlink" Target="mailto:marcos.madrid@bhp.com" TargetMode="External"/><Relationship Id="rId260" Type="http://schemas.openxmlformats.org/officeDocument/2006/relationships/hyperlink" Target="mailto:camila.garces@teck.com" TargetMode="External"/><Relationship Id="rId719" Type="http://schemas.openxmlformats.org/officeDocument/2006/relationships/hyperlink" Target="mailto:pochoa@cmp.cl" TargetMode="External"/><Relationship Id="rId926" Type="http://schemas.openxmlformats.org/officeDocument/2006/relationships/hyperlink" Target="mailto:nelson.carvajal@lundinmining.com" TargetMode="External"/><Relationship Id="rId1111" Type="http://schemas.openxmlformats.org/officeDocument/2006/relationships/hyperlink" Target="mailto:fernando.marin@umayor.cl" TargetMode="External"/><Relationship Id="rId55" Type="http://schemas.openxmlformats.org/officeDocument/2006/relationships/hyperlink" Target="mailto:claudia.flores1@bhp.com" TargetMode="External"/><Relationship Id="rId120" Type="http://schemas.openxmlformats.org/officeDocument/2006/relationships/hyperlink" Target="mailto:maurilio.maciel@vale.com" TargetMode="External"/><Relationship Id="rId358" Type="http://schemas.openxmlformats.org/officeDocument/2006/relationships/hyperlink" Target="mailto:olimpiadelrosario.cabrera@mmg.com" TargetMode="External"/><Relationship Id="rId565" Type="http://schemas.openxmlformats.org/officeDocument/2006/relationships/hyperlink" Target="mailto:nelson.carvajal@lundinmining.com" TargetMode="External"/><Relationship Id="rId772" Type="http://schemas.openxmlformats.org/officeDocument/2006/relationships/hyperlink" Target="mailto:otifamaya@eeccmlp.cl" TargetMode="External"/><Relationship Id="rId1195" Type="http://schemas.microsoft.com/office/2019/04/relationships/namedSheetView" Target="../namedSheetViews/namedSheetView1.xml"/><Relationship Id="rId218" Type="http://schemas.openxmlformats.org/officeDocument/2006/relationships/hyperlink" Target="mailto:antonio.oyanedel@mogroup.com" TargetMode="External"/><Relationship Id="rId425" Type="http://schemas.openxmlformats.org/officeDocument/2006/relationships/hyperlink" Target="mailto:vsalinas@caserones.cl" TargetMode="External"/><Relationship Id="rId632" Type="http://schemas.openxmlformats.org/officeDocument/2006/relationships/hyperlink" Target="mailto:Alhucemapr@bv.com" TargetMode="External"/><Relationship Id="rId1055" Type="http://schemas.openxmlformats.org/officeDocument/2006/relationships/hyperlink" Target="mailto:giselle.pinto@capstonecopper.com" TargetMode="External"/><Relationship Id="rId271" Type="http://schemas.openxmlformats.org/officeDocument/2006/relationships/hyperlink" Target="mailto:miguel.ruiz@ryq.cl" TargetMode="External"/><Relationship Id="rId937" Type="http://schemas.openxmlformats.org/officeDocument/2006/relationships/hyperlink" Target="mailto:wilgerjesus.luzardo@fcc.es" TargetMode="External"/><Relationship Id="rId1122" Type="http://schemas.openxmlformats.org/officeDocument/2006/relationships/hyperlink" Target="mailto:stephan.matulic@bhp.com" TargetMode="External"/><Relationship Id="rId66" Type="http://schemas.openxmlformats.org/officeDocument/2006/relationships/hyperlink" Target="mailto:eric.mattos@vale.com" TargetMode="External"/><Relationship Id="rId131" Type="http://schemas.openxmlformats.org/officeDocument/2006/relationships/hyperlink" Target="mailto:miguel.ruiz@ryq.cl" TargetMode="External"/><Relationship Id="rId369" Type="http://schemas.openxmlformats.org/officeDocument/2006/relationships/hyperlink" Target="mailto:vsalinas@caserones.cl" TargetMode="External"/><Relationship Id="rId576" Type="http://schemas.openxmlformats.org/officeDocument/2006/relationships/hyperlink" Target="mailto:ricardo.jeldres@uantof.cl" TargetMode="External"/><Relationship Id="rId783" Type="http://schemas.openxmlformats.org/officeDocument/2006/relationships/hyperlink" Target="mailto:Josimar.Castro.Goncalves@vale.com" TargetMode="External"/><Relationship Id="rId990" Type="http://schemas.openxmlformats.org/officeDocument/2006/relationships/hyperlink" Target="mailto:c0637231@vale.com" TargetMode="External"/><Relationship Id="rId229" Type="http://schemas.openxmlformats.org/officeDocument/2006/relationships/hyperlink" Target="mailto:rsejas@orvana.com" TargetMode="External"/><Relationship Id="rId436" Type="http://schemas.openxmlformats.org/officeDocument/2006/relationships/hyperlink" Target="mailto:vsalinas@caserones.cl" TargetMode="External"/><Relationship Id="rId643" Type="http://schemas.openxmlformats.org/officeDocument/2006/relationships/hyperlink" Target="mailto:javiera.a.garay@bhp.com" TargetMode="External"/><Relationship Id="rId1066" Type="http://schemas.openxmlformats.org/officeDocument/2006/relationships/hyperlink" Target="mailto:lucas.phillipe.siqueira@vale.com" TargetMode="External"/><Relationship Id="rId850" Type="http://schemas.openxmlformats.org/officeDocument/2006/relationships/hyperlink" Target="mailto:mcarranza@ohla-peru.pe" TargetMode="External"/><Relationship Id="rId948" Type="http://schemas.openxmlformats.org/officeDocument/2006/relationships/hyperlink" Target="mailto:guilherme.euler@vale.com" TargetMode="External"/><Relationship Id="rId1133" Type="http://schemas.openxmlformats.org/officeDocument/2006/relationships/hyperlink" Target="mailto:stephan.matulic@bhp.com" TargetMode="External"/><Relationship Id="rId77" Type="http://schemas.openxmlformats.org/officeDocument/2006/relationships/hyperlink" Target="mailto:rafael.rodriguez@sgscm.cl" TargetMode="External"/><Relationship Id="rId282" Type="http://schemas.openxmlformats.org/officeDocument/2006/relationships/hyperlink" Target="mailto:miguel.ruiz@ryq.cl" TargetMode="External"/><Relationship Id="rId503" Type="http://schemas.openxmlformats.org/officeDocument/2006/relationships/hyperlink" Target="mailto:francisco.soto@empiricaconsultores.cl" TargetMode="External"/><Relationship Id="rId587" Type="http://schemas.openxmlformats.org/officeDocument/2006/relationships/hyperlink" Target="mailto:asdiaza@cmp.cl" TargetMode="External"/><Relationship Id="rId710" Type="http://schemas.openxmlformats.org/officeDocument/2006/relationships/hyperlink" Target="mailto:rquez001@codelco.cl" TargetMode="External"/><Relationship Id="rId808" Type="http://schemas.openxmlformats.org/officeDocument/2006/relationships/hyperlink" Target="mailto:Marcelo.Jeunon1@vale.com" TargetMode="External"/><Relationship Id="rId8" Type="http://schemas.openxmlformats.org/officeDocument/2006/relationships/hyperlink" Target="mailto:ncarvajal@caserones.cl" TargetMode="External"/><Relationship Id="rId142" Type="http://schemas.openxmlformats.org/officeDocument/2006/relationships/hyperlink" Target="mailto:jebruced@bechtel.com" TargetMode="External"/><Relationship Id="rId447" Type="http://schemas.openxmlformats.org/officeDocument/2006/relationships/hyperlink" Target="mailto:cfarias@caserones.cl" TargetMode="External"/><Relationship Id="rId794" Type="http://schemas.openxmlformats.org/officeDocument/2006/relationships/hyperlink" Target="mailto:ppoblete@edic.cl" TargetMode="External"/><Relationship Id="rId1077" Type="http://schemas.openxmlformats.org/officeDocument/2006/relationships/hyperlink" Target="mailto:Juan.Naranjo@lundingold.com" TargetMode="External"/><Relationship Id="rId654" Type="http://schemas.openxmlformats.org/officeDocument/2006/relationships/hyperlink" Target="mailto:Sergio.Correa@capstonecopper.com" TargetMode="External"/><Relationship Id="rId861" Type="http://schemas.openxmlformats.org/officeDocument/2006/relationships/hyperlink" Target="mailto:macarena.gervilla@ryq.cl" TargetMode="External"/><Relationship Id="rId959" Type="http://schemas.openxmlformats.org/officeDocument/2006/relationships/hyperlink" Target="mailto:c0637231@vale.com" TargetMode="External"/><Relationship Id="rId293" Type="http://schemas.openxmlformats.org/officeDocument/2006/relationships/hyperlink" Target="mailto:eduardom@ide-tech.com" TargetMode="External"/><Relationship Id="rId307" Type="http://schemas.openxmlformats.org/officeDocument/2006/relationships/hyperlink" Target="mailto:jose.rojas@ryq.cl" TargetMode="External"/><Relationship Id="rId514" Type="http://schemas.openxmlformats.org/officeDocument/2006/relationships/hyperlink" Target="mailto:Edimilson.Silva5@vale.com" TargetMode="External"/><Relationship Id="rId721" Type="http://schemas.openxmlformats.org/officeDocument/2006/relationships/hyperlink" Target="mailto:palvarez@empiricaconsultores.cl" TargetMode="External"/><Relationship Id="rId1144" Type="http://schemas.openxmlformats.org/officeDocument/2006/relationships/hyperlink" Target="mailto:apuelles@grupoerrazuriz.cl" TargetMode="External"/><Relationship Id="rId88" Type="http://schemas.openxmlformats.org/officeDocument/2006/relationships/hyperlink" Target="mailto:alvaro.sepulveda@bhp.com" TargetMode="External"/><Relationship Id="rId153" Type="http://schemas.openxmlformats.org/officeDocument/2006/relationships/hyperlink" Target="mailto:cmerlo@caserones.cl" TargetMode="External"/><Relationship Id="rId360" Type="http://schemas.openxmlformats.org/officeDocument/2006/relationships/hyperlink" Target="mailto:vsalinas@caserones.cl" TargetMode="External"/><Relationship Id="rId598" Type="http://schemas.openxmlformats.org/officeDocument/2006/relationships/hyperlink" Target="mailto:gunter.lipper@equinoxgold.com" TargetMode="External"/><Relationship Id="rId819" Type="http://schemas.openxmlformats.org/officeDocument/2006/relationships/hyperlink" Target="mailto:falopezd@cmp.cl" TargetMode="External"/><Relationship Id="rId1004" Type="http://schemas.openxmlformats.org/officeDocument/2006/relationships/hyperlink" Target="mailto:lucas.phillipe.siqueira@vale.com" TargetMode="External"/><Relationship Id="rId220" Type="http://schemas.openxmlformats.org/officeDocument/2006/relationships/hyperlink" Target="mailto:jose.rojas@ryq.cl" TargetMode="External"/><Relationship Id="rId458" Type="http://schemas.openxmlformats.org/officeDocument/2006/relationships/hyperlink" Target="mailto:juancarlos.tapia@sedgman.com" TargetMode="External"/><Relationship Id="rId665" Type="http://schemas.openxmlformats.org/officeDocument/2006/relationships/hyperlink" Target="mailto:stephan.matulic@bhp.com" TargetMode="External"/><Relationship Id="rId872" Type="http://schemas.openxmlformats.org/officeDocument/2006/relationships/hyperlink" Target="mailto:cristina.alfaro@bhp.com" TargetMode="External"/><Relationship Id="rId1088" Type="http://schemas.openxmlformats.org/officeDocument/2006/relationships/hyperlink" Target="mailto:c0711007@vale.com" TargetMode="External"/><Relationship Id="rId15" Type="http://schemas.openxmlformats.org/officeDocument/2006/relationships/hyperlink" Target="mailto:shenriquez@emin.cl" TargetMode="External"/><Relationship Id="rId318" Type="http://schemas.openxmlformats.org/officeDocument/2006/relationships/hyperlink" Target="mailto:Pablo.Escobar@sedgman.com" TargetMode="External"/><Relationship Id="rId525" Type="http://schemas.openxmlformats.org/officeDocument/2006/relationships/hyperlink" Target="mailto:mcelis@fda.cl" TargetMode="External"/><Relationship Id="rId732" Type="http://schemas.openxmlformats.org/officeDocument/2006/relationships/hyperlink" Target="mailto:nilson.saldias@capstonecopper.com" TargetMode="External"/><Relationship Id="rId1155" Type="http://schemas.openxmlformats.org/officeDocument/2006/relationships/hyperlink" Target="mailto:Felix.Lastra@sgscm.cl" TargetMode="External"/><Relationship Id="rId99" Type="http://schemas.openxmlformats.org/officeDocument/2006/relationships/hyperlink" Target="mailto:jose.rojas@ryq.cl" TargetMode="External"/><Relationship Id="rId164" Type="http://schemas.openxmlformats.org/officeDocument/2006/relationships/hyperlink" Target="mailto:C0608805@vale.com" TargetMode="External"/><Relationship Id="rId371" Type="http://schemas.openxmlformats.org/officeDocument/2006/relationships/hyperlink" Target="mailto:gnune009@contratistas.codelco.cl" TargetMode="External"/><Relationship Id="rId1015" Type="http://schemas.openxmlformats.org/officeDocument/2006/relationships/hyperlink" Target="mailto:rquez001@codelco.cl" TargetMode="External"/><Relationship Id="rId469" Type="http://schemas.openxmlformats.org/officeDocument/2006/relationships/hyperlink" Target="mailto:pcheng@mineracentinela.cl" TargetMode="External"/><Relationship Id="rId676" Type="http://schemas.openxmlformats.org/officeDocument/2006/relationships/hyperlink" Target="mailto:rfyanez@collahuasi.cl" TargetMode="External"/><Relationship Id="rId883" Type="http://schemas.openxmlformats.org/officeDocument/2006/relationships/hyperlink" Target="mailto:Juan.Negroni.L@wsp.com" TargetMode="External"/><Relationship Id="rId1099" Type="http://schemas.openxmlformats.org/officeDocument/2006/relationships/hyperlink" Target="mailto:Felix.Lastra@sgscm.cl" TargetMode="External"/><Relationship Id="rId26" Type="http://schemas.openxmlformats.org/officeDocument/2006/relationships/hyperlink" Target="mailto:rquez001@codelco.cl" TargetMode="External"/><Relationship Id="rId231" Type="http://schemas.openxmlformats.org/officeDocument/2006/relationships/hyperlink" Target="mailto:rburgos@proyecmetal.cl" TargetMode="External"/><Relationship Id="rId329" Type="http://schemas.openxmlformats.org/officeDocument/2006/relationships/hyperlink" Target="mailto:Ronaldo.Nascimento@snclavalin.com" TargetMode="External"/><Relationship Id="rId536" Type="http://schemas.openxmlformats.org/officeDocument/2006/relationships/hyperlink" Target="mailto:Miguel.Mosqueira@DRAGLOBAL.COM" TargetMode="External"/><Relationship Id="rId1166" Type="http://schemas.openxmlformats.org/officeDocument/2006/relationships/hyperlink" Target="mailto:milton@intasol.co.za" TargetMode="External"/><Relationship Id="rId175" Type="http://schemas.openxmlformats.org/officeDocument/2006/relationships/hyperlink" Target="mailto:rafael.rodriguez@sgscm.cl" TargetMode="External"/><Relationship Id="rId743" Type="http://schemas.openxmlformats.org/officeDocument/2006/relationships/hyperlink" Target="mailto:ricardo.puelma@capstonecopper.com" TargetMode="External"/><Relationship Id="rId950" Type="http://schemas.openxmlformats.org/officeDocument/2006/relationships/hyperlink" Target="mailto:c0637231@vale.com" TargetMode="External"/><Relationship Id="rId1026" Type="http://schemas.openxmlformats.org/officeDocument/2006/relationships/hyperlink" Target="mailto:cnitsche@RONIT.CL" TargetMode="External"/><Relationship Id="rId382" Type="http://schemas.openxmlformats.org/officeDocument/2006/relationships/hyperlink" Target="mailto:vsalinas@caserones.cl" TargetMode="External"/><Relationship Id="rId603" Type="http://schemas.openxmlformats.org/officeDocument/2006/relationships/hyperlink" Target="mailto:rquez001@codelco.cl" TargetMode="External"/><Relationship Id="rId687" Type="http://schemas.openxmlformats.org/officeDocument/2006/relationships/hyperlink" Target="mailto:nelson.carvajal@lundinmining.com" TargetMode="External"/><Relationship Id="rId810" Type="http://schemas.openxmlformats.org/officeDocument/2006/relationships/hyperlink" Target="mailto:Marcelo.Jeunon1@vale.com" TargetMode="External"/><Relationship Id="rId908" Type="http://schemas.openxmlformats.org/officeDocument/2006/relationships/hyperlink" Target="mailto:claudia.flores1@bhp.com" TargetMode="External"/><Relationship Id="rId242" Type="http://schemas.openxmlformats.org/officeDocument/2006/relationships/hyperlink" Target="mailto:mabastia@collahuasi.cl" TargetMode="External"/><Relationship Id="rId894" Type="http://schemas.openxmlformats.org/officeDocument/2006/relationships/hyperlink" Target="mailto:luis.quezada1@bhp.com" TargetMode="External"/><Relationship Id="rId1177" Type="http://schemas.openxmlformats.org/officeDocument/2006/relationships/hyperlink" Target="mailto:calcayaga.oti@mineracentinela.cl" TargetMode="External"/><Relationship Id="rId37" Type="http://schemas.openxmlformats.org/officeDocument/2006/relationships/hyperlink" Target="mailto:lrebolledo@knightpiesold.com" TargetMode="External"/><Relationship Id="rId102" Type="http://schemas.openxmlformats.org/officeDocument/2006/relationships/hyperlink" Target="mailto:jose.rojas@ryq.cl" TargetMode="External"/><Relationship Id="rId547" Type="http://schemas.openxmlformats.org/officeDocument/2006/relationships/hyperlink" Target="mailto:adriana.mota@vale.com" TargetMode="External"/><Relationship Id="rId754" Type="http://schemas.openxmlformats.org/officeDocument/2006/relationships/hyperlink" Target="mailto:pochoa@cmp.cl" TargetMode="External"/><Relationship Id="rId961" Type="http://schemas.openxmlformats.org/officeDocument/2006/relationships/hyperlink" Target="mailto:LORETO.ROJAS@knauf.com" TargetMode="External"/><Relationship Id="rId90" Type="http://schemas.openxmlformats.org/officeDocument/2006/relationships/hyperlink" Target="mailto:rafael.rodriguez@sgscm.cl" TargetMode="External"/><Relationship Id="rId186" Type="http://schemas.openxmlformats.org/officeDocument/2006/relationships/hyperlink" Target="mailto:rquez001@codelco.cl" TargetMode="External"/><Relationship Id="rId393" Type="http://schemas.openxmlformats.org/officeDocument/2006/relationships/hyperlink" Target="mailto:mvillanueva@mineracentinela.cl" TargetMode="External"/><Relationship Id="rId407" Type="http://schemas.openxmlformats.org/officeDocument/2006/relationships/hyperlink" Target="mailto:vsalinas@caserones.cl" TargetMode="External"/><Relationship Id="rId614" Type="http://schemas.openxmlformats.org/officeDocument/2006/relationships/hyperlink" Target="mailto:guilherme.machado@vale.com" TargetMode="External"/><Relationship Id="rId821" Type="http://schemas.openxmlformats.org/officeDocument/2006/relationships/hyperlink" Target="mailto:falopezd@cmp.cl" TargetMode="External"/><Relationship Id="rId1037" Type="http://schemas.openxmlformats.org/officeDocument/2006/relationships/hyperlink" Target="mailto:Emely.Fuenzalida@teck.com" TargetMode="External"/><Relationship Id="rId253" Type="http://schemas.openxmlformats.org/officeDocument/2006/relationships/hyperlink" Target="mailto:ifuentes@jej.cl" TargetMode="External"/><Relationship Id="rId460" Type="http://schemas.openxmlformats.org/officeDocument/2006/relationships/hyperlink" Target="mailto:jsolis@mineracentinela.cl" TargetMode="External"/><Relationship Id="rId698" Type="http://schemas.openxmlformats.org/officeDocument/2006/relationships/hyperlink" Target="mailto:nelson.carvajal@lundinmining.com" TargetMode="External"/><Relationship Id="rId919" Type="http://schemas.openxmlformats.org/officeDocument/2006/relationships/hyperlink" Target="mailto:sfernandez@mpcconsultora.com.ar" TargetMode="External"/><Relationship Id="rId1090" Type="http://schemas.openxmlformats.org/officeDocument/2006/relationships/hyperlink" Target="mailto:jose.rojas@ryq.cl" TargetMode="External"/><Relationship Id="rId1104" Type="http://schemas.openxmlformats.org/officeDocument/2006/relationships/hyperlink" Target="mailto:apuelles@grupoerrazuriz.cl" TargetMode="External"/><Relationship Id="rId48" Type="http://schemas.openxmlformats.org/officeDocument/2006/relationships/hyperlink" Target="mailto:JuanPN@ide-tech.com" TargetMode="External"/><Relationship Id="rId113" Type="http://schemas.openxmlformats.org/officeDocument/2006/relationships/hyperlink" Target="mailto:mcarranza@ohla-peru.pe" TargetMode="External"/><Relationship Id="rId320" Type="http://schemas.openxmlformats.org/officeDocument/2006/relationships/hyperlink" Target="mailto:jmoreno.esed@caserones.cl" TargetMode="External"/><Relationship Id="rId558" Type="http://schemas.openxmlformats.org/officeDocument/2006/relationships/hyperlink" Target="mailto:csantander@incolur.cl" TargetMode="External"/><Relationship Id="rId765" Type="http://schemas.openxmlformats.org/officeDocument/2006/relationships/hyperlink" Target="mailto:asdiaza@cmp.cl" TargetMode="External"/><Relationship Id="rId972" Type="http://schemas.openxmlformats.org/officeDocument/2006/relationships/hyperlink" Target="mailto:MellaME@bv.com" TargetMode="External"/><Relationship Id="rId1188" Type="http://schemas.openxmlformats.org/officeDocument/2006/relationships/hyperlink" Target="mailto:ccastilloc@aguascap.cl" TargetMode="External"/><Relationship Id="rId197" Type="http://schemas.openxmlformats.org/officeDocument/2006/relationships/hyperlink" Target="mailto:jose.rojas@ryq.cl" TargetMode="External"/><Relationship Id="rId418" Type="http://schemas.openxmlformats.org/officeDocument/2006/relationships/hyperlink" Target="mailto:vsalinas@caserones.cl" TargetMode="External"/><Relationship Id="rId625" Type="http://schemas.openxmlformats.org/officeDocument/2006/relationships/hyperlink" Target="mailto:cesar.tapia@angloamerican.com" TargetMode="External"/><Relationship Id="rId832" Type="http://schemas.openxmlformats.org/officeDocument/2006/relationships/hyperlink" Target="mailto:nelson.carvajal@lundinmining.com" TargetMode="External"/><Relationship Id="rId1048" Type="http://schemas.openxmlformats.org/officeDocument/2006/relationships/hyperlink" Target="mailto:leonardo.parraguez@capstonecopper.com" TargetMode="External"/><Relationship Id="rId264" Type="http://schemas.openxmlformats.org/officeDocument/2006/relationships/hyperlink" Target="mailto:jose.rojas@ryq.cl" TargetMode="External"/><Relationship Id="rId471" Type="http://schemas.openxmlformats.org/officeDocument/2006/relationships/hyperlink" Target="mailto:jsolis@mineracentinela.cl" TargetMode="External"/><Relationship Id="rId1115" Type="http://schemas.openxmlformats.org/officeDocument/2006/relationships/hyperlink" Target="mailto:stephan.matulic@bhp.com" TargetMode="External"/><Relationship Id="rId59" Type="http://schemas.openxmlformats.org/officeDocument/2006/relationships/hyperlink" Target="mailto:mcarranza@ohla-peru.pe" TargetMode="External"/><Relationship Id="rId124" Type="http://schemas.openxmlformats.org/officeDocument/2006/relationships/hyperlink" Target="mailto:rvigo@antamina.com" TargetMode="External"/><Relationship Id="rId569" Type="http://schemas.openxmlformats.org/officeDocument/2006/relationships/hyperlink" Target="mailto:csolis@incolur.cl" TargetMode="External"/><Relationship Id="rId776" Type="http://schemas.openxmlformats.org/officeDocument/2006/relationships/hyperlink" Target="mailto:pochoa@cmp.cl" TargetMode="External"/><Relationship Id="rId983" Type="http://schemas.openxmlformats.org/officeDocument/2006/relationships/hyperlink" Target="mailto:c0637231@vale.com" TargetMode="External"/><Relationship Id="rId331" Type="http://schemas.openxmlformats.org/officeDocument/2006/relationships/hyperlink" Target="mailto:claudio.pavez@abengoa.com" TargetMode="External"/><Relationship Id="rId429" Type="http://schemas.openxmlformats.org/officeDocument/2006/relationships/hyperlink" Target="mailto:vsalinas@caserones.cl" TargetMode="External"/><Relationship Id="rId636" Type="http://schemas.openxmlformats.org/officeDocument/2006/relationships/hyperlink" Target="mailto:MonaresJT@bv.com" TargetMode="External"/><Relationship Id="rId1059" Type="http://schemas.openxmlformats.org/officeDocument/2006/relationships/hyperlink" Target="mailto:francisca.chadwick@angloamerican.com" TargetMode="External"/><Relationship Id="rId843" Type="http://schemas.openxmlformats.org/officeDocument/2006/relationships/hyperlink" Target="mailto:francisco.calaf@cenizas.cl" TargetMode="External"/><Relationship Id="rId1126" Type="http://schemas.openxmlformats.org/officeDocument/2006/relationships/hyperlink" Target="mailto:stephan.matulic@bhp.com" TargetMode="External"/><Relationship Id="rId275" Type="http://schemas.openxmlformats.org/officeDocument/2006/relationships/hyperlink" Target="mailto:alejandra.martin@aminerals.cl" TargetMode="External"/><Relationship Id="rId482" Type="http://schemas.openxmlformats.org/officeDocument/2006/relationships/hyperlink" Target="mailto:rorellana@caserones.cl" TargetMode="External"/><Relationship Id="rId703" Type="http://schemas.openxmlformats.org/officeDocument/2006/relationships/hyperlink" Target="mailto:asdiaz@cmp.cl" TargetMode="External"/><Relationship Id="rId910" Type="http://schemas.openxmlformats.org/officeDocument/2006/relationships/hyperlink" Target="mailto:jeahumada@collahuasi.cl" TargetMode="External"/><Relationship Id="rId135" Type="http://schemas.openxmlformats.org/officeDocument/2006/relationships/hyperlink" Target="mailto:jose.moreno@besalco.cl" TargetMode="External"/><Relationship Id="rId342" Type="http://schemas.openxmlformats.org/officeDocument/2006/relationships/hyperlink" Target="mailto:cmerlo@caserones.cl" TargetMode="External"/><Relationship Id="rId787" Type="http://schemas.openxmlformats.org/officeDocument/2006/relationships/hyperlink" Target="mailto:asdiaza@cmp.cl" TargetMode="External"/><Relationship Id="rId994" Type="http://schemas.openxmlformats.org/officeDocument/2006/relationships/hyperlink" Target="mailto:stephan.matulic@bhp.com" TargetMode="External"/><Relationship Id="rId202" Type="http://schemas.openxmlformats.org/officeDocument/2006/relationships/hyperlink" Target="mailto:johnpaul.chan@bhp.com" TargetMode="External"/><Relationship Id="rId647" Type="http://schemas.openxmlformats.org/officeDocument/2006/relationships/hyperlink" Target="mailto:evelyn.gonzalez2@bhp.com" TargetMode="External"/><Relationship Id="rId854" Type="http://schemas.openxmlformats.org/officeDocument/2006/relationships/hyperlink" Target="mailto:sergiojbustosm@gmail.com" TargetMode="External"/><Relationship Id="rId286" Type="http://schemas.openxmlformats.org/officeDocument/2006/relationships/hyperlink" Target="mailto:efg@ipe.bo" TargetMode="External"/><Relationship Id="rId493" Type="http://schemas.openxmlformats.org/officeDocument/2006/relationships/hyperlink" Target="mailto:rorellana@caserones.cl" TargetMode="External"/><Relationship Id="rId507" Type="http://schemas.openxmlformats.org/officeDocument/2006/relationships/hyperlink" Target="mailto:Juanmanuel.silva@glemans.com" TargetMode="External"/><Relationship Id="rId714" Type="http://schemas.openxmlformats.org/officeDocument/2006/relationships/hyperlink" Target="mailto:natascha.cereceda@bogado.cl" TargetMode="External"/><Relationship Id="rId921" Type="http://schemas.openxmlformats.org/officeDocument/2006/relationships/hyperlink" Target="mailto:francisco.calaf@cenizas.cl" TargetMode="External"/><Relationship Id="rId1137" Type="http://schemas.openxmlformats.org/officeDocument/2006/relationships/hyperlink" Target="mailto:stephan.matulic@bhp.com" TargetMode="External"/><Relationship Id="rId50" Type="http://schemas.openxmlformats.org/officeDocument/2006/relationships/hyperlink" Target="mailto:e_cconstanzo@aguascap.cl" TargetMode="External"/><Relationship Id="rId146" Type="http://schemas.openxmlformats.org/officeDocument/2006/relationships/hyperlink" Target="mailto:cmerlo@caserones.cl" TargetMode="External"/><Relationship Id="rId353" Type="http://schemas.openxmlformats.org/officeDocument/2006/relationships/hyperlink" Target="mailto:vsalinas@caserones.cl" TargetMode="External"/><Relationship Id="rId560" Type="http://schemas.openxmlformats.org/officeDocument/2006/relationships/hyperlink" Target="mailto:guilherme.machado@vale.com" TargetMode="External"/><Relationship Id="rId798" Type="http://schemas.openxmlformats.org/officeDocument/2006/relationships/hyperlink" Target="mailto:asdiaza@cmp.cl" TargetMode="External"/><Relationship Id="rId1190" Type="http://schemas.openxmlformats.org/officeDocument/2006/relationships/printerSettings" Target="../printerSettings/printerSettings1.bin"/><Relationship Id="rId213" Type="http://schemas.openxmlformats.org/officeDocument/2006/relationships/hyperlink" Target="mailto:Simao.Carvalho@tetratech.com" TargetMode="External"/><Relationship Id="rId420" Type="http://schemas.openxmlformats.org/officeDocument/2006/relationships/hyperlink" Target="mailto:vsalinas@caserones.cl" TargetMode="External"/><Relationship Id="rId658" Type="http://schemas.openxmlformats.org/officeDocument/2006/relationships/hyperlink" Target="mailto:chmunozt@aguascap.cl" TargetMode="External"/><Relationship Id="rId865" Type="http://schemas.openxmlformats.org/officeDocument/2006/relationships/hyperlink" Target="mailto:eric.brito@vale.com" TargetMode="External"/><Relationship Id="rId1050" Type="http://schemas.openxmlformats.org/officeDocument/2006/relationships/hyperlink" Target="mailto:v-malfaro@lundinmining.com" TargetMode="External"/><Relationship Id="rId297" Type="http://schemas.openxmlformats.org/officeDocument/2006/relationships/hyperlink" Target="mailto:e.escobar@fastpack.cl" TargetMode="External"/><Relationship Id="rId518" Type="http://schemas.openxmlformats.org/officeDocument/2006/relationships/hyperlink" Target="mailto:rfyanez@collahuasi.cl" TargetMode="External"/><Relationship Id="rId725" Type="http://schemas.openxmlformats.org/officeDocument/2006/relationships/hyperlink" Target="mailto:smruti.patra@bhp.com" TargetMode="External"/><Relationship Id="rId932" Type="http://schemas.openxmlformats.org/officeDocument/2006/relationships/hyperlink" Target="mailto:Ignacio.Lagos@Worley.com" TargetMode="External"/><Relationship Id="rId1148" Type="http://schemas.openxmlformats.org/officeDocument/2006/relationships/hyperlink" Target="mailto:VSaav006@codelco.cl" TargetMode="External"/><Relationship Id="rId157" Type="http://schemas.openxmlformats.org/officeDocument/2006/relationships/hyperlink" Target="mailto:vsalinas@caserones.cl" TargetMode="External"/><Relationship Id="rId364" Type="http://schemas.openxmlformats.org/officeDocument/2006/relationships/hyperlink" Target="mailto:vsalinas@caserones.cl" TargetMode="External"/><Relationship Id="rId1008" Type="http://schemas.openxmlformats.org/officeDocument/2006/relationships/hyperlink" Target="mailto:e_iobreque@cmp.clfalopezd@cmp.cl" TargetMode="External"/><Relationship Id="rId61" Type="http://schemas.openxmlformats.org/officeDocument/2006/relationships/hyperlink" Target="mailto:carlos.pavissich@bhp.com" TargetMode="External"/><Relationship Id="rId571" Type="http://schemas.openxmlformats.org/officeDocument/2006/relationships/hyperlink" Target="mailto:isanchez@knightpiesold.com" TargetMode="External"/><Relationship Id="rId669" Type="http://schemas.openxmlformats.org/officeDocument/2006/relationships/hyperlink" Target="mailto:pablo.caviedes@angloamerican.com" TargetMode="External"/><Relationship Id="rId876" Type="http://schemas.openxmlformats.org/officeDocument/2006/relationships/hyperlink" Target="mailto:mcarranza@ohla-peru.pe" TargetMode="External"/><Relationship Id="rId19" Type="http://schemas.openxmlformats.org/officeDocument/2006/relationships/hyperlink" Target="mailto:Humberto.Consultoria@Worley.com" TargetMode="External"/><Relationship Id="rId224" Type="http://schemas.openxmlformats.org/officeDocument/2006/relationships/hyperlink" Target="mailto:otiaalbina@eeccmlp.cl" TargetMode="External"/><Relationship Id="rId431" Type="http://schemas.openxmlformats.org/officeDocument/2006/relationships/hyperlink" Target="mailto:vsalinas@caserones.cl" TargetMode="External"/><Relationship Id="rId529" Type="http://schemas.openxmlformats.org/officeDocument/2006/relationships/hyperlink" Target="mailto:jorge.ribeiro@vale.com" TargetMode="External"/><Relationship Id="rId736" Type="http://schemas.openxmlformats.org/officeDocument/2006/relationships/hyperlink" Target="mailto:henriquez.araya@gmail.com" TargetMode="External"/><Relationship Id="rId1061" Type="http://schemas.openxmlformats.org/officeDocument/2006/relationships/hyperlink" Target="mailto:c0711007@vale.com" TargetMode="External"/><Relationship Id="rId1159" Type="http://schemas.openxmlformats.org/officeDocument/2006/relationships/hyperlink" Target="mailto:miguel.fiol@angloamerican.com" TargetMode="External"/><Relationship Id="rId168" Type="http://schemas.openxmlformats.org/officeDocument/2006/relationships/hyperlink" Target="mailto:JMorgado@caserones.cl" TargetMode="External"/><Relationship Id="rId943" Type="http://schemas.openxmlformats.org/officeDocument/2006/relationships/hyperlink" Target="mailto:e_iobreque@cmp.clfalopezd@cmp.cl" TargetMode="External"/><Relationship Id="rId1019" Type="http://schemas.openxmlformats.org/officeDocument/2006/relationships/hyperlink" Target="mailto:e_iobreque@cmp.clfalopezd@cmp.cl" TargetMode="External"/><Relationship Id="rId72" Type="http://schemas.openxmlformats.org/officeDocument/2006/relationships/hyperlink" Target="mailto:info@nava.cl" TargetMode="External"/><Relationship Id="rId375" Type="http://schemas.openxmlformats.org/officeDocument/2006/relationships/hyperlink" Target="mailto:felipe.yevenes@sqm.com" TargetMode="External"/><Relationship Id="rId582" Type="http://schemas.openxmlformats.org/officeDocument/2006/relationships/hyperlink" Target="mailto:rquez001@codelco.cl" TargetMode="External"/><Relationship Id="rId803" Type="http://schemas.openxmlformats.org/officeDocument/2006/relationships/hyperlink" Target="mailto:Marcelo.Jeunon1@vale.com" TargetMode="External"/><Relationship Id="rId3" Type="http://schemas.openxmlformats.org/officeDocument/2006/relationships/hyperlink" Target="mailto:jose.rojas@ryq.cl" TargetMode="External"/><Relationship Id="rId235" Type="http://schemas.openxmlformats.org/officeDocument/2006/relationships/hyperlink" Target="mailto:marcelo.aguilar@grt-ing.cl" TargetMode="External"/><Relationship Id="rId442" Type="http://schemas.openxmlformats.org/officeDocument/2006/relationships/hyperlink" Target="mailto:fnavarrete@imspatagonia.cl" TargetMode="External"/><Relationship Id="rId887" Type="http://schemas.openxmlformats.org/officeDocument/2006/relationships/hyperlink" Target="mailto:guilherme.dino@vale.com" TargetMode="External"/><Relationship Id="rId1072" Type="http://schemas.openxmlformats.org/officeDocument/2006/relationships/hyperlink" Target="mailto:Felix.Lastra@sgscm.cl" TargetMode="External"/><Relationship Id="rId302" Type="http://schemas.openxmlformats.org/officeDocument/2006/relationships/hyperlink" Target="mailto:o.diaz@icpingenieria.cl" TargetMode="External"/><Relationship Id="rId747" Type="http://schemas.openxmlformats.org/officeDocument/2006/relationships/hyperlink" Target="mailto:nelson.carvajal@lundinmining.com" TargetMode="External"/><Relationship Id="rId954" Type="http://schemas.openxmlformats.org/officeDocument/2006/relationships/hyperlink" Target="mailto:e_iobreque@cmp.clfalopezd@cmp.cl" TargetMode="External"/><Relationship Id="rId83" Type="http://schemas.openxmlformats.org/officeDocument/2006/relationships/hyperlink" Target="mailto:rquez001@codelco.cl" TargetMode="External"/><Relationship Id="rId179" Type="http://schemas.openxmlformats.org/officeDocument/2006/relationships/hyperlink" Target="mailto:efg@ipe.bo" TargetMode="External"/><Relationship Id="rId386" Type="http://schemas.openxmlformats.org/officeDocument/2006/relationships/hyperlink" Target="mailto:bbascuna@codelco.cl" TargetMode="External"/><Relationship Id="rId593" Type="http://schemas.openxmlformats.org/officeDocument/2006/relationships/hyperlink" Target="mailto:cvegah@caserones.cl" TargetMode="External"/><Relationship Id="rId607" Type="http://schemas.openxmlformats.org/officeDocument/2006/relationships/hyperlink" Target="mailto:guilherme.Menezes1@vale.com" TargetMode="External"/><Relationship Id="rId814" Type="http://schemas.openxmlformats.org/officeDocument/2006/relationships/hyperlink" Target="mailto:sfernandez@mpcconsultora.com.ar" TargetMode="External"/><Relationship Id="rId246" Type="http://schemas.openxmlformats.org/officeDocument/2006/relationships/hyperlink" Target="mailto:lacuna@myma.cl" TargetMode="External"/><Relationship Id="rId453" Type="http://schemas.openxmlformats.org/officeDocument/2006/relationships/hyperlink" Target="mailto:rorellana@caserones.cl" TargetMode="External"/><Relationship Id="rId660" Type="http://schemas.openxmlformats.org/officeDocument/2006/relationships/hyperlink" Target="mailto:MDiaz067@codelco.cl" TargetMode="External"/><Relationship Id="rId898" Type="http://schemas.openxmlformats.org/officeDocument/2006/relationships/hyperlink" Target="mailto:Javiera.Perez@Worley.com" TargetMode="External"/><Relationship Id="rId1083" Type="http://schemas.openxmlformats.org/officeDocument/2006/relationships/hyperlink" Target="mailto:nelson.carvajal@lundinmining.com" TargetMode="External"/><Relationship Id="rId106" Type="http://schemas.openxmlformats.org/officeDocument/2006/relationships/hyperlink" Target="mailto:jose.rojas@ryq.cl" TargetMode="External"/><Relationship Id="rId313" Type="http://schemas.openxmlformats.org/officeDocument/2006/relationships/hyperlink" Target="mailto:waldocesar.lopez.gonzalez@acciona.com" TargetMode="External"/><Relationship Id="rId758" Type="http://schemas.openxmlformats.org/officeDocument/2006/relationships/hyperlink" Target="mailto:pochoa@cmp.cl" TargetMode="External"/><Relationship Id="rId965" Type="http://schemas.openxmlformats.org/officeDocument/2006/relationships/hyperlink" Target="mailto:edgardo.romero@keypro.cl" TargetMode="External"/><Relationship Id="rId1150" Type="http://schemas.openxmlformats.org/officeDocument/2006/relationships/hyperlink" Target="mailto:nelson.carvajal@lundinmining.com" TargetMode="External"/><Relationship Id="rId10" Type="http://schemas.openxmlformats.org/officeDocument/2006/relationships/hyperlink" Target="mailto:rquez001@codelco.cl" TargetMode="External"/><Relationship Id="rId94" Type="http://schemas.openxmlformats.org/officeDocument/2006/relationships/hyperlink" Target="mailto:kneira@aguascap.cl" TargetMode="External"/><Relationship Id="rId397" Type="http://schemas.openxmlformats.org/officeDocument/2006/relationships/hyperlink" Target="mailto:vsalinas@caserones.cl" TargetMode="External"/><Relationship Id="rId520" Type="http://schemas.openxmlformats.org/officeDocument/2006/relationships/hyperlink" Target="mailto:ncarvajal@caserones.cl" TargetMode="External"/><Relationship Id="rId618" Type="http://schemas.openxmlformats.org/officeDocument/2006/relationships/hyperlink" Target="mailto:nelson.carvajal@lundinmining.com" TargetMode="External"/><Relationship Id="rId825" Type="http://schemas.openxmlformats.org/officeDocument/2006/relationships/hyperlink" Target="mailto:nilson.saldias@capstonecopper.com" TargetMode="External"/><Relationship Id="rId257" Type="http://schemas.openxmlformats.org/officeDocument/2006/relationships/hyperlink" Target="mailto:jose.rojas@ryq.cl" TargetMode="External"/><Relationship Id="rId464" Type="http://schemas.openxmlformats.org/officeDocument/2006/relationships/hyperlink" Target="mailto:cfarias@caserones.cl" TargetMode="External"/><Relationship Id="rId1010" Type="http://schemas.openxmlformats.org/officeDocument/2006/relationships/hyperlink" Target="mailto:nelson.carvajal@lundinmining.com" TargetMode="External"/><Relationship Id="rId1094" Type="http://schemas.openxmlformats.org/officeDocument/2006/relationships/hyperlink" Target="mailto:paola.lopez2@bhp.com" TargetMode="External"/><Relationship Id="rId1108" Type="http://schemas.openxmlformats.org/officeDocument/2006/relationships/hyperlink" Target="mailto:nelson.carvajal@lundinmining.com" TargetMode="External"/><Relationship Id="rId117" Type="http://schemas.openxmlformats.org/officeDocument/2006/relationships/hyperlink" Target="mailto:hguerra@cmp.cl" TargetMode="External"/><Relationship Id="rId671" Type="http://schemas.openxmlformats.org/officeDocument/2006/relationships/hyperlink" Target="mailto:jimena.batarce@bhp.com" TargetMode="External"/><Relationship Id="rId769" Type="http://schemas.openxmlformats.org/officeDocument/2006/relationships/hyperlink" Target="mailto:pochoa@cmp.cl" TargetMode="External"/><Relationship Id="rId976" Type="http://schemas.openxmlformats.org/officeDocument/2006/relationships/hyperlink" Target="mailto:diego.tito@quiborax.com" TargetMode="External"/><Relationship Id="rId324" Type="http://schemas.openxmlformats.org/officeDocument/2006/relationships/hyperlink" Target="mailto:cvaldes@cmp.cl" TargetMode="External"/><Relationship Id="rId531" Type="http://schemas.openxmlformats.org/officeDocument/2006/relationships/hyperlink" Target="mailto:Julio.Ibanez@sqm.com" TargetMode="External"/><Relationship Id="rId629" Type="http://schemas.openxmlformats.org/officeDocument/2006/relationships/hyperlink" Target="mailto:julio.sanhueza@sgscm.cl" TargetMode="External"/><Relationship Id="rId1161" Type="http://schemas.openxmlformats.org/officeDocument/2006/relationships/hyperlink" Target="mailto:cynthia.zamorano@bhp.com" TargetMode="External"/><Relationship Id="rId836" Type="http://schemas.openxmlformats.org/officeDocument/2006/relationships/hyperlink" Target="mailto:jarriegin.herradura@bhp.com" TargetMode="External"/><Relationship Id="rId1021" Type="http://schemas.openxmlformats.org/officeDocument/2006/relationships/hyperlink" Target="mailto:cnitsche@RONIT.CL" TargetMode="External"/><Relationship Id="rId1119" Type="http://schemas.openxmlformats.org/officeDocument/2006/relationships/hyperlink" Target="mailto:stephan.matulic@bhp.com" TargetMode="External"/><Relationship Id="rId903" Type="http://schemas.openxmlformats.org/officeDocument/2006/relationships/hyperlink" Target="mailto:Melisa.MN.Arana@bhp.com" TargetMode="External"/><Relationship Id="rId32" Type="http://schemas.openxmlformats.org/officeDocument/2006/relationships/hyperlink" Target="mailto:rvigo@antamina.com" TargetMode="External"/><Relationship Id="rId181" Type="http://schemas.openxmlformats.org/officeDocument/2006/relationships/hyperlink" Target="mailto:jengels@tailpro.com" TargetMode="External"/><Relationship Id="rId279" Type="http://schemas.openxmlformats.org/officeDocument/2006/relationships/hyperlink" Target="mailto:jose.rojas@ryq.cl" TargetMode="External"/><Relationship Id="rId486" Type="http://schemas.openxmlformats.org/officeDocument/2006/relationships/hyperlink" Target="mailto:rorellana@caserones.cl" TargetMode="External"/><Relationship Id="rId693" Type="http://schemas.openxmlformats.org/officeDocument/2006/relationships/hyperlink" Target="mailto:wagner.souza.santos@vale.com" TargetMode="External"/><Relationship Id="rId139" Type="http://schemas.openxmlformats.org/officeDocument/2006/relationships/hyperlink" Target="mailto:jose.rojas@ryq.cl" TargetMode="External"/><Relationship Id="rId346" Type="http://schemas.openxmlformats.org/officeDocument/2006/relationships/hyperlink" Target="mailto:cmerlo@caserones.cl" TargetMode="External"/><Relationship Id="rId553" Type="http://schemas.openxmlformats.org/officeDocument/2006/relationships/hyperlink" Target="mailto:Loreto.aguilar@sqm.com" TargetMode="External"/><Relationship Id="rId760" Type="http://schemas.openxmlformats.org/officeDocument/2006/relationships/hyperlink" Target="mailto:pochoa@cmp.cl" TargetMode="External"/><Relationship Id="rId998" Type="http://schemas.openxmlformats.org/officeDocument/2006/relationships/hyperlink" Target="mailto:lucas.phillipe.siqueira@vale.com" TargetMode="External"/><Relationship Id="rId1183" Type="http://schemas.openxmlformats.org/officeDocument/2006/relationships/hyperlink" Target="mailto:cassio.dayrell@vale.com" TargetMode="External"/><Relationship Id="rId206" Type="http://schemas.openxmlformats.org/officeDocument/2006/relationships/hyperlink" Target="mailto:Juan.herrera@skic.com" TargetMode="External"/><Relationship Id="rId413" Type="http://schemas.openxmlformats.org/officeDocument/2006/relationships/hyperlink" Target="mailto:cfarias@caserones.cl" TargetMode="External"/><Relationship Id="rId858" Type="http://schemas.openxmlformats.org/officeDocument/2006/relationships/hyperlink" Target="mailto:nelson.carvajal@lundinmining.com" TargetMode="External"/><Relationship Id="rId1043" Type="http://schemas.openxmlformats.org/officeDocument/2006/relationships/hyperlink" Target="mailto:juanpablo.saavedra@pucobre.cl" TargetMode="External"/><Relationship Id="rId620" Type="http://schemas.openxmlformats.org/officeDocument/2006/relationships/hyperlink" Target="mailto:nelson.carvajal@lundinmining.com" TargetMode="External"/><Relationship Id="rId718" Type="http://schemas.openxmlformats.org/officeDocument/2006/relationships/hyperlink" Target="mailto:jose.rafful@vale.com" TargetMode="External"/><Relationship Id="rId925" Type="http://schemas.openxmlformats.org/officeDocument/2006/relationships/hyperlink" Target="mailto:stephan.matulic@bhp.com" TargetMode="External"/><Relationship Id="rId1110" Type="http://schemas.openxmlformats.org/officeDocument/2006/relationships/hyperlink" Target="mailto:sfernandez@mpcconsultora.com.ar" TargetMode="External"/><Relationship Id="rId54" Type="http://schemas.openxmlformats.org/officeDocument/2006/relationships/hyperlink" Target="mailto:fernando.letelier@angloamerican.com" TargetMode="External"/><Relationship Id="rId270" Type="http://schemas.openxmlformats.org/officeDocument/2006/relationships/hyperlink" Target="mailto:leticia.lopez@odfjellterminals.cl" TargetMode="External"/><Relationship Id="rId130" Type="http://schemas.openxmlformats.org/officeDocument/2006/relationships/hyperlink" Target="mailto:rquez001@codelco.cl" TargetMode="External"/><Relationship Id="rId368" Type="http://schemas.openxmlformats.org/officeDocument/2006/relationships/hyperlink" Target="mailto:gemita.gonzalez@sqm.com" TargetMode="External"/><Relationship Id="rId575" Type="http://schemas.openxmlformats.org/officeDocument/2006/relationships/hyperlink" Target="mailto:Andre.Bernardo1@vale.com" TargetMode="External"/><Relationship Id="rId782" Type="http://schemas.openxmlformats.org/officeDocument/2006/relationships/hyperlink" Target="mailto:asdiaza@cmp.cl" TargetMode="External"/><Relationship Id="rId228" Type="http://schemas.openxmlformats.org/officeDocument/2006/relationships/hyperlink" Target="mailto:jmunozd@caserones.cl" TargetMode="External"/><Relationship Id="rId435" Type="http://schemas.openxmlformats.org/officeDocument/2006/relationships/hyperlink" Target="mailto:mvillanueva@mineracentinela.cl" TargetMode="External"/><Relationship Id="rId642" Type="http://schemas.openxmlformats.org/officeDocument/2006/relationships/hyperlink" Target="mailto:javiera.a.garay@bhp.com" TargetMode="External"/><Relationship Id="rId1065" Type="http://schemas.openxmlformats.org/officeDocument/2006/relationships/hyperlink" Target="mailto:cnitsche@RONIT.CL" TargetMode="External"/><Relationship Id="rId502" Type="http://schemas.openxmlformats.org/officeDocument/2006/relationships/hyperlink" Target="mailto:cmjaque@collahuasi.cl" TargetMode="External"/><Relationship Id="rId947" Type="http://schemas.openxmlformats.org/officeDocument/2006/relationships/hyperlink" Target="mailto:c0637231@vale.com" TargetMode="External"/><Relationship Id="rId1132" Type="http://schemas.openxmlformats.org/officeDocument/2006/relationships/hyperlink" Target="mailto:stephan.matulic@bhp.com" TargetMode="External"/><Relationship Id="rId76" Type="http://schemas.openxmlformats.org/officeDocument/2006/relationships/hyperlink" Target="mailto:andresjensenvelasco@gmail.com" TargetMode="External"/><Relationship Id="rId807" Type="http://schemas.openxmlformats.org/officeDocument/2006/relationships/hyperlink" Target="mailto:Marcelo.Jeunon1@vale.com" TargetMode="External"/><Relationship Id="rId292" Type="http://schemas.openxmlformats.org/officeDocument/2006/relationships/hyperlink" Target="mailto:gabrielacp@ide-tech.com" TargetMode="External"/><Relationship Id="rId597" Type="http://schemas.openxmlformats.org/officeDocument/2006/relationships/hyperlink" Target="mailto:gunter.lipper@equinoxgold.com" TargetMode="External"/><Relationship Id="rId152" Type="http://schemas.openxmlformats.org/officeDocument/2006/relationships/hyperlink" Target="mailto:cmerlo@caserones.cl" TargetMode="External"/><Relationship Id="rId457" Type="http://schemas.openxmlformats.org/officeDocument/2006/relationships/hyperlink" Target="mailto:shorie@caserones.cl" TargetMode="External"/><Relationship Id="rId1087" Type="http://schemas.openxmlformats.org/officeDocument/2006/relationships/hyperlink" Target="mailto:lucas.phillipe.siqueira@vale.com" TargetMode="External"/><Relationship Id="rId664" Type="http://schemas.openxmlformats.org/officeDocument/2006/relationships/hyperlink" Target="mailto:aflores@knightpiesold.com" TargetMode="External"/><Relationship Id="rId871" Type="http://schemas.openxmlformats.org/officeDocument/2006/relationships/hyperlink" Target="mailto:macarena.gervilla@ryq.cl" TargetMode="External"/><Relationship Id="rId969" Type="http://schemas.openxmlformats.org/officeDocument/2006/relationships/hyperlink" Target="mailto:c0637231@vale.com" TargetMode="External"/><Relationship Id="rId317" Type="http://schemas.openxmlformats.org/officeDocument/2006/relationships/hyperlink" Target="mailto:marco.a.martin@lundinmining.com" TargetMode="External"/><Relationship Id="rId524" Type="http://schemas.openxmlformats.org/officeDocument/2006/relationships/hyperlink" Target="mailto:maria.a.montero1@bhp.com" TargetMode="External"/><Relationship Id="rId731" Type="http://schemas.openxmlformats.org/officeDocument/2006/relationships/hyperlink" Target="mailto:pochoa@cmp.cl" TargetMode="External"/><Relationship Id="rId1154" Type="http://schemas.openxmlformats.org/officeDocument/2006/relationships/hyperlink" Target="mailto:Felix.Lastra@sgscm.cl" TargetMode="External"/><Relationship Id="rId98" Type="http://schemas.openxmlformats.org/officeDocument/2006/relationships/hyperlink" Target="mailto:jose.rojas@ryq.cl" TargetMode="External"/><Relationship Id="rId829" Type="http://schemas.openxmlformats.org/officeDocument/2006/relationships/hyperlink" Target="mailto:Juan.Naranjo@lundingold.com" TargetMode="External"/><Relationship Id="rId1014" Type="http://schemas.openxmlformats.org/officeDocument/2006/relationships/hyperlink" Target="mailto:leonardo.gomes2@vale.com" TargetMode="External"/><Relationship Id="rId25" Type="http://schemas.openxmlformats.org/officeDocument/2006/relationships/hyperlink" Target="mailto:rquez001@codelco.cl" TargetMode="External"/><Relationship Id="rId174" Type="http://schemas.openxmlformats.org/officeDocument/2006/relationships/hyperlink" Target="mailto:JuanPN@ide-tech.com" TargetMode="External"/><Relationship Id="rId381" Type="http://schemas.openxmlformats.org/officeDocument/2006/relationships/hyperlink" Target="mailto:vsalinas@caserones.cl" TargetMode="External"/><Relationship Id="rId241" Type="http://schemas.openxmlformats.org/officeDocument/2006/relationships/hyperlink" Target="mailto:jmunozd@caserones.cl" TargetMode="External"/><Relationship Id="rId479" Type="http://schemas.openxmlformats.org/officeDocument/2006/relationships/hyperlink" Target="mailto:rorellana@caserones.cl" TargetMode="External"/><Relationship Id="rId686" Type="http://schemas.openxmlformats.org/officeDocument/2006/relationships/hyperlink" Target="mailto:anderson.gomes2@vale.com" TargetMode="External"/><Relationship Id="rId893" Type="http://schemas.openxmlformats.org/officeDocument/2006/relationships/hyperlink" Target="mailto:C0653631@vale.com" TargetMode="External"/><Relationship Id="rId339" Type="http://schemas.openxmlformats.org/officeDocument/2006/relationships/hyperlink" Target="mailto:cmerlo@caserones.cl" TargetMode="External"/><Relationship Id="rId546" Type="http://schemas.openxmlformats.org/officeDocument/2006/relationships/hyperlink" Target="mailto:efg@ipe.bo" TargetMode="External"/><Relationship Id="rId753" Type="http://schemas.openxmlformats.org/officeDocument/2006/relationships/hyperlink" Target="mailto:pochoa@cmp.cl" TargetMode="External"/><Relationship Id="rId1176" Type="http://schemas.openxmlformats.org/officeDocument/2006/relationships/hyperlink" Target="mailto:pablo.matus@imecpro.cl" TargetMode="External"/><Relationship Id="rId101" Type="http://schemas.openxmlformats.org/officeDocument/2006/relationships/hyperlink" Target="mailto:jose.rojas@ryq.cl" TargetMode="External"/><Relationship Id="rId406" Type="http://schemas.openxmlformats.org/officeDocument/2006/relationships/hyperlink" Target="mailto:gtamblayp@hotmail.com" TargetMode="External"/><Relationship Id="rId960" Type="http://schemas.openxmlformats.org/officeDocument/2006/relationships/hyperlink" Target="mailto:C0682142@vale.com" TargetMode="External"/><Relationship Id="rId1036" Type="http://schemas.openxmlformats.org/officeDocument/2006/relationships/hyperlink" Target="mailto:katherine.saldias@bhp.com" TargetMode="External"/><Relationship Id="rId613" Type="http://schemas.openxmlformats.org/officeDocument/2006/relationships/hyperlink" Target="mailto:e_cconstanzo@aguascap.cl" TargetMode="External"/><Relationship Id="rId820" Type="http://schemas.openxmlformats.org/officeDocument/2006/relationships/hyperlink" Target="mailto:falopezd@cmp.cl" TargetMode="External"/><Relationship Id="rId918" Type="http://schemas.openxmlformats.org/officeDocument/2006/relationships/hyperlink" Target="mailto:valeska.brandao@vale.com" TargetMode="External"/><Relationship Id="rId1103" Type="http://schemas.openxmlformats.org/officeDocument/2006/relationships/hyperlink" Target="mailto:e_mbaliellas@aguascap.cl" TargetMode="External"/><Relationship Id="rId47" Type="http://schemas.openxmlformats.org/officeDocument/2006/relationships/hyperlink" Target="mailto:fromero@caserones.cl" TargetMode="External"/><Relationship Id="rId196" Type="http://schemas.openxmlformats.org/officeDocument/2006/relationships/hyperlink" Target="mailto:rsejas@orvana.com" TargetMode="External"/><Relationship Id="rId263" Type="http://schemas.openxmlformats.org/officeDocument/2006/relationships/hyperlink" Target="mailto:jose.rojas@ryq.cl" TargetMode="External"/><Relationship Id="rId470" Type="http://schemas.openxmlformats.org/officeDocument/2006/relationships/hyperlink" Target="mailto:kmmenzel@collahuasi.cl" TargetMode="External"/><Relationship Id="rId123" Type="http://schemas.openxmlformats.org/officeDocument/2006/relationships/hyperlink" Target="mailto:rafael.rodriguez@sgscm.cl" TargetMode="External"/><Relationship Id="rId330" Type="http://schemas.openxmlformats.org/officeDocument/2006/relationships/hyperlink" Target="mailto:icarrera@upgm.cl" TargetMode="External"/><Relationship Id="rId568" Type="http://schemas.openxmlformats.org/officeDocument/2006/relationships/hyperlink" Target="mailto:Mauricio.Rebolledo@sqm.com" TargetMode="External"/><Relationship Id="rId775" Type="http://schemas.openxmlformats.org/officeDocument/2006/relationships/hyperlink" Target="mailto:pochoa@cmp.cl" TargetMode="External"/><Relationship Id="rId982" Type="http://schemas.openxmlformats.org/officeDocument/2006/relationships/hyperlink" Target="mailto:cnitsche@RONIT.CL" TargetMode="External"/><Relationship Id="rId428" Type="http://schemas.openxmlformats.org/officeDocument/2006/relationships/hyperlink" Target="mailto:cfarias@caserones.cl" TargetMode="External"/><Relationship Id="rId635" Type="http://schemas.openxmlformats.org/officeDocument/2006/relationships/hyperlink" Target="mailto:Alhucemapr@bv.com" TargetMode="External"/><Relationship Id="rId842" Type="http://schemas.openxmlformats.org/officeDocument/2006/relationships/hyperlink" Target="mailto:leonardo.parraguez@capstonecopper.com" TargetMode="External"/><Relationship Id="rId1058" Type="http://schemas.openxmlformats.org/officeDocument/2006/relationships/hyperlink" Target="mailto:Ignacio.Lagos@Worley.com" TargetMode="External"/><Relationship Id="rId702" Type="http://schemas.openxmlformats.org/officeDocument/2006/relationships/hyperlink" Target="mailto:mcarranza@ohla-peru.pe" TargetMode="External"/><Relationship Id="rId1125" Type="http://schemas.openxmlformats.org/officeDocument/2006/relationships/hyperlink" Target="mailto:stephan.matulic@bhp.com" TargetMode="External"/><Relationship Id="rId69" Type="http://schemas.openxmlformats.org/officeDocument/2006/relationships/hyperlink" Target="mailto:dbarrientos@bisa.com.pe" TargetMode="External"/><Relationship Id="rId285" Type="http://schemas.openxmlformats.org/officeDocument/2006/relationships/hyperlink" Target="mailto:jose.rojas@ryq.cl" TargetMode="External"/><Relationship Id="rId492" Type="http://schemas.openxmlformats.org/officeDocument/2006/relationships/hyperlink" Target="mailto:hugo.andrade@arcadis.cl" TargetMode="External"/><Relationship Id="rId797" Type="http://schemas.openxmlformats.org/officeDocument/2006/relationships/hyperlink" Target="mailto:PRocc001@ecometales.c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364A-F200-4B41-AB5F-5629CFF3C748}">
  <sheetPr codeName="Hoja2"/>
  <dimension ref="A2:C280"/>
  <sheetViews>
    <sheetView zoomScale="85" zoomScaleNormal="85" workbookViewId="0">
      <selection activeCell="B16" sqref="B16"/>
    </sheetView>
  </sheetViews>
  <sheetFormatPr defaultColWidth="11.42578125" defaultRowHeight="13.15"/>
  <cols>
    <col min="1" max="1" width="34.85546875" bestFit="1" customWidth="1"/>
    <col min="2" max="2" width="18.42578125" bestFit="1" customWidth="1"/>
    <col min="3" max="4" width="21.42578125" bestFit="1" customWidth="1"/>
    <col min="5" max="5" width="12.85546875" bestFit="1" customWidth="1"/>
    <col min="6" max="6" width="20" bestFit="1" customWidth="1"/>
    <col min="7" max="7" width="21.42578125" bestFit="1" customWidth="1"/>
    <col min="8" max="8" width="12.85546875" bestFit="1" customWidth="1"/>
    <col min="9" max="9" width="20" bestFit="1" customWidth="1"/>
    <col min="10" max="10" width="21.42578125" bestFit="1" customWidth="1"/>
    <col min="11" max="11" width="12.85546875" bestFit="1" customWidth="1"/>
    <col min="12" max="12" width="20" bestFit="1" customWidth="1"/>
    <col min="13" max="13" width="21.42578125" bestFit="1" customWidth="1"/>
    <col min="14" max="14" width="12.85546875" bestFit="1" customWidth="1"/>
    <col min="15" max="15" width="20" bestFit="1" customWidth="1"/>
    <col min="16" max="16" width="21.42578125" bestFit="1" customWidth="1"/>
    <col min="17" max="17" width="12.85546875" bestFit="1" customWidth="1"/>
    <col min="18" max="18" width="20" bestFit="1" customWidth="1"/>
    <col min="19" max="19" width="21.42578125" bestFit="1" customWidth="1"/>
    <col min="20" max="20" width="12.85546875" bestFit="1" customWidth="1"/>
    <col min="21" max="21" width="20" bestFit="1" customWidth="1"/>
    <col min="22" max="22" width="21.42578125" bestFit="1" customWidth="1"/>
    <col min="23" max="23" width="12.85546875" bestFit="1" customWidth="1"/>
    <col min="24" max="24" width="20" bestFit="1" customWidth="1"/>
    <col min="25" max="25" width="21.42578125" bestFit="1" customWidth="1"/>
    <col min="26" max="26" width="12.85546875" bestFit="1" customWidth="1"/>
    <col min="27" max="27" width="20" bestFit="1" customWidth="1"/>
    <col min="28" max="28" width="21.42578125" bestFit="1" customWidth="1"/>
    <col min="29" max="29" width="17.85546875" bestFit="1" customWidth="1"/>
    <col min="30" max="30" width="25" bestFit="1" customWidth="1"/>
    <col min="31" max="31" width="26.7109375" bestFit="1" customWidth="1"/>
  </cols>
  <sheetData>
    <row r="2" spans="1:3">
      <c r="A2" s="91" t="s">
        <v>0</v>
      </c>
      <c r="B2" t="s">
        <v>1</v>
      </c>
    </row>
    <row r="3" spans="1:3">
      <c r="A3" s="91" t="s">
        <v>2</v>
      </c>
      <c r="B3" t="s">
        <v>3</v>
      </c>
    </row>
    <row r="5" spans="1:3">
      <c r="A5" s="91" t="s">
        <v>4</v>
      </c>
      <c r="B5" t="s">
        <v>5</v>
      </c>
      <c r="C5" t="s">
        <v>6</v>
      </c>
    </row>
    <row r="6" spans="1:3">
      <c r="A6" s="92" t="s">
        <v>7</v>
      </c>
      <c r="B6">
        <v>1.5135000000000001</v>
      </c>
      <c r="C6">
        <v>41</v>
      </c>
    </row>
    <row r="7" spans="1:3">
      <c r="A7" s="93" t="s">
        <v>8</v>
      </c>
      <c r="B7">
        <v>0.84360000000000002</v>
      </c>
      <c r="C7">
        <v>22</v>
      </c>
    </row>
    <row r="8" spans="1:3">
      <c r="A8" s="93" t="s">
        <v>9</v>
      </c>
      <c r="B8">
        <v>0.66990000000000005</v>
      </c>
      <c r="C8">
        <v>19</v>
      </c>
    </row>
    <row r="9" spans="1:3">
      <c r="A9" s="92" t="s">
        <v>10</v>
      </c>
      <c r="B9">
        <v>76.226367999999994</v>
      </c>
      <c r="C9">
        <v>2582</v>
      </c>
    </row>
    <row r="10" spans="1:3">
      <c r="A10" s="93" t="s">
        <v>11</v>
      </c>
      <c r="B10">
        <v>42.493848</v>
      </c>
      <c r="C10">
        <v>1341</v>
      </c>
    </row>
    <row r="11" spans="1:3">
      <c r="A11" s="93" t="s">
        <v>12</v>
      </c>
      <c r="B11">
        <v>19.608597</v>
      </c>
      <c r="C11">
        <v>695</v>
      </c>
    </row>
    <row r="12" spans="1:3">
      <c r="A12" s="93" t="s">
        <v>13</v>
      </c>
      <c r="B12">
        <v>8.0856960000000004</v>
      </c>
      <c r="C12">
        <v>309</v>
      </c>
    </row>
    <row r="13" spans="1:3">
      <c r="A13" s="93" t="s">
        <v>14</v>
      </c>
      <c r="B13">
        <v>5.554227</v>
      </c>
      <c r="C13">
        <v>207</v>
      </c>
    </row>
    <row r="14" spans="1:3">
      <c r="A14" s="93" t="s">
        <v>9</v>
      </c>
      <c r="B14">
        <v>0.48399999999999999</v>
      </c>
      <c r="C14">
        <v>30</v>
      </c>
    </row>
    <row r="15" spans="1:3">
      <c r="A15" s="92" t="s">
        <v>15</v>
      </c>
      <c r="B15">
        <v>6.5875000000000004</v>
      </c>
      <c r="C15">
        <v>155</v>
      </c>
    </row>
    <row r="16" spans="1:3">
      <c r="A16" s="93" t="s">
        <v>16</v>
      </c>
      <c r="B16">
        <v>6.5875000000000004</v>
      </c>
      <c r="C16">
        <v>155</v>
      </c>
    </row>
    <row r="17" spans="1:3">
      <c r="A17" s="92" t="s">
        <v>17</v>
      </c>
      <c r="B17">
        <v>376.37849599999998</v>
      </c>
      <c r="C17">
        <v>9883</v>
      </c>
    </row>
    <row r="18" spans="1:3">
      <c r="A18" s="93" t="s">
        <v>13</v>
      </c>
      <c r="B18">
        <v>330.64769999999999</v>
      </c>
      <c r="C18">
        <v>8852</v>
      </c>
    </row>
    <row r="19" spans="1:3">
      <c r="A19" s="93" t="s">
        <v>18</v>
      </c>
      <c r="B19">
        <v>27.293700000000001</v>
      </c>
      <c r="C19">
        <v>538</v>
      </c>
    </row>
    <row r="20" spans="1:3">
      <c r="A20" s="93" t="s">
        <v>12</v>
      </c>
      <c r="B20">
        <v>17.519096000000001</v>
      </c>
      <c r="C20">
        <v>483</v>
      </c>
    </row>
    <row r="21" spans="1:3">
      <c r="A21" s="93" t="s">
        <v>19</v>
      </c>
      <c r="B21">
        <v>0.91800000000000004</v>
      </c>
      <c r="C21">
        <v>10</v>
      </c>
    </row>
    <row r="22" spans="1:3">
      <c r="A22" s="92" t="s">
        <v>20</v>
      </c>
      <c r="B22">
        <v>30.439277000000001</v>
      </c>
      <c r="C22">
        <v>735</v>
      </c>
    </row>
    <row r="23" spans="1:3">
      <c r="A23" s="93" t="s">
        <v>12</v>
      </c>
      <c r="B23">
        <v>26.797499999999999</v>
      </c>
      <c r="C23">
        <v>625</v>
      </c>
    </row>
    <row r="24" spans="1:3">
      <c r="A24" s="93" t="s">
        <v>21</v>
      </c>
      <c r="B24">
        <v>2.964</v>
      </c>
      <c r="C24">
        <v>80</v>
      </c>
    </row>
    <row r="25" spans="1:3">
      <c r="A25" s="93" t="s">
        <v>16</v>
      </c>
      <c r="B25">
        <v>0.67777699999999996</v>
      </c>
      <c r="C25">
        <v>30</v>
      </c>
    </row>
    <row r="26" spans="1:3">
      <c r="A26" s="92" t="s">
        <v>22</v>
      </c>
      <c r="B26">
        <v>3.43</v>
      </c>
      <c r="C26">
        <v>125</v>
      </c>
    </row>
    <row r="27" spans="1:3">
      <c r="A27" s="93" t="s">
        <v>13</v>
      </c>
      <c r="B27">
        <v>3.43</v>
      </c>
      <c r="C27">
        <v>125</v>
      </c>
    </row>
    <row r="28" spans="1:3">
      <c r="A28" s="92" t="s">
        <v>23</v>
      </c>
      <c r="B28">
        <v>577.51443767000001</v>
      </c>
      <c r="C28">
        <v>20510.099999999999</v>
      </c>
    </row>
    <row r="29" spans="1:3">
      <c r="A29" s="93" t="s">
        <v>24</v>
      </c>
      <c r="B29">
        <v>248.46465000000001</v>
      </c>
      <c r="C29">
        <v>10315.5</v>
      </c>
    </row>
    <row r="30" spans="1:3">
      <c r="A30" s="93" t="s">
        <v>25</v>
      </c>
      <c r="B30">
        <v>113.183764</v>
      </c>
      <c r="C30">
        <v>5362.6</v>
      </c>
    </row>
    <row r="31" spans="1:3">
      <c r="A31" s="93" t="s">
        <v>26</v>
      </c>
      <c r="B31">
        <v>91.570000000000007</v>
      </c>
      <c r="C31">
        <v>600</v>
      </c>
    </row>
    <row r="32" spans="1:3">
      <c r="A32" s="93" t="s">
        <v>13</v>
      </c>
      <c r="B32">
        <v>43.927019999999999</v>
      </c>
      <c r="C32">
        <v>1708</v>
      </c>
    </row>
    <row r="33" spans="1:3">
      <c r="A33" s="93" t="s">
        <v>8</v>
      </c>
      <c r="B33">
        <v>14.386799999999999</v>
      </c>
      <c r="C33">
        <v>389</v>
      </c>
    </row>
    <row r="34" spans="1:3">
      <c r="A34" s="93" t="s">
        <v>27</v>
      </c>
      <c r="B34">
        <v>13.5</v>
      </c>
      <c r="C34">
        <v>600</v>
      </c>
    </row>
    <row r="35" spans="1:3">
      <c r="A35" s="93" t="s">
        <v>19</v>
      </c>
      <c r="B35">
        <v>12.46494867</v>
      </c>
      <c r="C35">
        <v>292</v>
      </c>
    </row>
    <row r="36" spans="1:3">
      <c r="A36" s="93" t="s">
        <v>11</v>
      </c>
      <c r="B36">
        <v>11.04318</v>
      </c>
      <c r="C36">
        <v>410</v>
      </c>
    </row>
    <row r="37" spans="1:3">
      <c r="A37" s="93" t="s">
        <v>28</v>
      </c>
      <c r="B37">
        <v>10.902075</v>
      </c>
      <c r="C37">
        <v>197</v>
      </c>
    </row>
    <row r="38" spans="1:3">
      <c r="A38" s="93" t="s">
        <v>12</v>
      </c>
      <c r="B38">
        <v>10.175000000000001</v>
      </c>
      <c r="C38">
        <v>475</v>
      </c>
    </row>
    <row r="39" spans="1:3">
      <c r="A39" s="93" t="s">
        <v>29</v>
      </c>
      <c r="B39">
        <v>4.05</v>
      </c>
      <c r="C39">
        <v>50</v>
      </c>
    </row>
    <row r="40" spans="1:3">
      <c r="A40" s="93" t="s">
        <v>16</v>
      </c>
      <c r="B40">
        <v>2.0249999999999999</v>
      </c>
      <c r="C40">
        <v>36</v>
      </c>
    </row>
    <row r="41" spans="1:3">
      <c r="A41" s="93" t="s">
        <v>30</v>
      </c>
      <c r="B41">
        <v>1.8220000000000001</v>
      </c>
      <c r="C41">
        <v>75</v>
      </c>
    </row>
    <row r="42" spans="1:3">
      <c r="A42" s="93" t="s">
        <v>31</v>
      </c>
    </row>
    <row r="43" spans="1:3">
      <c r="A43" s="92" t="s">
        <v>32</v>
      </c>
      <c r="B43">
        <v>0.1</v>
      </c>
      <c r="C43">
        <v>15</v>
      </c>
    </row>
    <row r="44" spans="1:3">
      <c r="A44" s="93" t="s">
        <v>33</v>
      </c>
      <c r="B44">
        <v>0.1</v>
      </c>
      <c r="C44">
        <v>15</v>
      </c>
    </row>
    <row r="45" spans="1:3">
      <c r="A45" s="92" t="s">
        <v>34</v>
      </c>
      <c r="B45">
        <v>2.2749999999999999</v>
      </c>
      <c r="C45">
        <v>95</v>
      </c>
    </row>
    <row r="46" spans="1:3">
      <c r="A46" s="93" t="s">
        <v>19</v>
      </c>
      <c r="B46">
        <v>2.2749999999999999</v>
      </c>
      <c r="C46">
        <v>95</v>
      </c>
    </row>
    <row r="47" spans="1:3">
      <c r="A47" s="92" t="s">
        <v>35</v>
      </c>
      <c r="B47">
        <v>50.52</v>
      </c>
      <c r="C47">
        <v>690</v>
      </c>
    </row>
    <row r="48" spans="1:3">
      <c r="A48" s="93" t="s">
        <v>25</v>
      </c>
      <c r="B48">
        <v>50.52</v>
      </c>
      <c r="C48">
        <v>690</v>
      </c>
    </row>
    <row r="49" spans="1:3">
      <c r="A49" s="93" t="s">
        <v>13</v>
      </c>
    </row>
    <row r="50" spans="1:3">
      <c r="A50" s="92" t="s">
        <v>36</v>
      </c>
      <c r="B50">
        <v>1.2927599999999999</v>
      </c>
      <c r="C50">
        <v>21</v>
      </c>
    </row>
    <row r="51" spans="1:3">
      <c r="A51" s="93" t="s">
        <v>28</v>
      </c>
      <c r="B51">
        <v>1.2927599999999999</v>
      </c>
      <c r="C51">
        <v>21</v>
      </c>
    </row>
    <row r="52" spans="1:3">
      <c r="A52" s="93" t="s">
        <v>25</v>
      </c>
    </row>
    <row r="53" spans="1:3">
      <c r="A53" s="92" t="s">
        <v>37</v>
      </c>
      <c r="B53">
        <v>5.92</v>
      </c>
      <c r="C53">
        <v>200</v>
      </c>
    </row>
    <row r="54" spans="1:3">
      <c r="A54" s="93" t="s">
        <v>30</v>
      </c>
      <c r="B54">
        <v>4.92</v>
      </c>
      <c r="C54">
        <v>150</v>
      </c>
    </row>
    <row r="55" spans="1:3">
      <c r="A55" s="93" t="s">
        <v>11</v>
      </c>
      <c r="B55">
        <v>1</v>
      </c>
      <c r="C55">
        <v>50</v>
      </c>
    </row>
    <row r="56" spans="1:3">
      <c r="A56" s="92" t="s">
        <v>38</v>
      </c>
      <c r="B56">
        <v>353.13229268000003</v>
      </c>
      <c r="C56">
        <v>5511</v>
      </c>
    </row>
    <row r="57" spans="1:3">
      <c r="A57" s="93" t="s">
        <v>31</v>
      </c>
      <c r="B57">
        <v>214.724684</v>
      </c>
      <c r="C57">
        <v>3421</v>
      </c>
    </row>
    <row r="58" spans="1:3">
      <c r="A58" s="93" t="s">
        <v>13</v>
      </c>
      <c r="B58">
        <v>101.02813268000001</v>
      </c>
      <c r="C58">
        <v>1250</v>
      </c>
    </row>
    <row r="59" spans="1:3">
      <c r="A59" s="93" t="s">
        <v>19</v>
      </c>
      <c r="B59">
        <v>37.379475999999997</v>
      </c>
      <c r="C59">
        <v>840</v>
      </c>
    </row>
    <row r="60" spans="1:3">
      <c r="A60" s="92" t="s">
        <v>39</v>
      </c>
      <c r="B60">
        <v>214.71088099999997</v>
      </c>
      <c r="C60">
        <v>5867</v>
      </c>
    </row>
    <row r="61" spans="1:3">
      <c r="A61" s="93" t="s">
        <v>11</v>
      </c>
      <c r="B61">
        <v>152.63088099999999</v>
      </c>
      <c r="C61">
        <v>4156</v>
      </c>
    </row>
    <row r="62" spans="1:3">
      <c r="A62" s="93" t="s">
        <v>12</v>
      </c>
      <c r="B62">
        <v>36.454999999999998</v>
      </c>
      <c r="C62">
        <v>1036</v>
      </c>
    </row>
    <row r="63" spans="1:3">
      <c r="A63" s="93" t="s">
        <v>13</v>
      </c>
      <c r="B63">
        <v>25.625</v>
      </c>
      <c r="C63">
        <v>675</v>
      </c>
    </row>
    <row r="64" spans="1:3">
      <c r="A64" s="92" t="s">
        <v>40</v>
      </c>
      <c r="B64">
        <v>1087.852629</v>
      </c>
      <c r="C64">
        <v>27953</v>
      </c>
    </row>
    <row r="65" spans="1:3">
      <c r="A65" s="93" t="s">
        <v>11</v>
      </c>
      <c r="B65">
        <v>497.70350000000002</v>
      </c>
      <c r="C65">
        <v>13740</v>
      </c>
    </row>
    <row r="66" spans="1:3">
      <c r="A66" s="93" t="s">
        <v>12</v>
      </c>
      <c r="B66">
        <v>425.96344499999998</v>
      </c>
      <c r="C66">
        <v>11366</v>
      </c>
    </row>
    <row r="67" spans="1:3">
      <c r="A67" s="93" t="s">
        <v>29</v>
      </c>
      <c r="B67">
        <v>85.305999999999997</v>
      </c>
      <c r="C67">
        <v>2097</v>
      </c>
    </row>
    <row r="68" spans="1:3">
      <c r="A68" s="93" t="s">
        <v>19</v>
      </c>
      <c r="B68">
        <v>35.463684000000001</v>
      </c>
    </row>
    <row r="69" spans="1:3">
      <c r="A69" s="93" t="s">
        <v>13</v>
      </c>
      <c r="B69">
        <v>35.316000000000003</v>
      </c>
      <c r="C69">
        <v>630</v>
      </c>
    </row>
    <row r="70" spans="1:3">
      <c r="A70" s="93" t="s">
        <v>9</v>
      </c>
      <c r="B70">
        <v>8.1</v>
      </c>
      <c r="C70">
        <v>120</v>
      </c>
    </row>
    <row r="71" spans="1:3">
      <c r="A71" s="92" t="s">
        <v>41</v>
      </c>
      <c r="B71">
        <v>3969.4140379500004</v>
      </c>
      <c r="C71">
        <v>104216</v>
      </c>
    </row>
    <row r="72" spans="1:3">
      <c r="A72" s="93" t="s">
        <v>13</v>
      </c>
      <c r="B72">
        <v>2489.0060065399994</v>
      </c>
      <c r="C72">
        <v>76847</v>
      </c>
    </row>
    <row r="73" spans="1:3">
      <c r="A73" s="93" t="s">
        <v>26</v>
      </c>
      <c r="B73">
        <v>601.19649299999992</v>
      </c>
      <c r="C73">
        <v>1496</v>
      </c>
    </row>
    <row r="74" spans="1:3">
      <c r="A74" s="93" t="s">
        <v>31</v>
      </c>
      <c r="B74">
        <v>257.36478496000007</v>
      </c>
      <c r="C74">
        <v>7364</v>
      </c>
    </row>
    <row r="75" spans="1:3">
      <c r="A75" s="93" t="s">
        <v>12</v>
      </c>
      <c r="B75">
        <v>130.07195185</v>
      </c>
      <c r="C75">
        <v>4192</v>
      </c>
    </row>
    <row r="76" spans="1:3">
      <c r="A76" s="93" t="s">
        <v>33</v>
      </c>
      <c r="B76">
        <v>99.072000000000003</v>
      </c>
      <c r="C76">
        <v>2064</v>
      </c>
    </row>
    <row r="77" spans="1:3">
      <c r="A77" s="93" t="s">
        <v>30</v>
      </c>
      <c r="B77">
        <v>88.155799999999985</v>
      </c>
      <c r="C77">
        <v>2319</v>
      </c>
    </row>
    <row r="78" spans="1:3">
      <c r="A78" s="93" t="s">
        <v>42</v>
      </c>
      <c r="B78">
        <v>73.708249999999992</v>
      </c>
      <c r="C78">
        <v>2916</v>
      </c>
    </row>
    <row r="79" spans="1:3">
      <c r="A79" s="93" t="s">
        <v>11</v>
      </c>
      <c r="B79">
        <v>73.042400000000001</v>
      </c>
      <c r="C79">
        <v>2509</v>
      </c>
    </row>
    <row r="80" spans="1:3">
      <c r="A80" s="93" t="s">
        <v>43</v>
      </c>
      <c r="B80">
        <v>66.64</v>
      </c>
      <c r="C80">
        <v>1808</v>
      </c>
    </row>
    <row r="81" spans="1:3">
      <c r="A81" s="93" t="s">
        <v>44</v>
      </c>
      <c r="B81">
        <v>28.634399999999999</v>
      </c>
      <c r="C81">
        <v>940</v>
      </c>
    </row>
    <row r="82" spans="1:3">
      <c r="A82" s="93" t="s">
        <v>9</v>
      </c>
      <c r="B82">
        <v>23.423400000000001</v>
      </c>
      <c r="C82">
        <v>652</v>
      </c>
    </row>
    <row r="83" spans="1:3">
      <c r="A83" s="93" t="s">
        <v>16</v>
      </c>
      <c r="B83">
        <v>17.395</v>
      </c>
      <c r="C83">
        <v>418</v>
      </c>
    </row>
    <row r="84" spans="1:3">
      <c r="A84" s="93" t="s">
        <v>25</v>
      </c>
      <c r="B84">
        <v>11.380551599999999</v>
      </c>
      <c r="C84">
        <v>407</v>
      </c>
    </row>
    <row r="85" spans="1:3">
      <c r="A85" s="93" t="s">
        <v>45</v>
      </c>
      <c r="B85">
        <v>5.4720000000000004</v>
      </c>
      <c r="C85">
        <v>240</v>
      </c>
    </row>
    <row r="86" spans="1:3">
      <c r="A86" s="93" t="s">
        <v>19</v>
      </c>
      <c r="B86">
        <v>4.851</v>
      </c>
      <c r="C86">
        <v>44</v>
      </c>
    </row>
    <row r="87" spans="1:3">
      <c r="A87" s="93" t="s">
        <v>27</v>
      </c>
    </row>
    <row r="88" spans="1:3">
      <c r="A88" s="92" t="s">
        <v>46</v>
      </c>
      <c r="B88">
        <v>22.2</v>
      </c>
      <c r="C88">
        <v>860.4074074074075</v>
      </c>
    </row>
    <row r="89" spans="1:3">
      <c r="A89" s="93" t="s">
        <v>12</v>
      </c>
      <c r="B89">
        <v>22.2</v>
      </c>
      <c r="C89">
        <v>860.4074074074075</v>
      </c>
    </row>
    <row r="90" spans="1:3">
      <c r="A90" s="92" t="s">
        <v>47</v>
      </c>
      <c r="B90">
        <v>11.699</v>
      </c>
      <c r="C90">
        <v>275</v>
      </c>
    </row>
    <row r="91" spans="1:3">
      <c r="A91" s="93" t="s">
        <v>12</v>
      </c>
      <c r="B91">
        <v>6.5190000000000001</v>
      </c>
      <c r="C91">
        <v>125</v>
      </c>
    </row>
    <row r="92" spans="1:3">
      <c r="A92" s="93" t="s">
        <v>48</v>
      </c>
      <c r="B92">
        <v>5.18</v>
      </c>
      <c r="C92">
        <v>150</v>
      </c>
    </row>
    <row r="93" spans="1:3">
      <c r="A93" s="92" t="s">
        <v>49</v>
      </c>
      <c r="B93">
        <v>1.96</v>
      </c>
      <c r="C93">
        <v>40</v>
      </c>
    </row>
    <row r="94" spans="1:3">
      <c r="A94" s="93" t="s">
        <v>28</v>
      </c>
      <c r="B94">
        <v>1.96</v>
      </c>
      <c r="C94">
        <v>40</v>
      </c>
    </row>
    <row r="95" spans="1:3">
      <c r="A95" s="92" t="s">
        <v>50</v>
      </c>
      <c r="B95">
        <v>16.925000000000001</v>
      </c>
      <c r="C95">
        <v>396</v>
      </c>
    </row>
    <row r="96" spans="1:3">
      <c r="A96" s="93" t="s">
        <v>12</v>
      </c>
      <c r="B96">
        <v>16.925000000000001</v>
      </c>
      <c r="C96">
        <v>396</v>
      </c>
    </row>
    <row r="97" spans="1:3">
      <c r="A97" s="92" t="s">
        <v>51</v>
      </c>
      <c r="B97">
        <v>106.678174</v>
      </c>
      <c r="C97">
        <v>2535</v>
      </c>
    </row>
    <row r="98" spans="1:3">
      <c r="A98" s="93" t="s">
        <v>12</v>
      </c>
      <c r="B98">
        <v>76.813773999999995</v>
      </c>
      <c r="C98">
        <v>1872</v>
      </c>
    </row>
    <row r="99" spans="1:3">
      <c r="A99" s="93" t="s">
        <v>30</v>
      </c>
      <c r="B99">
        <v>29.8644</v>
      </c>
      <c r="C99">
        <v>663</v>
      </c>
    </row>
    <row r="100" spans="1:3">
      <c r="A100" s="92" t="s">
        <v>52</v>
      </c>
      <c r="B100">
        <v>144.37669600000001</v>
      </c>
      <c r="C100">
        <v>3534</v>
      </c>
    </row>
    <row r="101" spans="1:3">
      <c r="A101" s="93" t="s">
        <v>13</v>
      </c>
      <c r="B101">
        <v>121.70334</v>
      </c>
      <c r="C101">
        <v>3159</v>
      </c>
    </row>
    <row r="102" spans="1:3">
      <c r="A102" s="93" t="s">
        <v>31</v>
      </c>
      <c r="B102">
        <v>12.864255999999999</v>
      </c>
      <c r="C102">
        <v>305</v>
      </c>
    </row>
    <row r="103" spans="1:3">
      <c r="A103" s="93" t="s">
        <v>9</v>
      </c>
      <c r="B103">
        <v>9.8091000000000008</v>
      </c>
      <c r="C103">
        <v>70</v>
      </c>
    </row>
    <row r="104" spans="1:3">
      <c r="A104" s="92" t="s">
        <v>53</v>
      </c>
      <c r="B104">
        <v>56.167330999999997</v>
      </c>
      <c r="C104">
        <v>1847</v>
      </c>
    </row>
    <row r="105" spans="1:3">
      <c r="A105" s="93" t="s">
        <v>11</v>
      </c>
      <c r="B105">
        <v>25.388321999999999</v>
      </c>
      <c r="C105">
        <v>812</v>
      </c>
    </row>
    <row r="106" spans="1:3">
      <c r="A106" s="93" t="s">
        <v>13</v>
      </c>
      <c r="B106">
        <v>23.64593</v>
      </c>
      <c r="C106">
        <v>680</v>
      </c>
    </row>
    <row r="107" spans="1:3">
      <c r="A107" s="93" t="s">
        <v>45</v>
      </c>
      <c r="B107">
        <v>3.2632789999999998</v>
      </c>
      <c r="C107">
        <v>175</v>
      </c>
    </row>
    <row r="108" spans="1:3">
      <c r="A108" s="93" t="s">
        <v>9</v>
      </c>
      <c r="B108">
        <v>1.9838</v>
      </c>
      <c r="C108">
        <v>110</v>
      </c>
    </row>
    <row r="109" spans="1:3">
      <c r="A109" s="93" t="s">
        <v>19</v>
      </c>
      <c r="B109">
        <v>1.8859999999999999</v>
      </c>
      <c r="C109">
        <v>70</v>
      </c>
    </row>
    <row r="110" spans="1:3">
      <c r="A110" s="92" t="s">
        <v>54</v>
      </c>
      <c r="C110">
        <v>13</v>
      </c>
    </row>
    <row r="111" spans="1:3">
      <c r="A111" s="93" t="s">
        <v>30</v>
      </c>
      <c r="C111">
        <v>13</v>
      </c>
    </row>
    <row r="112" spans="1:3">
      <c r="A112" s="92" t="s">
        <v>55</v>
      </c>
      <c r="B112">
        <v>1537.7161194100001</v>
      </c>
      <c r="C112">
        <v>40208</v>
      </c>
    </row>
    <row r="113" spans="1:3">
      <c r="A113" s="93" t="s">
        <v>45</v>
      </c>
      <c r="B113">
        <v>1537.7161194100001</v>
      </c>
      <c r="C113">
        <v>40208</v>
      </c>
    </row>
    <row r="114" spans="1:3">
      <c r="A114" s="92" t="s">
        <v>56</v>
      </c>
      <c r="B114">
        <v>19.022400000000001</v>
      </c>
      <c r="C114">
        <v>524</v>
      </c>
    </row>
    <row r="115" spans="1:3">
      <c r="A115" s="93" t="s">
        <v>12</v>
      </c>
      <c r="B115">
        <v>19.022400000000001</v>
      </c>
      <c r="C115">
        <v>524</v>
      </c>
    </row>
    <row r="116" spans="1:3">
      <c r="A116" s="92" t="s">
        <v>57</v>
      </c>
      <c r="B116">
        <v>49.866388999999998</v>
      </c>
      <c r="C116">
        <v>1931</v>
      </c>
    </row>
    <row r="117" spans="1:3">
      <c r="A117" s="93" t="s">
        <v>13</v>
      </c>
      <c r="B117">
        <v>46.048127999999998</v>
      </c>
      <c r="C117">
        <v>1756</v>
      </c>
    </row>
    <row r="118" spans="1:3">
      <c r="A118" s="93" t="s">
        <v>19</v>
      </c>
      <c r="B118">
        <v>3.8182610000000001</v>
      </c>
      <c r="C118">
        <v>175</v>
      </c>
    </row>
    <row r="119" spans="1:3">
      <c r="A119" s="92" t="s">
        <v>58</v>
      </c>
      <c r="B119">
        <v>26.124748</v>
      </c>
      <c r="C119">
        <v>800</v>
      </c>
    </row>
    <row r="120" spans="1:3">
      <c r="A120" s="93" t="s">
        <v>31</v>
      </c>
      <c r="B120">
        <v>26.124748</v>
      </c>
      <c r="C120">
        <v>800</v>
      </c>
    </row>
    <row r="121" spans="1:3">
      <c r="A121" s="92" t="s">
        <v>59</v>
      </c>
      <c r="B121">
        <v>939.29232180000008</v>
      </c>
      <c r="C121">
        <v>25985</v>
      </c>
    </row>
    <row r="122" spans="1:3">
      <c r="A122" s="93" t="s">
        <v>13</v>
      </c>
      <c r="B122">
        <v>304.62822800000004</v>
      </c>
      <c r="C122">
        <v>9380</v>
      </c>
    </row>
    <row r="123" spans="1:3">
      <c r="A123" s="93" t="s">
        <v>31</v>
      </c>
      <c r="B123">
        <v>205.57840000000002</v>
      </c>
      <c r="C123">
        <v>4435</v>
      </c>
    </row>
    <row r="124" spans="1:3">
      <c r="A124" s="93" t="s">
        <v>45</v>
      </c>
      <c r="B124">
        <v>135.05464999999998</v>
      </c>
      <c r="C124">
        <v>3285</v>
      </c>
    </row>
    <row r="125" spans="1:3">
      <c r="A125" s="93" t="s">
        <v>27</v>
      </c>
      <c r="B125">
        <v>121.48771299999999</v>
      </c>
      <c r="C125">
        <v>3849</v>
      </c>
    </row>
    <row r="126" spans="1:3">
      <c r="A126" s="93" t="s">
        <v>30</v>
      </c>
      <c r="B126">
        <v>69.781488999999993</v>
      </c>
      <c r="C126">
        <v>1930</v>
      </c>
    </row>
    <row r="127" spans="1:3">
      <c r="A127" s="93" t="s">
        <v>11</v>
      </c>
      <c r="B127">
        <v>64.386386000000002</v>
      </c>
      <c r="C127">
        <v>2181</v>
      </c>
    </row>
    <row r="128" spans="1:3">
      <c r="A128" s="93" t="s">
        <v>12</v>
      </c>
      <c r="B128">
        <v>28.030455799999999</v>
      </c>
      <c r="C128">
        <v>746</v>
      </c>
    </row>
    <row r="129" spans="1:3">
      <c r="A129" s="93" t="s">
        <v>19</v>
      </c>
      <c r="B129">
        <v>10.345000000000001</v>
      </c>
      <c r="C129">
        <v>179</v>
      </c>
    </row>
    <row r="130" spans="1:3">
      <c r="A130" s="92" t="s">
        <v>60</v>
      </c>
      <c r="B130">
        <v>524.57039999999995</v>
      </c>
      <c r="C130">
        <v>12527</v>
      </c>
    </row>
    <row r="131" spans="1:3">
      <c r="A131" s="93" t="s">
        <v>13</v>
      </c>
      <c r="B131">
        <v>524.57039999999995</v>
      </c>
      <c r="C131">
        <v>12527</v>
      </c>
    </row>
    <row r="132" spans="1:3">
      <c r="A132" s="92" t="s">
        <v>61</v>
      </c>
    </row>
    <row r="133" spans="1:3">
      <c r="A133" s="93" t="s">
        <v>19</v>
      </c>
    </row>
    <row r="134" spans="1:3">
      <c r="A134" s="92" t="s">
        <v>62</v>
      </c>
      <c r="B134">
        <v>34.809600000000003</v>
      </c>
      <c r="C134">
        <v>735</v>
      </c>
    </row>
    <row r="135" spans="1:3">
      <c r="A135" s="93" t="s">
        <v>12</v>
      </c>
      <c r="B135">
        <v>34.809600000000003</v>
      </c>
      <c r="C135">
        <v>735</v>
      </c>
    </row>
    <row r="136" spans="1:3">
      <c r="A136" s="92" t="s">
        <v>63</v>
      </c>
      <c r="B136">
        <v>45.862414340000001</v>
      </c>
      <c r="C136">
        <v>1189</v>
      </c>
    </row>
    <row r="137" spans="1:3">
      <c r="A137" s="93" t="s">
        <v>12</v>
      </c>
      <c r="B137">
        <v>27.685314340000001</v>
      </c>
      <c r="C137">
        <v>820</v>
      </c>
    </row>
    <row r="138" spans="1:3">
      <c r="A138" s="93" t="s">
        <v>19</v>
      </c>
      <c r="B138">
        <v>17.5501</v>
      </c>
      <c r="C138">
        <v>350</v>
      </c>
    </row>
    <row r="139" spans="1:3">
      <c r="A139" s="93" t="s">
        <v>64</v>
      </c>
      <c r="B139">
        <v>0.627</v>
      </c>
      <c r="C139">
        <v>19</v>
      </c>
    </row>
    <row r="140" spans="1:3">
      <c r="A140" s="92" t="s">
        <v>65</v>
      </c>
      <c r="B140">
        <v>165.92923500000001</v>
      </c>
      <c r="C140">
        <v>5940</v>
      </c>
    </row>
    <row r="141" spans="1:3">
      <c r="A141" s="93" t="s">
        <v>13</v>
      </c>
      <c r="B141">
        <v>165.92923500000001</v>
      </c>
      <c r="C141">
        <v>5940</v>
      </c>
    </row>
    <row r="142" spans="1:3">
      <c r="A142" s="93" t="s">
        <v>26</v>
      </c>
    </row>
    <row r="143" spans="1:3">
      <c r="A143" s="92" t="s">
        <v>66</v>
      </c>
      <c r="B143">
        <v>1.9125000000000001</v>
      </c>
      <c r="C143">
        <v>85</v>
      </c>
    </row>
    <row r="144" spans="1:3">
      <c r="A144" s="93" t="s">
        <v>25</v>
      </c>
      <c r="B144">
        <v>1.9125000000000001</v>
      </c>
      <c r="C144">
        <v>85</v>
      </c>
    </row>
    <row r="145" spans="1:3">
      <c r="A145" s="92" t="s">
        <v>67</v>
      </c>
      <c r="B145">
        <v>505.46986200000003</v>
      </c>
      <c r="C145">
        <v>14272</v>
      </c>
    </row>
    <row r="146" spans="1:3">
      <c r="A146" s="93" t="s">
        <v>11</v>
      </c>
      <c r="B146">
        <v>414.37720200000001</v>
      </c>
      <c r="C146">
        <v>11926</v>
      </c>
    </row>
    <row r="147" spans="1:3">
      <c r="A147" s="93" t="s">
        <v>30</v>
      </c>
      <c r="B147">
        <v>91.092659999999995</v>
      </c>
      <c r="C147">
        <v>2346</v>
      </c>
    </row>
    <row r="148" spans="1:3">
      <c r="A148" s="92" t="s">
        <v>68</v>
      </c>
      <c r="B148">
        <v>53.829090000000008</v>
      </c>
      <c r="C148">
        <v>1424</v>
      </c>
    </row>
    <row r="149" spans="1:3">
      <c r="A149" s="93" t="s">
        <v>16</v>
      </c>
      <c r="B149">
        <v>37.179090000000002</v>
      </c>
      <c r="C149">
        <v>845</v>
      </c>
    </row>
    <row r="150" spans="1:3">
      <c r="A150" s="93" t="s">
        <v>12</v>
      </c>
      <c r="B150">
        <v>16.650000000000002</v>
      </c>
      <c r="C150">
        <v>579</v>
      </c>
    </row>
    <row r="151" spans="1:3">
      <c r="A151" s="92" t="s">
        <v>69</v>
      </c>
      <c r="B151">
        <v>25.223800000000001</v>
      </c>
      <c r="C151">
        <v>655</v>
      </c>
    </row>
    <row r="152" spans="1:3">
      <c r="A152" s="93" t="s">
        <v>13</v>
      </c>
      <c r="B152">
        <v>25.223800000000001</v>
      </c>
      <c r="C152">
        <v>655</v>
      </c>
    </row>
    <row r="153" spans="1:3">
      <c r="A153" s="92" t="s">
        <v>70</v>
      </c>
      <c r="B153">
        <v>0.5</v>
      </c>
      <c r="C153">
        <v>40</v>
      </c>
    </row>
    <row r="154" spans="1:3">
      <c r="A154" s="93" t="s">
        <v>13</v>
      </c>
      <c r="B154">
        <v>0.5</v>
      </c>
      <c r="C154">
        <v>40</v>
      </c>
    </row>
    <row r="155" spans="1:3">
      <c r="A155" s="92" t="s">
        <v>71</v>
      </c>
      <c r="B155">
        <v>33.947000000000003</v>
      </c>
      <c r="C155">
        <v>1189</v>
      </c>
    </row>
    <row r="156" spans="1:3">
      <c r="A156" s="93" t="s">
        <v>13</v>
      </c>
      <c r="B156">
        <v>33.947000000000003</v>
      </c>
      <c r="C156">
        <v>1189</v>
      </c>
    </row>
    <row r="157" spans="1:3">
      <c r="A157" s="92" t="s">
        <v>72</v>
      </c>
      <c r="B157">
        <v>3.4350000000000001</v>
      </c>
      <c r="C157">
        <v>100</v>
      </c>
    </row>
    <row r="158" spans="1:3">
      <c r="A158" s="93" t="s">
        <v>12</v>
      </c>
      <c r="B158">
        <v>3.4350000000000001</v>
      </c>
      <c r="C158">
        <v>100</v>
      </c>
    </row>
    <row r="159" spans="1:3">
      <c r="A159" s="92" t="s">
        <v>73</v>
      </c>
      <c r="B159">
        <v>2.2050000000000001</v>
      </c>
      <c r="C159">
        <v>30</v>
      </c>
    </row>
    <row r="160" spans="1:3">
      <c r="A160" s="93" t="s">
        <v>31</v>
      </c>
      <c r="B160">
        <v>2.2050000000000001</v>
      </c>
      <c r="C160">
        <v>30</v>
      </c>
    </row>
    <row r="161" spans="1:3">
      <c r="A161" s="92" t="s">
        <v>74</v>
      </c>
      <c r="B161">
        <v>253.53579999999999</v>
      </c>
      <c r="C161">
        <v>5759</v>
      </c>
    </row>
    <row r="162" spans="1:3">
      <c r="A162" s="93" t="s">
        <v>13</v>
      </c>
      <c r="B162">
        <v>203.7413</v>
      </c>
      <c r="C162">
        <v>4775</v>
      </c>
    </row>
    <row r="163" spans="1:3">
      <c r="A163" s="93" t="s">
        <v>16</v>
      </c>
      <c r="B163">
        <v>49.794499999999999</v>
      </c>
      <c r="C163">
        <v>984</v>
      </c>
    </row>
    <row r="164" spans="1:3">
      <c r="A164" s="92" t="s">
        <v>75</v>
      </c>
      <c r="B164">
        <v>2.66</v>
      </c>
      <c r="C164">
        <v>100</v>
      </c>
    </row>
    <row r="165" spans="1:3">
      <c r="A165" s="93" t="s">
        <v>13</v>
      </c>
      <c r="B165">
        <v>2.66</v>
      </c>
      <c r="C165">
        <v>100</v>
      </c>
    </row>
    <row r="166" spans="1:3">
      <c r="A166" s="92" t="s">
        <v>76</v>
      </c>
      <c r="B166">
        <v>0.51480000000000004</v>
      </c>
      <c r="C166">
        <v>99</v>
      </c>
    </row>
    <row r="167" spans="1:3">
      <c r="A167" s="93" t="s">
        <v>9</v>
      </c>
      <c r="B167">
        <v>0.51480000000000004</v>
      </c>
      <c r="C167">
        <v>99</v>
      </c>
    </row>
    <row r="168" spans="1:3">
      <c r="A168" s="92" t="s">
        <v>77</v>
      </c>
      <c r="B168">
        <v>54.475920000000002</v>
      </c>
      <c r="C168">
        <v>1780</v>
      </c>
    </row>
    <row r="169" spans="1:3">
      <c r="A169" s="93" t="s">
        <v>27</v>
      </c>
      <c r="B169">
        <v>54.475920000000002</v>
      </c>
      <c r="C169">
        <v>1780</v>
      </c>
    </row>
    <row r="170" spans="1:3">
      <c r="A170" s="92" t="s">
        <v>78</v>
      </c>
      <c r="B170">
        <v>4.4550000000000001</v>
      </c>
      <c r="C170">
        <v>85</v>
      </c>
    </row>
    <row r="171" spans="1:3">
      <c r="A171" s="93" t="s">
        <v>16</v>
      </c>
      <c r="B171">
        <v>4.4550000000000001</v>
      </c>
      <c r="C171">
        <v>85</v>
      </c>
    </row>
    <row r="172" spans="1:3">
      <c r="A172" s="92" t="s">
        <v>79</v>
      </c>
      <c r="B172">
        <v>172.25409000000002</v>
      </c>
      <c r="C172">
        <v>3875</v>
      </c>
    </row>
    <row r="173" spans="1:3">
      <c r="A173" s="93" t="s">
        <v>13</v>
      </c>
      <c r="B173">
        <v>137.16480000000001</v>
      </c>
      <c r="C173">
        <v>3121</v>
      </c>
    </row>
    <row r="174" spans="1:3">
      <c r="A174" s="93" t="s">
        <v>30</v>
      </c>
      <c r="B174">
        <v>35.089289999999998</v>
      </c>
      <c r="C174">
        <v>754</v>
      </c>
    </row>
    <row r="175" spans="1:3">
      <c r="A175" s="92" t="s">
        <v>80</v>
      </c>
      <c r="B175">
        <v>77.529600000000002</v>
      </c>
      <c r="C175">
        <v>2158</v>
      </c>
    </row>
    <row r="176" spans="1:3">
      <c r="A176" s="93" t="s">
        <v>14</v>
      </c>
      <c r="B176">
        <v>44.809800000000003</v>
      </c>
      <c r="C176">
        <v>1310</v>
      </c>
    </row>
    <row r="177" spans="1:3">
      <c r="A177" s="93" t="s">
        <v>12</v>
      </c>
      <c r="B177">
        <v>28.5318</v>
      </c>
      <c r="C177">
        <v>715</v>
      </c>
    </row>
    <row r="178" spans="1:3">
      <c r="A178" s="93" t="s">
        <v>19</v>
      </c>
      <c r="B178">
        <v>2.7829999999999999</v>
      </c>
      <c r="C178">
        <v>70</v>
      </c>
    </row>
    <row r="179" spans="1:3">
      <c r="A179" s="93" t="s">
        <v>11</v>
      </c>
      <c r="B179">
        <v>1.405</v>
      </c>
      <c r="C179">
        <v>63</v>
      </c>
    </row>
    <row r="180" spans="1:3">
      <c r="A180" s="92" t="s">
        <v>81</v>
      </c>
      <c r="B180">
        <v>327.87596499999995</v>
      </c>
      <c r="C180">
        <v>7412</v>
      </c>
    </row>
    <row r="181" spans="1:3">
      <c r="A181" s="93" t="s">
        <v>31</v>
      </c>
      <c r="B181">
        <v>169.46019999999999</v>
      </c>
      <c r="C181">
        <v>3188</v>
      </c>
    </row>
    <row r="182" spans="1:3">
      <c r="A182" s="93" t="s">
        <v>13</v>
      </c>
      <c r="B182">
        <v>89.573444999999992</v>
      </c>
      <c r="C182">
        <v>2599</v>
      </c>
    </row>
    <row r="183" spans="1:3">
      <c r="A183" s="93" t="s">
        <v>19</v>
      </c>
      <c r="B183">
        <v>48.76052</v>
      </c>
      <c r="C183">
        <v>1067</v>
      </c>
    </row>
    <row r="184" spans="1:3">
      <c r="A184" s="93" t="s">
        <v>30</v>
      </c>
      <c r="B184">
        <v>20.081800000000001</v>
      </c>
      <c r="C184">
        <v>558</v>
      </c>
    </row>
    <row r="185" spans="1:3">
      <c r="A185" s="92" t="s">
        <v>82</v>
      </c>
      <c r="B185">
        <v>1.7724169999999999</v>
      </c>
      <c r="C185">
        <v>42.5</v>
      </c>
    </row>
    <row r="186" spans="1:3">
      <c r="A186" s="93" t="s">
        <v>45</v>
      </c>
      <c r="B186">
        <v>1.7724169999999999</v>
      </c>
      <c r="C186">
        <v>42.5</v>
      </c>
    </row>
    <row r="187" spans="1:3">
      <c r="A187" s="92" t="s">
        <v>83</v>
      </c>
      <c r="B187">
        <v>2.3247</v>
      </c>
      <c r="C187">
        <v>40</v>
      </c>
    </row>
    <row r="188" spans="1:3">
      <c r="A188" s="93" t="s">
        <v>84</v>
      </c>
      <c r="B188">
        <v>2.3247</v>
      </c>
      <c r="C188">
        <v>40</v>
      </c>
    </row>
    <row r="189" spans="1:3">
      <c r="A189" s="92" t="s">
        <v>85</v>
      </c>
      <c r="B189">
        <v>5.6109999999999998</v>
      </c>
      <c r="C189">
        <v>143</v>
      </c>
    </row>
    <row r="190" spans="1:3">
      <c r="A190" s="93" t="s">
        <v>13</v>
      </c>
      <c r="B190">
        <v>5.6109999999999998</v>
      </c>
      <c r="C190">
        <v>143</v>
      </c>
    </row>
    <row r="191" spans="1:3">
      <c r="A191" s="92" t="s">
        <v>86</v>
      </c>
      <c r="B191">
        <v>20.7</v>
      </c>
      <c r="C191">
        <v>432</v>
      </c>
    </row>
    <row r="192" spans="1:3">
      <c r="A192" s="93" t="s">
        <v>16</v>
      </c>
      <c r="B192">
        <v>20.7</v>
      </c>
      <c r="C192">
        <v>432</v>
      </c>
    </row>
    <row r="193" spans="1:3">
      <c r="A193" s="92" t="s">
        <v>87</v>
      </c>
      <c r="B193">
        <v>11.5</v>
      </c>
      <c r="C193">
        <v>340</v>
      </c>
    </row>
    <row r="194" spans="1:3">
      <c r="A194" s="93" t="s">
        <v>14</v>
      </c>
      <c r="B194">
        <v>11.5</v>
      </c>
      <c r="C194">
        <v>340</v>
      </c>
    </row>
    <row r="195" spans="1:3">
      <c r="A195" s="92" t="s">
        <v>88</v>
      </c>
      <c r="B195">
        <v>75.744704999999996</v>
      </c>
      <c r="C195">
        <v>2123</v>
      </c>
    </row>
    <row r="196" spans="1:3">
      <c r="A196" s="93" t="s">
        <v>12</v>
      </c>
      <c r="B196">
        <v>42.605499999999999</v>
      </c>
      <c r="C196">
        <v>1048</v>
      </c>
    </row>
    <row r="197" spans="1:3">
      <c r="A197" s="93" t="s">
        <v>13</v>
      </c>
      <c r="B197">
        <v>33.139204999999997</v>
      </c>
      <c r="C197">
        <v>1075</v>
      </c>
    </row>
    <row r="198" spans="1:3">
      <c r="A198" s="92" t="s">
        <v>89</v>
      </c>
      <c r="B198">
        <v>298.25977999999998</v>
      </c>
      <c r="C198">
        <v>7203</v>
      </c>
    </row>
    <row r="199" spans="1:3">
      <c r="A199" s="93" t="s">
        <v>11</v>
      </c>
      <c r="B199">
        <v>120.95820000000001</v>
      </c>
      <c r="C199">
        <v>3304</v>
      </c>
    </row>
    <row r="200" spans="1:3">
      <c r="A200" s="93" t="s">
        <v>19</v>
      </c>
      <c r="B200">
        <v>82.697280000000006</v>
      </c>
      <c r="C200">
        <v>1645</v>
      </c>
    </row>
    <row r="201" spans="1:3">
      <c r="A201" s="93" t="s">
        <v>90</v>
      </c>
      <c r="B201">
        <v>57.658299999999997</v>
      </c>
      <c r="C201">
        <v>1349</v>
      </c>
    </row>
    <row r="202" spans="1:3">
      <c r="A202" s="93" t="s">
        <v>12</v>
      </c>
      <c r="B202">
        <v>36.945999999999998</v>
      </c>
      <c r="C202">
        <v>905</v>
      </c>
    </row>
    <row r="203" spans="1:3">
      <c r="A203" s="92" t="s">
        <v>91</v>
      </c>
      <c r="B203">
        <v>7.1820000000000004</v>
      </c>
      <c r="C203">
        <v>170</v>
      </c>
    </row>
    <row r="204" spans="1:3">
      <c r="A204" s="93" t="s">
        <v>30</v>
      </c>
      <c r="B204">
        <v>7.1820000000000004</v>
      </c>
      <c r="C204">
        <v>170</v>
      </c>
    </row>
    <row r="205" spans="1:3">
      <c r="A205" s="92" t="s">
        <v>92</v>
      </c>
      <c r="B205">
        <v>11.221624500000001</v>
      </c>
      <c r="C205">
        <v>518</v>
      </c>
    </row>
    <row r="206" spans="1:3">
      <c r="A206" s="93" t="s">
        <v>30</v>
      </c>
      <c r="B206">
        <v>7.8</v>
      </c>
      <c r="C206">
        <v>126</v>
      </c>
    </row>
    <row r="207" spans="1:3">
      <c r="A207" s="93" t="s">
        <v>31</v>
      </c>
      <c r="B207">
        <v>3.4216245000000001</v>
      </c>
      <c r="C207">
        <v>392</v>
      </c>
    </row>
    <row r="208" spans="1:3">
      <c r="A208" s="92" t="s">
        <v>93</v>
      </c>
      <c r="B208">
        <v>9.3249999999999993</v>
      </c>
      <c r="C208">
        <v>373</v>
      </c>
    </row>
    <row r="209" spans="1:3">
      <c r="A209" s="93" t="s">
        <v>25</v>
      </c>
      <c r="B209">
        <v>9.3249999999999993</v>
      </c>
      <c r="C209">
        <v>373</v>
      </c>
    </row>
    <row r="210" spans="1:3">
      <c r="A210" s="92" t="s">
        <v>94</v>
      </c>
      <c r="B210">
        <v>69.551999999999992</v>
      </c>
      <c r="C210">
        <v>1080</v>
      </c>
    </row>
    <row r="211" spans="1:3">
      <c r="A211" s="93" t="s">
        <v>19</v>
      </c>
      <c r="B211">
        <v>69.551999999999992</v>
      </c>
      <c r="C211">
        <v>1080</v>
      </c>
    </row>
    <row r="212" spans="1:3">
      <c r="A212" s="92" t="s">
        <v>95</v>
      </c>
      <c r="B212">
        <v>41.050798499999999</v>
      </c>
      <c r="C212">
        <v>916</v>
      </c>
    </row>
    <row r="213" spans="1:3">
      <c r="A213" s="93" t="s">
        <v>13</v>
      </c>
      <c r="B213">
        <v>41.050798499999999</v>
      </c>
      <c r="C213">
        <v>916</v>
      </c>
    </row>
    <row r="214" spans="1:3">
      <c r="A214" s="92" t="s">
        <v>96</v>
      </c>
      <c r="B214">
        <v>81.297258999999997</v>
      </c>
      <c r="C214">
        <v>2217</v>
      </c>
    </row>
    <row r="215" spans="1:3">
      <c r="A215" s="93" t="s">
        <v>12</v>
      </c>
      <c r="B215">
        <v>38.374875000000003</v>
      </c>
      <c r="C215">
        <v>1022</v>
      </c>
    </row>
    <row r="216" spans="1:3">
      <c r="A216" s="93" t="s">
        <v>13</v>
      </c>
      <c r="B216">
        <v>30.61645</v>
      </c>
      <c r="C216">
        <v>875</v>
      </c>
    </row>
    <row r="217" spans="1:3">
      <c r="A217" s="93" t="s">
        <v>14</v>
      </c>
      <c r="B217">
        <v>12.305934000000001</v>
      </c>
      <c r="C217">
        <v>320</v>
      </c>
    </row>
    <row r="218" spans="1:3">
      <c r="A218" s="93" t="s">
        <v>11</v>
      </c>
    </row>
    <row r="219" spans="1:3">
      <c r="A219" s="92" t="s">
        <v>97</v>
      </c>
      <c r="B219">
        <v>56.017299999999999</v>
      </c>
      <c r="C219">
        <v>1369</v>
      </c>
    </row>
    <row r="220" spans="1:3">
      <c r="A220" s="93" t="s">
        <v>13</v>
      </c>
      <c r="B220">
        <v>53.5212</v>
      </c>
      <c r="C220">
        <v>1319</v>
      </c>
    </row>
    <row r="221" spans="1:3">
      <c r="A221" s="93" t="s">
        <v>45</v>
      </c>
      <c r="B221">
        <v>2.4961000000000002</v>
      </c>
      <c r="C221">
        <v>50</v>
      </c>
    </row>
    <row r="222" spans="1:3">
      <c r="A222" s="92" t="s">
        <v>98</v>
      </c>
      <c r="B222">
        <v>99.190754999999996</v>
      </c>
      <c r="C222">
        <v>3998</v>
      </c>
    </row>
    <row r="223" spans="1:3">
      <c r="A223" s="93" t="s">
        <v>13</v>
      </c>
      <c r="B223">
        <v>99.190754999999996</v>
      </c>
      <c r="C223">
        <v>3998</v>
      </c>
    </row>
    <row r="224" spans="1:3">
      <c r="A224" s="92" t="s">
        <v>99</v>
      </c>
      <c r="B224">
        <v>20.912500000000001</v>
      </c>
      <c r="C224">
        <v>526.18124999999998</v>
      </c>
    </row>
    <row r="225" spans="1:3">
      <c r="A225" s="93" t="s">
        <v>12</v>
      </c>
      <c r="B225">
        <v>16.75</v>
      </c>
      <c r="C225">
        <v>427.18124999999998</v>
      </c>
    </row>
    <row r="226" spans="1:3">
      <c r="A226" s="93" t="s">
        <v>30</v>
      </c>
      <c r="B226">
        <v>2.2725</v>
      </c>
      <c r="C226">
        <v>55</v>
      </c>
    </row>
    <row r="227" spans="1:3">
      <c r="A227" s="93" t="s">
        <v>9</v>
      </c>
      <c r="B227">
        <v>1.89</v>
      </c>
      <c r="C227">
        <v>44</v>
      </c>
    </row>
    <row r="228" spans="1:3">
      <c r="A228" s="92" t="s">
        <v>100</v>
      </c>
      <c r="B228">
        <v>606.42486900000006</v>
      </c>
      <c r="C228">
        <v>18669</v>
      </c>
    </row>
    <row r="229" spans="1:3">
      <c r="A229" s="93" t="s">
        <v>13</v>
      </c>
      <c r="B229">
        <v>346.57838000000004</v>
      </c>
      <c r="C229">
        <v>10934</v>
      </c>
    </row>
    <row r="230" spans="1:3">
      <c r="A230" s="93" t="s">
        <v>11</v>
      </c>
      <c r="B230">
        <v>204.461489</v>
      </c>
      <c r="C230">
        <v>5505</v>
      </c>
    </row>
    <row r="231" spans="1:3">
      <c r="A231" s="93" t="s">
        <v>45</v>
      </c>
      <c r="B231">
        <v>35.4</v>
      </c>
      <c r="C231">
        <v>1640</v>
      </c>
    </row>
    <row r="232" spans="1:3">
      <c r="A232" s="93" t="s">
        <v>27</v>
      </c>
      <c r="B232">
        <v>19.984999999999999</v>
      </c>
      <c r="C232">
        <v>590</v>
      </c>
    </row>
    <row r="233" spans="1:3">
      <c r="A233" s="93" t="s">
        <v>42</v>
      </c>
    </row>
    <row r="234" spans="1:3">
      <c r="A234" s="92" t="s">
        <v>101</v>
      </c>
      <c r="B234">
        <v>112.91061189999998</v>
      </c>
      <c r="C234">
        <v>4499</v>
      </c>
    </row>
    <row r="235" spans="1:3">
      <c r="A235" s="93" t="s">
        <v>13</v>
      </c>
      <c r="B235">
        <v>52.680499999999995</v>
      </c>
      <c r="C235">
        <v>2084</v>
      </c>
    </row>
    <row r="236" spans="1:3">
      <c r="A236" s="93" t="s">
        <v>12</v>
      </c>
      <c r="B236">
        <v>38.852579999999996</v>
      </c>
      <c r="C236">
        <v>1566</v>
      </c>
    </row>
    <row r="237" spans="1:3">
      <c r="A237" s="93" t="s">
        <v>30</v>
      </c>
      <c r="B237">
        <v>9.8216463999999988</v>
      </c>
      <c r="C237">
        <v>394</v>
      </c>
    </row>
    <row r="238" spans="1:3">
      <c r="A238" s="93" t="s">
        <v>19</v>
      </c>
      <c r="B238">
        <v>7.9165685000000003</v>
      </c>
      <c r="C238">
        <v>310</v>
      </c>
    </row>
    <row r="239" spans="1:3">
      <c r="A239" s="93" t="s">
        <v>102</v>
      </c>
      <c r="B239">
        <v>3.6393170000000001</v>
      </c>
      <c r="C239">
        <v>145</v>
      </c>
    </row>
    <row r="240" spans="1:3">
      <c r="A240" s="93" t="s">
        <v>26</v>
      </c>
    </row>
    <row r="241" spans="1:3">
      <c r="A241" s="92" t="s">
        <v>103</v>
      </c>
      <c r="B241">
        <v>10.990435000000002</v>
      </c>
      <c r="C241">
        <v>451</v>
      </c>
    </row>
    <row r="242" spans="1:3">
      <c r="A242" s="93" t="s">
        <v>31</v>
      </c>
      <c r="B242">
        <v>9.2659350000000007</v>
      </c>
      <c r="C242">
        <v>369</v>
      </c>
    </row>
    <row r="243" spans="1:3">
      <c r="A243" s="93" t="s">
        <v>11</v>
      </c>
      <c r="B243">
        <v>1.4319999999999999</v>
      </c>
      <c r="C243">
        <v>67</v>
      </c>
    </row>
    <row r="244" spans="1:3">
      <c r="A244" s="93" t="s">
        <v>13</v>
      </c>
      <c r="B244">
        <v>0.29249999999999998</v>
      </c>
      <c r="C244">
        <v>15</v>
      </c>
    </row>
    <row r="245" spans="1:3">
      <c r="A245" s="92" t="s">
        <v>104</v>
      </c>
      <c r="B245">
        <v>16.932760000000002</v>
      </c>
      <c r="C245">
        <v>482</v>
      </c>
    </row>
    <row r="246" spans="1:3">
      <c r="A246" s="93" t="s">
        <v>30</v>
      </c>
      <c r="B246">
        <v>13.673260000000001</v>
      </c>
      <c r="C246">
        <v>396</v>
      </c>
    </row>
    <row r="247" spans="1:3">
      <c r="A247" s="93" t="s">
        <v>12</v>
      </c>
      <c r="B247">
        <v>3.2595000000000001</v>
      </c>
      <c r="C247">
        <v>86</v>
      </c>
    </row>
    <row r="248" spans="1:3">
      <c r="A248" s="92" t="s">
        <v>105</v>
      </c>
      <c r="B248">
        <v>42.542363999999999</v>
      </c>
      <c r="C248">
        <v>791</v>
      </c>
    </row>
    <row r="249" spans="1:3">
      <c r="A249" s="93" t="s">
        <v>48</v>
      </c>
      <c r="B249">
        <v>42.542363999999999</v>
      </c>
      <c r="C249">
        <v>791</v>
      </c>
    </row>
    <row r="250" spans="1:3">
      <c r="A250" s="92" t="s">
        <v>106</v>
      </c>
      <c r="B250">
        <v>979.88118674999998</v>
      </c>
      <c r="C250">
        <v>35595</v>
      </c>
    </row>
    <row r="251" spans="1:3">
      <c r="A251" s="93" t="s">
        <v>13</v>
      </c>
      <c r="B251">
        <v>765.10148675000005</v>
      </c>
      <c r="C251">
        <v>27748</v>
      </c>
    </row>
    <row r="252" spans="1:3">
      <c r="A252" s="93" t="s">
        <v>11</v>
      </c>
      <c r="B252">
        <v>114.05999999999999</v>
      </c>
      <c r="C252">
        <v>4981</v>
      </c>
    </row>
    <row r="253" spans="1:3">
      <c r="A253" s="93" t="s">
        <v>45</v>
      </c>
      <c r="B253">
        <v>79.181700000000006</v>
      </c>
      <c r="C253">
        <v>2309</v>
      </c>
    </row>
    <row r="254" spans="1:3">
      <c r="A254" s="93" t="s">
        <v>12</v>
      </c>
      <c r="B254">
        <v>20.29515</v>
      </c>
      <c r="C254">
        <v>537</v>
      </c>
    </row>
    <row r="255" spans="1:3">
      <c r="A255" s="93" t="s">
        <v>9</v>
      </c>
      <c r="B255">
        <v>1.24285</v>
      </c>
      <c r="C255">
        <v>20</v>
      </c>
    </row>
    <row r="256" spans="1:3">
      <c r="A256" s="92" t="s">
        <v>107</v>
      </c>
      <c r="B256">
        <v>3.3075000000000001</v>
      </c>
      <c r="C256">
        <v>2951</v>
      </c>
    </row>
    <row r="257" spans="1:3">
      <c r="A257" s="93" t="s">
        <v>13</v>
      </c>
      <c r="B257">
        <v>3.3075000000000001</v>
      </c>
      <c r="C257">
        <v>2951</v>
      </c>
    </row>
    <row r="258" spans="1:3">
      <c r="A258" s="92" t="s">
        <v>108</v>
      </c>
      <c r="B258">
        <v>69.476399999999998</v>
      </c>
      <c r="C258">
        <v>1076</v>
      </c>
    </row>
    <row r="259" spans="1:3">
      <c r="A259" s="93" t="s">
        <v>31</v>
      </c>
      <c r="B259">
        <v>66.581999999999994</v>
      </c>
      <c r="C259">
        <v>1040</v>
      </c>
    </row>
    <row r="260" spans="1:3">
      <c r="A260" s="93" t="s">
        <v>9</v>
      </c>
      <c r="B260">
        <v>2.8944000000000001</v>
      </c>
      <c r="C260">
        <v>36</v>
      </c>
    </row>
    <row r="261" spans="1:3">
      <c r="A261" s="92" t="s">
        <v>109</v>
      </c>
      <c r="B261">
        <v>72.586799999999997</v>
      </c>
      <c r="C261">
        <v>3093</v>
      </c>
    </row>
    <row r="262" spans="1:3">
      <c r="A262" s="93" t="s">
        <v>12</v>
      </c>
      <c r="B262">
        <v>49.47</v>
      </c>
      <c r="C262">
        <v>2095</v>
      </c>
    </row>
    <row r="263" spans="1:3">
      <c r="A263" s="93" t="s">
        <v>11</v>
      </c>
      <c r="B263">
        <v>23.116800000000001</v>
      </c>
      <c r="C263">
        <v>998</v>
      </c>
    </row>
    <row r="264" spans="1:3">
      <c r="A264" s="92" t="s">
        <v>110</v>
      </c>
      <c r="B264">
        <v>0.05</v>
      </c>
      <c r="C264">
        <v>2</v>
      </c>
    </row>
    <row r="265" spans="1:3">
      <c r="A265" s="93" t="s">
        <v>30</v>
      </c>
      <c r="B265">
        <v>0.05</v>
      </c>
      <c r="C265">
        <v>2</v>
      </c>
    </row>
    <row r="266" spans="1:3">
      <c r="A266" s="92" t="s">
        <v>111</v>
      </c>
      <c r="B266">
        <v>0</v>
      </c>
      <c r="C266">
        <v>50</v>
      </c>
    </row>
    <row r="267" spans="1:3">
      <c r="A267" s="93" t="s">
        <v>90</v>
      </c>
      <c r="B267">
        <v>0</v>
      </c>
      <c r="C267">
        <v>50</v>
      </c>
    </row>
    <row r="268" spans="1:3">
      <c r="A268" s="92" t="s">
        <v>112</v>
      </c>
      <c r="B268">
        <v>927.05547349999995</v>
      </c>
      <c r="C268">
        <v>20193</v>
      </c>
    </row>
    <row r="269" spans="1:3">
      <c r="A269" s="93" t="s">
        <v>113</v>
      </c>
      <c r="B269">
        <v>780.59015999999997</v>
      </c>
      <c r="C269">
        <v>18026</v>
      </c>
    </row>
    <row r="270" spans="1:3">
      <c r="A270" s="93" t="s">
        <v>30</v>
      </c>
      <c r="B270">
        <v>146.46531350000001</v>
      </c>
      <c r="C270">
        <v>2167</v>
      </c>
    </row>
    <row r="271" spans="1:3">
      <c r="A271" s="92" t="s">
        <v>114</v>
      </c>
      <c r="B271">
        <v>48.707459</v>
      </c>
      <c r="C271">
        <v>2585</v>
      </c>
    </row>
    <row r="272" spans="1:3">
      <c r="A272" s="93" t="s">
        <v>45</v>
      </c>
      <c r="B272">
        <v>48.707459</v>
      </c>
      <c r="C272">
        <v>2585</v>
      </c>
    </row>
    <row r="273" spans="1:3">
      <c r="A273" s="92" t="s">
        <v>115</v>
      </c>
      <c r="B273">
        <v>67.673200000000008</v>
      </c>
      <c r="C273">
        <v>1410</v>
      </c>
    </row>
    <row r="274" spans="1:3">
      <c r="A274" s="93" t="s">
        <v>11</v>
      </c>
      <c r="B274">
        <v>64.747200000000007</v>
      </c>
      <c r="C274">
        <v>1330</v>
      </c>
    </row>
    <row r="275" spans="1:3">
      <c r="A275" s="93" t="s">
        <v>12</v>
      </c>
      <c r="B275">
        <v>2.9260000000000002</v>
      </c>
      <c r="C275">
        <v>80</v>
      </c>
    </row>
    <row r="276" spans="1:3">
      <c r="A276" s="92" t="s">
        <v>116</v>
      </c>
      <c r="B276">
        <v>35.64</v>
      </c>
      <c r="C276">
        <v>1350</v>
      </c>
    </row>
    <row r="277" spans="1:3">
      <c r="A277" s="93" t="s">
        <v>12</v>
      </c>
      <c r="B277">
        <v>35.64</v>
      </c>
      <c r="C277">
        <v>1350</v>
      </c>
    </row>
    <row r="278" spans="1:3">
      <c r="A278" s="92" t="s">
        <v>19</v>
      </c>
      <c r="B278">
        <v>0.39983999999999997</v>
      </c>
      <c r="C278">
        <v>12</v>
      </c>
    </row>
    <row r="279" spans="1:3">
      <c r="A279" s="93" t="s">
        <v>25</v>
      </c>
      <c r="B279">
        <v>0.39983999999999997</v>
      </c>
      <c r="C279">
        <v>12</v>
      </c>
    </row>
    <row r="280" spans="1:3">
      <c r="A280" s="92" t="s">
        <v>117</v>
      </c>
      <c r="B280">
        <v>15786.571172999998</v>
      </c>
      <c r="C280">
        <v>431701.18865740742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dimension ref="A1:BP3162"/>
  <sheetViews>
    <sheetView showGridLines="0" showZeros="0" tabSelected="1" zoomScaleNormal="100" zoomScaleSheetLayoutView="90" zoomScalePageLayoutView="80" workbookViewId="0">
      <pane xSplit="3" ySplit="22" topLeftCell="G38" activePane="bottomRight" state="frozen"/>
      <selection pane="bottomRight" activeCell="V46" sqref="V46"/>
      <selection pane="bottomLeft"/>
      <selection pane="topRight"/>
    </sheetView>
  </sheetViews>
  <sheetFormatPr defaultColWidth="9.140625" defaultRowHeight="14.25" customHeight="1" outlineLevelRow="1" outlineLevelCol="1"/>
  <cols>
    <col min="1" max="1" width="10.5703125" style="2" hidden="1" customWidth="1" outlineLevel="1"/>
    <col min="2" max="2" width="10.5703125" style="271" hidden="1" customWidth="1" outlineLevel="1"/>
    <col min="3" max="3" width="11.140625" style="184" customWidth="1" collapsed="1"/>
    <col min="4" max="4" width="16.140625" style="187" customWidth="1"/>
    <col min="5" max="5" width="13.85546875" style="188" customWidth="1"/>
    <col min="6" max="6" width="14.28515625" style="45" hidden="1" customWidth="1" outlineLevel="1"/>
    <col min="7" max="7" width="15.85546875" style="45" customWidth="1" collapsed="1"/>
    <col min="8" max="8" width="19.140625" style="45" hidden="1" customWidth="1" outlineLevel="1"/>
    <col min="9" max="9" width="65.85546875" style="2" customWidth="1" collapsed="1"/>
    <col min="10" max="10" width="65.85546875" style="2" hidden="1" customWidth="1"/>
    <col min="11" max="12" width="12.7109375" style="45" hidden="1" customWidth="1" outlineLevel="1"/>
    <col min="13" max="14" width="12.7109375" style="46" hidden="1" customWidth="1" outlineLevel="1"/>
    <col min="15" max="15" width="12.7109375" style="184" customWidth="1" collapsed="1"/>
    <col min="16" max="16" width="17.5703125" style="184" customWidth="1"/>
    <col min="17" max="17" width="11.42578125" style="184" bestFit="1" customWidth="1"/>
    <col min="18" max="18" width="11.42578125" style="184" customWidth="1"/>
    <col min="19" max="19" width="13" style="154" hidden="1" customWidth="1" outlineLevel="1"/>
    <col min="20" max="20" width="13" style="184" customWidth="1" collapsed="1"/>
    <col min="21" max="21" width="10.85546875" style="190" customWidth="1"/>
    <col min="22" max="22" width="10.85546875" style="184" customWidth="1"/>
    <col min="23" max="24" width="10" style="191" customWidth="1"/>
    <col min="25" max="25" width="11.42578125" style="184" bestFit="1" customWidth="1"/>
    <col min="26" max="27" width="14.140625" style="184" hidden="1" customWidth="1" outlineLevel="1"/>
    <col min="28" max="28" width="11.42578125" style="50" bestFit="1" customWidth="1" collapsed="1"/>
    <col min="29" max="29" width="14.85546875" style="372" bestFit="1" customWidth="1"/>
    <col min="30" max="30" width="11.42578125" style="326" bestFit="1" customWidth="1"/>
    <col min="31" max="31" width="9.140625" style="49" hidden="1" customWidth="1" outlineLevel="1"/>
    <col min="32" max="32" width="12.85546875" style="51" hidden="1" customWidth="1" outlineLevel="1"/>
    <col min="33" max="33" width="9.140625" style="2" customWidth="1" collapsed="1"/>
    <col min="34" max="45" width="9.140625" style="2" customWidth="1"/>
    <col min="46" max="48" width="9.140625" style="138" customWidth="1"/>
    <col min="49" max="50" width="9.140625" style="12" customWidth="1"/>
    <col min="51" max="65" width="9.140625" style="2" customWidth="1"/>
    <col min="66" max="16384" width="9.140625" style="2"/>
  </cols>
  <sheetData>
    <row r="1" spans="1:68" s="52" customFormat="1" ht="12.75" hidden="1" outlineLevel="1">
      <c r="A1" s="8"/>
      <c r="B1" s="8"/>
      <c r="C1" s="397" t="s">
        <v>118</v>
      </c>
      <c r="D1" s="397"/>
      <c r="E1" s="397"/>
      <c r="F1" s="397"/>
      <c r="G1" s="397"/>
      <c r="H1" s="397"/>
      <c r="I1" s="397"/>
      <c r="J1" s="12"/>
      <c r="K1" s="188"/>
      <c r="L1" s="188"/>
      <c r="M1" s="12"/>
      <c r="N1" s="12"/>
      <c r="O1" s="47" t="s">
        <v>119</v>
      </c>
      <c r="P1" s="3"/>
      <c r="Q1" s="3"/>
      <c r="R1" s="3"/>
      <c r="S1" s="194"/>
      <c r="T1" s="68"/>
      <c r="U1" s="190"/>
      <c r="V1" s="188"/>
      <c r="W1" s="191"/>
      <c r="X1" s="192"/>
      <c r="Y1" s="184"/>
      <c r="Z1" s="188"/>
      <c r="AA1" s="188"/>
      <c r="AB1" s="50"/>
      <c r="AC1" s="191"/>
      <c r="AD1" s="326"/>
      <c r="AE1" s="184"/>
      <c r="AF1" s="182"/>
      <c r="AG1" s="2"/>
      <c r="AH1" s="2"/>
      <c r="AI1" s="2"/>
      <c r="AJ1" s="2"/>
      <c r="AK1" s="2"/>
      <c r="AL1" s="2"/>
      <c r="AM1" s="2"/>
      <c r="AN1" s="2"/>
      <c r="AO1" s="2"/>
      <c r="AP1" s="2"/>
      <c r="AQ1" s="2"/>
      <c r="AR1" s="2"/>
      <c r="AS1" s="2"/>
      <c r="AT1" s="138"/>
      <c r="AU1" s="138"/>
      <c r="AV1" s="138"/>
      <c r="AW1" s="12"/>
      <c r="AX1" s="12"/>
      <c r="AY1" s="2"/>
      <c r="AZ1" s="2"/>
      <c r="BA1" s="2"/>
      <c r="BB1" s="2"/>
      <c r="BC1" s="2"/>
      <c r="BD1" s="2"/>
      <c r="BE1" s="2"/>
      <c r="BF1" s="2"/>
      <c r="BG1" s="2"/>
      <c r="BH1" s="2"/>
      <c r="BI1" s="2"/>
      <c r="BJ1" s="2"/>
      <c r="BK1" s="2"/>
      <c r="BL1" s="2"/>
      <c r="BM1" s="2"/>
      <c r="BN1" s="2"/>
      <c r="BO1" s="2"/>
      <c r="BP1" s="2"/>
    </row>
    <row r="2" spans="1:68" s="52" customFormat="1" ht="12.75" hidden="1" outlineLevel="1">
      <c r="A2" s="8"/>
      <c r="B2" s="8"/>
      <c r="C2" s="396">
        <f ca="1">NOW()</f>
        <v>46090.713445023146</v>
      </c>
      <c r="D2" s="396"/>
      <c r="E2" s="396"/>
      <c r="F2" s="396"/>
      <c r="G2" s="396"/>
      <c r="H2" s="396"/>
      <c r="I2" s="396"/>
      <c r="J2" s="1"/>
      <c r="K2" s="2"/>
      <c r="L2" s="2"/>
      <c r="M2" s="2"/>
      <c r="N2" s="2"/>
      <c r="O2" s="3" t="s">
        <v>120</v>
      </c>
      <c r="P2" s="3" t="s">
        <v>121</v>
      </c>
      <c r="Q2" s="3"/>
      <c r="R2" s="3"/>
      <c r="S2" s="195"/>
      <c r="T2" s="68"/>
      <c r="U2" s="190"/>
      <c r="V2" s="196"/>
      <c r="W2" s="191"/>
      <c r="X2" s="192"/>
      <c r="Y2" s="184"/>
      <c r="Z2" s="196"/>
      <c r="AA2" s="196"/>
      <c r="AB2" s="50"/>
      <c r="AC2" s="191"/>
      <c r="AD2" s="326"/>
      <c r="AE2" s="184"/>
      <c r="AF2" s="182"/>
      <c r="AG2" s="2"/>
      <c r="AH2" s="2"/>
      <c r="AI2" s="2"/>
      <c r="AJ2" s="2"/>
      <c r="AK2" s="2"/>
      <c r="AL2" s="2"/>
      <c r="AM2" s="2"/>
      <c r="AN2" s="2"/>
      <c r="AO2" s="2"/>
      <c r="AP2" s="2"/>
      <c r="AQ2" s="2"/>
      <c r="AR2" s="2"/>
      <c r="AS2" s="2"/>
      <c r="AT2" s="138"/>
      <c r="AU2" s="138"/>
      <c r="AV2" s="138"/>
      <c r="AW2" s="12"/>
      <c r="AX2" s="12"/>
      <c r="AY2" s="2"/>
      <c r="AZ2" s="2"/>
      <c r="BA2" s="2"/>
      <c r="BB2" s="2"/>
      <c r="BC2" s="2"/>
      <c r="BD2" s="2"/>
      <c r="BE2" s="2"/>
      <c r="BF2" s="2"/>
      <c r="BG2" s="2"/>
      <c r="BH2" s="2"/>
      <c r="BI2" s="2"/>
      <c r="BJ2" s="2"/>
      <c r="BK2" s="2"/>
      <c r="BL2" s="2"/>
      <c r="BM2" s="2"/>
      <c r="BN2" s="2"/>
      <c r="BO2" s="2"/>
      <c r="BP2" s="2"/>
    </row>
    <row r="3" spans="1:68" s="52" customFormat="1" ht="12.75" hidden="1" outlineLevel="1">
      <c r="A3" s="8"/>
      <c r="B3" s="8"/>
      <c r="C3" s="1"/>
      <c r="D3" s="197"/>
      <c r="E3" s="1" t="s">
        <v>122</v>
      </c>
      <c r="F3" s="1"/>
      <c r="G3" s="1"/>
      <c r="H3" s="1"/>
      <c r="I3" s="262"/>
      <c r="J3" s="262"/>
      <c r="K3" s="2"/>
      <c r="L3" s="2"/>
      <c r="M3" s="2"/>
      <c r="N3" s="2"/>
      <c r="O3" s="3" t="s">
        <v>123</v>
      </c>
      <c r="P3" s="3" t="s">
        <v>124</v>
      </c>
      <c r="Q3" s="3"/>
      <c r="R3" s="3"/>
      <c r="S3" s="195"/>
      <c r="T3" s="68"/>
      <c r="U3" s="190"/>
      <c r="V3" s="196"/>
      <c r="W3" s="191"/>
      <c r="X3" s="192"/>
      <c r="Y3" s="184"/>
      <c r="Z3" s="196"/>
      <c r="AA3" s="196"/>
      <c r="AB3" s="50"/>
      <c r="AC3" s="191"/>
      <c r="AD3" s="326"/>
      <c r="AE3" s="184"/>
      <c r="AF3" s="182"/>
      <c r="AG3" s="2"/>
      <c r="AH3" s="2"/>
      <c r="AI3" s="2"/>
      <c r="AJ3" s="2"/>
      <c r="AK3" s="2"/>
      <c r="AL3" s="2"/>
      <c r="AM3" s="2"/>
      <c r="AN3" s="2"/>
      <c r="AO3" s="2"/>
      <c r="AP3" s="2"/>
      <c r="AQ3" s="2"/>
      <c r="AR3" s="2"/>
      <c r="AS3" s="2"/>
      <c r="AT3" s="138"/>
      <c r="AU3" s="138"/>
      <c r="AV3" s="138"/>
      <c r="AW3" s="12"/>
      <c r="AX3" s="12"/>
      <c r="AY3" s="2"/>
      <c r="AZ3" s="2"/>
      <c r="BA3" s="2"/>
      <c r="BB3" s="2"/>
      <c r="BC3" s="2"/>
      <c r="BD3" s="2"/>
      <c r="BE3" s="2"/>
      <c r="BF3" s="2"/>
      <c r="BG3" s="2"/>
      <c r="BH3" s="2"/>
      <c r="BI3" s="2"/>
      <c r="BJ3" s="2"/>
      <c r="BK3" s="2"/>
      <c r="BL3" s="2"/>
      <c r="BM3" s="2"/>
      <c r="BN3" s="2"/>
      <c r="BO3" s="2"/>
      <c r="BP3" s="2"/>
    </row>
    <row r="4" spans="1:68" s="52" customFormat="1" ht="13.5" hidden="1" outlineLevel="1">
      <c r="A4" s="8"/>
      <c r="B4" s="8"/>
      <c r="C4" s="2"/>
      <c r="D4" s="197"/>
      <c r="E4" s="12"/>
      <c r="F4" s="12"/>
      <c r="G4" s="12"/>
      <c r="H4" s="12"/>
      <c r="I4" s="138"/>
      <c r="J4" s="138"/>
      <c r="K4" s="2"/>
      <c r="L4" s="2"/>
      <c r="M4" s="2"/>
      <c r="N4" s="2"/>
      <c r="O4" s="2" t="s">
        <v>125</v>
      </c>
      <c r="P4" s="2" t="s">
        <v>126</v>
      </c>
      <c r="Q4" s="2"/>
      <c r="R4" s="2"/>
      <c r="S4" s="195"/>
      <c r="T4" s="68" t="s">
        <v>127</v>
      </c>
      <c r="U4" s="190"/>
      <c r="V4" s="386">
        <f ca="1">+TODAY()</f>
        <v>46090</v>
      </c>
      <c r="W4" s="199"/>
      <c r="X4" s="192"/>
      <c r="Y4" s="184"/>
      <c r="Z4" s="198"/>
      <c r="AA4" s="198"/>
      <c r="AB4" s="50"/>
      <c r="AC4" s="191"/>
      <c r="AD4" s="326"/>
      <c r="AE4" s="184"/>
      <c r="AF4" s="182"/>
      <c r="AG4" s="2"/>
      <c r="AH4" s="2"/>
      <c r="AI4" s="2"/>
      <c r="AJ4" s="2"/>
      <c r="AK4" s="2"/>
      <c r="AL4" s="2"/>
      <c r="AM4" s="2"/>
      <c r="AN4" s="2"/>
      <c r="AO4" s="2"/>
      <c r="AP4" s="2"/>
      <c r="AQ4" s="2"/>
      <c r="AR4" s="2"/>
      <c r="AS4" s="2"/>
      <c r="AT4" s="138"/>
      <c r="AU4" s="138"/>
      <c r="AV4" s="138"/>
      <c r="AW4" s="12"/>
      <c r="AX4" s="12"/>
      <c r="AY4" s="2"/>
      <c r="AZ4" s="2"/>
      <c r="BA4" s="2"/>
      <c r="BB4" s="2"/>
      <c r="BC4" s="2"/>
      <c r="BD4" s="2"/>
      <c r="BE4" s="2"/>
      <c r="BF4" s="2"/>
      <c r="BG4" s="2"/>
      <c r="BH4" s="2"/>
      <c r="BI4" s="2"/>
      <c r="BJ4" s="2"/>
      <c r="BK4" s="2"/>
      <c r="BL4" s="2"/>
      <c r="BM4" s="2"/>
      <c r="BN4" s="2"/>
      <c r="BO4" s="2"/>
      <c r="BP4" s="2"/>
    </row>
    <row r="5" spans="1:68" s="48" customFormat="1" ht="13.5" hidden="1" outlineLevel="1">
      <c r="A5" s="273"/>
      <c r="B5" s="273"/>
      <c r="C5" s="54" t="s">
        <v>128</v>
      </c>
      <c r="D5" s="200"/>
      <c r="E5" s="139"/>
      <c r="F5" s="139"/>
      <c r="G5" s="139"/>
      <c r="H5" s="139"/>
      <c r="I5" s="138"/>
      <c r="J5" s="138"/>
      <c r="K5" s="3"/>
      <c r="L5" s="3"/>
      <c r="M5" s="3"/>
      <c r="N5" s="3"/>
      <c r="O5" s="3" t="s">
        <v>129</v>
      </c>
      <c r="P5" s="3" t="s">
        <v>130</v>
      </c>
      <c r="Q5" s="3"/>
      <c r="R5" s="3"/>
      <c r="S5" s="195"/>
      <c r="T5" s="68" t="s">
        <v>131</v>
      </c>
      <c r="U5" s="190"/>
      <c r="V5" s="386">
        <v>40543</v>
      </c>
      <c r="W5" s="199"/>
      <c r="X5" s="192"/>
      <c r="Y5" s="184"/>
      <c r="Z5" s="198"/>
      <c r="AA5" s="198"/>
      <c r="AB5" s="50"/>
      <c r="AC5" s="191"/>
      <c r="AD5" s="326"/>
      <c r="AE5" s="184"/>
      <c r="AF5" s="201"/>
      <c r="AG5" s="3"/>
      <c r="AH5" s="3"/>
      <c r="AI5" s="3"/>
      <c r="AJ5" s="3"/>
      <c r="AK5" s="3"/>
      <c r="AL5" s="3"/>
      <c r="AM5" s="3"/>
      <c r="AN5" s="3"/>
      <c r="AO5" s="3"/>
      <c r="AP5" s="3"/>
      <c r="AQ5" s="3"/>
      <c r="AR5" s="3"/>
      <c r="AS5" s="3"/>
      <c r="AT5" s="139"/>
      <c r="AU5" s="139"/>
      <c r="AV5" s="139"/>
      <c r="AW5" s="12"/>
      <c r="AX5" s="12"/>
      <c r="AY5" s="3"/>
      <c r="AZ5" s="3"/>
      <c r="BA5" s="3"/>
      <c r="BB5" s="3"/>
      <c r="BC5" s="3"/>
      <c r="BD5" s="3"/>
      <c r="BE5" s="3"/>
      <c r="BF5" s="3"/>
      <c r="BG5" s="3"/>
      <c r="BH5" s="3"/>
      <c r="BI5" s="3"/>
      <c r="BJ5" s="3"/>
      <c r="BK5" s="3"/>
      <c r="BL5" s="3"/>
      <c r="BM5" s="3"/>
      <c r="BN5" s="3"/>
      <c r="BO5" s="3"/>
      <c r="BP5" s="3"/>
    </row>
    <row r="6" spans="1:68" s="48" customFormat="1" ht="13.5" hidden="1" outlineLevel="1">
      <c r="A6" s="273"/>
      <c r="B6" s="273"/>
      <c r="C6" s="3" t="s">
        <v>132</v>
      </c>
      <c r="D6" s="185" t="s">
        <v>133</v>
      </c>
      <c r="E6" s="3"/>
      <c r="F6" s="3"/>
      <c r="G6" s="3"/>
      <c r="H6" s="3"/>
      <c r="I6" s="2"/>
      <c r="J6" s="2"/>
      <c r="K6" s="3"/>
      <c r="L6" s="3"/>
      <c r="M6" s="3"/>
      <c r="N6" s="3"/>
      <c r="O6" s="3" t="s">
        <v>134</v>
      </c>
      <c r="P6" s="3" t="s">
        <v>135</v>
      </c>
      <c r="Q6" s="3"/>
      <c r="R6" s="3"/>
      <c r="S6" s="195"/>
      <c r="T6" s="68" t="s">
        <v>136</v>
      </c>
      <c r="U6" s="190"/>
      <c r="V6" s="387">
        <f ca="1">-V4+V5</f>
        <v>-5547</v>
      </c>
      <c r="W6" s="203"/>
      <c r="X6" s="192"/>
      <c r="Y6" s="184"/>
      <c r="Z6" s="202"/>
      <c r="AA6" s="202"/>
      <c r="AB6" s="50"/>
      <c r="AC6" s="191"/>
      <c r="AD6" s="326"/>
      <c r="AE6" s="184"/>
      <c r="AF6" s="201"/>
      <c r="AG6" s="3"/>
      <c r="AH6" s="3"/>
      <c r="AI6" s="3"/>
      <c r="AJ6" s="3"/>
      <c r="AK6" s="3"/>
      <c r="AL6" s="3"/>
      <c r="AM6" s="3"/>
      <c r="AN6" s="3"/>
      <c r="AO6" s="3"/>
      <c r="AP6" s="3"/>
      <c r="AQ6" s="3"/>
      <c r="AR6" s="3"/>
      <c r="AS6" s="3"/>
      <c r="AT6" s="139"/>
      <c r="AU6" s="139"/>
      <c r="AV6" s="139"/>
      <c r="AW6" s="12"/>
      <c r="AX6" s="12"/>
      <c r="AY6" s="3"/>
      <c r="AZ6" s="3"/>
      <c r="BA6" s="3"/>
      <c r="BB6" s="3"/>
      <c r="BC6" s="3"/>
      <c r="BD6" s="3"/>
      <c r="BE6" s="3"/>
      <c r="BF6" s="3"/>
      <c r="BG6" s="3"/>
      <c r="BH6" s="3"/>
      <c r="BI6" s="3"/>
      <c r="BJ6" s="3"/>
      <c r="BK6" s="3"/>
      <c r="BL6" s="3"/>
      <c r="BM6" s="3"/>
      <c r="BN6" s="3"/>
      <c r="BO6" s="3"/>
      <c r="BP6" s="3"/>
    </row>
    <row r="7" spans="1:68" s="48" customFormat="1" ht="12.75" hidden="1" outlineLevel="1">
      <c r="A7" s="273"/>
      <c r="B7" s="273"/>
      <c r="C7" s="3" t="s">
        <v>137</v>
      </c>
      <c r="D7" s="185" t="s">
        <v>138</v>
      </c>
      <c r="E7" s="3"/>
      <c r="F7" s="3"/>
      <c r="G7" s="3"/>
      <c r="H7" s="3"/>
      <c r="I7" s="2"/>
      <c r="J7" s="2"/>
      <c r="K7" s="3"/>
      <c r="L7" s="3"/>
      <c r="M7" s="3"/>
      <c r="N7" s="3"/>
      <c r="O7" s="47" t="s">
        <v>139</v>
      </c>
      <c r="P7" s="3"/>
      <c r="Q7" s="3"/>
      <c r="R7" s="3"/>
      <c r="S7" s="195"/>
      <c r="T7" s="68"/>
      <c r="U7" s="190"/>
      <c r="V7" s="200"/>
      <c r="W7" s="204"/>
      <c r="X7" s="192"/>
      <c r="Y7" s="184"/>
      <c r="Z7" s="139"/>
      <c r="AA7" s="139"/>
      <c r="AB7" s="50"/>
      <c r="AC7" s="191"/>
      <c r="AD7" s="326"/>
      <c r="AE7" s="184"/>
      <c r="AF7" s="201"/>
      <c r="AG7" s="3"/>
      <c r="AH7" s="3"/>
      <c r="AI7" s="3"/>
      <c r="AJ7" s="3"/>
      <c r="AK7" s="3"/>
      <c r="AL7" s="3"/>
      <c r="AM7" s="3"/>
      <c r="AN7" s="3"/>
      <c r="AO7" s="3"/>
      <c r="AP7" s="3"/>
      <c r="AQ7" s="3"/>
      <c r="AR7" s="3"/>
      <c r="AS7" s="3"/>
      <c r="AT7" s="139"/>
      <c r="AU7" s="139"/>
      <c r="AV7" s="139"/>
      <c r="AW7" s="12"/>
      <c r="AX7" s="12"/>
      <c r="AY7" s="3"/>
      <c r="AZ7" s="3"/>
      <c r="BA7" s="3"/>
      <c r="BB7" s="3"/>
      <c r="BC7" s="3"/>
      <c r="BD7" s="3"/>
      <c r="BE7" s="3"/>
      <c r="BF7" s="3"/>
      <c r="BG7" s="3"/>
      <c r="BH7" s="3"/>
      <c r="BI7" s="3"/>
      <c r="BJ7" s="3"/>
      <c r="BK7" s="3"/>
      <c r="BL7" s="3"/>
      <c r="BM7" s="3"/>
      <c r="BN7" s="3"/>
      <c r="BO7" s="3"/>
      <c r="BP7" s="3"/>
    </row>
    <row r="8" spans="1:68" s="48" customFormat="1" ht="12.75" hidden="1" outlineLevel="1">
      <c r="A8" s="273"/>
      <c r="B8" s="273"/>
      <c r="C8" s="3" t="s">
        <v>28</v>
      </c>
      <c r="D8" s="185" t="s">
        <v>140</v>
      </c>
      <c r="E8" s="3"/>
      <c r="F8" s="3"/>
      <c r="G8" s="3"/>
      <c r="H8" s="3"/>
      <c r="I8" s="2"/>
      <c r="J8" s="2"/>
      <c r="K8" s="3"/>
      <c r="L8" s="3"/>
      <c r="M8" s="3"/>
      <c r="N8" s="3"/>
      <c r="O8" s="3" t="s">
        <v>141</v>
      </c>
      <c r="P8" s="3" t="s">
        <v>142</v>
      </c>
      <c r="Q8" s="3"/>
      <c r="R8" s="3"/>
      <c r="S8" s="195"/>
      <c r="T8" s="68"/>
      <c r="U8" s="190"/>
      <c r="V8" s="3"/>
      <c r="W8" s="191"/>
      <c r="X8" s="192"/>
      <c r="Y8" s="184"/>
      <c r="Z8" s="3"/>
      <c r="AA8" s="3"/>
      <c r="AB8" s="50"/>
      <c r="AC8" s="191"/>
      <c r="AD8" s="326"/>
      <c r="AE8" s="184"/>
      <c r="AF8" s="201"/>
      <c r="AG8" s="3"/>
      <c r="AH8" s="3"/>
      <c r="AI8" s="3"/>
      <c r="AJ8" s="3"/>
      <c r="AK8" s="3"/>
      <c r="AL8" s="3"/>
      <c r="AM8" s="3"/>
      <c r="AN8" s="3"/>
      <c r="AO8" s="3"/>
      <c r="AP8" s="3"/>
      <c r="AQ8" s="3"/>
      <c r="AR8" s="3"/>
      <c r="AS8" s="3"/>
      <c r="AT8" s="139"/>
      <c r="AU8" s="139"/>
      <c r="AV8" s="139"/>
      <c r="AW8" s="12"/>
      <c r="AX8" s="12"/>
      <c r="AY8" s="3"/>
      <c r="AZ8" s="3"/>
      <c r="BA8" s="3"/>
      <c r="BB8" s="3"/>
      <c r="BC8" s="3"/>
      <c r="BD8" s="3"/>
      <c r="BE8" s="3"/>
      <c r="BF8" s="3"/>
      <c r="BG8" s="3"/>
      <c r="BH8" s="3"/>
      <c r="BI8" s="3"/>
      <c r="BJ8" s="3"/>
      <c r="BK8" s="3"/>
      <c r="BL8" s="3"/>
      <c r="BM8" s="3"/>
      <c r="BN8" s="3"/>
      <c r="BO8" s="3"/>
      <c r="BP8" s="3"/>
    </row>
    <row r="9" spans="1:68" s="48" customFormat="1" ht="12.75" hidden="1" outlineLevel="1">
      <c r="A9" s="273"/>
      <c r="B9" s="273"/>
      <c r="C9" s="3" t="s">
        <v>143</v>
      </c>
      <c r="D9" s="185" t="s">
        <v>144</v>
      </c>
      <c r="E9" s="3"/>
      <c r="F9" s="3"/>
      <c r="G9" s="3"/>
      <c r="H9" s="3"/>
      <c r="I9" s="2"/>
      <c r="J9" s="2"/>
      <c r="K9" s="3"/>
      <c r="L9" s="3"/>
      <c r="M9" s="3"/>
      <c r="N9" s="3"/>
      <c r="O9" s="3" t="s">
        <v>113</v>
      </c>
      <c r="P9" s="3" t="s">
        <v>145</v>
      </c>
      <c r="Q9" s="3"/>
      <c r="R9" s="3"/>
      <c r="S9" s="195"/>
      <c r="T9" s="68"/>
      <c r="U9" s="190"/>
      <c r="V9" s="3"/>
      <c r="W9" s="191"/>
      <c r="X9" s="192"/>
      <c r="Y9" s="184"/>
      <c r="Z9" s="3"/>
      <c r="AA9" s="3"/>
      <c r="AB9" s="50"/>
      <c r="AC9" s="191"/>
      <c r="AD9" s="326"/>
      <c r="AE9" s="184"/>
      <c r="AF9" s="201"/>
      <c r="AG9" s="3"/>
      <c r="AH9" s="3"/>
      <c r="AI9" s="3"/>
      <c r="AJ9" s="3"/>
      <c r="AK9" s="3"/>
      <c r="AL9" s="3"/>
      <c r="AM9" s="3"/>
      <c r="AN9" s="3"/>
      <c r="AO9" s="3"/>
      <c r="AP9" s="3"/>
      <c r="AQ9" s="3"/>
      <c r="AR9" s="3"/>
      <c r="AS9" s="3"/>
      <c r="AT9" s="139"/>
      <c r="AU9" s="139"/>
      <c r="AV9" s="139"/>
      <c r="AW9" s="12"/>
      <c r="AX9" s="12"/>
      <c r="AY9" s="3"/>
      <c r="AZ9" s="3"/>
      <c r="BA9" s="3"/>
      <c r="BB9" s="3"/>
      <c r="BC9" s="3"/>
      <c r="BD9" s="3"/>
      <c r="BE9" s="3"/>
      <c r="BF9" s="3"/>
      <c r="BG9" s="3"/>
      <c r="BH9" s="3"/>
      <c r="BI9" s="3"/>
      <c r="BJ9" s="3"/>
      <c r="BK9" s="3"/>
      <c r="BL9" s="3"/>
      <c r="BM9" s="3"/>
      <c r="BN9" s="3"/>
      <c r="BO9" s="3"/>
      <c r="BP9" s="3"/>
    </row>
    <row r="10" spans="1:68" s="48" customFormat="1" ht="12.75" hidden="1" outlineLevel="1">
      <c r="A10" s="273"/>
      <c r="B10" s="273"/>
      <c r="C10" s="3" t="s">
        <v>102</v>
      </c>
      <c r="D10" s="185" t="s">
        <v>146</v>
      </c>
      <c r="E10" s="3"/>
      <c r="F10" s="3"/>
      <c r="G10" s="3"/>
      <c r="H10" s="3"/>
      <c r="I10" s="2"/>
      <c r="J10" s="2"/>
      <c r="K10" s="3"/>
      <c r="L10" s="3"/>
      <c r="M10" s="3"/>
      <c r="N10" s="3"/>
      <c r="O10" s="54" t="s">
        <v>147</v>
      </c>
      <c r="P10" s="54"/>
      <c r="Q10" s="54"/>
      <c r="R10" s="54"/>
      <c r="S10" s="195"/>
      <c r="T10" s="68"/>
      <c r="U10" s="190"/>
      <c r="V10" s="3"/>
      <c r="W10" s="191"/>
      <c r="X10" s="192"/>
      <c r="Y10" s="184"/>
      <c r="Z10" s="3"/>
      <c r="AA10" s="3"/>
      <c r="AB10" s="50"/>
      <c r="AC10" s="191"/>
      <c r="AD10" s="326"/>
      <c r="AE10" s="184"/>
      <c r="AF10" s="201"/>
      <c r="AG10" s="3"/>
      <c r="AH10" s="3"/>
      <c r="AI10" s="3"/>
      <c r="AJ10" s="3"/>
      <c r="AK10" s="3"/>
      <c r="AL10" s="3"/>
      <c r="AM10" s="3"/>
      <c r="AN10" s="3"/>
      <c r="AO10" s="3"/>
      <c r="AP10" s="3"/>
      <c r="AQ10" s="3"/>
      <c r="AR10" s="3"/>
      <c r="AS10" s="3"/>
      <c r="AT10" s="139"/>
      <c r="AU10" s="139"/>
      <c r="AV10" s="139"/>
      <c r="AW10" s="12"/>
      <c r="AX10" s="12"/>
      <c r="AY10" s="3"/>
      <c r="AZ10" s="3"/>
      <c r="BA10" s="3"/>
      <c r="BB10" s="3"/>
      <c r="BC10" s="3"/>
      <c r="BD10" s="3"/>
      <c r="BE10" s="3"/>
      <c r="BF10" s="3"/>
      <c r="BG10" s="3"/>
      <c r="BH10" s="3"/>
      <c r="BI10" s="3"/>
      <c r="BJ10" s="3"/>
      <c r="BK10" s="3"/>
      <c r="BL10" s="3"/>
      <c r="BM10" s="3"/>
      <c r="BN10" s="3"/>
      <c r="BO10" s="3"/>
      <c r="BP10" s="3"/>
    </row>
    <row r="11" spans="1:68" s="48" customFormat="1" ht="12.75" hidden="1" outlineLevel="1">
      <c r="A11" s="273"/>
      <c r="B11" s="273"/>
      <c r="C11" s="3" t="s">
        <v>26</v>
      </c>
      <c r="D11" s="185" t="s">
        <v>148</v>
      </c>
      <c r="E11" s="3"/>
      <c r="F11" s="3"/>
      <c r="G11" s="3"/>
      <c r="H11" s="3"/>
      <c r="I11" s="2"/>
      <c r="J11" s="2"/>
      <c r="K11" s="3"/>
      <c r="L11" s="3"/>
      <c r="M11" s="3"/>
      <c r="N11" s="3"/>
      <c r="O11" s="205" t="s">
        <v>149</v>
      </c>
      <c r="P11" s="3" t="s">
        <v>150</v>
      </c>
      <c r="Q11" s="3"/>
      <c r="R11" s="3"/>
      <c r="S11" s="195"/>
      <c r="T11" s="68"/>
      <c r="U11" s="190"/>
      <c r="V11" s="3"/>
      <c r="W11" s="191"/>
      <c r="X11" s="192"/>
      <c r="Y11" s="184"/>
      <c r="Z11" s="3"/>
      <c r="AA11" s="3"/>
      <c r="AB11" s="50"/>
      <c r="AC11" s="191"/>
      <c r="AD11" s="326"/>
      <c r="AE11" s="184"/>
      <c r="AF11" s="201"/>
      <c r="AG11" s="3"/>
      <c r="AH11" s="3"/>
      <c r="AI11" s="3"/>
      <c r="AJ11" s="3"/>
      <c r="AK11" s="3"/>
      <c r="AL11" s="3"/>
      <c r="AM11" s="3"/>
      <c r="AN11" s="3"/>
      <c r="AO11" s="3"/>
      <c r="AP11" s="3"/>
      <c r="AQ11" s="3"/>
      <c r="AR11" s="3"/>
      <c r="AS11" s="3"/>
      <c r="AT11" s="139"/>
      <c r="AU11" s="139"/>
      <c r="AV11" s="139"/>
      <c r="AW11" s="12"/>
      <c r="AX11" s="12"/>
      <c r="AY11" s="3"/>
      <c r="AZ11" s="3"/>
      <c r="BA11" s="3"/>
      <c r="BB11" s="3"/>
      <c r="BC11" s="3"/>
      <c r="BD11" s="3"/>
      <c r="BE11" s="3"/>
      <c r="BF11" s="3"/>
      <c r="BG11" s="3"/>
      <c r="BH11" s="3"/>
      <c r="BI11" s="3"/>
      <c r="BJ11" s="3"/>
      <c r="BK11" s="3"/>
      <c r="BL11" s="3"/>
      <c r="BM11" s="3"/>
      <c r="BN11" s="3"/>
      <c r="BO11" s="3"/>
      <c r="BP11" s="3"/>
    </row>
    <row r="12" spans="1:68" s="48" customFormat="1" ht="12.75" hidden="1" outlineLevel="1">
      <c r="A12" s="273"/>
      <c r="B12" s="273"/>
      <c r="C12" s="3" t="s">
        <v>151</v>
      </c>
      <c r="D12" s="185" t="s">
        <v>152</v>
      </c>
      <c r="E12" s="3"/>
      <c r="F12" s="3"/>
      <c r="G12" s="3"/>
      <c r="H12" s="3"/>
      <c r="I12" s="2"/>
      <c r="J12" s="2"/>
      <c r="K12" s="3"/>
      <c r="L12" s="3"/>
      <c r="M12" s="3"/>
      <c r="N12" s="3"/>
      <c r="O12" s="3" t="s">
        <v>64</v>
      </c>
      <c r="P12" s="3" t="s">
        <v>153</v>
      </c>
      <c r="Q12" s="3"/>
      <c r="R12" s="3"/>
      <c r="S12" s="195"/>
      <c r="T12" s="68"/>
      <c r="U12" s="190"/>
      <c r="V12" s="3"/>
      <c r="W12" s="191"/>
      <c r="X12" s="192"/>
      <c r="Y12" s="184"/>
      <c r="Z12" s="3"/>
      <c r="AA12" s="3"/>
      <c r="AB12" s="50"/>
      <c r="AC12" s="191"/>
      <c r="AD12" s="326"/>
      <c r="AE12" s="184"/>
      <c r="AF12" s="201"/>
      <c r="AG12" s="3"/>
      <c r="AH12" s="3"/>
      <c r="AI12" s="3"/>
      <c r="AJ12" s="3"/>
      <c r="AK12" s="3"/>
      <c r="AL12" s="3"/>
      <c r="AM12" s="3"/>
      <c r="AN12" s="3"/>
      <c r="AO12" s="3"/>
      <c r="AP12" s="3"/>
      <c r="AQ12" s="3"/>
      <c r="AR12" s="3"/>
      <c r="AS12" s="3"/>
      <c r="AT12" s="139"/>
      <c r="AU12" s="139"/>
      <c r="AV12" s="139"/>
      <c r="AW12" s="12"/>
      <c r="AX12" s="12"/>
      <c r="AY12" s="3"/>
      <c r="AZ12" s="3"/>
      <c r="BA12" s="3"/>
      <c r="BB12" s="3"/>
      <c r="BC12" s="3"/>
      <c r="BD12" s="3"/>
      <c r="BE12" s="3"/>
      <c r="BF12" s="3"/>
      <c r="BG12" s="3"/>
      <c r="BH12" s="3"/>
      <c r="BI12" s="3"/>
      <c r="BJ12" s="3"/>
      <c r="BK12" s="3"/>
      <c r="BL12" s="3"/>
      <c r="BM12" s="3"/>
      <c r="BN12" s="3"/>
      <c r="BO12" s="3"/>
      <c r="BP12" s="3"/>
    </row>
    <row r="13" spans="1:68" s="48" customFormat="1" ht="12.75" hidden="1" outlineLevel="1">
      <c r="A13" s="273"/>
      <c r="B13" s="273"/>
      <c r="C13" s="3" t="s">
        <v>24</v>
      </c>
      <c r="D13" s="185" t="s">
        <v>154</v>
      </c>
      <c r="E13" s="3"/>
      <c r="F13" s="3"/>
      <c r="G13" s="3"/>
      <c r="H13" s="3"/>
      <c r="I13" s="2"/>
      <c r="J13" s="2"/>
      <c r="K13" s="3"/>
      <c r="L13" s="3"/>
      <c r="M13" s="3"/>
      <c r="N13" s="3"/>
      <c r="O13" s="3" t="s">
        <v>155</v>
      </c>
      <c r="P13" s="3" t="s">
        <v>156</v>
      </c>
      <c r="Q13" s="3"/>
      <c r="R13" s="3"/>
      <c r="S13" s="195"/>
      <c r="T13" s="68"/>
      <c r="U13" s="190"/>
      <c r="V13" s="3"/>
      <c r="W13" s="191"/>
      <c r="X13" s="192"/>
      <c r="Y13" s="184"/>
      <c r="Z13" s="3"/>
      <c r="AA13" s="3"/>
      <c r="AB13" s="50"/>
      <c r="AC13" s="191"/>
      <c r="AD13" s="326"/>
      <c r="AE13" s="184"/>
      <c r="AF13" s="201"/>
      <c r="AG13" s="3"/>
      <c r="AH13" s="3"/>
      <c r="AI13" s="3"/>
      <c r="AJ13" s="3"/>
      <c r="AK13" s="3"/>
      <c r="AL13" s="3"/>
      <c r="AM13" s="3"/>
      <c r="AN13" s="3"/>
      <c r="AO13" s="3"/>
      <c r="AP13" s="3"/>
      <c r="AQ13" s="3"/>
      <c r="AR13" s="3"/>
      <c r="AS13" s="3"/>
      <c r="AT13" s="139"/>
      <c r="AU13" s="139"/>
      <c r="AV13" s="139"/>
      <c r="AW13" s="12"/>
      <c r="AX13" s="12"/>
      <c r="AY13" s="3"/>
      <c r="AZ13" s="3"/>
      <c r="BA13" s="3"/>
      <c r="BB13" s="3"/>
      <c r="BC13" s="3"/>
      <c r="BD13" s="3"/>
      <c r="BE13" s="3"/>
      <c r="BF13" s="3"/>
      <c r="BG13" s="3"/>
      <c r="BH13" s="3"/>
      <c r="BI13" s="3"/>
      <c r="BJ13" s="3"/>
      <c r="BK13" s="3"/>
      <c r="BL13" s="3"/>
      <c r="BM13" s="3"/>
      <c r="BN13" s="3"/>
      <c r="BO13" s="3"/>
      <c r="BP13" s="3"/>
    </row>
    <row r="14" spans="1:68" s="48" customFormat="1" ht="12.75" hidden="1" outlineLevel="1">
      <c r="A14" s="273"/>
      <c r="B14" s="273"/>
      <c r="C14" s="3" t="s">
        <v>90</v>
      </c>
      <c r="D14" s="185" t="s">
        <v>157</v>
      </c>
      <c r="E14" s="3"/>
      <c r="F14" s="3"/>
      <c r="G14" s="3"/>
      <c r="H14" s="3"/>
      <c r="I14" s="2"/>
      <c r="J14" s="2"/>
      <c r="K14" s="3"/>
      <c r="L14" s="3"/>
      <c r="M14" s="3"/>
      <c r="N14" s="3"/>
      <c r="O14" s="205" t="s">
        <v>158</v>
      </c>
      <c r="P14" s="3" t="s">
        <v>159</v>
      </c>
      <c r="Q14" s="3"/>
      <c r="R14" s="3"/>
      <c r="S14" s="195"/>
      <c r="T14" s="68"/>
      <c r="U14" s="190"/>
      <c r="V14" s="3"/>
      <c r="W14" s="191"/>
      <c r="X14" s="192"/>
      <c r="Y14" s="184"/>
      <c r="Z14" s="3"/>
      <c r="AA14" s="3"/>
      <c r="AB14" s="50"/>
      <c r="AC14" s="191"/>
      <c r="AD14" s="326"/>
      <c r="AE14" s="184"/>
      <c r="AF14" s="201"/>
      <c r="AG14" s="3"/>
      <c r="AH14" s="3"/>
      <c r="AI14" s="3"/>
      <c r="AJ14" s="3"/>
      <c r="AK14" s="3"/>
      <c r="AL14" s="3"/>
      <c r="AM14" s="3"/>
      <c r="AN14" s="3"/>
      <c r="AO14" s="3"/>
      <c r="AP14" s="3"/>
      <c r="AQ14" s="3"/>
      <c r="AR14" s="3"/>
      <c r="AS14" s="3"/>
      <c r="AT14" s="139"/>
      <c r="AU14" s="139"/>
      <c r="AV14" s="139"/>
      <c r="AW14" s="12"/>
      <c r="AX14" s="12"/>
      <c r="AY14" s="3"/>
      <c r="AZ14" s="3"/>
      <c r="BA14" s="3"/>
      <c r="BB14" s="3"/>
      <c r="BC14" s="3"/>
      <c r="BD14" s="3"/>
      <c r="BE14" s="3"/>
      <c r="BF14" s="3"/>
      <c r="BG14" s="3"/>
      <c r="BH14" s="3"/>
      <c r="BI14" s="3"/>
      <c r="BJ14" s="3"/>
      <c r="BK14" s="3"/>
      <c r="BL14" s="3"/>
      <c r="BM14" s="3"/>
      <c r="BN14" s="3"/>
      <c r="BO14" s="3"/>
      <c r="BP14" s="3"/>
    </row>
    <row r="15" spans="1:68" s="48" customFormat="1" ht="12.75" hidden="1" outlineLevel="1">
      <c r="A15" s="273"/>
      <c r="B15" s="273"/>
      <c r="C15" s="3" t="s">
        <v>160</v>
      </c>
      <c r="D15" s="185" t="s">
        <v>161</v>
      </c>
      <c r="E15" s="3"/>
      <c r="F15" s="3"/>
      <c r="G15" s="3"/>
      <c r="H15" s="3"/>
      <c r="I15" s="2"/>
      <c r="J15" s="2"/>
      <c r="K15" s="3"/>
      <c r="L15" s="3"/>
      <c r="M15" s="3"/>
      <c r="N15" s="3"/>
      <c r="O15" s="205" t="s">
        <v>3</v>
      </c>
      <c r="P15" s="3" t="s">
        <v>162</v>
      </c>
      <c r="Q15" s="3"/>
      <c r="R15" s="3"/>
      <c r="S15" s="195"/>
      <c r="T15" s="68"/>
      <c r="U15" s="190"/>
      <c r="V15" s="3"/>
      <c r="W15" s="191"/>
      <c r="X15" s="192"/>
      <c r="Y15" s="184"/>
      <c r="Z15" s="3"/>
      <c r="AA15" s="3"/>
      <c r="AB15" s="50"/>
      <c r="AC15" s="191"/>
      <c r="AD15" s="326"/>
      <c r="AE15" s="184"/>
      <c r="AF15" s="201"/>
      <c r="AG15" s="3"/>
      <c r="AH15" s="3"/>
      <c r="AI15" s="3"/>
      <c r="AJ15" s="3"/>
      <c r="AK15" s="3"/>
      <c r="AL15" s="3"/>
      <c r="AM15" s="3"/>
      <c r="AN15" s="3"/>
      <c r="AO15" s="3"/>
      <c r="AP15" s="3"/>
      <c r="AQ15" s="3"/>
      <c r="AR15" s="3"/>
      <c r="AS15" s="3"/>
      <c r="AT15" s="139"/>
      <c r="AU15" s="139"/>
      <c r="AV15" s="139"/>
      <c r="AW15" s="12"/>
      <c r="AX15" s="12"/>
      <c r="AY15" s="3"/>
      <c r="AZ15" s="3"/>
      <c r="BA15" s="3"/>
      <c r="BB15" s="3"/>
      <c r="BC15" s="3"/>
      <c r="BD15" s="3"/>
      <c r="BE15" s="3"/>
      <c r="BF15" s="3"/>
      <c r="BG15" s="3"/>
      <c r="BH15" s="3"/>
      <c r="BI15" s="3"/>
      <c r="BJ15" s="3"/>
      <c r="BK15" s="3"/>
      <c r="BL15" s="3"/>
      <c r="BM15" s="3"/>
      <c r="BN15" s="3"/>
      <c r="BO15" s="3"/>
      <c r="BP15" s="3"/>
    </row>
    <row r="16" spans="1:68" s="48" customFormat="1" ht="12.75" hidden="1" outlineLevel="1">
      <c r="A16" s="273"/>
      <c r="B16" s="273"/>
      <c r="C16" s="3" t="s">
        <v>163</v>
      </c>
      <c r="D16" s="185" t="s">
        <v>164</v>
      </c>
      <c r="E16" s="3"/>
      <c r="F16" s="3"/>
      <c r="G16" s="3"/>
      <c r="H16" s="3"/>
      <c r="I16" s="2"/>
      <c r="J16" s="2"/>
      <c r="K16" s="3"/>
      <c r="L16" s="3"/>
      <c r="M16" s="3"/>
      <c r="N16" s="3"/>
      <c r="O16" s="205" t="s">
        <v>165</v>
      </c>
      <c r="P16" s="3" t="s">
        <v>166</v>
      </c>
      <c r="Q16" s="3"/>
      <c r="R16" s="3"/>
      <c r="S16" s="195"/>
      <c r="T16" s="68"/>
      <c r="U16" s="190"/>
      <c r="V16" s="3"/>
      <c r="W16" s="191"/>
      <c r="X16" s="192"/>
      <c r="Y16" s="184"/>
      <c r="Z16" s="3"/>
      <c r="AA16" s="3"/>
      <c r="AB16" s="50"/>
      <c r="AC16" s="191"/>
      <c r="AD16" s="327"/>
      <c r="AE16" s="191"/>
      <c r="AF16" s="201"/>
      <c r="AG16" s="3"/>
      <c r="AH16" s="3"/>
      <c r="AI16" s="3"/>
      <c r="AJ16" s="3"/>
      <c r="AK16" s="3"/>
      <c r="AL16" s="3"/>
      <c r="AM16" s="3"/>
      <c r="AN16" s="3"/>
      <c r="AO16" s="3"/>
      <c r="AP16" s="3"/>
      <c r="AQ16" s="3"/>
      <c r="AR16" s="3"/>
      <c r="AS16" s="3"/>
      <c r="AT16" s="139"/>
      <c r="AU16" s="139"/>
      <c r="AV16" s="139"/>
      <c r="AW16" s="12"/>
      <c r="AX16" s="12"/>
      <c r="AY16" s="3"/>
      <c r="AZ16" s="3"/>
      <c r="BA16" s="3"/>
      <c r="BB16" s="3"/>
      <c r="BC16" s="3"/>
      <c r="BD16" s="3"/>
      <c r="BE16" s="3"/>
      <c r="BF16" s="3"/>
      <c r="BG16" s="3"/>
      <c r="BH16" s="3"/>
      <c r="BI16" s="3"/>
      <c r="BJ16" s="3"/>
      <c r="BK16" s="3"/>
      <c r="BL16" s="3"/>
      <c r="BM16" s="3"/>
      <c r="BN16" s="3"/>
      <c r="BO16" s="3"/>
      <c r="BP16" s="3"/>
    </row>
    <row r="17" spans="1:68" s="48" customFormat="1" ht="12.75" hidden="1" outlineLevel="1">
      <c r="A17" s="273"/>
      <c r="B17" s="273"/>
      <c r="C17" s="3" t="s">
        <v>9</v>
      </c>
      <c r="D17" s="185" t="s">
        <v>167</v>
      </c>
      <c r="E17" s="3"/>
      <c r="F17" s="3"/>
      <c r="G17" s="3"/>
      <c r="H17" s="3"/>
      <c r="I17" s="2"/>
      <c r="J17" s="2"/>
      <c r="K17" s="3"/>
      <c r="L17" s="3"/>
      <c r="M17" s="3"/>
      <c r="N17" s="3"/>
      <c r="O17" s="205" t="s">
        <v>168</v>
      </c>
      <c r="P17" s="3" t="s">
        <v>169</v>
      </c>
      <c r="Q17" s="3"/>
      <c r="R17" s="3"/>
      <c r="S17" s="195"/>
      <c r="T17" s="68"/>
      <c r="U17" s="190"/>
      <c r="V17" s="3"/>
      <c r="W17" s="191"/>
      <c r="X17" s="192"/>
      <c r="Y17" s="184"/>
      <c r="Z17" s="3"/>
      <c r="AA17" s="3"/>
      <c r="AB17" s="50"/>
      <c r="AC17" s="191"/>
      <c r="AD17" s="327"/>
      <c r="AE17" s="191"/>
      <c r="AF17" s="201"/>
      <c r="AG17" s="3"/>
      <c r="AH17" s="3"/>
      <c r="AI17" s="3"/>
      <c r="AJ17" s="3"/>
      <c r="AK17" s="3"/>
      <c r="AL17" s="3"/>
      <c r="AM17" s="3"/>
      <c r="AN17" s="3"/>
      <c r="AO17" s="3"/>
      <c r="AP17" s="3"/>
      <c r="AQ17" s="3"/>
      <c r="AR17" s="3"/>
      <c r="AS17" s="3"/>
      <c r="AT17" s="139"/>
      <c r="AU17" s="139"/>
      <c r="AV17" s="139"/>
      <c r="AW17" s="12"/>
      <c r="AX17" s="12"/>
      <c r="AY17" s="3"/>
      <c r="AZ17" s="3"/>
      <c r="BA17" s="3"/>
      <c r="BB17" s="3"/>
      <c r="BC17" s="3"/>
      <c r="BD17" s="3"/>
      <c r="BE17" s="3"/>
      <c r="BF17" s="3"/>
      <c r="BG17" s="3"/>
      <c r="BH17" s="3"/>
      <c r="BI17" s="3"/>
      <c r="BJ17" s="3"/>
      <c r="BK17" s="3"/>
      <c r="BL17" s="3"/>
      <c r="BM17" s="3"/>
      <c r="BN17" s="3"/>
      <c r="BO17" s="3"/>
      <c r="BP17" s="3"/>
    </row>
    <row r="18" spans="1:68" s="48" customFormat="1" ht="12.75" hidden="1" outlineLevel="1">
      <c r="A18" s="273"/>
      <c r="B18" s="273"/>
      <c r="C18" s="3"/>
      <c r="D18" s="185"/>
      <c r="E18" s="3"/>
      <c r="F18" s="3"/>
      <c r="G18" s="3"/>
      <c r="H18" s="3"/>
      <c r="I18" s="2"/>
      <c r="J18" s="2"/>
      <c r="K18" s="3"/>
      <c r="L18" s="3"/>
      <c r="M18" s="3"/>
      <c r="N18" s="3"/>
      <c r="O18" s="3" t="s">
        <v>134</v>
      </c>
      <c r="P18" s="3" t="s">
        <v>135</v>
      </c>
      <c r="Q18" s="3"/>
      <c r="R18" s="3"/>
      <c r="S18" s="195"/>
      <c r="T18" s="68"/>
      <c r="U18" s="190"/>
      <c r="V18" s="3"/>
      <c r="W18" s="191"/>
      <c r="X18" s="192"/>
      <c r="Y18" s="184"/>
      <c r="Z18" s="3"/>
      <c r="AA18" s="3"/>
      <c r="AB18" s="50"/>
      <c r="AC18" s="191"/>
      <c r="AD18" s="327"/>
      <c r="AE18" s="191"/>
      <c r="AF18" s="201"/>
      <c r="AG18" s="3"/>
      <c r="AH18" s="3"/>
      <c r="AI18" s="3"/>
      <c r="AJ18" s="3"/>
      <c r="AK18" s="3"/>
      <c r="AL18" s="3"/>
      <c r="AM18" s="3"/>
      <c r="AN18" s="3"/>
      <c r="AO18" s="3"/>
      <c r="AP18" s="3"/>
      <c r="AQ18" s="3"/>
      <c r="AR18" s="3"/>
      <c r="AS18" s="3"/>
      <c r="AT18" s="139"/>
      <c r="AU18" s="139"/>
      <c r="AV18" s="139"/>
      <c r="AW18" s="12"/>
      <c r="AX18" s="12"/>
      <c r="AY18" s="3"/>
      <c r="AZ18" s="3"/>
      <c r="BA18" s="3"/>
      <c r="BB18" s="3"/>
      <c r="BC18" s="3"/>
      <c r="BD18" s="3"/>
      <c r="BE18" s="3"/>
      <c r="BF18" s="3"/>
      <c r="BG18" s="3"/>
      <c r="BH18" s="3"/>
      <c r="BI18" s="3"/>
      <c r="BJ18" s="3"/>
      <c r="BK18" s="3"/>
      <c r="BL18" s="3"/>
      <c r="BM18" s="3"/>
      <c r="BN18" s="3"/>
      <c r="BO18" s="3"/>
      <c r="BP18" s="3"/>
    </row>
    <row r="19" spans="1:68" s="52" customFormat="1" ht="12.75" hidden="1" outlineLevel="1" collapsed="1">
      <c r="A19" s="8"/>
      <c r="B19" s="8"/>
      <c r="C19" s="2"/>
      <c r="D19" s="206"/>
      <c r="E19" s="2"/>
      <c r="F19" s="2"/>
      <c r="G19" s="2"/>
      <c r="H19" s="2"/>
      <c r="I19" s="2"/>
      <c r="J19" s="2"/>
      <c r="K19" s="188"/>
      <c r="L19" s="188"/>
      <c r="M19" s="196"/>
      <c r="N19" s="196"/>
      <c r="O19" s="2"/>
      <c r="P19" s="188"/>
      <c r="Q19" s="188"/>
      <c r="R19" s="188"/>
      <c r="S19" s="207"/>
      <c r="T19" s="68"/>
      <c r="U19" s="190"/>
      <c r="V19" s="2" t="e">
        <f>+SUMIF(T:T,"DP",#REF!)</f>
        <v>#REF!</v>
      </c>
      <c r="W19" s="191"/>
      <c r="X19" s="192"/>
      <c r="Y19" s="184"/>
      <c r="Z19" s="2"/>
      <c r="AA19" s="2"/>
      <c r="AB19" s="50"/>
      <c r="AC19" s="191"/>
      <c r="AD19" s="328"/>
      <c r="AE19" s="208"/>
      <c r="AF19" s="182"/>
      <c r="AG19" s="2"/>
      <c r="AH19" s="2"/>
      <c r="AI19" s="2"/>
      <c r="AJ19" s="2"/>
      <c r="AK19" s="2"/>
      <c r="AL19" s="2"/>
      <c r="AM19" s="2"/>
      <c r="AN19" s="2"/>
      <c r="AO19" s="2"/>
      <c r="AP19" s="2"/>
      <c r="AQ19" s="2"/>
      <c r="AR19" s="2"/>
      <c r="AS19" s="2"/>
      <c r="AT19" s="138"/>
      <c r="AU19" s="138"/>
      <c r="AV19" s="138"/>
      <c r="AW19" s="12"/>
      <c r="AX19" s="12"/>
      <c r="AY19" s="2"/>
      <c r="AZ19" s="2"/>
      <c r="BA19" s="2"/>
      <c r="BB19" s="2"/>
      <c r="BC19" s="2"/>
      <c r="BD19" s="2"/>
      <c r="BE19" s="2"/>
      <c r="BF19" s="2"/>
      <c r="BG19" s="2"/>
      <c r="BH19" s="2"/>
      <c r="BI19" s="2"/>
      <c r="BJ19" s="2"/>
      <c r="BK19" s="2"/>
      <c r="BL19" s="2"/>
      <c r="BM19" s="2"/>
      <c r="BN19" s="2"/>
      <c r="BO19" s="2"/>
      <c r="BP19" s="2"/>
    </row>
    <row r="20" spans="1:68" s="52" customFormat="1" ht="12.75" collapsed="1">
      <c r="A20" s="8"/>
      <c r="B20" s="8"/>
      <c r="C20" s="2"/>
      <c r="D20" s="206"/>
      <c r="E20" s="2"/>
      <c r="F20" s="2"/>
      <c r="G20" s="2"/>
      <c r="H20" s="2"/>
      <c r="I20" s="2"/>
      <c r="J20" s="2"/>
      <c r="K20" s="188"/>
      <c r="L20" s="188"/>
      <c r="M20" s="196"/>
      <c r="N20" s="196"/>
      <c r="O20" s="2"/>
      <c r="P20" s="188"/>
      <c r="Q20" s="188"/>
      <c r="R20" s="188"/>
      <c r="S20" s="207"/>
      <c r="T20" s="158"/>
      <c r="U20" s="190"/>
      <c r="V20" s="2"/>
      <c r="W20" s="191"/>
      <c r="X20" s="191"/>
      <c r="Y20" s="184"/>
      <c r="Z20" s="2"/>
      <c r="AA20" s="2"/>
      <c r="AB20" s="50"/>
      <c r="AC20" s="187"/>
      <c r="AD20" s="328"/>
      <c r="AE20" s="208"/>
      <c r="AF20" s="182"/>
      <c r="AG20" s="2"/>
      <c r="AH20" s="2"/>
      <c r="AI20" s="2"/>
      <c r="AJ20" s="2"/>
      <c r="AK20" s="2"/>
      <c r="AL20" s="2"/>
      <c r="AM20" s="2"/>
      <c r="AN20" s="2"/>
      <c r="AO20" s="2"/>
      <c r="AP20" s="2"/>
      <c r="AQ20" s="2"/>
      <c r="AR20" s="2"/>
      <c r="AS20" s="2"/>
      <c r="AT20" s="138"/>
      <c r="AU20" s="138"/>
      <c r="AV20" s="138"/>
      <c r="AW20" s="12"/>
      <c r="AX20" s="12"/>
      <c r="AY20" s="2"/>
      <c r="AZ20" s="2"/>
      <c r="BA20" s="2"/>
      <c r="BB20" s="2"/>
      <c r="BC20" s="2"/>
      <c r="BD20" s="2"/>
      <c r="BE20" s="2"/>
      <c r="BF20" s="2"/>
      <c r="BG20" s="2"/>
      <c r="BH20" s="2"/>
      <c r="BI20" s="2"/>
      <c r="BJ20" s="2"/>
      <c r="BK20" s="2"/>
      <c r="BL20" s="2"/>
      <c r="BM20" s="2"/>
      <c r="BN20" s="2"/>
      <c r="BO20" s="2"/>
      <c r="BP20" s="2"/>
    </row>
    <row r="21" spans="1:68" s="52" customFormat="1" ht="12.75">
      <c r="A21" s="8"/>
      <c r="B21" s="8"/>
      <c r="C21" s="2"/>
      <c r="D21" s="206"/>
      <c r="E21" s="2"/>
      <c r="F21" s="2"/>
      <c r="G21" s="2"/>
      <c r="H21" s="2"/>
      <c r="I21" s="2"/>
      <c r="J21" s="2"/>
      <c r="K21" s="188"/>
      <c r="L21" s="188"/>
      <c r="M21" s="196"/>
      <c r="N21" s="196"/>
      <c r="O21" s="2"/>
      <c r="P21" s="188"/>
      <c r="Q21" s="188"/>
      <c r="R21" s="188"/>
      <c r="S21" s="207"/>
      <c r="T21" s="158"/>
      <c r="U21" s="190"/>
      <c r="V21" s="2"/>
      <c r="W21" s="191"/>
      <c r="X21" s="191"/>
      <c r="Y21" s="184"/>
      <c r="Z21" s="2"/>
      <c r="AA21" s="2"/>
      <c r="AB21" s="50"/>
      <c r="AC21" s="187"/>
      <c r="AD21" s="328"/>
      <c r="AE21" s="208"/>
      <c r="AF21" s="182"/>
      <c r="AG21" s="2"/>
      <c r="AH21" s="2"/>
      <c r="AI21" s="2"/>
      <c r="AJ21" s="2"/>
      <c r="AK21" s="2"/>
      <c r="AL21" s="2"/>
      <c r="AM21" s="2"/>
      <c r="AN21" s="2"/>
      <c r="AO21" s="2"/>
      <c r="AP21" s="2"/>
      <c r="AQ21" s="2"/>
      <c r="AR21" s="2"/>
      <c r="AS21" s="2"/>
      <c r="AT21" s="138"/>
      <c r="AU21" s="138"/>
      <c r="AV21" s="138"/>
      <c r="AW21" s="12"/>
      <c r="AX21" s="12"/>
      <c r="AY21" s="2"/>
      <c r="AZ21" s="2"/>
      <c r="BA21" s="2"/>
      <c r="BB21" s="2"/>
      <c r="BC21" s="2"/>
      <c r="BD21" s="2"/>
      <c r="BE21" s="2"/>
      <c r="BF21" s="2"/>
      <c r="BG21" s="2"/>
      <c r="BH21" s="2"/>
      <c r="BI21" s="2"/>
      <c r="BJ21" s="2"/>
      <c r="BK21" s="2"/>
      <c r="BL21" s="2"/>
      <c r="BM21" s="2"/>
      <c r="BN21" s="2"/>
      <c r="BO21" s="2"/>
      <c r="BP21" s="2"/>
    </row>
    <row r="22" spans="1:68" s="89" customFormat="1" ht="45.75" customHeight="1">
      <c r="A22" s="291" t="s">
        <v>170</v>
      </c>
      <c r="B22" s="291" t="s">
        <v>171</v>
      </c>
      <c r="C22" s="292" t="s">
        <v>172</v>
      </c>
      <c r="D22" s="285" t="s">
        <v>173</v>
      </c>
      <c r="E22" s="284" t="s">
        <v>174</v>
      </c>
      <c r="F22" s="284" t="s">
        <v>175</v>
      </c>
      <c r="G22" s="284" t="s">
        <v>176</v>
      </c>
      <c r="H22" s="284" t="s">
        <v>177</v>
      </c>
      <c r="I22" s="284" t="s">
        <v>178</v>
      </c>
      <c r="J22" s="284"/>
      <c r="K22" s="284" t="s">
        <v>179</v>
      </c>
      <c r="L22" s="284" t="s">
        <v>180</v>
      </c>
      <c r="M22" s="284" t="s">
        <v>181</v>
      </c>
      <c r="N22" s="284" t="s">
        <v>182</v>
      </c>
      <c r="O22" s="284" t="s">
        <v>183</v>
      </c>
      <c r="P22" s="284" t="s">
        <v>184</v>
      </c>
      <c r="Q22" s="284" t="s">
        <v>185</v>
      </c>
      <c r="R22" s="284" t="s">
        <v>186</v>
      </c>
      <c r="S22" s="284" t="s">
        <v>187</v>
      </c>
      <c r="T22" s="284" t="s">
        <v>2</v>
      </c>
      <c r="U22" s="286" t="s">
        <v>188</v>
      </c>
      <c r="V22" s="284" t="s">
        <v>189</v>
      </c>
      <c r="W22" s="287" t="s">
        <v>190</v>
      </c>
      <c r="X22" s="287" t="s">
        <v>191</v>
      </c>
      <c r="Y22" s="288" t="s">
        <v>192</v>
      </c>
      <c r="Z22" s="284" t="s">
        <v>193</v>
      </c>
      <c r="AA22" s="284" t="s">
        <v>194</v>
      </c>
      <c r="AB22" s="289" t="s">
        <v>195</v>
      </c>
      <c r="AC22" s="285" t="s">
        <v>196</v>
      </c>
      <c r="AD22" s="329" t="s">
        <v>197</v>
      </c>
      <c r="AE22" s="284" t="s">
        <v>198</v>
      </c>
      <c r="AF22" s="290" t="s">
        <v>199</v>
      </c>
      <c r="AG22" s="86" t="s">
        <v>0</v>
      </c>
      <c r="AH22" s="86">
        <v>2026</v>
      </c>
      <c r="AI22" s="86">
        <v>2025</v>
      </c>
      <c r="AJ22" s="86">
        <v>2024</v>
      </c>
      <c r="AK22" s="86">
        <v>2023</v>
      </c>
      <c r="AL22" s="86">
        <v>2022</v>
      </c>
      <c r="AM22" s="86">
        <v>2021</v>
      </c>
      <c r="AN22" s="89">
        <v>2020</v>
      </c>
      <c r="AO22" s="89">
        <v>2019</v>
      </c>
      <c r="AP22" s="89">
        <v>2018</v>
      </c>
      <c r="AQ22" s="89">
        <v>2017</v>
      </c>
      <c r="AR22" s="89">
        <v>2016</v>
      </c>
      <c r="AS22" s="89">
        <v>2015</v>
      </c>
      <c r="AT22" s="89">
        <v>2014</v>
      </c>
      <c r="AU22" s="89">
        <v>2013</v>
      </c>
      <c r="AV22" s="89">
        <v>2012</v>
      </c>
      <c r="AW22" s="86">
        <v>2011</v>
      </c>
      <c r="AX22" s="86">
        <v>2010</v>
      </c>
      <c r="AY22" s="89" t="s">
        <v>200</v>
      </c>
      <c r="AZ22" s="89" t="s">
        <v>201</v>
      </c>
      <c r="BA22" s="89" t="s">
        <v>202</v>
      </c>
      <c r="BB22" s="89" t="s">
        <v>203</v>
      </c>
      <c r="BC22" s="89" t="s">
        <v>204</v>
      </c>
      <c r="BD22" s="89" t="s">
        <v>205</v>
      </c>
      <c r="BE22" s="89" t="s">
        <v>206</v>
      </c>
      <c r="BF22" s="89" t="s">
        <v>207</v>
      </c>
    </row>
    <row r="23" spans="1:68" s="56" customFormat="1" ht="25.5" customHeight="1">
      <c r="A23" s="204" t="str">
        <f>+IFERROR(VALUE(MID(AB23,4,4)),"")</f>
        <v/>
      </c>
      <c r="B23" s="204">
        <f>VALUE(RIGHT(C23,LEN(C23)-2))</f>
        <v>2699</v>
      </c>
      <c r="C23" s="74" t="s">
        <v>208</v>
      </c>
      <c r="D23" s="75">
        <v>46084</v>
      </c>
      <c r="E23" s="70" t="s">
        <v>53</v>
      </c>
      <c r="F23" s="70" t="s">
        <v>209</v>
      </c>
      <c r="G23" s="68" t="s">
        <v>210</v>
      </c>
      <c r="H23" s="304" t="s">
        <v>210</v>
      </c>
      <c r="I23" s="69" t="s">
        <v>211</v>
      </c>
      <c r="J23" s="69"/>
      <c r="K23" s="68" t="s">
        <v>212</v>
      </c>
      <c r="L23" s="69" t="s">
        <v>123</v>
      </c>
      <c r="M23" s="71" t="s">
        <v>141</v>
      </c>
      <c r="N23" s="69" t="e" vm="1">
        <v>#VALUE!</v>
      </c>
      <c r="O23" s="84">
        <v>46104</v>
      </c>
      <c r="P23" s="72" t="s">
        <v>213</v>
      </c>
      <c r="Q23" s="72" t="s">
        <v>212</v>
      </c>
      <c r="R23" s="72" t="s">
        <v>212</v>
      </c>
      <c r="S23" s="146"/>
      <c r="T23" s="68" t="s">
        <v>155</v>
      </c>
      <c r="U23" s="87"/>
      <c r="V23" s="80">
        <v>46085</v>
      </c>
      <c r="W23" s="73"/>
      <c r="X23" s="73"/>
      <c r="Y23" s="169" t="str">
        <f>IF(SUM(W23:W23)&gt;0,X23/SUM(W23:W23)*1000000,"N/A")</f>
        <v>N/A</v>
      </c>
      <c r="Z23" s="80"/>
      <c r="AA23" s="80"/>
      <c r="AB23" s="73"/>
      <c r="AC23" s="153"/>
      <c r="AD23" s="331"/>
      <c r="AE23" s="57"/>
      <c r="AF23" s="88"/>
      <c r="AG23" s="182">
        <f>YEAR(V23)</f>
        <v>2026</v>
      </c>
      <c r="AH23" s="86">
        <f>+IF(AG23=$AH$22,MONTH(V23),"")</f>
        <v>3</v>
      </c>
      <c r="AI23" s="86" t="str">
        <f>+IF(AG23=$AI$22,MONTH(V23),"")</f>
        <v/>
      </c>
      <c r="AJ23" s="86" t="str">
        <f>+IF(AG23=$AJ$22,MONTH(V23),"")</f>
        <v/>
      </c>
      <c r="AK23" s="86" t="str">
        <f>+IF(AG23=$AK$22,MONTH(V23),"")</f>
        <v/>
      </c>
      <c r="AL23" s="86" t="str">
        <f>+IF(AG23=$AL$22,MONTH(V23),"")</f>
        <v/>
      </c>
      <c r="AM23" s="86" t="str">
        <f>+IF($AG23=$AM$22,MONTH($D23),"")</f>
        <v/>
      </c>
      <c r="AN23" s="89" t="str">
        <f>+IF($AG23=AN$22,MONTH($D23),"")</f>
        <v/>
      </c>
      <c r="AO23" s="89" t="str">
        <f>+IF($AG23=AO$22,MONTH($D23),"")</f>
        <v/>
      </c>
      <c r="AP23" s="89" t="str">
        <f>+IF($AG23=AP$22,MONTH($D23),"")</f>
        <v/>
      </c>
      <c r="AQ23" s="89" t="str">
        <f>+IF($AG23=AQ$22,MONTH($D23),"")</f>
        <v/>
      </c>
      <c r="AR23" s="89" t="str">
        <f>+IF($AG23=AR$22,MONTH($D23),"")</f>
        <v/>
      </c>
      <c r="AS23" s="89" t="str">
        <f>+IF($AG23=AS$22,MONTH($D23),"")</f>
        <v/>
      </c>
      <c r="AT23" s="89" t="str">
        <f>+IF($AG23=AT$22,MONTH($D23),"")</f>
        <v/>
      </c>
      <c r="AU23" s="89" t="str">
        <f>+IF($AG23=AU$22,MONTH($D23),"")</f>
        <v/>
      </c>
      <c r="AV23" s="89" t="str">
        <f>+IF($AG23=AV$22,MONTH($D23),"")</f>
        <v/>
      </c>
      <c r="AW23" s="86" t="str">
        <f>+IF($AG23=AW$22,MONTH($D23),"")</f>
        <v/>
      </c>
      <c r="AX23" s="86" t="str">
        <f>+IF($AG23=AX$22,MONTH($D23),"")</f>
        <v/>
      </c>
      <c r="AY23" s="89"/>
      <c r="AZ23" s="89"/>
      <c r="BA23" s="89"/>
      <c r="BB23" s="89"/>
      <c r="BC23" s="89"/>
      <c r="BD23" s="89"/>
      <c r="BE23" s="89"/>
      <c r="BF23" s="89"/>
      <c r="BG23" s="89"/>
      <c r="BH23" s="89"/>
      <c r="BI23" s="89"/>
      <c r="BJ23" s="89"/>
      <c r="BK23" s="89"/>
      <c r="BL23" s="89"/>
      <c r="BM23" s="89"/>
      <c r="BN23" s="89"/>
      <c r="BO23" s="89"/>
      <c r="BP23" s="89"/>
    </row>
    <row r="24" spans="1:68" s="56" customFormat="1" ht="25.5" customHeight="1">
      <c r="A24" s="204" t="str">
        <f>+IFERROR(VALUE(MID(AB24,4,4)),"")</f>
        <v/>
      </c>
      <c r="B24" s="204">
        <f>VALUE(RIGHT(C24,LEN(C24)-2))</f>
        <v>2698</v>
      </c>
      <c r="C24" s="74" t="s">
        <v>214</v>
      </c>
      <c r="D24" s="75">
        <v>46085</v>
      </c>
      <c r="E24" s="70" t="s">
        <v>215</v>
      </c>
      <c r="F24" s="70" t="s">
        <v>215</v>
      </c>
      <c r="G24" s="68" t="s">
        <v>216</v>
      </c>
      <c r="H24" s="395" t="s">
        <v>217</v>
      </c>
      <c r="I24" s="69" t="s">
        <v>218</v>
      </c>
      <c r="J24" s="69"/>
      <c r="K24" s="68" t="s">
        <v>13</v>
      </c>
      <c r="L24" s="69" t="s">
        <v>129</v>
      </c>
      <c r="M24" s="71" t="s">
        <v>113</v>
      </c>
      <c r="N24" s="69" t="e" vm="2">
        <v>#VALUE!</v>
      </c>
      <c r="O24" s="84">
        <v>46090</v>
      </c>
      <c r="P24" s="84" t="s">
        <v>219</v>
      </c>
      <c r="Q24" s="72" t="s">
        <v>220</v>
      </c>
      <c r="R24" s="72" t="s">
        <v>221</v>
      </c>
      <c r="S24" s="146"/>
      <c r="T24" s="68" t="s">
        <v>64</v>
      </c>
      <c r="U24" s="87"/>
      <c r="V24" s="80">
        <v>46085</v>
      </c>
      <c r="W24" s="73"/>
      <c r="X24" s="73"/>
      <c r="Y24" s="169" t="str">
        <f>IF(SUM(W24:W24)&gt;0,X24/SUM(W24:W24)*1000000,"N/A")</f>
        <v>N/A</v>
      </c>
      <c r="Z24" s="80"/>
      <c r="AA24" s="80"/>
      <c r="AB24" s="73"/>
      <c r="AC24" s="153"/>
      <c r="AD24" s="331"/>
      <c r="AE24" s="57"/>
      <c r="AF24" s="88"/>
      <c r="AG24" s="182">
        <f>YEAR(V24)</f>
        <v>2026</v>
      </c>
      <c r="AH24" s="86">
        <f>+IF(AG24=$AH$22,MONTH(V24),"")</f>
        <v>3</v>
      </c>
      <c r="AI24" s="86" t="str">
        <f>+IF(AG24=$AI$22,MONTH(V24),"")</f>
        <v/>
      </c>
      <c r="AJ24" s="86" t="str">
        <f>+IF(AG24=$AJ$22,MONTH(V24),"")</f>
        <v/>
      </c>
      <c r="AK24" s="86" t="str">
        <f>+IF(AG24=$AK$22,MONTH(V24),"")</f>
        <v/>
      </c>
      <c r="AL24" s="86" t="str">
        <f>+IF(AG24=$AL$22,MONTH(V24),"")</f>
        <v/>
      </c>
      <c r="AM24" s="86" t="str">
        <f>+IF($AG24=$AM$22,MONTH($D24),"")</f>
        <v/>
      </c>
      <c r="AN24" s="89" t="str">
        <f>+IF($AG24=AN$22,MONTH($D24),"")</f>
        <v/>
      </c>
      <c r="AO24" s="89" t="str">
        <f>+IF($AG24=AO$22,MONTH($D24),"")</f>
        <v/>
      </c>
      <c r="AP24" s="89" t="str">
        <f>+IF($AG24=AP$22,MONTH($D24),"")</f>
        <v/>
      </c>
      <c r="AQ24" s="89" t="str">
        <f>+IF($AG24=AQ$22,MONTH($D24),"")</f>
        <v/>
      </c>
      <c r="AR24" s="89" t="str">
        <f>+IF($AG24=AR$22,MONTH($D24),"")</f>
        <v/>
      </c>
      <c r="AS24" s="89" t="str">
        <f>+IF($AG24=AS$22,MONTH($D24),"")</f>
        <v/>
      </c>
      <c r="AT24" s="89" t="str">
        <f>+IF($AG24=AT$22,MONTH($D24),"")</f>
        <v/>
      </c>
      <c r="AU24" s="89" t="str">
        <f>+IF($AG24=AU$22,MONTH($D24),"")</f>
        <v/>
      </c>
      <c r="AV24" s="89" t="str">
        <f>+IF($AG24=AV$22,MONTH($D24),"")</f>
        <v/>
      </c>
      <c r="AW24" s="86" t="str">
        <f>+IF($AG24=AW$22,MONTH($D24),"")</f>
        <v/>
      </c>
      <c r="AX24" s="86" t="str">
        <f>+IF($AG24=AX$22,MONTH($D24),"")</f>
        <v/>
      </c>
      <c r="AY24" s="89"/>
      <c r="AZ24" s="89"/>
      <c r="BA24" s="89"/>
      <c r="BB24" s="89"/>
      <c r="BC24" s="89"/>
      <c r="BD24" s="89"/>
      <c r="BE24" s="89"/>
      <c r="BF24" s="89"/>
      <c r="BG24" s="89"/>
      <c r="BH24" s="89"/>
      <c r="BI24" s="89"/>
      <c r="BJ24" s="89"/>
      <c r="BK24" s="89"/>
      <c r="BL24" s="89"/>
      <c r="BM24" s="89"/>
      <c r="BN24" s="89"/>
      <c r="BO24" s="89"/>
      <c r="BP24" s="89"/>
    </row>
    <row r="25" spans="1:68" s="56" customFormat="1" ht="25.5" hidden="1" customHeight="1">
      <c r="A25" s="204" t="str">
        <f>+IFERROR(VALUE(MID(AB25,4,4)),"")</f>
        <v/>
      </c>
      <c r="B25" s="204">
        <f>VALUE(RIGHT(C25,LEN(C25)-2))</f>
        <v>2697</v>
      </c>
      <c r="C25" s="74" t="s">
        <v>222</v>
      </c>
      <c r="D25" s="75">
        <v>46080</v>
      </c>
      <c r="E25" s="70" t="s">
        <v>223</v>
      </c>
      <c r="F25" s="70" t="s">
        <v>223</v>
      </c>
      <c r="G25" s="68" t="s">
        <v>224</v>
      </c>
      <c r="H25" s="394" t="s">
        <v>225</v>
      </c>
      <c r="I25" s="69" t="s">
        <v>226</v>
      </c>
      <c r="J25" s="69"/>
      <c r="K25" s="68" t="s">
        <v>227</v>
      </c>
      <c r="L25" s="69" t="s">
        <v>123</v>
      </c>
      <c r="M25" s="71" t="s">
        <v>141</v>
      </c>
      <c r="N25" s="69" t="e" vm="1">
        <v>#VALUE!</v>
      </c>
      <c r="O25" s="84">
        <v>46084</v>
      </c>
      <c r="P25" s="72" t="s">
        <v>228</v>
      </c>
      <c r="Q25" s="72" t="s">
        <v>229</v>
      </c>
      <c r="R25" s="72" t="s">
        <v>230</v>
      </c>
      <c r="S25" s="146"/>
      <c r="T25" s="68" t="s">
        <v>158</v>
      </c>
      <c r="U25" s="87"/>
      <c r="V25" s="80">
        <v>46084</v>
      </c>
      <c r="W25" s="73"/>
      <c r="X25" s="73"/>
      <c r="Y25" s="169" t="str">
        <f>IF(SUM(W25:W25)&gt;0,X25/SUM(W25:W25)*1000000,"N/A")</f>
        <v>N/A</v>
      </c>
      <c r="Z25" s="80"/>
      <c r="AA25" s="80"/>
      <c r="AB25" s="73"/>
      <c r="AC25" s="153"/>
      <c r="AD25" s="331"/>
      <c r="AE25" s="57"/>
      <c r="AF25" s="88"/>
      <c r="AG25" s="182">
        <f>YEAR(V25)</f>
        <v>2026</v>
      </c>
      <c r="AH25" s="86">
        <f>+IF(AG25=$AH$22,MONTH(V25),"")</f>
        <v>3</v>
      </c>
      <c r="AI25" s="86" t="str">
        <f>+IF(AG25=$AI$22,MONTH(V25),"")</f>
        <v/>
      </c>
      <c r="AJ25" s="86" t="str">
        <f>+IF(AG25=$AJ$22,MONTH(V25),"")</f>
        <v/>
      </c>
      <c r="AK25" s="86" t="str">
        <f>+IF(AG25=$AK$22,MONTH(V25),"")</f>
        <v/>
      </c>
      <c r="AL25" s="86" t="str">
        <f>+IF(AG25=$AL$22,MONTH(V25),"")</f>
        <v/>
      </c>
      <c r="AM25" s="86" t="str">
        <f>+IF($AG25=$AM$22,MONTH($D25),"")</f>
        <v/>
      </c>
      <c r="AN25" s="89" t="str">
        <f>+IF($AG25=AN$22,MONTH($D25),"")</f>
        <v/>
      </c>
      <c r="AO25" s="89" t="str">
        <f>+IF($AG25=AO$22,MONTH($D25),"")</f>
        <v/>
      </c>
      <c r="AP25" s="89" t="str">
        <f>+IF($AG25=AP$22,MONTH($D25),"")</f>
        <v/>
      </c>
      <c r="AQ25" s="89" t="str">
        <f>+IF($AG25=AQ$22,MONTH($D25),"")</f>
        <v/>
      </c>
      <c r="AR25" s="89" t="str">
        <f>+IF($AG25=AR$22,MONTH($D25),"")</f>
        <v/>
      </c>
      <c r="AS25" s="89" t="str">
        <f>+IF($AG25=AS$22,MONTH($D25),"")</f>
        <v/>
      </c>
      <c r="AT25" s="89" t="str">
        <f>+IF($AG25=AT$22,MONTH($D25),"")</f>
        <v/>
      </c>
      <c r="AU25" s="89" t="str">
        <f>+IF($AG25=AU$22,MONTH($D25),"")</f>
        <v/>
      </c>
      <c r="AV25" s="89" t="str">
        <f>+IF($AG25=AV$22,MONTH($D25),"")</f>
        <v/>
      </c>
      <c r="AW25" s="86" t="str">
        <f>+IF($AG25=AW$22,MONTH($D25),"")</f>
        <v/>
      </c>
      <c r="AX25" s="86" t="str">
        <f>+IF($AG25=AX$22,MONTH($D25),"")</f>
        <v/>
      </c>
      <c r="AY25" s="89"/>
      <c r="AZ25" s="89"/>
      <c r="BA25" s="89"/>
      <c r="BB25" s="89"/>
      <c r="BC25" s="89"/>
      <c r="BD25" s="89"/>
      <c r="BE25" s="89"/>
      <c r="BF25" s="89"/>
      <c r="BG25" s="89"/>
      <c r="BH25" s="89"/>
      <c r="BI25" s="89"/>
      <c r="BJ25" s="89"/>
      <c r="BK25" s="89"/>
      <c r="BL25" s="89"/>
      <c r="BM25" s="89"/>
      <c r="BN25" s="89"/>
      <c r="BO25" s="89"/>
      <c r="BP25" s="89"/>
    </row>
    <row r="26" spans="1:68" s="56" customFormat="1" ht="25.5" customHeight="1">
      <c r="A26" s="204" t="str">
        <f>+IFERROR(VALUE(MID(AB26,4,4)),"")</f>
        <v/>
      </c>
      <c r="B26" s="204">
        <f>VALUE(RIGHT(C26,LEN(C26)-2))</f>
        <v>2696</v>
      </c>
      <c r="C26" s="74" t="s">
        <v>231</v>
      </c>
      <c r="D26" s="75">
        <v>46080</v>
      </c>
      <c r="E26" s="70" t="s">
        <v>215</v>
      </c>
      <c r="F26" s="70" t="s">
        <v>215</v>
      </c>
      <c r="G26" s="68" t="s">
        <v>232</v>
      </c>
      <c r="H26" s="395" t="s">
        <v>233</v>
      </c>
      <c r="I26" s="69" t="s">
        <v>234</v>
      </c>
      <c r="J26" s="69"/>
      <c r="K26" s="68" t="s">
        <v>18</v>
      </c>
      <c r="L26" s="69" t="s">
        <v>123</v>
      </c>
      <c r="M26" s="71" t="s">
        <v>113</v>
      </c>
      <c r="N26" s="69" t="e" vm="2">
        <v>#VALUE!</v>
      </c>
      <c r="O26" s="84">
        <v>46083</v>
      </c>
      <c r="P26" s="72" t="s">
        <v>219</v>
      </c>
      <c r="Q26" s="72" t="s">
        <v>220</v>
      </c>
      <c r="R26" s="72" t="s">
        <v>221</v>
      </c>
      <c r="S26" s="146"/>
      <c r="T26" s="68" t="s">
        <v>158</v>
      </c>
      <c r="U26" s="87"/>
      <c r="V26" s="80">
        <v>46087</v>
      </c>
      <c r="W26" s="73">
        <v>584</v>
      </c>
      <c r="X26" s="73">
        <v>20.245999999999999</v>
      </c>
      <c r="Y26" s="169">
        <f>IF(SUM(W26:W26)&gt;0,X26/SUM(W26:W26)*1000000,"N/A")</f>
        <v>34667.808219178078</v>
      </c>
      <c r="Z26" s="80"/>
      <c r="AA26" s="80"/>
      <c r="AB26" s="73"/>
      <c r="AC26" s="153"/>
      <c r="AD26" s="331"/>
      <c r="AE26" s="57"/>
      <c r="AF26" s="88"/>
      <c r="AG26" s="182">
        <f>YEAR(V26)</f>
        <v>2026</v>
      </c>
      <c r="AH26" s="86">
        <f>+IF(AG26=$AH$22,MONTH(V26),"")</f>
        <v>3</v>
      </c>
      <c r="AI26" s="86" t="str">
        <f>+IF(AG26=$AI$22,MONTH(V26),"")</f>
        <v/>
      </c>
      <c r="AJ26" s="86" t="str">
        <f>+IF(AG26=$AJ$22,MONTH(V26),"")</f>
        <v/>
      </c>
      <c r="AK26" s="86" t="str">
        <f>+IF(AG26=$AK$22,MONTH(V26),"")</f>
        <v/>
      </c>
      <c r="AL26" s="86" t="str">
        <f>+IF(AG26=$AL$22,MONTH(V26),"")</f>
        <v/>
      </c>
      <c r="AM26" s="86" t="str">
        <f>+IF($AG26=$AM$22,MONTH($D26),"")</f>
        <v/>
      </c>
      <c r="AN26" s="89" t="str">
        <f>+IF($AG26=AN$22,MONTH($D26),"")</f>
        <v/>
      </c>
      <c r="AO26" s="89" t="str">
        <f>+IF($AG26=AO$22,MONTH($D26),"")</f>
        <v/>
      </c>
      <c r="AP26" s="89" t="str">
        <f>+IF($AG26=AP$22,MONTH($D26),"")</f>
        <v/>
      </c>
      <c r="AQ26" s="89" t="str">
        <f>+IF($AG26=AQ$22,MONTH($D26),"")</f>
        <v/>
      </c>
      <c r="AR26" s="89" t="str">
        <f>+IF($AG26=AR$22,MONTH($D26),"")</f>
        <v/>
      </c>
      <c r="AS26" s="89" t="str">
        <f>+IF($AG26=AS$22,MONTH($D26),"")</f>
        <v/>
      </c>
      <c r="AT26" s="89" t="str">
        <f>+IF($AG26=AT$22,MONTH($D26),"")</f>
        <v/>
      </c>
      <c r="AU26" s="89" t="str">
        <f>+IF($AG26=AU$22,MONTH($D26),"")</f>
        <v/>
      </c>
      <c r="AV26" s="89" t="str">
        <f>+IF($AG26=AV$22,MONTH($D26),"")</f>
        <v/>
      </c>
      <c r="AW26" s="86" t="str">
        <f>+IF($AG26=AW$22,MONTH($D26),"")</f>
        <v/>
      </c>
      <c r="AX26" s="86" t="str">
        <f>+IF($AG26=AX$22,MONTH($D26),"")</f>
        <v/>
      </c>
      <c r="AY26" s="89"/>
      <c r="AZ26" s="89"/>
      <c r="BA26" s="89"/>
      <c r="BB26" s="89"/>
      <c r="BC26" s="89"/>
      <c r="BD26" s="89"/>
      <c r="BE26" s="89"/>
      <c r="BF26" s="89"/>
      <c r="BG26" s="89"/>
      <c r="BH26" s="89"/>
      <c r="BI26" s="89"/>
      <c r="BJ26" s="89"/>
      <c r="BK26" s="89"/>
      <c r="BL26" s="89"/>
      <c r="BM26" s="89"/>
      <c r="BN26" s="89"/>
      <c r="BO26" s="89"/>
      <c r="BP26" s="89"/>
    </row>
    <row r="27" spans="1:68" s="56" customFormat="1" ht="25.5" hidden="1" customHeight="1">
      <c r="A27" s="204" t="str">
        <f>+IFERROR(VALUE(MID(AB27,4,4)),"")</f>
        <v/>
      </c>
      <c r="B27" s="204">
        <f>VALUE(RIGHT(C27,LEN(C27)-2))</f>
        <v>2695</v>
      </c>
      <c r="C27" s="74" t="s">
        <v>235</v>
      </c>
      <c r="D27" s="75">
        <v>46078</v>
      </c>
      <c r="E27" s="70" t="s">
        <v>215</v>
      </c>
      <c r="F27" s="70" t="s">
        <v>215</v>
      </c>
      <c r="G27" s="68" t="s">
        <v>236</v>
      </c>
      <c r="H27" s="395" t="s">
        <v>237</v>
      </c>
      <c r="I27" s="69" t="s">
        <v>238</v>
      </c>
      <c r="J27" s="69"/>
      <c r="K27" s="68" t="s">
        <v>18</v>
      </c>
      <c r="L27" s="69" t="s">
        <v>129</v>
      </c>
      <c r="M27" s="71" t="s">
        <v>113</v>
      </c>
      <c r="N27" s="69" t="e" vm="2">
        <v>#VALUE!</v>
      </c>
      <c r="O27" s="84">
        <v>46085</v>
      </c>
      <c r="P27" s="84" t="s">
        <v>239</v>
      </c>
      <c r="Q27" s="72" t="s">
        <v>240</v>
      </c>
      <c r="R27" s="72" t="s">
        <v>230</v>
      </c>
      <c r="S27" s="146"/>
      <c r="T27" s="68" t="s">
        <v>158</v>
      </c>
      <c r="U27" s="87"/>
      <c r="V27" s="80">
        <v>46085</v>
      </c>
      <c r="W27" s="73">
        <v>459</v>
      </c>
      <c r="X27" s="73">
        <v>28</v>
      </c>
      <c r="Y27" s="169">
        <f>IF(SUM(W27:W27)&gt;0,X27/SUM(W27:W27)*1000000,"N/A")</f>
        <v>61002.178649237474</v>
      </c>
      <c r="Z27" s="80"/>
      <c r="AA27" s="80"/>
      <c r="AB27" s="73"/>
      <c r="AC27" s="153"/>
      <c r="AD27" s="331"/>
      <c r="AE27" s="57"/>
      <c r="AF27" s="88"/>
      <c r="AG27" s="182">
        <f>YEAR(V27)</f>
        <v>2026</v>
      </c>
      <c r="AH27" s="86">
        <f>+IF(AG27=$AH$22,MONTH(V27),"")</f>
        <v>3</v>
      </c>
      <c r="AI27" s="86" t="str">
        <f>+IF(AG27=$AI$22,MONTH(V27),"")</f>
        <v/>
      </c>
      <c r="AJ27" s="86" t="str">
        <f>+IF(AG27=$AJ$22,MONTH(V27),"")</f>
        <v/>
      </c>
      <c r="AK27" s="86" t="str">
        <f>+IF(AG27=$AK$22,MONTH(V27),"")</f>
        <v/>
      </c>
      <c r="AL27" s="86" t="str">
        <f>+IF(AG27=$AL$22,MONTH(V27),"")</f>
        <v/>
      </c>
      <c r="AM27" s="86" t="str">
        <f>+IF($AG27=$AM$22,MONTH($D27),"")</f>
        <v/>
      </c>
      <c r="AN27" s="89" t="str">
        <f>+IF($AG27=AN$22,MONTH($D27),"")</f>
        <v/>
      </c>
      <c r="AO27" s="89" t="str">
        <f>+IF($AG27=AO$22,MONTH($D27),"")</f>
        <v/>
      </c>
      <c r="AP27" s="89" t="str">
        <f>+IF($AG27=AP$22,MONTH($D27),"")</f>
        <v/>
      </c>
      <c r="AQ27" s="89" t="str">
        <f>+IF($AG27=AQ$22,MONTH($D27),"")</f>
        <v/>
      </c>
      <c r="AR27" s="89" t="str">
        <f>+IF($AG27=AR$22,MONTH($D27),"")</f>
        <v/>
      </c>
      <c r="AS27" s="89" t="str">
        <f>+IF($AG27=AS$22,MONTH($D27),"")</f>
        <v/>
      </c>
      <c r="AT27" s="89" t="str">
        <f>+IF($AG27=AT$22,MONTH($D27),"")</f>
        <v/>
      </c>
      <c r="AU27" s="89" t="str">
        <f>+IF($AG27=AU$22,MONTH($D27),"")</f>
        <v/>
      </c>
      <c r="AV27" s="89" t="str">
        <f>+IF($AG27=AV$22,MONTH($D27),"")</f>
        <v/>
      </c>
      <c r="AW27" s="86" t="str">
        <f>+IF($AG27=AW$22,MONTH($D27),"")</f>
        <v/>
      </c>
      <c r="AX27" s="86" t="str">
        <f>+IF($AG27=AX$22,MONTH($D27),"")</f>
        <v/>
      </c>
      <c r="AY27" s="89"/>
      <c r="AZ27" s="89"/>
      <c r="BA27" s="89"/>
      <c r="BB27" s="89"/>
      <c r="BC27" s="89"/>
      <c r="BD27" s="89"/>
      <c r="BE27" s="89"/>
      <c r="BF27" s="89"/>
      <c r="BG27" s="89"/>
      <c r="BH27" s="89"/>
      <c r="BI27" s="89"/>
      <c r="BJ27" s="89"/>
      <c r="BK27" s="89"/>
      <c r="BL27" s="89"/>
      <c r="BM27" s="89"/>
      <c r="BN27" s="89"/>
      <c r="BO27" s="89"/>
      <c r="BP27" s="89"/>
    </row>
    <row r="28" spans="1:68" s="56" customFormat="1" ht="25.5" customHeight="1">
      <c r="A28" s="204" t="str">
        <f>+IFERROR(VALUE(MID(AB28,4,4)),"")</f>
        <v/>
      </c>
      <c r="B28" s="204">
        <f>VALUE(RIGHT(C28,LEN(C28)-2))</f>
        <v>2694</v>
      </c>
      <c r="C28" s="74" t="s">
        <v>241</v>
      </c>
      <c r="D28" s="75">
        <v>46078</v>
      </c>
      <c r="E28" s="70" t="s">
        <v>242</v>
      </c>
      <c r="F28" s="70" t="s">
        <v>243</v>
      </c>
      <c r="G28" s="68" t="s">
        <v>244</v>
      </c>
      <c r="H28" s="395" t="s">
        <v>245</v>
      </c>
      <c r="I28" s="69" t="s">
        <v>246</v>
      </c>
      <c r="J28" s="69"/>
      <c r="K28" s="68" t="s">
        <v>13</v>
      </c>
      <c r="L28" s="69" t="s">
        <v>129</v>
      </c>
      <c r="M28" s="71" t="s">
        <v>141</v>
      </c>
      <c r="N28" s="69" t="e" vm="1">
        <v>#VALUE!</v>
      </c>
      <c r="O28" s="84">
        <v>46092</v>
      </c>
      <c r="P28" s="72" t="s">
        <v>213</v>
      </c>
      <c r="Q28" s="72" t="s">
        <v>240</v>
      </c>
      <c r="R28" s="72" t="s">
        <v>230</v>
      </c>
      <c r="S28" s="146"/>
      <c r="T28" s="68" t="s">
        <v>64</v>
      </c>
      <c r="U28" s="87"/>
      <c r="V28" s="80">
        <v>46080</v>
      </c>
      <c r="W28" s="73"/>
      <c r="X28" s="73"/>
      <c r="Y28" s="169" t="str">
        <f>IF(SUM(W28:W28)&gt;0,X28/SUM(W28:W28)*1000000,"N/A")</f>
        <v>N/A</v>
      </c>
      <c r="Z28" s="80"/>
      <c r="AA28" s="80"/>
      <c r="AB28" s="73"/>
      <c r="AC28" s="153"/>
      <c r="AD28" s="331"/>
      <c r="AE28" s="57"/>
      <c r="AF28" s="88"/>
      <c r="AG28" s="182">
        <f>YEAR(V28)</f>
        <v>2026</v>
      </c>
      <c r="AH28" s="86">
        <f>+IF(AG28=$AH$22,MONTH(V28),"")</f>
        <v>2</v>
      </c>
      <c r="AI28" s="86" t="str">
        <f>+IF(AG28=$AI$22,MONTH(V28),"")</f>
        <v/>
      </c>
      <c r="AJ28" s="86" t="str">
        <f>+IF(AG28=$AJ$22,MONTH(V28),"")</f>
        <v/>
      </c>
      <c r="AK28" s="86" t="str">
        <f>+IF(AG28=$AK$22,MONTH(V28),"")</f>
        <v/>
      </c>
      <c r="AL28" s="86" t="str">
        <f>+IF(AG28=$AL$22,MONTH(V28),"")</f>
        <v/>
      </c>
      <c r="AM28" s="86" t="str">
        <f>+IF($AG28=$AM$22,MONTH($D28),"")</f>
        <v/>
      </c>
      <c r="AN28" s="89" t="str">
        <f>+IF($AG28=AN$22,MONTH($D28),"")</f>
        <v/>
      </c>
      <c r="AO28" s="89" t="str">
        <f>+IF($AG28=AO$22,MONTH($D28),"")</f>
        <v/>
      </c>
      <c r="AP28" s="89" t="str">
        <f>+IF($AG28=AP$22,MONTH($D28),"")</f>
        <v/>
      </c>
      <c r="AQ28" s="89" t="str">
        <f>+IF($AG28=AQ$22,MONTH($D28),"")</f>
        <v/>
      </c>
      <c r="AR28" s="89" t="str">
        <f>+IF($AG28=AR$22,MONTH($D28),"")</f>
        <v/>
      </c>
      <c r="AS28" s="89" t="str">
        <f>+IF($AG28=AS$22,MONTH($D28),"")</f>
        <v/>
      </c>
      <c r="AT28" s="89" t="str">
        <f>+IF($AG28=AT$22,MONTH($D28),"")</f>
        <v/>
      </c>
      <c r="AU28" s="89" t="str">
        <f>+IF($AG28=AU$22,MONTH($D28),"")</f>
        <v/>
      </c>
      <c r="AV28" s="89" t="str">
        <f>+IF($AG28=AV$22,MONTH($D28),"")</f>
        <v/>
      </c>
      <c r="AW28" s="86" t="str">
        <f>+IF($AG28=AW$22,MONTH($D28),"")</f>
        <v/>
      </c>
      <c r="AX28" s="86" t="str">
        <f>+IF($AG28=AX$22,MONTH($D28),"")</f>
        <v/>
      </c>
      <c r="AY28" s="89"/>
      <c r="AZ28" s="89"/>
      <c r="BA28" s="89"/>
      <c r="BB28" s="89"/>
      <c r="BC28" s="89"/>
      <c r="BD28" s="89"/>
      <c r="BE28" s="89"/>
      <c r="BF28" s="89"/>
      <c r="BG28" s="89"/>
      <c r="BH28" s="89"/>
      <c r="BI28" s="89"/>
      <c r="BJ28" s="89"/>
      <c r="BK28" s="89"/>
      <c r="BL28" s="89"/>
      <c r="BM28" s="89"/>
      <c r="BN28" s="89"/>
      <c r="BO28" s="89"/>
      <c r="BP28" s="89"/>
    </row>
    <row r="29" spans="1:68" s="56" customFormat="1" ht="25.5" customHeight="1">
      <c r="A29" s="204" t="str">
        <f>+IFERROR(VALUE(MID(AB29,4,4)),"")</f>
        <v/>
      </c>
      <c r="B29" s="204">
        <f>VALUE(RIGHT(C29,LEN(C29)-2))</f>
        <v>2693</v>
      </c>
      <c r="C29" s="74" t="s">
        <v>247</v>
      </c>
      <c r="D29" s="75">
        <v>46079</v>
      </c>
      <c r="E29" s="70" t="s">
        <v>215</v>
      </c>
      <c r="F29" s="70" t="s">
        <v>215</v>
      </c>
      <c r="G29" s="68" t="s">
        <v>232</v>
      </c>
      <c r="H29" s="395" t="s">
        <v>233</v>
      </c>
      <c r="I29" s="69" t="s">
        <v>248</v>
      </c>
      <c r="J29" s="69"/>
      <c r="K29" s="68" t="s">
        <v>13</v>
      </c>
      <c r="L29" s="69" t="s">
        <v>123</v>
      </c>
      <c r="M29" s="71" t="s">
        <v>113</v>
      </c>
      <c r="N29" s="69" t="e" vm="2">
        <v>#VALUE!</v>
      </c>
      <c r="O29" s="84">
        <v>46093</v>
      </c>
      <c r="P29" s="72" t="s">
        <v>219</v>
      </c>
      <c r="Q29" s="72" t="s">
        <v>220</v>
      </c>
      <c r="R29" s="72" t="s">
        <v>221</v>
      </c>
      <c r="S29" s="146"/>
      <c r="T29" s="68" t="s">
        <v>64</v>
      </c>
      <c r="U29" s="87"/>
      <c r="V29" s="80">
        <v>46080</v>
      </c>
      <c r="W29" s="73"/>
      <c r="X29" s="73"/>
      <c r="Y29" s="169" t="str">
        <f>IF(SUM(W29:W29)&gt;0,X29/SUM(W29:W29)*1000000,"N/A")</f>
        <v>N/A</v>
      </c>
      <c r="Z29" s="80"/>
      <c r="AA29" s="80"/>
      <c r="AB29" s="73"/>
      <c r="AC29" s="153"/>
      <c r="AD29" s="331"/>
      <c r="AE29" s="57"/>
      <c r="AF29" s="88"/>
      <c r="AG29" s="182">
        <f>YEAR(V29)</f>
        <v>2026</v>
      </c>
      <c r="AH29" s="86">
        <f>+IF(AG29=$AH$22,MONTH(V29),"")</f>
        <v>2</v>
      </c>
      <c r="AI29" s="86" t="str">
        <f>+IF(AG29=$AI$22,MONTH(V29),"")</f>
        <v/>
      </c>
      <c r="AJ29" s="86" t="str">
        <f>+IF(AG29=$AJ$22,MONTH(V29),"")</f>
        <v/>
      </c>
      <c r="AK29" s="86" t="str">
        <f>+IF(AG29=$AK$22,MONTH(V29),"")</f>
        <v/>
      </c>
      <c r="AL29" s="86" t="str">
        <f>+IF(AG29=$AL$22,MONTH(V29),"")</f>
        <v/>
      </c>
      <c r="AM29" s="86" t="str">
        <f>+IF($AG29=$AM$22,MONTH($D29),"")</f>
        <v/>
      </c>
      <c r="AN29" s="89" t="str">
        <f>+IF($AG29=AN$22,MONTH($D29),"")</f>
        <v/>
      </c>
      <c r="AO29" s="89" t="str">
        <f>+IF($AG29=AO$22,MONTH($D29),"")</f>
        <v/>
      </c>
      <c r="AP29" s="89" t="str">
        <f>+IF($AG29=AP$22,MONTH($D29),"")</f>
        <v/>
      </c>
      <c r="AQ29" s="89" t="str">
        <f>+IF($AG29=AQ$22,MONTH($D29),"")</f>
        <v/>
      </c>
      <c r="AR29" s="89" t="str">
        <f>+IF($AG29=AR$22,MONTH($D29),"")</f>
        <v/>
      </c>
      <c r="AS29" s="89" t="str">
        <f>+IF($AG29=AS$22,MONTH($D29),"")</f>
        <v/>
      </c>
      <c r="AT29" s="89" t="str">
        <f>+IF($AG29=AT$22,MONTH($D29),"")</f>
        <v/>
      </c>
      <c r="AU29" s="89" t="str">
        <f>+IF($AG29=AU$22,MONTH($D29),"")</f>
        <v/>
      </c>
      <c r="AV29" s="89" t="str">
        <f>+IF($AG29=AV$22,MONTH($D29),"")</f>
        <v/>
      </c>
      <c r="AW29" s="86" t="str">
        <f>+IF($AG29=AW$22,MONTH($D29),"")</f>
        <v/>
      </c>
      <c r="AX29" s="86" t="str">
        <f>+IF($AG29=AX$22,MONTH($D29),"")</f>
        <v/>
      </c>
      <c r="AY29" s="89"/>
      <c r="AZ29" s="89"/>
      <c r="BA29" s="89"/>
      <c r="BB29" s="89"/>
      <c r="BC29" s="89"/>
      <c r="BD29" s="89"/>
      <c r="BE29" s="89"/>
      <c r="BF29" s="89"/>
      <c r="BG29" s="89"/>
      <c r="BH29" s="89"/>
      <c r="BI29" s="89"/>
      <c r="BJ29" s="89"/>
      <c r="BK29" s="89"/>
      <c r="BL29" s="89"/>
      <c r="BM29" s="89"/>
      <c r="BN29" s="89"/>
      <c r="BO29" s="89"/>
      <c r="BP29" s="89"/>
    </row>
    <row r="30" spans="1:68" s="56" customFormat="1" ht="25.5" hidden="1" customHeight="1">
      <c r="A30" s="204" t="str">
        <f>+IFERROR(VALUE(MID(AB30,4,4)),"")</f>
        <v/>
      </c>
      <c r="B30" s="204">
        <f>VALUE(RIGHT(C30,LEN(C30)-2))</f>
        <v>2692</v>
      </c>
      <c r="C30" s="74" t="s">
        <v>249</v>
      </c>
      <c r="D30" s="75">
        <v>46076</v>
      </c>
      <c r="E30" s="70" t="s">
        <v>215</v>
      </c>
      <c r="F30" s="70" t="s">
        <v>215</v>
      </c>
      <c r="G30" s="68" t="s">
        <v>216</v>
      </c>
      <c r="H30" s="395" t="s">
        <v>217</v>
      </c>
      <c r="I30" s="69" t="s">
        <v>250</v>
      </c>
      <c r="J30" s="69"/>
      <c r="K30" s="68" t="s">
        <v>11</v>
      </c>
      <c r="L30" s="69" t="s">
        <v>123</v>
      </c>
      <c r="M30" s="71" t="s">
        <v>113</v>
      </c>
      <c r="N30" s="69" t="e" vm="2">
        <v>#VALUE!</v>
      </c>
      <c r="O30" s="84">
        <v>46080</v>
      </c>
      <c r="P30" s="72" t="s">
        <v>219</v>
      </c>
      <c r="Q30" s="72" t="s">
        <v>220</v>
      </c>
      <c r="R30" s="72" t="s">
        <v>221</v>
      </c>
      <c r="S30" s="146"/>
      <c r="T30" s="68" t="s">
        <v>158</v>
      </c>
      <c r="U30" s="87">
        <v>0.1</v>
      </c>
      <c r="V30" s="80">
        <v>46080</v>
      </c>
      <c r="W30" s="73">
        <v>3386</v>
      </c>
      <c r="X30" s="73">
        <v>107</v>
      </c>
      <c r="Y30" s="169">
        <f>IF(SUM(W30:W30)&gt;0,X30/SUM(W30:W30)*1000000,"N/A")</f>
        <v>31600.708800945067</v>
      </c>
      <c r="Z30" s="80"/>
      <c r="AA30" s="80"/>
      <c r="AB30" s="73"/>
      <c r="AC30" s="153"/>
      <c r="AD30" s="331"/>
      <c r="AE30" s="57"/>
      <c r="AF30" s="88"/>
      <c r="AG30" s="182">
        <f>YEAR(V30)</f>
        <v>2026</v>
      </c>
      <c r="AH30" s="86">
        <f>+IF(AG30=$AH$22,MONTH(V30),"")</f>
        <v>2</v>
      </c>
      <c r="AI30" s="86" t="str">
        <f>+IF(AG30=$AI$22,MONTH(V30),"")</f>
        <v/>
      </c>
      <c r="AJ30" s="86" t="str">
        <f>+IF(AG30=$AJ$22,MONTH(V30),"")</f>
        <v/>
      </c>
      <c r="AK30" s="86" t="str">
        <f>+IF(AG30=$AK$22,MONTH(V30),"")</f>
        <v/>
      </c>
      <c r="AL30" s="86" t="str">
        <f>+IF(AG30=$AL$22,MONTH(V30),"")</f>
        <v/>
      </c>
      <c r="AM30" s="86" t="str">
        <f>+IF($AG30=$AM$22,MONTH($D30),"")</f>
        <v/>
      </c>
      <c r="AN30" s="89" t="str">
        <f>+IF($AG30=AN$22,MONTH($D30),"")</f>
        <v/>
      </c>
      <c r="AO30" s="89" t="str">
        <f>+IF($AG30=AO$22,MONTH($D30),"")</f>
        <v/>
      </c>
      <c r="AP30" s="89" t="str">
        <f>+IF($AG30=AP$22,MONTH($D30),"")</f>
        <v/>
      </c>
      <c r="AQ30" s="89" t="str">
        <f>+IF($AG30=AQ$22,MONTH($D30),"")</f>
        <v/>
      </c>
      <c r="AR30" s="89" t="str">
        <f>+IF($AG30=AR$22,MONTH($D30),"")</f>
        <v/>
      </c>
      <c r="AS30" s="89" t="str">
        <f>+IF($AG30=AS$22,MONTH($D30),"")</f>
        <v/>
      </c>
      <c r="AT30" s="89" t="str">
        <f>+IF($AG30=AT$22,MONTH($D30),"")</f>
        <v/>
      </c>
      <c r="AU30" s="89" t="str">
        <f>+IF($AG30=AU$22,MONTH($D30),"")</f>
        <v/>
      </c>
      <c r="AV30" s="89" t="str">
        <f>+IF($AG30=AV$22,MONTH($D30),"")</f>
        <v/>
      </c>
      <c r="AW30" s="86" t="str">
        <f>+IF($AG30=AW$22,MONTH($D30),"")</f>
        <v/>
      </c>
      <c r="AX30" s="86" t="str">
        <f>+IF($AG30=AX$22,MONTH($D30),"")</f>
        <v/>
      </c>
      <c r="AY30" s="89"/>
      <c r="AZ30" s="89"/>
      <c r="BA30" s="89"/>
      <c r="BB30" s="89"/>
      <c r="BC30" s="89"/>
      <c r="BD30" s="89"/>
      <c r="BE30" s="89"/>
      <c r="BF30" s="89"/>
      <c r="BG30" s="89"/>
      <c r="BH30" s="89"/>
      <c r="BI30" s="89"/>
      <c r="BJ30" s="89"/>
      <c r="BK30" s="89"/>
      <c r="BL30" s="89"/>
      <c r="BM30" s="89"/>
      <c r="BN30" s="89"/>
      <c r="BO30" s="89"/>
      <c r="BP30" s="89"/>
    </row>
    <row r="31" spans="1:68" s="56" customFormat="1" ht="25.5" customHeight="1">
      <c r="A31" s="204" t="str">
        <f>+IFERROR(VALUE(MID(AB31,4,4)),"")</f>
        <v/>
      </c>
      <c r="B31" s="204">
        <f>VALUE(RIGHT(C31,LEN(C31)-2))</f>
        <v>2691</v>
      </c>
      <c r="C31" s="74" t="s">
        <v>251</v>
      </c>
      <c r="D31" s="75">
        <v>46073</v>
      </c>
      <c r="E31" s="70" t="s">
        <v>53</v>
      </c>
      <c r="F31" s="70" t="s">
        <v>252</v>
      </c>
      <c r="G31" s="68" t="s">
        <v>210</v>
      </c>
      <c r="H31" s="304" t="s">
        <v>210</v>
      </c>
      <c r="I31" s="69" t="s">
        <v>253</v>
      </c>
      <c r="J31" s="69"/>
      <c r="K31" s="68" t="s">
        <v>212</v>
      </c>
      <c r="L31" s="69" t="s">
        <v>123</v>
      </c>
      <c r="M31" s="71" t="s">
        <v>141</v>
      </c>
      <c r="N31" s="69" t="e" vm="1">
        <v>#VALUE!</v>
      </c>
      <c r="O31" s="84">
        <v>46154</v>
      </c>
      <c r="P31" s="72" t="s">
        <v>228</v>
      </c>
      <c r="Q31" s="72" t="s">
        <v>212</v>
      </c>
      <c r="R31" s="72" t="s">
        <v>212</v>
      </c>
      <c r="S31" s="146"/>
      <c r="T31" s="68" t="s">
        <v>64</v>
      </c>
      <c r="U31" s="87"/>
      <c r="V31" s="80">
        <v>46073</v>
      </c>
      <c r="W31" s="73"/>
      <c r="X31" s="73"/>
      <c r="Y31" s="169" t="str">
        <f>IF(SUM(W31:W31)&gt;0,X31/SUM(W31:W31)*1000000,"N/A")</f>
        <v>N/A</v>
      </c>
      <c r="Z31" s="80"/>
      <c r="AA31" s="80"/>
      <c r="AB31" s="73"/>
      <c r="AC31" s="153"/>
      <c r="AD31" s="331"/>
      <c r="AE31" s="57"/>
      <c r="AF31" s="88"/>
      <c r="AG31" s="182">
        <f>YEAR(V31)</f>
        <v>2026</v>
      </c>
      <c r="AH31" s="86">
        <f>+IF(AG31=$AH$22,MONTH(V31),"")</f>
        <v>2</v>
      </c>
      <c r="AI31" s="86" t="str">
        <f>+IF(AG31=$AI$22,MONTH(V31),"")</f>
        <v/>
      </c>
      <c r="AJ31" s="86" t="str">
        <f>+IF(AG31=$AJ$22,MONTH(V31),"")</f>
        <v/>
      </c>
      <c r="AK31" s="86" t="str">
        <f>+IF(AG31=$AK$22,MONTH(V31),"")</f>
        <v/>
      </c>
      <c r="AL31" s="86" t="str">
        <f>+IF(AG31=$AL$22,MONTH(V31),"")</f>
        <v/>
      </c>
      <c r="AM31" s="86" t="str">
        <f>+IF($AG31=$AM$22,MONTH($D31),"")</f>
        <v/>
      </c>
      <c r="AN31" s="89" t="str">
        <f>+IF($AG31=AN$22,MONTH($D31),"")</f>
        <v/>
      </c>
      <c r="AO31" s="89" t="str">
        <f>+IF($AG31=AO$22,MONTH($D31),"")</f>
        <v/>
      </c>
      <c r="AP31" s="89" t="str">
        <f>+IF($AG31=AP$22,MONTH($D31),"")</f>
        <v/>
      </c>
      <c r="AQ31" s="89" t="str">
        <f>+IF($AG31=AQ$22,MONTH($D31),"")</f>
        <v/>
      </c>
      <c r="AR31" s="89" t="str">
        <f>+IF($AG31=AR$22,MONTH($D31),"")</f>
        <v/>
      </c>
      <c r="AS31" s="89" t="str">
        <f>+IF($AG31=AS$22,MONTH($D31),"")</f>
        <v/>
      </c>
      <c r="AT31" s="89" t="str">
        <f>+IF($AG31=AT$22,MONTH($D31),"")</f>
        <v/>
      </c>
      <c r="AU31" s="89" t="str">
        <f>+IF($AG31=AU$22,MONTH($D31),"")</f>
        <v/>
      </c>
      <c r="AV31" s="89" t="str">
        <f>+IF($AG31=AV$22,MONTH($D31),"")</f>
        <v/>
      </c>
      <c r="AW31" s="86" t="str">
        <f>+IF($AG31=AW$22,MONTH($D31),"")</f>
        <v/>
      </c>
      <c r="AX31" s="86" t="str">
        <f>+IF($AG31=AX$22,MONTH($D31),"")</f>
        <v/>
      </c>
      <c r="AY31" s="89"/>
      <c r="AZ31" s="89"/>
      <c r="BA31" s="89"/>
      <c r="BB31" s="89"/>
      <c r="BC31" s="89"/>
      <c r="BD31" s="89"/>
      <c r="BE31" s="89"/>
      <c r="BF31" s="89"/>
      <c r="BG31" s="89"/>
      <c r="BH31" s="89"/>
      <c r="BI31" s="89"/>
      <c r="BJ31" s="89"/>
      <c r="BK31" s="89"/>
      <c r="BL31" s="89"/>
      <c r="BM31" s="89"/>
      <c r="BN31" s="89"/>
      <c r="BO31" s="89"/>
      <c r="BP31" s="89"/>
    </row>
    <row r="32" spans="1:68" s="56" customFormat="1" ht="25.5" customHeight="1">
      <c r="A32" s="204" t="str">
        <f>+IFERROR(VALUE(MID(AB32,4,4)),"")</f>
        <v/>
      </c>
      <c r="B32" s="204">
        <f>VALUE(RIGHT(C32,LEN(C32)-2))</f>
        <v>2690</v>
      </c>
      <c r="C32" s="74" t="s">
        <v>254</v>
      </c>
      <c r="D32" s="75">
        <v>46072</v>
      </c>
      <c r="E32" s="70" t="s">
        <v>255</v>
      </c>
      <c r="F32" s="70" t="s">
        <v>255</v>
      </c>
      <c r="G32" s="68" t="s">
        <v>256</v>
      </c>
      <c r="H32" s="394" t="s">
        <v>210</v>
      </c>
      <c r="I32" s="69" t="s">
        <v>257</v>
      </c>
      <c r="J32" s="69"/>
      <c r="K32" s="68" t="s">
        <v>13</v>
      </c>
      <c r="L32" s="69" t="s">
        <v>123</v>
      </c>
      <c r="M32" s="71" t="s">
        <v>141</v>
      </c>
      <c r="N32" s="69" t="e" vm="1">
        <v>#VALUE!</v>
      </c>
      <c r="O32" s="84">
        <v>46100</v>
      </c>
      <c r="P32" s="72" t="s">
        <v>258</v>
      </c>
      <c r="Q32" s="72" t="s">
        <v>259</v>
      </c>
      <c r="R32" s="72" t="s">
        <v>260</v>
      </c>
      <c r="S32" s="146"/>
      <c r="T32" s="68" t="s">
        <v>64</v>
      </c>
      <c r="U32" s="87"/>
      <c r="V32" s="80">
        <v>46072</v>
      </c>
      <c r="W32" s="73"/>
      <c r="X32" s="73"/>
      <c r="Y32" s="169" t="str">
        <f>IF(SUM(W32:W32)&gt;0,X32/SUM(W32:W32)*1000000,"N/A")</f>
        <v>N/A</v>
      </c>
      <c r="Z32" s="80"/>
      <c r="AA32" s="80"/>
      <c r="AB32" s="73"/>
      <c r="AC32" s="153"/>
      <c r="AD32" s="331"/>
      <c r="AE32" s="57"/>
      <c r="AF32" s="88"/>
      <c r="AG32" s="182">
        <f>YEAR(V32)</f>
        <v>2026</v>
      </c>
      <c r="AH32" s="86">
        <f>+IF(AG32=$AH$22,MONTH(V32),"")</f>
        <v>2</v>
      </c>
      <c r="AI32" s="86" t="str">
        <f>+IF(AG32=$AI$22,MONTH(V32),"")</f>
        <v/>
      </c>
      <c r="AJ32" s="86" t="str">
        <f>+IF(AG32=$AJ$22,MONTH(V32),"")</f>
        <v/>
      </c>
      <c r="AK32" s="86" t="str">
        <f>+IF(AG32=$AK$22,MONTH(V32),"")</f>
        <v/>
      </c>
      <c r="AL32" s="86" t="str">
        <f>+IF(AG32=$AL$22,MONTH(V32),"")</f>
        <v/>
      </c>
      <c r="AM32" s="86" t="str">
        <f>+IF($AG32=$AM$22,MONTH($D32),"")</f>
        <v/>
      </c>
      <c r="AN32" s="89" t="str">
        <f>+IF($AG32=AN$22,MONTH($D32),"")</f>
        <v/>
      </c>
      <c r="AO32" s="89" t="str">
        <f>+IF($AG32=AO$22,MONTH($D32),"")</f>
        <v/>
      </c>
      <c r="AP32" s="89" t="str">
        <f>+IF($AG32=AP$22,MONTH($D32),"")</f>
        <v/>
      </c>
      <c r="AQ32" s="89" t="str">
        <f>+IF($AG32=AQ$22,MONTH($D32),"")</f>
        <v/>
      </c>
      <c r="AR32" s="89" t="str">
        <f>+IF($AG32=AR$22,MONTH($D32),"")</f>
        <v/>
      </c>
      <c r="AS32" s="89" t="str">
        <f>+IF($AG32=AS$22,MONTH($D32),"")</f>
        <v/>
      </c>
      <c r="AT32" s="89" t="str">
        <f>+IF($AG32=AT$22,MONTH($D32),"")</f>
        <v/>
      </c>
      <c r="AU32" s="89" t="str">
        <f>+IF($AG32=AU$22,MONTH($D32),"")</f>
        <v/>
      </c>
      <c r="AV32" s="89" t="str">
        <f>+IF($AG32=AV$22,MONTH($D32),"")</f>
        <v/>
      </c>
      <c r="AW32" s="86" t="str">
        <f>+IF($AG32=AW$22,MONTH($D32),"")</f>
        <v/>
      </c>
      <c r="AX32" s="86" t="str">
        <f>+IF($AG32=AX$22,MONTH($D32),"")</f>
        <v/>
      </c>
      <c r="AY32" s="89"/>
      <c r="AZ32" s="89"/>
      <c r="BA32" s="89"/>
      <c r="BB32" s="89"/>
      <c r="BC32" s="89"/>
      <c r="BD32" s="89"/>
      <c r="BE32" s="89"/>
      <c r="BF32" s="89"/>
      <c r="BG32" s="89"/>
      <c r="BH32" s="89"/>
      <c r="BI32" s="89"/>
      <c r="BJ32" s="89"/>
      <c r="BK32" s="89"/>
      <c r="BL32" s="89"/>
      <c r="BM32" s="89"/>
      <c r="BN32" s="89"/>
      <c r="BO32" s="89"/>
      <c r="BP32" s="89"/>
    </row>
    <row r="33" spans="1:68" s="56" customFormat="1" ht="25.5" hidden="1" customHeight="1">
      <c r="A33" s="204" t="str">
        <f>+IFERROR(VALUE(MID(AB33,4,4)),"")</f>
        <v/>
      </c>
      <c r="B33" s="204">
        <f>VALUE(RIGHT(C33,LEN(C33)-2))</f>
        <v>2689</v>
      </c>
      <c r="C33" s="74" t="s">
        <v>261</v>
      </c>
      <c r="D33" s="75">
        <v>46070</v>
      </c>
      <c r="E33" s="70" t="s">
        <v>262</v>
      </c>
      <c r="F33" s="70" t="s">
        <v>263</v>
      </c>
      <c r="G33" s="68" t="s">
        <v>264</v>
      </c>
      <c r="H33" s="394" t="s">
        <v>265</v>
      </c>
      <c r="I33" s="69" t="s">
        <v>266</v>
      </c>
      <c r="J33" s="69"/>
      <c r="K33" s="68" t="s">
        <v>9</v>
      </c>
      <c r="L33" s="69" t="s">
        <v>123</v>
      </c>
      <c r="M33" s="71" t="s">
        <v>141</v>
      </c>
      <c r="N33" s="69" t="e" vm="1">
        <v>#VALUE!</v>
      </c>
      <c r="O33" s="84">
        <v>46076</v>
      </c>
      <c r="P33" s="72" t="s">
        <v>267</v>
      </c>
      <c r="Q33" s="72" t="s">
        <v>259</v>
      </c>
      <c r="R33" s="72"/>
      <c r="S33" s="146"/>
      <c r="T33" s="68" t="s">
        <v>155</v>
      </c>
      <c r="U33" s="87"/>
      <c r="V33" s="80">
        <v>46076</v>
      </c>
      <c r="W33" s="73"/>
      <c r="X33" s="73"/>
      <c r="Y33" s="169" t="str">
        <f>IF(SUM(W33:W33)&gt;0,X33/SUM(W33:W33)*1000000,"N/A")</f>
        <v>N/A</v>
      </c>
      <c r="Z33" s="80"/>
      <c r="AA33" s="80"/>
      <c r="AB33" s="73"/>
      <c r="AC33" s="153"/>
      <c r="AD33" s="331"/>
      <c r="AE33" s="57"/>
      <c r="AF33" s="88"/>
      <c r="AG33" s="182">
        <f>YEAR(V33)</f>
        <v>2026</v>
      </c>
      <c r="AH33" s="86">
        <f>+IF(AG33=$AH$22,MONTH(V33),"")</f>
        <v>2</v>
      </c>
      <c r="AI33" s="86" t="str">
        <f>+IF(AG33=$AI$22,MONTH(V33),"")</f>
        <v/>
      </c>
      <c r="AJ33" s="86" t="str">
        <f>+IF(AG33=$AJ$22,MONTH(V33),"")</f>
        <v/>
      </c>
      <c r="AK33" s="86" t="str">
        <f>+IF(AG33=$AK$22,MONTH(V33),"")</f>
        <v/>
      </c>
      <c r="AL33" s="86" t="str">
        <f>+IF(AG33=$AL$22,MONTH(V33),"")</f>
        <v/>
      </c>
      <c r="AM33" s="86" t="str">
        <f>+IF($AG33=$AM$22,MONTH($D33),"")</f>
        <v/>
      </c>
      <c r="AN33" s="89" t="str">
        <f>+IF($AG33=AN$22,MONTH($D33),"")</f>
        <v/>
      </c>
      <c r="AO33" s="89" t="str">
        <f>+IF($AG33=AO$22,MONTH($D33),"")</f>
        <v/>
      </c>
      <c r="AP33" s="89" t="str">
        <f>+IF($AG33=AP$22,MONTH($D33),"")</f>
        <v/>
      </c>
      <c r="AQ33" s="89" t="str">
        <f>+IF($AG33=AQ$22,MONTH($D33),"")</f>
        <v/>
      </c>
      <c r="AR33" s="89" t="str">
        <f>+IF($AG33=AR$22,MONTH($D33),"")</f>
        <v/>
      </c>
      <c r="AS33" s="89" t="str">
        <f>+IF($AG33=AS$22,MONTH($D33),"")</f>
        <v/>
      </c>
      <c r="AT33" s="89" t="str">
        <f>+IF($AG33=AT$22,MONTH($D33),"")</f>
        <v/>
      </c>
      <c r="AU33" s="89" t="str">
        <f>+IF($AG33=AU$22,MONTH($D33),"")</f>
        <v/>
      </c>
      <c r="AV33" s="89" t="str">
        <f>+IF($AG33=AV$22,MONTH($D33),"")</f>
        <v/>
      </c>
      <c r="AW33" s="86" t="str">
        <f>+IF($AG33=AW$22,MONTH($D33),"")</f>
        <v/>
      </c>
      <c r="AX33" s="86" t="str">
        <f>+IF($AG33=AX$22,MONTH($D33),"")</f>
        <v/>
      </c>
      <c r="AY33" s="89"/>
      <c r="AZ33" s="89"/>
      <c r="BA33" s="89"/>
      <c r="BB33" s="89"/>
      <c r="BC33" s="89"/>
      <c r="BD33" s="89"/>
      <c r="BE33" s="89"/>
      <c r="BF33" s="89"/>
      <c r="BG33" s="89"/>
      <c r="BH33" s="89"/>
      <c r="BI33" s="89"/>
      <c r="BJ33" s="89"/>
      <c r="BK33" s="89"/>
      <c r="BL33" s="89"/>
      <c r="BM33" s="89"/>
      <c r="BN33" s="89"/>
      <c r="BO33" s="89"/>
      <c r="BP33" s="89"/>
    </row>
    <row r="34" spans="1:68" s="56" customFormat="1" ht="25.5" hidden="1" customHeight="1">
      <c r="A34" s="204" t="str">
        <f>+IFERROR(VALUE(MID(AB34,4,4)),"")</f>
        <v/>
      </c>
      <c r="B34" s="204">
        <f>VALUE(RIGHT(C34,LEN(C34)-2))</f>
        <v>2688</v>
      </c>
      <c r="C34" s="74" t="s">
        <v>268</v>
      </c>
      <c r="D34" s="75">
        <v>46070</v>
      </c>
      <c r="E34" s="70" t="s">
        <v>269</v>
      </c>
      <c r="F34" s="70" t="s">
        <v>270</v>
      </c>
      <c r="G34" s="68" t="s">
        <v>271</v>
      </c>
      <c r="H34" s="394" t="s">
        <v>272</v>
      </c>
      <c r="I34" s="69" t="s">
        <v>273</v>
      </c>
      <c r="J34" s="69"/>
      <c r="K34" s="68" t="s">
        <v>90</v>
      </c>
      <c r="L34" s="69" t="s">
        <v>120</v>
      </c>
      <c r="M34" s="71" t="s">
        <v>141</v>
      </c>
      <c r="N34" s="69" t="e" vm="1">
        <v>#VALUE!</v>
      </c>
      <c r="O34" s="84">
        <v>46072</v>
      </c>
      <c r="P34" s="72" t="s">
        <v>274</v>
      </c>
      <c r="Q34" s="72" t="s">
        <v>275</v>
      </c>
      <c r="R34" s="72" t="s">
        <v>221</v>
      </c>
      <c r="S34" s="146"/>
      <c r="T34" s="68" t="s">
        <v>158</v>
      </c>
      <c r="U34" s="87">
        <v>0.1</v>
      </c>
      <c r="V34" s="80">
        <v>46072</v>
      </c>
      <c r="W34" s="73">
        <v>125</v>
      </c>
      <c r="X34" s="73">
        <v>8</v>
      </c>
      <c r="Y34" s="169">
        <f>IF(SUM(W34:W34)&gt;0,X34/SUM(W34:W34)*1000000,"N/A")</f>
        <v>64000</v>
      </c>
      <c r="Z34" s="80"/>
      <c r="AA34" s="80"/>
      <c r="AB34" s="73"/>
      <c r="AC34" s="153"/>
      <c r="AD34" s="331"/>
      <c r="AE34" s="57"/>
      <c r="AF34" s="88"/>
      <c r="AG34" s="182">
        <f>YEAR(V34)</f>
        <v>2026</v>
      </c>
      <c r="AH34" s="86">
        <f>+IF(AG34=$AH$22,MONTH(V34),"")</f>
        <v>2</v>
      </c>
      <c r="AI34" s="86" t="str">
        <f>+IF(AG34=$AI$22,MONTH(V34),"")</f>
        <v/>
      </c>
      <c r="AJ34" s="86" t="str">
        <f>+IF(AG34=$AJ$22,MONTH(V34),"")</f>
        <v/>
      </c>
      <c r="AK34" s="86" t="str">
        <f>+IF(AG34=$AK$22,MONTH(V34),"")</f>
        <v/>
      </c>
      <c r="AL34" s="86" t="str">
        <f>+IF(AG34=$AL$22,MONTH(V34),"")</f>
        <v/>
      </c>
      <c r="AM34" s="86" t="str">
        <f>+IF($AG34=$AM$22,MONTH($D34),"")</f>
        <v/>
      </c>
      <c r="AN34" s="89" t="str">
        <f>+IF($AG34=AN$22,MONTH($D34),"")</f>
        <v/>
      </c>
      <c r="AO34" s="89" t="str">
        <f>+IF($AG34=AO$22,MONTH($D34),"")</f>
        <v/>
      </c>
      <c r="AP34" s="89" t="str">
        <f>+IF($AG34=AP$22,MONTH($D34),"")</f>
        <v/>
      </c>
      <c r="AQ34" s="89" t="str">
        <f>+IF($AG34=AQ$22,MONTH($D34),"")</f>
        <v/>
      </c>
      <c r="AR34" s="89" t="str">
        <f>+IF($AG34=AR$22,MONTH($D34),"")</f>
        <v/>
      </c>
      <c r="AS34" s="89" t="str">
        <f>+IF($AG34=AS$22,MONTH($D34),"")</f>
        <v/>
      </c>
      <c r="AT34" s="89" t="str">
        <f>+IF($AG34=AT$22,MONTH($D34),"")</f>
        <v/>
      </c>
      <c r="AU34" s="89" t="str">
        <f>+IF($AG34=AU$22,MONTH($D34),"")</f>
        <v/>
      </c>
      <c r="AV34" s="89" t="str">
        <f>+IF($AG34=AV$22,MONTH($D34),"")</f>
        <v/>
      </c>
      <c r="AW34" s="86" t="str">
        <f>+IF($AG34=AW$22,MONTH($D34),"")</f>
        <v/>
      </c>
      <c r="AX34" s="86" t="str">
        <f>+IF($AG34=AX$22,MONTH($D34),"")</f>
        <v/>
      </c>
      <c r="AY34" s="89"/>
      <c r="AZ34" s="89"/>
      <c r="BA34" s="89"/>
      <c r="BB34" s="89"/>
      <c r="BC34" s="89"/>
      <c r="BD34" s="89"/>
      <c r="BE34" s="89"/>
      <c r="BF34" s="89"/>
      <c r="BG34" s="89"/>
      <c r="BH34" s="89"/>
      <c r="BI34" s="89"/>
      <c r="BJ34" s="89"/>
      <c r="BK34" s="89"/>
      <c r="BL34" s="89"/>
      <c r="BM34" s="89"/>
      <c r="BN34" s="89"/>
      <c r="BO34" s="89"/>
      <c r="BP34" s="89"/>
    </row>
    <row r="35" spans="1:68" s="56" customFormat="1" ht="25.5" hidden="1" customHeight="1">
      <c r="A35" s="204">
        <f>+IFERROR(VALUE(MID(AB35,4,4)),"")</f>
        <v>271</v>
      </c>
      <c r="B35" s="204">
        <f>VALUE(RIGHT(C35,LEN(C35)-2))</f>
        <v>2687</v>
      </c>
      <c r="C35" s="74" t="s">
        <v>276</v>
      </c>
      <c r="D35" s="75">
        <v>46070</v>
      </c>
      <c r="E35" s="70" t="s">
        <v>277</v>
      </c>
      <c r="F35" s="70" t="s">
        <v>277</v>
      </c>
      <c r="G35" s="68" t="s">
        <v>278</v>
      </c>
      <c r="H35" s="379" t="s">
        <v>279</v>
      </c>
      <c r="I35" s="69" t="s">
        <v>280</v>
      </c>
      <c r="J35" s="69"/>
      <c r="K35" s="68" t="s">
        <v>13</v>
      </c>
      <c r="L35" s="69" t="s">
        <v>120</v>
      </c>
      <c r="M35" s="71" t="s">
        <v>141</v>
      </c>
      <c r="N35" s="69" t="e" vm="1">
        <v>#VALUE!</v>
      </c>
      <c r="O35" s="84">
        <v>46073</v>
      </c>
      <c r="P35" s="82" t="s">
        <v>281</v>
      </c>
      <c r="Q35" s="72" t="s">
        <v>220</v>
      </c>
      <c r="R35" s="72" t="s">
        <v>221</v>
      </c>
      <c r="S35" s="146"/>
      <c r="T35" s="68" t="s">
        <v>3</v>
      </c>
      <c r="U35" s="87"/>
      <c r="V35" s="80">
        <v>46076</v>
      </c>
      <c r="W35" s="73">
        <v>1355</v>
      </c>
      <c r="X35" s="73">
        <v>59</v>
      </c>
      <c r="Y35" s="169">
        <f>IF(SUM(W35:W35)&gt;0,X35/SUM(W35:W35)*1000000,"N/A")</f>
        <v>43542.43542435424</v>
      </c>
      <c r="Z35" s="80"/>
      <c r="AA35" s="80"/>
      <c r="AB35" s="73" t="s">
        <v>282</v>
      </c>
      <c r="AC35" s="153"/>
      <c r="AD35" s="331"/>
      <c r="AE35" s="57"/>
      <c r="AF35" s="88"/>
      <c r="AG35" s="182">
        <f>YEAR(V35)</f>
        <v>2026</v>
      </c>
      <c r="AH35" s="86">
        <f>+IF(AG35=$AH$22,MONTH(V35),"")</f>
        <v>2</v>
      </c>
      <c r="AI35" s="86" t="str">
        <f>+IF(AG35=$AI$22,MONTH(V35),"")</f>
        <v/>
      </c>
      <c r="AJ35" s="86" t="str">
        <f>+IF(AG35=$AJ$22,MONTH(V35),"")</f>
        <v/>
      </c>
      <c r="AK35" s="86" t="str">
        <f>+IF(AG35=$AK$22,MONTH(V35),"")</f>
        <v/>
      </c>
      <c r="AL35" s="86" t="str">
        <f>+IF(AG35=$AL$22,MONTH(V35),"")</f>
        <v/>
      </c>
      <c r="AM35" s="86" t="str">
        <f>+IF($AG35=$AM$22,MONTH($D35),"")</f>
        <v/>
      </c>
      <c r="AN35" s="89" t="str">
        <f>+IF($AG35=AN$22,MONTH($D35),"")</f>
        <v/>
      </c>
      <c r="AO35" s="89" t="str">
        <f>+IF($AG35=AO$22,MONTH($D35),"")</f>
        <v/>
      </c>
      <c r="AP35" s="89" t="str">
        <f>+IF($AG35=AP$22,MONTH($D35),"")</f>
        <v/>
      </c>
      <c r="AQ35" s="89" t="str">
        <f>+IF($AG35=AQ$22,MONTH($D35),"")</f>
        <v/>
      </c>
      <c r="AR35" s="89" t="str">
        <f>+IF($AG35=AR$22,MONTH($D35),"")</f>
        <v/>
      </c>
      <c r="AS35" s="89" t="str">
        <f>+IF($AG35=AS$22,MONTH($D35),"")</f>
        <v/>
      </c>
      <c r="AT35" s="89" t="str">
        <f>+IF($AG35=AT$22,MONTH($D35),"")</f>
        <v/>
      </c>
      <c r="AU35" s="89" t="str">
        <f>+IF($AG35=AU$22,MONTH($D35),"")</f>
        <v/>
      </c>
      <c r="AV35" s="89" t="str">
        <f>+IF($AG35=AV$22,MONTH($D35),"")</f>
        <v/>
      </c>
      <c r="AW35" s="86" t="str">
        <f>+IF($AG35=AW$22,MONTH($D35),"")</f>
        <v/>
      </c>
      <c r="AX35" s="86" t="str">
        <f>+IF($AG35=AX$22,MONTH($D35),"")</f>
        <v/>
      </c>
      <c r="AY35" s="89"/>
      <c r="AZ35" s="89"/>
      <c r="BA35" s="89"/>
      <c r="BB35" s="89"/>
      <c r="BC35" s="89"/>
      <c r="BD35" s="89"/>
      <c r="BE35" s="89"/>
      <c r="BF35" s="89"/>
      <c r="BG35" s="89"/>
      <c r="BH35" s="89"/>
      <c r="BI35" s="89"/>
      <c r="BJ35" s="89"/>
      <c r="BK35" s="89"/>
      <c r="BL35" s="89"/>
      <c r="BM35" s="89"/>
      <c r="BN35" s="89"/>
      <c r="BO35" s="89"/>
      <c r="BP35" s="89"/>
    </row>
    <row r="36" spans="1:68" s="56" customFormat="1" ht="25.5" hidden="1" customHeight="1">
      <c r="A36" s="204" t="str">
        <f>+IFERROR(VALUE(MID(AB36,4,4)),"")</f>
        <v/>
      </c>
      <c r="B36" s="204">
        <f>VALUE(RIGHT(C36,LEN(C36)-2))</f>
        <v>2686</v>
      </c>
      <c r="C36" s="74" t="s">
        <v>283</v>
      </c>
      <c r="D36" s="75">
        <v>46069</v>
      </c>
      <c r="E36" s="70" t="s">
        <v>53</v>
      </c>
      <c r="F36" s="70" t="s">
        <v>252</v>
      </c>
      <c r="G36" s="68" t="s">
        <v>210</v>
      </c>
      <c r="H36" s="304" t="s">
        <v>210</v>
      </c>
      <c r="I36" s="69" t="s">
        <v>284</v>
      </c>
      <c r="J36" s="69"/>
      <c r="K36" s="68" t="s">
        <v>11</v>
      </c>
      <c r="L36" s="69" t="s">
        <v>123</v>
      </c>
      <c r="M36" s="71" t="s">
        <v>141</v>
      </c>
      <c r="N36" s="69" t="e" vm="1">
        <v>#VALUE!</v>
      </c>
      <c r="O36" s="84">
        <v>46118</v>
      </c>
      <c r="P36" s="72" t="s">
        <v>285</v>
      </c>
      <c r="Q36" s="72" t="s">
        <v>259</v>
      </c>
      <c r="R36" s="72" t="s">
        <v>260</v>
      </c>
      <c r="S36" s="146"/>
      <c r="T36" s="68" t="s">
        <v>155</v>
      </c>
      <c r="U36" s="87"/>
      <c r="V36" s="80">
        <v>46069</v>
      </c>
      <c r="W36" s="73"/>
      <c r="X36" s="73"/>
      <c r="Y36" s="169" t="str">
        <f>IF(SUM(W36:W36)&gt;0,X36/SUM(W36:W36)*1000000,"N/A")</f>
        <v>N/A</v>
      </c>
      <c r="Z36" s="80"/>
      <c r="AA36" s="80"/>
      <c r="AB36" s="73"/>
      <c r="AC36" s="153"/>
      <c r="AD36" s="331"/>
      <c r="AE36" s="57"/>
      <c r="AF36" s="88"/>
      <c r="AG36" s="182">
        <f>YEAR(V36)</f>
        <v>2026</v>
      </c>
      <c r="AH36" s="86">
        <f>+IF(AG36=$AH$22,MONTH(V36),"")</f>
        <v>2</v>
      </c>
      <c r="AI36" s="86" t="str">
        <f>+IF(AG36=$AI$22,MONTH(V36),"")</f>
        <v/>
      </c>
      <c r="AJ36" s="86" t="str">
        <f>+IF(AG36=$AJ$22,MONTH(V36),"")</f>
        <v/>
      </c>
      <c r="AK36" s="86" t="str">
        <f>+IF(AG36=$AK$22,MONTH(V36),"")</f>
        <v/>
      </c>
      <c r="AL36" s="86" t="str">
        <f>+IF(AG36=$AL$22,MONTH(V36),"")</f>
        <v/>
      </c>
      <c r="AM36" s="86" t="str">
        <f>+IF($AG36=$AM$22,MONTH($D36),"")</f>
        <v/>
      </c>
      <c r="AN36" s="89" t="str">
        <f>+IF($AG36=AN$22,MONTH($D36),"")</f>
        <v/>
      </c>
      <c r="AO36" s="89" t="str">
        <f>+IF($AG36=AO$22,MONTH($D36),"")</f>
        <v/>
      </c>
      <c r="AP36" s="89" t="str">
        <f>+IF($AG36=AP$22,MONTH($D36),"")</f>
        <v/>
      </c>
      <c r="AQ36" s="89" t="str">
        <f>+IF($AG36=AQ$22,MONTH($D36),"")</f>
        <v/>
      </c>
      <c r="AR36" s="89" t="str">
        <f>+IF($AG36=AR$22,MONTH($D36),"")</f>
        <v/>
      </c>
      <c r="AS36" s="89" t="str">
        <f>+IF($AG36=AS$22,MONTH($D36),"")</f>
        <v/>
      </c>
      <c r="AT36" s="89" t="str">
        <f>+IF($AG36=AT$22,MONTH($D36),"")</f>
        <v/>
      </c>
      <c r="AU36" s="89" t="str">
        <f>+IF($AG36=AU$22,MONTH($D36),"")</f>
        <v/>
      </c>
      <c r="AV36" s="89" t="str">
        <f>+IF($AG36=AV$22,MONTH($D36),"")</f>
        <v/>
      </c>
      <c r="AW36" s="86" t="str">
        <f>+IF($AG36=AW$22,MONTH($D36),"")</f>
        <v/>
      </c>
      <c r="AX36" s="86" t="str">
        <f>+IF($AG36=AX$22,MONTH($D36),"")</f>
        <v/>
      </c>
      <c r="AY36" s="89"/>
      <c r="AZ36" s="89"/>
      <c r="BA36" s="89"/>
      <c r="BB36" s="89"/>
      <c r="BC36" s="89"/>
      <c r="BD36" s="89"/>
      <c r="BE36" s="89"/>
      <c r="BF36" s="89"/>
      <c r="BG36" s="89"/>
      <c r="BH36" s="89"/>
      <c r="BI36" s="89"/>
      <c r="BJ36" s="89"/>
      <c r="BK36" s="89"/>
      <c r="BL36" s="89"/>
      <c r="BM36" s="89"/>
      <c r="BN36" s="89"/>
      <c r="BO36" s="89"/>
      <c r="BP36" s="89"/>
    </row>
    <row r="37" spans="1:68" s="56" customFormat="1" ht="25.5" customHeight="1">
      <c r="A37" s="204">
        <f>+IFERROR(VALUE(MID(AB37,4,4)),"")</f>
        <v>352</v>
      </c>
      <c r="B37" s="204">
        <f>VALUE(RIGHT(C37,LEN(C37)-2))</f>
        <v>2685</v>
      </c>
      <c r="C37" s="74" t="s">
        <v>286</v>
      </c>
      <c r="D37" s="75">
        <v>46069</v>
      </c>
      <c r="E37" s="70" t="s">
        <v>53</v>
      </c>
      <c r="F37" s="68" t="s">
        <v>287</v>
      </c>
      <c r="G37" s="68" t="s">
        <v>210</v>
      </c>
      <c r="H37" s="304" t="s">
        <v>210</v>
      </c>
      <c r="I37" s="69" t="s">
        <v>288</v>
      </c>
      <c r="J37" s="69"/>
      <c r="K37" s="68" t="s">
        <v>9</v>
      </c>
      <c r="L37" s="69" t="s">
        <v>129</v>
      </c>
      <c r="M37" s="71" t="s">
        <v>141</v>
      </c>
      <c r="N37" s="69" t="e" vm="1">
        <v>#VALUE!</v>
      </c>
      <c r="O37" s="84">
        <v>46091</v>
      </c>
      <c r="P37" s="72" t="s">
        <v>289</v>
      </c>
      <c r="Q37" s="72" t="s">
        <v>259</v>
      </c>
      <c r="R37" s="72" t="s">
        <v>260</v>
      </c>
      <c r="S37" s="146"/>
      <c r="T37" s="68" t="s">
        <v>64</v>
      </c>
      <c r="U37" s="87"/>
      <c r="V37" s="80">
        <v>46071</v>
      </c>
      <c r="W37" s="73"/>
      <c r="X37" s="73"/>
      <c r="Y37" s="169" t="str">
        <f>IF(SUM(W37:W37)&gt;0,X37/SUM(W37:W37)*1000000,"N/A")</f>
        <v>N/A</v>
      </c>
      <c r="Z37" s="80"/>
      <c r="AA37" s="80"/>
      <c r="AB37" s="73" t="s">
        <v>290</v>
      </c>
      <c r="AC37" s="153"/>
      <c r="AD37" s="331"/>
      <c r="AE37" s="57"/>
      <c r="AF37" s="88"/>
      <c r="AG37" s="182">
        <f>YEAR(V37)</f>
        <v>2026</v>
      </c>
      <c r="AH37" s="86">
        <f>+IF(AG37=$AH$22,MONTH(V37),"")</f>
        <v>2</v>
      </c>
      <c r="AI37" s="86" t="str">
        <f>+IF(AG37=$AI$22,MONTH(V37),"")</f>
        <v/>
      </c>
      <c r="AJ37" s="86" t="str">
        <f>+IF(AG37=$AJ$22,MONTH(V37),"")</f>
        <v/>
      </c>
      <c r="AK37" s="86" t="str">
        <f>+IF(AG37=$AK$22,MONTH(V37),"")</f>
        <v/>
      </c>
      <c r="AL37" s="86" t="str">
        <f>+IF(AG37=$AL$22,MONTH(V37),"")</f>
        <v/>
      </c>
      <c r="AM37" s="86" t="str">
        <f>+IF($AG37=$AM$22,MONTH($D37),"")</f>
        <v/>
      </c>
      <c r="AN37" s="89" t="str">
        <f>+IF($AG37=AN$22,MONTH($D37),"")</f>
        <v/>
      </c>
      <c r="AO37" s="89" t="str">
        <f>+IF($AG37=AO$22,MONTH($D37),"")</f>
        <v/>
      </c>
      <c r="AP37" s="89" t="str">
        <f>+IF($AG37=AP$22,MONTH($D37),"")</f>
        <v/>
      </c>
      <c r="AQ37" s="89" t="str">
        <f>+IF($AG37=AQ$22,MONTH($D37),"")</f>
        <v/>
      </c>
      <c r="AR37" s="89" t="str">
        <f>+IF($AG37=AR$22,MONTH($D37),"")</f>
        <v/>
      </c>
      <c r="AS37" s="89" t="str">
        <f>+IF($AG37=AS$22,MONTH($D37),"")</f>
        <v/>
      </c>
      <c r="AT37" s="89" t="str">
        <f>+IF($AG37=AT$22,MONTH($D37),"")</f>
        <v/>
      </c>
      <c r="AU37" s="89" t="str">
        <f>+IF($AG37=AU$22,MONTH($D37),"")</f>
        <v/>
      </c>
      <c r="AV37" s="89" t="str">
        <f>+IF($AG37=AV$22,MONTH($D37),"")</f>
        <v/>
      </c>
      <c r="AW37" s="86" t="str">
        <f>+IF($AG37=AW$22,MONTH($D37),"")</f>
        <v/>
      </c>
      <c r="AX37" s="86" t="str">
        <f>+IF($AG37=AX$22,MONTH($D37),"")</f>
        <v/>
      </c>
      <c r="AY37" s="89"/>
      <c r="AZ37" s="89"/>
      <c r="BA37" s="89"/>
      <c r="BB37" s="89"/>
      <c r="BC37" s="89"/>
      <c r="BD37" s="89"/>
      <c r="BE37" s="89"/>
      <c r="BF37" s="89"/>
      <c r="BG37" s="89"/>
      <c r="BH37" s="89"/>
      <c r="BI37" s="89"/>
      <c r="BJ37" s="89"/>
      <c r="BK37" s="89"/>
      <c r="BL37" s="89"/>
      <c r="BM37" s="89"/>
      <c r="BN37" s="89"/>
      <c r="BO37" s="89"/>
      <c r="BP37" s="89"/>
    </row>
    <row r="38" spans="1:68" s="56" customFormat="1" ht="25.5" customHeight="1">
      <c r="A38" s="204" t="str">
        <f>+IFERROR(VALUE(MID(AB38,4,4)),"")</f>
        <v/>
      </c>
      <c r="B38" s="204">
        <f>VALUE(RIGHT(C38,LEN(C38)-2))</f>
        <v>2684</v>
      </c>
      <c r="C38" s="74" t="s">
        <v>291</v>
      </c>
      <c r="D38" s="75">
        <v>46065</v>
      </c>
      <c r="E38" s="70" t="s">
        <v>215</v>
      </c>
      <c r="F38" s="70" t="s">
        <v>215</v>
      </c>
      <c r="G38" s="68" t="s">
        <v>236</v>
      </c>
      <c r="H38" s="394" t="s">
        <v>292</v>
      </c>
      <c r="I38" s="69" t="s">
        <v>293</v>
      </c>
      <c r="J38" s="69"/>
      <c r="K38" s="68" t="s">
        <v>13</v>
      </c>
      <c r="L38" s="69" t="s">
        <v>129</v>
      </c>
      <c r="M38" s="71" t="s">
        <v>113</v>
      </c>
      <c r="N38" s="69" t="e" vm="2">
        <v>#VALUE!</v>
      </c>
      <c r="O38" s="84">
        <v>46087</v>
      </c>
      <c r="P38" s="72" t="s">
        <v>294</v>
      </c>
      <c r="Q38" s="72" t="s">
        <v>240</v>
      </c>
      <c r="R38" s="72" t="s">
        <v>230</v>
      </c>
      <c r="S38" s="146"/>
      <c r="T38" s="68" t="s">
        <v>64</v>
      </c>
      <c r="U38" s="87"/>
      <c r="V38" s="80">
        <v>46073</v>
      </c>
      <c r="W38" s="73"/>
      <c r="X38" s="73"/>
      <c r="Y38" s="169" t="str">
        <f>IF(SUM(W38:W38)&gt;0,X38/SUM(W38:W38)*1000000,"N/A")</f>
        <v>N/A</v>
      </c>
      <c r="Z38" s="80"/>
      <c r="AA38" s="80"/>
      <c r="AB38" s="73"/>
      <c r="AC38" s="153"/>
      <c r="AD38" s="331"/>
      <c r="AE38" s="57"/>
      <c r="AF38" s="88"/>
      <c r="AG38" s="182">
        <f>YEAR(V38)</f>
        <v>2026</v>
      </c>
      <c r="AH38" s="86">
        <f>+IF(AG38=$AH$22,MONTH(V38),"")</f>
        <v>2</v>
      </c>
      <c r="AI38" s="86" t="str">
        <f>+IF(AG38=$AI$22,MONTH(V38),"")</f>
        <v/>
      </c>
      <c r="AJ38" s="86" t="str">
        <f>+IF(AG38=$AJ$22,MONTH(V38),"")</f>
        <v/>
      </c>
      <c r="AK38" s="86" t="str">
        <f>+IF(AG38=$AK$22,MONTH(V38),"")</f>
        <v/>
      </c>
      <c r="AL38" s="86" t="str">
        <f>+IF(AG38=$AL$22,MONTH(V38),"")</f>
        <v/>
      </c>
      <c r="AM38" s="86" t="str">
        <f>+IF($AG38=$AM$22,MONTH($D38),"")</f>
        <v/>
      </c>
      <c r="AN38" s="89" t="str">
        <f>+IF($AG38=AN$22,MONTH($D38),"")</f>
        <v/>
      </c>
      <c r="AO38" s="89" t="str">
        <f>+IF($AG38=AO$22,MONTH($D38),"")</f>
        <v/>
      </c>
      <c r="AP38" s="89" t="str">
        <f>+IF($AG38=AP$22,MONTH($D38),"")</f>
        <v/>
      </c>
      <c r="AQ38" s="89" t="str">
        <f>+IF($AG38=AQ$22,MONTH($D38),"")</f>
        <v/>
      </c>
      <c r="AR38" s="89" t="str">
        <f>+IF($AG38=AR$22,MONTH($D38),"")</f>
        <v/>
      </c>
      <c r="AS38" s="89" t="str">
        <f>+IF($AG38=AS$22,MONTH($D38),"")</f>
        <v/>
      </c>
      <c r="AT38" s="89" t="str">
        <f>+IF($AG38=AT$22,MONTH($D38),"")</f>
        <v/>
      </c>
      <c r="AU38" s="89" t="str">
        <f>+IF($AG38=AU$22,MONTH($D38),"")</f>
        <v/>
      </c>
      <c r="AV38" s="89" t="str">
        <f>+IF($AG38=AV$22,MONTH($D38),"")</f>
        <v/>
      </c>
      <c r="AW38" s="86" t="str">
        <f>+IF($AG38=AW$22,MONTH($D38),"")</f>
        <v/>
      </c>
      <c r="AX38" s="86" t="str">
        <f>+IF($AG38=AX$22,MONTH($D38),"")</f>
        <v/>
      </c>
      <c r="AY38" s="89"/>
      <c r="AZ38" s="89"/>
      <c r="BA38" s="89"/>
      <c r="BB38" s="89"/>
      <c r="BC38" s="89"/>
      <c r="BD38" s="89"/>
      <c r="BE38" s="89"/>
      <c r="BF38" s="89"/>
      <c r="BG38" s="89"/>
      <c r="BH38" s="89"/>
      <c r="BI38" s="89"/>
      <c r="BJ38" s="89"/>
      <c r="BK38" s="89"/>
      <c r="BL38" s="89"/>
      <c r="BM38" s="89"/>
      <c r="BN38" s="89"/>
      <c r="BO38" s="89"/>
      <c r="BP38" s="89"/>
    </row>
    <row r="39" spans="1:68" s="56" customFormat="1" ht="25.5" hidden="1" customHeight="1">
      <c r="A39" s="204" t="str">
        <f>+IFERROR(VALUE(MID(AB39,4,4)),"")</f>
        <v/>
      </c>
      <c r="B39" s="204">
        <f>VALUE(RIGHT(C39,LEN(C39)-2))</f>
        <v>2683</v>
      </c>
      <c r="C39" s="74" t="s">
        <v>295</v>
      </c>
      <c r="D39" s="75">
        <v>46065</v>
      </c>
      <c r="E39" s="70" t="s">
        <v>223</v>
      </c>
      <c r="F39" s="70" t="s">
        <v>223</v>
      </c>
      <c r="G39" s="68" t="s">
        <v>296</v>
      </c>
      <c r="H39" s="394" t="s">
        <v>297</v>
      </c>
      <c r="I39" s="69" t="s">
        <v>298</v>
      </c>
      <c r="J39" s="69"/>
      <c r="K39" s="68" t="s">
        <v>13</v>
      </c>
      <c r="L39" s="69" t="s">
        <v>129</v>
      </c>
      <c r="M39" s="71" t="s">
        <v>141</v>
      </c>
      <c r="N39" s="69" t="e" vm="1">
        <v>#VALUE!</v>
      </c>
      <c r="O39" s="84">
        <v>46079</v>
      </c>
      <c r="P39" s="72" t="s">
        <v>299</v>
      </c>
      <c r="Q39" s="72" t="s">
        <v>229</v>
      </c>
      <c r="R39" s="72" t="s">
        <v>230</v>
      </c>
      <c r="S39" s="146"/>
      <c r="T39" s="68" t="s">
        <v>158</v>
      </c>
      <c r="U39" s="87">
        <v>0.1</v>
      </c>
      <c r="V39" s="80">
        <v>46065</v>
      </c>
      <c r="W39" s="73">
        <v>4274</v>
      </c>
      <c r="X39" s="73">
        <v>197</v>
      </c>
      <c r="Y39" s="169">
        <f>IF(SUM(W39:W39)&gt;0,X39/SUM(W39:W39)*1000000,"N/A")</f>
        <v>46092.653252222743</v>
      </c>
      <c r="Z39" s="80"/>
      <c r="AA39" s="80"/>
      <c r="AB39" s="73"/>
      <c r="AC39" s="153"/>
      <c r="AD39" s="331"/>
      <c r="AE39" s="57"/>
      <c r="AF39" s="88"/>
      <c r="AG39" s="182">
        <f>YEAR(V39)</f>
        <v>2026</v>
      </c>
      <c r="AH39" s="86">
        <f>+IF(AG39=$AH$22,MONTH(V39),"")</f>
        <v>2</v>
      </c>
      <c r="AI39" s="86" t="str">
        <f>+IF(AG39=$AI$22,MONTH(V39),"")</f>
        <v/>
      </c>
      <c r="AJ39" s="86" t="str">
        <f>+IF(AG39=$AJ$22,MONTH(V39),"")</f>
        <v/>
      </c>
      <c r="AK39" s="86" t="str">
        <f>+IF(AG39=$AK$22,MONTH(V39),"")</f>
        <v/>
      </c>
      <c r="AL39" s="86" t="str">
        <f>+IF(AG39=$AL$22,MONTH(V39),"")</f>
        <v/>
      </c>
      <c r="AM39" s="86" t="str">
        <f>+IF($AG39=$AM$22,MONTH($D39),"")</f>
        <v/>
      </c>
      <c r="AN39" s="89" t="str">
        <f>+IF($AG39=AN$22,MONTH($D39),"")</f>
        <v/>
      </c>
      <c r="AO39" s="89" t="str">
        <f>+IF($AG39=AO$22,MONTH($D39),"")</f>
        <v/>
      </c>
      <c r="AP39" s="89" t="str">
        <f>+IF($AG39=AP$22,MONTH($D39),"")</f>
        <v/>
      </c>
      <c r="AQ39" s="89" t="str">
        <f>+IF($AG39=AQ$22,MONTH($D39),"")</f>
        <v/>
      </c>
      <c r="AR39" s="89" t="str">
        <f>+IF($AG39=AR$22,MONTH($D39),"")</f>
        <v/>
      </c>
      <c r="AS39" s="89" t="str">
        <f>+IF($AG39=AS$22,MONTH($D39),"")</f>
        <v/>
      </c>
      <c r="AT39" s="89" t="str">
        <f>+IF($AG39=AT$22,MONTH($D39),"")</f>
        <v/>
      </c>
      <c r="AU39" s="89" t="str">
        <f>+IF($AG39=AU$22,MONTH($D39),"")</f>
        <v/>
      </c>
      <c r="AV39" s="89" t="str">
        <f>+IF($AG39=AV$22,MONTH($D39),"")</f>
        <v/>
      </c>
      <c r="AW39" s="86" t="str">
        <f>+IF($AG39=AW$22,MONTH($D39),"")</f>
        <v/>
      </c>
      <c r="AX39" s="86" t="str">
        <f>+IF($AG39=AX$22,MONTH($D39),"")</f>
        <v/>
      </c>
      <c r="AY39" s="89"/>
      <c r="AZ39" s="89"/>
      <c r="BA39" s="89"/>
      <c r="BB39" s="89"/>
      <c r="BC39" s="89"/>
      <c r="BD39" s="89"/>
      <c r="BE39" s="89"/>
      <c r="BF39" s="89"/>
      <c r="BG39" s="89"/>
      <c r="BH39" s="89"/>
      <c r="BI39" s="89"/>
      <c r="BJ39" s="89"/>
      <c r="BK39" s="89"/>
      <c r="BL39" s="89"/>
      <c r="BM39" s="89"/>
      <c r="BN39" s="89"/>
      <c r="BO39" s="89"/>
      <c r="BP39" s="89"/>
    </row>
    <row r="40" spans="1:68" s="56" customFormat="1" ht="25.5" hidden="1" customHeight="1">
      <c r="A40" s="204" t="str">
        <f>+IFERROR(VALUE(MID(AB40,4,4)),"")</f>
        <v/>
      </c>
      <c r="B40" s="204">
        <f>VALUE(RIGHT(C40,LEN(C40)-2))</f>
        <v>2682</v>
      </c>
      <c r="C40" s="74" t="s">
        <v>300</v>
      </c>
      <c r="D40" s="75">
        <v>46065</v>
      </c>
      <c r="E40" s="70" t="s">
        <v>51</v>
      </c>
      <c r="F40" s="70" t="s">
        <v>51</v>
      </c>
      <c r="G40" s="68" t="s">
        <v>301</v>
      </c>
      <c r="H40" s="394" t="s">
        <v>302</v>
      </c>
      <c r="I40" s="69" t="s">
        <v>303</v>
      </c>
      <c r="J40" s="69"/>
      <c r="K40" s="68" t="s">
        <v>90</v>
      </c>
      <c r="L40" s="69" t="s">
        <v>120</v>
      </c>
      <c r="M40" s="71" t="s">
        <v>141</v>
      </c>
      <c r="N40" s="69" t="e" vm="1">
        <v>#VALUE!</v>
      </c>
      <c r="O40" s="84">
        <v>46078</v>
      </c>
      <c r="P40" s="72" t="s">
        <v>239</v>
      </c>
      <c r="Q40" s="72" t="s">
        <v>275</v>
      </c>
      <c r="R40" s="72" t="s">
        <v>221</v>
      </c>
      <c r="S40" s="146"/>
      <c r="T40" s="68" t="s">
        <v>158</v>
      </c>
      <c r="U40" s="87">
        <v>0.1</v>
      </c>
      <c r="V40" s="80">
        <v>46065</v>
      </c>
      <c r="W40" s="73">
        <v>228</v>
      </c>
      <c r="X40" s="73">
        <v>16</v>
      </c>
      <c r="Y40" s="169">
        <f>IF(SUM(W40:W40)&gt;0,X40/SUM(W40:W40)*1000000,"N/A")</f>
        <v>70175.438596491222</v>
      </c>
      <c r="Z40" s="80"/>
      <c r="AA40" s="80"/>
      <c r="AB40" s="73"/>
      <c r="AC40" s="153"/>
      <c r="AD40" s="331"/>
      <c r="AE40" s="57"/>
      <c r="AF40" s="88"/>
      <c r="AG40" s="182">
        <f>YEAR(V40)</f>
        <v>2026</v>
      </c>
      <c r="AH40" s="86">
        <f>+IF(AG40=$AH$22,MONTH(V40),"")</f>
        <v>2</v>
      </c>
      <c r="AI40" s="86" t="str">
        <f>+IF(AG40=$AI$22,MONTH(V40),"")</f>
        <v/>
      </c>
      <c r="AJ40" s="86" t="str">
        <f>+IF(AG40=$AJ$22,MONTH(V40),"")</f>
        <v/>
      </c>
      <c r="AK40" s="86" t="str">
        <f>+IF(AG40=$AK$22,MONTH(V40),"")</f>
        <v/>
      </c>
      <c r="AL40" s="86" t="str">
        <f>+IF(AG40=$AL$22,MONTH(V40),"")</f>
        <v/>
      </c>
      <c r="AM40" s="86" t="str">
        <f>+IF($AG40=$AM$22,MONTH($D40),"")</f>
        <v/>
      </c>
      <c r="AN40" s="89" t="str">
        <f>+IF($AG40=AN$22,MONTH($D40),"")</f>
        <v/>
      </c>
      <c r="AO40" s="89" t="str">
        <f>+IF($AG40=AO$22,MONTH($D40),"")</f>
        <v/>
      </c>
      <c r="AP40" s="89" t="str">
        <f>+IF($AG40=AP$22,MONTH($D40),"")</f>
        <v/>
      </c>
      <c r="AQ40" s="89" t="str">
        <f>+IF($AG40=AQ$22,MONTH($D40),"")</f>
        <v/>
      </c>
      <c r="AR40" s="89" t="str">
        <f>+IF($AG40=AR$22,MONTH($D40),"")</f>
        <v/>
      </c>
      <c r="AS40" s="89" t="str">
        <f>+IF($AG40=AS$22,MONTH($D40),"")</f>
        <v/>
      </c>
      <c r="AT40" s="89" t="str">
        <f>+IF($AG40=AT$22,MONTH($D40),"")</f>
        <v/>
      </c>
      <c r="AU40" s="89" t="str">
        <f>+IF($AG40=AU$22,MONTH($D40),"")</f>
        <v/>
      </c>
      <c r="AV40" s="89" t="str">
        <f>+IF($AG40=AV$22,MONTH($D40),"")</f>
        <v/>
      </c>
      <c r="AW40" s="86" t="str">
        <f>+IF($AG40=AW$22,MONTH($D40),"")</f>
        <v/>
      </c>
      <c r="AX40" s="86" t="str">
        <f>+IF($AG40=AX$22,MONTH($D40),"")</f>
        <v/>
      </c>
      <c r="AY40" s="89"/>
      <c r="AZ40" s="89"/>
      <c r="BA40" s="89"/>
      <c r="BB40" s="89"/>
      <c r="BC40" s="89"/>
      <c r="BD40" s="89"/>
      <c r="BE40" s="89"/>
      <c r="BF40" s="89"/>
      <c r="BG40" s="89"/>
      <c r="BH40" s="89"/>
      <c r="BI40" s="89"/>
      <c r="BJ40" s="89"/>
      <c r="BK40" s="89"/>
      <c r="BL40" s="89"/>
      <c r="BM40" s="89"/>
      <c r="BN40" s="89"/>
      <c r="BO40" s="89"/>
      <c r="BP40" s="89"/>
    </row>
    <row r="41" spans="1:68" s="56" customFormat="1" ht="25.5" hidden="1" customHeight="1">
      <c r="A41" s="204" t="str">
        <f>+IFERROR(VALUE(MID(AB41,4,4)),"")</f>
        <v/>
      </c>
      <c r="B41" s="204">
        <f>VALUE(RIGHT(C41,LEN(C41)-2))</f>
        <v>2681</v>
      </c>
      <c r="C41" s="74" t="s">
        <v>304</v>
      </c>
      <c r="D41" s="75">
        <v>46064</v>
      </c>
      <c r="E41" s="70" t="s">
        <v>305</v>
      </c>
      <c r="F41" s="70" t="s">
        <v>306</v>
      </c>
      <c r="G41" s="68" t="s">
        <v>307</v>
      </c>
      <c r="H41" s="394" t="s">
        <v>308</v>
      </c>
      <c r="I41" s="69" t="s">
        <v>309</v>
      </c>
      <c r="J41" s="69"/>
      <c r="K41" s="68" t="s">
        <v>11</v>
      </c>
      <c r="L41" s="69" t="s">
        <v>120</v>
      </c>
      <c r="M41" s="71" t="s">
        <v>141</v>
      </c>
      <c r="N41" s="69" t="e" vm="1">
        <v>#VALUE!</v>
      </c>
      <c r="O41" s="84">
        <v>46072</v>
      </c>
      <c r="P41" s="72" t="s">
        <v>258</v>
      </c>
      <c r="Q41" s="72" t="s">
        <v>310</v>
      </c>
      <c r="R41" s="72" t="s">
        <v>311</v>
      </c>
      <c r="S41" s="146"/>
      <c r="T41" s="68" t="s">
        <v>158</v>
      </c>
      <c r="U41" s="87">
        <v>0.1</v>
      </c>
      <c r="V41" s="80">
        <v>46072</v>
      </c>
      <c r="W41" s="73">
        <v>1033</v>
      </c>
      <c r="X41" s="73">
        <v>52</v>
      </c>
      <c r="Y41" s="169">
        <f>IF(SUM(W41:W41)&gt;0,X41/SUM(W41:W41)*1000000,"N/A")</f>
        <v>50338.818973862537</v>
      </c>
      <c r="Z41" s="80"/>
      <c r="AA41" s="80"/>
      <c r="AB41" s="73"/>
      <c r="AC41" s="153"/>
      <c r="AD41" s="331"/>
      <c r="AE41" s="57"/>
      <c r="AF41" s="88"/>
      <c r="AG41" s="182">
        <f>YEAR(V41)</f>
        <v>2026</v>
      </c>
      <c r="AH41" s="86">
        <f>+IF(AG41=$AH$22,MONTH(V41),"")</f>
        <v>2</v>
      </c>
      <c r="AI41" s="86" t="str">
        <f>+IF(AG41=$AI$22,MONTH(V41),"")</f>
        <v/>
      </c>
      <c r="AJ41" s="86" t="str">
        <f>+IF(AG41=$AJ$22,MONTH(V41),"")</f>
        <v/>
      </c>
      <c r="AK41" s="86" t="str">
        <f>+IF(AG41=$AK$22,MONTH(V41),"")</f>
        <v/>
      </c>
      <c r="AL41" s="86" t="str">
        <f>+IF(AG41=$AL$22,MONTH(V41),"")</f>
        <v/>
      </c>
      <c r="AM41" s="86" t="str">
        <f>+IF($AG41=$AM$22,MONTH($D41),"")</f>
        <v/>
      </c>
      <c r="AN41" s="89" t="str">
        <f>+IF($AG41=AN$22,MONTH($D41),"")</f>
        <v/>
      </c>
      <c r="AO41" s="89" t="str">
        <f>+IF($AG41=AO$22,MONTH($D41),"")</f>
        <v/>
      </c>
      <c r="AP41" s="89" t="str">
        <f>+IF($AG41=AP$22,MONTH($D41),"")</f>
        <v/>
      </c>
      <c r="AQ41" s="89" t="str">
        <f>+IF($AG41=AQ$22,MONTH($D41),"")</f>
        <v/>
      </c>
      <c r="AR41" s="89" t="str">
        <f>+IF($AG41=AR$22,MONTH($D41),"")</f>
        <v/>
      </c>
      <c r="AS41" s="89" t="str">
        <f>+IF($AG41=AS$22,MONTH($D41),"")</f>
        <v/>
      </c>
      <c r="AT41" s="89" t="str">
        <f>+IF($AG41=AT$22,MONTH($D41),"")</f>
        <v/>
      </c>
      <c r="AU41" s="89" t="str">
        <f>+IF($AG41=AU$22,MONTH($D41),"")</f>
        <v/>
      </c>
      <c r="AV41" s="89" t="str">
        <f>+IF($AG41=AV$22,MONTH($D41),"")</f>
        <v/>
      </c>
      <c r="AW41" s="86" t="str">
        <f>+IF($AG41=AW$22,MONTH($D41),"")</f>
        <v/>
      </c>
      <c r="AX41" s="86" t="str">
        <f>+IF($AG41=AX$22,MONTH($D41),"")</f>
        <v/>
      </c>
      <c r="AY41" s="89"/>
      <c r="AZ41" s="89"/>
      <c r="BA41" s="89"/>
      <c r="BB41" s="89"/>
      <c r="BC41" s="89"/>
      <c r="BD41" s="89"/>
      <c r="BE41" s="89"/>
      <c r="BF41" s="89"/>
      <c r="BG41" s="89"/>
      <c r="BH41" s="89"/>
      <c r="BI41" s="89"/>
      <c r="BJ41" s="89"/>
      <c r="BK41" s="89"/>
      <c r="BL41" s="89"/>
      <c r="BM41" s="89"/>
      <c r="BN41" s="89"/>
      <c r="BO41" s="89"/>
      <c r="BP41" s="89"/>
    </row>
    <row r="42" spans="1:68" s="56" customFormat="1" ht="25.5" hidden="1" customHeight="1">
      <c r="A42" s="204" t="str">
        <f>+IFERROR(VALUE(MID(AB42,4,4)),"")</f>
        <v/>
      </c>
      <c r="B42" s="204">
        <f>VALUE(RIGHT(C42,LEN(C42)-2))</f>
        <v>2680</v>
      </c>
      <c r="C42" s="74" t="s">
        <v>312</v>
      </c>
      <c r="D42" s="75">
        <v>46065</v>
      </c>
      <c r="E42" s="70" t="s">
        <v>53</v>
      </c>
      <c r="F42" s="70" t="s">
        <v>313</v>
      </c>
      <c r="G42" s="68" t="s">
        <v>210</v>
      </c>
      <c r="H42" s="282" t="s">
        <v>210</v>
      </c>
      <c r="I42" s="69" t="s">
        <v>314</v>
      </c>
      <c r="J42" s="69"/>
      <c r="K42" s="68" t="s">
        <v>315</v>
      </c>
      <c r="L42" s="69" t="s">
        <v>123</v>
      </c>
      <c r="M42" s="71" t="s">
        <v>141</v>
      </c>
      <c r="N42" s="69" t="e" vm="1">
        <v>#VALUE!</v>
      </c>
      <c r="O42" s="84">
        <v>46107</v>
      </c>
      <c r="P42" s="72" t="s">
        <v>213</v>
      </c>
      <c r="Q42" s="72" t="s">
        <v>316</v>
      </c>
      <c r="R42" s="72" t="s">
        <v>260</v>
      </c>
      <c r="S42" s="146"/>
      <c r="T42" s="68" t="s">
        <v>155</v>
      </c>
      <c r="U42" s="87"/>
      <c r="V42" s="80">
        <v>46064</v>
      </c>
      <c r="W42" s="73"/>
      <c r="X42" s="73"/>
      <c r="Y42" s="169" t="str">
        <f>IF(SUM(W42:W42)&gt;0,X42/SUM(W42:W42)*1000000,"N/A")</f>
        <v>N/A</v>
      </c>
      <c r="Z42" s="80"/>
      <c r="AA42" s="80"/>
      <c r="AB42" s="73"/>
      <c r="AC42" s="153"/>
      <c r="AD42" s="331"/>
      <c r="AE42" s="57"/>
      <c r="AF42" s="88"/>
      <c r="AG42" s="182">
        <f>YEAR(V42)</f>
        <v>2026</v>
      </c>
      <c r="AH42" s="86">
        <f>+IF(AG42=$AH$22,MONTH(V42),"")</f>
        <v>2</v>
      </c>
      <c r="AI42" s="86" t="str">
        <f>+IF(AG42=$AI$22,MONTH(V42),"")</f>
        <v/>
      </c>
      <c r="AJ42" s="86" t="str">
        <f>+IF(AG42=$AJ$22,MONTH(V42),"")</f>
        <v/>
      </c>
      <c r="AK42" s="86" t="str">
        <f>+IF(AG42=$AK$22,MONTH(V42),"")</f>
        <v/>
      </c>
      <c r="AL42" s="86" t="str">
        <f>+IF(AG42=$AL$22,MONTH(V42),"")</f>
        <v/>
      </c>
      <c r="AM42" s="86" t="str">
        <f>+IF($AG42=$AM$22,MONTH($D42),"")</f>
        <v/>
      </c>
      <c r="AN42" s="89" t="str">
        <f>+IF($AG42=AN$22,MONTH($D42),"")</f>
        <v/>
      </c>
      <c r="AO42" s="89" t="str">
        <f>+IF($AG42=AO$22,MONTH($D42),"")</f>
        <v/>
      </c>
      <c r="AP42" s="89" t="str">
        <f>+IF($AG42=AP$22,MONTH($D42),"")</f>
        <v/>
      </c>
      <c r="AQ42" s="89" t="str">
        <f>+IF($AG42=AQ$22,MONTH($D42),"")</f>
        <v/>
      </c>
      <c r="AR42" s="89" t="str">
        <f>+IF($AG42=AR$22,MONTH($D42),"")</f>
        <v/>
      </c>
      <c r="AS42" s="89" t="str">
        <f>+IF($AG42=AS$22,MONTH($D42),"")</f>
        <v/>
      </c>
      <c r="AT42" s="89" t="str">
        <f>+IF($AG42=AT$22,MONTH($D42),"")</f>
        <v/>
      </c>
      <c r="AU42" s="89" t="str">
        <f>+IF($AG42=AU$22,MONTH($D42),"")</f>
        <v/>
      </c>
      <c r="AV42" s="89" t="str">
        <f>+IF($AG42=AV$22,MONTH($D42),"")</f>
        <v/>
      </c>
      <c r="AW42" s="86" t="str">
        <f>+IF($AG42=AW$22,MONTH($D42),"")</f>
        <v/>
      </c>
      <c r="AX42" s="86" t="str">
        <f>+IF($AG42=AX$22,MONTH($D42),"")</f>
        <v/>
      </c>
      <c r="AY42" s="89"/>
      <c r="AZ42" s="89"/>
      <c r="BA42" s="89"/>
      <c r="BB42" s="89"/>
      <c r="BC42" s="89"/>
      <c r="BD42" s="89"/>
      <c r="BE42" s="89"/>
      <c r="BF42" s="89"/>
      <c r="BG42" s="89"/>
      <c r="BH42" s="89"/>
      <c r="BI42" s="89"/>
      <c r="BJ42" s="89"/>
      <c r="BK42" s="89"/>
      <c r="BL42" s="89"/>
      <c r="BM42" s="89"/>
      <c r="BN42" s="89"/>
      <c r="BO42" s="89"/>
      <c r="BP42" s="89"/>
    </row>
    <row r="43" spans="1:68" s="56" customFormat="1" ht="25.5" hidden="1" customHeight="1">
      <c r="A43" s="204" t="str">
        <f>+IFERROR(VALUE(MID(AB43,4,4)),"")</f>
        <v/>
      </c>
      <c r="B43" s="204">
        <f>VALUE(RIGHT(C43,LEN(C43)-2))</f>
        <v>2679</v>
      </c>
      <c r="C43" s="74" t="s">
        <v>317</v>
      </c>
      <c r="D43" s="75">
        <v>46064</v>
      </c>
      <c r="E43" s="70" t="s">
        <v>215</v>
      </c>
      <c r="F43" s="70" t="s">
        <v>215</v>
      </c>
      <c r="G43" s="68" t="s">
        <v>318</v>
      </c>
      <c r="H43" s="394" t="s">
        <v>292</v>
      </c>
      <c r="I43" s="69" t="s">
        <v>319</v>
      </c>
      <c r="J43" s="69"/>
      <c r="K43" s="68" t="s">
        <v>13</v>
      </c>
      <c r="L43" s="69" t="s">
        <v>129</v>
      </c>
      <c r="M43" s="71" t="s">
        <v>113</v>
      </c>
      <c r="N43" s="69" t="e" vm="2">
        <v>#VALUE!</v>
      </c>
      <c r="O43" s="84">
        <v>46073</v>
      </c>
      <c r="P43" s="72" t="s">
        <v>294</v>
      </c>
      <c r="Q43" s="72" t="s">
        <v>220</v>
      </c>
      <c r="R43" s="72" t="s">
        <v>221</v>
      </c>
      <c r="S43" s="146"/>
      <c r="T43" s="68" t="s">
        <v>158</v>
      </c>
      <c r="U43" s="87">
        <v>0.1</v>
      </c>
      <c r="V43" s="80">
        <v>46073</v>
      </c>
      <c r="W43" s="73">
        <v>1314</v>
      </c>
      <c r="X43" s="73">
        <v>50</v>
      </c>
      <c r="Y43" s="169">
        <f>IF(SUM(W43:W43)&gt;0,X43/SUM(W43:W43)*1000000,"N/A")</f>
        <v>38051.7503805175</v>
      </c>
      <c r="Z43" s="80"/>
      <c r="AA43" s="80"/>
      <c r="AB43" s="73"/>
      <c r="AC43" s="153"/>
      <c r="AD43" s="331"/>
      <c r="AE43" s="57"/>
      <c r="AF43" s="88"/>
      <c r="AG43" s="182">
        <f>YEAR(V43)</f>
        <v>2026</v>
      </c>
      <c r="AH43" s="86">
        <f>+IF(AG43=$AH$22,MONTH(V43),"")</f>
        <v>2</v>
      </c>
      <c r="AI43" s="86" t="str">
        <f>+IF(AG43=$AI$22,MONTH(V43),"")</f>
        <v/>
      </c>
      <c r="AJ43" s="86" t="str">
        <f>+IF(AG43=$AJ$22,MONTH(V43),"")</f>
        <v/>
      </c>
      <c r="AK43" s="86" t="str">
        <f>+IF(AG43=$AK$22,MONTH(V43),"")</f>
        <v/>
      </c>
      <c r="AL43" s="86" t="str">
        <f>+IF(AG43=$AL$22,MONTH(V43),"")</f>
        <v/>
      </c>
      <c r="AM43" s="86" t="str">
        <f>+IF($AG43=$AM$22,MONTH($D43),"")</f>
        <v/>
      </c>
      <c r="AN43" s="89" t="str">
        <f>+IF($AG43=AN$22,MONTH($D43),"")</f>
        <v/>
      </c>
      <c r="AO43" s="89" t="str">
        <f>+IF($AG43=AO$22,MONTH($D43),"")</f>
        <v/>
      </c>
      <c r="AP43" s="89" t="str">
        <f>+IF($AG43=AP$22,MONTH($D43),"")</f>
        <v/>
      </c>
      <c r="AQ43" s="89" t="str">
        <f>+IF($AG43=AQ$22,MONTH($D43),"")</f>
        <v/>
      </c>
      <c r="AR43" s="89" t="str">
        <f>+IF($AG43=AR$22,MONTH($D43),"")</f>
        <v/>
      </c>
      <c r="AS43" s="89" t="str">
        <f>+IF($AG43=AS$22,MONTH($D43),"")</f>
        <v/>
      </c>
      <c r="AT43" s="89" t="str">
        <f>+IF($AG43=AT$22,MONTH($D43),"")</f>
        <v/>
      </c>
      <c r="AU43" s="89" t="str">
        <f>+IF($AG43=AU$22,MONTH($D43),"")</f>
        <v/>
      </c>
      <c r="AV43" s="89" t="str">
        <f>+IF($AG43=AV$22,MONTH($D43),"")</f>
        <v/>
      </c>
      <c r="AW43" s="86" t="str">
        <f>+IF($AG43=AW$22,MONTH($D43),"")</f>
        <v/>
      </c>
      <c r="AX43" s="86" t="str">
        <f>+IF($AG43=AX$22,MONTH($D43),"")</f>
        <v/>
      </c>
      <c r="AY43" s="89"/>
      <c r="AZ43" s="89"/>
      <c r="BA43" s="89"/>
      <c r="BB43" s="89"/>
      <c r="BC43" s="89"/>
      <c r="BD43" s="89"/>
      <c r="BE43" s="89"/>
      <c r="BF43" s="89"/>
      <c r="BG43" s="89"/>
      <c r="BH43" s="89"/>
      <c r="BI43" s="89"/>
      <c r="BJ43" s="89"/>
      <c r="BK43" s="89"/>
      <c r="BL43" s="89"/>
      <c r="BM43" s="89"/>
      <c r="BN43" s="89"/>
      <c r="BO43" s="89"/>
      <c r="BP43" s="89"/>
    </row>
    <row r="44" spans="1:68" s="56" customFormat="1" ht="25.5" hidden="1" customHeight="1">
      <c r="A44" s="204" t="str">
        <f>+IFERROR(VALUE(MID(AB44,4,4)),"")</f>
        <v/>
      </c>
      <c r="B44" s="204">
        <f>VALUE(RIGHT(C44,LEN(C44)-2))</f>
        <v>2678</v>
      </c>
      <c r="C44" s="74" t="s">
        <v>320</v>
      </c>
      <c r="D44" s="75">
        <v>46063</v>
      </c>
      <c r="E44" s="70" t="s">
        <v>215</v>
      </c>
      <c r="F44" s="70" t="s">
        <v>215</v>
      </c>
      <c r="G44" s="68" t="s">
        <v>321</v>
      </c>
      <c r="H44" s="393" t="s">
        <v>322</v>
      </c>
      <c r="I44" s="69" t="s">
        <v>323</v>
      </c>
      <c r="J44" s="69"/>
      <c r="K44" s="68" t="s">
        <v>9</v>
      </c>
      <c r="L44" s="69" t="s">
        <v>129</v>
      </c>
      <c r="M44" s="71" t="s">
        <v>113</v>
      </c>
      <c r="N44" s="69" t="e" vm="2">
        <v>#VALUE!</v>
      </c>
      <c r="O44" s="84">
        <v>46076</v>
      </c>
      <c r="P44" s="72" t="s">
        <v>294</v>
      </c>
      <c r="Q44" s="72" t="s">
        <v>316</v>
      </c>
      <c r="R44" s="72" t="s">
        <v>260</v>
      </c>
      <c r="S44" s="146"/>
      <c r="T44" s="68" t="s">
        <v>158</v>
      </c>
      <c r="U44" s="87">
        <v>0.1</v>
      </c>
      <c r="V44" s="80">
        <v>46073</v>
      </c>
      <c r="W44" s="73">
        <v>4892</v>
      </c>
      <c r="X44" s="73">
        <v>334</v>
      </c>
      <c r="Y44" s="169">
        <f>IF(SUM(W44:W44)&gt;0,X44/SUM(W44:W44)*1000000,"N/A")</f>
        <v>68274.734260016354</v>
      </c>
      <c r="Z44" s="80"/>
      <c r="AA44" s="80"/>
      <c r="AB44" s="73"/>
      <c r="AC44" s="153"/>
      <c r="AD44" s="331"/>
      <c r="AE44" s="57"/>
      <c r="AF44" s="88"/>
      <c r="AG44" s="182">
        <f>YEAR(V44)</f>
        <v>2026</v>
      </c>
      <c r="AH44" s="86">
        <f>+IF(AG44=$AH$22,MONTH(V44),"")</f>
        <v>2</v>
      </c>
      <c r="AI44" s="86" t="str">
        <f>+IF(AG44=$AI$22,MONTH(V44),"")</f>
        <v/>
      </c>
      <c r="AJ44" s="86" t="str">
        <f>+IF(AG44=$AJ$22,MONTH(V44),"")</f>
        <v/>
      </c>
      <c r="AK44" s="86" t="str">
        <f>+IF(AG44=$AK$22,MONTH(V44),"")</f>
        <v/>
      </c>
      <c r="AL44" s="86" t="str">
        <f>+IF(AG44=$AL$22,MONTH(V44),"")</f>
        <v/>
      </c>
      <c r="AM44" s="86" t="str">
        <f>+IF($AG44=$AM$22,MONTH($D44),"")</f>
        <v/>
      </c>
      <c r="AN44" s="89" t="str">
        <f>+IF($AG44=AN$22,MONTH($D44),"")</f>
        <v/>
      </c>
      <c r="AO44" s="89" t="str">
        <f>+IF($AG44=AO$22,MONTH($D44),"")</f>
        <v/>
      </c>
      <c r="AP44" s="89" t="str">
        <f>+IF($AG44=AP$22,MONTH($D44),"")</f>
        <v/>
      </c>
      <c r="AQ44" s="89" t="str">
        <f>+IF($AG44=AQ$22,MONTH($D44),"")</f>
        <v/>
      </c>
      <c r="AR44" s="89" t="str">
        <f>+IF($AG44=AR$22,MONTH($D44),"")</f>
        <v/>
      </c>
      <c r="AS44" s="89" t="str">
        <f>+IF($AG44=AS$22,MONTH($D44),"")</f>
        <v/>
      </c>
      <c r="AT44" s="89" t="str">
        <f>+IF($AG44=AT$22,MONTH($D44),"")</f>
        <v/>
      </c>
      <c r="AU44" s="89" t="str">
        <f>+IF($AG44=AU$22,MONTH($D44),"")</f>
        <v/>
      </c>
      <c r="AV44" s="89" t="str">
        <f>+IF($AG44=AV$22,MONTH($D44),"")</f>
        <v/>
      </c>
      <c r="AW44" s="86" t="str">
        <f>+IF($AG44=AW$22,MONTH($D44),"")</f>
        <v/>
      </c>
      <c r="AX44" s="86" t="str">
        <f>+IF($AG44=AX$22,MONTH($D44),"")</f>
        <v/>
      </c>
      <c r="AY44" s="89"/>
      <c r="AZ44" s="89"/>
      <c r="BA44" s="89"/>
      <c r="BB44" s="89"/>
      <c r="BC44" s="89"/>
      <c r="BD44" s="89"/>
      <c r="BE44" s="89"/>
      <c r="BF44" s="89"/>
      <c r="BG44" s="89"/>
      <c r="BH44" s="89"/>
      <c r="BI44" s="89"/>
      <c r="BJ44" s="89"/>
      <c r="BK44" s="89"/>
      <c r="BL44" s="89"/>
      <c r="BM44" s="89"/>
      <c r="BN44" s="89"/>
      <c r="BO44" s="89"/>
      <c r="BP44" s="89"/>
    </row>
    <row r="45" spans="1:68" s="56" customFormat="1" ht="25.5" hidden="1" customHeight="1">
      <c r="A45" s="204" t="str">
        <f>+IFERROR(VALUE(MID(AB45,4,4)),"")</f>
        <v/>
      </c>
      <c r="B45" s="204">
        <f>VALUE(RIGHT(C45,LEN(C45)-2))</f>
        <v>2677</v>
      </c>
      <c r="C45" s="74" t="s">
        <v>324</v>
      </c>
      <c r="D45" s="75">
        <v>46063</v>
      </c>
      <c r="E45" s="70" t="s">
        <v>215</v>
      </c>
      <c r="F45" s="70" t="s">
        <v>215</v>
      </c>
      <c r="G45" s="68" t="s">
        <v>321</v>
      </c>
      <c r="H45" s="393" t="s">
        <v>322</v>
      </c>
      <c r="I45" s="69" t="s">
        <v>325</v>
      </c>
      <c r="J45" s="69"/>
      <c r="K45" s="68" t="s">
        <v>13</v>
      </c>
      <c r="L45" s="69" t="s">
        <v>129</v>
      </c>
      <c r="M45" s="71" t="s">
        <v>113</v>
      </c>
      <c r="N45" s="69" t="e" vm="2">
        <v>#VALUE!</v>
      </c>
      <c r="O45" s="84">
        <v>46076</v>
      </c>
      <c r="P45" s="72" t="s">
        <v>294</v>
      </c>
      <c r="Q45" s="72" t="s">
        <v>229</v>
      </c>
      <c r="R45" s="72" t="s">
        <v>230</v>
      </c>
      <c r="S45" s="146"/>
      <c r="T45" s="68" t="s">
        <v>3</v>
      </c>
      <c r="U45" s="87"/>
      <c r="V45" s="80">
        <v>46090</v>
      </c>
      <c r="W45" s="73">
        <v>8207</v>
      </c>
      <c r="X45" s="73">
        <v>437</v>
      </c>
      <c r="Y45" s="169">
        <f>IF(SUM(W45:W45)&gt;0,X45/SUM(W45:W45)*1000000,"N/A")</f>
        <v>53247.227976117952</v>
      </c>
      <c r="Z45" s="80"/>
      <c r="AA45" s="80"/>
      <c r="AB45" s="73"/>
      <c r="AC45" s="153"/>
      <c r="AD45" s="331"/>
      <c r="AE45" s="57"/>
      <c r="AF45" s="88"/>
      <c r="AG45" s="182">
        <f>YEAR(V45)</f>
        <v>2026</v>
      </c>
      <c r="AH45" s="86">
        <f>+IF(AG45=$AH$22,MONTH(V45),"")</f>
        <v>3</v>
      </c>
      <c r="AI45" s="86" t="str">
        <f>+IF(AG45=$AI$22,MONTH(V45),"")</f>
        <v/>
      </c>
      <c r="AJ45" s="86" t="str">
        <f>+IF(AG45=$AJ$22,MONTH(V45),"")</f>
        <v/>
      </c>
      <c r="AK45" s="86" t="str">
        <f>+IF(AG45=$AK$22,MONTH(V45),"")</f>
        <v/>
      </c>
      <c r="AL45" s="86" t="str">
        <f>+IF(AG45=$AL$22,MONTH(V45),"")</f>
        <v/>
      </c>
      <c r="AM45" s="86" t="str">
        <f>+IF($AG45=$AM$22,MONTH($D45),"")</f>
        <v/>
      </c>
      <c r="AN45" s="89" t="str">
        <f>+IF($AG45=AN$22,MONTH($D45),"")</f>
        <v/>
      </c>
      <c r="AO45" s="89" t="str">
        <f>+IF($AG45=AO$22,MONTH($D45),"")</f>
        <v/>
      </c>
      <c r="AP45" s="89" t="str">
        <f>+IF($AG45=AP$22,MONTH($D45),"")</f>
        <v/>
      </c>
      <c r="AQ45" s="89" t="str">
        <f>+IF($AG45=AQ$22,MONTH($D45),"")</f>
        <v/>
      </c>
      <c r="AR45" s="89" t="str">
        <f>+IF($AG45=AR$22,MONTH($D45),"")</f>
        <v/>
      </c>
      <c r="AS45" s="89" t="str">
        <f>+IF($AG45=AS$22,MONTH($D45),"")</f>
        <v/>
      </c>
      <c r="AT45" s="89" t="str">
        <f>+IF($AG45=AT$22,MONTH($D45),"")</f>
        <v/>
      </c>
      <c r="AU45" s="89" t="str">
        <f>+IF($AG45=AU$22,MONTH($D45),"")</f>
        <v/>
      </c>
      <c r="AV45" s="89" t="str">
        <f>+IF($AG45=AV$22,MONTH($D45),"")</f>
        <v/>
      </c>
      <c r="AW45" s="86" t="str">
        <f>+IF($AG45=AW$22,MONTH($D45),"")</f>
        <v/>
      </c>
      <c r="AX45" s="86" t="str">
        <f>+IF($AG45=AX$22,MONTH($D45),"")</f>
        <v/>
      </c>
      <c r="AY45" s="89"/>
      <c r="AZ45" s="89"/>
      <c r="BA45" s="89"/>
      <c r="BB45" s="89"/>
      <c r="BC45" s="89"/>
      <c r="BD45" s="89"/>
      <c r="BE45" s="89"/>
      <c r="BF45" s="89"/>
      <c r="BG45" s="89"/>
      <c r="BH45" s="89"/>
      <c r="BI45" s="89"/>
      <c r="BJ45" s="89"/>
      <c r="BK45" s="89"/>
      <c r="BL45" s="89"/>
      <c r="BM45" s="89"/>
      <c r="BN45" s="89"/>
      <c r="BO45" s="89"/>
      <c r="BP45" s="89"/>
    </row>
    <row r="46" spans="1:68" s="56" customFormat="1" ht="25.5" hidden="1" customHeight="1">
      <c r="A46" s="204">
        <f>+IFERROR(VALUE(MID(AB46,4,4)),"")</f>
        <v>468</v>
      </c>
      <c r="B46" s="204">
        <f>VALUE(RIGHT(C46,LEN(C46)-2))</f>
        <v>2676</v>
      </c>
      <c r="C46" s="74" t="s">
        <v>326</v>
      </c>
      <c r="D46" s="75">
        <v>46063</v>
      </c>
      <c r="E46" s="70" t="s">
        <v>223</v>
      </c>
      <c r="F46" s="70" t="s">
        <v>223</v>
      </c>
      <c r="G46" s="68" t="s">
        <v>327</v>
      </c>
      <c r="H46" s="282" t="s">
        <v>328</v>
      </c>
      <c r="I46" s="69" t="s">
        <v>329</v>
      </c>
      <c r="J46" s="69"/>
      <c r="K46" s="68" t="s">
        <v>13</v>
      </c>
      <c r="L46" s="69" t="s">
        <v>120</v>
      </c>
      <c r="M46" s="71" t="s">
        <v>141</v>
      </c>
      <c r="N46" s="69" t="e" vm="1">
        <v>#VALUE!</v>
      </c>
      <c r="O46" s="84">
        <v>46070</v>
      </c>
      <c r="P46" s="72" t="s">
        <v>239</v>
      </c>
      <c r="Q46" s="72" t="s">
        <v>229</v>
      </c>
      <c r="R46" s="72" t="s">
        <v>230</v>
      </c>
      <c r="S46" s="146"/>
      <c r="T46" s="68" t="s">
        <v>158</v>
      </c>
      <c r="U46" s="87">
        <v>0.1</v>
      </c>
      <c r="V46" s="80">
        <v>46070</v>
      </c>
      <c r="W46" s="73">
        <v>292</v>
      </c>
      <c r="X46" s="73">
        <v>13</v>
      </c>
      <c r="Y46" s="169">
        <f>IF(SUM(W46:W46)&gt;0,X46/SUM(W46:W46)*1000000,"N/A")</f>
        <v>44520.547945205479</v>
      </c>
      <c r="Z46" s="80"/>
      <c r="AA46" s="80"/>
      <c r="AB46" s="73" t="s">
        <v>330</v>
      </c>
      <c r="AC46" s="153"/>
      <c r="AD46" s="331"/>
      <c r="AE46" s="57"/>
      <c r="AF46" s="88"/>
      <c r="AG46" s="182">
        <f>YEAR(V46)</f>
        <v>2026</v>
      </c>
      <c r="AH46" s="86">
        <f>+IF(AG46=$AH$22,MONTH(V46),"")</f>
        <v>2</v>
      </c>
      <c r="AI46" s="86" t="str">
        <f>+IF(AG46=$AI$22,MONTH(V46),"")</f>
        <v/>
      </c>
      <c r="AJ46" s="86" t="str">
        <f>+IF(AG46=$AJ$22,MONTH(V46),"")</f>
        <v/>
      </c>
      <c r="AK46" s="86" t="str">
        <f>+IF(AG46=$AK$22,MONTH(V46),"")</f>
        <v/>
      </c>
      <c r="AL46" s="86" t="str">
        <f>+IF(AG46=$AL$22,MONTH(V46),"")</f>
        <v/>
      </c>
      <c r="AM46" s="86" t="str">
        <f>+IF($AG46=$AM$22,MONTH($D46),"")</f>
        <v/>
      </c>
      <c r="AN46" s="89" t="str">
        <f>+IF($AG46=AN$22,MONTH($D46),"")</f>
        <v/>
      </c>
      <c r="AO46" s="89" t="str">
        <f>+IF($AG46=AO$22,MONTH($D46),"")</f>
        <v/>
      </c>
      <c r="AP46" s="89" t="str">
        <f>+IF($AG46=AP$22,MONTH($D46),"")</f>
        <v/>
      </c>
      <c r="AQ46" s="89" t="str">
        <f>+IF($AG46=AQ$22,MONTH($D46),"")</f>
        <v/>
      </c>
      <c r="AR46" s="89" t="str">
        <f>+IF($AG46=AR$22,MONTH($D46),"")</f>
        <v/>
      </c>
      <c r="AS46" s="89" t="str">
        <f>+IF($AG46=AS$22,MONTH($D46),"")</f>
        <v/>
      </c>
      <c r="AT46" s="89" t="str">
        <f>+IF($AG46=AT$22,MONTH($D46),"")</f>
        <v/>
      </c>
      <c r="AU46" s="89" t="str">
        <f>+IF($AG46=AU$22,MONTH($D46),"")</f>
        <v/>
      </c>
      <c r="AV46" s="89" t="str">
        <f>+IF($AG46=AV$22,MONTH($D46),"")</f>
        <v/>
      </c>
      <c r="AW46" s="86" t="str">
        <f>+IF($AG46=AW$22,MONTH($D46),"")</f>
        <v/>
      </c>
      <c r="AX46" s="86" t="str">
        <f>+IF($AG46=AX$22,MONTH($D46),"")</f>
        <v/>
      </c>
      <c r="AY46" s="89"/>
      <c r="AZ46" s="89"/>
      <c r="BA46" s="89"/>
      <c r="BB46" s="89"/>
      <c r="BC46" s="89"/>
      <c r="BD46" s="89"/>
      <c r="BE46" s="89"/>
      <c r="BF46" s="89"/>
      <c r="BG46" s="89"/>
      <c r="BH46" s="89"/>
      <c r="BI46" s="89"/>
      <c r="BJ46" s="89"/>
      <c r="BK46" s="89"/>
      <c r="BL46" s="89"/>
      <c r="BM46" s="89"/>
      <c r="BN46" s="89"/>
      <c r="BO46" s="89"/>
      <c r="BP46" s="89"/>
    </row>
    <row r="47" spans="1:68" s="382" customFormat="1" ht="51" hidden="1" customHeight="1">
      <c r="A47" s="204" t="str">
        <f>+IFERROR(VALUE(MID(AB47,4,4)),"")</f>
        <v/>
      </c>
      <c r="B47" s="204">
        <f>VALUE(RIGHT(C47,LEN(C47)-2))</f>
        <v>2675</v>
      </c>
      <c r="C47" s="74" t="s">
        <v>331</v>
      </c>
      <c r="D47" s="75">
        <v>46062</v>
      </c>
      <c r="E47" s="70" t="s">
        <v>332</v>
      </c>
      <c r="F47" s="70" t="s">
        <v>332</v>
      </c>
      <c r="G47" s="68" t="s">
        <v>333</v>
      </c>
      <c r="H47" s="392" t="s">
        <v>334</v>
      </c>
      <c r="I47" s="69" t="s">
        <v>335</v>
      </c>
      <c r="J47" s="69"/>
      <c r="K47" s="68" t="s">
        <v>13</v>
      </c>
      <c r="L47" s="69" t="s">
        <v>129</v>
      </c>
      <c r="M47" s="71" t="s">
        <v>141</v>
      </c>
      <c r="N47" s="69" t="e" vm="1">
        <v>#VALUE!</v>
      </c>
      <c r="O47" s="84">
        <v>46085</v>
      </c>
      <c r="P47" s="72" t="s">
        <v>336</v>
      </c>
      <c r="Q47" s="82" t="s">
        <v>259</v>
      </c>
      <c r="R47" s="72" t="s">
        <v>260</v>
      </c>
      <c r="S47" s="146"/>
      <c r="T47" s="68" t="s">
        <v>158</v>
      </c>
      <c r="U47" s="87">
        <v>0.1</v>
      </c>
      <c r="V47" s="80">
        <v>46085</v>
      </c>
      <c r="W47" s="73">
        <v>2292</v>
      </c>
      <c r="X47" s="73">
        <f>2494*39800/1000000</f>
        <v>99.261200000000002</v>
      </c>
      <c r="Y47" s="169">
        <f>IF(SUM(W47:W47)&gt;0,X47/SUM(W47:W47)*1000000,"N/A")</f>
        <v>43307.678883071552</v>
      </c>
      <c r="Z47" s="80"/>
      <c r="AA47" s="80"/>
      <c r="AB47" s="73"/>
      <c r="AC47" s="153"/>
      <c r="AD47" s="330"/>
      <c r="AE47" s="305"/>
      <c r="AF47" s="88"/>
      <c r="AG47" s="182">
        <f>YEAR(V47)</f>
        <v>2026</v>
      </c>
      <c r="AH47" s="86">
        <f>+IF(AG47=$AH$22,MONTH(V47),"")</f>
        <v>3</v>
      </c>
      <c r="AI47" s="86" t="str">
        <f>+IF(AG47=$AI$22,MONTH(V47),"")</f>
        <v/>
      </c>
      <c r="AJ47" s="86" t="str">
        <f>+IF(AG47=$AJ$22,MONTH(V47),"")</f>
        <v/>
      </c>
      <c r="AK47" s="86" t="str">
        <f>+IF(AG47=$AK$22,MONTH(V47),"")</f>
        <v/>
      </c>
      <c r="AL47" s="86" t="str">
        <f>+IF(AG47=$AL$22,MONTH(V47),"")</f>
        <v/>
      </c>
      <c r="AM47" s="86" t="str">
        <f>+IF($AG47=$AM$22,MONTH($D47),"")</f>
        <v/>
      </c>
      <c r="AN47" s="89" t="str">
        <f>+IF($AG47=AN$22,MONTH($D47),"")</f>
        <v/>
      </c>
      <c r="AO47" s="89" t="str">
        <f>+IF($AG47=AO$22,MONTH($D47),"")</f>
        <v/>
      </c>
      <c r="AP47" s="89" t="str">
        <f>+IF($AG47=AP$22,MONTH($D47),"")</f>
        <v/>
      </c>
      <c r="AQ47" s="89" t="str">
        <f>+IF($AG47=AQ$22,MONTH($D47),"")</f>
        <v/>
      </c>
      <c r="AR47" s="89" t="str">
        <f>+IF($AG47=AR$22,MONTH($D47),"")</f>
        <v/>
      </c>
      <c r="AS47" s="89" t="str">
        <f>+IF($AG47=AS$22,MONTH($D47),"")</f>
        <v/>
      </c>
      <c r="AT47" s="89" t="str">
        <f>+IF($AG47=AT$22,MONTH($D47),"")</f>
        <v/>
      </c>
      <c r="AU47" s="89" t="str">
        <f>+IF($AG47=AU$22,MONTH($D47),"")</f>
        <v/>
      </c>
      <c r="AV47" s="89" t="str">
        <f>+IF($AG47=AV$22,MONTH($D47),"")</f>
        <v/>
      </c>
      <c r="AW47" s="86" t="str">
        <f>+IF($AG47=AW$22,MONTH($D47),"")</f>
        <v/>
      </c>
      <c r="AX47" s="86" t="str">
        <f>+IF($AG47=AX$22,MONTH($D47),"")</f>
        <v/>
      </c>
      <c r="AY47" s="89"/>
      <c r="AZ47" s="89"/>
      <c r="BA47" s="89"/>
      <c r="BB47" s="89"/>
      <c r="BC47" s="89"/>
      <c r="BD47" s="89"/>
      <c r="BE47" s="89"/>
      <c r="BF47" s="89"/>
      <c r="BG47" s="89"/>
      <c r="BH47" s="89"/>
      <c r="BI47" s="89"/>
      <c r="BJ47" s="89"/>
      <c r="BK47" s="89"/>
      <c r="BL47" s="89"/>
      <c r="BM47" s="89"/>
      <c r="BN47" s="89"/>
      <c r="BO47" s="89"/>
      <c r="BP47" s="89"/>
    </row>
    <row r="48" spans="1:68" s="382" customFormat="1" ht="51" customHeight="1">
      <c r="A48" s="204" t="str">
        <f>+IFERROR(VALUE(MID(AB48,4,4)),"")</f>
        <v/>
      </c>
      <c r="B48" s="204">
        <f>VALUE(RIGHT(C48,LEN(C48)-2))</f>
        <v>2674</v>
      </c>
      <c r="C48" s="74" t="s">
        <v>337</v>
      </c>
      <c r="D48" s="75">
        <v>46062</v>
      </c>
      <c r="E48" s="70" t="s">
        <v>215</v>
      </c>
      <c r="F48" s="70" t="s">
        <v>215</v>
      </c>
      <c r="G48" s="68" t="s">
        <v>338</v>
      </c>
      <c r="H48" s="392" t="s">
        <v>237</v>
      </c>
      <c r="I48" s="69" t="s">
        <v>339</v>
      </c>
      <c r="J48" s="69"/>
      <c r="K48" s="68" t="s">
        <v>18</v>
      </c>
      <c r="L48" s="69" t="s">
        <v>123</v>
      </c>
      <c r="M48" s="71" t="s">
        <v>113</v>
      </c>
      <c r="N48" s="69" t="e" vm="2">
        <v>#VALUE!</v>
      </c>
      <c r="O48" s="84">
        <v>46091</v>
      </c>
      <c r="P48" s="72" t="s">
        <v>294</v>
      </c>
      <c r="Q48" s="72" t="s">
        <v>240</v>
      </c>
      <c r="R48" s="72" t="s">
        <v>230</v>
      </c>
      <c r="S48" s="146"/>
      <c r="T48" s="68" t="s">
        <v>155</v>
      </c>
      <c r="U48" s="87"/>
      <c r="V48" s="80">
        <v>46073</v>
      </c>
      <c r="W48" s="73"/>
      <c r="X48" s="73"/>
      <c r="Y48" s="169" t="str">
        <f>IF(SUM(W48:W48)&gt;0,X48/SUM(W48:W48)*1000000,"N/A")</f>
        <v>N/A</v>
      </c>
      <c r="Z48" s="80"/>
      <c r="AA48" s="80"/>
      <c r="AB48" s="73"/>
      <c r="AC48" s="153"/>
      <c r="AD48" s="330"/>
      <c r="AE48" s="305"/>
      <c r="AF48" s="88"/>
      <c r="AG48" s="182">
        <f>YEAR(V48)</f>
        <v>2026</v>
      </c>
      <c r="AH48" s="86">
        <f>+IF(AG48=$AH$22,MONTH(V48),"")</f>
        <v>2</v>
      </c>
      <c r="AI48" s="86" t="str">
        <f>+IF(AG48=$AI$22,MONTH(V48),"")</f>
        <v/>
      </c>
      <c r="AJ48" s="86" t="str">
        <f>+IF(AG48=$AJ$22,MONTH(V48),"")</f>
        <v/>
      </c>
      <c r="AK48" s="86" t="str">
        <f>+IF(AG48=$AK$22,MONTH(V48),"")</f>
        <v/>
      </c>
      <c r="AL48" s="86" t="str">
        <f>+IF(AG48=$AL$22,MONTH(V48),"")</f>
        <v/>
      </c>
      <c r="AM48" s="86" t="str">
        <f>+IF($AG48=$AM$22,MONTH($D48),"")</f>
        <v/>
      </c>
      <c r="AN48" s="89" t="str">
        <f>+IF($AG48=AN$22,MONTH($D48),"")</f>
        <v/>
      </c>
      <c r="AO48" s="89" t="str">
        <f>+IF($AG48=AO$22,MONTH($D48),"")</f>
        <v/>
      </c>
      <c r="AP48" s="89" t="str">
        <f>+IF($AG48=AP$22,MONTH($D48),"")</f>
        <v/>
      </c>
      <c r="AQ48" s="89" t="str">
        <f>+IF($AG48=AQ$22,MONTH($D48),"")</f>
        <v/>
      </c>
      <c r="AR48" s="89" t="str">
        <f>+IF($AG48=AR$22,MONTH($D48),"")</f>
        <v/>
      </c>
      <c r="AS48" s="89" t="str">
        <f>+IF($AG48=AS$22,MONTH($D48),"")</f>
        <v/>
      </c>
      <c r="AT48" s="89" t="str">
        <f>+IF($AG48=AT$22,MONTH($D48),"")</f>
        <v/>
      </c>
      <c r="AU48" s="89" t="str">
        <f>+IF($AG48=AU$22,MONTH($D48),"")</f>
        <v/>
      </c>
      <c r="AV48" s="89" t="str">
        <f>+IF($AG48=AV$22,MONTH($D48),"")</f>
        <v/>
      </c>
      <c r="AW48" s="86" t="str">
        <f>+IF($AG48=AW$22,MONTH($D48),"")</f>
        <v/>
      </c>
      <c r="AX48" s="86" t="str">
        <f>+IF($AG48=AX$22,MONTH($D48),"")</f>
        <v/>
      </c>
      <c r="AY48" s="89"/>
      <c r="AZ48" s="89"/>
      <c r="BA48" s="89"/>
      <c r="BB48" s="89"/>
      <c r="BC48" s="89"/>
      <c r="BD48" s="89"/>
      <c r="BE48" s="89"/>
      <c r="BF48" s="89"/>
      <c r="BG48" s="89"/>
      <c r="BH48" s="89"/>
      <c r="BI48" s="89"/>
      <c r="BJ48" s="89"/>
      <c r="BK48" s="89"/>
      <c r="BL48" s="89"/>
      <c r="BM48" s="89"/>
      <c r="BN48" s="89"/>
      <c r="BO48" s="89"/>
      <c r="BP48" s="89"/>
    </row>
    <row r="49" spans="1:68" s="382" customFormat="1" ht="51" hidden="1" customHeight="1">
      <c r="A49" s="204" t="str">
        <f>+IFERROR(VALUE(MID(AB49,4,4)),"")</f>
        <v/>
      </c>
      <c r="B49" s="204">
        <f>VALUE(RIGHT(C49,LEN(C49)-2))</f>
        <v>2673</v>
      </c>
      <c r="C49" s="74" t="s">
        <v>340</v>
      </c>
      <c r="D49" s="75">
        <v>46062</v>
      </c>
      <c r="E49" s="70" t="s">
        <v>53</v>
      </c>
      <c r="F49" s="70" t="s">
        <v>252</v>
      </c>
      <c r="G49" s="68" t="s">
        <v>341</v>
      </c>
      <c r="H49" s="392" t="s">
        <v>342</v>
      </c>
      <c r="I49" s="69" t="s">
        <v>343</v>
      </c>
      <c r="J49" s="69"/>
      <c r="K49" s="68" t="s">
        <v>9</v>
      </c>
      <c r="L49" s="69" t="s">
        <v>123</v>
      </c>
      <c r="M49" s="71" t="s">
        <v>141</v>
      </c>
      <c r="N49" s="69" t="e" vm="1">
        <v>#VALUE!</v>
      </c>
      <c r="O49" s="84">
        <v>46120</v>
      </c>
      <c r="P49" s="72" t="s">
        <v>213</v>
      </c>
      <c r="Q49" s="72" t="s">
        <v>229</v>
      </c>
      <c r="R49" s="72" t="s">
        <v>230</v>
      </c>
      <c r="S49" s="146"/>
      <c r="T49" s="68" t="s">
        <v>155</v>
      </c>
      <c r="U49" s="87"/>
      <c r="V49" s="80">
        <v>46062</v>
      </c>
      <c r="W49" s="73"/>
      <c r="X49" s="73"/>
      <c r="Y49" s="169" t="str">
        <f>IF(SUM(W49:W49)&gt;0,X49/SUM(W49:W49)*1000000,"N/A")</f>
        <v>N/A</v>
      </c>
      <c r="Z49" s="80"/>
      <c r="AA49" s="80"/>
      <c r="AB49" s="73"/>
      <c r="AC49" s="153"/>
      <c r="AD49" s="330"/>
      <c r="AE49" s="305"/>
      <c r="AF49" s="88"/>
      <c r="AG49" s="182">
        <f>YEAR(V49)</f>
        <v>2026</v>
      </c>
      <c r="AH49" s="86">
        <f>+IF(AG49=$AH$22,MONTH(V49),"")</f>
        <v>2</v>
      </c>
      <c r="AI49" s="86" t="str">
        <f>+IF(AG49=$AI$22,MONTH(V49),"")</f>
        <v/>
      </c>
      <c r="AJ49" s="86" t="str">
        <f>+IF(AG49=$AJ$22,MONTH(V49),"")</f>
        <v/>
      </c>
      <c r="AK49" s="86" t="str">
        <f>+IF(AG49=$AK$22,MONTH(V49),"")</f>
        <v/>
      </c>
      <c r="AL49" s="86" t="str">
        <f>+IF(AG49=$AL$22,MONTH(V49),"")</f>
        <v/>
      </c>
      <c r="AM49" s="86" t="str">
        <f>+IF($AG49=$AM$22,MONTH($D49),"")</f>
        <v/>
      </c>
      <c r="AN49" s="89" t="str">
        <f>+IF($AG49=AN$22,MONTH($D49),"")</f>
        <v/>
      </c>
      <c r="AO49" s="89" t="str">
        <f>+IF($AG49=AO$22,MONTH($D49),"")</f>
        <v/>
      </c>
      <c r="AP49" s="89" t="str">
        <f>+IF($AG49=AP$22,MONTH($D49),"")</f>
        <v/>
      </c>
      <c r="AQ49" s="89" t="str">
        <f>+IF($AG49=AQ$22,MONTH($D49),"")</f>
        <v/>
      </c>
      <c r="AR49" s="89" t="str">
        <f>+IF($AG49=AR$22,MONTH($D49),"")</f>
        <v/>
      </c>
      <c r="AS49" s="89" t="str">
        <f>+IF($AG49=AS$22,MONTH($D49),"")</f>
        <v/>
      </c>
      <c r="AT49" s="89" t="str">
        <f>+IF($AG49=AT$22,MONTH($D49),"")</f>
        <v/>
      </c>
      <c r="AU49" s="89" t="str">
        <f>+IF($AG49=AU$22,MONTH($D49),"")</f>
        <v/>
      </c>
      <c r="AV49" s="89" t="str">
        <f>+IF($AG49=AV$22,MONTH($D49),"")</f>
        <v/>
      </c>
      <c r="AW49" s="86" t="str">
        <f>+IF($AG49=AW$22,MONTH($D49),"")</f>
        <v/>
      </c>
      <c r="AX49" s="86" t="str">
        <f>+IF($AG49=AX$22,MONTH($D49),"")</f>
        <v/>
      </c>
      <c r="AY49" s="89"/>
      <c r="AZ49" s="89"/>
      <c r="BA49" s="89"/>
      <c r="BB49" s="89"/>
      <c r="BC49" s="89"/>
      <c r="BD49" s="89"/>
      <c r="BE49" s="89"/>
      <c r="BF49" s="89"/>
      <c r="BG49" s="89"/>
      <c r="BH49" s="89"/>
      <c r="BI49" s="89"/>
      <c r="BJ49" s="89"/>
      <c r="BK49" s="89"/>
      <c r="BL49" s="89"/>
      <c r="BM49" s="89"/>
      <c r="BN49" s="89"/>
      <c r="BO49" s="89"/>
      <c r="BP49" s="89"/>
    </row>
    <row r="50" spans="1:68" s="382" customFormat="1" ht="51" hidden="1" customHeight="1">
      <c r="A50" s="204" t="str">
        <f>+IFERROR(VALUE(MID(AB50,4,4)),"")</f>
        <v/>
      </c>
      <c r="B50" s="204">
        <f>VALUE(RIGHT(C50,LEN(C50)-2))</f>
        <v>2672</v>
      </c>
      <c r="C50" s="74" t="s">
        <v>344</v>
      </c>
      <c r="D50" s="75">
        <v>46062</v>
      </c>
      <c r="E50" s="70" t="s">
        <v>345</v>
      </c>
      <c r="F50" s="70" t="s">
        <v>346</v>
      </c>
      <c r="G50" s="68" t="s">
        <v>347</v>
      </c>
      <c r="H50" s="392" t="s">
        <v>348</v>
      </c>
      <c r="I50" s="69" t="s">
        <v>349</v>
      </c>
      <c r="J50" s="69"/>
      <c r="K50" s="68" t="s">
        <v>9</v>
      </c>
      <c r="L50" s="69" t="s">
        <v>120</v>
      </c>
      <c r="M50" s="71" t="s">
        <v>141</v>
      </c>
      <c r="N50" s="69" t="e" vm="1">
        <v>#VALUE!</v>
      </c>
      <c r="O50" s="84">
        <v>46065</v>
      </c>
      <c r="P50" s="72" t="s">
        <v>350</v>
      </c>
      <c r="Q50" s="72" t="s">
        <v>259</v>
      </c>
      <c r="R50" s="72" t="s">
        <v>351</v>
      </c>
      <c r="S50" s="146"/>
      <c r="T50" s="68" t="s">
        <v>158</v>
      </c>
      <c r="U50" s="87">
        <v>0.1</v>
      </c>
      <c r="V50" s="80">
        <v>46064</v>
      </c>
      <c r="W50" s="73">
        <v>153</v>
      </c>
      <c r="X50" s="73">
        <v>8</v>
      </c>
      <c r="Y50" s="169">
        <f>IF(SUM(W50:W50)&gt;0,X50/SUM(W50:W50)*1000000,"N/A")</f>
        <v>52287.581699346403</v>
      </c>
      <c r="Z50" s="80"/>
      <c r="AA50" s="80"/>
      <c r="AB50" s="73"/>
      <c r="AC50" s="153"/>
      <c r="AD50" s="330"/>
      <c r="AE50" s="305"/>
      <c r="AF50" s="88"/>
      <c r="AG50" s="182">
        <f>YEAR(V50)</f>
        <v>2026</v>
      </c>
      <c r="AH50" s="86">
        <f>+IF(AG50=$AH$22,MONTH(V50),"")</f>
        <v>2</v>
      </c>
      <c r="AI50" s="86" t="str">
        <f>+IF(AG50=$AI$22,MONTH(V50),"")</f>
        <v/>
      </c>
      <c r="AJ50" s="86" t="str">
        <f>+IF(AG50=$AJ$22,MONTH(V50),"")</f>
        <v/>
      </c>
      <c r="AK50" s="86" t="str">
        <f>+IF(AG50=$AK$22,MONTH(V50),"")</f>
        <v/>
      </c>
      <c r="AL50" s="86" t="str">
        <f>+IF(AG50=$AL$22,MONTH(V50),"")</f>
        <v/>
      </c>
      <c r="AM50" s="86" t="str">
        <f>+IF($AG50=$AM$22,MONTH($D50),"")</f>
        <v/>
      </c>
      <c r="AN50" s="89" t="str">
        <f>+IF($AG50=AN$22,MONTH($D50),"")</f>
        <v/>
      </c>
      <c r="AO50" s="89" t="str">
        <f>+IF($AG50=AO$22,MONTH($D50),"")</f>
        <v/>
      </c>
      <c r="AP50" s="89" t="str">
        <f>+IF($AG50=AP$22,MONTH($D50),"")</f>
        <v/>
      </c>
      <c r="AQ50" s="89" t="str">
        <f>+IF($AG50=AQ$22,MONTH($D50),"")</f>
        <v/>
      </c>
      <c r="AR50" s="89" t="str">
        <f>+IF($AG50=AR$22,MONTH($D50),"")</f>
        <v/>
      </c>
      <c r="AS50" s="89" t="str">
        <f>+IF($AG50=AS$22,MONTH($D50),"")</f>
        <v/>
      </c>
      <c r="AT50" s="89" t="str">
        <f>+IF($AG50=AT$22,MONTH($D50),"")</f>
        <v/>
      </c>
      <c r="AU50" s="89" t="str">
        <f>+IF($AG50=AU$22,MONTH($D50),"")</f>
        <v/>
      </c>
      <c r="AV50" s="89" t="str">
        <f>+IF($AG50=AV$22,MONTH($D50),"")</f>
        <v/>
      </c>
      <c r="AW50" s="86" t="str">
        <f>+IF($AG50=AW$22,MONTH($D50),"")</f>
        <v/>
      </c>
      <c r="AX50" s="86" t="str">
        <f>+IF($AG50=AX$22,MONTH($D50),"")</f>
        <v/>
      </c>
      <c r="AY50" s="89"/>
      <c r="AZ50" s="89"/>
      <c r="BA50" s="89"/>
      <c r="BB50" s="89"/>
      <c r="BC50" s="89"/>
      <c r="BD50" s="89"/>
      <c r="BE50" s="89"/>
      <c r="BF50" s="89"/>
      <c r="BG50" s="89"/>
      <c r="BH50" s="89"/>
      <c r="BI50" s="89"/>
      <c r="BJ50" s="89"/>
      <c r="BK50" s="89"/>
      <c r="BL50" s="89"/>
      <c r="BM50" s="89"/>
      <c r="BN50" s="89"/>
      <c r="BO50" s="89"/>
      <c r="BP50" s="89"/>
    </row>
    <row r="51" spans="1:68" s="382" customFormat="1" ht="51" customHeight="1">
      <c r="A51" s="204">
        <f>+IFERROR(VALUE(MID(AB51,4,4)),"")</f>
        <v>409</v>
      </c>
      <c r="B51" s="204">
        <f>VALUE(RIGHT(C51,LEN(C51)-2))</f>
        <v>2671</v>
      </c>
      <c r="C51" s="74" t="s">
        <v>352</v>
      </c>
      <c r="D51" s="75">
        <v>46062</v>
      </c>
      <c r="E51" s="70" t="s">
        <v>353</v>
      </c>
      <c r="F51" s="70" t="s">
        <v>354</v>
      </c>
      <c r="G51" s="68" t="s">
        <v>355</v>
      </c>
      <c r="H51" s="282" t="s">
        <v>356</v>
      </c>
      <c r="I51" s="69" t="s">
        <v>357</v>
      </c>
      <c r="J51" s="69"/>
      <c r="K51" s="68" t="s">
        <v>12</v>
      </c>
      <c r="L51" s="69" t="s">
        <v>120</v>
      </c>
      <c r="M51" s="71" t="s">
        <v>141</v>
      </c>
      <c r="N51" s="69" t="e" vm="1">
        <v>#VALUE!</v>
      </c>
      <c r="O51" s="84">
        <v>46099</v>
      </c>
      <c r="P51" s="72" t="s">
        <v>274</v>
      </c>
      <c r="Q51" s="72" t="s">
        <v>220</v>
      </c>
      <c r="R51" s="72" t="s">
        <v>221</v>
      </c>
      <c r="S51" s="146"/>
      <c r="T51" s="68" t="s">
        <v>64</v>
      </c>
      <c r="U51" s="87"/>
      <c r="V51" s="80">
        <v>46062</v>
      </c>
      <c r="W51" s="73"/>
      <c r="X51" s="73"/>
      <c r="Y51" s="169" t="str">
        <f>IF(SUM(W51:W51)&gt;0,X51/SUM(W51:W51)*1000000,"N/A")</f>
        <v>N/A</v>
      </c>
      <c r="Z51" s="80"/>
      <c r="AA51" s="80"/>
      <c r="AB51" s="73" t="s">
        <v>358</v>
      </c>
      <c r="AC51" s="153"/>
      <c r="AD51" s="330"/>
      <c r="AE51" s="305"/>
      <c r="AF51" s="88"/>
      <c r="AG51" s="182">
        <f>YEAR(V51)</f>
        <v>2026</v>
      </c>
      <c r="AH51" s="86">
        <f>+IF(AG51=$AH$22,MONTH(V51),"")</f>
        <v>2</v>
      </c>
      <c r="AI51" s="86" t="str">
        <f>+IF(AG51=$AI$22,MONTH(V51),"")</f>
        <v/>
      </c>
      <c r="AJ51" s="86" t="str">
        <f>+IF(AG51=$AJ$22,MONTH(V51),"")</f>
        <v/>
      </c>
      <c r="AK51" s="86" t="str">
        <f>+IF(AG51=$AK$22,MONTH(V51),"")</f>
        <v/>
      </c>
      <c r="AL51" s="86" t="str">
        <f>+IF(AG51=$AL$22,MONTH(V51),"")</f>
        <v/>
      </c>
      <c r="AM51" s="86" t="str">
        <f>+IF($AG51=$AM$22,MONTH($D51),"")</f>
        <v/>
      </c>
      <c r="AN51" s="89" t="str">
        <f>+IF($AG51=AN$22,MONTH($D51),"")</f>
        <v/>
      </c>
      <c r="AO51" s="89" t="str">
        <f>+IF($AG51=AO$22,MONTH($D51),"")</f>
        <v/>
      </c>
      <c r="AP51" s="89" t="str">
        <f>+IF($AG51=AP$22,MONTH($D51),"")</f>
        <v/>
      </c>
      <c r="AQ51" s="89" t="str">
        <f>+IF($AG51=AQ$22,MONTH($D51),"")</f>
        <v/>
      </c>
      <c r="AR51" s="89" t="str">
        <f>+IF($AG51=AR$22,MONTH($D51),"")</f>
        <v/>
      </c>
      <c r="AS51" s="89" t="str">
        <f>+IF($AG51=AS$22,MONTH($D51),"")</f>
        <v/>
      </c>
      <c r="AT51" s="89" t="str">
        <f>+IF($AG51=AT$22,MONTH($D51),"")</f>
        <v/>
      </c>
      <c r="AU51" s="89" t="str">
        <f>+IF($AG51=AU$22,MONTH($D51),"")</f>
        <v/>
      </c>
      <c r="AV51" s="89" t="str">
        <f>+IF($AG51=AV$22,MONTH($D51),"")</f>
        <v/>
      </c>
      <c r="AW51" s="86" t="str">
        <f>+IF($AG51=AW$22,MONTH($D51),"")</f>
        <v/>
      </c>
      <c r="AX51" s="86" t="str">
        <f>+IF($AG51=AX$22,MONTH($D51),"")</f>
        <v/>
      </c>
      <c r="AY51" s="89"/>
      <c r="AZ51" s="89"/>
      <c r="BA51" s="89"/>
      <c r="BB51" s="89"/>
      <c r="BC51" s="89"/>
      <c r="BD51" s="89"/>
      <c r="BE51" s="89"/>
      <c r="BF51" s="89"/>
      <c r="BG51" s="89"/>
      <c r="BH51" s="89"/>
      <c r="BI51" s="89"/>
      <c r="BJ51" s="89"/>
      <c r="BK51" s="89"/>
      <c r="BL51" s="89"/>
      <c r="BM51" s="89"/>
      <c r="BN51" s="89"/>
      <c r="BO51" s="89"/>
      <c r="BP51" s="89"/>
    </row>
    <row r="52" spans="1:68" s="382" customFormat="1" ht="51" hidden="1" customHeight="1">
      <c r="A52" s="204" t="str">
        <f>+IFERROR(VALUE(MID(AB52,4,4)),"")</f>
        <v/>
      </c>
      <c r="B52" s="204">
        <f>VALUE(RIGHT(C52,LEN(C52)-2))</f>
        <v>2670</v>
      </c>
      <c r="C52" s="74" t="s">
        <v>359</v>
      </c>
      <c r="D52" s="75">
        <v>46058</v>
      </c>
      <c r="E52" s="70" t="s">
        <v>360</v>
      </c>
      <c r="F52" s="70" t="s">
        <v>243</v>
      </c>
      <c r="G52" s="68" t="s">
        <v>361</v>
      </c>
      <c r="H52" s="392" t="s">
        <v>362</v>
      </c>
      <c r="I52" s="69" t="s">
        <v>363</v>
      </c>
      <c r="J52" s="69"/>
      <c r="K52" s="68" t="s">
        <v>18</v>
      </c>
      <c r="L52" s="69" t="s">
        <v>120</v>
      </c>
      <c r="M52" s="71" t="s">
        <v>141</v>
      </c>
      <c r="N52" s="69" t="e" vm="1">
        <v>#VALUE!</v>
      </c>
      <c r="O52" s="84">
        <v>46076</v>
      </c>
      <c r="P52" s="72" t="s">
        <v>364</v>
      </c>
      <c r="Q52" s="72" t="s">
        <v>220</v>
      </c>
      <c r="R52" s="72" t="s">
        <v>221</v>
      </c>
      <c r="S52" s="146"/>
      <c r="T52" s="68" t="s">
        <v>158</v>
      </c>
      <c r="U52" s="87">
        <v>0.01</v>
      </c>
      <c r="V52" s="80">
        <v>46078</v>
      </c>
      <c r="W52" s="73">
        <v>2279</v>
      </c>
      <c r="X52" s="73">
        <f>3323*39773/1000000</f>
        <v>132.16567900000001</v>
      </c>
      <c r="Y52" s="169">
        <f>IF(SUM(W52:W52)&gt;0,X52/SUM(W52:W52)*1000000,"N/A")</f>
        <v>57992.838525669162</v>
      </c>
      <c r="Z52" s="80"/>
      <c r="AA52" s="80"/>
      <c r="AB52" s="73"/>
      <c r="AC52" s="153"/>
      <c r="AD52" s="330"/>
      <c r="AE52" s="305"/>
      <c r="AF52" s="88"/>
      <c r="AG52" s="182">
        <f>YEAR(V52)</f>
        <v>2026</v>
      </c>
      <c r="AH52" s="86">
        <f>+IF(AG52=$AH$22,MONTH(V52),"")</f>
        <v>2</v>
      </c>
      <c r="AI52" s="86" t="str">
        <f>+IF(AG52=$AI$22,MONTH(V52),"")</f>
        <v/>
      </c>
      <c r="AJ52" s="86" t="str">
        <f>+IF(AG52=$AJ$22,MONTH(V52),"")</f>
        <v/>
      </c>
      <c r="AK52" s="86" t="str">
        <f>+IF(AG52=$AK$22,MONTH(V52),"")</f>
        <v/>
      </c>
      <c r="AL52" s="86" t="str">
        <f>+IF(AG52=$AL$22,MONTH(V52),"")</f>
        <v/>
      </c>
      <c r="AM52" s="86" t="str">
        <f>+IF($AG52=$AM$22,MONTH($D52),"")</f>
        <v/>
      </c>
      <c r="AN52" s="89" t="str">
        <f>+IF($AG52=AN$22,MONTH($D52),"")</f>
        <v/>
      </c>
      <c r="AO52" s="89" t="str">
        <f>+IF($AG52=AO$22,MONTH($D52),"")</f>
        <v/>
      </c>
      <c r="AP52" s="89" t="str">
        <f>+IF($AG52=AP$22,MONTH($D52),"")</f>
        <v/>
      </c>
      <c r="AQ52" s="89" t="str">
        <f>+IF($AG52=AQ$22,MONTH($D52),"")</f>
        <v/>
      </c>
      <c r="AR52" s="89" t="str">
        <f>+IF($AG52=AR$22,MONTH($D52),"")</f>
        <v/>
      </c>
      <c r="AS52" s="89" t="str">
        <f>+IF($AG52=AS$22,MONTH($D52),"")</f>
        <v/>
      </c>
      <c r="AT52" s="89" t="str">
        <f>+IF($AG52=AT$22,MONTH($D52),"")</f>
        <v/>
      </c>
      <c r="AU52" s="89" t="str">
        <f>+IF($AG52=AU$22,MONTH($D52),"")</f>
        <v/>
      </c>
      <c r="AV52" s="89" t="str">
        <f>+IF($AG52=AV$22,MONTH($D52),"")</f>
        <v/>
      </c>
      <c r="AW52" s="86" t="str">
        <f>+IF($AG52=AW$22,MONTH($D52),"")</f>
        <v/>
      </c>
      <c r="AX52" s="86" t="str">
        <f>+IF($AG52=AX$22,MONTH($D52),"")</f>
        <v/>
      </c>
      <c r="AY52" s="89"/>
      <c r="AZ52" s="89"/>
      <c r="BA52" s="89"/>
      <c r="BB52" s="89"/>
      <c r="BC52" s="89"/>
      <c r="BD52" s="89"/>
      <c r="BE52" s="89"/>
      <c r="BF52" s="89"/>
      <c r="BG52" s="89"/>
      <c r="BH52" s="89"/>
      <c r="BI52" s="89"/>
      <c r="BJ52" s="89"/>
      <c r="BK52" s="89"/>
      <c r="BL52" s="89"/>
      <c r="BM52" s="89"/>
      <c r="BN52" s="89"/>
      <c r="BO52" s="89"/>
      <c r="BP52" s="89"/>
    </row>
    <row r="53" spans="1:68" s="382" customFormat="1" ht="51" hidden="1" customHeight="1">
      <c r="A53" s="204">
        <f>+IFERROR(VALUE(MID(AB53,4,4)),"")</f>
        <v>466</v>
      </c>
      <c r="B53" s="204">
        <f>VALUE(RIGHT(C53,LEN(C53)-2))</f>
        <v>2669</v>
      </c>
      <c r="C53" s="74" t="s">
        <v>365</v>
      </c>
      <c r="D53" s="75">
        <v>46057</v>
      </c>
      <c r="E53" s="70" t="s">
        <v>262</v>
      </c>
      <c r="F53" s="70" t="s">
        <v>262</v>
      </c>
      <c r="G53" s="68" t="s">
        <v>366</v>
      </c>
      <c r="H53" s="392" t="s">
        <v>367</v>
      </c>
      <c r="I53" s="69" t="s">
        <v>368</v>
      </c>
      <c r="J53" s="69"/>
      <c r="K53" s="68" t="s">
        <v>13</v>
      </c>
      <c r="L53" s="69" t="s">
        <v>120</v>
      </c>
      <c r="M53" s="71" t="s">
        <v>141</v>
      </c>
      <c r="N53" s="69" t="e" vm="1">
        <v>#VALUE!</v>
      </c>
      <c r="O53" s="84">
        <v>46069</v>
      </c>
      <c r="P53" s="72" t="s">
        <v>369</v>
      </c>
      <c r="Q53" s="72" t="s">
        <v>220</v>
      </c>
      <c r="R53" s="72" t="s">
        <v>221</v>
      </c>
      <c r="S53" s="146" t="s">
        <v>370</v>
      </c>
      <c r="T53" s="68" t="s">
        <v>155</v>
      </c>
      <c r="U53" s="87"/>
      <c r="V53" s="80">
        <v>46062</v>
      </c>
      <c r="W53" s="73"/>
      <c r="X53" s="73"/>
      <c r="Y53" s="169" t="str">
        <f>IF(SUM(W53:W53)&gt;0,X53/SUM(W53:W53)*1000000,"N/A")</f>
        <v>N/A</v>
      </c>
      <c r="Z53" s="80"/>
      <c r="AA53" s="80"/>
      <c r="AB53" s="73" t="s">
        <v>371</v>
      </c>
      <c r="AC53" s="153"/>
      <c r="AD53" s="330"/>
      <c r="AE53" s="305"/>
      <c r="AF53" s="88"/>
      <c r="AG53" s="182">
        <f>YEAR(V53)</f>
        <v>2026</v>
      </c>
      <c r="AH53" s="86">
        <f>+IF(AG53=$AH$22,MONTH(V53),"")</f>
        <v>2</v>
      </c>
      <c r="AI53" s="86" t="str">
        <f>+IF(AG53=$AI$22,MONTH(V53),"")</f>
        <v/>
      </c>
      <c r="AJ53" s="86" t="str">
        <f>+IF(AG53=$AJ$22,MONTH(V53),"")</f>
        <v/>
      </c>
      <c r="AK53" s="86" t="str">
        <f>+IF(AG53=$AK$22,MONTH(V53),"")</f>
        <v/>
      </c>
      <c r="AL53" s="86" t="str">
        <f>+IF(AG53=$AL$22,MONTH(V53),"")</f>
        <v/>
      </c>
      <c r="AM53" s="86" t="str">
        <f>+IF($AG53=$AM$22,MONTH($D53),"")</f>
        <v/>
      </c>
      <c r="AN53" s="89" t="str">
        <f>+IF($AG53=AN$22,MONTH($D53),"")</f>
        <v/>
      </c>
      <c r="AO53" s="89" t="str">
        <f>+IF($AG53=AO$22,MONTH($D53),"")</f>
        <v/>
      </c>
      <c r="AP53" s="89" t="str">
        <f>+IF($AG53=AP$22,MONTH($D53),"")</f>
        <v/>
      </c>
      <c r="AQ53" s="89" t="str">
        <f>+IF($AG53=AQ$22,MONTH($D53),"")</f>
        <v/>
      </c>
      <c r="AR53" s="89" t="str">
        <f>+IF($AG53=AR$22,MONTH($D53),"")</f>
        <v/>
      </c>
      <c r="AS53" s="89" t="str">
        <f>+IF($AG53=AS$22,MONTH($D53),"")</f>
        <v/>
      </c>
      <c r="AT53" s="89" t="str">
        <f>+IF($AG53=AT$22,MONTH($D53),"")</f>
        <v/>
      </c>
      <c r="AU53" s="89" t="str">
        <f>+IF($AG53=AU$22,MONTH($D53),"")</f>
        <v/>
      </c>
      <c r="AV53" s="89" t="str">
        <f>+IF($AG53=AV$22,MONTH($D53),"")</f>
        <v/>
      </c>
      <c r="AW53" s="86" t="str">
        <f>+IF($AG53=AW$22,MONTH($D53),"")</f>
        <v/>
      </c>
      <c r="AX53" s="86" t="str">
        <f>+IF($AG53=AX$22,MONTH($D53),"")</f>
        <v/>
      </c>
      <c r="AY53" s="89"/>
      <c r="AZ53" s="89"/>
      <c r="BA53" s="89"/>
      <c r="BB53" s="89"/>
      <c r="BC53" s="89"/>
      <c r="BD53" s="89"/>
      <c r="BE53" s="89"/>
      <c r="BF53" s="89"/>
      <c r="BG53" s="89"/>
      <c r="BH53" s="89"/>
      <c r="BI53" s="89"/>
      <c r="BJ53" s="89"/>
      <c r="BK53" s="89"/>
      <c r="BL53" s="89"/>
      <c r="BM53" s="89"/>
      <c r="BN53" s="89"/>
      <c r="BO53" s="89"/>
      <c r="BP53" s="89"/>
    </row>
    <row r="54" spans="1:68" s="382" customFormat="1" ht="51" hidden="1" customHeight="1">
      <c r="A54" s="204" t="str">
        <f>+IFERROR(VALUE(MID(AB54,4,4)),"")</f>
        <v/>
      </c>
      <c r="B54" s="204">
        <f>VALUE(RIGHT(C54,LEN(C54)-2))</f>
        <v>2668</v>
      </c>
      <c r="C54" s="74" t="s">
        <v>372</v>
      </c>
      <c r="D54" s="75">
        <v>46057</v>
      </c>
      <c r="E54" s="70" t="s">
        <v>373</v>
      </c>
      <c r="F54" s="70" t="s">
        <v>373</v>
      </c>
      <c r="G54" s="68" t="s">
        <v>374</v>
      </c>
      <c r="H54" s="392" t="s">
        <v>375</v>
      </c>
      <c r="I54" s="69" t="s">
        <v>376</v>
      </c>
      <c r="J54" s="69"/>
      <c r="K54" s="68" t="s">
        <v>12</v>
      </c>
      <c r="L54" s="69" t="s">
        <v>120</v>
      </c>
      <c r="M54" s="71" t="s">
        <v>113</v>
      </c>
      <c r="N54" s="69" t="e" vm="3">
        <v>#VALUE!</v>
      </c>
      <c r="O54" s="84">
        <v>46076</v>
      </c>
      <c r="P54" s="72" t="s">
        <v>377</v>
      </c>
      <c r="Q54" s="72" t="s">
        <v>316</v>
      </c>
      <c r="R54" s="72" t="s">
        <v>378</v>
      </c>
      <c r="S54" s="146" t="s">
        <v>379</v>
      </c>
      <c r="T54" s="68" t="s">
        <v>158</v>
      </c>
      <c r="U54" s="87">
        <v>0.1</v>
      </c>
      <c r="V54" s="80">
        <v>46059</v>
      </c>
      <c r="W54" s="73">
        <v>1990</v>
      </c>
      <c r="X54" s="73">
        <v>0</v>
      </c>
      <c r="Y54" s="169">
        <f>IF(SUM(W54:W54)&gt;0,X54/SUM(W54:W54)*1000000,"N/A")</f>
        <v>0</v>
      </c>
      <c r="Z54" s="80"/>
      <c r="AA54" s="80"/>
      <c r="AB54" s="73"/>
      <c r="AC54" s="153"/>
      <c r="AD54" s="330"/>
      <c r="AE54" s="305"/>
      <c r="AF54" s="88"/>
      <c r="AG54" s="182">
        <f>YEAR(V54)</f>
        <v>2026</v>
      </c>
      <c r="AH54" s="86">
        <f>+IF(AG54=$AH$22,MONTH(V54),"")</f>
        <v>2</v>
      </c>
      <c r="AI54" s="86" t="str">
        <f>+IF(AG54=$AI$22,MONTH(V54),"")</f>
        <v/>
      </c>
      <c r="AJ54" s="86" t="str">
        <f>+IF(AG54=$AJ$22,MONTH(V54),"")</f>
        <v/>
      </c>
      <c r="AK54" s="86" t="str">
        <f>+IF(AG54=$AK$22,MONTH(V54),"")</f>
        <v/>
      </c>
      <c r="AL54" s="86" t="str">
        <f>+IF(AG54=$AL$22,MONTH(V54),"")</f>
        <v/>
      </c>
      <c r="AM54" s="86" t="str">
        <f>+IF($AG54=$AM$22,MONTH($D54),"")</f>
        <v/>
      </c>
      <c r="AN54" s="89" t="str">
        <f>+IF($AG54=AN$22,MONTH($D54),"")</f>
        <v/>
      </c>
      <c r="AO54" s="89" t="str">
        <f>+IF($AG54=AO$22,MONTH($D54),"")</f>
        <v/>
      </c>
      <c r="AP54" s="89" t="str">
        <f>+IF($AG54=AP$22,MONTH($D54),"")</f>
        <v/>
      </c>
      <c r="AQ54" s="89" t="str">
        <f>+IF($AG54=AQ$22,MONTH($D54),"")</f>
        <v/>
      </c>
      <c r="AR54" s="89" t="str">
        <f>+IF($AG54=AR$22,MONTH($D54),"")</f>
        <v/>
      </c>
      <c r="AS54" s="89" t="str">
        <f>+IF($AG54=AS$22,MONTH($D54),"")</f>
        <v/>
      </c>
      <c r="AT54" s="89" t="str">
        <f>+IF($AG54=AT$22,MONTH($D54),"")</f>
        <v/>
      </c>
      <c r="AU54" s="89" t="str">
        <f>+IF($AG54=AU$22,MONTH($D54),"")</f>
        <v/>
      </c>
      <c r="AV54" s="89" t="str">
        <f>+IF($AG54=AV$22,MONTH($D54),"")</f>
        <v/>
      </c>
      <c r="AW54" s="86" t="str">
        <f>+IF($AG54=AW$22,MONTH($D54),"")</f>
        <v/>
      </c>
      <c r="AX54" s="86" t="str">
        <f>+IF($AG54=AX$22,MONTH($D54),"")</f>
        <v/>
      </c>
      <c r="AY54" s="89"/>
      <c r="AZ54" s="89"/>
      <c r="BA54" s="89"/>
      <c r="BB54" s="89"/>
      <c r="BC54" s="89"/>
      <c r="BD54" s="89"/>
      <c r="BE54" s="89"/>
      <c r="BF54" s="89"/>
      <c r="BG54" s="89"/>
      <c r="BH54" s="89"/>
      <c r="BI54" s="89"/>
      <c r="BJ54" s="89"/>
      <c r="BK54" s="89"/>
      <c r="BL54" s="89"/>
      <c r="BM54" s="89"/>
      <c r="BN54" s="89"/>
      <c r="BO54" s="89"/>
      <c r="BP54" s="89"/>
    </row>
    <row r="55" spans="1:68" s="382" customFormat="1" ht="51" hidden="1" customHeight="1">
      <c r="A55" s="204" t="str">
        <f>+IFERROR(VALUE(MID(AB55,4,4)),"")</f>
        <v/>
      </c>
      <c r="B55" s="204">
        <f>VALUE(RIGHT(C55,LEN(C55)-2))</f>
        <v>2667</v>
      </c>
      <c r="C55" s="74" t="s">
        <v>380</v>
      </c>
      <c r="D55" s="75">
        <v>46057</v>
      </c>
      <c r="E55" s="70" t="s">
        <v>332</v>
      </c>
      <c r="F55" s="70" t="s">
        <v>332</v>
      </c>
      <c r="G55" s="68" t="s">
        <v>333</v>
      </c>
      <c r="H55" s="392" t="s">
        <v>334</v>
      </c>
      <c r="I55" s="69" t="s">
        <v>381</v>
      </c>
      <c r="J55" s="69"/>
      <c r="K55" s="68" t="s">
        <v>9</v>
      </c>
      <c r="L55" s="69" t="s">
        <v>120</v>
      </c>
      <c r="M55" s="71" t="s">
        <v>141</v>
      </c>
      <c r="N55" s="69" t="e" vm="1">
        <v>#VALUE!</v>
      </c>
      <c r="O55" s="84">
        <v>46071</v>
      </c>
      <c r="P55" s="72" t="s">
        <v>382</v>
      </c>
      <c r="Q55" s="72" t="s">
        <v>259</v>
      </c>
      <c r="R55" s="72" t="s">
        <v>260</v>
      </c>
      <c r="S55" s="146"/>
      <c r="T55" s="68" t="s">
        <v>158</v>
      </c>
      <c r="U55" s="87">
        <v>0.1</v>
      </c>
      <c r="V55" s="80">
        <v>46069</v>
      </c>
      <c r="W55" s="73">
        <v>1317</v>
      </c>
      <c r="X55" s="73">
        <v>52</v>
      </c>
      <c r="Y55" s="169">
        <f>IF(SUM(W55:W55)&gt;0,X55/SUM(W55:W55)*1000000,"N/A")</f>
        <v>39483.675018982532</v>
      </c>
      <c r="Z55" s="80"/>
      <c r="AA55" s="80"/>
      <c r="AB55" s="73"/>
      <c r="AC55" s="153"/>
      <c r="AD55" s="330"/>
      <c r="AE55" s="305"/>
      <c r="AF55" s="88"/>
      <c r="AG55" s="182">
        <f>YEAR(V55)</f>
        <v>2026</v>
      </c>
      <c r="AH55" s="86">
        <f>+IF(AG55=$AH$22,MONTH(V55),"")</f>
        <v>2</v>
      </c>
      <c r="AI55" s="86" t="str">
        <f>+IF(AG55=$AI$22,MONTH(V55),"")</f>
        <v/>
      </c>
      <c r="AJ55" s="86" t="str">
        <f>+IF(AG55=$AJ$22,MONTH(V55),"")</f>
        <v/>
      </c>
      <c r="AK55" s="86" t="str">
        <f>+IF(AG55=$AK$22,MONTH(V55),"")</f>
        <v/>
      </c>
      <c r="AL55" s="86" t="str">
        <f>+IF(AG55=$AL$22,MONTH(V55),"")</f>
        <v/>
      </c>
      <c r="AM55" s="86" t="str">
        <f>+IF($AG55=$AM$22,MONTH($D55),"")</f>
        <v/>
      </c>
      <c r="AN55" s="89" t="str">
        <f>+IF($AG55=AN$22,MONTH($D55),"")</f>
        <v/>
      </c>
      <c r="AO55" s="89" t="str">
        <f>+IF($AG55=AO$22,MONTH($D55),"")</f>
        <v/>
      </c>
      <c r="AP55" s="89" t="str">
        <f>+IF($AG55=AP$22,MONTH($D55),"")</f>
        <v/>
      </c>
      <c r="AQ55" s="89" t="str">
        <f>+IF($AG55=AQ$22,MONTH($D55),"")</f>
        <v/>
      </c>
      <c r="AR55" s="89" t="str">
        <f>+IF($AG55=AR$22,MONTH($D55),"")</f>
        <v/>
      </c>
      <c r="AS55" s="89" t="str">
        <f>+IF($AG55=AS$22,MONTH($D55),"")</f>
        <v/>
      </c>
      <c r="AT55" s="89" t="str">
        <f>+IF($AG55=AT$22,MONTH($D55),"")</f>
        <v/>
      </c>
      <c r="AU55" s="89" t="str">
        <f>+IF($AG55=AU$22,MONTH($D55),"")</f>
        <v/>
      </c>
      <c r="AV55" s="89" t="str">
        <f>+IF($AG55=AV$22,MONTH($D55),"")</f>
        <v/>
      </c>
      <c r="AW55" s="86" t="str">
        <f>+IF($AG55=AW$22,MONTH($D55),"")</f>
        <v/>
      </c>
      <c r="AX55" s="86" t="str">
        <f>+IF($AG55=AX$22,MONTH($D55),"")</f>
        <v/>
      </c>
      <c r="AY55" s="89"/>
      <c r="AZ55" s="89"/>
      <c r="BA55" s="89"/>
      <c r="BB55" s="89"/>
      <c r="BC55" s="89"/>
      <c r="BD55" s="89"/>
      <c r="BE55" s="89"/>
      <c r="BF55" s="89"/>
      <c r="BG55" s="89"/>
      <c r="BH55" s="89"/>
      <c r="BI55" s="89"/>
      <c r="BJ55" s="89"/>
      <c r="BK55" s="89"/>
      <c r="BL55" s="89"/>
      <c r="BM55" s="89"/>
      <c r="BN55" s="89"/>
      <c r="BO55" s="89"/>
      <c r="BP55" s="89"/>
    </row>
    <row r="56" spans="1:68" s="382" customFormat="1" ht="51" hidden="1" customHeight="1">
      <c r="A56" s="204" t="str">
        <f>+IFERROR(VALUE(MID(AB56,4,4)),"")</f>
        <v/>
      </c>
      <c r="B56" s="204">
        <f>VALUE(RIGHT(C56,LEN(C56)-2))</f>
        <v>2666</v>
      </c>
      <c r="C56" s="74" t="s">
        <v>383</v>
      </c>
      <c r="D56" s="75">
        <v>46056</v>
      </c>
      <c r="E56" s="70" t="s">
        <v>373</v>
      </c>
      <c r="F56" s="70" t="s">
        <v>373</v>
      </c>
      <c r="G56" s="68" t="s">
        <v>374</v>
      </c>
      <c r="H56" s="392" t="s">
        <v>375</v>
      </c>
      <c r="I56" s="69" t="s">
        <v>384</v>
      </c>
      <c r="J56" s="69"/>
      <c r="K56" s="68" t="s">
        <v>9</v>
      </c>
      <c r="L56" s="69" t="s">
        <v>123</v>
      </c>
      <c r="M56" s="71" t="s">
        <v>141</v>
      </c>
      <c r="N56" s="69" t="e" vm="1">
        <v>#VALUE!</v>
      </c>
      <c r="O56" s="84">
        <v>46076</v>
      </c>
      <c r="P56" s="72" t="s">
        <v>377</v>
      </c>
      <c r="Q56" s="72" t="s">
        <v>316</v>
      </c>
      <c r="R56" s="72" t="s">
        <v>378</v>
      </c>
      <c r="S56" s="146" t="s">
        <v>379</v>
      </c>
      <c r="T56" s="68" t="s">
        <v>158</v>
      </c>
      <c r="U56" s="87">
        <v>0.1</v>
      </c>
      <c r="V56" s="80">
        <v>46070</v>
      </c>
      <c r="W56" s="73">
        <v>976</v>
      </c>
      <c r="X56" s="73">
        <v>0</v>
      </c>
      <c r="Y56" s="169">
        <f>IF(SUM(W56:W56)&gt;0,X56/SUM(W56:W56)*1000000,"N/A")</f>
        <v>0</v>
      </c>
      <c r="Z56" s="80"/>
      <c r="AA56" s="80"/>
      <c r="AB56" s="73"/>
      <c r="AC56" s="153"/>
      <c r="AD56" s="330"/>
      <c r="AE56" s="305"/>
      <c r="AF56" s="88"/>
      <c r="AG56" s="182">
        <f>YEAR(V56)</f>
        <v>2026</v>
      </c>
      <c r="AH56" s="86">
        <f>+IF(AG56=$AH$22,MONTH(V56),"")</f>
        <v>2</v>
      </c>
      <c r="AI56" s="86" t="str">
        <f>+IF(AG56=$AI$22,MONTH(V56),"")</f>
        <v/>
      </c>
      <c r="AJ56" s="86" t="str">
        <f>+IF(AG56=$AJ$22,MONTH(V56),"")</f>
        <v/>
      </c>
      <c r="AK56" s="86" t="str">
        <f>+IF(AG56=$AK$22,MONTH(V56),"")</f>
        <v/>
      </c>
      <c r="AL56" s="86" t="str">
        <f>+IF(AG56=$AL$22,MONTH(V56),"")</f>
        <v/>
      </c>
      <c r="AM56" s="86" t="str">
        <f>+IF($AG56=$AM$22,MONTH($D56),"")</f>
        <v/>
      </c>
      <c r="AN56" s="89" t="str">
        <f>+IF($AG56=AN$22,MONTH($D56),"")</f>
        <v/>
      </c>
      <c r="AO56" s="89" t="str">
        <f>+IF($AG56=AO$22,MONTH($D56),"")</f>
        <v/>
      </c>
      <c r="AP56" s="89" t="str">
        <f>+IF($AG56=AP$22,MONTH($D56),"")</f>
        <v/>
      </c>
      <c r="AQ56" s="89" t="str">
        <f>+IF($AG56=AQ$22,MONTH($D56),"")</f>
        <v/>
      </c>
      <c r="AR56" s="89" t="str">
        <f>+IF($AG56=AR$22,MONTH($D56),"")</f>
        <v/>
      </c>
      <c r="AS56" s="89" t="str">
        <f>+IF($AG56=AS$22,MONTH($D56),"")</f>
        <v/>
      </c>
      <c r="AT56" s="89" t="str">
        <f>+IF($AG56=AT$22,MONTH($D56),"")</f>
        <v/>
      </c>
      <c r="AU56" s="89" t="str">
        <f>+IF($AG56=AU$22,MONTH($D56),"")</f>
        <v/>
      </c>
      <c r="AV56" s="89" t="str">
        <f>+IF($AG56=AV$22,MONTH($D56),"")</f>
        <v/>
      </c>
      <c r="AW56" s="86" t="str">
        <f>+IF($AG56=AW$22,MONTH($D56),"")</f>
        <v/>
      </c>
      <c r="AX56" s="86" t="str">
        <f>+IF($AG56=AX$22,MONTH($D56),"")</f>
        <v/>
      </c>
      <c r="AY56" s="89"/>
      <c r="AZ56" s="89"/>
      <c r="BA56" s="89"/>
      <c r="BB56" s="89"/>
      <c r="BC56" s="89"/>
      <c r="BD56" s="89"/>
      <c r="BE56" s="89"/>
      <c r="BF56" s="89"/>
      <c r="BG56" s="89"/>
      <c r="BH56" s="89"/>
      <c r="BI56" s="89"/>
      <c r="BJ56" s="89"/>
      <c r="BK56" s="89"/>
      <c r="BL56" s="89"/>
      <c r="BM56" s="89"/>
      <c r="BN56" s="89"/>
      <c r="BO56" s="89"/>
      <c r="BP56" s="89"/>
    </row>
    <row r="57" spans="1:68" s="382" customFormat="1" ht="51" customHeight="1">
      <c r="A57" s="204" t="str">
        <f>+IFERROR(VALUE(MID(AB57,4,4)),"")</f>
        <v/>
      </c>
      <c r="B57" s="204">
        <f>VALUE(RIGHT(C57,LEN(C57)-2))</f>
        <v>2665</v>
      </c>
      <c r="C57" s="74" t="s">
        <v>385</v>
      </c>
      <c r="D57" s="75">
        <v>46056</v>
      </c>
      <c r="E57" s="70" t="s">
        <v>262</v>
      </c>
      <c r="F57" s="70" t="s">
        <v>263</v>
      </c>
      <c r="G57" s="68" t="s">
        <v>386</v>
      </c>
      <c r="H57" s="392" t="s">
        <v>387</v>
      </c>
      <c r="I57" s="69" t="s">
        <v>388</v>
      </c>
      <c r="J57" s="69"/>
      <c r="K57" s="68" t="s">
        <v>389</v>
      </c>
      <c r="L57" s="69" t="s">
        <v>129</v>
      </c>
      <c r="M57" s="71" t="s">
        <v>141</v>
      </c>
      <c r="N57" s="69" t="e" vm="1">
        <v>#VALUE!</v>
      </c>
      <c r="O57" s="84">
        <v>46090</v>
      </c>
      <c r="P57" s="72" t="s">
        <v>228</v>
      </c>
      <c r="Q57" s="72" t="s">
        <v>220</v>
      </c>
      <c r="R57" s="72" t="s">
        <v>221</v>
      </c>
      <c r="S57" s="146"/>
      <c r="T57" s="68" t="s">
        <v>64</v>
      </c>
      <c r="U57" s="87"/>
      <c r="V57" s="80">
        <v>46055</v>
      </c>
      <c r="W57" s="73"/>
      <c r="X57" s="73"/>
      <c r="Y57" s="169" t="str">
        <f>IF(SUM(W57:W57)&gt;0,X57/SUM(W57:W57)*1000000,"N/A")</f>
        <v>N/A</v>
      </c>
      <c r="Z57" s="80"/>
      <c r="AA57" s="80"/>
      <c r="AB57" s="73"/>
      <c r="AC57" s="153"/>
      <c r="AD57" s="330" t="s">
        <v>390</v>
      </c>
      <c r="AE57" s="305"/>
      <c r="AF57" s="88"/>
      <c r="AG57" s="182">
        <f>YEAR(V57)</f>
        <v>2026</v>
      </c>
      <c r="AH57" s="86">
        <f>+IF(AG57=$AH$22,MONTH(V57),"")</f>
        <v>2</v>
      </c>
      <c r="AI57" s="86" t="str">
        <f>+IF(AG57=$AI$22,MONTH(V57),"")</f>
        <v/>
      </c>
      <c r="AJ57" s="86" t="str">
        <f>+IF(AG57=$AJ$22,MONTH(V57),"")</f>
        <v/>
      </c>
      <c r="AK57" s="86" t="str">
        <f>+IF(AG57=$AK$22,MONTH(V57),"")</f>
        <v/>
      </c>
      <c r="AL57" s="86" t="str">
        <f>+IF(AG57=$AL$22,MONTH(V57),"")</f>
        <v/>
      </c>
      <c r="AM57" s="86" t="str">
        <f>+IF($AG57=$AM$22,MONTH($D57),"")</f>
        <v/>
      </c>
      <c r="AN57" s="89" t="str">
        <f>+IF($AG57=AN$22,MONTH($D57),"")</f>
        <v/>
      </c>
      <c r="AO57" s="89" t="str">
        <f>+IF($AG57=AO$22,MONTH($D57),"")</f>
        <v/>
      </c>
      <c r="AP57" s="89" t="str">
        <f>+IF($AG57=AP$22,MONTH($D57),"")</f>
        <v/>
      </c>
      <c r="AQ57" s="89" t="str">
        <f>+IF($AG57=AQ$22,MONTH($D57),"")</f>
        <v/>
      </c>
      <c r="AR57" s="89" t="str">
        <f>+IF($AG57=AR$22,MONTH($D57),"")</f>
        <v/>
      </c>
      <c r="AS57" s="89" t="str">
        <f>+IF($AG57=AS$22,MONTH($D57),"")</f>
        <v/>
      </c>
      <c r="AT57" s="89" t="str">
        <f>+IF($AG57=AT$22,MONTH($D57),"")</f>
        <v/>
      </c>
      <c r="AU57" s="89" t="str">
        <f>+IF($AG57=AU$22,MONTH($D57),"")</f>
        <v/>
      </c>
      <c r="AV57" s="89" t="str">
        <f>+IF($AG57=AV$22,MONTH($D57),"")</f>
        <v/>
      </c>
      <c r="AW57" s="86" t="str">
        <f>+IF($AG57=AW$22,MONTH($D57),"")</f>
        <v/>
      </c>
      <c r="AX57" s="86" t="str">
        <f>+IF($AG57=AX$22,MONTH($D57),"")</f>
        <v/>
      </c>
      <c r="AY57" s="89"/>
      <c r="AZ57" s="89"/>
      <c r="BA57" s="89"/>
      <c r="BB57" s="89"/>
      <c r="BC57" s="89"/>
      <c r="BD57" s="89"/>
      <c r="BE57" s="89"/>
      <c r="BF57" s="89"/>
      <c r="BG57" s="89"/>
      <c r="BH57" s="89"/>
      <c r="BI57" s="89"/>
      <c r="BJ57" s="89"/>
      <c r="BK57" s="89"/>
      <c r="BL57" s="89"/>
      <c r="BM57" s="89"/>
      <c r="BN57" s="89"/>
      <c r="BO57" s="89"/>
      <c r="BP57" s="89"/>
    </row>
    <row r="58" spans="1:68" s="382" customFormat="1" ht="51" customHeight="1">
      <c r="A58" s="204" t="str">
        <f>+IFERROR(VALUE(MID(AB58,4,4)),"")</f>
        <v/>
      </c>
      <c r="B58" s="204">
        <f>VALUE(RIGHT(C58,LEN(C58)-2))</f>
        <v>2664</v>
      </c>
      <c r="C58" s="74" t="s">
        <v>391</v>
      </c>
      <c r="D58" s="75">
        <v>46056</v>
      </c>
      <c r="E58" s="70" t="s">
        <v>332</v>
      </c>
      <c r="F58" s="70" t="s">
        <v>332</v>
      </c>
      <c r="G58" s="68" t="s">
        <v>333</v>
      </c>
      <c r="H58" s="392" t="s">
        <v>334</v>
      </c>
      <c r="I58" s="69" t="s">
        <v>392</v>
      </c>
      <c r="J58" s="69"/>
      <c r="K58" s="68" t="s">
        <v>9</v>
      </c>
      <c r="L58" s="69" t="s">
        <v>120</v>
      </c>
      <c r="M58" s="71" t="s">
        <v>141</v>
      </c>
      <c r="N58" s="69" t="e" vm="1">
        <v>#VALUE!</v>
      </c>
      <c r="O58" s="84">
        <v>46097</v>
      </c>
      <c r="P58" s="72" t="s">
        <v>382</v>
      </c>
      <c r="Q58" s="72" t="s">
        <v>259</v>
      </c>
      <c r="R58" s="72" t="s">
        <v>260</v>
      </c>
      <c r="S58" s="146"/>
      <c r="T58" s="68" t="s">
        <v>64</v>
      </c>
      <c r="U58" s="87"/>
      <c r="V58" s="80">
        <v>46056</v>
      </c>
      <c r="W58" s="73"/>
      <c r="X58" s="73"/>
      <c r="Y58" s="169" t="str">
        <f>IF(SUM(W58:W58)&gt;0,X58/SUM(W58:W58)*1000000,"N/A")</f>
        <v>N/A</v>
      </c>
      <c r="Z58" s="80"/>
      <c r="AA58" s="80"/>
      <c r="AB58" s="73"/>
      <c r="AC58" s="153"/>
      <c r="AD58" s="330"/>
      <c r="AE58" s="305"/>
      <c r="AF58" s="88"/>
      <c r="AG58" s="182">
        <f>YEAR(V58)</f>
        <v>2026</v>
      </c>
      <c r="AH58" s="86">
        <f>+IF(AG58=$AH$22,MONTH(V58),"")</f>
        <v>2</v>
      </c>
      <c r="AI58" s="86" t="str">
        <f>+IF(AG58=$AI$22,MONTH(V58),"")</f>
        <v/>
      </c>
      <c r="AJ58" s="86" t="str">
        <f>+IF(AG58=$AJ$22,MONTH(V58),"")</f>
        <v/>
      </c>
      <c r="AK58" s="86" t="str">
        <f>+IF(AG58=$AK$22,MONTH(V58),"")</f>
        <v/>
      </c>
      <c r="AL58" s="86" t="str">
        <f>+IF(AG58=$AL$22,MONTH(V58),"")</f>
        <v/>
      </c>
      <c r="AM58" s="86" t="str">
        <f>+IF($AG58=$AM$22,MONTH($D58),"")</f>
        <v/>
      </c>
      <c r="AN58" s="89" t="str">
        <f>+IF($AG58=AN$22,MONTH($D58),"")</f>
        <v/>
      </c>
      <c r="AO58" s="89" t="str">
        <f>+IF($AG58=AO$22,MONTH($D58),"")</f>
        <v/>
      </c>
      <c r="AP58" s="89" t="str">
        <f>+IF($AG58=AP$22,MONTH($D58),"")</f>
        <v/>
      </c>
      <c r="AQ58" s="89" t="str">
        <f>+IF($AG58=AQ$22,MONTH($D58),"")</f>
        <v/>
      </c>
      <c r="AR58" s="89" t="str">
        <f>+IF($AG58=AR$22,MONTH($D58),"")</f>
        <v/>
      </c>
      <c r="AS58" s="89" t="str">
        <f>+IF($AG58=AS$22,MONTH($D58),"")</f>
        <v/>
      </c>
      <c r="AT58" s="89" t="str">
        <f>+IF($AG58=AT$22,MONTH($D58),"")</f>
        <v/>
      </c>
      <c r="AU58" s="89" t="str">
        <f>+IF($AG58=AU$22,MONTH($D58),"")</f>
        <v/>
      </c>
      <c r="AV58" s="89" t="str">
        <f>+IF($AG58=AV$22,MONTH($D58),"")</f>
        <v/>
      </c>
      <c r="AW58" s="86" t="str">
        <f>+IF($AG58=AW$22,MONTH($D58),"")</f>
        <v/>
      </c>
      <c r="AX58" s="86" t="str">
        <f>+IF($AG58=AX$22,MONTH($D58),"")</f>
        <v/>
      </c>
      <c r="AY58" s="89"/>
      <c r="AZ58" s="89"/>
      <c r="BA58" s="89"/>
      <c r="BB58" s="89"/>
      <c r="BC58" s="89"/>
      <c r="BD58" s="89"/>
      <c r="BE58" s="89"/>
      <c r="BF58" s="89"/>
      <c r="BG58" s="89"/>
      <c r="BH58" s="89"/>
      <c r="BI58" s="89"/>
      <c r="BJ58" s="89"/>
      <c r="BK58" s="89"/>
      <c r="BL58" s="89"/>
      <c r="BM58" s="89"/>
      <c r="BN58" s="89"/>
      <c r="BO58" s="89"/>
      <c r="BP58" s="89"/>
    </row>
    <row r="59" spans="1:68" s="382" customFormat="1" ht="51" hidden="1" customHeight="1">
      <c r="A59" s="204" t="str">
        <f>+IFERROR(VALUE(MID(AB59,4,4)),"")</f>
        <v/>
      </c>
      <c r="B59" s="204">
        <f>VALUE(RIGHT(C59,LEN(C59)-2))</f>
        <v>2663</v>
      </c>
      <c r="C59" s="74" t="s">
        <v>393</v>
      </c>
      <c r="D59" s="75">
        <v>46056</v>
      </c>
      <c r="E59" s="70" t="s">
        <v>394</v>
      </c>
      <c r="F59" s="70" t="s">
        <v>395</v>
      </c>
      <c r="G59" s="68" t="s">
        <v>396</v>
      </c>
      <c r="H59" s="392" t="s">
        <v>397</v>
      </c>
      <c r="I59" s="69" t="s">
        <v>398</v>
      </c>
      <c r="J59" s="69"/>
      <c r="K59" s="68" t="s">
        <v>9</v>
      </c>
      <c r="L59" s="69" t="s">
        <v>129</v>
      </c>
      <c r="M59" s="71" t="s">
        <v>141</v>
      </c>
      <c r="N59" s="69" t="e" vm="1">
        <v>#VALUE!</v>
      </c>
      <c r="O59" s="84">
        <v>46071</v>
      </c>
      <c r="P59" s="72" t="s">
        <v>377</v>
      </c>
      <c r="Q59" s="72" t="s">
        <v>220</v>
      </c>
      <c r="R59" s="72" t="s">
        <v>378</v>
      </c>
      <c r="S59" s="146"/>
      <c r="T59" s="68" t="s">
        <v>158</v>
      </c>
      <c r="U59" s="87">
        <v>0.1</v>
      </c>
      <c r="V59" s="80">
        <v>46056</v>
      </c>
      <c r="W59" s="73">
        <v>222</v>
      </c>
      <c r="X59" s="73">
        <v>13</v>
      </c>
      <c r="Y59" s="169">
        <f>IF(SUM(W59:W59)&gt;0,X59/SUM(W59:W59)*1000000,"N/A")</f>
        <v>58558.558558558558</v>
      </c>
      <c r="Z59" s="80"/>
      <c r="AA59" s="80"/>
      <c r="AB59" s="73"/>
      <c r="AC59" s="153"/>
      <c r="AD59" s="330"/>
      <c r="AE59" s="305"/>
      <c r="AF59" s="88"/>
      <c r="AG59" s="182">
        <f>YEAR(V59)</f>
        <v>2026</v>
      </c>
      <c r="AH59" s="86">
        <f>+IF(AG59=$AH$22,MONTH(V59),"")</f>
        <v>2</v>
      </c>
      <c r="AI59" s="86" t="str">
        <f>+IF(AG59=$AI$22,MONTH(V59),"")</f>
        <v/>
      </c>
      <c r="AJ59" s="86" t="str">
        <f>+IF(AG59=$AJ$22,MONTH(V59),"")</f>
        <v/>
      </c>
      <c r="AK59" s="86" t="str">
        <f>+IF(AG59=$AK$22,MONTH(V59),"")</f>
        <v/>
      </c>
      <c r="AL59" s="86" t="str">
        <f>+IF(AG59=$AL$22,MONTH(V59),"")</f>
        <v/>
      </c>
      <c r="AM59" s="86" t="str">
        <f>+IF($AG59=$AM$22,MONTH($D59),"")</f>
        <v/>
      </c>
      <c r="AN59" s="89" t="str">
        <f>+IF($AG59=AN$22,MONTH($D59),"")</f>
        <v/>
      </c>
      <c r="AO59" s="89" t="str">
        <f>+IF($AG59=AO$22,MONTH($D59),"")</f>
        <v/>
      </c>
      <c r="AP59" s="89" t="str">
        <f>+IF($AG59=AP$22,MONTH($D59),"")</f>
        <v/>
      </c>
      <c r="AQ59" s="89" t="str">
        <f>+IF($AG59=AQ$22,MONTH($D59),"")</f>
        <v/>
      </c>
      <c r="AR59" s="89" t="str">
        <f>+IF($AG59=AR$22,MONTH($D59),"")</f>
        <v/>
      </c>
      <c r="AS59" s="89" t="str">
        <f>+IF($AG59=AS$22,MONTH($D59),"")</f>
        <v/>
      </c>
      <c r="AT59" s="89" t="str">
        <f>+IF($AG59=AT$22,MONTH($D59),"")</f>
        <v/>
      </c>
      <c r="AU59" s="89" t="str">
        <f>+IF($AG59=AU$22,MONTH($D59),"")</f>
        <v/>
      </c>
      <c r="AV59" s="89" t="str">
        <f>+IF($AG59=AV$22,MONTH($D59),"")</f>
        <v/>
      </c>
      <c r="AW59" s="86" t="str">
        <f>+IF($AG59=AW$22,MONTH($D59),"")</f>
        <v/>
      </c>
      <c r="AX59" s="86" t="str">
        <f>+IF($AG59=AX$22,MONTH($D59),"")</f>
        <v/>
      </c>
      <c r="AY59" s="89"/>
      <c r="AZ59" s="89"/>
      <c r="BA59" s="89"/>
      <c r="BB59" s="89"/>
      <c r="BC59" s="89"/>
      <c r="BD59" s="89"/>
      <c r="BE59" s="89"/>
      <c r="BF59" s="89"/>
      <c r="BG59" s="89"/>
      <c r="BH59" s="89"/>
      <c r="BI59" s="89"/>
      <c r="BJ59" s="89"/>
      <c r="BK59" s="89"/>
      <c r="BL59" s="89"/>
      <c r="BM59" s="89"/>
      <c r="BN59" s="89"/>
      <c r="BO59" s="89"/>
      <c r="BP59" s="89"/>
    </row>
    <row r="60" spans="1:68" s="382" customFormat="1" ht="51" customHeight="1">
      <c r="A60" s="204" t="str">
        <f>+IFERROR(VALUE(MID(AB60,4,4)),"")</f>
        <v/>
      </c>
      <c r="B60" s="204">
        <f>VALUE(RIGHT(C60,LEN(C60)-2))</f>
        <v>2662</v>
      </c>
      <c r="C60" s="74" t="s">
        <v>399</v>
      </c>
      <c r="D60" s="75">
        <v>46055</v>
      </c>
      <c r="E60" s="70" t="s">
        <v>262</v>
      </c>
      <c r="F60" s="70" t="s">
        <v>262</v>
      </c>
      <c r="G60" s="68"/>
      <c r="H60" s="391"/>
      <c r="I60" s="69" t="s">
        <v>400</v>
      </c>
      <c r="J60" s="69"/>
      <c r="K60" s="68" t="s">
        <v>401</v>
      </c>
      <c r="L60" s="69" t="s">
        <v>120</v>
      </c>
      <c r="M60" s="71" t="s">
        <v>141</v>
      </c>
      <c r="N60" s="69" t="e" vm="1">
        <v>#VALUE!</v>
      </c>
      <c r="O60" s="84">
        <v>46092</v>
      </c>
      <c r="P60" s="72" t="s">
        <v>402</v>
      </c>
      <c r="Q60" s="72" t="s">
        <v>220</v>
      </c>
      <c r="R60" s="72" t="s">
        <v>221</v>
      </c>
      <c r="S60" s="146"/>
      <c r="T60" s="68" t="s">
        <v>64</v>
      </c>
      <c r="U60" s="87"/>
      <c r="V60" s="80">
        <v>46055</v>
      </c>
      <c r="W60" s="73"/>
      <c r="X60" s="73"/>
      <c r="Y60" s="169" t="str">
        <f>IF(SUM(W60:W60)&gt;0,X60/SUM(W60:W60)*1000000,"N/A")</f>
        <v>N/A</v>
      </c>
      <c r="Z60" s="80"/>
      <c r="AA60" s="80"/>
      <c r="AB60" s="73"/>
      <c r="AC60" s="153"/>
      <c r="AD60" s="330"/>
      <c r="AE60" s="305"/>
      <c r="AF60" s="88"/>
      <c r="AG60" s="182">
        <f>YEAR(V60)</f>
        <v>2026</v>
      </c>
      <c r="AH60" s="86">
        <f>+IF(AG60=$AH$22,MONTH(V60),"")</f>
        <v>2</v>
      </c>
      <c r="AI60" s="86" t="str">
        <f>+IF(AG60=$AI$22,MONTH(V60),"")</f>
        <v/>
      </c>
      <c r="AJ60" s="86" t="str">
        <f>+IF(AG60=$AJ$22,MONTH(V60),"")</f>
        <v/>
      </c>
      <c r="AK60" s="86" t="str">
        <f>+IF(AG60=$AK$22,MONTH(V60),"")</f>
        <v/>
      </c>
      <c r="AL60" s="86" t="str">
        <f>+IF(AG60=$AL$22,MONTH(V60),"")</f>
        <v/>
      </c>
      <c r="AM60" s="86" t="str">
        <f>+IF($AG60=$AM$22,MONTH($D60),"")</f>
        <v/>
      </c>
      <c r="AN60" s="89" t="str">
        <f>+IF($AG60=AN$22,MONTH($D60),"")</f>
        <v/>
      </c>
      <c r="AO60" s="89" t="str">
        <f>+IF($AG60=AO$22,MONTH($D60),"")</f>
        <v/>
      </c>
      <c r="AP60" s="89" t="str">
        <f>+IF($AG60=AP$22,MONTH($D60),"")</f>
        <v/>
      </c>
      <c r="AQ60" s="89" t="str">
        <f>+IF($AG60=AQ$22,MONTH($D60),"")</f>
        <v/>
      </c>
      <c r="AR60" s="89" t="str">
        <f>+IF($AG60=AR$22,MONTH($D60),"")</f>
        <v/>
      </c>
      <c r="AS60" s="89" t="str">
        <f>+IF($AG60=AS$22,MONTH($D60),"")</f>
        <v/>
      </c>
      <c r="AT60" s="89" t="str">
        <f>+IF($AG60=AT$22,MONTH($D60),"")</f>
        <v/>
      </c>
      <c r="AU60" s="89" t="str">
        <f>+IF($AG60=AU$22,MONTH($D60),"")</f>
        <v/>
      </c>
      <c r="AV60" s="89" t="str">
        <f>+IF($AG60=AV$22,MONTH($D60),"")</f>
        <v/>
      </c>
      <c r="AW60" s="86" t="str">
        <f>+IF($AG60=AW$22,MONTH($D60),"")</f>
        <v/>
      </c>
      <c r="AX60" s="86" t="str">
        <f>+IF($AG60=AX$22,MONTH($D60),"")</f>
        <v/>
      </c>
      <c r="AY60" s="89"/>
      <c r="AZ60" s="89"/>
      <c r="BA60" s="89"/>
      <c r="BB60" s="89"/>
      <c r="BC60" s="89"/>
      <c r="BD60" s="89"/>
      <c r="BE60" s="89"/>
      <c r="BF60" s="89"/>
      <c r="BG60" s="89"/>
      <c r="BH60" s="89"/>
      <c r="BI60" s="89"/>
      <c r="BJ60" s="89"/>
      <c r="BK60" s="89"/>
      <c r="BL60" s="89"/>
      <c r="BM60" s="89"/>
      <c r="BN60" s="89"/>
      <c r="BO60" s="89"/>
      <c r="BP60" s="89"/>
    </row>
    <row r="61" spans="1:68" s="382" customFormat="1" ht="51" customHeight="1">
      <c r="A61" s="204" t="str">
        <f>+IFERROR(VALUE(MID(AB61,4,4)),"")</f>
        <v/>
      </c>
      <c r="B61" s="204">
        <f>VALUE(RIGHT(C61,LEN(C61)-2))</f>
        <v>2661</v>
      </c>
      <c r="C61" s="74" t="s">
        <v>403</v>
      </c>
      <c r="D61" s="75">
        <v>46055</v>
      </c>
      <c r="E61" s="70" t="s">
        <v>51</v>
      </c>
      <c r="F61" s="70" t="s">
        <v>51</v>
      </c>
      <c r="G61" s="68" t="s">
        <v>210</v>
      </c>
      <c r="H61" s="379" t="s">
        <v>210</v>
      </c>
      <c r="I61" s="69" t="s">
        <v>404</v>
      </c>
      <c r="J61" s="69"/>
      <c r="K61" s="68" t="s">
        <v>212</v>
      </c>
      <c r="L61" s="69" t="s">
        <v>123</v>
      </c>
      <c r="M61" s="71" t="s">
        <v>141</v>
      </c>
      <c r="N61" s="69" t="e" vm="1">
        <v>#VALUE!</v>
      </c>
      <c r="O61" s="84">
        <v>46097</v>
      </c>
      <c r="P61" s="72" t="s">
        <v>239</v>
      </c>
      <c r="Q61" s="72" t="s">
        <v>405</v>
      </c>
      <c r="R61" s="72" t="s">
        <v>212</v>
      </c>
      <c r="S61" s="146"/>
      <c r="T61" s="68" t="s">
        <v>64</v>
      </c>
      <c r="U61" s="87"/>
      <c r="V61" s="80">
        <v>46055</v>
      </c>
      <c r="W61" s="73"/>
      <c r="X61" s="73"/>
      <c r="Y61" s="169" t="str">
        <f>IF(SUM(W61:W61)&gt;0,X61/SUM(W61:W61)*1000000,"N/A")</f>
        <v>N/A</v>
      </c>
      <c r="Z61" s="80"/>
      <c r="AA61" s="80"/>
      <c r="AB61" s="73"/>
      <c r="AC61" s="153"/>
      <c r="AD61" s="330"/>
      <c r="AE61" s="305"/>
      <c r="AF61" s="88"/>
      <c r="AG61" s="182">
        <f>YEAR(V61)</f>
        <v>2026</v>
      </c>
      <c r="AH61" s="86">
        <f>+IF(AG61=$AH$22,MONTH(V61),"")</f>
        <v>2</v>
      </c>
      <c r="AI61" s="86" t="str">
        <f>+IF(AG61=$AI$22,MONTH(V61),"")</f>
        <v/>
      </c>
      <c r="AJ61" s="86" t="str">
        <f>+IF(AG61=$AJ$22,MONTH(V61),"")</f>
        <v/>
      </c>
      <c r="AK61" s="86" t="str">
        <f>+IF(AG61=$AK$22,MONTH(V61),"")</f>
        <v/>
      </c>
      <c r="AL61" s="86" t="str">
        <f>+IF(AG61=$AL$22,MONTH(V61),"")</f>
        <v/>
      </c>
      <c r="AM61" s="86" t="str">
        <f>+IF($AG61=$AM$22,MONTH($D61),"")</f>
        <v/>
      </c>
      <c r="AN61" s="89" t="str">
        <f>+IF($AG61=AN$22,MONTH($D61),"")</f>
        <v/>
      </c>
      <c r="AO61" s="89" t="str">
        <f>+IF($AG61=AO$22,MONTH($D61),"")</f>
        <v/>
      </c>
      <c r="AP61" s="89" t="str">
        <f>+IF($AG61=AP$22,MONTH($D61),"")</f>
        <v/>
      </c>
      <c r="AQ61" s="89" t="str">
        <f>+IF($AG61=AQ$22,MONTH($D61),"")</f>
        <v/>
      </c>
      <c r="AR61" s="89" t="str">
        <f>+IF($AG61=AR$22,MONTH($D61),"")</f>
        <v/>
      </c>
      <c r="AS61" s="89" t="str">
        <f>+IF($AG61=AS$22,MONTH($D61),"")</f>
        <v/>
      </c>
      <c r="AT61" s="89" t="str">
        <f>+IF($AG61=AT$22,MONTH($D61),"")</f>
        <v/>
      </c>
      <c r="AU61" s="89" t="str">
        <f>+IF($AG61=AU$22,MONTH($D61),"")</f>
        <v/>
      </c>
      <c r="AV61" s="89" t="str">
        <f>+IF($AG61=AV$22,MONTH($D61),"")</f>
        <v/>
      </c>
      <c r="AW61" s="86" t="str">
        <f>+IF($AG61=AW$22,MONTH($D61),"")</f>
        <v/>
      </c>
      <c r="AX61" s="86" t="str">
        <f>+IF($AG61=AX$22,MONTH($D61),"")</f>
        <v/>
      </c>
      <c r="AY61" s="89"/>
      <c r="AZ61" s="89"/>
      <c r="BA61" s="89"/>
      <c r="BB61" s="89"/>
      <c r="BC61" s="89"/>
      <c r="BD61" s="89"/>
      <c r="BE61" s="89"/>
      <c r="BF61" s="89"/>
      <c r="BG61" s="89"/>
      <c r="BH61" s="89"/>
      <c r="BI61" s="89"/>
      <c r="BJ61" s="89"/>
      <c r="BK61" s="89"/>
      <c r="BL61" s="89"/>
      <c r="BM61" s="89"/>
      <c r="BN61" s="89"/>
      <c r="BO61" s="89"/>
      <c r="BP61" s="89"/>
    </row>
    <row r="62" spans="1:68" s="382" customFormat="1" ht="51" hidden="1" customHeight="1">
      <c r="A62" s="204" t="str">
        <f>+IFERROR(VALUE(MID(AB62,4,4)),"")</f>
        <v/>
      </c>
      <c r="B62" s="204">
        <f>VALUE(RIGHT(C62,LEN(C62)-2))</f>
        <v>2660</v>
      </c>
      <c r="C62" s="74" t="s">
        <v>406</v>
      </c>
      <c r="D62" s="75">
        <v>46047</v>
      </c>
      <c r="E62" s="70" t="s">
        <v>53</v>
      </c>
      <c r="F62" s="70" t="s">
        <v>313</v>
      </c>
      <c r="G62" s="68" t="s">
        <v>210</v>
      </c>
      <c r="H62" s="379" t="s">
        <v>210</v>
      </c>
      <c r="I62" s="69" t="s">
        <v>407</v>
      </c>
      <c r="J62" s="69"/>
      <c r="K62" s="68" t="s">
        <v>9</v>
      </c>
      <c r="L62" s="69" t="s">
        <v>123</v>
      </c>
      <c r="M62" s="71" t="s">
        <v>141</v>
      </c>
      <c r="N62" s="69" t="e" vm="1">
        <v>#VALUE!</v>
      </c>
      <c r="O62" s="84">
        <v>46085</v>
      </c>
      <c r="P62" s="72" t="s">
        <v>377</v>
      </c>
      <c r="Q62" s="72" t="s">
        <v>316</v>
      </c>
      <c r="R62" s="72" t="s">
        <v>378</v>
      </c>
      <c r="S62" s="176">
        <v>0.66666666666666663</v>
      </c>
      <c r="T62" s="68" t="s">
        <v>155</v>
      </c>
      <c r="U62" s="87"/>
      <c r="V62" s="80">
        <v>46055</v>
      </c>
      <c r="W62" s="73"/>
      <c r="X62" s="73"/>
      <c r="Y62" s="169" t="str">
        <f>IF(SUM(W62:W62)&gt;0,X62/SUM(W62:W62)*1000000,"N/A")</f>
        <v>N/A</v>
      </c>
      <c r="Z62" s="80"/>
      <c r="AA62" s="80"/>
      <c r="AB62" s="73"/>
      <c r="AC62" s="153"/>
      <c r="AD62" s="330"/>
      <c r="AE62" s="305"/>
      <c r="AF62" s="88"/>
      <c r="AG62" s="182">
        <f>YEAR(V62)</f>
        <v>2026</v>
      </c>
      <c r="AH62" s="86">
        <f>+IF(AG62=$AH$22,MONTH(V62),"")</f>
        <v>2</v>
      </c>
      <c r="AI62" s="86" t="str">
        <f>+IF(AG62=$AI$22,MONTH(V62),"")</f>
        <v/>
      </c>
      <c r="AJ62" s="86" t="str">
        <f>+IF(AG62=$AJ$22,MONTH(V62),"")</f>
        <v/>
      </c>
      <c r="AK62" s="86" t="str">
        <f>+IF(AG62=$AK$22,MONTH(V62),"")</f>
        <v/>
      </c>
      <c r="AL62" s="86" t="str">
        <f>+IF(AG62=$AL$22,MONTH(V62),"")</f>
        <v/>
      </c>
      <c r="AM62" s="86" t="str">
        <f>+IF($AG62=$AM$22,MONTH($D62),"")</f>
        <v/>
      </c>
      <c r="AN62" s="89" t="str">
        <f>+IF($AG62=AN$22,MONTH($D62),"")</f>
        <v/>
      </c>
      <c r="AO62" s="89" t="str">
        <f>+IF($AG62=AO$22,MONTH($D62),"")</f>
        <v/>
      </c>
      <c r="AP62" s="89" t="str">
        <f>+IF($AG62=AP$22,MONTH($D62),"")</f>
        <v/>
      </c>
      <c r="AQ62" s="89" t="str">
        <f>+IF($AG62=AQ$22,MONTH($D62),"")</f>
        <v/>
      </c>
      <c r="AR62" s="89" t="str">
        <f>+IF($AG62=AR$22,MONTH($D62),"")</f>
        <v/>
      </c>
      <c r="AS62" s="89" t="str">
        <f>+IF($AG62=AS$22,MONTH($D62),"")</f>
        <v/>
      </c>
      <c r="AT62" s="89" t="str">
        <f>+IF($AG62=AT$22,MONTH($D62),"")</f>
        <v/>
      </c>
      <c r="AU62" s="89" t="str">
        <f>+IF($AG62=AU$22,MONTH($D62),"")</f>
        <v/>
      </c>
      <c r="AV62" s="89" t="str">
        <f>+IF($AG62=AV$22,MONTH($D62),"")</f>
        <v/>
      </c>
      <c r="AW62" s="86" t="str">
        <f>+IF($AG62=AW$22,MONTH($D62),"")</f>
        <v/>
      </c>
      <c r="AX62" s="86" t="str">
        <f>+IF($AG62=AX$22,MONTH($D62),"")</f>
        <v/>
      </c>
      <c r="AY62" s="89"/>
      <c r="AZ62" s="89"/>
      <c r="BA62" s="89"/>
      <c r="BB62" s="89"/>
      <c r="BC62" s="89"/>
      <c r="BD62" s="89"/>
      <c r="BE62" s="89"/>
      <c r="BF62" s="89"/>
      <c r="BG62" s="89"/>
      <c r="BH62" s="89"/>
      <c r="BI62" s="89"/>
      <c r="BJ62" s="89"/>
      <c r="BK62" s="89"/>
      <c r="BL62" s="89"/>
      <c r="BM62" s="89"/>
      <c r="BN62" s="89"/>
      <c r="BO62" s="89"/>
      <c r="BP62" s="89"/>
    </row>
    <row r="63" spans="1:68" s="382" customFormat="1" ht="28.5" hidden="1" customHeight="1">
      <c r="A63" s="204" t="str">
        <f>+IFERROR(VALUE(MID(AB63,4,4)),"")</f>
        <v/>
      </c>
      <c r="B63" s="204">
        <f>VALUE(RIGHT(C63,LEN(C63)-2))</f>
        <v>2659</v>
      </c>
      <c r="C63" s="74" t="s">
        <v>408</v>
      </c>
      <c r="D63" s="75">
        <v>46051</v>
      </c>
      <c r="E63" s="70" t="s">
        <v>262</v>
      </c>
      <c r="F63" s="70" t="s">
        <v>263</v>
      </c>
      <c r="G63" s="68" t="s">
        <v>409</v>
      </c>
      <c r="H63" s="307" t="s">
        <v>410</v>
      </c>
      <c r="I63" s="69" t="s">
        <v>411</v>
      </c>
      <c r="J63" s="69"/>
      <c r="K63" s="68" t="s">
        <v>389</v>
      </c>
      <c r="L63" s="69" t="s">
        <v>129</v>
      </c>
      <c r="M63" s="71" t="s">
        <v>141</v>
      </c>
      <c r="N63" s="69" t="e" vm="1">
        <v>#VALUE!</v>
      </c>
      <c r="O63" s="84">
        <v>46055</v>
      </c>
      <c r="P63" s="72" t="s">
        <v>412</v>
      </c>
      <c r="Q63" s="72" t="s">
        <v>389</v>
      </c>
      <c r="R63" s="72" t="s">
        <v>378</v>
      </c>
      <c r="S63" s="146" t="s">
        <v>413</v>
      </c>
      <c r="T63" s="68" t="s">
        <v>165</v>
      </c>
      <c r="U63" s="87"/>
      <c r="V63" s="80">
        <v>46055</v>
      </c>
      <c r="W63" s="73">
        <v>2793</v>
      </c>
      <c r="X63" s="73">
        <v>138</v>
      </c>
      <c r="Y63" s="169">
        <f>IF(SUM(W63:W63)&gt;0,X63/SUM(W63:W63)*1000000,"N/A")</f>
        <v>49409.237379162187</v>
      </c>
      <c r="Z63" s="80"/>
      <c r="AA63" s="80"/>
      <c r="AB63" s="73"/>
      <c r="AC63" s="153"/>
      <c r="AD63" s="330"/>
      <c r="AE63" s="305"/>
      <c r="AF63" s="88"/>
      <c r="AG63" s="182">
        <f>YEAR(V63)</f>
        <v>2026</v>
      </c>
      <c r="AH63" s="86">
        <f>+IF(AG63=$AH$22,MONTH(V63),"")</f>
        <v>2</v>
      </c>
      <c r="AI63" s="86" t="str">
        <f>+IF(AG63=$AI$22,MONTH(V63),"")</f>
        <v/>
      </c>
      <c r="AJ63" s="86" t="str">
        <f>+IF(AG63=$AJ$22,MONTH(V63),"")</f>
        <v/>
      </c>
      <c r="AK63" s="86" t="str">
        <f>+IF(AG63=$AK$22,MONTH(V63),"")</f>
        <v/>
      </c>
      <c r="AL63" s="86" t="str">
        <f>+IF(AG63=$AL$22,MONTH(V63),"")</f>
        <v/>
      </c>
      <c r="AM63" s="86" t="str">
        <f>+IF($AG63=$AM$22,MONTH($D63),"")</f>
        <v/>
      </c>
      <c r="AN63" s="89" t="str">
        <f>+IF($AG63=AN$22,MONTH($D63),"")</f>
        <v/>
      </c>
      <c r="AO63" s="89" t="str">
        <f>+IF($AG63=AO$22,MONTH($D63),"")</f>
        <v/>
      </c>
      <c r="AP63" s="89" t="str">
        <f>+IF($AG63=AP$22,MONTH($D63),"")</f>
        <v/>
      </c>
      <c r="AQ63" s="89" t="str">
        <f>+IF($AG63=AQ$22,MONTH($D63),"")</f>
        <v/>
      </c>
      <c r="AR63" s="89" t="str">
        <f>+IF($AG63=AR$22,MONTH($D63),"")</f>
        <v/>
      </c>
      <c r="AS63" s="89" t="str">
        <f>+IF($AG63=AS$22,MONTH($D63),"")</f>
        <v/>
      </c>
      <c r="AT63" s="89" t="str">
        <f>+IF($AG63=AT$22,MONTH($D63),"")</f>
        <v/>
      </c>
      <c r="AU63" s="89" t="str">
        <f>+IF($AG63=AU$22,MONTH($D63),"")</f>
        <v/>
      </c>
      <c r="AV63" s="89" t="str">
        <f>+IF($AG63=AV$22,MONTH($D63),"")</f>
        <v/>
      </c>
      <c r="AW63" s="86" t="str">
        <f>+IF($AG63=AW$22,MONTH($D63),"")</f>
        <v/>
      </c>
      <c r="AX63" s="86" t="str">
        <f>+IF($AG63=AX$22,MONTH($D63),"")</f>
        <v/>
      </c>
      <c r="AY63" s="89"/>
      <c r="AZ63" s="89"/>
      <c r="BA63" s="89"/>
      <c r="BB63" s="89"/>
      <c r="BC63" s="89"/>
      <c r="BD63" s="89"/>
      <c r="BE63" s="89"/>
      <c r="BF63" s="89"/>
      <c r="BG63" s="89"/>
      <c r="BH63" s="89"/>
      <c r="BI63" s="89"/>
      <c r="BJ63" s="89"/>
      <c r="BK63" s="89"/>
      <c r="BL63" s="89"/>
      <c r="BM63" s="89"/>
      <c r="BN63" s="89"/>
      <c r="BO63" s="89"/>
      <c r="BP63" s="89"/>
    </row>
    <row r="64" spans="1:68" s="56" customFormat="1" ht="51" hidden="1" customHeight="1">
      <c r="A64" s="204">
        <f>+IFERROR(VALUE(MID(AB64,4,4)),"")</f>
        <v>466</v>
      </c>
      <c r="B64" s="204">
        <f>VALUE(RIGHT(C64,LEN(C64)-2))</f>
        <v>2658</v>
      </c>
      <c r="C64" s="74" t="s">
        <v>414</v>
      </c>
      <c r="D64" s="75">
        <v>46049</v>
      </c>
      <c r="E64" s="70" t="s">
        <v>262</v>
      </c>
      <c r="F64" s="70" t="s">
        <v>270</v>
      </c>
      <c r="G64" s="68" t="s">
        <v>415</v>
      </c>
      <c r="H64" s="307" t="s">
        <v>416</v>
      </c>
      <c r="I64" s="69" t="s">
        <v>417</v>
      </c>
      <c r="J64" s="69"/>
      <c r="K64" s="68" t="s">
        <v>13</v>
      </c>
      <c r="L64" s="69" t="s">
        <v>129</v>
      </c>
      <c r="M64" s="71" t="s">
        <v>141</v>
      </c>
      <c r="N64" s="69" t="e" vm="1">
        <v>#VALUE!</v>
      </c>
      <c r="O64" s="84" t="s">
        <v>213</v>
      </c>
      <c r="P64" s="72" t="s">
        <v>369</v>
      </c>
      <c r="Q64" s="72" t="s">
        <v>220</v>
      </c>
      <c r="R64" s="72" t="s">
        <v>221</v>
      </c>
      <c r="S64" s="146"/>
      <c r="T64" s="68" t="s">
        <v>3</v>
      </c>
      <c r="U64" s="87"/>
      <c r="V64" s="80">
        <v>46062</v>
      </c>
      <c r="W64" s="73">
        <v>1034</v>
      </c>
      <c r="X64" s="73">
        <v>58.421999999999997</v>
      </c>
      <c r="Y64" s="169">
        <f>IF(SUM(W64:W64)&gt;0,X64/SUM(W64:W64)*1000000,"N/A")</f>
        <v>56500.967117988388</v>
      </c>
      <c r="Z64" s="80"/>
      <c r="AA64" s="80"/>
      <c r="AB64" s="73" t="s">
        <v>418</v>
      </c>
      <c r="AC64" s="153"/>
      <c r="AD64" s="330"/>
      <c r="AE64" s="305"/>
      <c r="AF64" s="88"/>
      <c r="AG64" s="182">
        <f>YEAR(V64)</f>
        <v>2026</v>
      </c>
      <c r="AH64" s="86">
        <f>+IF(AG64=$AH$22,MONTH(V64),"")</f>
        <v>2</v>
      </c>
      <c r="AI64" s="86" t="str">
        <f>+IF(AG64=$AI$22,MONTH(V64),"")</f>
        <v/>
      </c>
      <c r="AJ64" s="86" t="str">
        <f>+IF(AG64=$AJ$22,MONTH(V64),"")</f>
        <v/>
      </c>
      <c r="AK64" s="86" t="str">
        <f>+IF(AG64=$AK$22,MONTH(V64),"")</f>
        <v/>
      </c>
      <c r="AL64" s="86" t="str">
        <f>+IF(AG64=$AL$22,MONTH(V64),"")</f>
        <v/>
      </c>
      <c r="AM64" s="86" t="str">
        <f>+IF($AG64=$AM$22,MONTH($D64),"")</f>
        <v/>
      </c>
      <c r="AN64" s="89" t="str">
        <f>+IF($AG64=AN$22,MONTH($D64),"")</f>
        <v/>
      </c>
      <c r="AO64" s="89" t="str">
        <f>+IF($AG64=AO$22,MONTH($D64),"")</f>
        <v/>
      </c>
      <c r="AP64" s="89" t="str">
        <f>+IF($AG64=AP$22,MONTH($D64),"")</f>
        <v/>
      </c>
      <c r="AQ64" s="89" t="str">
        <f>+IF($AG64=AQ$22,MONTH($D64),"")</f>
        <v/>
      </c>
      <c r="AR64" s="89" t="str">
        <f>+IF($AG64=AR$22,MONTH($D64),"")</f>
        <v/>
      </c>
      <c r="AS64" s="89" t="str">
        <f>+IF($AG64=AS$22,MONTH($D64),"")</f>
        <v/>
      </c>
      <c r="AT64" s="89" t="str">
        <f>+IF($AG64=AT$22,MONTH($D64),"")</f>
        <v/>
      </c>
      <c r="AU64" s="89" t="str">
        <f>+IF($AG64=AU$22,MONTH($D64),"")</f>
        <v/>
      </c>
      <c r="AV64" s="89" t="str">
        <f>+IF($AG64=AV$22,MONTH($D64),"")</f>
        <v/>
      </c>
      <c r="AW64" s="86" t="str">
        <f>+IF($AG64=AW$22,MONTH($D64),"")</f>
        <v/>
      </c>
      <c r="AX64" s="86" t="str">
        <f>+IF($AG64=AX$22,MONTH($D64),"")</f>
        <v/>
      </c>
      <c r="AY64" s="89"/>
      <c r="AZ64" s="89"/>
      <c r="BA64" s="89"/>
      <c r="BB64" s="89"/>
      <c r="BC64" s="89"/>
      <c r="BD64" s="89"/>
      <c r="BE64" s="89"/>
      <c r="BF64" s="89"/>
      <c r="BG64" s="89"/>
      <c r="BH64" s="89"/>
      <c r="BI64" s="89"/>
      <c r="BJ64" s="89"/>
      <c r="BK64" s="89"/>
      <c r="BL64" s="89"/>
      <c r="BM64" s="89"/>
      <c r="BN64" s="89"/>
      <c r="BO64" s="89"/>
      <c r="BP64" s="89"/>
    </row>
    <row r="65" spans="1:68" s="381" customFormat="1" ht="45.75" customHeight="1">
      <c r="A65" s="204" t="str">
        <f>+IFERROR(VALUE(MID(AB65,4,4)),"")</f>
        <v/>
      </c>
      <c r="B65" s="204">
        <f>VALUE(RIGHT(C65,LEN(C65)-2))</f>
        <v>2657</v>
      </c>
      <c r="C65" s="74" t="s">
        <v>419</v>
      </c>
      <c r="D65" s="75">
        <v>46048</v>
      </c>
      <c r="E65" s="70" t="s">
        <v>420</v>
      </c>
      <c r="F65" s="70" t="s">
        <v>394</v>
      </c>
      <c r="G65" s="68" t="s">
        <v>421</v>
      </c>
      <c r="H65" s="282" t="s">
        <v>422</v>
      </c>
      <c r="I65" s="69" t="s">
        <v>423</v>
      </c>
      <c r="J65" s="69"/>
      <c r="K65" s="68" t="s">
        <v>227</v>
      </c>
      <c r="L65" s="69" t="s">
        <v>123</v>
      </c>
      <c r="M65" s="71" t="s">
        <v>141</v>
      </c>
      <c r="N65" s="69" t="e" vm="1">
        <v>#VALUE!</v>
      </c>
      <c r="O65" s="84">
        <v>46091</v>
      </c>
      <c r="P65" s="72" t="s">
        <v>424</v>
      </c>
      <c r="Q65" s="72" t="s">
        <v>259</v>
      </c>
      <c r="R65" s="72" t="s">
        <v>227</v>
      </c>
      <c r="S65" s="146"/>
      <c r="T65" s="68" t="s">
        <v>64</v>
      </c>
      <c r="U65" s="87"/>
      <c r="V65" s="80">
        <v>46066</v>
      </c>
      <c r="W65" s="73"/>
      <c r="X65" s="214"/>
      <c r="Y65" s="83" t="str">
        <f>IF(SUM(W65:W65)&gt;0,X65/SUM(W65:W65)*1000000,"N/A")</f>
        <v>N/A</v>
      </c>
      <c r="Z65" s="80"/>
      <c r="AA65" s="80"/>
      <c r="AB65" s="73"/>
      <c r="AC65" s="153"/>
      <c r="AD65" s="331"/>
      <c r="AE65" s="57"/>
      <c r="AF65" s="88"/>
      <c r="AG65" s="182">
        <f>YEAR(V65)</f>
        <v>2026</v>
      </c>
      <c r="AH65" s="86">
        <f>+IF(AG65=$AH$22,MONTH(V65),"")</f>
        <v>2</v>
      </c>
      <c r="AI65" s="86" t="str">
        <f>+IF(AG65=$AI$22,MONTH(V65),"")</f>
        <v/>
      </c>
      <c r="AJ65" s="86" t="str">
        <f>+IF(AG65=$AJ$22,MONTH(V65),"")</f>
        <v/>
      </c>
      <c r="AK65" s="86" t="str">
        <f>+IF(AG65=$AK$22,MONTH(V65),"")</f>
        <v/>
      </c>
      <c r="AL65" s="86" t="str">
        <f>+IF(AG65=$AL$22,MONTH(V65),"")</f>
        <v/>
      </c>
      <c r="AM65" s="86" t="str">
        <f>+IF($AG65=$AM$22,MONTH($D65),"")</f>
        <v/>
      </c>
      <c r="AN65" s="89" t="str">
        <f>+IF($AG65=AN$22,MONTH($D65),"")</f>
        <v/>
      </c>
      <c r="AO65" s="89" t="str">
        <f>+IF($AG65=AO$22,MONTH($D65),"")</f>
        <v/>
      </c>
      <c r="AP65" s="89" t="str">
        <f>+IF($AG65=AP$22,MONTH($D65),"")</f>
        <v/>
      </c>
      <c r="AQ65" s="89" t="str">
        <f>+IF($AG65=AQ$22,MONTH($D65),"")</f>
        <v/>
      </c>
      <c r="AR65" s="89" t="str">
        <f>+IF($AG65=AR$22,MONTH($D65),"")</f>
        <v/>
      </c>
      <c r="AS65" s="89" t="str">
        <f>+IF($AG65=AS$22,MONTH($D65),"")</f>
        <v/>
      </c>
      <c r="AT65" s="89" t="str">
        <f>+IF($AG65=AT$22,MONTH($D65),"")</f>
        <v/>
      </c>
      <c r="AU65" s="89" t="str">
        <f>+IF($AG65=AU$22,MONTH($D65),"")</f>
        <v/>
      </c>
      <c r="AV65" s="89" t="str">
        <f>+IF($AG65=AV$22,MONTH($D65),"")</f>
        <v/>
      </c>
      <c r="AW65" s="86" t="str">
        <f>+IF($AG65=AW$22,MONTH($D65),"")</f>
        <v/>
      </c>
      <c r="AX65" s="86" t="str">
        <f>+IF($AG65=AX$22,MONTH($D65),"")</f>
        <v/>
      </c>
      <c r="AY65" s="89"/>
      <c r="AZ65" s="89"/>
      <c r="BA65" s="89"/>
      <c r="BB65" s="89"/>
      <c r="BC65" s="89"/>
      <c r="BD65" s="89"/>
      <c r="BE65" s="89"/>
      <c r="BF65" s="89"/>
      <c r="BG65" s="89"/>
      <c r="BH65" s="89"/>
      <c r="BI65" s="89"/>
      <c r="BJ65" s="89"/>
      <c r="BK65" s="89"/>
      <c r="BL65" s="89"/>
      <c r="BM65" s="89"/>
      <c r="BN65" s="89"/>
      <c r="BO65" s="89"/>
      <c r="BP65" s="89"/>
    </row>
    <row r="66" spans="1:68" s="56" customFormat="1" ht="42.75" hidden="1" customHeight="1">
      <c r="A66" s="204">
        <f>+IFERROR(VALUE(MID(AB66,4,4)),"")</f>
        <v>271</v>
      </c>
      <c r="B66" s="204">
        <f>VALUE(RIGHT(C66,LEN(C66)-2))</f>
        <v>2656</v>
      </c>
      <c r="C66" s="74" t="s">
        <v>425</v>
      </c>
      <c r="D66" s="75">
        <v>46045</v>
      </c>
      <c r="E66" s="70" t="s">
        <v>277</v>
      </c>
      <c r="F66" s="70" t="s">
        <v>277</v>
      </c>
      <c r="G66" s="68" t="s">
        <v>278</v>
      </c>
      <c r="H66" s="379" t="s">
        <v>279</v>
      </c>
      <c r="I66" s="69" t="s">
        <v>426</v>
      </c>
      <c r="J66" s="69"/>
      <c r="K66" s="68" t="s">
        <v>13</v>
      </c>
      <c r="L66" s="69" t="s">
        <v>120</v>
      </c>
      <c r="M66" s="71" t="s">
        <v>141</v>
      </c>
      <c r="N66" s="69" t="e" vm="1">
        <v>#VALUE!</v>
      </c>
      <c r="O66" s="84">
        <v>46045</v>
      </c>
      <c r="P66" s="82" t="s">
        <v>281</v>
      </c>
      <c r="Q66" s="72" t="s">
        <v>220</v>
      </c>
      <c r="R66" s="72" t="s">
        <v>221</v>
      </c>
      <c r="S66" s="146" t="s">
        <v>427</v>
      </c>
      <c r="T66" s="68" t="s">
        <v>3</v>
      </c>
      <c r="U66" s="87"/>
      <c r="V66" s="80">
        <v>46072</v>
      </c>
      <c r="W66" s="226">
        <v>3992</v>
      </c>
      <c r="X66" s="226">
        <v>168.74199999999999</v>
      </c>
      <c r="Y66" s="169">
        <f>IF(SUM(W66:W66)&gt;0,X66/SUM(W66:W66)*1000000,"N/A")</f>
        <v>42270.040080160317</v>
      </c>
      <c r="Z66" s="80"/>
      <c r="AA66" s="80"/>
      <c r="AB66" s="73" t="s">
        <v>428</v>
      </c>
      <c r="AC66" s="153"/>
      <c r="AD66" s="330"/>
      <c r="AE66" s="57"/>
      <c r="AF66" s="88"/>
      <c r="AG66" s="182">
        <f>YEAR(V66)</f>
        <v>2026</v>
      </c>
      <c r="AH66" s="86">
        <f>+IF(AG66=$AH$22,MONTH(V66),"")</f>
        <v>2</v>
      </c>
      <c r="AI66" s="86" t="str">
        <f>+IF(AG66=$AI$22,MONTH(V66),"")</f>
        <v/>
      </c>
      <c r="AJ66" s="86" t="str">
        <f>+IF(AG66=$AJ$22,MONTH(V66),"")</f>
        <v/>
      </c>
      <c r="AK66" s="86" t="str">
        <f>+IF(AG66=$AK$22,MONTH(V66),"")</f>
        <v/>
      </c>
      <c r="AL66" s="86" t="str">
        <f>+IF(AG66=$AL$22,MONTH(V66),"")</f>
        <v/>
      </c>
      <c r="AM66" s="86" t="str">
        <f>+IF($AG66=$AM$22,MONTH($D66),"")</f>
        <v/>
      </c>
      <c r="AN66" s="89" t="str">
        <f>+IF($AG66=AN$22,MONTH($D66),"")</f>
        <v/>
      </c>
      <c r="AO66" s="89" t="str">
        <f>+IF($AG66=AO$22,MONTH($D66),"")</f>
        <v/>
      </c>
      <c r="AP66" s="89" t="str">
        <f>+IF($AG66=AP$22,MONTH($D66),"")</f>
        <v/>
      </c>
      <c r="AQ66" s="89" t="str">
        <f>+IF($AG66=AQ$22,MONTH($D66),"")</f>
        <v/>
      </c>
      <c r="AR66" s="89" t="str">
        <f>+IF($AG66=AR$22,MONTH($D66),"")</f>
        <v/>
      </c>
      <c r="AS66" s="89" t="str">
        <f>+IF($AG66=AS$22,MONTH($D66),"")</f>
        <v/>
      </c>
      <c r="AT66" s="89" t="str">
        <f>+IF($AG66=AT$22,MONTH($D66),"")</f>
        <v/>
      </c>
      <c r="AU66" s="89" t="str">
        <f>+IF($AG66=AU$22,MONTH($D66),"")</f>
        <v/>
      </c>
      <c r="AV66" s="89" t="str">
        <f>+IF($AG66=AV$22,MONTH($D66),"")</f>
        <v/>
      </c>
      <c r="AW66" s="86" t="str">
        <f>+IF($AG66=AW$22,MONTH($D66),"")</f>
        <v/>
      </c>
      <c r="AX66" s="86" t="str">
        <f>+IF($AG66=AX$22,MONTH($D66),"")</f>
        <v/>
      </c>
      <c r="AY66" s="89"/>
      <c r="AZ66" s="89"/>
      <c r="BA66" s="89"/>
      <c r="BB66" s="89"/>
      <c r="BC66" s="89"/>
      <c r="BD66" s="89"/>
      <c r="BE66" s="89"/>
      <c r="BF66" s="89"/>
      <c r="BG66" s="89"/>
      <c r="BH66" s="89"/>
      <c r="BI66" s="89"/>
      <c r="BJ66" s="89"/>
      <c r="BK66" s="89"/>
      <c r="BL66" s="89"/>
      <c r="BM66" s="89"/>
      <c r="BN66" s="89"/>
      <c r="BO66" s="89"/>
      <c r="BP66" s="89"/>
    </row>
    <row r="67" spans="1:68" s="56" customFormat="1" ht="42.75" hidden="1" customHeight="1">
      <c r="A67" s="204">
        <f>+IFERROR(VALUE(MID(AB67,4,4)),"")</f>
        <v>271</v>
      </c>
      <c r="B67" s="204">
        <f>VALUE(RIGHT(C67,LEN(C67)-2))</f>
        <v>2655</v>
      </c>
      <c r="C67" s="74" t="s">
        <v>429</v>
      </c>
      <c r="D67" s="75">
        <v>46045</v>
      </c>
      <c r="E67" s="70" t="s">
        <v>277</v>
      </c>
      <c r="F67" s="70" t="s">
        <v>277</v>
      </c>
      <c r="G67" s="68" t="s">
        <v>278</v>
      </c>
      <c r="H67" s="379" t="s">
        <v>279</v>
      </c>
      <c r="I67" s="69" t="s">
        <v>430</v>
      </c>
      <c r="J67" s="69"/>
      <c r="K67" s="68" t="s">
        <v>13</v>
      </c>
      <c r="L67" s="69" t="s">
        <v>120</v>
      </c>
      <c r="M67" s="71" t="s">
        <v>141</v>
      </c>
      <c r="N67" s="69" t="e" vm="1">
        <v>#VALUE!</v>
      </c>
      <c r="O67" s="84">
        <v>46045</v>
      </c>
      <c r="P67" s="82" t="s">
        <v>281</v>
      </c>
      <c r="Q67" s="72" t="s">
        <v>220</v>
      </c>
      <c r="R67" s="72" t="s">
        <v>221</v>
      </c>
      <c r="S67" s="146" t="s">
        <v>427</v>
      </c>
      <c r="T67" s="68" t="s">
        <v>3</v>
      </c>
      <c r="U67" s="87"/>
      <c r="V67" s="80">
        <v>46072</v>
      </c>
      <c r="W67" s="226">
        <v>614</v>
      </c>
      <c r="X67" s="226">
        <v>25.513000000000002</v>
      </c>
      <c r="Y67" s="169">
        <f>IF(SUM(W67:W67)&gt;0,X67/SUM(W67:W67)*1000000,"N/A")</f>
        <v>41552.117263843647</v>
      </c>
      <c r="Z67" s="80"/>
      <c r="AA67" s="80"/>
      <c r="AB67" s="73" t="s">
        <v>431</v>
      </c>
      <c r="AC67" s="153"/>
      <c r="AD67" s="330"/>
      <c r="AE67" s="57"/>
      <c r="AF67" s="88"/>
      <c r="AG67" s="182">
        <f>YEAR(V67)</f>
        <v>2026</v>
      </c>
      <c r="AH67" s="86">
        <f>+IF(AG67=$AH$22,MONTH(V67),"")</f>
        <v>2</v>
      </c>
      <c r="AI67" s="86" t="str">
        <f>+IF(AG67=$AI$22,MONTH(V67),"")</f>
        <v/>
      </c>
      <c r="AJ67" s="86" t="str">
        <f>+IF(AG67=$AJ$22,MONTH(V67),"")</f>
        <v/>
      </c>
      <c r="AK67" s="86" t="str">
        <f>+IF(AG67=$AK$22,MONTH(V67),"")</f>
        <v/>
      </c>
      <c r="AL67" s="86" t="str">
        <f>+IF(AG67=$AL$22,MONTH(V67),"")</f>
        <v/>
      </c>
      <c r="AM67" s="86" t="str">
        <f>+IF($AG67=$AM$22,MONTH($D67),"")</f>
        <v/>
      </c>
      <c r="AN67" s="89" t="str">
        <f>+IF($AG67=AN$22,MONTH($D67),"")</f>
        <v/>
      </c>
      <c r="AO67" s="89" t="str">
        <f>+IF($AG67=AO$22,MONTH($D67),"")</f>
        <v/>
      </c>
      <c r="AP67" s="89" t="str">
        <f>+IF($AG67=AP$22,MONTH($D67),"")</f>
        <v/>
      </c>
      <c r="AQ67" s="89" t="str">
        <f>+IF($AG67=AQ$22,MONTH($D67),"")</f>
        <v/>
      </c>
      <c r="AR67" s="89" t="str">
        <f>+IF($AG67=AR$22,MONTH($D67),"")</f>
        <v/>
      </c>
      <c r="AS67" s="89" t="str">
        <f>+IF($AG67=AS$22,MONTH($D67),"")</f>
        <v/>
      </c>
      <c r="AT67" s="89" t="str">
        <f>+IF($AG67=AT$22,MONTH($D67),"")</f>
        <v/>
      </c>
      <c r="AU67" s="89" t="str">
        <f>+IF($AG67=AU$22,MONTH($D67),"")</f>
        <v/>
      </c>
      <c r="AV67" s="89" t="str">
        <f>+IF($AG67=AV$22,MONTH($D67),"")</f>
        <v/>
      </c>
      <c r="AW67" s="86" t="str">
        <f>+IF($AG67=AW$22,MONTH($D67),"")</f>
        <v/>
      </c>
      <c r="AX67" s="86" t="str">
        <f>+IF($AG67=AX$22,MONTH($D67),"")</f>
        <v/>
      </c>
      <c r="AY67" s="89"/>
      <c r="AZ67" s="89"/>
      <c r="BA67" s="89"/>
      <c r="BB67" s="89"/>
      <c r="BC67" s="89"/>
      <c r="BD67" s="89"/>
      <c r="BE67" s="89"/>
      <c r="BF67" s="89"/>
      <c r="BG67" s="89"/>
      <c r="BH67" s="89"/>
      <c r="BI67" s="89"/>
      <c r="BJ67" s="89"/>
      <c r="BK67" s="89"/>
      <c r="BL67" s="89"/>
      <c r="BM67" s="89"/>
      <c r="BN67" s="89"/>
      <c r="BO67" s="89"/>
      <c r="BP67" s="89"/>
    </row>
    <row r="68" spans="1:68" s="56" customFormat="1" ht="42.75" hidden="1" customHeight="1">
      <c r="A68" s="204">
        <f>+IFERROR(VALUE(MID(AB68,4,4)),"")</f>
        <v>271</v>
      </c>
      <c r="B68" s="204">
        <f>VALUE(RIGHT(C68,LEN(C68)-2))</f>
        <v>2654</v>
      </c>
      <c r="C68" s="74" t="s">
        <v>432</v>
      </c>
      <c r="D68" s="75">
        <v>46045</v>
      </c>
      <c r="E68" s="70" t="s">
        <v>277</v>
      </c>
      <c r="F68" s="70" t="s">
        <v>277</v>
      </c>
      <c r="G68" s="68" t="s">
        <v>278</v>
      </c>
      <c r="H68" s="379" t="s">
        <v>279</v>
      </c>
      <c r="I68" s="69" t="s">
        <v>433</v>
      </c>
      <c r="J68" s="69"/>
      <c r="K68" s="68" t="s">
        <v>13</v>
      </c>
      <c r="L68" s="69" t="s">
        <v>120</v>
      </c>
      <c r="M68" s="71" t="s">
        <v>141</v>
      </c>
      <c r="N68" s="69" t="e" vm="1">
        <v>#VALUE!</v>
      </c>
      <c r="O68" s="84">
        <v>46045</v>
      </c>
      <c r="P68" s="82" t="s">
        <v>281</v>
      </c>
      <c r="Q68" s="72" t="s">
        <v>220</v>
      </c>
      <c r="R68" s="72" t="s">
        <v>221</v>
      </c>
      <c r="S68" s="146" t="s">
        <v>427</v>
      </c>
      <c r="T68" s="68" t="s">
        <v>3</v>
      </c>
      <c r="U68" s="87"/>
      <c r="V68" s="80">
        <v>46072</v>
      </c>
      <c r="W68" s="226">
        <v>2088</v>
      </c>
      <c r="X68" s="226">
        <v>93.415000000000006</v>
      </c>
      <c r="Y68" s="169">
        <f>IF(SUM(W68:W68)&gt;0,X68/SUM(W68:W68)*1000000,"N/A")</f>
        <v>44738.984674329506</v>
      </c>
      <c r="Z68" s="80"/>
      <c r="AA68" s="80"/>
      <c r="AB68" s="73" t="s">
        <v>434</v>
      </c>
      <c r="AC68" s="153"/>
      <c r="AD68" s="330"/>
      <c r="AE68" s="57"/>
      <c r="AF68" s="88"/>
      <c r="AG68" s="182">
        <f>YEAR(V68)</f>
        <v>2026</v>
      </c>
      <c r="AH68" s="86">
        <f>+IF(AG68=$AH$22,MONTH(V68),"")</f>
        <v>2</v>
      </c>
      <c r="AI68" s="86" t="str">
        <f>+IF(AG68=$AI$22,MONTH(V68),"")</f>
        <v/>
      </c>
      <c r="AJ68" s="86" t="str">
        <f>+IF(AG68=$AJ$22,MONTH(V68),"")</f>
        <v/>
      </c>
      <c r="AK68" s="86" t="str">
        <f>+IF(AG68=$AK$22,MONTH(V68),"")</f>
        <v/>
      </c>
      <c r="AL68" s="86" t="str">
        <f>+IF(AG68=$AL$22,MONTH(V68),"")</f>
        <v/>
      </c>
      <c r="AM68" s="86" t="str">
        <f>+IF($AG68=$AM$22,MONTH($D68),"")</f>
        <v/>
      </c>
      <c r="AN68" s="89" t="str">
        <f>+IF($AG68=AN$22,MONTH($D68),"")</f>
        <v/>
      </c>
      <c r="AO68" s="89" t="str">
        <f>+IF($AG68=AO$22,MONTH($D68),"")</f>
        <v/>
      </c>
      <c r="AP68" s="89" t="str">
        <f>+IF($AG68=AP$22,MONTH($D68),"")</f>
        <v/>
      </c>
      <c r="AQ68" s="89" t="str">
        <f>+IF($AG68=AQ$22,MONTH($D68),"")</f>
        <v/>
      </c>
      <c r="AR68" s="89" t="str">
        <f>+IF($AG68=AR$22,MONTH($D68),"")</f>
        <v/>
      </c>
      <c r="AS68" s="89" t="str">
        <f>+IF($AG68=AS$22,MONTH($D68),"")</f>
        <v/>
      </c>
      <c r="AT68" s="89" t="str">
        <f>+IF($AG68=AT$22,MONTH($D68),"")</f>
        <v/>
      </c>
      <c r="AU68" s="89" t="str">
        <f>+IF($AG68=AU$22,MONTH($D68),"")</f>
        <v/>
      </c>
      <c r="AV68" s="89" t="str">
        <f>+IF($AG68=AV$22,MONTH($D68),"")</f>
        <v/>
      </c>
      <c r="AW68" s="86" t="str">
        <f>+IF($AG68=AW$22,MONTH($D68),"")</f>
        <v/>
      </c>
      <c r="AX68" s="86" t="str">
        <f>+IF($AG68=AX$22,MONTH($D68),"")</f>
        <v/>
      </c>
      <c r="AY68" s="89"/>
      <c r="AZ68" s="89"/>
      <c r="BA68" s="89"/>
      <c r="BB68" s="89"/>
      <c r="BC68" s="89"/>
      <c r="BD68" s="89"/>
      <c r="BE68" s="89"/>
      <c r="BF68" s="89"/>
      <c r="BG68" s="89"/>
      <c r="BH68" s="89"/>
      <c r="BI68" s="89"/>
      <c r="BJ68" s="89"/>
      <c r="BK68" s="89"/>
      <c r="BL68" s="89"/>
      <c r="BM68" s="89"/>
      <c r="BN68" s="89"/>
      <c r="BO68" s="89"/>
      <c r="BP68" s="89"/>
    </row>
    <row r="69" spans="1:68" s="56" customFormat="1" ht="33.75" hidden="1" customHeight="1">
      <c r="A69" s="204">
        <f>+IFERROR(VALUE(MID(AB69,4,4)),"")</f>
        <v>368</v>
      </c>
      <c r="B69" s="204">
        <f>VALUE(RIGHT(C69,LEN(C69)-2))</f>
        <v>2653</v>
      </c>
      <c r="C69" s="74" t="s">
        <v>435</v>
      </c>
      <c r="D69" s="75">
        <v>46045</v>
      </c>
      <c r="E69" s="70" t="s">
        <v>262</v>
      </c>
      <c r="F69" s="70" t="s">
        <v>270</v>
      </c>
      <c r="G69" s="68" t="s">
        <v>436</v>
      </c>
      <c r="H69" s="307" t="s">
        <v>437</v>
      </c>
      <c r="I69" s="69" t="s">
        <v>438</v>
      </c>
      <c r="J69" s="69"/>
      <c r="K69" s="68" t="s">
        <v>9</v>
      </c>
      <c r="L69" s="69" t="s">
        <v>120</v>
      </c>
      <c r="M69" s="71" t="s">
        <v>141</v>
      </c>
      <c r="N69" s="69" t="e" vm="1">
        <v>#VALUE!</v>
      </c>
      <c r="O69" s="84">
        <v>46045</v>
      </c>
      <c r="P69" s="72" t="s">
        <v>369</v>
      </c>
      <c r="Q69" s="72" t="s">
        <v>259</v>
      </c>
      <c r="R69" s="72" t="s">
        <v>221</v>
      </c>
      <c r="S69" s="146"/>
      <c r="T69" s="68" t="s">
        <v>158</v>
      </c>
      <c r="U69" s="87"/>
      <c r="V69" s="80">
        <v>46044</v>
      </c>
      <c r="W69" s="73">
        <v>-46.9</v>
      </c>
      <c r="X69" s="73">
        <v>12.781000000000001</v>
      </c>
      <c r="Y69" s="169" t="str">
        <f>IF(SUM(W69:W69)&gt;0,X69/SUM(W69:W69)*1000000,"N/A")</f>
        <v>N/A</v>
      </c>
      <c r="Z69" s="80"/>
      <c r="AA69" s="80"/>
      <c r="AB69" s="73" t="s">
        <v>439</v>
      </c>
      <c r="AC69" s="153"/>
      <c r="AD69" s="330" t="s">
        <v>134</v>
      </c>
      <c r="AE69" s="305"/>
      <c r="AF69" s="88"/>
      <c r="AG69" s="182">
        <f>YEAR(V69)</f>
        <v>2026</v>
      </c>
      <c r="AH69" s="86">
        <f>+IF(AG69=$AH$22,MONTH(V69),"")</f>
        <v>1</v>
      </c>
      <c r="AI69" s="86" t="str">
        <f>+IF(AG69=$AI$22,MONTH(V69),"")</f>
        <v/>
      </c>
      <c r="AJ69" s="86" t="str">
        <f>+IF(AG69=$AJ$22,MONTH(V69),"")</f>
        <v/>
      </c>
      <c r="AK69" s="86" t="str">
        <f>+IF(AG69=$AK$22,MONTH(V69),"")</f>
        <v/>
      </c>
      <c r="AL69" s="86" t="str">
        <f>+IF(AG69=$AL$22,MONTH(V69),"")</f>
        <v/>
      </c>
      <c r="AM69" s="86" t="str">
        <f>+IF($AG69=$AM$22,MONTH($D69),"")</f>
        <v/>
      </c>
      <c r="AN69" s="89" t="str">
        <f>+IF($AG69=AN$22,MONTH($D69),"")</f>
        <v/>
      </c>
      <c r="AO69" s="89" t="str">
        <f>+IF($AG69=AO$22,MONTH($D69),"")</f>
        <v/>
      </c>
      <c r="AP69" s="89" t="str">
        <f>+IF($AG69=AP$22,MONTH($D69),"")</f>
        <v/>
      </c>
      <c r="AQ69" s="89" t="str">
        <f>+IF($AG69=AQ$22,MONTH($D69),"")</f>
        <v/>
      </c>
      <c r="AR69" s="89" t="str">
        <f>+IF($AG69=AR$22,MONTH($D69),"")</f>
        <v/>
      </c>
      <c r="AS69" s="89" t="str">
        <f>+IF($AG69=AS$22,MONTH($D69),"")</f>
        <v/>
      </c>
      <c r="AT69" s="89" t="str">
        <f>+IF($AG69=AT$22,MONTH($D69),"")</f>
        <v/>
      </c>
      <c r="AU69" s="89" t="str">
        <f>+IF($AG69=AU$22,MONTH($D69),"")</f>
        <v/>
      </c>
      <c r="AV69" s="89" t="str">
        <f>+IF($AG69=AV$22,MONTH($D69),"")</f>
        <v/>
      </c>
      <c r="AW69" s="86" t="str">
        <f>+IF($AG69=AW$22,MONTH($D69),"")</f>
        <v/>
      </c>
      <c r="AX69" s="86" t="str">
        <f>+IF($AG69=AX$22,MONTH($D69),"")</f>
        <v/>
      </c>
      <c r="AY69" s="89"/>
      <c r="AZ69" s="89"/>
      <c r="BA69" s="89"/>
      <c r="BB69" s="89"/>
      <c r="BC69" s="89"/>
      <c r="BD69" s="89"/>
      <c r="BE69" s="89"/>
      <c r="BF69" s="89"/>
      <c r="BG69" s="89"/>
      <c r="BH69" s="89"/>
      <c r="BI69" s="89"/>
      <c r="BJ69" s="89"/>
      <c r="BK69" s="89"/>
      <c r="BL69" s="89"/>
      <c r="BM69" s="89"/>
      <c r="BN69" s="89"/>
      <c r="BO69" s="89"/>
      <c r="BP69" s="89"/>
    </row>
    <row r="70" spans="1:68" s="56" customFormat="1" ht="39" hidden="1" customHeight="1">
      <c r="A70" s="204" t="str">
        <f>+IFERROR(VALUE(MID(AB70,4,4)),"")</f>
        <v/>
      </c>
      <c r="B70" s="204">
        <f>VALUE(RIGHT(C70,LEN(C70)-2))</f>
        <v>2652</v>
      </c>
      <c r="C70" s="74" t="s">
        <v>440</v>
      </c>
      <c r="D70" s="75">
        <v>46044</v>
      </c>
      <c r="E70" s="70" t="s">
        <v>332</v>
      </c>
      <c r="F70" s="70" t="s">
        <v>332</v>
      </c>
      <c r="G70" s="68" t="s">
        <v>333</v>
      </c>
      <c r="H70" s="304" t="s">
        <v>334</v>
      </c>
      <c r="I70" s="162" t="s">
        <v>441</v>
      </c>
      <c r="J70" s="162"/>
      <c r="K70" s="68" t="s">
        <v>13</v>
      </c>
      <c r="L70" s="69" t="s">
        <v>129</v>
      </c>
      <c r="M70" s="71" t="s">
        <v>141</v>
      </c>
      <c r="N70" s="69" t="e" vm="1">
        <v>#VALUE!</v>
      </c>
      <c r="O70" s="164">
        <v>46077</v>
      </c>
      <c r="P70" s="72" t="s">
        <v>377</v>
      </c>
      <c r="Q70" s="72" t="s">
        <v>316</v>
      </c>
      <c r="R70" s="72" t="s">
        <v>378</v>
      </c>
      <c r="S70" s="146"/>
      <c r="T70" s="68" t="s">
        <v>158</v>
      </c>
      <c r="U70" s="87">
        <v>0.1</v>
      </c>
      <c r="V70" s="183">
        <v>46059</v>
      </c>
      <c r="W70" s="73">
        <v>1522</v>
      </c>
      <c r="X70" s="73">
        <f>1525*39773/1000000</f>
        <v>60.653824999999998</v>
      </c>
      <c r="Y70" s="83">
        <f>IF(SUM(W70:W70)&gt;0,X70/SUM(W70:W70)*1000000,"N/A")</f>
        <v>39851.396189224703</v>
      </c>
      <c r="Z70" s="183"/>
      <c r="AA70" s="183"/>
      <c r="AB70" s="73"/>
      <c r="AC70" s="153"/>
      <c r="AD70" s="330"/>
      <c r="AE70" s="305"/>
      <c r="AF70" s="88"/>
      <c r="AG70" s="182">
        <f>YEAR(V70)</f>
        <v>2026</v>
      </c>
      <c r="AH70" s="86">
        <f>+IF(AG70=$AH$22,MONTH(V70),"")</f>
        <v>2</v>
      </c>
      <c r="AI70" s="86" t="str">
        <f>+IF(AG70=$AI$22,MONTH(V70),"")</f>
        <v/>
      </c>
      <c r="AJ70" s="86" t="str">
        <f>+IF(AG70=$AJ$22,MONTH(V70),"")</f>
        <v/>
      </c>
      <c r="AK70" s="86" t="str">
        <f>+IF(AG70=$AK$22,MONTH(V70),"")</f>
        <v/>
      </c>
      <c r="AL70" s="86"/>
      <c r="AM70" s="89"/>
      <c r="AN70" s="89"/>
      <c r="AO70" s="89"/>
      <c r="AP70" s="89"/>
      <c r="AQ70" s="89"/>
      <c r="AR70" s="89"/>
      <c r="AS70" s="89"/>
      <c r="AT70" s="89"/>
      <c r="AU70" s="89"/>
      <c r="AV70" s="89"/>
      <c r="AW70" s="86" t="str">
        <f>+IF($AG70=AW$22,MONTH($D70),"")</f>
        <v/>
      </c>
      <c r="AX70" s="86" t="str">
        <f>+IF($AG70=AX$22,MONTH($D70),"")</f>
        <v/>
      </c>
      <c r="AY70" s="89"/>
      <c r="AZ70" s="89"/>
      <c r="BA70" s="89"/>
      <c r="BB70" s="89"/>
      <c r="BC70" s="89"/>
      <c r="BD70" s="89"/>
      <c r="BE70" s="89"/>
      <c r="BF70" s="89"/>
      <c r="BG70" s="89"/>
      <c r="BH70" s="89"/>
      <c r="BI70" s="89"/>
      <c r="BJ70" s="89"/>
      <c r="BK70" s="89"/>
      <c r="BL70" s="89"/>
      <c r="BM70" s="89"/>
      <c r="BN70" s="89"/>
      <c r="BO70" s="89"/>
      <c r="BP70" s="89"/>
    </row>
    <row r="71" spans="1:68" s="56" customFormat="1" ht="39" hidden="1" customHeight="1">
      <c r="A71" s="204" t="str">
        <f>+IFERROR(VALUE(MID(AB71,4,4)),"")</f>
        <v/>
      </c>
      <c r="B71" s="204">
        <f>VALUE(RIGHT(C71,LEN(C71)-2))</f>
        <v>2651</v>
      </c>
      <c r="C71" s="74" t="s">
        <v>442</v>
      </c>
      <c r="D71" s="75">
        <v>46044</v>
      </c>
      <c r="E71" s="70" t="s">
        <v>332</v>
      </c>
      <c r="F71" s="70" t="s">
        <v>332</v>
      </c>
      <c r="G71" s="68" t="s">
        <v>333</v>
      </c>
      <c r="H71" s="304" t="s">
        <v>334</v>
      </c>
      <c r="I71" s="162" t="s">
        <v>443</v>
      </c>
      <c r="J71" s="162"/>
      <c r="K71" s="68" t="s">
        <v>13</v>
      </c>
      <c r="L71" s="69" t="s">
        <v>129</v>
      </c>
      <c r="M71" s="71" t="s">
        <v>141</v>
      </c>
      <c r="N71" s="69" t="e" vm="1">
        <v>#VALUE!</v>
      </c>
      <c r="O71" s="164">
        <v>46077</v>
      </c>
      <c r="P71" s="72" t="s">
        <v>377</v>
      </c>
      <c r="Q71" s="72" t="s">
        <v>316</v>
      </c>
      <c r="R71" s="72" t="s">
        <v>378</v>
      </c>
      <c r="S71" s="146"/>
      <c r="T71" s="68" t="s">
        <v>158</v>
      </c>
      <c r="U71" s="87">
        <v>0.1</v>
      </c>
      <c r="V71" s="183">
        <v>46059</v>
      </c>
      <c r="W71" s="73">
        <v>1995</v>
      </c>
      <c r="X71" s="73">
        <f>2249*39773/1000000</f>
        <v>89.449477000000002</v>
      </c>
      <c r="Y71" s="83">
        <f>IF(SUM(W71:W71)&gt;0,X71/SUM(W71:W71)*1000000,"N/A")</f>
        <v>44836.830576441105</v>
      </c>
      <c r="Z71" s="183"/>
      <c r="AA71" s="183"/>
      <c r="AB71" s="73"/>
      <c r="AC71" s="153"/>
      <c r="AD71" s="330"/>
      <c r="AE71" s="305"/>
      <c r="AF71" s="88"/>
      <c r="AG71" s="182">
        <f>YEAR(V71)</f>
        <v>2026</v>
      </c>
      <c r="AH71" s="86">
        <f>+IF(AG71=$AH$22,MONTH(V71),"")</f>
        <v>2</v>
      </c>
      <c r="AI71" s="86" t="str">
        <f>+IF(AG71=$AI$22,MONTH(V71),"")</f>
        <v/>
      </c>
      <c r="AJ71" s="86" t="str">
        <f>+IF(AG71=$AJ$22,MONTH(V71),"")</f>
        <v/>
      </c>
      <c r="AK71" s="86" t="str">
        <f>+IF(AG71=$AK$22,MONTH(V71),"")</f>
        <v/>
      </c>
      <c r="AL71" s="86"/>
      <c r="AM71" s="89"/>
      <c r="AN71" s="89"/>
      <c r="AO71" s="89"/>
      <c r="AP71" s="89"/>
      <c r="AQ71" s="89"/>
      <c r="AR71" s="89"/>
      <c r="AS71" s="89"/>
      <c r="AT71" s="89"/>
      <c r="AU71" s="89"/>
      <c r="AV71" s="89"/>
      <c r="AW71" s="86" t="str">
        <f>+IF($AG71=AW$22,MONTH($D71),"")</f>
        <v/>
      </c>
      <c r="AX71" s="86" t="str">
        <f>+IF($AG71=AX$22,MONTH($D71),"")</f>
        <v/>
      </c>
      <c r="AY71" s="89"/>
      <c r="AZ71" s="89"/>
      <c r="BA71" s="89"/>
      <c r="BB71" s="89"/>
      <c r="BC71" s="89"/>
      <c r="BD71" s="89"/>
      <c r="BE71" s="89"/>
      <c r="BF71" s="89"/>
      <c r="BG71" s="89"/>
      <c r="BH71" s="89"/>
      <c r="BI71" s="89"/>
      <c r="BJ71" s="89"/>
      <c r="BK71" s="89"/>
      <c r="BL71" s="89"/>
      <c r="BM71" s="89"/>
      <c r="BN71" s="89"/>
      <c r="BO71" s="89"/>
      <c r="BP71" s="89"/>
    </row>
    <row r="72" spans="1:68" s="381" customFormat="1" ht="45.75" hidden="1" customHeight="1">
      <c r="A72" s="204" t="str">
        <f>+IFERROR(VALUE(MID(AB72,4,4)),"")</f>
        <v/>
      </c>
      <c r="B72" s="204">
        <f>VALUE(RIGHT(C72,LEN(C72)-2))</f>
        <v>2650</v>
      </c>
      <c r="C72" s="74" t="s">
        <v>444</v>
      </c>
      <c r="D72" s="75">
        <v>46044</v>
      </c>
      <c r="E72" s="70" t="s">
        <v>53</v>
      </c>
      <c r="F72" s="70" t="s">
        <v>252</v>
      </c>
      <c r="G72" s="68" t="s">
        <v>210</v>
      </c>
      <c r="H72" s="307" t="s">
        <v>210</v>
      </c>
      <c r="I72" s="69" t="s">
        <v>445</v>
      </c>
      <c r="J72" s="69"/>
      <c r="K72" s="68" t="s">
        <v>212</v>
      </c>
      <c r="L72" s="69" t="s">
        <v>123</v>
      </c>
      <c r="M72" s="71" t="s">
        <v>141</v>
      </c>
      <c r="N72" s="69" t="e" vm="1">
        <v>#VALUE!</v>
      </c>
      <c r="O72" s="164">
        <v>46100</v>
      </c>
      <c r="P72" s="72" t="s">
        <v>239</v>
      </c>
      <c r="Q72" s="72" t="s">
        <v>316</v>
      </c>
      <c r="R72" s="72" t="s">
        <v>230</v>
      </c>
      <c r="S72" s="146"/>
      <c r="T72" s="68" t="s">
        <v>155</v>
      </c>
      <c r="U72" s="87"/>
      <c r="V72" s="183">
        <v>46044</v>
      </c>
      <c r="W72" s="73"/>
      <c r="X72" s="73"/>
      <c r="Y72" s="83" t="str">
        <f>IF(SUM(W72:W72)&gt;0,X72/SUM(W72:W72)*1000000,"N/A")</f>
        <v>N/A</v>
      </c>
      <c r="Z72" s="183"/>
      <c r="AA72" s="183"/>
      <c r="AB72" s="73"/>
      <c r="AC72" s="153"/>
      <c r="AD72" s="331"/>
      <c r="AE72" s="57"/>
      <c r="AF72" s="88"/>
      <c r="AG72" s="182">
        <f>YEAR(V72)</f>
        <v>2026</v>
      </c>
      <c r="AH72" s="86">
        <f>+IF(AG72=$AH$22,MONTH(V72),"")</f>
        <v>1</v>
      </c>
      <c r="AI72" s="86" t="str">
        <f>+IF(AG72=$AI$22,MONTH(V72),"")</f>
        <v/>
      </c>
      <c r="AJ72" s="86" t="str">
        <f>+IF(AG72=$AJ$22,MONTH(V72),"")</f>
        <v/>
      </c>
      <c r="AK72" s="86" t="str">
        <f>+IF(AG72=$AK$22,MONTH(V72),"")</f>
        <v/>
      </c>
      <c r="AL72" s="86"/>
      <c r="AM72" s="89"/>
      <c r="AN72" s="89"/>
      <c r="AO72" s="89"/>
      <c r="AP72" s="89"/>
      <c r="AQ72" s="89"/>
      <c r="AR72" s="89"/>
      <c r="AS72" s="89"/>
      <c r="AT72" s="89"/>
      <c r="AU72" s="89"/>
      <c r="AV72" s="89"/>
      <c r="AW72" s="86" t="str">
        <f>+IF($AG72=AW$22,MONTH($D72),"")</f>
        <v/>
      </c>
      <c r="AX72" s="86" t="str">
        <f>+IF($AG72=AX$22,MONTH($D72),"")</f>
        <v/>
      </c>
      <c r="AY72" s="89"/>
      <c r="AZ72" s="89"/>
      <c r="BA72" s="89"/>
      <c r="BB72" s="89"/>
      <c r="BC72" s="89"/>
      <c r="BD72" s="89"/>
      <c r="BE72" s="89"/>
      <c r="BF72" s="89"/>
      <c r="BG72" s="89"/>
      <c r="BH72" s="89"/>
      <c r="BI72" s="89"/>
      <c r="BJ72" s="89"/>
      <c r="BK72" s="89"/>
      <c r="BL72" s="89"/>
      <c r="BM72" s="89"/>
      <c r="BN72" s="89"/>
      <c r="BO72" s="89"/>
      <c r="BP72" s="89"/>
    </row>
    <row r="73" spans="1:68" s="381" customFormat="1" ht="45.75" hidden="1" customHeight="1">
      <c r="A73" s="204" t="str">
        <f>+IFERROR(VALUE(MID(AB73,4,4)),"")</f>
        <v/>
      </c>
      <c r="B73" s="204">
        <f>VALUE(RIGHT(C73,LEN(C73)-2))</f>
        <v>2649</v>
      </c>
      <c r="C73" s="74" t="s">
        <v>446</v>
      </c>
      <c r="D73" s="75">
        <v>46043</v>
      </c>
      <c r="E73" s="70" t="s">
        <v>447</v>
      </c>
      <c r="F73" s="70" t="s">
        <v>394</v>
      </c>
      <c r="G73" s="68" t="s">
        <v>448</v>
      </c>
      <c r="H73" s="307" t="s">
        <v>449</v>
      </c>
      <c r="I73" s="69" t="s">
        <v>450</v>
      </c>
      <c r="J73" s="69"/>
      <c r="K73" s="68" t="s">
        <v>212</v>
      </c>
      <c r="L73" s="69" t="s">
        <v>123</v>
      </c>
      <c r="M73" s="71" t="s">
        <v>141</v>
      </c>
      <c r="N73" s="69" t="e" vm="1">
        <v>#VALUE!</v>
      </c>
      <c r="O73" s="164">
        <v>46063</v>
      </c>
      <c r="P73" s="72" t="s">
        <v>451</v>
      </c>
      <c r="Q73" s="72" t="s">
        <v>316</v>
      </c>
      <c r="R73" s="72" t="s">
        <v>212</v>
      </c>
      <c r="S73" s="146"/>
      <c r="T73" s="68" t="s">
        <v>158</v>
      </c>
      <c r="U73" s="87">
        <v>0.01</v>
      </c>
      <c r="V73" s="183">
        <v>46064</v>
      </c>
      <c r="W73" s="73">
        <v>1000</v>
      </c>
      <c r="X73" s="73">
        <v>42</v>
      </c>
      <c r="Y73" s="83">
        <f>IF(SUM(W73:W73)&gt;0,X73/SUM(W73:W73)*1000000,"N/A")</f>
        <v>42000</v>
      </c>
      <c r="Z73" s="183"/>
      <c r="AA73" s="183"/>
      <c r="AB73" s="73"/>
      <c r="AC73" s="153"/>
      <c r="AD73" s="331"/>
      <c r="AE73" s="57"/>
      <c r="AF73" s="88"/>
      <c r="AG73" s="182">
        <f>YEAR(V73)</f>
        <v>2026</v>
      </c>
      <c r="AH73" s="86">
        <f>+IF(AG73=$AH$22,MONTH(V73),"")</f>
        <v>2</v>
      </c>
      <c r="AI73" s="86" t="str">
        <f>+IF(AG73=$AI$22,MONTH(V73),"")</f>
        <v/>
      </c>
      <c r="AJ73" s="86" t="str">
        <f>+IF(AG73=$AJ$22,MONTH(V73),"")</f>
        <v/>
      </c>
      <c r="AK73" s="86" t="str">
        <f>+IF(AG73=$AK$22,MONTH(V73),"")</f>
        <v/>
      </c>
      <c r="AL73" s="86"/>
      <c r="AM73" s="89"/>
      <c r="AN73" s="89"/>
      <c r="AO73" s="89"/>
      <c r="AP73" s="89"/>
      <c r="AQ73" s="89"/>
      <c r="AR73" s="89"/>
      <c r="AS73" s="89"/>
      <c r="AT73" s="89"/>
      <c r="AU73" s="89"/>
      <c r="AV73" s="89"/>
      <c r="AW73" s="86" t="str">
        <f>+IF($AG73=AW$22,MONTH($D73),"")</f>
        <v/>
      </c>
      <c r="AX73" s="86" t="str">
        <f>+IF($AG73=AX$22,MONTH($D73),"")</f>
        <v/>
      </c>
      <c r="AY73" s="89"/>
      <c r="AZ73" s="89"/>
      <c r="BA73" s="89"/>
      <c r="BB73" s="89"/>
      <c r="BC73" s="89"/>
      <c r="BD73" s="89"/>
      <c r="BE73" s="89"/>
      <c r="BF73" s="89"/>
      <c r="BG73" s="89"/>
      <c r="BH73" s="89"/>
      <c r="BI73" s="89"/>
      <c r="BJ73" s="89"/>
      <c r="BK73" s="89"/>
      <c r="BL73" s="89"/>
      <c r="BM73" s="89"/>
      <c r="BN73" s="89"/>
      <c r="BO73" s="89"/>
      <c r="BP73" s="89"/>
    </row>
    <row r="74" spans="1:68" s="381" customFormat="1" ht="45.75" hidden="1" customHeight="1">
      <c r="A74" s="204" t="str">
        <f>+IFERROR(VALUE(MID(AB74,4,4)),"")</f>
        <v/>
      </c>
      <c r="B74" s="204">
        <f>VALUE(RIGHT(C74,LEN(C74)-2))</f>
        <v>2648</v>
      </c>
      <c r="C74" s="74" t="s">
        <v>452</v>
      </c>
      <c r="D74" s="75">
        <v>46043</v>
      </c>
      <c r="E74" s="70" t="s">
        <v>394</v>
      </c>
      <c r="F74" s="70" t="s">
        <v>394</v>
      </c>
      <c r="G74" s="68"/>
      <c r="H74" s="307"/>
      <c r="I74" s="69" t="s">
        <v>453</v>
      </c>
      <c r="J74" s="69"/>
      <c r="K74" s="68" t="s">
        <v>9</v>
      </c>
      <c r="L74" s="69" t="s">
        <v>120</v>
      </c>
      <c r="M74" s="71" t="s">
        <v>141</v>
      </c>
      <c r="N74" s="69" t="e" vm="1">
        <v>#VALUE!</v>
      </c>
      <c r="O74" s="164">
        <v>46064</v>
      </c>
      <c r="P74" s="72" t="s">
        <v>454</v>
      </c>
      <c r="Q74" s="72" t="s">
        <v>316</v>
      </c>
      <c r="R74" s="72" t="s">
        <v>378</v>
      </c>
      <c r="S74" s="146"/>
      <c r="T74" s="68" t="s">
        <v>158</v>
      </c>
      <c r="U74" s="87">
        <v>0.1</v>
      </c>
      <c r="V74" s="183">
        <v>46064</v>
      </c>
      <c r="W74" s="73">
        <v>1817</v>
      </c>
      <c r="X74" s="73">
        <v>95</v>
      </c>
      <c r="Y74" s="83">
        <f>IF(SUM(W74:W74)&gt;0,X74/SUM(W74:W74)*1000000,"N/A")</f>
        <v>52283.984589983491</v>
      </c>
      <c r="Z74" s="183"/>
      <c r="AA74" s="183"/>
      <c r="AB74" s="73"/>
      <c r="AC74" s="153"/>
      <c r="AD74" s="331"/>
      <c r="AE74" s="57"/>
      <c r="AF74" s="88"/>
      <c r="AG74" s="182">
        <f>YEAR(V74)</f>
        <v>2026</v>
      </c>
      <c r="AH74" s="86">
        <f>+IF(AG74=$AH$22,MONTH(V74),"")</f>
        <v>2</v>
      </c>
      <c r="AI74" s="86" t="str">
        <f>+IF(AG74=$AI$22,MONTH(V74),"")</f>
        <v/>
      </c>
      <c r="AJ74" s="86" t="str">
        <f>+IF(AG74=$AJ$22,MONTH(V74),"")</f>
        <v/>
      </c>
      <c r="AK74" s="86" t="str">
        <f>+IF(AG74=$AK$22,MONTH(V74),"")</f>
        <v/>
      </c>
      <c r="AL74" s="86"/>
      <c r="AM74" s="89"/>
      <c r="AN74" s="89"/>
      <c r="AO74" s="89"/>
      <c r="AP74" s="89"/>
      <c r="AQ74" s="89"/>
      <c r="AR74" s="89"/>
      <c r="AS74" s="89"/>
      <c r="AT74" s="89"/>
      <c r="AU74" s="89"/>
      <c r="AV74" s="89"/>
      <c r="AW74" s="86" t="str">
        <f>+IF($AG74=AW$22,MONTH($D74),"")</f>
        <v/>
      </c>
      <c r="AX74" s="86" t="str">
        <f>+IF($AG74=AX$22,MONTH($D74),"")</f>
        <v/>
      </c>
      <c r="AY74" s="89"/>
      <c r="AZ74" s="89"/>
      <c r="BA74" s="89"/>
      <c r="BB74" s="89"/>
      <c r="BC74" s="89"/>
      <c r="BD74" s="89"/>
      <c r="BE74" s="89"/>
      <c r="BF74" s="89"/>
      <c r="BG74" s="89"/>
      <c r="BH74" s="89"/>
      <c r="BI74" s="89"/>
      <c r="BJ74" s="89"/>
      <c r="BK74" s="89"/>
      <c r="BL74" s="89"/>
      <c r="BM74" s="89"/>
      <c r="BN74" s="89"/>
      <c r="BO74" s="89"/>
      <c r="BP74" s="89"/>
    </row>
    <row r="75" spans="1:68" s="382" customFormat="1" ht="45.75" customHeight="1">
      <c r="A75" s="204" t="str">
        <f>+IFERROR(VALUE(MID(AB75,4,4)),"")</f>
        <v/>
      </c>
      <c r="B75" s="204">
        <f>VALUE(RIGHT(C75,LEN(C75)-2))</f>
        <v>2647</v>
      </c>
      <c r="C75" s="74" t="s">
        <v>455</v>
      </c>
      <c r="D75" s="75">
        <v>46038</v>
      </c>
      <c r="E75" s="70" t="s">
        <v>53</v>
      </c>
      <c r="F75" s="70" t="s">
        <v>456</v>
      </c>
      <c r="G75" s="68" t="s">
        <v>457</v>
      </c>
      <c r="H75" s="307"/>
      <c r="I75" s="162" t="s">
        <v>458</v>
      </c>
      <c r="J75" s="162"/>
      <c r="K75" s="68" t="s">
        <v>42</v>
      </c>
      <c r="L75" s="69" t="s">
        <v>120</v>
      </c>
      <c r="M75" s="71" t="s">
        <v>141</v>
      </c>
      <c r="N75" s="69" t="e" vm="1">
        <v>#VALUE!</v>
      </c>
      <c r="O75" s="84">
        <v>46097</v>
      </c>
      <c r="P75" s="72" t="s">
        <v>258</v>
      </c>
      <c r="Q75" s="72" t="s">
        <v>220</v>
      </c>
      <c r="R75" s="72" t="s">
        <v>221</v>
      </c>
      <c r="S75" s="146"/>
      <c r="T75" s="68" t="s">
        <v>64</v>
      </c>
      <c r="U75" s="87">
        <v>0</v>
      </c>
      <c r="V75" s="183">
        <v>46041</v>
      </c>
      <c r="W75" s="73"/>
      <c r="X75" s="73"/>
      <c r="Y75" s="83" t="str">
        <f>IF(SUM(W75:W75)&gt;0,X75/SUM(W75:W75)*1000000,"N/A")</f>
        <v>N/A</v>
      </c>
      <c r="Z75" s="183"/>
      <c r="AA75" s="183"/>
      <c r="AB75" s="73"/>
      <c r="AC75" s="153"/>
      <c r="AD75" s="330"/>
      <c r="AE75" s="305"/>
      <c r="AF75" s="88"/>
      <c r="AG75" s="182">
        <f>YEAR(V75)</f>
        <v>2026</v>
      </c>
      <c r="AH75" s="86">
        <f>+IF(AG75=$AH$22,MONTH(V75),"")</f>
        <v>1</v>
      </c>
      <c r="AI75" s="86" t="str">
        <f>+IF(AG75=$AI$22,MONTH(V75),"")</f>
        <v/>
      </c>
      <c r="AJ75" s="86" t="str">
        <f>+IF(AG75=$AJ$22,MONTH(V75),"")</f>
        <v/>
      </c>
      <c r="AK75" s="86" t="str">
        <f>+IF(AG75=$AK$22,MONTH(V75),"")</f>
        <v/>
      </c>
      <c r="AL75" s="86"/>
      <c r="AM75" s="89"/>
      <c r="AN75" s="89"/>
      <c r="AO75" s="89"/>
      <c r="AP75" s="89"/>
      <c r="AQ75" s="89"/>
      <c r="AR75" s="89"/>
      <c r="AS75" s="89"/>
      <c r="AT75" s="89"/>
      <c r="AU75" s="89"/>
      <c r="AV75" s="89"/>
      <c r="AW75" s="86" t="str">
        <f>+IF($AG75=AW$22,MONTH($D75),"")</f>
        <v/>
      </c>
      <c r="AX75" s="86" t="str">
        <f>+IF($AG75=AX$22,MONTH($D75),"")</f>
        <v/>
      </c>
      <c r="AY75" s="89"/>
      <c r="AZ75" s="89"/>
      <c r="BA75" s="89"/>
      <c r="BB75" s="89"/>
      <c r="BC75" s="89"/>
      <c r="BD75" s="89"/>
      <c r="BE75" s="89"/>
      <c r="BF75" s="89"/>
      <c r="BG75" s="89"/>
      <c r="BH75" s="89"/>
      <c r="BI75" s="89"/>
      <c r="BJ75" s="89"/>
      <c r="BK75" s="89"/>
      <c r="BL75" s="89"/>
      <c r="BM75" s="89"/>
      <c r="BN75" s="89"/>
      <c r="BO75" s="89"/>
      <c r="BP75" s="89"/>
    </row>
    <row r="76" spans="1:68" s="382" customFormat="1" ht="45.75" customHeight="1">
      <c r="A76" s="204" t="str">
        <f>+IFERROR(VALUE(MID(AB76,4,4)),"")</f>
        <v/>
      </c>
      <c r="B76" s="204">
        <f>VALUE(RIGHT(C76,LEN(C76)-2))</f>
        <v>2646</v>
      </c>
      <c r="C76" s="74" t="s">
        <v>459</v>
      </c>
      <c r="D76" s="75">
        <v>46038</v>
      </c>
      <c r="E76" s="70" t="s">
        <v>53</v>
      </c>
      <c r="F76" s="70" t="s">
        <v>460</v>
      </c>
      <c r="G76" s="68" t="s">
        <v>461</v>
      </c>
      <c r="H76" s="307" t="s">
        <v>462</v>
      </c>
      <c r="I76" s="162" t="s">
        <v>463</v>
      </c>
      <c r="J76" s="162"/>
      <c r="K76" s="68" t="s">
        <v>42</v>
      </c>
      <c r="L76" s="69" t="s">
        <v>120</v>
      </c>
      <c r="M76" s="71" t="s">
        <v>141</v>
      </c>
      <c r="N76" s="69" t="e" vm="1">
        <v>#VALUE!</v>
      </c>
      <c r="O76" s="84">
        <v>46098</v>
      </c>
      <c r="P76" s="72" t="s">
        <v>258</v>
      </c>
      <c r="Q76" s="72" t="s">
        <v>259</v>
      </c>
      <c r="R76" s="72" t="s">
        <v>260</v>
      </c>
      <c r="S76" s="146"/>
      <c r="T76" s="68" t="s">
        <v>64</v>
      </c>
      <c r="U76" s="87">
        <v>0</v>
      </c>
      <c r="V76" s="183">
        <v>46041</v>
      </c>
      <c r="W76" s="73"/>
      <c r="X76" s="73"/>
      <c r="Y76" s="83" t="str">
        <f>IF(SUM(W76:W76)&gt;0,X76/SUM(W76:W76)*1000000,"N/A")</f>
        <v>N/A</v>
      </c>
      <c r="Z76" s="183"/>
      <c r="AA76" s="183"/>
      <c r="AB76" s="73"/>
      <c r="AC76" s="153"/>
      <c r="AD76" s="330"/>
      <c r="AE76" s="305"/>
      <c r="AF76" s="88"/>
      <c r="AG76" s="182">
        <f>YEAR(V76)</f>
        <v>2026</v>
      </c>
      <c r="AH76" s="86">
        <f>+IF(AG76=$AH$22,MONTH(V76),"")</f>
        <v>1</v>
      </c>
      <c r="AI76" s="86" t="str">
        <f>+IF(AG76=$AI$22,MONTH(V76),"")</f>
        <v/>
      </c>
      <c r="AJ76" s="86" t="str">
        <f>+IF(AG76=$AJ$22,MONTH(V76),"")</f>
        <v/>
      </c>
      <c r="AK76" s="86" t="str">
        <f>+IF(AG76=$AK$22,MONTH(V76),"")</f>
        <v/>
      </c>
      <c r="AL76" s="86"/>
      <c r="AM76" s="89"/>
      <c r="AN76" s="89"/>
      <c r="AO76" s="89"/>
      <c r="AP76" s="89"/>
      <c r="AQ76" s="89"/>
      <c r="AR76" s="89"/>
      <c r="AS76" s="89"/>
      <c r="AT76" s="89"/>
      <c r="AU76" s="89"/>
      <c r="AV76" s="89"/>
      <c r="AW76" s="86" t="str">
        <f>+IF($AG76=AW$22,MONTH($D76),"")</f>
        <v/>
      </c>
      <c r="AX76" s="86" t="str">
        <f>+IF($AG76=AX$22,MONTH($D76),"")</f>
        <v/>
      </c>
      <c r="AY76" s="89"/>
      <c r="AZ76" s="89"/>
      <c r="BA76" s="89"/>
      <c r="BB76" s="89"/>
      <c r="BC76" s="89"/>
      <c r="BD76" s="89"/>
      <c r="BE76" s="89"/>
      <c r="BF76" s="89"/>
      <c r="BG76" s="89"/>
      <c r="BH76" s="89"/>
      <c r="BI76" s="89"/>
      <c r="BJ76" s="89"/>
      <c r="BK76" s="89"/>
      <c r="BL76" s="89"/>
      <c r="BM76" s="89"/>
      <c r="BN76" s="89"/>
      <c r="BO76" s="89"/>
      <c r="BP76" s="89"/>
    </row>
    <row r="77" spans="1:68" s="56" customFormat="1" ht="46.5" hidden="1" customHeight="1">
      <c r="A77" s="204" t="str">
        <f>+IFERROR(VALUE(MID(AB77,4,4)),"")</f>
        <v/>
      </c>
      <c r="B77" s="204">
        <f>VALUE(RIGHT(C77,LEN(C77)-2))</f>
        <v>2645</v>
      </c>
      <c r="C77" s="74" t="s">
        <v>464</v>
      </c>
      <c r="D77" s="75">
        <v>46037</v>
      </c>
      <c r="E77" s="70" t="s">
        <v>53</v>
      </c>
      <c r="F77" s="70" t="s">
        <v>313</v>
      </c>
      <c r="G77" s="68" t="s">
        <v>210</v>
      </c>
      <c r="H77" s="379" t="s">
        <v>210</v>
      </c>
      <c r="I77" s="69" t="s">
        <v>465</v>
      </c>
      <c r="J77" s="69"/>
      <c r="K77" s="68" t="s">
        <v>9</v>
      </c>
      <c r="L77" s="69" t="s">
        <v>123</v>
      </c>
      <c r="M77" s="71" t="s">
        <v>141</v>
      </c>
      <c r="N77" s="69" t="e" vm="1">
        <v>#VALUE!</v>
      </c>
      <c r="O77" s="84">
        <v>46104</v>
      </c>
      <c r="P77" s="72" t="s">
        <v>213</v>
      </c>
      <c r="Q77" s="72" t="s">
        <v>220</v>
      </c>
      <c r="R77" s="72" t="s">
        <v>221</v>
      </c>
      <c r="S77" s="146"/>
      <c r="T77" s="68" t="s">
        <v>155</v>
      </c>
      <c r="U77" s="87"/>
      <c r="V77" s="80">
        <v>46041</v>
      </c>
      <c r="W77" s="73"/>
      <c r="X77" s="73"/>
      <c r="Y77" s="169" t="str">
        <f>IF(SUM(W77:W77)&gt;0,X77/SUM(W77:W77)*1000000,"N/A")</f>
        <v>N/A</v>
      </c>
      <c r="Z77" s="80"/>
      <c r="AA77" s="80"/>
      <c r="AB77" s="73"/>
      <c r="AC77" s="153"/>
      <c r="AD77" s="330"/>
      <c r="AE77" s="305"/>
      <c r="AF77" s="88"/>
      <c r="AG77" s="182">
        <f>YEAR(V77)</f>
        <v>2026</v>
      </c>
      <c r="AH77" s="86">
        <f>+IF(AG77=$AH$22,MONTH(V77),"")</f>
        <v>1</v>
      </c>
      <c r="AI77" s="86" t="str">
        <f>+IF(AG77=$AI$22,MONTH(V77),"")</f>
        <v/>
      </c>
      <c r="AJ77" s="86" t="str">
        <f>+IF(AG77=$AJ$22,MONTH(V77),"")</f>
        <v/>
      </c>
      <c r="AK77" s="86" t="str">
        <f>+IF(AG77=$AK$22,MONTH(V77),"")</f>
        <v/>
      </c>
      <c r="AL77" s="86" t="str">
        <f>+IF(AG77=$AL$22,MONTH(V77),"")</f>
        <v/>
      </c>
      <c r="AM77" s="86" t="str">
        <f>+IF($AG77=$AM$22,MONTH($D77),"")</f>
        <v/>
      </c>
      <c r="AN77" s="89" t="str">
        <f>+IF($AG77=AN$22,MONTH($D77),"")</f>
        <v/>
      </c>
      <c r="AO77" s="89" t="str">
        <f>+IF($AG77=AO$22,MONTH($D77),"")</f>
        <v/>
      </c>
      <c r="AP77" s="89" t="str">
        <f>+IF($AG77=AP$22,MONTH($D77),"")</f>
        <v/>
      </c>
      <c r="AQ77" s="89" t="str">
        <f>+IF($AG77=AQ$22,MONTH($D77),"")</f>
        <v/>
      </c>
      <c r="AR77" s="89" t="str">
        <f>+IF($AG77=AR$22,MONTH($D77),"")</f>
        <v/>
      </c>
      <c r="AS77" s="89" t="str">
        <f>+IF($AG77=AS$22,MONTH($D77),"")</f>
        <v/>
      </c>
      <c r="AT77" s="89" t="str">
        <f>+IF($AG77=AT$22,MONTH($D77),"")</f>
        <v/>
      </c>
      <c r="AU77" s="89" t="str">
        <f>+IF($AG77=AU$22,MONTH($D77),"")</f>
        <v/>
      </c>
      <c r="AV77" s="89" t="str">
        <f>+IF($AG77=AV$22,MONTH($D77),"")</f>
        <v/>
      </c>
      <c r="AW77" s="86" t="str">
        <f>+IF($AG77=AW$22,MONTH($D77),"")</f>
        <v/>
      </c>
      <c r="AX77" s="86" t="str">
        <f>+IF($AG77=AX$22,MONTH($D77),"")</f>
        <v/>
      </c>
      <c r="AY77" s="89"/>
      <c r="AZ77" s="89"/>
      <c r="BA77" s="89"/>
      <c r="BB77" s="89"/>
      <c r="BC77" s="89"/>
      <c r="BD77" s="89"/>
      <c r="BE77" s="89"/>
      <c r="BF77" s="89"/>
      <c r="BG77" s="89"/>
      <c r="BH77" s="89"/>
      <c r="BI77" s="89"/>
      <c r="BJ77" s="89"/>
      <c r="BK77" s="89"/>
      <c r="BL77" s="89"/>
      <c r="BM77" s="89"/>
      <c r="BN77" s="89"/>
      <c r="BO77" s="89"/>
      <c r="BP77" s="89"/>
    </row>
    <row r="78" spans="1:68" s="381" customFormat="1" ht="48.75" hidden="1" customHeight="1">
      <c r="A78" s="204" t="str">
        <f>+IFERROR(VALUE(MID(AB78,4,4)),"")</f>
        <v/>
      </c>
      <c r="B78" s="204">
        <f>VALUE(RIGHT(C78,LEN(C78)-2))</f>
        <v>2644</v>
      </c>
      <c r="C78" s="74" t="s">
        <v>466</v>
      </c>
      <c r="D78" s="75">
        <v>46031</v>
      </c>
      <c r="E78" s="70" t="s">
        <v>467</v>
      </c>
      <c r="F78" s="70" t="s">
        <v>468</v>
      </c>
      <c r="G78" s="68" t="s">
        <v>469</v>
      </c>
      <c r="H78" s="307" t="s">
        <v>470</v>
      </c>
      <c r="I78" s="69" t="s">
        <v>471</v>
      </c>
      <c r="J78" s="69"/>
      <c r="K78" s="68" t="s">
        <v>401</v>
      </c>
      <c r="L78" s="69" t="s">
        <v>120</v>
      </c>
      <c r="M78" s="71" t="s">
        <v>141</v>
      </c>
      <c r="N78" s="69" t="e" vm="1">
        <v>#VALUE!</v>
      </c>
      <c r="O78" s="84">
        <v>46036</v>
      </c>
      <c r="P78" s="72" t="s">
        <v>258</v>
      </c>
      <c r="Q78" s="72" t="s">
        <v>220</v>
      </c>
      <c r="R78" s="72" t="s">
        <v>221</v>
      </c>
      <c r="S78" s="146"/>
      <c r="T78" s="68" t="s">
        <v>158</v>
      </c>
      <c r="U78" s="87">
        <v>0.2</v>
      </c>
      <c r="V78" s="183">
        <v>46036</v>
      </c>
      <c r="W78" s="73">
        <v>240</v>
      </c>
      <c r="X78" s="73">
        <f>240*2.5*39672/1000000</f>
        <v>23.8032</v>
      </c>
      <c r="Y78" s="83">
        <f>IF(SUM(W78:W78)&gt;0,X78/SUM(W78:W78)*1000000,"N/A")</f>
        <v>99180</v>
      </c>
      <c r="Z78" s="183"/>
      <c r="AA78" s="183"/>
      <c r="AB78" s="150"/>
      <c r="AC78" s="153"/>
      <c r="AD78" s="330"/>
      <c r="AE78" s="305"/>
      <c r="AF78" s="88"/>
      <c r="AG78" s="182">
        <f>YEAR(V78)</f>
        <v>2026</v>
      </c>
      <c r="AH78" s="86">
        <f>+IF(AG78=$AH$22,MONTH(V78),"")</f>
        <v>1</v>
      </c>
      <c r="AI78" s="86" t="str">
        <f>+IF(AG78=$AI$22,MONTH(V78),"")</f>
        <v/>
      </c>
      <c r="AJ78" s="86" t="str">
        <f>+IF(AG78=$AJ$22,MONTH(V78),"")</f>
        <v/>
      </c>
      <c r="AK78" s="86" t="str">
        <f>+IF(AG78=$AK$22,MONTH(V78),"")</f>
        <v/>
      </c>
      <c r="AL78" s="86"/>
      <c r="AM78" s="89"/>
      <c r="AN78" s="89"/>
      <c r="AO78" s="89"/>
      <c r="AP78" s="89"/>
      <c r="AQ78" s="89"/>
      <c r="AR78" s="89"/>
      <c r="AS78" s="89"/>
      <c r="AT78" s="89"/>
      <c r="AU78" s="89"/>
      <c r="AV78" s="89"/>
      <c r="AW78" s="86" t="str">
        <f>+IF($AG78=AW$22,MONTH($D78),"")</f>
        <v/>
      </c>
      <c r="AX78" s="86" t="str">
        <f>+IF($AG78=AX$22,MONTH($D78),"")</f>
        <v/>
      </c>
      <c r="AY78" s="89"/>
      <c r="AZ78" s="89"/>
      <c r="BA78" s="89"/>
      <c r="BB78" s="89"/>
      <c r="BC78" s="89"/>
      <c r="BD78" s="89"/>
      <c r="BE78" s="89"/>
      <c r="BF78" s="89"/>
      <c r="BG78" s="89"/>
      <c r="BH78" s="89"/>
      <c r="BI78" s="89"/>
      <c r="BJ78" s="89"/>
      <c r="BK78" s="89"/>
      <c r="BL78" s="89"/>
      <c r="BM78" s="89"/>
      <c r="BN78" s="89"/>
      <c r="BO78" s="89"/>
      <c r="BP78" s="89"/>
    </row>
    <row r="79" spans="1:68" s="378" customFormat="1" ht="45.75" hidden="1" customHeight="1">
      <c r="A79" s="204">
        <f>+IFERROR(VALUE(MID(AB79,4,4)),"")</f>
        <v>399</v>
      </c>
      <c r="B79" s="204">
        <f>VALUE(RIGHT(C79,LEN(C79)-2))</f>
        <v>2643</v>
      </c>
      <c r="C79" s="74" t="s">
        <v>472</v>
      </c>
      <c r="D79" s="75">
        <v>46035</v>
      </c>
      <c r="E79" s="70" t="s">
        <v>473</v>
      </c>
      <c r="F79" s="70" t="s">
        <v>473</v>
      </c>
      <c r="G79" s="68" t="s">
        <v>474</v>
      </c>
      <c r="H79" s="307" t="s">
        <v>475</v>
      </c>
      <c r="I79" s="69" t="s">
        <v>476</v>
      </c>
      <c r="J79" s="69"/>
      <c r="K79" s="68" t="s">
        <v>13</v>
      </c>
      <c r="L79" s="69" t="s">
        <v>129</v>
      </c>
      <c r="M79" s="71" t="s">
        <v>141</v>
      </c>
      <c r="N79" s="69" t="e" vm="1">
        <v>#VALUE!</v>
      </c>
      <c r="O79" s="164">
        <v>46037</v>
      </c>
      <c r="P79" s="72" t="s">
        <v>377</v>
      </c>
      <c r="Q79" s="72" t="s">
        <v>316</v>
      </c>
      <c r="R79" s="72" t="s">
        <v>378</v>
      </c>
      <c r="S79" s="146"/>
      <c r="T79" s="68" t="s">
        <v>158</v>
      </c>
      <c r="U79" s="87">
        <v>0.1</v>
      </c>
      <c r="V79" s="80">
        <v>46035</v>
      </c>
      <c r="W79" s="73">
        <v>1118</v>
      </c>
      <c r="X79" s="73">
        <v>47.460999999999999</v>
      </c>
      <c r="Y79" s="83">
        <f>IF(SUM(W79:W79)&gt;0,X79/SUM(W79:W79)*1000000,"N/A")</f>
        <v>42451.699463327372</v>
      </c>
      <c r="Z79" s="183"/>
      <c r="AA79" s="183"/>
      <c r="AB79" s="73" t="s">
        <v>477</v>
      </c>
      <c r="AC79" s="153"/>
      <c r="AD79" s="331"/>
      <c r="AE79" s="57"/>
      <c r="AF79" s="88"/>
      <c r="AG79" s="182">
        <f>YEAR(V79)</f>
        <v>2026</v>
      </c>
      <c r="AH79" s="86">
        <f>+IF(AG79=$AH$22,MONTH(V79),"")</f>
        <v>1</v>
      </c>
      <c r="AI79" s="86" t="str">
        <f>+IF(AG79=$AI$22,MONTH(V79),"")</f>
        <v/>
      </c>
      <c r="AJ79" s="86" t="str">
        <f>+IF(AG79=$AJ$22,MONTH(V79),"")</f>
        <v/>
      </c>
      <c r="AK79" s="86" t="str">
        <f>+IF(AG79=$AK$22,MONTH(V79),"")</f>
        <v/>
      </c>
      <c r="AL79" s="86"/>
      <c r="AM79" s="89"/>
      <c r="AN79" s="89"/>
      <c r="AO79" s="89"/>
      <c r="AP79" s="89"/>
      <c r="AQ79" s="89"/>
      <c r="AR79" s="89"/>
      <c r="AS79" s="89"/>
      <c r="AT79" s="89"/>
      <c r="AU79" s="89"/>
      <c r="AV79" s="89"/>
      <c r="AW79" s="86" t="str">
        <f>+IF($AG79=AW$22,MONTH($D79),"")</f>
        <v/>
      </c>
      <c r="AX79" s="86" t="str">
        <f>+IF($AG79=AX$22,MONTH($D79),"")</f>
        <v/>
      </c>
      <c r="AY79" s="89"/>
      <c r="AZ79" s="89"/>
      <c r="BA79" s="89"/>
      <c r="BB79" s="89"/>
      <c r="BC79" s="89"/>
      <c r="BD79" s="89"/>
      <c r="BE79" s="89"/>
      <c r="BF79" s="89"/>
      <c r="BG79" s="89"/>
      <c r="BH79" s="89"/>
      <c r="BI79" s="89"/>
      <c r="BJ79" s="89"/>
      <c r="BK79" s="89"/>
      <c r="BL79" s="89"/>
      <c r="BM79" s="89"/>
      <c r="BN79" s="89"/>
      <c r="BO79" s="89"/>
      <c r="BP79" s="89"/>
    </row>
    <row r="80" spans="1:68" s="56" customFormat="1" ht="27" hidden="1">
      <c r="A80" s="204">
        <f>+IFERROR(VALUE(MID(AB80,4,4)),"")</f>
        <v>366</v>
      </c>
      <c r="B80" s="204">
        <f>VALUE(RIGHT(C80,LEN(C80)-2))</f>
        <v>2642</v>
      </c>
      <c r="C80" s="74" t="s">
        <v>478</v>
      </c>
      <c r="D80" s="75">
        <v>46028</v>
      </c>
      <c r="E80" s="161" t="s">
        <v>479</v>
      </c>
      <c r="F80" s="161" t="s">
        <v>479</v>
      </c>
      <c r="G80" s="68" t="s">
        <v>480</v>
      </c>
      <c r="H80" s="282" t="s">
        <v>481</v>
      </c>
      <c r="I80" s="69" t="s">
        <v>482</v>
      </c>
      <c r="J80" s="69"/>
      <c r="K80" s="76" t="s">
        <v>25</v>
      </c>
      <c r="L80" s="162" t="s">
        <v>123</v>
      </c>
      <c r="M80" s="71" t="s">
        <v>113</v>
      </c>
      <c r="N80" s="69" t="e" vm="2">
        <v>#VALUE!</v>
      </c>
      <c r="O80" s="164">
        <v>46029</v>
      </c>
      <c r="P80" s="164" t="s">
        <v>483</v>
      </c>
      <c r="Q80" s="72" t="s">
        <v>259</v>
      </c>
      <c r="R80" s="72" t="s">
        <v>221</v>
      </c>
      <c r="S80" s="146" t="s">
        <v>484</v>
      </c>
      <c r="T80" s="68" t="s">
        <v>3</v>
      </c>
      <c r="U80" s="87"/>
      <c r="V80" s="80">
        <v>46031</v>
      </c>
      <c r="W80" s="226"/>
      <c r="X80" s="226"/>
      <c r="Y80" s="83" t="str">
        <f>IF(SUM(W80:W80)&gt;0,X80/SUM(W80:W80)*1000000,"N/A")</f>
        <v>N/A</v>
      </c>
      <c r="Z80" s="80"/>
      <c r="AA80" s="80"/>
      <c r="AB80" s="73" t="s">
        <v>485</v>
      </c>
      <c r="AC80" s="153"/>
      <c r="AD80" s="331"/>
      <c r="AE80" s="57"/>
      <c r="AF80" s="88"/>
      <c r="AG80" s="182">
        <f>YEAR(V80)</f>
        <v>2026</v>
      </c>
      <c r="AH80" s="86">
        <f>+IF(AG80=$AH$22,MONTH(V80),"")</f>
        <v>1</v>
      </c>
      <c r="AI80" s="86" t="str">
        <f>+IF(AG80=$AI$22,MONTH(V80),"")</f>
        <v/>
      </c>
      <c r="AJ80" s="86" t="str">
        <f>+IF(AG80=$AJ$22,MONTH(V80),"")</f>
        <v/>
      </c>
      <c r="AK80" s="86" t="str">
        <f>+IF(AG80=$AK$22,MONTH(V80),"")</f>
        <v/>
      </c>
      <c r="AL80" s="86"/>
      <c r="AM80" s="89"/>
      <c r="AN80" s="89"/>
      <c r="AO80" s="89"/>
      <c r="AP80" s="89"/>
      <c r="AQ80" s="89"/>
      <c r="AR80" s="89"/>
      <c r="AS80" s="89"/>
      <c r="AT80" s="89"/>
      <c r="AU80" s="89"/>
      <c r="AV80" s="89"/>
      <c r="AW80" s="86" t="str">
        <f>+IF($AG80=AW$22,MONTH($D80),"")</f>
        <v/>
      </c>
      <c r="AX80" s="86" t="str">
        <f>+IF($AG80=AX$22,MONTH($D80),"")</f>
        <v/>
      </c>
      <c r="AY80" s="89"/>
      <c r="AZ80" s="89"/>
      <c r="BA80" s="89"/>
      <c r="BB80" s="89"/>
      <c r="BC80" s="89"/>
      <c r="BD80" s="89"/>
      <c r="BE80" s="89"/>
      <c r="BF80" s="89"/>
      <c r="BG80" s="89"/>
      <c r="BH80" s="89"/>
      <c r="BI80" s="89"/>
      <c r="BJ80" s="89"/>
      <c r="BK80" s="89"/>
      <c r="BL80" s="89"/>
      <c r="BM80" s="89"/>
      <c r="BN80" s="89"/>
      <c r="BO80" s="89"/>
      <c r="BP80" s="89"/>
    </row>
    <row r="81" spans="1:68" s="388" customFormat="1" ht="45.75" hidden="1" customHeight="1">
      <c r="A81" s="204">
        <f>+IFERROR(VALUE(MID(AB81,4,4)),"")</f>
        <v>467</v>
      </c>
      <c r="B81" s="204">
        <f>VALUE(RIGHT(C81,LEN(C81)-2))</f>
        <v>2641</v>
      </c>
      <c r="C81" s="74" t="s">
        <v>486</v>
      </c>
      <c r="D81" s="75">
        <v>46020</v>
      </c>
      <c r="E81" s="70" t="s">
        <v>487</v>
      </c>
      <c r="F81" s="70" t="s">
        <v>487</v>
      </c>
      <c r="G81" s="68" t="s">
        <v>488</v>
      </c>
      <c r="H81" s="307" t="s">
        <v>489</v>
      </c>
      <c r="I81" s="69" t="s">
        <v>490</v>
      </c>
      <c r="J81" s="69"/>
      <c r="K81" s="68" t="s">
        <v>491</v>
      </c>
      <c r="L81" s="69" t="s">
        <v>129</v>
      </c>
      <c r="M81" s="71" t="s">
        <v>141</v>
      </c>
      <c r="N81" s="69" t="e" vm="1">
        <v>#VALUE!</v>
      </c>
      <c r="O81" s="84">
        <v>46029</v>
      </c>
      <c r="P81" s="82" t="s">
        <v>377</v>
      </c>
      <c r="Q81" s="72" t="s">
        <v>316</v>
      </c>
      <c r="R81" s="72" t="s">
        <v>378</v>
      </c>
      <c r="S81" s="146"/>
      <c r="T81" s="68" t="s">
        <v>3</v>
      </c>
      <c r="U81" s="87"/>
      <c r="V81" s="80">
        <v>46031</v>
      </c>
      <c r="W81" s="150">
        <v>98</v>
      </c>
      <c r="X81" s="150">
        <f>218*39670/1000000</f>
        <v>8.6480599999999992</v>
      </c>
      <c r="Y81" s="83">
        <f>IF(SUM(W81:W81)&gt;0,X81/SUM(W81:W81)*1000000,"N/A")</f>
        <v>88245.510204081627</v>
      </c>
      <c r="Z81" s="80"/>
      <c r="AA81" s="80"/>
      <c r="AB81" s="73" t="s">
        <v>492</v>
      </c>
      <c r="AC81" s="153"/>
      <c r="AD81" s="330"/>
      <c r="AE81" s="305"/>
      <c r="AF81" s="88"/>
      <c r="AG81" s="182">
        <f>YEAR(V81)</f>
        <v>2026</v>
      </c>
      <c r="AH81" s="86">
        <f>+IF(AG81=$AH$22,MONTH(V81),"")</f>
        <v>1</v>
      </c>
      <c r="AI81" s="86" t="str">
        <f>+IF(AG81=$AI$22,MONTH(V81),"")</f>
        <v/>
      </c>
      <c r="AJ81" s="86" t="str">
        <f>+IF(AG81=$AJ$22,MONTH(V81),"")</f>
        <v/>
      </c>
      <c r="AK81" s="86" t="str">
        <f>+IF(AG81=$AK$22,MONTH(V81),"")</f>
        <v/>
      </c>
      <c r="AL81" s="86" t="str">
        <f>+IF(AG81=$AL$22,MONTH(V81),"")</f>
        <v/>
      </c>
      <c r="AM81" s="86" t="str">
        <f>+IF($AG81=$AM$22,MONTH($D81),"")</f>
        <v/>
      </c>
      <c r="AN81" s="89" t="str">
        <f>+IF($AG81=AN$22,MONTH($D81),"")</f>
        <v/>
      </c>
      <c r="AO81" s="89" t="str">
        <f>+IF($AG81=AO$22,MONTH($D81),"")</f>
        <v/>
      </c>
      <c r="AP81" s="89" t="str">
        <f>+IF($AG81=AP$22,MONTH($D81),"")</f>
        <v/>
      </c>
      <c r="AQ81" s="89" t="str">
        <f>+IF($AG81=AQ$22,MONTH($D81),"")</f>
        <v/>
      </c>
      <c r="AR81" s="89" t="str">
        <f>+IF($AG81=AR$22,MONTH($D81),"")</f>
        <v/>
      </c>
      <c r="AS81" s="89" t="str">
        <f>+IF($AG81=AS$22,MONTH($D81),"")</f>
        <v/>
      </c>
      <c r="AT81" s="89" t="str">
        <f>+IF($AG81=AT$22,MONTH($D81),"")</f>
        <v/>
      </c>
      <c r="AU81" s="89" t="str">
        <f>+IF($AG81=AU$22,MONTH($D81),"")</f>
        <v/>
      </c>
      <c r="AV81" s="89" t="str">
        <f>+IF($AG81=AV$22,MONTH($D81),"")</f>
        <v/>
      </c>
      <c r="AW81" s="86" t="str">
        <f>+IF($AG81=AW$22,MONTH($D81),"")</f>
        <v/>
      </c>
      <c r="AX81" s="86" t="str">
        <f>+IF($AG81=AX$22,MONTH($D81),"")</f>
        <v/>
      </c>
      <c r="AY81" s="89"/>
      <c r="AZ81" s="89"/>
      <c r="BA81" s="89"/>
      <c r="BB81" s="89"/>
      <c r="BC81" s="89"/>
      <c r="BD81" s="89"/>
      <c r="BE81" s="89"/>
      <c r="BF81" s="89"/>
      <c r="BG81" s="89"/>
      <c r="BH81" s="89"/>
      <c r="BI81" s="89"/>
      <c r="BJ81" s="89"/>
      <c r="BK81" s="89"/>
      <c r="BL81" s="89"/>
      <c r="BM81" s="89"/>
      <c r="BN81" s="182"/>
      <c r="BO81" s="182"/>
      <c r="BP81" s="182"/>
    </row>
    <row r="82" spans="1:68" s="56" customFormat="1" ht="46.5" hidden="1" customHeight="1">
      <c r="A82" s="204">
        <f>+IFERROR(VALUE(MID(AB82,4,4)),"")</f>
        <v>390</v>
      </c>
      <c r="B82" s="204">
        <f>VALUE(RIGHT(C82,LEN(C82)-2))</f>
        <v>2640</v>
      </c>
      <c r="C82" s="74" t="s">
        <v>493</v>
      </c>
      <c r="D82" s="75">
        <v>45971</v>
      </c>
      <c r="E82" s="70" t="s">
        <v>262</v>
      </c>
      <c r="F82" s="70" t="s">
        <v>270</v>
      </c>
      <c r="G82" s="68"/>
      <c r="H82" s="307" t="s">
        <v>494</v>
      </c>
      <c r="I82" s="69" t="s">
        <v>495</v>
      </c>
      <c r="J82" s="69"/>
      <c r="K82" s="68" t="s">
        <v>13</v>
      </c>
      <c r="L82" s="69" t="s">
        <v>120</v>
      </c>
      <c r="M82" s="71" t="s">
        <v>141</v>
      </c>
      <c r="N82" s="69" t="e" vm="1">
        <v>#VALUE!</v>
      </c>
      <c r="O82" s="84">
        <v>45976</v>
      </c>
      <c r="P82" s="72" t="s">
        <v>402</v>
      </c>
      <c r="Q82" s="72" t="s">
        <v>220</v>
      </c>
      <c r="R82" s="72" t="s">
        <v>221</v>
      </c>
      <c r="S82" s="146"/>
      <c r="T82" s="68" t="s">
        <v>3</v>
      </c>
      <c r="U82" s="87"/>
      <c r="V82" s="80">
        <v>45981</v>
      </c>
      <c r="W82" s="73">
        <v>3364</v>
      </c>
      <c r="X82" s="73">
        <v>118.318</v>
      </c>
      <c r="Y82" s="169">
        <f>IF(SUM(W82:W82)&gt;0,X82/SUM(W82:W82)*1000000,"N/A")</f>
        <v>35171.819262782403</v>
      </c>
      <c r="Z82" s="80"/>
      <c r="AA82" s="80"/>
      <c r="AB82" s="73" t="s">
        <v>496</v>
      </c>
      <c r="AC82" s="153"/>
      <c r="AD82" s="330"/>
      <c r="AE82" s="305"/>
      <c r="AF82" s="88"/>
      <c r="AG82" s="182">
        <f>YEAR(D82)</f>
        <v>2025</v>
      </c>
      <c r="AH82" s="86" t="str">
        <f>+IF(AG82=$AH$22,MONTH(V82),"")</f>
        <v/>
      </c>
      <c r="AI82" s="86">
        <f>+IF(AG82=$AI$22,MONTH(V82),"")</f>
        <v>11</v>
      </c>
      <c r="AJ82" s="86" t="str">
        <f>+IF(AG82=$AJ$22,MONTH(V82),"")</f>
        <v/>
      </c>
      <c r="AK82" s="86" t="str">
        <f>+IF(AG82=$AK$22,MONTH(V82),"")</f>
        <v/>
      </c>
      <c r="AL82" s="86" t="str">
        <f>+IF(AG82=$AL$22,MONTH(V82),"")</f>
        <v/>
      </c>
      <c r="AM82" s="86" t="str">
        <f>+IF($AG82=$AM$22,MONTH($D82),"")</f>
        <v/>
      </c>
      <c r="AN82" s="89" t="str">
        <f>+IF($AG82=AN$22,MONTH($D82),"")</f>
        <v/>
      </c>
      <c r="AO82" s="89" t="str">
        <f>+IF($AG82=AO$22,MONTH($D82),"")</f>
        <v/>
      </c>
      <c r="AP82" s="89" t="str">
        <f>+IF($AG82=AP$22,MONTH($D82),"")</f>
        <v/>
      </c>
      <c r="AQ82" s="89" t="str">
        <f>+IF($AG82=AQ$22,MONTH($D82),"")</f>
        <v/>
      </c>
      <c r="AR82" s="89" t="str">
        <f>+IF($AG82=AR$22,MONTH($D82),"")</f>
        <v/>
      </c>
      <c r="AS82" s="89" t="str">
        <f>+IF($AG82=AS$22,MONTH($D82),"")</f>
        <v/>
      </c>
      <c r="AT82" s="89" t="str">
        <f>+IF($AG82=AT$22,MONTH($D82),"")</f>
        <v/>
      </c>
      <c r="AU82" s="89" t="str">
        <f>+IF($AG82=AU$22,MONTH($D82),"")</f>
        <v/>
      </c>
      <c r="AV82" s="89" t="str">
        <f>+IF($AG82=AV$22,MONTH($D82),"")</f>
        <v/>
      </c>
      <c r="AW82" s="86" t="str">
        <f>+IF($AG82=AW$22,MONTH($D82),"")</f>
        <v/>
      </c>
      <c r="AX82" s="86" t="str">
        <f>+IF($AG82=AX$22,MONTH($D82),"")</f>
        <v/>
      </c>
      <c r="AY82" s="89"/>
      <c r="AZ82" s="89"/>
      <c r="BA82" s="89"/>
      <c r="BB82" s="89"/>
      <c r="BC82" s="89"/>
      <c r="BD82" s="89"/>
      <c r="BE82" s="89"/>
      <c r="BF82" s="89"/>
      <c r="BG82" s="89"/>
      <c r="BH82" s="89"/>
      <c r="BI82" s="89"/>
      <c r="BJ82" s="89"/>
      <c r="BK82" s="89"/>
      <c r="BL82" s="89"/>
      <c r="BM82" s="89"/>
      <c r="BN82" s="89"/>
      <c r="BO82" s="89"/>
      <c r="BP82" s="89"/>
    </row>
    <row r="83" spans="1:68" s="56" customFormat="1" ht="46.5" hidden="1" customHeight="1">
      <c r="A83" s="204">
        <f>+IFERROR(VALUE(MID(AB83,4,4)),"")</f>
        <v>390</v>
      </c>
      <c r="B83" s="204">
        <f>VALUE(RIGHT(C83,LEN(C83)-2))</f>
        <v>2639</v>
      </c>
      <c r="C83" s="74" t="s">
        <v>497</v>
      </c>
      <c r="D83" s="75">
        <v>45971</v>
      </c>
      <c r="E83" s="70" t="s">
        <v>262</v>
      </c>
      <c r="F83" s="70" t="s">
        <v>270</v>
      </c>
      <c r="G83" s="68"/>
      <c r="H83" s="307" t="s">
        <v>494</v>
      </c>
      <c r="I83" s="69" t="s">
        <v>498</v>
      </c>
      <c r="J83" s="69"/>
      <c r="K83" s="68" t="s">
        <v>13</v>
      </c>
      <c r="L83" s="69" t="s">
        <v>120</v>
      </c>
      <c r="M83" s="71" t="s">
        <v>141</v>
      </c>
      <c r="N83" s="69" t="e" vm="1">
        <v>#VALUE!</v>
      </c>
      <c r="O83" s="84">
        <v>45976</v>
      </c>
      <c r="P83" s="72" t="s">
        <v>402</v>
      </c>
      <c r="Q83" s="72" t="s">
        <v>220</v>
      </c>
      <c r="R83" s="72" t="s">
        <v>221</v>
      </c>
      <c r="S83" s="146"/>
      <c r="T83" s="68" t="s">
        <v>3</v>
      </c>
      <c r="U83" s="87"/>
      <c r="V83" s="80">
        <v>45981</v>
      </c>
      <c r="W83" s="73">
        <v>625</v>
      </c>
      <c r="X83" s="73">
        <v>28.251000000000001</v>
      </c>
      <c r="Y83" s="169">
        <f>IF(SUM(W83:W83)&gt;0,X83/SUM(W83:W83)*1000000,"N/A")</f>
        <v>45201.599999999999</v>
      </c>
      <c r="Z83" s="80"/>
      <c r="AA83" s="80"/>
      <c r="AB83" s="73" t="s">
        <v>499</v>
      </c>
      <c r="AC83" s="153"/>
      <c r="AD83" s="330"/>
      <c r="AE83" s="305"/>
      <c r="AF83" s="88"/>
      <c r="AG83" s="182">
        <f>YEAR(D83)</f>
        <v>2025</v>
      </c>
      <c r="AH83" s="86" t="str">
        <f>+IF(AG83=$AH$22,MONTH(V83),"")</f>
        <v/>
      </c>
      <c r="AI83" s="86">
        <f>+IF(AG83=$AI$22,MONTH(V83),"")</f>
        <v>11</v>
      </c>
      <c r="AJ83" s="86" t="str">
        <f>+IF(AG83=$AJ$22,MONTH(V83),"")</f>
        <v/>
      </c>
      <c r="AK83" s="86" t="str">
        <f>+IF(AG83=$AK$22,MONTH(V83),"")</f>
        <v/>
      </c>
      <c r="AL83" s="86" t="str">
        <f>+IF(AG83=$AL$22,MONTH(V83),"")</f>
        <v/>
      </c>
      <c r="AM83" s="86" t="str">
        <f>+IF($AG83=$AM$22,MONTH($D83),"")</f>
        <v/>
      </c>
      <c r="AN83" s="89" t="str">
        <f>+IF($AG83=AN$22,MONTH($D83),"")</f>
        <v/>
      </c>
      <c r="AO83" s="89" t="str">
        <f>+IF($AG83=AO$22,MONTH($D83),"")</f>
        <v/>
      </c>
      <c r="AP83" s="89" t="str">
        <f>+IF($AG83=AP$22,MONTH($D83),"")</f>
        <v/>
      </c>
      <c r="AQ83" s="89" t="str">
        <f>+IF($AG83=AQ$22,MONTH($D83),"")</f>
        <v/>
      </c>
      <c r="AR83" s="89" t="str">
        <f>+IF($AG83=AR$22,MONTH($D83),"")</f>
        <v/>
      </c>
      <c r="AS83" s="89" t="str">
        <f>+IF($AG83=AS$22,MONTH($D83),"")</f>
        <v/>
      </c>
      <c r="AT83" s="89" t="str">
        <f>+IF($AG83=AT$22,MONTH($D83),"")</f>
        <v/>
      </c>
      <c r="AU83" s="89" t="str">
        <f>+IF($AG83=AU$22,MONTH($D83),"")</f>
        <v/>
      </c>
      <c r="AV83" s="89" t="str">
        <f>+IF($AG83=AV$22,MONTH($D83),"")</f>
        <v/>
      </c>
      <c r="AW83" s="86" t="str">
        <f>+IF($AG83=AW$22,MONTH($D83),"")</f>
        <v/>
      </c>
      <c r="AX83" s="86" t="str">
        <f>+IF($AG83=AX$22,MONTH($D83),"")</f>
        <v/>
      </c>
      <c r="AY83" s="89"/>
      <c r="AZ83" s="89"/>
      <c r="BA83" s="89"/>
      <c r="BB83" s="89"/>
      <c r="BC83" s="89"/>
      <c r="BD83" s="89"/>
      <c r="BE83" s="89"/>
      <c r="BF83" s="89"/>
      <c r="BG83" s="89"/>
      <c r="BH83" s="89"/>
      <c r="BI83" s="89"/>
      <c r="BJ83" s="89"/>
      <c r="BK83" s="89"/>
      <c r="BL83" s="89"/>
      <c r="BM83" s="89"/>
      <c r="BN83" s="89"/>
      <c r="BO83" s="89"/>
      <c r="BP83" s="89"/>
    </row>
    <row r="84" spans="1:68" s="56" customFormat="1" ht="46.5" hidden="1" customHeight="1">
      <c r="A84" s="204">
        <f>+IFERROR(VALUE(MID(AB84,4,4)),"")</f>
        <v>390</v>
      </c>
      <c r="B84" s="204">
        <f>VALUE(RIGHT(C84,LEN(C84)-2))</f>
        <v>2638</v>
      </c>
      <c r="C84" s="74" t="s">
        <v>500</v>
      </c>
      <c r="D84" s="75">
        <v>45910</v>
      </c>
      <c r="E84" s="70" t="s">
        <v>262</v>
      </c>
      <c r="F84" s="70" t="s">
        <v>270</v>
      </c>
      <c r="G84" s="68"/>
      <c r="H84" s="307" t="s">
        <v>494</v>
      </c>
      <c r="I84" s="69" t="s">
        <v>501</v>
      </c>
      <c r="J84" s="69"/>
      <c r="K84" s="68" t="s">
        <v>13</v>
      </c>
      <c r="L84" s="69" t="s">
        <v>120</v>
      </c>
      <c r="M84" s="71" t="s">
        <v>141</v>
      </c>
      <c r="N84" s="69" t="e" vm="1">
        <v>#VALUE!</v>
      </c>
      <c r="O84" s="84">
        <v>45915</v>
      </c>
      <c r="P84" s="72" t="s">
        <v>402</v>
      </c>
      <c r="Q84" s="72" t="s">
        <v>220</v>
      </c>
      <c r="R84" s="72" t="s">
        <v>221</v>
      </c>
      <c r="S84" s="146"/>
      <c r="T84" s="68" t="s">
        <v>3</v>
      </c>
      <c r="U84" s="87"/>
      <c r="V84" s="80">
        <v>45950</v>
      </c>
      <c r="W84" s="73">
        <v>656</v>
      </c>
      <c r="X84" s="73">
        <v>25.059000000000001</v>
      </c>
      <c r="Y84" s="169">
        <f>IF(SUM(W84:W84)&gt;0,X84/SUM(W84:W84)*1000000,"N/A")</f>
        <v>38199.695121951219</v>
      </c>
      <c r="Z84" s="80"/>
      <c r="AA84" s="80"/>
      <c r="AB84" s="73" t="s">
        <v>502</v>
      </c>
      <c r="AC84" s="153"/>
      <c r="AD84" s="330"/>
      <c r="AE84" s="305"/>
      <c r="AF84" s="88"/>
      <c r="AG84" s="182">
        <f>YEAR(D84)</f>
        <v>2025</v>
      </c>
      <c r="AH84" s="86" t="str">
        <f>+IF(AG84=$AH$22,MONTH(V84),"")</f>
        <v/>
      </c>
      <c r="AI84" s="86">
        <f>+IF(AG84=$AI$22,MONTH(V84),"")</f>
        <v>10</v>
      </c>
      <c r="AJ84" s="86" t="str">
        <f>+IF(AG84=$AJ$22,MONTH(V84),"")</f>
        <v/>
      </c>
      <c r="AK84" s="86" t="str">
        <f>+IF(AG84=$AK$22,MONTH(V84),"")</f>
        <v/>
      </c>
      <c r="AL84" s="86" t="str">
        <f>+IF(AG84=$AL$22,MONTH(V84),"")</f>
        <v/>
      </c>
      <c r="AM84" s="86" t="str">
        <f>+IF($AG84=$AM$22,MONTH($D84),"")</f>
        <v/>
      </c>
      <c r="AN84" s="89" t="str">
        <f>+IF($AG84=AN$22,MONTH($D84),"")</f>
        <v/>
      </c>
      <c r="AO84" s="89" t="str">
        <f>+IF($AG84=AO$22,MONTH($D84),"")</f>
        <v/>
      </c>
      <c r="AP84" s="89" t="str">
        <f>+IF($AG84=AP$22,MONTH($D84),"")</f>
        <v/>
      </c>
      <c r="AQ84" s="89" t="str">
        <f>+IF($AG84=AQ$22,MONTH($D84),"")</f>
        <v/>
      </c>
      <c r="AR84" s="89" t="str">
        <f>+IF($AG84=AR$22,MONTH($D84),"")</f>
        <v/>
      </c>
      <c r="AS84" s="89" t="str">
        <f>+IF($AG84=AS$22,MONTH($D84),"")</f>
        <v/>
      </c>
      <c r="AT84" s="89" t="str">
        <f>+IF($AG84=AT$22,MONTH($D84),"")</f>
        <v/>
      </c>
      <c r="AU84" s="89" t="str">
        <f>+IF($AG84=AU$22,MONTH($D84),"")</f>
        <v/>
      </c>
      <c r="AV84" s="89" t="str">
        <f>+IF($AG84=AV$22,MONTH($D84),"")</f>
        <v/>
      </c>
      <c r="AW84" s="86" t="str">
        <f>+IF($AG84=AW$22,MONTH($D84),"")</f>
        <v/>
      </c>
      <c r="AX84" s="86" t="str">
        <f>+IF($AG84=AX$22,MONTH($D84),"")</f>
        <v/>
      </c>
      <c r="AY84" s="89"/>
      <c r="AZ84" s="89"/>
      <c r="BA84" s="89"/>
      <c r="BB84" s="89"/>
      <c r="BC84" s="89"/>
      <c r="BD84" s="89"/>
      <c r="BE84" s="89"/>
      <c r="BF84" s="89"/>
      <c r="BG84" s="89"/>
      <c r="BH84" s="89"/>
      <c r="BI84" s="89"/>
      <c r="BJ84" s="89"/>
      <c r="BK84" s="89"/>
      <c r="BL84" s="89"/>
      <c r="BM84" s="89"/>
      <c r="BN84" s="89"/>
      <c r="BO84" s="89"/>
      <c r="BP84" s="89"/>
    </row>
    <row r="85" spans="1:68" s="56" customFormat="1" ht="46.5" hidden="1" customHeight="1">
      <c r="A85" s="204">
        <f>+IFERROR(VALUE(MID(AB85,4,4)),"")</f>
        <v>390</v>
      </c>
      <c r="B85" s="204">
        <f>VALUE(RIGHT(C85,LEN(C85)-2))</f>
        <v>2637</v>
      </c>
      <c r="C85" s="74" t="s">
        <v>503</v>
      </c>
      <c r="D85" s="75">
        <v>45905</v>
      </c>
      <c r="E85" s="70" t="s">
        <v>262</v>
      </c>
      <c r="F85" s="70" t="s">
        <v>270</v>
      </c>
      <c r="G85" s="68"/>
      <c r="H85" s="307" t="s">
        <v>494</v>
      </c>
      <c r="I85" s="69" t="s">
        <v>504</v>
      </c>
      <c r="J85" s="69"/>
      <c r="K85" s="68" t="s">
        <v>13</v>
      </c>
      <c r="L85" s="69" t="s">
        <v>120</v>
      </c>
      <c r="M85" s="71" t="s">
        <v>141</v>
      </c>
      <c r="N85" s="69" t="e" vm="1">
        <v>#VALUE!</v>
      </c>
      <c r="O85" s="84">
        <v>45910</v>
      </c>
      <c r="P85" s="72" t="s">
        <v>402</v>
      </c>
      <c r="Q85" s="72" t="s">
        <v>220</v>
      </c>
      <c r="R85" s="72" t="s">
        <v>221</v>
      </c>
      <c r="S85" s="146"/>
      <c r="T85" s="68" t="s">
        <v>3</v>
      </c>
      <c r="U85" s="87"/>
      <c r="V85" s="80">
        <v>45915</v>
      </c>
      <c r="W85" s="73">
        <v>1121</v>
      </c>
      <c r="X85" s="73">
        <v>51.064999999999998</v>
      </c>
      <c r="Y85" s="169">
        <f>IF(SUM(W85:W85)&gt;0,X85/SUM(W85:W85)*1000000,"N/A")</f>
        <v>45553.077609277432</v>
      </c>
      <c r="Z85" s="80"/>
      <c r="AA85" s="80"/>
      <c r="AB85" s="73" t="s">
        <v>505</v>
      </c>
      <c r="AC85" s="153"/>
      <c r="AD85" s="330"/>
      <c r="AE85" s="305"/>
      <c r="AF85" s="88"/>
      <c r="AG85" s="182">
        <f>YEAR(D85)</f>
        <v>2025</v>
      </c>
      <c r="AH85" s="86" t="str">
        <f>+IF(AG85=$AH$22,MONTH(V85),"")</f>
        <v/>
      </c>
      <c r="AI85" s="86">
        <f>+IF(AG85=$AI$22,MONTH(V85),"")</f>
        <v>9</v>
      </c>
      <c r="AJ85" s="86" t="str">
        <f>+IF(AG85=$AJ$22,MONTH(V85),"")</f>
        <v/>
      </c>
      <c r="AK85" s="86" t="str">
        <f>+IF(AG85=$AK$22,MONTH(V85),"")</f>
        <v/>
      </c>
      <c r="AL85" s="86" t="str">
        <f>+IF(AG85=$AL$22,MONTH(V85),"")</f>
        <v/>
      </c>
      <c r="AM85" s="86" t="str">
        <f>+IF($AG85=$AM$22,MONTH($D85),"")</f>
        <v/>
      </c>
      <c r="AN85" s="89" t="str">
        <f>+IF($AG85=AN$22,MONTH($D85),"")</f>
        <v/>
      </c>
      <c r="AO85" s="89" t="str">
        <f>+IF($AG85=AO$22,MONTH($D85),"")</f>
        <v/>
      </c>
      <c r="AP85" s="89" t="str">
        <f>+IF($AG85=AP$22,MONTH($D85),"")</f>
        <v/>
      </c>
      <c r="AQ85" s="89" t="str">
        <f>+IF($AG85=AQ$22,MONTH($D85),"")</f>
        <v/>
      </c>
      <c r="AR85" s="89" t="str">
        <f>+IF($AG85=AR$22,MONTH($D85),"")</f>
        <v/>
      </c>
      <c r="AS85" s="89" t="str">
        <f>+IF($AG85=AS$22,MONTH($D85),"")</f>
        <v/>
      </c>
      <c r="AT85" s="89" t="str">
        <f>+IF($AG85=AT$22,MONTH($D85),"")</f>
        <v/>
      </c>
      <c r="AU85" s="89" t="str">
        <f>+IF($AG85=AU$22,MONTH($D85),"")</f>
        <v/>
      </c>
      <c r="AV85" s="89" t="str">
        <f>+IF($AG85=AV$22,MONTH($D85),"")</f>
        <v/>
      </c>
      <c r="AW85" s="86" t="str">
        <f>+IF($AG85=AW$22,MONTH($D85),"")</f>
        <v/>
      </c>
      <c r="AX85" s="86" t="str">
        <f>+IF($AG85=AX$22,MONTH($D85),"")</f>
        <v/>
      </c>
      <c r="AY85" s="89"/>
      <c r="AZ85" s="89"/>
      <c r="BA85" s="89"/>
      <c r="BB85" s="89"/>
      <c r="BC85" s="89"/>
      <c r="BD85" s="89"/>
      <c r="BE85" s="89"/>
      <c r="BF85" s="89"/>
      <c r="BG85" s="89"/>
      <c r="BH85" s="89"/>
      <c r="BI85" s="89"/>
      <c r="BJ85" s="89"/>
      <c r="BK85" s="89"/>
      <c r="BL85" s="89"/>
      <c r="BM85" s="89"/>
      <c r="BN85" s="89"/>
      <c r="BO85" s="89"/>
      <c r="BP85" s="89"/>
    </row>
    <row r="86" spans="1:68" s="56" customFormat="1" ht="46.5" hidden="1" customHeight="1">
      <c r="A86" s="204">
        <f>+IFERROR(VALUE(MID(AB86,4,4)),"")</f>
        <v>390</v>
      </c>
      <c r="B86" s="204">
        <f>VALUE(RIGHT(C86,LEN(C86)-2))</f>
        <v>2636</v>
      </c>
      <c r="C86" s="74" t="s">
        <v>506</v>
      </c>
      <c r="D86" s="75">
        <v>45935</v>
      </c>
      <c r="E86" s="70" t="s">
        <v>262</v>
      </c>
      <c r="F86" s="70" t="s">
        <v>270</v>
      </c>
      <c r="G86" s="68"/>
      <c r="H86" s="307" t="s">
        <v>494</v>
      </c>
      <c r="I86" s="69" t="s">
        <v>507</v>
      </c>
      <c r="J86" s="69"/>
      <c r="K86" s="68" t="s">
        <v>13</v>
      </c>
      <c r="L86" s="69" t="s">
        <v>120</v>
      </c>
      <c r="M86" s="71" t="s">
        <v>141</v>
      </c>
      <c r="N86" s="69" t="e" vm="1">
        <v>#VALUE!</v>
      </c>
      <c r="O86" s="84">
        <v>45971</v>
      </c>
      <c r="P86" s="72" t="s">
        <v>402</v>
      </c>
      <c r="Q86" s="72" t="s">
        <v>220</v>
      </c>
      <c r="R86" s="72" t="s">
        <v>221</v>
      </c>
      <c r="S86" s="146"/>
      <c r="T86" s="68" t="s">
        <v>3</v>
      </c>
      <c r="U86" s="87"/>
      <c r="V86" s="80">
        <v>45976</v>
      </c>
      <c r="W86" s="73">
        <v>8927</v>
      </c>
      <c r="X86" s="73">
        <v>354.17</v>
      </c>
      <c r="Y86" s="169">
        <f>IF(SUM(W86:W86)&gt;0,X86/SUM(W86:W86)*1000000,"N/A")</f>
        <v>39674.022627982522</v>
      </c>
      <c r="Z86" s="80"/>
      <c r="AA86" s="80"/>
      <c r="AB86" s="73" t="s">
        <v>508</v>
      </c>
      <c r="AC86" s="153"/>
      <c r="AD86" s="330"/>
      <c r="AE86" s="305"/>
      <c r="AF86" s="88"/>
      <c r="AG86" s="182">
        <f>YEAR(D86)</f>
        <v>2025</v>
      </c>
      <c r="AH86" s="86" t="str">
        <f>+IF(AG86=$AH$22,MONTH(V86),"")</f>
        <v/>
      </c>
      <c r="AI86" s="86">
        <f>+IF(AG86=$AI$22,MONTH(V86),"")</f>
        <v>11</v>
      </c>
      <c r="AJ86" s="86" t="str">
        <f>+IF(AG86=$AJ$22,MONTH(V86),"")</f>
        <v/>
      </c>
      <c r="AK86" s="86" t="str">
        <f>+IF(AG86=$AK$22,MONTH(V86),"")</f>
        <v/>
      </c>
      <c r="AL86" s="86" t="str">
        <f>+IF(AG86=$AL$22,MONTH(V86),"")</f>
        <v/>
      </c>
      <c r="AM86" s="86" t="str">
        <f>+IF($AG86=$AM$22,MONTH($D86),"")</f>
        <v/>
      </c>
      <c r="AN86" s="89" t="str">
        <f>+IF($AG86=AN$22,MONTH($D86),"")</f>
        <v/>
      </c>
      <c r="AO86" s="89" t="str">
        <f>+IF($AG86=AO$22,MONTH($D86),"")</f>
        <v/>
      </c>
      <c r="AP86" s="89" t="str">
        <f>+IF($AG86=AP$22,MONTH($D86),"")</f>
        <v/>
      </c>
      <c r="AQ86" s="89" t="str">
        <f>+IF($AG86=AQ$22,MONTH($D86),"")</f>
        <v/>
      </c>
      <c r="AR86" s="89" t="str">
        <f>+IF($AG86=AR$22,MONTH($D86),"")</f>
        <v/>
      </c>
      <c r="AS86" s="89" t="str">
        <f>+IF($AG86=AS$22,MONTH($D86),"")</f>
        <v/>
      </c>
      <c r="AT86" s="89" t="str">
        <f>+IF($AG86=AT$22,MONTH($D86),"")</f>
        <v/>
      </c>
      <c r="AU86" s="89" t="str">
        <f>+IF($AG86=AU$22,MONTH($D86),"")</f>
        <v/>
      </c>
      <c r="AV86" s="89" t="str">
        <f>+IF($AG86=AV$22,MONTH($D86),"")</f>
        <v/>
      </c>
      <c r="AW86" s="86" t="str">
        <f>+IF($AG86=AW$22,MONTH($D86),"")</f>
        <v/>
      </c>
      <c r="AX86" s="86" t="str">
        <f>+IF($AG86=AX$22,MONTH($D86),"")</f>
        <v/>
      </c>
      <c r="AY86" s="89"/>
      <c r="AZ86" s="89"/>
      <c r="BA86" s="89"/>
      <c r="BB86" s="89"/>
      <c r="BC86" s="89"/>
      <c r="BD86" s="89"/>
      <c r="BE86" s="89"/>
      <c r="BF86" s="89"/>
      <c r="BG86" s="89"/>
      <c r="BH86" s="89"/>
      <c r="BI86" s="89"/>
      <c r="BJ86" s="89"/>
      <c r="BK86" s="89"/>
      <c r="BL86" s="89"/>
      <c r="BM86" s="89"/>
      <c r="BN86" s="89"/>
      <c r="BO86" s="89"/>
      <c r="BP86" s="89"/>
    </row>
    <row r="87" spans="1:68" s="56" customFormat="1" ht="46.5" hidden="1" customHeight="1">
      <c r="A87" s="204">
        <f>+IFERROR(VALUE(MID(AB87,4,4)),"")</f>
        <v>390</v>
      </c>
      <c r="B87" s="204">
        <f>VALUE(RIGHT(C87,LEN(C87)-2))</f>
        <v>2635</v>
      </c>
      <c r="C87" s="74" t="s">
        <v>509</v>
      </c>
      <c r="D87" s="75">
        <v>45874</v>
      </c>
      <c r="E87" s="70" t="s">
        <v>262</v>
      </c>
      <c r="F87" s="70" t="s">
        <v>270</v>
      </c>
      <c r="G87" s="68"/>
      <c r="H87" s="307" t="s">
        <v>494</v>
      </c>
      <c r="I87" s="69" t="s">
        <v>510</v>
      </c>
      <c r="J87" s="69"/>
      <c r="K87" s="68" t="s">
        <v>13</v>
      </c>
      <c r="L87" s="69" t="s">
        <v>120</v>
      </c>
      <c r="M87" s="71" t="s">
        <v>141</v>
      </c>
      <c r="N87" s="69" t="e" vm="1">
        <v>#VALUE!</v>
      </c>
      <c r="O87" s="84">
        <v>45884</v>
      </c>
      <c r="P87" s="72" t="s">
        <v>402</v>
      </c>
      <c r="Q87" s="72" t="s">
        <v>220</v>
      </c>
      <c r="R87" s="72" t="s">
        <v>221</v>
      </c>
      <c r="S87" s="146"/>
      <c r="T87" s="68" t="s">
        <v>3</v>
      </c>
      <c r="U87" s="87"/>
      <c r="V87" s="80">
        <v>45915</v>
      </c>
      <c r="W87" s="73">
        <v>198</v>
      </c>
      <c r="X87" s="73">
        <v>6.24</v>
      </c>
      <c r="Y87" s="169">
        <f>IF(SUM(W87:W87)&gt;0,X87/SUM(W87:W87)*1000000,"N/A")</f>
        <v>31515.151515151516</v>
      </c>
      <c r="Z87" s="80"/>
      <c r="AA87" s="80"/>
      <c r="AB87" s="73" t="s">
        <v>511</v>
      </c>
      <c r="AC87" s="153"/>
      <c r="AD87" s="330"/>
      <c r="AE87" s="305"/>
      <c r="AF87" s="88"/>
      <c r="AG87" s="182">
        <f>YEAR(D87)</f>
        <v>2025</v>
      </c>
      <c r="AH87" s="86" t="str">
        <f>+IF(AG87=$AH$22,MONTH(V87),"")</f>
        <v/>
      </c>
      <c r="AI87" s="86">
        <f>+IF(AG87=$AI$22,MONTH(V87),"")</f>
        <v>9</v>
      </c>
      <c r="AJ87" s="86" t="str">
        <f>+IF(AG87=$AJ$22,MONTH(V87),"")</f>
        <v/>
      </c>
      <c r="AK87" s="86" t="str">
        <f>+IF(AG87=$AK$22,MONTH(V87),"")</f>
        <v/>
      </c>
      <c r="AL87" s="86" t="str">
        <f>+IF(AG87=$AL$22,MONTH(V87),"")</f>
        <v/>
      </c>
      <c r="AM87" s="86" t="str">
        <f>+IF($AG87=$AM$22,MONTH($D87),"")</f>
        <v/>
      </c>
      <c r="AN87" s="89" t="str">
        <f>+IF($AG87=AN$22,MONTH($D87),"")</f>
        <v/>
      </c>
      <c r="AO87" s="89" t="str">
        <f>+IF($AG87=AO$22,MONTH($D87),"")</f>
        <v/>
      </c>
      <c r="AP87" s="89" t="str">
        <f>+IF($AG87=AP$22,MONTH($D87),"")</f>
        <v/>
      </c>
      <c r="AQ87" s="89" t="str">
        <f>+IF($AG87=AQ$22,MONTH($D87),"")</f>
        <v/>
      </c>
      <c r="AR87" s="89" t="str">
        <f>+IF($AG87=AR$22,MONTH($D87),"")</f>
        <v/>
      </c>
      <c r="AS87" s="89" t="str">
        <f>+IF($AG87=AS$22,MONTH($D87),"")</f>
        <v/>
      </c>
      <c r="AT87" s="89" t="str">
        <f>+IF($AG87=AT$22,MONTH($D87),"")</f>
        <v/>
      </c>
      <c r="AU87" s="89" t="str">
        <f>+IF($AG87=AU$22,MONTH($D87),"")</f>
        <v/>
      </c>
      <c r="AV87" s="89" t="str">
        <f>+IF($AG87=AV$22,MONTH($D87),"")</f>
        <v/>
      </c>
      <c r="AW87" s="86" t="str">
        <f>+IF($AG87=AW$22,MONTH($D87),"")</f>
        <v/>
      </c>
      <c r="AX87" s="86" t="str">
        <f>+IF($AG87=AX$22,MONTH($D87),"")</f>
        <v/>
      </c>
      <c r="AY87" s="89"/>
      <c r="AZ87" s="89"/>
      <c r="BA87" s="89"/>
      <c r="BB87" s="89"/>
      <c r="BC87" s="89"/>
      <c r="BD87" s="89"/>
      <c r="BE87" s="89"/>
      <c r="BF87" s="89"/>
      <c r="BG87" s="89"/>
      <c r="BH87" s="89"/>
      <c r="BI87" s="89"/>
      <c r="BJ87" s="89"/>
      <c r="BK87" s="89"/>
      <c r="BL87" s="89"/>
      <c r="BM87" s="89"/>
      <c r="BN87" s="89"/>
      <c r="BO87" s="89"/>
      <c r="BP87" s="89"/>
    </row>
    <row r="88" spans="1:68" s="56" customFormat="1" ht="46.5" hidden="1" customHeight="1">
      <c r="A88" s="204">
        <f>+IFERROR(VALUE(MID(AB88,4,4)),"")</f>
        <v>390</v>
      </c>
      <c r="B88" s="204">
        <f>VALUE(RIGHT(C88,LEN(C88)-2))</f>
        <v>2634</v>
      </c>
      <c r="C88" s="74" t="s">
        <v>512</v>
      </c>
      <c r="D88" s="75">
        <v>45935</v>
      </c>
      <c r="E88" s="70" t="s">
        <v>262</v>
      </c>
      <c r="F88" s="70" t="s">
        <v>270</v>
      </c>
      <c r="G88" s="68"/>
      <c r="H88" s="307" t="s">
        <v>494</v>
      </c>
      <c r="I88" s="69" t="s">
        <v>513</v>
      </c>
      <c r="J88" s="69"/>
      <c r="K88" s="68" t="s">
        <v>13</v>
      </c>
      <c r="L88" s="69" t="s">
        <v>120</v>
      </c>
      <c r="M88" s="71" t="s">
        <v>141</v>
      </c>
      <c r="N88" s="69" t="e" vm="1">
        <v>#VALUE!</v>
      </c>
      <c r="O88" s="84">
        <v>45945</v>
      </c>
      <c r="P88" s="72" t="s">
        <v>402</v>
      </c>
      <c r="Q88" s="72" t="s">
        <v>220</v>
      </c>
      <c r="R88" s="72" t="s">
        <v>221</v>
      </c>
      <c r="S88" s="146"/>
      <c r="T88" s="68" t="s">
        <v>3</v>
      </c>
      <c r="U88" s="87"/>
      <c r="V88" s="80">
        <v>45950</v>
      </c>
      <c r="W88" s="73">
        <v>80</v>
      </c>
      <c r="X88" s="73">
        <v>3.5630000000000002</v>
      </c>
      <c r="Y88" s="169">
        <f>IF(SUM(W88:W88)&gt;0,X88/SUM(W88:W88)*1000000,"N/A")</f>
        <v>44537.5</v>
      </c>
      <c r="Z88" s="80"/>
      <c r="AA88" s="80"/>
      <c r="AB88" s="73" t="s">
        <v>514</v>
      </c>
      <c r="AC88" s="153"/>
      <c r="AD88" s="330"/>
      <c r="AE88" s="305"/>
      <c r="AF88" s="88"/>
      <c r="AG88" s="182">
        <f>YEAR(D88)</f>
        <v>2025</v>
      </c>
      <c r="AH88" s="86" t="str">
        <f>+IF(AG88=$AH$22,MONTH(V88),"")</f>
        <v/>
      </c>
      <c r="AI88" s="86">
        <f>+IF(AG88=$AI$22,MONTH(V88),"")</f>
        <v>10</v>
      </c>
      <c r="AJ88" s="86" t="str">
        <f>+IF(AG88=$AJ$22,MONTH(V88),"")</f>
        <v/>
      </c>
      <c r="AK88" s="86" t="str">
        <f>+IF(AG88=$AK$22,MONTH(V88),"")</f>
        <v/>
      </c>
      <c r="AL88" s="86" t="str">
        <f>+IF(AG88=$AL$22,MONTH(V88),"")</f>
        <v/>
      </c>
      <c r="AM88" s="86" t="str">
        <f>+IF($AG88=$AM$22,MONTH($D88),"")</f>
        <v/>
      </c>
      <c r="AN88" s="89" t="str">
        <f>+IF($AG88=AN$22,MONTH($D88),"")</f>
        <v/>
      </c>
      <c r="AO88" s="89" t="str">
        <f>+IF($AG88=AO$22,MONTH($D88),"")</f>
        <v/>
      </c>
      <c r="AP88" s="89" t="str">
        <f>+IF($AG88=AP$22,MONTH($D88),"")</f>
        <v/>
      </c>
      <c r="AQ88" s="89" t="str">
        <f>+IF($AG88=AQ$22,MONTH($D88),"")</f>
        <v/>
      </c>
      <c r="AR88" s="89" t="str">
        <f>+IF($AG88=AR$22,MONTH($D88),"")</f>
        <v/>
      </c>
      <c r="AS88" s="89" t="str">
        <f>+IF($AG88=AS$22,MONTH($D88),"")</f>
        <v/>
      </c>
      <c r="AT88" s="89" t="str">
        <f>+IF($AG88=AT$22,MONTH($D88),"")</f>
        <v/>
      </c>
      <c r="AU88" s="89" t="str">
        <f>+IF($AG88=AU$22,MONTH($D88),"")</f>
        <v/>
      </c>
      <c r="AV88" s="89" t="str">
        <f>+IF($AG88=AV$22,MONTH($D88),"")</f>
        <v/>
      </c>
      <c r="AW88" s="86" t="str">
        <f>+IF($AG88=AW$22,MONTH($D88),"")</f>
        <v/>
      </c>
      <c r="AX88" s="86" t="str">
        <f>+IF($AG88=AX$22,MONTH($D88),"")</f>
        <v/>
      </c>
      <c r="AY88" s="89"/>
      <c r="AZ88" s="89"/>
      <c r="BA88" s="89"/>
      <c r="BB88" s="89"/>
      <c r="BC88" s="89"/>
      <c r="BD88" s="89"/>
      <c r="BE88" s="89"/>
      <c r="BF88" s="89"/>
      <c r="BG88" s="89"/>
      <c r="BH88" s="89"/>
      <c r="BI88" s="89"/>
      <c r="BJ88" s="89"/>
      <c r="BK88" s="89"/>
      <c r="BL88" s="89"/>
      <c r="BM88" s="89"/>
      <c r="BN88" s="89"/>
      <c r="BO88" s="89"/>
      <c r="BP88" s="89"/>
    </row>
    <row r="89" spans="1:68" s="56" customFormat="1" ht="46.5" hidden="1" customHeight="1">
      <c r="A89" s="204">
        <f>+IFERROR(VALUE(MID(AB89,4,4)),"")</f>
        <v>390</v>
      </c>
      <c r="B89" s="204">
        <f>VALUE(RIGHT(C89,LEN(C89)-2))</f>
        <v>2633</v>
      </c>
      <c r="C89" s="74" t="s">
        <v>515</v>
      </c>
      <c r="D89" s="75">
        <v>45935</v>
      </c>
      <c r="E89" s="70" t="s">
        <v>262</v>
      </c>
      <c r="F89" s="70" t="s">
        <v>270</v>
      </c>
      <c r="G89" s="68"/>
      <c r="H89" s="307" t="s">
        <v>494</v>
      </c>
      <c r="I89" s="69" t="s">
        <v>516</v>
      </c>
      <c r="J89" s="69"/>
      <c r="K89" s="68" t="s">
        <v>13</v>
      </c>
      <c r="L89" s="69" t="s">
        <v>120</v>
      </c>
      <c r="M89" s="71" t="s">
        <v>141</v>
      </c>
      <c r="N89" s="69" t="e" vm="1">
        <v>#VALUE!</v>
      </c>
      <c r="O89" s="84">
        <v>45945</v>
      </c>
      <c r="P89" s="72" t="s">
        <v>402</v>
      </c>
      <c r="Q89" s="72" t="s">
        <v>220</v>
      </c>
      <c r="R89" s="72" t="s">
        <v>221</v>
      </c>
      <c r="S89" s="146"/>
      <c r="T89" s="68" t="s">
        <v>3</v>
      </c>
      <c r="U89" s="87"/>
      <c r="V89" s="80">
        <v>45950</v>
      </c>
      <c r="W89" s="73">
        <v>12</v>
      </c>
      <c r="X89" s="73">
        <v>0.56499999999999995</v>
      </c>
      <c r="Y89" s="169">
        <f>IF(SUM(W89:W89)&gt;0,X89/SUM(W89:W89)*1000000,"N/A")</f>
        <v>47083.333333333328</v>
      </c>
      <c r="Z89" s="80"/>
      <c r="AA89" s="80"/>
      <c r="AB89" s="73" t="s">
        <v>517</v>
      </c>
      <c r="AC89" s="153"/>
      <c r="AD89" s="330"/>
      <c r="AE89" s="305"/>
      <c r="AF89" s="88"/>
      <c r="AG89" s="182">
        <f>YEAR(D89)</f>
        <v>2025</v>
      </c>
      <c r="AH89" s="86" t="str">
        <f>+IF(AG89=$AH$22,MONTH(V89),"")</f>
        <v/>
      </c>
      <c r="AI89" s="86">
        <f>+IF(AG89=$AI$22,MONTH(V89),"")</f>
        <v>10</v>
      </c>
      <c r="AJ89" s="86" t="str">
        <f>+IF(AG89=$AJ$22,MONTH(V89),"")</f>
        <v/>
      </c>
      <c r="AK89" s="86" t="str">
        <f>+IF(AG89=$AK$22,MONTH(V89),"")</f>
        <v/>
      </c>
      <c r="AL89" s="86" t="str">
        <f>+IF(AG89=$AL$22,MONTH(V89),"")</f>
        <v/>
      </c>
      <c r="AM89" s="86" t="str">
        <f>+IF($AG89=$AM$22,MONTH($D89),"")</f>
        <v/>
      </c>
      <c r="AN89" s="89" t="str">
        <f>+IF($AG89=AN$22,MONTH($D89),"")</f>
        <v/>
      </c>
      <c r="AO89" s="89" t="str">
        <f>+IF($AG89=AO$22,MONTH($D89),"")</f>
        <v/>
      </c>
      <c r="AP89" s="89" t="str">
        <f>+IF($AG89=AP$22,MONTH($D89),"")</f>
        <v/>
      </c>
      <c r="AQ89" s="89" t="str">
        <f>+IF($AG89=AQ$22,MONTH($D89),"")</f>
        <v/>
      </c>
      <c r="AR89" s="89" t="str">
        <f>+IF($AG89=AR$22,MONTH($D89),"")</f>
        <v/>
      </c>
      <c r="AS89" s="89" t="str">
        <f>+IF($AG89=AS$22,MONTH($D89),"")</f>
        <v/>
      </c>
      <c r="AT89" s="89" t="str">
        <f>+IF($AG89=AT$22,MONTH($D89),"")</f>
        <v/>
      </c>
      <c r="AU89" s="89" t="str">
        <f>+IF($AG89=AU$22,MONTH($D89),"")</f>
        <v/>
      </c>
      <c r="AV89" s="89" t="str">
        <f>+IF($AG89=AV$22,MONTH($D89),"")</f>
        <v/>
      </c>
      <c r="AW89" s="86" t="str">
        <f>+IF($AG89=AW$22,MONTH($D89),"")</f>
        <v/>
      </c>
      <c r="AX89" s="86" t="str">
        <f>+IF($AG89=AX$22,MONTH($D89),"")</f>
        <v/>
      </c>
      <c r="AY89" s="89"/>
      <c r="AZ89" s="89"/>
      <c r="BA89" s="89"/>
      <c r="BB89" s="89"/>
      <c r="BC89" s="89"/>
      <c r="BD89" s="89"/>
      <c r="BE89" s="89"/>
      <c r="BF89" s="89"/>
      <c r="BG89" s="89"/>
      <c r="BH89" s="89"/>
      <c r="BI89" s="89"/>
      <c r="BJ89" s="89"/>
      <c r="BK89" s="89"/>
      <c r="BL89" s="89"/>
      <c r="BM89" s="89"/>
      <c r="BN89" s="89"/>
      <c r="BO89" s="89"/>
      <c r="BP89" s="89"/>
    </row>
    <row r="90" spans="1:68" s="56" customFormat="1" ht="46.5" hidden="1" customHeight="1">
      <c r="A90" s="204">
        <f>+IFERROR(VALUE(MID(AB90,4,4)),"")</f>
        <v>390</v>
      </c>
      <c r="B90" s="204">
        <f>VALUE(RIGHT(C90,LEN(C90)-2))</f>
        <v>2632</v>
      </c>
      <c r="C90" s="74" t="s">
        <v>518</v>
      </c>
      <c r="D90" s="75">
        <v>45905</v>
      </c>
      <c r="E90" s="70" t="s">
        <v>262</v>
      </c>
      <c r="F90" s="70" t="s">
        <v>270</v>
      </c>
      <c r="G90" s="68"/>
      <c r="H90" s="307" t="s">
        <v>494</v>
      </c>
      <c r="I90" s="69" t="s">
        <v>519</v>
      </c>
      <c r="J90" s="69"/>
      <c r="K90" s="68" t="s">
        <v>13</v>
      </c>
      <c r="L90" s="69" t="s">
        <v>120</v>
      </c>
      <c r="M90" s="71" t="s">
        <v>141</v>
      </c>
      <c r="N90" s="69" t="e" vm="1">
        <v>#VALUE!</v>
      </c>
      <c r="O90" s="84">
        <v>45915</v>
      </c>
      <c r="P90" s="72" t="s">
        <v>402</v>
      </c>
      <c r="Q90" s="72" t="s">
        <v>220</v>
      </c>
      <c r="R90" s="72" t="s">
        <v>221</v>
      </c>
      <c r="S90" s="146"/>
      <c r="T90" s="68" t="s">
        <v>3</v>
      </c>
      <c r="U90" s="87"/>
      <c r="V90" s="80">
        <v>45920</v>
      </c>
      <c r="W90" s="73">
        <v>954</v>
      </c>
      <c r="X90" s="73">
        <v>34.819000000000003</v>
      </c>
      <c r="Y90" s="169">
        <f>IF(SUM(W90:W90)&gt;0,X90/SUM(W90:W90)*1000000,"N/A")</f>
        <v>36497.903563941305</v>
      </c>
      <c r="Z90" s="80"/>
      <c r="AA90" s="80"/>
      <c r="AB90" s="73" t="s">
        <v>520</v>
      </c>
      <c r="AC90" s="153"/>
      <c r="AD90" s="330"/>
      <c r="AE90" s="305"/>
      <c r="AF90" s="88"/>
      <c r="AG90" s="182">
        <f>YEAR(D90)</f>
        <v>2025</v>
      </c>
      <c r="AH90" s="86" t="str">
        <f>+IF(AG90=$AH$22,MONTH(V90),"")</f>
        <v/>
      </c>
      <c r="AI90" s="86">
        <f>+IF(AG90=$AI$22,MONTH(V90),"")</f>
        <v>9</v>
      </c>
      <c r="AJ90" s="86" t="str">
        <f>+IF(AG90=$AJ$22,MONTH(V90),"")</f>
        <v/>
      </c>
      <c r="AK90" s="86" t="str">
        <f>+IF(AG90=$AK$22,MONTH(V90),"")</f>
        <v/>
      </c>
      <c r="AL90" s="86" t="str">
        <f>+IF(AG90=$AL$22,MONTH(V90),"")</f>
        <v/>
      </c>
      <c r="AM90" s="86" t="str">
        <f>+IF($AG90=$AM$22,MONTH($D90),"")</f>
        <v/>
      </c>
      <c r="AN90" s="89" t="str">
        <f>+IF($AG90=AN$22,MONTH($D90),"")</f>
        <v/>
      </c>
      <c r="AO90" s="89" t="str">
        <f>+IF($AG90=AO$22,MONTH($D90),"")</f>
        <v/>
      </c>
      <c r="AP90" s="89" t="str">
        <f>+IF($AG90=AP$22,MONTH($D90),"")</f>
        <v/>
      </c>
      <c r="AQ90" s="89" t="str">
        <f>+IF($AG90=AQ$22,MONTH($D90),"")</f>
        <v/>
      </c>
      <c r="AR90" s="89" t="str">
        <f>+IF($AG90=AR$22,MONTH($D90),"")</f>
        <v/>
      </c>
      <c r="AS90" s="89" t="str">
        <f>+IF($AG90=AS$22,MONTH($D90),"")</f>
        <v/>
      </c>
      <c r="AT90" s="89" t="str">
        <f>+IF($AG90=AT$22,MONTH($D90),"")</f>
        <v/>
      </c>
      <c r="AU90" s="89" t="str">
        <f>+IF($AG90=AU$22,MONTH($D90),"")</f>
        <v/>
      </c>
      <c r="AV90" s="89" t="str">
        <f>+IF($AG90=AV$22,MONTH($D90),"")</f>
        <v/>
      </c>
      <c r="AW90" s="86" t="str">
        <f>+IF($AG90=AW$22,MONTH($D90),"")</f>
        <v/>
      </c>
      <c r="AX90" s="86" t="str">
        <f>+IF($AG90=AX$22,MONTH($D90),"")</f>
        <v/>
      </c>
      <c r="AY90" s="89"/>
      <c r="AZ90" s="89"/>
      <c r="BA90" s="89"/>
      <c r="BB90" s="89"/>
      <c r="BC90" s="89"/>
      <c r="BD90" s="89"/>
      <c r="BE90" s="89"/>
      <c r="BF90" s="89"/>
      <c r="BG90" s="89"/>
      <c r="BH90" s="89"/>
      <c r="BI90" s="89"/>
      <c r="BJ90" s="89"/>
      <c r="BK90" s="89"/>
      <c r="BL90" s="89"/>
      <c r="BM90" s="89"/>
      <c r="BN90" s="89"/>
      <c r="BO90" s="89"/>
      <c r="BP90" s="89"/>
    </row>
    <row r="91" spans="1:68" s="56" customFormat="1" ht="46.5" hidden="1" customHeight="1">
      <c r="A91" s="204">
        <f>+IFERROR(VALUE(MID(AB91,4,4)),"")</f>
        <v>390</v>
      </c>
      <c r="B91" s="204">
        <f>VALUE(RIGHT(C91,LEN(C91)-2))</f>
        <v>2631</v>
      </c>
      <c r="C91" s="74" t="s">
        <v>521</v>
      </c>
      <c r="D91" s="75">
        <v>45935</v>
      </c>
      <c r="E91" s="70" t="s">
        <v>262</v>
      </c>
      <c r="F91" s="70" t="s">
        <v>270</v>
      </c>
      <c r="G91" s="68"/>
      <c r="H91" s="307" t="s">
        <v>494</v>
      </c>
      <c r="I91" s="69" t="s">
        <v>522</v>
      </c>
      <c r="J91" s="69"/>
      <c r="K91" s="68" t="s">
        <v>13</v>
      </c>
      <c r="L91" s="69" t="s">
        <v>120</v>
      </c>
      <c r="M91" s="71" t="s">
        <v>141</v>
      </c>
      <c r="N91" s="69" t="e" vm="1">
        <v>#VALUE!</v>
      </c>
      <c r="O91" s="84">
        <v>45945</v>
      </c>
      <c r="P91" s="72" t="s">
        <v>402</v>
      </c>
      <c r="Q91" s="72" t="s">
        <v>220</v>
      </c>
      <c r="R91" s="72" t="s">
        <v>221</v>
      </c>
      <c r="S91" s="146"/>
      <c r="T91" s="68" t="s">
        <v>3</v>
      </c>
      <c r="U91" s="87"/>
      <c r="V91" s="80">
        <v>45950</v>
      </c>
      <c r="W91" s="73">
        <v>344</v>
      </c>
      <c r="X91" s="73">
        <v>14.166</v>
      </c>
      <c r="Y91" s="169">
        <f>IF(SUM(W91:W91)&gt;0,X91/SUM(W91:W91)*1000000,"N/A")</f>
        <v>41180.232558139542</v>
      </c>
      <c r="Z91" s="80"/>
      <c r="AA91" s="80"/>
      <c r="AB91" s="73" t="s">
        <v>523</v>
      </c>
      <c r="AC91" s="153"/>
      <c r="AD91" s="330"/>
      <c r="AE91" s="305"/>
      <c r="AF91" s="88"/>
      <c r="AG91" s="182">
        <f>YEAR(D91)</f>
        <v>2025</v>
      </c>
      <c r="AH91" s="86" t="str">
        <f>+IF(AG91=$AH$22,MONTH(V91),"")</f>
        <v/>
      </c>
      <c r="AI91" s="86">
        <f>+IF(AG91=$AI$22,MONTH(V91),"")</f>
        <v>10</v>
      </c>
      <c r="AJ91" s="86" t="str">
        <f>+IF(AG91=$AJ$22,MONTH(V91),"")</f>
        <v/>
      </c>
      <c r="AK91" s="86" t="str">
        <f>+IF(AG91=$AK$22,MONTH(V91),"")</f>
        <v/>
      </c>
      <c r="AL91" s="86" t="str">
        <f>+IF(AG91=$AL$22,MONTH(V91),"")</f>
        <v/>
      </c>
      <c r="AM91" s="86" t="str">
        <f>+IF($AG91=$AM$22,MONTH($D91),"")</f>
        <v/>
      </c>
      <c r="AN91" s="89" t="str">
        <f>+IF($AG91=AN$22,MONTH($D91),"")</f>
        <v/>
      </c>
      <c r="AO91" s="89" t="str">
        <f>+IF($AG91=AO$22,MONTH($D91),"")</f>
        <v/>
      </c>
      <c r="AP91" s="89" t="str">
        <f>+IF($AG91=AP$22,MONTH($D91),"")</f>
        <v/>
      </c>
      <c r="AQ91" s="89" t="str">
        <f>+IF($AG91=AQ$22,MONTH($D91),"")</f>
        <v/>
      </c>
      <c r="AR91" s="89" t="str">
        <f>+IF($AG91=AR$22,MONTH($D91),"")</f>
        <v/>
      </c>
      <c r="AS91" s="89" t="str">
        <f>+IF($AG91=AS$22,MONTH($D91),"")</f>
        <v/>
      </c>
      <c r="AT91" s="89" t="str">
        <f>+IF($AG91=AT$22,MONTH($D91),"")</f>
        <v/>
      </c>
      <c r="AU91" s="89" t="str">
        <f>+IF($AG91=AU$22,MONTH($D91),"")</f>
        <v/>
      </c>
      <c r="AV91" s="89" t="str">
        <f>+IF($AG91=AV$22,MONTH($D91),"")</f>
        <v/>
      </c>
      <c r="AW91" s="86" t="str">
        <f>+IF($AG91=AW$22,MONTH($D91),"")</f>
        <v/>
      </c>
      <c r="AX91" s="86" t="str">
        <f>+IF($AG91=AX$22,MONTH($D91),"")</f>
        <v/>
      </c>
      <c r="AY91" s="89"/>
      <c r="AZ91" s="89"/>
      <c r="BA91" s="89"/>
      <c r="BB91" s="89"/>
      <c r="BC91" s="89"/>
      <c r="BD91" s="89"/>
      <c r="BE91" s="89"/>
      <c r="BF91" s="89"/>
      <c r="BG91" s="89"/>
      <c r="BH91" s="89"/>
      <c r="BI91" s="89"/>
      <c r="BJ91" s="89"/>
      <c r="BK91" s="89"/>
      <c r="BL91" s="89"/>
      <c r="BM91" s="89"/>
      <c r="BN91" s="89"/>
      <c r="BO91" s="89"/>
      <c r="BP91" s="89"/>
    </row>
    <row r="92" spans="1:68" s="56" customFormat="1" ht="46.5" hidden="1" customHeight="1">
      <c r="A92" s="204">
        <f>+IFERROR(VALUE(MID(AB92,4,4)),"")</f>
        <v>390</v>
      </c>
      <c r="B92" s="204">
        <f>VALUE(RIGHT(C92,LEN(C92)-2))</f>
        <v>2630</v>
      </c>
      <c r="C92" s="74" t="s">
        <v>524</v>
      </c>
      <c r="D92" s="75">
        <v>45905</v>
      </c>
      <c r="E92" s="70" t="s">
        <v>262</v>
      </c>
      <c r="F92" s="70" t="s">
        <v>270</v>
      </c>
      <c r="G92" s="68"/>
      <c r="H92" s="307" t="s">
        <v>494</v>
      </c>
      <c r="I92" s="69" t="s">
        <v>525</v>
      </c>
      <c r="J92" s="69"/>
      <c r="K92" s="68" t="s">
        <v>13</v>
      </c>
      <c r="L92" s="69" t="s">
        <v>120</v>
      </c>
      <c r="M92" s="71" t="s">
        <v>141</v>
      </c>
      <c r="N92" s="69" t="e" vm="1">
        <v>#VALUE!</v>
      </c>
      <c r="O92" s="84">
        <v>45915</v>
      </c>
      <c r="P92" s="72" t="s">
        <v>402</v>
      </c>
      <c r="Q92" s="72" t="s">
        <v>220</v>
      </c>
      <c r="R92" s="72" t="s">
        <v>221</v>
      </c>
      <c r="S92" s="146"/>
      <c r="T92" s="68" t="s">
        <v>3</v>
      </c>
      <c r="U92" s="87"/>
      <c r="V92" s="80">
        <v>45920</v>
      </c>
      <c r="W92" s="73"/>
      <c r="X92" s="73">
        <v>292.13600000000002</v>
      </c>
      <c r="Y92" s="169" t="str">
        <f>IF(SUM(W92:W92)&gt;0,X92/SUM(W92:W92)*1000000,"N/A")</f>
        <v>N/A</v>
      </c>
      <c r="Z92" s="80"/>
      <c r="AA92" s="80"/>
      <c r="AB92" s="73" t="s">
        <v>526</v>
      </c>
      <c r="AC92" s="153"/>
      <c r="AD92" s="330"/>
      <c r="AE92" s="305"/>
      <c r="AF92" s="88"/>
      <c r="AG92" s="182">
        <f>YEAR(D92)</f>
        <v>2025</v>
      </c>
      <c r="AH92" s="86" t="str">
        <f>+IF(AG92=$AH$22,MONTH(V92),"")</f>
        <v/>
      </c>
      <c r="AI92" s="86">
        <f>+IF(AG92=$AI$22,MONTH(V92),"")</f>
        <v>9</v>
      </c>
      <c r="AJ92" s="86" t="str">
        <f>+IF(AG92=$AJ$22,MONTH(V92),"")</f>
        <v/>
      </c>
      <c r="AK92" s="86" t="str">
        <f>+IF(AG92=$AK$22,MONTH(V92),"")</f>
        <v/>
      </c>
      <c r="AL92" s="86" t="str">
        <f>+IF(AG92=$AL$22,MONTH(V92),"")</f>
        <v/>
      </c>
      <c r="AM92" s="86" t="str">
        <f>+IF($AG92=$AM$22,MONTH($D92),"")</f>
        <v/>
      </c>
      <c r="AN92" s="89" t="str">
        <f>+IF($AG92=AN$22,MONTH($D92),"")</f>
        <v/>
      </c>
      <c r="AO92" s="89" t="str">
        <f>+IF($AG92=AO$22,MONTH($D92),"")</f>
        <v/>
      </c>
      <c r="AP92" s="89" t="str">
        <f>+IF($AG92=AP$22,MONTH($D92),"")</f>
        <v/>
      </c>
      <c r="AQ92" s="89" t="str">
        <f>+IF($AG92=AQ$22,MONTH($D92),"")</f>
        <v/>
      </c>
      <c r="AR92" s="89" t="str">
        <f>+IF($AG92=AR$22,MONTH($D92),"")</f>
        <v/>
      </c>
      <c r="AS92" s="89" t="str">
        <f>+IF($AG92=AS$22,MONTH($D92),"")</f>
        <v/>
      </c>
      <c r="AT92" s="89" t="str">
        <f>+IF($AG92=AT$22,MONTH($D92),"")</f>
        <v/>
      </c>
      <c r="AU92" s="89" t="str">
        <f>+IF($AG92=AU$22,MONTH($D92),"")</f>
        <v/>
      </c>
      <c r="AV92" s="89" t="str">
        <f>+IF($AG92=AV$22,MONTH($D92),"")</f>
        <v/>
      </c>
      <c r="AW92" s="86" t="str">
        <f>+IF($AG92=AW$22,MONTH($D92),"")</f>
        <v/>
      </c>
      <c r="AX92" s="86" t="str">
        <f>+IF($AG92=AX$22,MONTH($D92),"")</f>
        <v/>
      </c>
      <c r="AY92" s="89"/>
      <c r="AZ92" s="89"/>
      <c r="BA92" s="89"/>
      <c r="BB92" s="89"/>
      <c r="BC92" s="89"/>
      <c r="BD92" s="89"/>
      <c r="BE92" s="89"/>
      <c r="BF92" s="89"/>
      <c r="BG92" s="89"/>
      <c r="BH92" s="89"/>
      <c r="BI92" s="89"/>
      <c r="BJ92" s="89"/>
      <c r="BK92" s="89"/>
      <c r="BL92" s="89"/>
      <c r="BM92" s="89"/>
      <c r="BN92" s="89"/>
      <c r="BO92" s="89"/>
      <c r="BP92" s="89"/>
    </row>
    <row r="93" spans="1:68" s="56" customFormat="1" ht="46.5" hidden="1" customHeight="1">
      <c r="A93" s="204">
        <f>+IFERROR(VALUE(MID(AB93,4,4)),"")</f>
        <v>390</v>
      </c>
      <c r="B93" s="204">
        <f>VALUE(RIGHT(C93,LEN(C93)-2))</f>
        <v>2629</v>
      </c>
      <c r="C93" s="74" t="s">
        <v>527</v>
      </c>
      <c r="D93" s="75">
        <v>45843</v>
      </c>
      <c r="E93" s="70" t="s">
        <v>262</v>
      </c>
      <c r="F93" s="70" t="s">
        <v>270</v>
      </c>
      <c r="G93" s="68"/>
      <c r="H93" s="307" t="s">
        <v>494</v>
      </c>
      <c r="I93" s="69" t="s">
        <v>528</v>
      </c>
      <c r="J93" s="69"/>
      <c r="K93" s="68" t="s">
        <v>13</v>
      </c>
      <c r="L93" s="69" t="s">
        <v>120</v>
      </c>
      <c r="M93" s="71" t="s">
        <v>141</v>
      </c>
      <c r="N93" s="69" t="e" vm="1">
        <v>#VALUE!</v>
      </c>
      <c r="O93" s="84">
        <v>45853</v>
      </c>
      <c r="P93" s="72" t="s">
        <v>402</v>
      </c>
      <c r="Q93" s="72" t="s">
        <v>220</v>
      </c>
      <c r="R93" s="72" t="s">
        <v>221</v>
      </c>
      <c r="S93" s="146"/>
      <c r="T93" s="68" t="s">
        <v>3</v>
      </c>
      <c r="U93" s="87"/>
      <c r="V93" s="80">
        <v>45858</v>
      </c>
      <c r="W93" s="73">
        <v>150</v>
      </c>
      <c r="X93" s="73">
        <v>6.63</v>
      </c>
      <c r="Y93" s="169">
        <f>IF(SUM(W93:W93)&gt;0,X93/SUM(W93:W93)*1000000,"N/A")</f>
        <v>44199.999999999993</v>
      </c>
      <c r="Z93" s="80"/>
      <c r="AA93" s="80"/>
      <c r="AB93" s="73" t="s">
        <v>529</v>
      </c>
      <c r="AC93" s="153"/>
      <c r="AD93" s="330"/>
      <c r="AE93" s="305"/>
      <c r="AF93" s="88"/>
      <c r="AG93" s="182">
        <f>YEAR(D93)</f>
        <v>2025</v>
      </c>
      <c r="AH93" s="86" t="str">
        <f>+IF(AG93=$AH$22,MONTH(V93),"")</f>
        <v/>
      </c>
      <c r="AI93" s="86">
        <f>+IF(AG93=$AI$22,MONTH(V93),"")</f>
        <v>7</v>
      </c>
      <c r="AJ93" s="86" t="str">
        <f>+IF(AG93=$AJ$22,MONTH(V93),"")</f>
        <v/>
      </c>
      <c r="AK93" s="86" t="str">
        <f>+IF(AG93=$AK$22,MONTH(V93),"")</f>
        <v/>
      </c>
      <c r="AL93" s="86" t="str">
        <f>+IF(AG93=$AL$22,MONTH(V93),"")</f>
        <v/>
      </c>
      <c r="AM93" s="86" t="str">
        <f>+IF($AG93=$AM$22,MONTH($D93),"")</f>
        <v/>
      </c>
      <c r="AN93" s="89" t="str">
        <f>+IF($AG93=AN$22,MONTH($D93),"")</f>
        <v/>
      </c>
      <c r="AO93" s="89" t="str">
        <f>+IF($AG93=AO$22,MONTH($D93),"")</f>
        <v/>
      </c>
      <c r="AP93" s="89" t="str">
        <f>+IF($AG93=AP$22,MONTH($D93),"")</f>
        <v/>
      </c>
      <c r="AQ93" s="89" t="str">
        <f>+IF($AG93=AQ$22,MONTH($D93),"")</f>
        <v/>
      </c>
      <c r="AR93" s="89" t="str">
        <f>+IF($AG93=AR$22,MONTH($D93),"")</f>
        <v/>
      </c>
      <c r="AS93" s="89" t="str">
        <f>+IF($AG93=AS$22,MONTH($D93),"")</f>
        <v/>
      </c>
      <c r="AT93" s="89" t="str">
        <f>+IF($AG93=AT$22,MONTH($D93),"")</f>
        <v/>
      </c>
      <c r="AU93" s="89" t="str">
        <f>+IF($AG93=AU$22,MONTH($D93),"")</f>
        <v/>
      </c>
      <c r="AV93" s="89" t="str">
        <f>+IF($AG93=AV$22,MONTH($D93),"")</f>
        <v/>
      </c>
      <c r="AW93" s="86" t="str">
        <f>+IF($AG93=AW$22,MONTH($D93),"")</f>
        <v/>
      </c>
      <c r="AX93" s="86" t="str">
        <f>+IF($AG93=AX$22,MONTH($D93),"")</f>
        <v/>
      </c>
      <c r="AY93" s="89"/>
      <c r="AZ93" s="89"/>
      <c r="BA93" s="89"/>
      <c r="BB93" s="89"/>
      <c r="BC93" s="89"/>
      <c r="BD93" s="89"/>
      <c r="BE93" s="89"/>
      <c r="BF93" s="89"/>
      <c r="BG93" s="89"/>
      <c r="BH93" s="89"/>
      <c r="BI93" s="89"/>
      <c r="BJ93" s="89"/>
      <c r="BK93" s="89"/>
      <c r="BL93" s="89"/>
      <c r="BM93" s="89"/>
      <c r="BN93" s="89"/>
      <c r="BO93" s="89"/>
      <c r="BP93" s="89"/>
    </row>
    <row r="94" spans="1:68" s="56" customFormat="1" ht="46.5" hidden="1" customHeight="1">
      <c r="A94" s="204">
        <f>+IFERROR(VALUE(MID(AB94,4,4)),"")</f>
        <v>390</v>
      </c>
      <c r="B94" s="204">
        <f>VALUE(RIGHT(C94,LEN(C94)-2))</f>
        <v>2628</v>
      </c>
      <c r="C94" s="74" t="s">
        <v>530</v>
      </c>
      <c r="D94" s="75">
        <v>45874</v>
      </c>
      <c r="E94" s="70" t="s">
        <v>262</v>
      </c>
      <c r="F94" s="70" t="s">
        <v>270</v>
      </c>
      <c r="G94" s="68"/>
      <c r="H94" s="307" t="s">
        <v>494</v>
      </c>
      <c r="I94" s="69" t="s">
        <v>531</v>
      </c>
      <c r="J94" s="69"/>
      <c r="K94" s="68" t="s">
        <v>13</v>
      </c>
      <c r="L94" s="69" t="s">
        <v>120</v>
      </c>
      <c r="M94" s="71" t="s">
        <v>141</v>
      </c>
      <c r="N94" s="69" t="e" vm="1">
        <v>#VALUE!</v>
      </c>
      <c r="O94" s="84">
        <v>45884</v>
      </c>
      <c r="P94" s="72" t="s">
        <v>402</v>
      </c>
      <c r="Q94" s="72" t="s">
        <v>220</v>
      </c>
      <c r="R94" s="72" t="s">
        <v>221</v>
      </c>
      <c r="S94" s="146"/>
      <c r="T94" s="68" t="s">
        <v>3</v>
      </c>
      <c r="U94" s="87"/>
      <c r="V94" s="80">
        <v>45889</v>
      </c>
      <c r="W94" s="73">
        <v>37</v>
      </c>
      <c r="X94" s="73">
        <v>1.0680000000000001</v>
      </c>
      <c r="Y94" s="169">
        <f>IF(SUM(W94:W94)&gt;0,X94/SUM(W94:W94)*1000000,"N/A")</f>
        <v>28864.864864864867</v>
      </c>
      <c r="Z94" s="80"/>
      <c r="AA94" s="80"/>
      <c r="AB94" s="73" t="s">
        <v>532</v>
      </c>
      <c r="AC94" s="153"/>
      <c r="AD94" s="330"/>
      <c r="AE94" s="305"/>
      <c r="AF94" s="88"/>
      <c r="AG94" s="182">
        <f>YEAR(D94)</f>
        <v>2025</v>
      </c>
      <c r="AH94" s="86" t="str">
        <f>+IF(AG94=$AH$22,MONTH(V94),"")</f>
        <v/>
      </c>
      <c r="AI94" s="86">
        <f>+IF(AG94=$AI$22,MONTH(V94),"")</f>
        <v>8</v>
      </c>
      <c r="AJ94" s="86" t="str">
        <f>+IF(AG94=$AJ$22,MONTH(V94),"")</f>
        <v/>
      </c>
      <c r="AK94" s="86" t="str">
        <f>+IF(AG94=$AK$22,MONTH(V94),"")</f>
        <v/>
      </c>
      <c r="AL94" s="86" t="str">
        <f>+IF(AG94=$AL$22,MONTH(V94),"")</f>
        <v/>
      </c>
      <c r="AM94" s="86" t="str">
        <f>+IF($AG94=$AM$22,MONTH($D94),"")</f>
        <v/>
      </c>
      <c r="AN94" s="89" t="str">
        <f>+IF($AG94=AN$22,MONTH($D94),"")</f>
        <v/>
      </c>
      <c r="AO94" s="89" t="str">
        <f>+IF($AG94=AO$22,MONTH($D94),"")</f>
        <v/>
      </c>
      <c r="AP94" s="89" t="str">
        <f>+IF($AG94=AP$22,MONTH($D94),"")</f>
        <v/>
      </c>
      <c r="AQ94" s="89" t="str">
        <f>+IF($AG94=AQ$22,MONTH($D94),"")</f>
        <v/>
      </c>
      <c r="AR94" s="89" t="str">
        <f>+IF($AG94=AR$22,MONTH($D94),"")</f>
        <v/>
      </c>
      <c r="AS94" s="89" t="str">
        <f>+IF($AG94=AS$22,MONTH($D94),"")</f>
        <v/>
      </c>
      <c r="AT94" s="89" t="str">
        <f>+IF($AG94=AT$22,MONTH($D94),"")</f>
        <v/>
      </c>
      <c r="AU94" s="89" t="str">
        <f>+IF($AG94=AU$22,MONTH($D94),"")</f>
        <v/>
      </c>
      <c r="AV94" s="89" t="str">
        <f>+IF($AG94=AV$22,MONTH($D94),"")</f>
        <v/>
      </c>
      <c r="AW94" s="86" t="str">
        <f>+IF($AG94=AW$22,MONTH($D94),"")</f>
        <v/>
      </c>
      <c r="AX94" s="86" t="str">
        <f>+IF($AG94=AX$22,MONTH($D94),"")</f>
        <v/>
      </c>
      <c r="AY94" s="89"/>
      <c r="AZ94" s="89"/>
      <c r="BA94" s="89"/>
      <c r="BB94" s="89"/>
      <c r="BC94" s="89"/>
      <c r="BD94" s="89"/>
      <c r="BE94" s="89"/>
      <c r="BF94" s="89"/>
      <c r="BG94" s="89"/>
      <c r="BH94" s="89"/>
      <c r="BI94" s="89"/>
      <c r="BJ94" s="89"/>
      <c r="BK94" s="89"/>
      <c r="BL94" s="89"/>
      <c r="BM94" s="89"/>
      <c r="BN94" s="89"/>
      <c r="BO94" s="89"/>
      <c r="BP94" s="89"/>
    </row>
    <row r="95" spans="1:68" s="56" customFormat="1" ht="46.5" hidden="1" customHeight="1">
      <c r="A95" s="204">
        <f>+IFERROR(VALUE(MID(AB95,4,4)),"")</f>
        <v>390</v>
      </c>
      <c r="B95" s="204">
        <f>VALUE(RIGHT(C95,LEN(C95)-2))</f>
        <v>2627</v>
      </c>
      <c r="C95" s="74" t="s">
        <v>533</v>
      </c>
      <c r="D95" s="75">
        <v>45966</v>
      </c>
      <c r="E95" s="70" t="s">
        <v>262</v>
      </c>
      <c r="F95" s="70" t="s">
        <v>270</v>
      </c>
      <c r="G95" s="68"/>
      <c r="H95" s="307" t="s">
        <v>494</v>
      </c>
      <c r="I95" s="69" t="s">
        <v>534</v>
      </c>
      <c r="J95" s="69"/>
      <c r="K95" s="68" t="s">
        <v>13</v>
      </c>
      <c r="L95" s="69" t="s">
        <v>120</v>
      </c>
      <c r="M95" s="71" t="s">
        <v>141</v>
      </c>
      <c r="N95" s="69" t="e" vm="1">
        <v>#VALUE!</v>
      </c>
      <c r="O95" s="84">
        <v>45976</v>
      </c>
      <c r="P95" s="72" t="s">
        <v>402</v>
      </c>
      <c r="Q95" s="72" t="s">
        <v>220</v>
      </c>
      <c r="R95" s="72" t="s">
        <v>221</v>
      </c>
      <c r="S95" s="146"/>
      <c r="T95" s="68" t="s">
        <v>3</v>
      </c>
      <c r="U95" s="87"/>
      <c r="V95" s="80">
        <v>45981</v>
      </c>
      <c r="W95" s="73">
        <v>80</v>
      </c>
      <c r="X95" s="73">
        <v>3.5619999999999998</v>
      </c>
      <c r="Y95" s="169">
        <f>IF(SUM(W95:W95)&gt;0,X95/SUM(W95:W95)*1000000,"N/A")</f>
        <v>44524.999999999993</v>
      </c>
      <c r="Z95" s="80"/>
      <c r="AA95" s="80"/>
      <c r="AB95" s="73" t="s">
        <v>535</v>
      </c>
      <c r="AC95" s="153"/>
      <c r="AD95" s="330"/>
      <c r="AE95" s="305"/>
      <c r="AF95" s="88"/>
      <c r="AG95" s="182">
        <f>YEAR(D95)</f>
        <v>2025</v>
      </c>
      <c r="AH95" s="86" t="str">
        <f>+IF(AG95=$AH$22,MONTH(V95),"")</f>
        <v/>
      </c>
      <c r="AI95" s="86">
        <f>+IF(AG95=$AI$22,MONTH(V95),"")</f>
        <v>11</v>
      </c>
      <c r="AJ95" s="86" t="str">
        <f>+IF(AG95=$AJ$22,MONTH(V95),"")</f>
        <v/>
      </c>
      <c r="AK95" s="86" t="str">
        <f>+IF(AG95=$AK$22,MONTH(V95),"")</f>
        <v/>
      </c>
      <c r="AL95" s="86" t="str">
        <f>+IF(AG95=$AL$22,MONTH(V95),"")</f>
        <v/>
      </c>
      <c r="AM95" s="86" t="str">
        <f>+IF($AG95=$AM$22,MONTH($D95),"")</f>
        <v/>
      </c>
      <c r="AN95" s="89" t="str">
        <f>+IF($AG95=AN$22,MONTH($D95),"")</f>
        <v/>
      </c>
      <c r="AO95" s="89" t="str">
        <f>+IF($AG95=AO$22,MONTH($D95),"")</f>
        <v/>
      </c>
      <c r="AP95" s="89" t="str">
        <f>+IF($AG95=AP$22,MONTH($D95),"")</f>
        <v/>
      </c>
      <c r="AQ95" s="89" t="str">
        <f>+IF($AG95=AQ$22,MONTH($D95),"")</f>
        <v/>
      </c>
      <c r="AR95" s="89" t="str">
        <f>+IF($AG95=AR$22,MONTH($D95),"")</f>
        <v/>
      </c>
      <c r="AS95" s="89" t="str">
        <f>+IF($AG95=AS$22,MONTH($D95),"")</f>
        <v/>
      </c>
      <c r="AT95" s="89" t="str">
        <f>+IF($AG95=AT$22,MONTH($D95),"")</f>
        <v/>
      </c>
      <c r="AU95" s="89" t="str">
        <f>+IF($AG95=AU$22,MONTH($D95),"")</f>
        <v/>
      </c>
      <c r="AV95" s="89" t="str">
        <f>+IF($AG95=AV$22,MONTH($D95),"")</f>
        <v/>
      </c>
      <c r="AW95" s="86" t="str">
        <f>+IF($AG95=AW$22,MONTH($D95),"")</f>
        <v/>
      </c>
      <c r="AX95" s="86" t="str">
        <f>+IF($AG95=AX$22,MONTH($D95),"")</f>
        <v/>
      </c>
      <c r="AY95" s="89"/>
      <c r="AZ95" s="89"/>
      <c r="BA95" s="89"/>
      <c r="BB95" s="89"/>
      <c r="BC95" s="89"/>
      <c r="BD95" s="89"/>
      <c r="BE95" s="89"/>
      <c r="BF95" s="89"/>
      <c r="BG95" s="89"/>
      <c r="BH95" s="89"/>
      <c r="BI95" s="89"/>
      <c r="BJ95" s="89"/>
      <c r="BK95" s="89"/>
      <c r="BL95" s="89"/>
      <c r="BM95" s="89"/>
      <c r="BN95" s="89"/>
      <c r="BO95" s="89"/>
      <c r="BP95" s="89"/>
    </row>
    <row r="96" spans="1:68" s="56" customFormat="1" ht="46.5" hidden="1" customHeight="1">
      <c r="A96" s="204">
        <f>+IFERROR(VALUE(MID(AB96,4,4)),"")</f>
        <v>390</v>
      </c>
      <c r="B96" s="204">
        <f>VALUE(RIGHT(C96,LEN(C96)-2))</f>
        <v>2626</v>
      </c>
      <c r="C96" s="74" t="s">
        <v>536</v>
      </c>
      <c r="D96" s="75">
        <v>45874</v>
      </c>
      <c r="E96" s="70" t="s">
        <v>262</v>
      </c>
      <c r="F96" s="70" t="s">
        <v>270</v>
      </c>
      <c r="G96" s="68"/>
      <c r="H96" s="307" t="s">
        <v>494</v>
      </c>
      <c r="I96" s="69" t="s">
        <v>537</v>
      </c>
      <c r="J96" s="69"/>
      <c r="K96" s="68" t="s">
        <v>13</v>
      </c>
      <c r="L96" s="69" t="s">
        <v>120</v>
      </c>
      <c r="M96" s="71" t="s">
        <v>141</v>
      </c>
      <c r="N96" s="69" t="e" vm="1">
        <v>#VALUE!</v>
      </c>
      <c r="O96" s="84">
        <v>45884</v>
      </c>
      <c r="P96" s="72" t="s">
        <v>402</v>
      </c>
      <c r="Q96" s="72" t="s">
        <v>220</v>
      </c>
      <c r="R96" s="72" t="s">
        <v>221</v>
      </c>
      <c r="S96" s="146"/>
      <c r="T96" s="68" t="s">
        <v>3</v>
      </c>
      <c r="U96" s="87"/>
      <c r="V96" s="80">
        <v>45889</v>
      </c>
      <c r="W96" s="73">
        <v>-641</v>
      </c>
      <c r="X96" s="73">
        <f>-27.284</f>
        <v>-27.283999999999999</v>
      </c>
      <c r="Y96" s="169" t="str">
        <f>IF(SUM(W96:W96)&gt;0,X96/SUM(W96:W96)*1000000,"N/A")</f>
        <v>N/A</v>
      </c>
      <c r="Z96" s="80"/>
      <c r="AA96" s="80"/>
      <c r="AB96" s="73" t="s">
        <v>538</v>
      </c>
      <c r="AC96" s="153"/>
      <c r="AD96" s="330"/>
      <c r="AE96" s="305"/>
      <c r="AF96" s="88"/>
      <c r="AG96" s="182">
        <f>YEAR(D96)</f>
        <v>2025</v>
      </c>
      <c r="AH96" s="86" t="str">
        <f>+IF(AG96=$AH$22,MONTH(V96),"")</f>
        <v/>
      </c>
      <c r="AI96" s="86">
        <f>+IF(AG96=$AI$22,MONTH(V96),"")</f>
        <v>8</v>
      </c>
      <c r="AJ96" s="86" t="str">
        <f>+IF(AG96=$AJ$22,MONTH(V96),"")</f>
        <v/>
      </c>
      <c r="AK96" s="86" t="str">
        <f>+IF(AG96=$AK$22,MONTH(V96),"")</f>
        <v/>
      </c>
      <c r="AL96" s="86" t="str">
        <f>+IF(AG96=$AL$22,MONTH(V96),"")</f>
        <v/>
      </c>
      <c r="AM96" s="86" t="str">
        <f>+IF($AG96=$AM$22,MONTH($D96),"")</f>
        <v/>
      </c>
      <c r="AN96" s="89" t="str">
        <f>+IF($AG96=AN$22,MONTH($D96),"")</f>
        <v/>
      </c>
      <c r="AO96" s="89" t="str">
        <f>+IF($AG96=AO$22,MONTH($D96),"")</f>
        <v/>
      </c>
      <c r="AP96" s="89" t="str">
        <f>+IF($AG96=AP$22,MONTH($D96),"")</f>
        <v/>
      </c>
      <c r="AQ96" s="89" t="str">
        <f>+IF($AG96=AQ$22,MONTH($D96),"")</f>
        <v/>
      </c>
      <c r="AR96" s="89" t="str">
        <f>+IF($AG96=AR$22,MONTH($D96),"")</f>
        <v/>
      </c>
      <c r="AS96" s="89" t="str">
        <f>+IF($AG96=AS$22,MONTH($D96),"")</f>
        <v/>
      </c>
      <c r="AT96" s="89" t="str">
        <f>+IF($AG96=AT$22,MONTH($D96),"")</f>
        <v/>
      </c>
      <c r="AU96" s="89" t="str">
        <f>+IF($AG96=AU$22,MONTH($D96),"")</f>
        <v/>
      </c>
      <c r="AV96" s="89" t="str">
        <f>+IF($AG96=AV$22,MONTH($D96),"")</f>
        <v/>
      </c>
      <c r="AW96" s="86" t="str">
        <f>+IF($AG96=AW$22,MONTH($D96),"")</f>
        <v/>
      </c>
      <c r="AX96" s="86" t="str">
        <f>+IF($AG96=AX$22,MONTH($D96),"")</f>
        <v/>
      </c>
      <c r="AY96" s="89"/>
      <c r="AZ96" s="89"/>
      <c r="BA96" s="89"/>
      <c r="BB96" s="89"/>
      <c r="BC96" s="89"/>
      <c r="BD96" s="89"/>
      <c r="BE96" s="89"/>
      <c r="BF96" s="89"/>
      <c r="BG96" s="89"/>
      <c r="BH96" s="89"/>
      <c r="BI96" s="89"/>
      <c r="BJ96" s="89"/>
      <c r="BK96" s="89"/>
      <c r="BL96" s="89"/>
      <c r="BM96" s="89"/>
      <c r="BN96" s="89"/>
      <c r="BO96" s="89"/>
      <c r="BP96" s="89"/>
    </row>
    <row r="97" spans="1:68" s="56" customFormat="1" ht="46.5" hidden="1" customHeight="1">
      <c r="A97" s="204">
        <f>+IFERROR(VALUE(MID(AB97,4,4)),"")</f>
        <v>390</v>
      </c>
      <c r="B97" s="204">
        <f>VALUE(RIGHT(C97,LEN(C97)-2))</f>
        <v>2625</v>
      </c>
      <c r="C97" s="74" t="s">
        <v>539</v>
      </c>
      <c r="D97" s="75">
        <v>45843</v>
      </c>
      <c r="E97" s="70" t="s">
        <v>262</v>
      </c>
      <c r="F97" s="70" t="s">
        <v>270</v>
      </c>
      <c r="G97" s="68"/>
      <c r="H97" s="307" t="s">
        <v>494</v>
      </c>
      <c r="I97" s="69" t="s">
        <v>540</v>
      </c>
      <c r="J97" s="69"/>
      <c r="K97" s="68" t="s">
        <v>13</v>
      </c>
      <c r="L97" s="69" t="s">
        <v>120</v>
      </c>
      <c r="M97" s="71" t="s">
        <v>141</v>
      </c>
      <c r="N97" s="69" t="e" vm="1">
        <v>#VALUE!</v>
      </c>
      <c r="O97" s="84">
        <v>45853</v>
      </c>
      <c r="P97" s="72" t="s">
        <v>402</v>
      </c>
      <c r="Q97" s="72" t="s">
        <v>220</v>
      </c>
      <c r="R97" s="72" t="s">
        <v>221</v>
      </c>
      <c r="S97" s="146"/>
      <c r="T97" s="68" t="s">
        <v>3</v>
      </c>
      <c r="U97" s="87"/>
      <c r="V97" s="80">
        <v>45858</v>
      </c>
      <c r="W97" s="73">
        <v>87</v>
      </c>
      <c r="X97" s="73">
        <v>4.0940000000000003</v>
      </c>
      <c r="Y97" s="169">
        <f>IF(SUM(W97:W97)&gt;0,X97/SUM(W97:W97)*1000000,"N/A")</f>
        <v>47057.471264367821</v>
      </c>
      <c r="Z97" s="80"/>
      <c r="AA97" s="80"/>
      <c r="AB97" s="73" t="s">
        <v>541</v>
      </c>
      <c r="AC97" s="153"/>
      <c r="AD97" s="330"/>
      <c r="AE97" s="305"/>
      <c r="AF97" s="88"/>
      <c r="AG97" s="182">
        <f>YEAR(D97)</f>
        <v>2025</v>
      </c>
      <c r="AH97" s="86" t="str">
        <f>+IF(AG97=$AH$22,MONTH(V97),"")</f>
        <v/>
      </c>
      <c r="AI97" s="86">
        <f>+IF(AG97=$AI$22,MONTH(V97),"")</f>
        <v>7</v>
      </c>
      <c r="AJ97" s="86" t="str">
        <f>+IF(AG97=$AJ$22,MONTH(V97),"")</f>
        <v/>
      </c>
      <c r="AK97" s="86" t="str">
        <f>+IF(AG97=$AK$22,MONTH(V97),"")</f>
        <v/>
      </c>
      <c r="AL97" s="86" t="str">
        <f>+IF(AG97=$AL$22,MONTH(V97),"")</f>
        <v/>
      </c>
      <c r="AM97" s="86" t="str">
        <f>+IF($AG97=$AM$22,MONTH($D97),"")</f>
        <v/>
      </c>
      <c r="AN97" s="89" t="str">
        <f>+IF($AG97=AN$22,MONTH($D97),"")</f>
        <v/>
      </c>
      <c r="AO97" s="89" t="str">
        <f>+IF($AG97=AO$22,MONTH($D97),"")</f>
        <v/>
      </c>
      <c r="AP97" s="89" t="str">
        <f>+IF($AG97=AP$22,MONTH($D97),"")</f>
        <v/>
      </c>
      <c r="AQ97" s="89" t="str">
        <f>+IF($AG97=AQ$22,MONTH($D97),"")</f>
        <v/>
      </c>
      <c r="AR97" s="89" t="str">
        <f>+IF($AG97=AR$22,MONTH($D97),"")</f>
        <v/>
      </c>
      <c r="AS97" s="89" t="str">
        <f>+IF($AG97=AS$22,MONTH($D97),"")</f>
        <v/>
      </c>
      <c r="AT97" s="89" t="str">
        <f>+IF($AG97=AT$22,MONTH($D97),"")</f>
        <v/>
      </c>
      <c r="AU97" s="89" t="str">
        <f>+IF($AG97=AU$22,MONTH($D97),"")</f>
        <v/>
      </c>
      <c r="AV97" s="89" t="str">
        <f>+IF($AG97=AV$22,MONTH($D97),"")</f>
        <v/>
      </c>
      <c r="AW97" s="86" t="str">
        <f>+IF($AG97=AW$22,MONTH($D97),"")</f>
        <v/>
      </c>
      <c r="AX97" s="86" t="str">
        <f>+IF($AG97=AX$22,MONTH($D97),"")</f>
        <v/>
      </c>
      <c r="AY97" s="89"/>
      <c r="AZ97" s="89"/>
      <c r="BA97" s="89"/>
      <c r="BB97" s="89"/>
      <c r="BC97" s="89"/>
      <c r="BD97" s="89"/>
      <c r="BE97" s="89"/>
      <c r="BF97" s="89"/>
      <c r="BG97" s="89"/>
      <c r="BH97" s="89"/>
      <c r="BI97" s="89"/>
      <c r="BJ97" s="89"/>
      <c r="BK97" s="89"/>
      <c r="BL97" s="89"/>
      <c r="BM97" s="89"/>
      <c r="BN97" s="89"/>
      <c r="BO97" s="89"/>
      <c r="BP97" s="89"/>
    </row>
    <row r="98" spans="1:68" s="56" customFormat="1" ht="46.5" hidden="1" customHeight="1">
      <c r="A98" s="204">
        <f>+IFERROR(VALUE(MID(AB98,4,4)),"")</f>
        <v>390</v>
      </c>
      <c r="B98" s="204">
        <f>VALUE(RIGHT(C98,LEN(C98)-2))</f>
        <v>2624</v>
      </c>
      <c r="C98" s="74" t="s">
        <v>542</v>
      </c>
      <c r="D98" s="75">
        <v>45874</v>
      </c>
      <c r="E98" s="70" t="s">
        <v>262</v>
      </c>
      <c r="F98" s="70" t="s">
        <v>270</v>
      </c>
      <c r="G98" s="68"/>
      <c r="H98" s="307" t="s">
        <v>494</v>
      </c>
      <c r="I98" s="69" t="s">
        <v>543</v>
      </c>
      <c r="J98" s="69"/>
      <c r="K98" s="68" t="s">
        <v>13</v>
      </c>
      <c r="L98" s="69" t="s">
        <v>120</v>
      </c>
      <c r="M98" s="71" t="s">
        <v>141</v>
      </c>
      <c r="N98" s="69" t="e" vm="1">
        <v>#VALUE!</v>
      </c>
      <c r="O98" s="84">
        <v>45884</v>
      </c>
      <c r="P98" s="72" t="s">
        <v>402</v>
      </c>
      <c r="Q98" s="72" t="s">
        <v>220</v>
      </c>
      <c r="R98" s="72" t="s">
        <v>221</v>
      </c>
      <c r="S98" s="146"/>
      <c r="T98" s="68" t="s">
        <v>3</v>
      </c>
      <c r="U98" s="87"/>
      <c r="V98" s="80">
        <v>45885</v>
      </c>
      <c r="W98" s="73">
        <v>-27</v>
      </c>
      <c r="X98" s="73">
        <v>-0.66900000000000004</v>
      </c>
      <c r="Y98" s="169" t="str">
        <f>IF(SUM(W98:W98)&gt;0,X98/SUM(W98:W98)*1000000,"N/A")</f>
        <v>N/A</v>
      </c>
      <c r="Z98" s="80"/>
      <c r="AA98" s="80"/>
      <c r="AB98" s="73" t="s">
        <v>544</v>
      </c>
      <c r="AC98" s="153"/>
      <c r="AD98" s="330"/>
      <c r="AE98" s="305"/>
      <c r="AF98" s="88"/>
      <c r="AG98" s="182">
        <f>YEAR(D98)</f>
        <v>2025</v>
      </c>
      <c r="AH98" s="86" t="str">
        <f>+IF(AG98=$AH$22,MONTH(V98),"")</f>
        <v/>
      </c>
      <c r="AI98" s="86">
        <f>+IF(AG98=$AI$22,MONTH(V98),"")</f>
        <v>8</v>
      </c>
      <c r="AJ98" s="86" t="str">
        <f>+IF(AG98=$AJ$22,MONTH(V98),"")</f>
        <v/>
      </c>
      <c r="AK98" s="86" t="str">
        <f>+IF(AG98=$AK$22,MONTH(V98),"")</f>
        <v/>
      </c>
      <c r="AL98" s="86" t="str">
        <f>+IF(AG98=$AL$22,MONTH(V98),"")</f>
        <v/>
      </c>
      <c r="AM98" s="86" t="str">
        <f>+IF($AG98=$AM$22,MONTH($D98),"")</f>
        <v/>
      </c>
      <c r="AN98" s="89" t="str">
        <f>+IF($AG98=AN$22,MONTH($D98),"")</f>
        <v/>
      </c>
      <c r="AO98" s="89" t="str">
        <f>+IF($AG98=AO$22,MONTH($D98),"")</f>
        <v/>
      </c>
      <c r="AP98" s="89" t="str">
        <f>+IF($AG98=AP$22,MONTH($D98),"")</f>
        <v/>
      </c>
      <c r="AQ98" s="89" t="str">
        <f>+IF($AG98=AQ$22,MONTH($D98),"")</f>
        <v/>
      </c>
      <c r="AR98" s="89" t="str">
        <f>+IF($AG98=AR$22,MONTH($D98),"")</f>
        <v/>
      </c>
      <c r="AS98" s="89" t="str">
        <f>+IF($AG98=AS$22,MONTH($D98),"")</f>
        <v/>
      </c>
      <c r="AT98" s="89" t="str">
        <f>+IF($AG98=AT$22,MONTH($D98),"")</f>
        <v/>
      </c>
      <c r="AU98" s="89" t="str">
        <f>+IF($AG98=AU$22,MONTH($D98),"")</f>
        <v/>
      </c>
      <c r="AV98" s="89" t="str">
        <f>+IF($AG98=AV$22,MONTH($D98),"")</f>
        <v/>
      </c>
      <c r="AW98" s="86" t="str">
        <f>+IF($AG98=AW$22,MONTH($D98),"")</f>
        <v/>
      </c>
      <c r="AX98" s="86" t="str">
        <f>+IF($AG98=AX$22,MONTH($D98),"")</f>
        <v/>
      </c>
      <c r="AY98" s="89"/>
      <c r="AZ98" s="89"/>
      <c r="BA98" s="89"/>
      <c r="BB98" s="89"/>
      <c r="BC98" s="89"/>
      <c r="BD98" s="89"/>
      <c r="BE98" s="89"/>
      <c r="BF98" s="89"/>
      <c r="BG98" s="89"/>
      <c r="BH98" s="89"/>
      <c r="BI98" s="89"/>
      <c r="BJ98" s="89"/>
      <c r="BK98" s="89"/>
      <c r="BL98" s="89"/>
      <c r="BM98" s="89"/>
      <c r="BN98" s="89"/>
      <c r="BO98" s="89"/>
      <c r="BP98" s="89"/>
    </row>
    <row r="99" spans="1:68" s="56" customFormat="1" ht="46.5" hidden="1" customHeight="1">
      <c r="A99" s="204">
        <f>+IFERROR(VALUE(MID(AB99,4,4)),"")</f>
        <v>390</v>
      </c>
      <c r="B99" s="204">
        <f>VALUE(RIGHT(C99,LEN(C99)-2))</f>
        <v>2623</v>
      </c>
      <c r="C99" s="74" t="s">
        <v>545</v>
      </c>
      <c r="D99" s="75">
        <v>45935</v>
      </c>
      <c r="E99" s="70" t="s">
        <v>262</v>
      </c>
      <c r="F99" s="70" t="s">
        <v>270</v>
      </c>
      <c r="G99" s="68"/>
      <c r="H99" s="307" t="s">
        <v>494</v>
      </c>
      <c r="I99" s="69" t="s">
        <v>546</v>
      </c>
      <c r="J99" s="69"/>
      <c r="K99" s="68" t="s">
        <v>13</v>
      </c>
      <c r="L99" s="69" t="s">
        <v>120</v>
      </c>
      <c r="M99" s="71" t="s">
        <v>141</v>
      </c>
      <c r="N99" s="69" t="e" vm="1">
        <v>#VALUE!</v>
      </c>
      <c r="O99" s="84">
        <v>45945</v>
      </c>
      <c r="P99" s="72" t="s">
        <v>402</v>
      </c>
      <c r="Q99" s="72" t="s">
        <v>220</v>
      </c>
      <c r="R99" s="72" t="s">
        <v>221</v>
      </c>
      <c r="S99" s="146"/>
      <c r="T99" s="68" t="s">
        <v>3</v>
      </c>
      <c r="U99" s="87"/>
      <c r="V99" s="80">
        <v>45946</v>
      </c>
      <c r="W99" s="73">
        <v>100</v>
      </c>
      <c r="X99" s="73">
        <v>4.4939999999999998</v>
      </c>
      <c r="Y99" s="169">
        <f>IF(SUM(W99:W99)&gt;0,X99/SUM(W99:W99)*1000000,"N/A")</f>
        <v>44940</v>
      </c>
      <c r="Z99" s="80"/>
      <c r="AA99" s="80"/>
      <c r="AB99" s="73" t="s">
        <v>547</v>
      </c>
      <c r="AC99" s="153"/>
      <c r="AD99" s="330"/>
      <c r="AE99" s="305"/>
      <c r="AF99" s="88"/>
      <c r="AG99" s="182">
        <f>YEAR(D99)</f>
        <v>2025</v>
      </c>
      <c r="AH99" s="86" t="str">
        <f>+IF(AG99=$AH$22,MONTH(V99),"")</f>
        <v/>
      </c>
      <c r="AI99" s="86">
        <f>+IF(AG99=$AI$22,MONTH(V99),"")</f>
        <v>10</v>
      </c>
      <c r="AJ99" s="86" t="str">
        <f>+IF(AG99=$AJ$22,MONTH(V99),"")</f>
        <v/>
      </c>
      <c r="AK99" s="86" t="str">
        <f>+IF(AG99=$AK$22,MONTH(V99),"")</f>
        <v/>
      </c>
      <c r="AL99" s="86" t="str">
        <f>+IF(AG99=$AL$22,MONTH(V99),"")</f>
        <v/>
      </c>
      <c r="AM99" s="86" t="str">
        <f>+IF($AG99=$AM$22,MONTH($D99),"")</f>
        <v/>
      </c>
      <c r="AN99" s="89" t="str">
        <f>+IF($AG99=AN$22,MONTH($D99),"")</f>
        <v/>
      </c>
      <c r="AO99" s="89" t="str">
        <f>+IF($AG99=AO$22,MONTH($D99),"")</f>
        <v/>
      </c>
      <c r="AP99" s="89" t="str">
        <f>+IF($AG99=AP$22,MONTH($D99),"")</f>
        <v/>
      </c>
      <c r="AQ99" s="89" t="str">
        <f>+IF($AG99=AQ$22,MONTH($D99),"")</f>
        <v/>
      </c>
      <c r="AR99" s="89" t="str">
        <f>+IF($AG99=AR$22,MONTH($D99),"")</f>
        <v/>
      </c>
      <c r="AS99" s="89" t="str">
        <f>+IF($AG99=AS$22,MONTH($D99),"")</f>
        <v/>
      </c>
      <c r="AT99" s="89" t="str">
        <f>+IF($AG99=AT$22,MONTH($D99),"")</f>
        <v/>
      </c>
      <c r="AU99" s="89" t="str">
        <f>+IF($AG99=AU$22,MONTH($D99),"")</f>
        <v/>
      </c>
      <c r="AV99" s="89" t="str">
        <f>+IF($AG99=AV$22,MONTH($D99),"")</f>
        <v/>
      </c>
      <c r="AW99" s="86" t="str">
        <f>+IF($AG99=AW$22,MONTH($D99),"")</f>
        <v/>
      </c>
      <c r="AX99" s="86" t="str">
        <f>+IF($AG99=AX$22,MONTH($D99),"")</f>
        <v/>
      </c>
      <c r="AY99" s="89"/>
      <c r="AZ99" s="89"/>
      <c r="BA99" s="89"/>
      <c r="BB99" s="89"/>
      <c r="BC99" s="89"/>
      <c r="BD99" s="89"/>
      <c r="BE99" s="89"/>
      <c r="BF99" s="89"/>
      <c r="BG99" s="89"/>
      <c r="BH99" s="89"/>
      <c r="BI99" s="89"/>
      <c r="BJ99" s="89"/>
      <c r="BK99" s="89"/>
      <c r="BL99" s="89"/>
      <c r="BM99" s="89"/>
      <c r="BN99" s="89"/>
      <c r="BO99" s="89"/>
      <c r="BP99" s="89"/>
    </row>
    <row r="100" spans="1:68" s="56" customFormat="1" ht="46.5" hidden="1" customHeight="1">
      <c r="A100" s="204">
        <f>+IFERROR(VALUE(MID(AB100,4,4)),"")</f>
        <v>390</v>
      </c>
      <c r="B100" s="204">
        <f>VALUE(RIGHT(C100,LEN(C100)-2))</f>
        <v>2622</v>
      </c>
      <c r="C100" s="74" t="s">
        <v>548</v>
      </c>
      <c r="D100" s="75">
        <v>45782</v>
      </c>
      <c r="E100" s="70" t="s">
        <v>262</v>
      </c>
      <c r="F100" s="70" t="s">
        <v>270</v>
      </c>
      <c r="G100" s="68"/>
      <c r="H100" s="307" t="s">
        <v>494</v>
      </c>
      <c r="I100" s="69" t="s">
        <v>549</v>
      </c>
      <c r="J100" s="69"/>
      <c r="K100" s="68" t="s">
        <v>13</v>
      </c>
      <c r="L100" s="69" t="s">
        <v>120</v>
      </c>
      <c r="M100" s="71" t="s">
        <v>141</v>
      </c>
      <c r="N100" s="69" t="e" vm="1">
        <v>#VALUE!</v>
      </c>
      <c r="O100" s="84">
        <v>45823</v>
      </c>
      <c r="P100" s="72" t="s">
        <v>402</v>
      </c>
      <c r="Q100" s="72" t="s">
        <v>220</v>
      </c>
      <c r="R100" s="72" t="s">
        <v>221</v>
      </c>
      <c r="S100" s="146"/>
      <c r="T100" s="68" t="s">
        <v>3</v>
      </c>
      <c r="U100" s="87"/>
      <c r="V100" s="80">
        <v>45824</v>
      </c>
      <c r="W100" s="73">
        <v>145</v>
      </c>
      <c r="X100" s="73">
        <v>6.141</v>
      </c>
      <c r="Y100" s="169">
        <f>IF(SUM(W100:W100)&gt;0,X100/SUM(W100:W100)*1000000,"N/A")</f>
        <v>42351.724137931036</v>
      </c>
      <c r="Z100" s="80"/>
      <c r="AA100" s="80"/>
      <c r="AB100" s="73" t="s">
        <v>550</v>
      </c>
      <c r="AC100" s="153"/>
      <c r="AD100" s="330"/>
      <c r="AE100" s="305"/>
      <c r="AF100" s="88"/>
      <c r="AG100" s="182">
        <f>YEAR(D100)</f>
        <v>2025</v>
      </c>
      <c r="AH100" s="86" t="str">
        <f>+IF(AG100=$AH$22,MONTH(V100),"")</f>
        <v/>
      </c>
      <c r="AI100" s="86">
        <f>+IF(AG100=$AI$22,MONTH(V100),"")</f>
        <v>6</v>
      </c>
      <c r="AJ100" s="86" t="str">
        <f>+IF(AG100=$AJ$22,MONTH(V100),"")</f>
        <v/>
      </c>
      <c r="AK100" s="86" t="str">
        <f>+IF(AG100=$AK$22,MONTH(V100),"")</f>
        <v/>
      </c>
      <c r="AL100" s="86" t="str">
        <f>+IF(AG100=$AL$22,MONTH(V100),"")</f>
        <v/>
      </c>
      <c r="AM100" s="86" t="str">
        <f>+IF($AG100=$AM$22,MONTH($D100),"")</f>
        <v/>
      </c>
      <c r="AN100" s="89" t="str">
        <f>+IF($AG100=AN$22,MONTH($D100),"")</f>
        <v/>
      </c>
      <c r="AO100" s="89" t="str">
        <f>+IF($AG100=AO$22,MONTH($D100),"")</f>
        <v/>
      </c>
      <c r="AP100" s="89" t="str">
        <f>+IF($AG100=AP$22,MONTH($D100),"")</f>
        <v/>
      </c>
      <c r="AQ100" s="89" t="str">
        <f>+IF($AG100=AQ$22,MONTH($D100),"")</f>
        <v/>
      </c>
      <c r="AR100" s="89" t="str">
        <f>+IF($AG100=AR$22,MONTH($D100),"")</f>
        <v/>
      </c>
      <c r="AS100" s="89" t="str">
        <f>+IF($AG100=AS$22,MONTH($D100),"")</f>
        <v/>
      </c>
      <c r="AT100" s="89" t="str">
        <f>+IF($AG100=AT$22,MONTH($D100),"")</f>
        <v/>
      </c>
      <c r="AU100" s="89" t="str">
        <f>+IF($AG100=AU$22,MONTH($D100),"")</f>
        <v/>
      </c>
      <c r="AV100" s="89" t="str">
        <f>+IF($AG100=AV$22,MONTH($D100),"")</f>
        <v/>
      </c>
      <c r="AW100" s="86" t="str">
        <f>+IF($AG100=AW$22,MONTH($D100),"")</f>
        <v/>
      </c>
      <c r="AX100" s="86" t="str">
        <f>+IF($AG100=AX$22,MONTH($D100),"")</f>
        <v/>
      </c>
      <c r="AY100" s="89"/>
      <c r="AZ100" s="89"/>
      <c r="BA100" s="89"/>
      <c r="BB100" s="89"/>
      <c r="BC100" s="89"/>
      <c r="BD100" s="89"/>
      <c r="BE100" s="89"/>
      <c r="BF100" s="89"/>
      <c r="BG100" s="89"/>
      <c r="BH100" s="89"/>
      <c r="BI100" s="89"/>
      <c r="BJ100" s="89"/>
      <c r="BK100" s="89"/>
      <c r="BL100" s="89"/>
      <c r="BM100" s="89"/>
      <c r="BN100" s="89"/>
      <c r="BO100" s="89"/>
      <c r="BP100" s="89"/>
    </row>
    <row r="101" spans="1:68" s="56" customFormat="1" ht="46.5" hidden="1" customHeight="1">
      <c r="A101" s="204">
        <f>+IFERROR(VALUE(MID(AB101,4,4)),"")</f>
        <v>390</v>
      </c>
      <c r="B101" s="204">
        <f>VALUE(RIGHT(C101,LEN(C101)-2))</f>
        <v>2621</v>
      </c>
      <c r="C101" s="74" t="s">
        <v>551</v>
      </c>
      <c r="D101" s="75">
        <v>45782</v>
      </c>
      <c r="E101" s="70" t="s">
        <v>262</v>
      </c>
      <c r="F101" s="70" t="s">
        <v>270</v>
      </c>
      <c r="G101" s="68"/>
      <c r="H101" s="307" t="s">
        <v>494</v>
      </c>
      <c r="I101" s="69" t="s">
        <v>552</v>
      </c>
      <c r="J101" s="69"/>
      <c r="K101" s="68" t="s">
        <v>13</v>
      </c>
      <c r="L101" s="69" t="s">
        <v>120</v>
      </c>
      <c r="M101" s="71" t="s">
        <v>141</v>
      </c>
      <c r="N101" s="69" t="e" vm="1">
        <v>#VALUE!</v>
      </c>
      <c r="O101" s="84">
        <v>45823</v>
      </c>
      <c r="P101" s="72" t="s">
        <v>402</v>
      </c>
      <c r="Q101" s="72" t="s">
        <v>220</v>
      </c>
      <c r="R101" s="72" t="s">
        <v>221</v>
      </c>
      <c r="S101" s="146"/>
      <c r="T101" s="68" t="s">
        <v>3</v>
      </c>
      <c r="U101" s="87"/>
      <c r="V101" s="80">
        <v>45824</v>
      </c>
      <c r="W101" s="73">
        <v>789</v>
      </c>
      <c r="X101" s="73">
        <v>28.866</v>
      </c>
      <c r="Y101" s="169">
        <f>IF(SUM(W101:W101)&gt;0,X101/SUM(W101:W101)*1000000,"N/A")</f>
        <v>36585.55133079848</v>
      </c>
      <c r="Z101" s="80"/>
      <c r="AA101" s="80"/>
      <c r="AB101" s="73" t="s">
        <v>553</v>
      </c>
      <c r="AC101" s="153"/>
      <c r="AD101" s="330"/>
      <c r="AE101" s="305"/>
      <c r="AF101" s="88"/>
      <c r="AG101" s="182">
        <f>YEAR(D101)</f>
        <v>2025</v>
      </c>
      <c r="AH101" s="86" t="str">
        <f>+IF(AG101=$AH$22,MONTH(V101),"")</f>
        <v/>
      </c>
      <c r="AI101" s="86">
        <f>+IF(AG101=$AI$22,MONTH(V101),"")</f>
        <v>6</v>
      </c>
      <c r="AJ101" s="86" t="str">
        <f>+IF(AG101=$AJ$22,MONTH(V101),"")</f>
        <v/>
      </c>
      <c r="AK101" s="86" t="str">
        <f>+IF(AG101=$AK$22,MONTH(V101),"")</f>
        <v/>
      </c>
      <c r="AL101" s="86" t="str">
        <f>+IF(AG101=$AL$22,MONTH(V101),"")</f>
        <v/>
      </c>
      <c r="AM101" s="86" t="str">
        <f>+IF($AG101=$AM$22,MONTH($D101),"")</f>
        <v/>
      </c>
      <c r="AN101" s="89" t="str">
        <f>+IF($AG101=AN$22,MONTH($D101),"")</f>
        <v/>
      </c>
      <c r="AO101" s="89" t="str">
        <f>+IF($AG101=AO$22,MONTH($D101),"")</f>
        <v/>
      </c>
      <c r="AP101" s="89" t="str">
        <f>+IF($AG101=AP$22,MONTH($D101),"")</f>
        <v/>
      </c>
      <c r="AQ101" s="89" t="str">
        <f>+IF($AG101=AQ$22,MONTH($D101),"")</f>
        <v/>
      </c>
      <c r="AR101" s="89" t="str">
        <f>+IF($AG101=AR$22,MONTH($D101),"")</f>
        <v/>
      </c>
      <c r="AS101" s="89" t="str">
        <f>+IF($AG101=AS$22,MONTH($D101),"")</f>
        <v/>
      </c>
      <c r="AT101" s="89" t="str">
        <f>+IF($AG101=AT$22,MONTH($D101),"")</f>
        <v/>
      </c>
      <c r="AU101" s="89" t="str">
        <f>+IF($AG101=AU$22,MONTH($D101),"")</f>
        <v/>
      </c>
      <c r="AV101" s="89" t="str">
        <f>+IF($AG101=AV$22,MONTH($D101),"")</f>
        <v/>
      </c>
      <c r="AW101" s="86" t="str">
        <f>+IF($AG101=AW$22,MONTH($D101),"")</f>
        <v/>
      </c>
      <c r="AX101" s="86" t="str">
        <f>+IF($AG101=AX$22,MONTH($D101),"")</f>
        <v/>
      </c>
      <c r="AY101" s="89"/>
      <c r="AZ101" s="89"/>
      <c r="BA101" s="89"/>
      <c r="BB101" s="89"/>
      <c r="BC101" s="89"/>
      <c r="BD101" s="89"/>
      <c r="BE101" s="89"/>
      <c r="BF101" s="89"/>
      <c r="BG101" s="89"/>
      <c r="BH101" s="89"/>
      <c r="BI101" s="89"/>
      <c r="BJ101" s="89"/>
      <c r="BK101" s="89"/>
      <c r="BL101" s="89"/>
      <c r="BM101" s="89"/>
      <c r="BN101" s="89"/>
      <c r="BO101" s="89"/>
      <c r="BP101" s="89"/>
    </row>
    <row r="102" spans="1:68" s="56" customFormat="1" ht="46.5" hidden="1" customHeight="1">
      <c r="A102" s="204">
        <f>+IFERROR(VALUE(MID(AB102,4,4)),"")</f>
        <v>390</v>
      </c>
      <c r="B102" s="204">
        <f>VALUE(RIGHT(C102,LEN(C102)-2))</f>
        <v>2620</v>
      </c>
      <c r="C102" s="74" t="s">
        <v>554</v>
      </c>
      <c r="D102" s="75">
        <v>45752</v>
      </c>
      <c r="E102" s="70" t="s">
        <v>262</v>
      </c>
      <c r="F102" s="70" t="s">
        <v>270</v>
      </c>
      <c r="G102" s="68"/>
      <c r="H102" s="307" t="s">
        <v>494</v>
      </c>
      <c r="I102" s="69" t="s">
        <v>555</v>
      </c>
      <c r="J102" s="69"/>
      <c r="K102" s="68" t="s">
        <v>13</v>
      </c>
      <c r="L102" s="69" t="s">
        <v>120</v>
      </c>
      <c r="M102" s="71" t="s">
        <v>141</v>
      </c>
      <c r="N102" s="69" t="e" vm="1">
        <v>#VALUE!</v>
      </c>
      <c r="O102" s="84">
        <v>45757</v>
      </c>
      <c r="P102" s="72" t="s">
        <v>402</v>
      </c>
      <c r="Q102" s="72" t="s">
        <v>220</v>
      </c>
      <c r="R102" s="72" t="s">
        <v>221</v>
      </c>
      <c r="S102" s="146"/>
      <c r="T102" s="68" t="s">
        <v>3</v>
      </c>
      <c r="U102" s="87"/>
      <c r="V102" s="80">
        <v>45792</v>
      </c>
      <c r="W102" s="73">
        <v>1404</v>
      </c>
      <c r="X102" s="73">
        <v>53.868000000000002</v>
      </c>
      <c r="Y102" s="169">
        <f>IF(SUM(W102:W102)&gt;0,X102/SUM(W102:W102)*1000000,"N/A")</f>
        <v>38367.521367521367</v>
      </c>
      <c r="Z102" s="80"/>
      <c r="AA102" s="80"/>
      <c r="AB102" s="73" t="s">
        <v>556</v>
      </c>
      <c r="AC102" s="153"/>
      <c r="AD102" s="330"/>
      <c r="AE102" s="305"/>
      <c r="AF102" s="88"/>
      <c r="AG102" s="182">
        <f>YEAR(D102)</f>
        <v>2025</v>
      </c>
      <c r="AH102" s="86" t="str">
        <f>+IF(AG102=$AH$22,MONTH(V102),"")</f>
        <v/>
      </c>
      <c r="AI102" s="86">
        <f>+IF(AG102=$AI$22,MONTH(V102),"")</f>
        <v>5</v>
      </c>
      <c r="AJ102" s="86" t="str">
        <f>+IF(AG102=$AJ$22,MONTH(V102),"")</f>
        <v/>
      </c>
      <c r="AK102" s="86" t="str">
        <f>+IF(AG102=$AK$22,MONTH(V102),"")</f>
        <v/>
      </c>
      <c r="AL102" s="86" t="str">
        <f>+IF(AG102=$AL$22,MONTH(V102),"")</f>
        <v/>
      </c>
      <c r="AM102" s="86" t="str">
        <f>+IF($AG102=$AM$22,MONTH($D102),"")</f>
        <v/>
      </c>
      <c r="AN102" s="89" t="str">
        <f>+IF($AG102=AN$22,MONTH($D102),"")</f>
        <v/>
      </c>
      <c r="AO102" s="89" t="str">
        <f>+IF($AG102=AO$22,MONTH($D102),"")</f>
        <v/>
      </c>
      <c r="AP102" s="89" t="str">
        <f>+IF($AG102=AP$22,MONTH($D102),"")</f>
        <v/>
      </c>
      <c r="AQ102" s="89" t="str">
        <f>+IF($AG102=AQ$22,MONTH($D102),"")</f>
        <v/>
      </c>
      <c r="AR102" s="89" t="str">
        <f>+IF($AG102=AR$22,MONTH($D102),"")</f>
        <v/>
      </c>
      <c r="AS102" s="89" t="str">
        <f>+IF($AG102=AS$22,MONTH($D102),"")</f>
        <v/>
      </c>
      <c r="AT102" s="89" t="str">
        <f>+IF($AG102=AT$22,MONTH($D102),"")</f>
        <v/>
      </c>
      <c r="AU102" s="89" t="str">
        <f>+IF($AG102=AU$22,MONTH($D102),"")</f>
        <v/>
      </c>
      <c r="AV102" s="89" t="str">
        <f>+IF($AG102=AV$22,MONTH($D102),"")</f>
        <v/>
      </c>
      <c r="AW102" s="86" t="str">
        <f>+IF($AG102=AW$22,MONTH($D102),"")</f>
        <v/>
      </c>
      <c r="AX102" s="86" t="str">
        <f>+IF($AG102=AX$22,MONTH($D102),"")</f>
        <v/>
      </c>
      <c r="AY102" s="89"/>
      <c r="AZ102" s="89"/>
      <c r="BA102" s="89"/>
      <c r="BB102" s="89"/>
      <c r="BC102" s="89"/>
      <c r="BD102" s="89"/>
      <c r="BE102" s="89"/>
      <c r="BF102" s="89"/>
      <c r="BG102" s="89"/>
      <c r="BH102" s="89"/>
      <c r="BI102" s="89"/>
      <c r="BJ102" s="89"/>
      <c r="BK102" s="89"/>
      <c r="BL102" s="89"/>
      <c r="BM102" s="89"/>
      <c r="BN102" s="89"/>
      <c r="BO102" s="89"/>
      <c r="BP102" s="89"/>
    </row>
    <row r="103" spans="1:68" s="56" customFormat="1" ht="46.5" hidden="1" customHeight="1">
      <c r="A103" s="204">
        <f>+IFERROR(VALUE(MID(AB103,4,4)),"")</f>
        <v>390</v>
      </c>
      <c r="B103" s="204">
        <f>VALUE(RIGHT(C103,LEN(C103)-2))</f>
        <v>2619</v>
      </c>
      <c r="C103" s="74" t="s">
        <v>557</v>
      </c>
      <c r="D103" s="75">
        <v>45752</v>
      </c>
      <c r="E103" s="70" t="s">
        <v>262</v>
      </c>
      <c r="F103" s="70" t="s">
        <v>270</v>
      </c>
      <c r="G103" s="68"/>
      <c r="H103" s="307" t="s">
        <v>494</v>
      </c>
      <c r="I103" s="69" t="s">
        <v>558</v>
      </c>
      <c r="J103" s="69"/>
      <c r="K103" s="68" t="s">
        <v>13</v>
      </c>
      <c r="L103" s="69" t="s">
        <v>120</v>
      </c>
      <c r="M103" s="71" t="s">
        <v>141</v>
      </c>
      <c r="N103" s="69" t="e" vm="1">
        <v>#VALUE!</v>
      </c>
      <c r="O103" s="84">
        <v>45757</v>
      </c>
      <c r="P103" s="72" t="s">
        <v>402</v>
      </c>
      <c r="Q103" s="72" t="s">
        <v>220</v>
      </c>
      <c r="R103" s="72" t="s">
        <v>221</v>
      </c>
      <c r="S103" s="146"/>
      <c r="T103" s="68" t="s">
        <v>3</v>
      </c>
      <c r="U103" s="87"/>
      <c r="V103" s="80">
        <v>45792</v>
      </c>
      <c r="W103" s="73">
        <v>2820</v>
      </c>
      <c r="X103" s="73">
        <v>109.837</v>
      </c>
      <c r="Y103" s="169">
        <f>IF(SUM(W103:W103)&gt;0,X103/SUM(W103:W103)*1000000,"N/A")</f>
        <v>38949.290780141848</v>
      </c>
      <c r="Z103" s="80"/>
      <c r="AA103" s="80"/>
      <c r="AB103" s="73" t="s">
        <v>559</v>
      </c>
      <c r="AC103" s="153"/>
      <c r="AD103" s="330"/>
      <c r="AE103" s="305"/>
      <c r="AF103" s="88"/>
      <c r="AG103" s="182">
        <f>YEAR(D103)</f>
        <v>2025</v>
      </c>
      <c r="AH103" s="86" t="str">
        <f>+IF(AG103=$AH$22,MONTH(V103),"")</f>
        <v/>
      </c>
      <c r="AI103" s="86">
        <f>+IF(AG103=$AI$22,MONTH(V103),"")</f>
        <v>5</v>
      </c>
      <c r="AJ103" s="86" t="str">
        <f>+IF(AG103=$AJ$22,MONTH(V103),"")</f>
        <v/>
      </c>
      <c r="AK103" s="86" t="str">
        <f>+IF(AG103=$AK$22,MONTH(V103),"")</f>
        <v/>
      </c>
      <c r="AL103" s="86" t="str">
        <f>+IF(AG103=$AL$22,MONTH(V103),"")</f>
        <v/>
      </c>
      <c r="AM103" s="86" t="str">
        <f>+IF($AG103=$AM$22,MONTH($D103),"")</f>
        <v/>
      </c>
      <c r="AN103" s="89" t="str">
        <f>+IF($AG103=AN$22,MONTH($D103),"")</f>
        <v/>
      </c>
      <c r="AO103" s="89" t="str">
        <f>+IF($AG103=AO$22,MONTH($D103),"")</f>
        <v/>
      </c>
      <c r="AP103" s="89" t="str">
        <f>+IF($AG103=AP$22,MONTH($D103),"")</f>
        <v/>
      </c>
      <c r="AQ103" s="89" t="str">
        <f>+IF($AG103=AQ$22,MONTH($D103),"")</f>
        <v/>
      </c>
      <c r="AR103" s="89" t="str">
        <f>+IF($AG103=AR$22,MONTH($D103),"")</f>
        <v/>
      </c>
      <c r="AS103" s="89" t="str">
        <f>+IF($AG103=AS$22,MONTH($D103),"")</f>
        <v/>
      </c>
      <c r="AT103" s="89" t="str">
        <f>+IF($AG103=AT$22,MONTH($D103),"")</f>
        <v/>
      </c>
      <c r="AU103" s="89" t="str">
        <f>+IF($AG103=AU$22,MONTH($D103),"")</f>
        <v/>
      </c>
      <c r="AV103" s="89" t="str">
        <f>+IF($AG103=AV$22,MONTH($D103),"")</f>
        <v/>
      </c>
      <c r="AW103" s="86" t="str">
        <f>+IF($AG103=AW$22,MONTH($D103),"")</f>
        <v/>
      </c>
      <c r="AX103" s="86" t="str">
        <f>+IF($AG103=AX$22,MONTH($D103),"")</f>
        <v/>
      </c>
      <c r="AY103" s="89"/>
      <c r="AZ103" s="89"/>
      <c r="BA103" s="89"/>
      <c r="BB103" s="89"/>
      <c r="BC103" s="89"/>
      <c r="BD103" s="89"/>
      <c r="BE103" s="89"/>
      <c r="BF103" s="89"/>
      <c r="BG103" s="89"/>
      <c r="BH103" s="89"/>
      <c r="BI103" s="89"/>
      <c r="BJ103" s="89"/>
      <c r="BK103" s="89"/>
      <c r="BL103" s="89"/>
      <c r="BM103" s="89"/>
      <c r="BN103" s="89"/>
      <c r="BO103" s="89"/>
      <c r="BP103" s="89"/>
    </row>
    <row r="104" spans="1:68" s="56" customFormat="1" ht="46.5" hidden="1" customHeight="1">
      <c r="A104" s="204">
        <f>+IFERROR(VALUE(MID(AB104,4,4)),"")</f>
        <v>390</v>
      </c>
      <c r="B104" s="204">
        <f>VALUE(RIGHT(C104,LEN(C104)-2))</f>
        <v>2618</v>
      </c>
      <c r="C104" s="74" t="s">
        <v>560</v>
      </c>
      <c r="D104" s="75">
        <v>45752</v>
      </c>
      <c r="E104" s="70" t="s">
        <v>262</v>
      </c>
      <c r="F104" s="70" t="s">
        <v>270</v>
      </c>
      <c r="G104" s="68"/>
      <c r="H104" s="307" t="s">
        <v>494</v>
      </c>
      <c r="I104" s="69" t="s">
        <v>561</v>
      </c>
      <c r="J104" s="69"/>
      <c r="K104" s="68" t="s">
        <v>13</v>
      </c>
      <c r="L104" s="69" t="s">
        <v>120</v>
      </c>
      <c r="M104" s="71" t="s">
        <v>141</v>
      </c>
      <c r="N104" s="69" t="e" vm="1">
        <v>#VALUE!</v>
      </c>
      <c r="O104" s="84">
        <v>45757</v>
      </c>
      <c r="P104" s="72" t="s">
        <v>402</v>
      </c>
      <c r="Q104" s="72" t="s">
        <v>220</v>
      </c>
      <c r="R104" s="72" t="s">
        <v>221</v>
      </c>
      <c r="S104" s="146"/>
      <c r="T104" s="68" t="s">
        <v>3</v>
      </c>
      <c r="U104" s="87"/>
      <c r="V104" s="80">
        <v>45792</v>
      </c>
      <c r="W104" s="73">
        <v>95</v>
      </c>
      <c r="X104" s="73">
        <v>4.1120000000000001</v>
      </c>
      <c r="Y104" s="169">
        <f>IF(SUM(W104:W104)&gt;0,X104/SUM(W104:W104)*1000000,"N/A")</f>
        <v>43284.210526315794</v>
      </c>
      <c r="Z104" s="80"/>
      <c r="AA104" s="80"/>
      <c r="AB104" s="73" t="s">
        <v>562</v>
      </c>
      <c r="AC104" s="153"/>
      <c r="AD104" s="330"/>
      <c r="AE104" s="305"/>
      <c r="AF104" s="88"/>
      <c r="AG104" s="182">
        <f>YEAR(D104)</f>
        <v>2025</v>
      </c>
      <c r="AH104" s="86" t="str">
        <f>+IF(AG104=$AH$22,MONTH(V104),"")</f>
        <v/>
      </c>
      <c r="AI104" s="86">
        <f>+IF(AG104=$AI$22,MONTH(V104),"")</f>
        <v>5</v>
      </c>
      <c r="AJ104" s="86" t="str">
        <f>+IF(AG104=$AJ$22,MONTH(V104),"")</f>
        <v/>
      </c>
      <c r="AK104" s="86" t="str">
        <f>+IF(AG104=$AK$22,MONTH(V104),"")</f>
        <v/>
      </c>
      <c r="AL104" s="86" t="str">
        <f>+IF(AG104=$AL$22,MONTH(V104),"")</f>
        <v/>
      </c>
      <c r="AM104" s="86" t="str">
        <f>+IF($AG104=$AM$22,MONTH($D104),"")</f>
        <v/>
      </c>
      <c r="AN104" s="89" t="str">
        <f>+IF($AG104=AN$22,MONTH($D104),"")</f>
        <v/>
      </c>
      <c r="AO104" s="89" t="str">
        <f>+IF($AG104=AO$22,MONTH($D104),"")</f>
        <v/>
      </c>
      <c r="AP104" s="89" t="str">
        <f>+IF($AG104=AP$22,MONTH($D104),"")</f>
        <v/>
      </c>
      <c r="AQ104" s="89" t="str">
        <f>+IF($AG104=AQ$22,MONTH($D104),"")</f>
        <v/>
      </c>
      <c r="AR104" s="89" t="str">
        <f>+IF($AG104=AR$22,MONTH($D104),"")</f>
        <v/>
      </c>
      <c r="AS104" s="89" t="str">
        <f>+IF($AG104=AS$22,MONTH($D104),"")</f>
        <v/>
      </c>
      <c r="AT104" s="89" t="str">
        <f>+IF($AG104=AT$22,MONTH($D104),"")</f>
        <v/>
      </c>
      <c r="AU104" s="89" t="str">
        <f>+IF($AG104=AU$22,MONTH($D104),"")</f>
        <v/>
      </c>
      <c r="AV104" s="89" t="str">
        <f>+IF($AG104=AV$22,MONTH($D104),"")</f>
        <v/>
      </c>
      <c r="AW104" s="86" t="str">
        <f>+IF($AG104=AW$22,MONTH($D104),"")</f>
        <v/>
      </c>
      <c r="AX104" s="86" t="str">
        <f>+IF($AG104=AX$22,MONTH($D104),"")</f>
        <v/>
      </c>
      <c r="AY104" s="89"/>
      <c r="AZ104" s="89"/>
      <c r="BA104" s="89"/>
      <c r="BB104" s="89"/>
      <c r="BC104" s="89"/>
      <c r="BD104" s="89"/>
      <c r="BE104" s="89"/>
      <c r="BF104" s="89"/>
      <c r="BG104" s="89"/>
      <c r="BH104" s="89"/>
      <c r="BI104" s="89"/>
      <c r="BJ104" s="89"/>
      <c r="BK104" s="89"/>
      <c r="BL104" s="89"/>
      <c r="BM104" s="89"/>
      <c r="BN104" s="89"/>
      <c r="BO104" s="89"/>
      <c r="BP104" s="89"/>
    </row>
    <row r="105" spans="1:68" s="56" customFormat="1" ht="46.5" hidden="1" customHeight="1">
      <c r="A105" s="204">
        <f>+IFERROR(VALUE(MID(AB105,4,4)),"")</f>
        <v>390</v>
      </c>
      <c r="B105" s="204">
        <f>VALUE(RIGHT(C105,LEN(C105)-2))</f>
        <v>2617</v>
      </c>
      <c r="C105" s="74" t="s">
        <v>563</v>
      </c>
      <c r="D105" s="75">
        <v>45752</v>
      </c>
      <c r="E105" s="70" t="s">
        <v>262</v>
      </c>
      <c r="F105" s="70" t="s">
        <v>270</v>
      </c>
      <c r="G105" s="68"/>
      <c r="H105" s="307" t="s">
        <v>494</v>
      </c>
      <c r="I105" s="69" t="s">
        <v>564</v>
      </c>
      <c r="J105" s="69"/>
      <c r="K105" s="68" t="s">
        <v>13</v>
      </c>
      <c r="L105" s="69" t="s">
        <v>120</v>
      </c>
      <c r="M105" s="71" t="s">
        <v>141</v>
      </c>
      <c r="N105" s="69" t="e" vm="1">
        <v>#VALUE!</v>
      </c>
      <c r="O105" s="84">
        <v>45757</v>
      </c>
      <c r="P105" s="72" t="s">
        <v>402</v>
      </c>
      <c r="Q105" s="72" t="s">
        <v>220</v>
      </c>
      <c r="R105" s="72" t="s">
        <v>221</v>
      </c>
      <c r="S105" s="146"/>
      <c r="T105" s="68" t="s">
        <v>3</v>
      </c>
      <c r="U105" s="87"/>
      <c r="V105" s="80">
        <v>45762</v>
      </c>
      <c r="W105" s="73">
        <v>64</v>
      </c>
      <c r="X105" s="73">
        <v>2.302</v>
      </c>
      <c r="Y105" s="169">
        <f>IF(SUM(W105:W105)&gt;0,X105/SUM(W105:W105)*1000000,"N/A")</f>
        <v>35968.75</v>
      </c>
      <c r="Z105" s="80"/>
      <c r="AA105" s="80"/>
      <c r="AB105" s="73" t="s">
        <v>565</v>
      </c>
      <c r="AC105" s="153"/>
      <c r="AD105" s="330"/>
      <c r="AE105" s="305"/>
      <c r="AF105" s="88"/>
      <c r="AG105" s="182">
        <f>YEAR(D105)</f>
        <v>2025</v>
      </c>
      <c r="AH105" s="86" t="str">
        <f>+IF(AG105=$AH$22,MONTH(V105),"")</f>
        <v/>
      </c>
      <c r="AI105" s="86">
        <f>+IF(AG105=$AI$22,MONTH(V105),"")</f>
        <v>4</v>
      </c>
      <c r="AJ105" s="86" t="str">
        <f>+IF(AG105=$AJ$22,MONTH(V105),"")</f>
        <v/>
      </c>
      <c r="AK105" s="86" t="str">
        <f>+IF(AG105=$AK$22,MONTH(V105),"")</f>
        <v/>
      </c>
      <c r="AL105" s="86" t="str">
        <f>+IF(AG105=$AL$22,MONTH(V105),"")</f>
        <v/>
      </c>
      <c r="AM105" s="86" t="str">
        <f>+IF($AG105=$AM$22,MONTH($D105),"")</f>
        <v/>
      </c>
      <c r="AN105" s="89" t="str">
        <f>+IF($AG105=AN$22,MONTH($D105),"")</f>
        <v/>
      </c>
      <c r="AO105" s="89" t="str">
        <f>+IF($AG105=AO$22,MONTH($D105),"")</f>
        <v/>
      </c>
      <c r="AP105" s="89" t="str">
        <f>+IF($AG105=AP$22,MONTH($D105),"")</f>
        <v/>
      </c>
      <c r="AQ105" s="89" t="str">
        <f>+IF($AG105=AQ$22,MONTH($D105),"")</f>
        <v/>
      </c>
      <c r="AR105" s="89" t="str">
        <f>+IF($AG105=AR$22,MONTH($D105),"")</f>
        <v/>
      </c>
      <c r="AS105" s="89" t="str">
        <f>+IF($AG105=AS$22,MONTH($D105),"")</f>
        <v/>
      </c>
      <c r="AT105" s="89" t="str">
        <f>+IF($AG105=AT$22,MONTH($D105),"")</f>
        <v/>
      </c>
      <c r="AU105" s="89" t="str">
        <f>+IF($AG105=AU$22,MONTH($D105),"")</f>
        <v/>
      </c>
      <c r="AV105" s="89" t="str">
        <f>+IF($AG105=AV$22,MONTH($D105),"")</f>
        <v/>
      </c>
      <c r="AW105" s="86" t="str">
        <f>+IF($AG105=AW$22,MONTH($D105),"")</f>
        <v/>
      </c>
      <c r="AX105" s="86" t="str">
        <f>+IF($AG105=AX$22,MONTH($D105),"")</f>
        <v/>
      </c>
      <c r="AY105" s="89"/>
      <c r="AZ105" s="89"/>
      <c r="BA105" s="89"/>
      <c r="BB105" s="89"/>
      <c r="BC105" s="89"/>
      <c r="BD105" s="89"/>
      <c r="BE105" s="89"/>
      <c r="BF105" s="89"/>
      <c r="BG105" s="89"/>
      <c r="BH105" s="89"/>
      <c r="BI105" s="89"/>
      <c r="BJ105" s="89"/>
      <c r="BK105" s="89"/>
      <c r="BL105" s="89"/>
      <c r="BM105" s="89"/>
      <c r="BN105" s="89"/>
      <c r="BO105" s="89"/>
      <c r="BP105" s="89"/>
    </row>
    <row r="106" spans="1:68" s="56" customFormat="1" ht="46.5" hidden="1" customHeight="1">
      <c r="A106" s="204">
        <f>+IFERROR(VALUE(MID(AB106,4,4)),"")</f>
        <v>390</v>
      </c>
      <c r="B106" s="204">
        <f>VALUE(RIGHT(C106,LEN(C106)-2))</f>
        <v>2616</v>
      </c>
      <c r="C106" s="74" t="s">
        <v>566</v>
      </c>
      <c r="D106" s="75">
        <v>45752</v>
      </c>
      <c r="E106" s="70" t="s">
        <v>262</v>
      </c>
      <c r="F106" s="70" t="s">
        <v>270</v>
      </c>
      <c r="G106" s="68"/>
      <c r="H106" s="307" t="s">
        <v>494</v>
      </c>
      <c r="I106" s="69" t="s">
        <v>567</v>
      </c>
      <c r="J106" s="69"/>
      <c r="K106" s="68" t="s">
        <v>13</v>
      </c>
      <c r="L106" s="69" t="s">
        <v>120</v>
      </c>
      <c r="M106" s="71" t="s">
        <v>141</v>
      </c>
      <c r="N106" s="69" t="e" vm="1">
        <v>#VALUE!</v>
      </c>
      <c r="O106" s="84">
        <v>45757</v>
      </c>
      <c r="P106" s="72" t="s">
        <v>402</v>
      </c>
      <c r="Q106" s="72" t="s">
        <v>220</v>
      </c>
      <c r="R106" s="72" t="s">
        <v>221</v>
      </c>
      <c r="S106" s="146"/>
      <c r="T106" s="68" t="s">
        <v>3</v>
      </c>
      <c r="U106" s="87"/>
      <c r="V106" s="80">
        <v>45762</v>
      </c>
      <c r="W106" s="73">
        <v>32</v>
      </c>
      <c r="X106" s="73">
        <v>1.423</v>
      </c>
      <c r="Y106" s="169">
        <f>IF(SUM(W106:W106)&gt;0,X106/SUM(W106:W106)*1000000,"N/A")</f>
        <v>44468.75</v>
      </c>
      <c r="Z106" s="80"/>
      <c r="AA106" s="80"/>
      <c r="AB106" s="73" t="s">
        <v>568</v>
      </c>
      <c r="AC106" s="153"/>
      <c r="AD106" s="330"/>
      <c r="AE106" s="305"/>
      <c r="AF106" s="88"/>
      <c r="AG106" s="182">
        <f>YEAR(D106)</f>
        <v>2025</v>
      </c>
      <c r="AH106" s="86" t="str">
        <f>+IF(AG106=$AH$22,MONTH(V106),"")</f>
        <v/>
      </c>
      <c r="AI106" s="86">
        <f>+IF(AG106=$AI$22,MONTH(V106),"")</f>
        <v>4</v>
      </c>
      <c r="AJ106" s="86" t="str">
        <f>+IF(AG106=$AJ$22,MONTH(V106),"")</f>
        <v/>
      </c>
      <c r="AK106" s="86" t="str">
        <f>+IF(AG106=$AK$22,MONTH(V106),"")</f>
        <v/>
      </c>
      <c r="AL106" s="86" t="str">
        <f>+IF(AG106=$AL$22,MONTH(V106),"")</f>
        <v/>
      </c>
      <c r="AM106" s="86" t="str">
        <f>+IF($AG106=$AM$22,MONTH($D106),"")</f>
        <v/>
      </c>
      <c r="AN106" s="89" t="str">
        <f>+IF($AG106=AN$22,MONTH($D106),"")</f>
        <v/>
      </c>
      <c r="AO106" s="89" t="str">
        <f>+IF($AG106=AO$22,MONTH($D106),"")</f>
        <v/>
      </c>
      <c r="AP106" s="89" t="str">
        <f>+IF($AG106=AP$22,MONTH($D106),"")</f>
        <v/>
      </c>
      <c r="AQ106" s="89" t="str">
        <f>+IF($AG106=AQ$22,MONTH($D106),"")</f>
        <v/>
      </c>
      <c r="AR106" s="89" t="str">
        <f>+IF($AG106=AR$22,MONTH($D106),"")</f>
        <v/>
      </c>
      <c r="AS106" s="89" t="str">
        <f>+IF($AG106=AS$22,MONTH($D106),"")</f>
        <v/>
      </c>
      <c r="AT106" s="89" t="str">
        <f>+IF($AG106=AT$22,MONTH($D106),"")</f>
        <v/>
      </c>
      <c r="AU106" s="89" t="str">
        <f>+IF($AG106=AU$22,MONTH($D106),"")</f>
        <v/>
      </c>
      <c r="AV106" s="89" t="str">
        <f>+IF($AG106=AV$22,MONTH($D106),"")</f>
        <v/>
      </c>
      <c r="AW106" s="86" t="str">
        <f>+IF($AG106=AW$22,MONTH($D106),"")</f>
        <v/>
      </c>
      <c r="AX106" s="86" t="str">
        <f>+IF($AG106=AX$22,MONTH($D106),"")</f>
        <v/>
      </c>
      <c r="AY106" s="89"/>
      <c r="AZ106" s="89"/>
      <c r="BA106" s="89"/>
      <c r="BB106" s="89"/>
      <c r="BC106" s="89"/>
      <c r="BD106" s="89"/>
      <c r="BE106" s="89"/>
      <c r="BF106" s="89"/>
      <c r="BG106" s="89"/>
      <c r="BH106" s="89"/>
      <c r="BI106" s="89"/>
      <c r="BJ106" s="89"/>
      <c r="BK106" s="89"/>
      <c r="BL106" s="89"/>
      <c r="BM106" s="89"/>
      <c r="BN106" s="89"/>
      <c r="BO106" s="89"/>
      <c r="BP106" s="89"/>
    </row>
    <row r="107" spans="1:68" s="56" customFormat="1" ht="46.5" hidden="1" customHeight="1">
      <c r="A107" s="204">
        <f>+IFERROR(VALUE(MID(AB107,4,4)),"")</f>
        <v>390</v>
      </c>
      <c r="B107" s="204">
        <f>VALUE(RIGHT(C107,LEN(C107)-2))</f>
        <v>2615</v>
      </c>
      <c r="C107" s="74" t="s">
        <v>569</v>
      </c>
      <c r="D107" s="75">
        <v>45721</v>
      </c>
      <c r="E107" s="70" t="s">
        <v>262</v>
      </c>
      <c r="F107" s="70" t="s">
        <v>270</v>
      </c>
      <c r="G107" s="68"/>
      <c r="H107" s="307" t="s">
        <v>494</v>
      </c>
      <c r="I107" s="69" t="s">
        <v>570</v>
      </c>
      <c r="J107" s="69"/>
      <c r="K107" s="68" t="s">
        <v>13</v>
      </c>
      <c r="L107" s="69" t="s">
        <v>120</v>
      </c>
      <c r="M107" s="71" t="s">
        <v>141</v>
      </c>
      <c r="N107" s="69" t="e" vm="1">
        <v>#VALUE!</v>
      </c>
      <c r="O107" s="84">
        <v>45757</v>
      </c>
      <c r="P107" s="72" t="s">
        <v>402</v>
      </c>
      <c r="Q107" s="72" t="s">
        <v>220</v>
      </c>
      <c r="R107" s="72" t="s">
        <v>221</v>
      </c>
      <c r="S107" s="146"/>
      <c r="T107" s="68" t="s">
        <v>3</v>
      </c>
      <c r="U107" s="87"/>
      <c r="V107" s="80">
        <v>45762</v>
      </c>
      <c r="W107" s="73">
        <v>1357</v>
      </c>
      <c r="X107" s="73">
        <v>61.816000000000003</v>
      </c>
      <c r="Y107" s="169">
        <f>IF(SUM(W107:W107)&gt;0,X107/SUM(W107:W107)*1000000,"N/A")</f>
        <v>45553.426676492265</v>
      </c>
      <c r="Z107" s="80"/>
      <c r="AA107" s="80"/>
      <c r="AB107" s="73" t="s">
        <v>571</v>
      </c>
      <c r="AC107" s="153"/>
      <c r="AD107" s="330"/>
      <c r="AE107" s="305"/>
      <c r="AF107" s="88"/>
      <c r="AG107" s="182">
        <f>YEAR(D107)</f>
        <v>2025</v>
      </c>
      <c r="AH107" s="86" t="str">
        <f>+IF(AG107=$AH$22,MONTH(V107),"")</f>
        <v/>
      </c>
      <c r="AI107" s="86">
        <f>+IF(AG107=$AI$22,MONTH(V107),"")</f>
        <v>4</v>
      </c>
      <c r="AJ107" s="86" t="str">
        <f>+IF(AG107=$AJ$22,MONTH(V107),"")</f>
        <v/>
      </c>
      <c r="AK107" s="86" t="str">
        <f>+IF(AG107=$AK$22,MONTH(V107),"")</f>
        <v/>
      </c>
      <c r="AL107" s="86" t="str">
        <f>+IF(AG107=$AL$22,MONTH(V107),"")</f>
        <v/>
      </c>
      <c r="AM107" s="86" t="str">
        <f>+IF($AG107=$AM$22,MONTH($D107),"")</f>
        <v/>
      </c>
      <c r="AN107" s="89" t="str">
        <f>+IF($AG107=AN$22,MONTH($D107),"")</f>
        <v/>
      </c>
      <c r="AO107" s="89" t="str">
        <f>+IF($AG107=AO$22,MONTH($D107),"")</f>
        <v/>
      </c>
      <c r="AP107" s="89" t="str">
        <f>+IF($AG107=AP$22,MONTH($D107),"")</f>
        <v/>
      </c>
      <c r="AQ107" s="89" t="str">
        <f>+IF($AG107=AQ$22,MONTH($D107),"")</f>
        <v/>
      </c>
      <c r="AR107" s="89" t="str">
        <f>+IF($AG107=AR$22,MONTH($D107),"")</f>
        <v/>
      </c>
      <c r="AS107" s="89" t="str">
        <f>+IF($AG107=AS$22,MONTH($D107),"")</f>
        <v/>
      </c>
      <c r="AT107" s="89" t="str">
        <f>+IF($AG107=AT$22,MONTH($D107),"")</f>
        <v/>
      </c>
      <c r="AU107" s="89" t="str">
        <f>+IF($AG107=AU$22,MONTH($D107),"")</f>
        <v/>
      </c>
      <c r="AV107" s="89" t="str">
        <f>+IF($AG107=AV$22,MONTH($D107),"")</f>
        <v/>
      </c>
      <c r="AW107" s="86" t="str">
        <f>+IF($AG107=AW$22,MONTH($D107),"")</f>
        <v/>
      </c>
      <c r="AX107" s="86" t="str">
        <f>+IF($AG107=AX$22,MONTH($D107),"")</f>
        <v/>
      </c>
      <c r="AY107" s="89"/>
      <c r="AZ107" s="89"/>
      <c r="BA107" s="89"/>
      <c r="BB107" s="89"/>
      <c r="BC107" s="89"/>
      <c r="BD107" s="89"/>
      <c r="BE107" s="89"/>
      <c r="BF107" s="89"/>
      <c r="BG107" s="89"/>
      <c r="BH107" s="89"/>
      <c r="BI107" s="89"/>
      <c r="BJ107" s="89"/>
      <c r="BK107" s="89"/>
      <c r="BL107" s="89"/>
      <c r="BM107" s="89"/>
      <c r="BN107" s="89"/>
      <c r="BO107" s="89"/>
      <c r="BP107" s="89"/>
    </row>
    <row r="108" spans="1:68" s="56" customFormat="1" ht="46.5" hidden="1" customHeight="1">
      <c r="A108" s="204">
        <f>+IFERROR(VALUE(MID(AB108,4,4)),"")</f>
        <v>390</v>
      </c>
      <c r="B108" s="204">
        <f>VALUE(RIGHT(C108,LEN(C108)-2))</f>
        <v>2614</v>
      </c>
      <c r="C108" s="74" t="s">
        <v>572</v>
      </c>
      <c r="D108" s="75">
        <v>45721</v>
      </c>
      <c r="E108" s="70" t="s">
        <v>262</v>
      </c>
      <c r="F108" s="70" t="s">
        <v>270</v>
      </c>
      <c r="G108" s="68"/>
      <c r="H108" s="307" t="s">
        <v>494</v>
      </c>
      <c r="I108" s="69" t="s">
        <v>573</v>
      </c>
      <c r="J108" s="69"/>
      <c r="K108" s="68" t="s">
        <v>13</v>
      </c>
      <c r="L108" s="69" t="s">
        <v>120</v>
      </c>
      <c r="M108" s="71" t="s">
        <v>141</v>
      </c>
      <c r="N108" s="69" t="e" vm="1">
        <v>#VALUE!</v>
      </c>
      <c r="O108" s="84">
        <v>45726</v>
      </c>
      <c r="P108" s="72" t="s">
        <v>402</v>
      </c>
      <c r="Q108" s="72" t="s">
        <v>220</v>
      </c>
      <c r="R108" s="72" t="s">
        <v>221</v>
      </c>
      <c r="S108" s="146"/>
      <c r="T108" s="68" t="s">
        <v>3</v>
      </c>
      <c r="U108" s="87"/>
      <c r="V108" s="80">
        <v>45731</v>
      </c>
      <c r="W108" s="73">
        <v>416</v>
      </c>
      <c r="X108" s="214">
        <v>14.339</v>
      </c>
      <c r="Y108" s="169">
        <f>IF(SUM(W108:W108)&gt;0,X108/SUM(W108:W108)*1000000,"N/A")</f>
        <v>34468.75</v>
      </c>
      <c r="Z108" s="80"/>
      <c r="AA108" s="80"/>
      <c r="AB108" s="73" t="s">
        <v>574</v>
      </c>
      <c r="AC108" s="153"/>
      <c r="AD108" s="330"/>
      <c r="AE108" s="305"/>
      <c r="AF108" s="88"/>
      <c r="AG108" s="182">
        <f>YEAR(D108)</f>
        <v>2025</v>
      </c>
      <c r="AH108" s="86" t="str">
        <f>+IF(AG108=$AH$22,MONTH(V108),"")</f>
        <v/>
      </c>
      <c r="AI108" s="86">
        <f>+IF(AG108=$AI$22,MONTH(V108),"")</f>
        <v>3</v>
      </c>
      <c r="AJ108" s="86" t="str">
        <f>+IF(AG108=$AJ$22,MONTH(V108),"")</f>
        <v/>
      </c>
      <c r="AK108" s="86" t="str">
        <f>+IF(AG108=$AK$22,MONTH(V108),"")</f>
        <v/>
      </c>
      <c r="AL108" s="86" t="str">
        <f>+IF(AG108=$AL$22,MONTH(V108),"")</f>
        <v/>
      </c>
      <c r="AM108" s="86" t="str">
        <f>+IF($AG108=$AM$22,MONTH($D108),"")</f>
        <v/>
      </c>
      <c r="AN108" s="89" t="str">
        <f>+IF($AG108=AN$22,MONTH($D108),"")</f>
        <v/>
      </c>
      <c r="AO108" s="89" t="str">
        <f>+IF($AG108=AO$22,MONTH($D108),"")</f>
        <v/>
      </c>
      <c r="AP108" s="89" t="str">
        <f>+IF($AG108=AP$22,MONTH($D108),"")</f>
        <v/>
      </c>
      <c r="AQ108" s="89" t="str">
        <f>+IF($AG108=AQ$22,MONTH($D108),"")</f>
        <v/>
      </c>
      <c r="AR108" s="89" t="str">
        <f>+IF($AG108=AR$22,MONTH($D108),"")</f>
        <v/>
      </c>
      <c r="AS108" s="89" t="str">
        <f>+IF($AG108=AS$22,MONTH($D108),"")</f>
        <v/>
      </c>
      <c r="AT108" s="89" t="str">
        <f>+IF($AG108=AT$22,MONTH($D108),"")</f>
        <v/>
      </c>
      <c r="AU108" s="89" t="str">
        <f>+IF($AG108=AU$22,MONTH($D108),"")</f>
        <v/>
      </c>
      <c r="AV108" s="89" t="str">
        <f>+IF($AG108=AV$22,MONTH($D108),"")</f>
        <v/>
      </c>
      <c r="AW108" s="86" t="str">
        <f>+IF($AG108=AW$22,MONTH($D108),"")</f>
        <v/>
      </c>
      <c r="AX108" s="86" t="str">
        <f>+IF($AG108=AX$22,MONTH($D108),"")</f>
        <v/>
      </c>
      <c r="AY108" s="89"/>
      <c r="AZ108" s="89"/>
      <c r="BA108" s="89"/>
      <c r="BB108" s="89"/>
      <c r="BC108" s="89"/>
      <c r="BD108" s="89"/>
      <c r="BE108" s="89"/>
      <c r="BF108" s="89"/>
      <c r="BG108" s="89"/>
      <c r="BH108" s="89"/>
      <c r="BI108" s="89"/>
      <c r="BJ108" s="89"/>
      <c r="BK108" s="89"/>
      <c r="BL108" s="89"/>
      <c r="BM108" s="89"/>
      <c r="BN108" s="89"/>
      <c r="BO108" s="89"/>
      <c r="BP108" s="89"/>
    </row>
    <row r="109" spans="1:68" s="56" customFormat="1" ht="46.5" hidden="1" customHeight="1">
      <c r="A109" s="204">
        <f>+IFERROR(VALUE(MID(AB109,4,4)),"")</f>
        <v>390</v>
      </c>
      <c r="B109" s="204">
        <f>VALUE(RIGHT(C109,LEN(C109)-2))</f>
        <v>2613</v>
      </c>
      <c r="C109" s="74" t="s">
        <v>575</v>
      </c>
      <c r="D109" s="75">
        <v>45721</v>
      </c>
      <c r="E109" s="70" t="s">
        <v>262</v>
      </c>
      <c r="F109" s="70" t="s">
        <v>270</v>
      </c>
      <c r="G109" s="68"/>
      <c r="H109" s="307" t="s">
        <v>494</v>
      </c>
      <c r="I109" s="69" t="s">
        <v>576</v>
      </c>
      <c r="J109" s="69"/>
      <c r="K109" s="68" t="s">
        <v>13</v>
      </c>
      <c r="L109" s="69" t="s">
        <v>120</v>
      </c>
      <c r="M109" s="71" t="s">
        <v>141</v>
      </c>
      <c r="N109" s="69" t="e" vm="1">
        <v>#VALUE!</v>
      </c>
      <c r="O109" s="84">
        <v>45726</v>
      </c>
      <c r="P109" s="72" t="s">
        <v>402</v>
      </c>
      <c r="Q109" s="72" t="s">
        <v>220</v>
      </c>
      <c r="R109" s="72" t="s">
        <v>221</v>
      </c>
      <c r="S109" s="146"/>
      <c r="T109" s="68" t="s">
        <v>3</v>
      </c>
      <c r="U109" s="87"/>
      <c r="V109" s="80">
        <v>45731</v>
      </c>
      <c r="W109" s="73">
        <v>78</v>
      </c>
      <c r="X109" s="214">
        <v>2.3490000000000002</v>
      </c>
      <c r="Y109" s="169">
        <f>IF(SUM(W109:W109)&gt;0,X109/SUM(W109:W109)*1000000,"N/A")</f>
        <v>30115.384615384617</v>
      </c>
      <c r="Z109" s="80"/>
      <c r="AA109" s="80"/>
      <c r="AB109" s="73" t="s">
        <v>577</v>
      </c>
      <c r="AC109" s="153"/>
      <c r="AD109" s="330"/>
      <c r="AE109" s="305"/>
      <c r="AF109" s="88"/>
      <c r="AG109" s="182">
        <f>YEAR(D109)</f>
        <v>2025</v>
      </c>
      <c r="AH109" s="86" t="str">
        <f>+IF(AG109=$AH$22,MONTH(V109),"")</f>
        <v/>
      </c>
      <c r="AI109" s="86">
        <f>+IF(AG109=$AI$22,MONTH(V109),"")</f>
        <v>3</v>
      </c>
      <c r="AJ109" s="86" t="str">
        <f>+IF(AG109=$AJ$22,MONTH(V109),"")</f>
        <v/>
      </c>
      <c r="AK109" s="86" t="str">
        <f>+IF(AG109=$AK$22,MONTH(V109),"")</f>
        <v/>
      </c>
      <c r="AL109" s="86" t="str">
        <f>+IF(AG109=$AL$22,MONTH(V109),"")</f>
        <v/>
      </c>
      <c r="AM109" s="86" t="str">
        <f>+IF($AG109=$AM$22,MONTH($D109),"")</f>
        <v/>
      </c>
      <c r="AN109" s="89" t="str">
        <f>+IF($AG109=AN$22,MONTH($D109),"")</f>
        <v/>
      </c>
      <c r="AO109" s="89" t="str">
        <f>+IF($AG109=AO$22,MONTH($D109),"")</f>
        <v/>
      </c>
      <c r="AP109" s="89" t="str">
        <f>+IF($AG109=AP$22,MONTH($D109),"")</f>
        <v/>
      </c>
      <c r="AQ109" s="89" t="str">
        <f>+IF($AG109=AQ$22,MONTH($D109),"")</f>
        <v/>
      </c>
      <c r="AR109" s="89" t="str">
        <f>+IF($AG109=AR$22,MONTH($D109),"")</f>
        <v/>
      </c>
      <c r="AS109" s="89" t="str">
        <f>+IF($AG109=AS$22,MONTH($D109),"")</f>
        <v/>
      </c>
      <c r="AT109" s="89" t="str">
        <f>+IF($AG109=AT$22,MONTH($D109),"")</f>
        <v/>
      </c>
      <c r="AU109" s="89" t="str">
        <f>+IF($AG109=AU$22,MONTH($D109),"")</f>
        <v/>
      </c>
      <c r="AV109" s="89" t="str">
        <f>+IF($AG109=AV$22,MONTH($D109),"")</f>
        <v/>
      </c>
      <c r="AW109" s="86" t="str">
        <f>+IF($AG109=AW$22,MONTH($D109),"")</f>
        <v/>
      </c>
      <c r="AX109" s="86" t="str">
        <f>+IF($AG109=AX$22,MONTH($D109),"")</f>
        <v/>
      </c>
      <c r="AY109" s="89"/>
      <c r="AZ109" s="89"/>
      <c r="BA109" s="89"/>
      <c r="BB109" s="89"/>
      <c r="BC109" s="89"/>
      <c r="BD109" s="89"/>
      <c r="BE109" s="89"/>
      <c r="BF109" s="89"/>
      <c r="BG109" s="89"/>
      <c r="BH109" s="89"/>
      <c r="BI109" s="89"/>
      <c r="BJ109" s="89"/>
      <c r="BK109" s="89"/>
      <c r="BL109" s="89"/>
      <c r="BM109" s="89"/>
      <c r="BN109" s="89"/>
      <c r="BO109" s="89"/>
      <c r="BP109" s="89"/>
    </row>
    <row r="110" spans="1:68" s="56" customFormat="1" ht="46.5" hidden="1" customHeight="1">
      <c r="A110" s="204">
        <f>+IFERROR(VALUE(MID(AB110,4,4)),"")</f>
        <v>390</v>
      </c>
      <c r="B110" s="204">
        <f>VALUE(RIGHT(C110,LEN(C110)-2))</f>
        <v>2612</v>
      </c>
      <c r="C110" s="74" t="s">
        <v>578</v>
      </c>
      <c r="D110" s="75">
        <v>45721</v>
      </c>
      <c r="E110" s="70" t="s">
        <v>262</v>
      </c>
      <c r="F110" s="70" t="s">
        <v>270</v>
      </c>
      <c r="G110" s="68"/>
      <c r="H110" s="307" t="s">
        <v>494</v>
      </c>
      <c r="I110" s="69" t="s">
        <v>579</v>
      </c>
      <c r="J110" s="69"/>
      <c r="K110" s="68" t="s">
        <v>13</v>
      </c>
      <c r="L110" s="69" t="s">
        <v>120</v>
      </c>
      <c r="M110" s="71" t="s">
        <v>141</v>
      </c>
      <c r="N110" s="69" t="e" vm="1">
        <v>#VALUE!</v>
      </c>
      <c r="O110" s="84">
        <v>45726</v>
      </c>
      <c r="P110" s="72" t="s">
        <v>402</v>
      </c>
      <c r="Q110" s="72" t="s">
        <v>220</v>
      </c>
      <c r="R110" s="72" t="s">
        <v>221</v>
      </c>
      <c r="S110" s="146"/>
      <c r="T110" s="68" t="s">
        <v>3</v>
      </c>
      <c r="U110" s="87"/>
      <c r="V110" s="80">
        <v>45731</v>
      </c>
      <c r="W110" s="73">
        <v>177</v>
      </c>
      <c r="X110" s="214">
        <v>7.0149999999999997</v>
      </c>
      <c r="Y110" s="169">
        <f>IF(SUM(W110:W110)&gt;0,X110/SUM(W110:W110)*1000000,"N/A")</f>
        <v>39632.768361581919</v>
      </c>
      <c r="Z110" s="80"/>
      <c r="AA110" s="80"/>
      <c r="AB110" s="73" t="s">
        <v>580</v>
      </c>
      <c r="AC110" s="153"/>
      <c r="AD110" s="330"/>
      <c r="AE110" s="305"/>
      <c r="AF110" s="88"/>
      <c r="AG110" s="182">
        <f>YEAR(D110)</f>
        <v>2025</v>
      </c>
      <c r="AH110" s="86" t="str">
        <f>+IF(AG110=$AH$22,MONTH(V110),"")</f>
        <v/>
      </c>
      <c r="AI110" s="86">
        <f>+IF(AG110=$AI$22,MONTH(V110),"")</f>
        <v>3</v>
      </c>
      <c r="AJ110" s="86" t="str">
        <f>+IF(AG110=$AJ$22,MONTH(V110),"")</f>
        <v/>
      </c>
      <c r="AK110" s="86" t="str">
        <f>+IF(AG110=$AK$22,MONTH(V110),"")</f>
        <v/>
      </c>
      <c r="AL110" s="86" t="str">
        <f>+IF(AG110=$AL$22,MONTH(V110),"")</f>
        <v/>
      </c>
      <c r="AM110" s="86" t="str">
        <f>+IF($AG110=$AM$22,MONTH($D110),"")</f>
        <v/>
      </c>
      <c r="AN110" s="89" t="str">
        <f>+IF($AG110=AN$22,MONTH($D110),"")</f>
        <v/>
      </c>
      <c r="AO110" s="89" t="str">
        <f>+IF($AG110=AO$22,MONTH($D110),"")</f>
        <v/>
      </c>
      <c r="AP110" s="89" t="str">
        <f>+IF($AG110=AP$22,MONTH($D110),"")</f>
        <v/>
      </c>
      <c r="AQ110" s="89" t="str">
        <f>+IF($AG110=AQ$22,MONTH($D110),"")</f>
        <v/>
      </c>
      <c r="AR110" s="89" t="str">
        <f>+IF($AG110=AR$22,MONTH($D110),"")</f>
        <v/>
      </c>
      <c r="AS110" s="89" t="str">
        <f>+IF($AG110=AS$22,MONTH($D110),"")</f>
        <v/>
      </c>
      <c r="AT110" s="89" t="str">
        <f>+IF($AG110=AT$22,MONTH($D110),"")</f>
        <v/>
      </c>
      <c r="AU110" s="89" t="str">
        <f>+IF($AG110=AU$22,MONTH($D110),"")</f>
        <v/>
      </c>
      <c r="AV110" s="89" t="str">
        <f>+IF($AG110=AV$22,MONTH($D110),"")</f>
        <v/>
      </c>
      <c r="AW110" s="86" t="str">
        <f>+IF($AG110=AW$22,MONTH($D110),"")</f>
        <v/>
      </c>
      <c r="AX110" s="86" t="str">
        <f>+IF($AG110=AX$22,MONTH($D110),"")</f>
        <v/>
      </c>
      <c r="AY110" s="89"/>
      <c r="AZ110" s="89"/>
      <c r="BA110" s="89"/>
      <c r="BB110" s="89"/>
      <c r="BC110" s="89"/>
      <c r="BD110" s="89"/>
      <c r="BE110" s="89"/>
      <c r="BF110" s="89"/>
      <c r="BG110" s="89"/>
      <c r="BH110" s="89"/>
      <c r="BI110" s="89"/>
      <c r="BJ110" s="89"/>
      <c r="BK110" s="89"/>
      <c r="BL110" s="89"/>
      <c r="BM110" s="89"/>
      <c r="BN110" s="89"/>
      <c r="BO110" s="89"/>
      <c r="BP110" s="89"/>
    </row>
    <row r="111" spans="1:68" s="382" customFormat="1" ht="51" hidden="1" customHeight="1">
      <c r="A111" s="204">
        <f>+IFERROR(VALUE(MID(AB111,4,4)),"")</f>
        <v>390</v>
      </c>
      <c r="B111" s="204">
        <f>VALUE(RIGHT(C111,LEN(C111)-2))</f>
        <v>2611</v>
      </c>
      <c r="C111" s="74" t="s">
        <v>581</v>
      </c>
      <c r="D111" s="75">
        <v>45966</v>
      </c>
      <c r="E111" s="70" t="s">
        <v>262</v>
      </c>
      <c r="F111" s="70" t="s">
        <v>270</v>
      </c>
      <c r="G111" s="68"/>
      <c r="H111" s="307" t="s">
        <v>494</v>
      </c>
      <c r="I111" s="69" t="s">
        <v>582</v>
      </c>
      <c r="J111" s="69"/>
      <c r="K111" s="68" t="s">
        <v>13</v>
      </c>
      <c r="L111" s="69" t="s">
        <v>120</v>
      </c>
      <c r="M111" s="71" t="s">
        <v>141</v>
      </c>
      <c r="N111" s="69" t="e" vm="1">
        <v>#VALUE!</v>
      </c>
      <c r="O111" s="84">
        <v>45978</v>
      </c>
      <c r="P111" s="72" t="s">
        <v>402</v>
      </c>
      <c r="Q111" s="72" t="s">
        <v>220</v>
      </c>
      <c r="R111" s="72" t="s">
        <v>221</v>
      </c>
      <c r="S111" s="146"/>
      <c r="T111" s="68" t="s">
        <v>3</v>
      </c>
      <c r="U111" s="87"/>
      <c r="V111" s="80">
        <v>45979</v>
      </c>
      <c r="W111" s="73">
        <v>610</v>
      </c>
      <c r="X111" s="73">
        <v>23.364999999999998</v>
      </c>
      <c r="Y111" s="169">
        <f>IF(SUM(W111:W111)&gt;0,X111/SUM(W111:W111)*1000000,"N/A")</f>
        <v>38303.278688524588</v>
      </c>
      <c r="Z111" s="80"/>
      <c r="AA111" s="80"/>
      <c r="AB111" s="73" t="s">
        <v>583</v>
      </c>
      <c r="AC111" s="153"/>
      <c r="AD111" s="330"/>
      <c r="AE111" s="305"/>
      <c r="AF111" s="88"/>
      <c r="AG111" s="182">
        <f>YEAR(D111)</f>
        <v>2025</v>
      </c>
      <c r="AH111" s="86" t="str">
        <f>+IF(AG111=$AH$22,MONTH(V111),"")</f>
        <v/>
      </c>
      <c r="AI111" s="86">
        <f>+IF(AG111=$AI$22,MONTH(V111),"")</f>
        <v>11</v>
      </c>
      <c r="AJ111" s="86" t="str">
        <f>+IF(AG111=$AJ$22,MONTH(V111),"")</f>
        <v/>
      </c>
      <c r="AK111" s="86" t="str">
        <f>+IF(AG111=$AK$22,MONTH(V111),"")</f>
        <v/>
      </c>
      <c r="AL111" s="86" t="str">
        <f>+IF(AG111=$AL$22,MONTH(V111),"")</f>
        <v/>
      </c>
      <c r="AM111" s="86" t="str">
        <f>+IF($AG111=$AM$22,MONTH($D111),"")</f>
        <v/>
      </c>
      <c r="AN111" s="89" t="str">
        <f>+IF($AG111=AN$22,MONTH($D111),"")</f>
        <v/>
      </c>
      <c r="AO111" s="89" t="str">
        <f>+IF($AG111=AO$22,MONTH($D111),"")</f>
        <v/>
      </c>
      <c r="AP111" s="89" t="str">
        <f>+IF($AG111=AP$22,MONTH($D111),"")</f>
        <v/>
      </c>
      <c r="AQ111" s="89" t="str">
        <f>+IF($AG111=AQ$22,MONTH($D111),"")</f>
        <v/>
      </c>
      <c r="AR111" s="89" t="str">
        <f>+IF($AG111=AR$22,MONTH($D111),"")</f>
        <v/>
      </c>
      <c r="AS111" s="89" t="str">
        <f>+IF($AG111=AS$22,MONTH($D111),"")</f>
        <v/>
      </c>
      <c r="AT111" s="89" t="str">
        <f>+IF($AG111=AT$22,MONTH($D111),"")</f>
        <v/>
      </c>
      <c r="AU111" s="89" t="str">
        <f>+IF($AG111=AU$22,MONTH($D111),"")</f>
        <v/>
      </c>
      <c r="AV111" s="89" t="str">
        <f>+IF($AG111=AV$22,MONTH($D111),"")</f>
        <v/>
      </c>
      <c r="AW111" s="86" t="str">
        <f>+IF($AG111=AW$22,MONTH($D111),"")</f>
        <v/>
      </c>
      <c r="AX111" s="86" t="str">
        <f>+IF($AG111=AX$22,MONTH($D111),"")</f>
        <v/>
      </c>
      <c r="AY111" s="89"/>
      <c r="AZ111" s="89"/>
      <c r="BA111" s="89"/>
      <c r="BB111" s="89"/>
      <c r="BC111" s="89"/>
      <c r="BD111" s="89"/>
      <c r="BE111" s="89"/>
      <c r="BF111" s="89"/>
      <c r="BG111" s="89"/>
      <c r="BH111" s="89"/>
      <c r="BI111" s="89"/>
      <c r="BJ111" s="89"/>
      <c r="BK111" s="89"/>
      <c r="BL111" s="89"/>
      <c r="BM111" s="89"/>
      <c r="BN111" s="89"/>
      <c r="BO111" s="89"/>
      <c r="BP111" s="89"/>
    </row>
    <row r="112" spans="1:68" s="56" customFormat="1" ht="46.5" hidden="1" customHeight="1">
      <c r="A112" s="204" t="str">
        <f>+IFERROR(VALUE(MID(AB112,4,4)),"")</f>
        <v/>
      </c>
      <c r="B112" s="204">
        <f>VALUE(RIGHT(C112,LEN(C112)-2))</f>
        <v>2610</v>
      </c>
      <c r="C112" s="74" t="s">
        <v>584</v>
      </c>
      <c r="D112" s="75">
        <v>46021</v>
      </c>
      <c r="E112" s="70" t="s">
        <v>53</v>
      </c>
      <c r="F112" s="70" t="s">
        <v>313</v>
      </c>
      <c r="G112" s="68" t="s">
        <v>210</v>
      </c>
      <c r="H112" s="379" t="s">
        <v>210</v>
      </c>
      <c r="I112" s="69" t="s">
        <v>585</v>
      </c>
      <c r="J112" s="69"/>
      <c r="K112" s="68" t="s">
        <v>9</v>
      </c>
      <c r="L112" s="69" t="s">
        <v>123</v>
      </c>
      <c r="M112" s="71" t="s">
        <v>141</v>
      </c>
      <c r="N112" s="69" t="e" vm="1">
        <v>#VALUE!</v>
      </c>
      <c r="O112" s="84">
        <v>46072</v>
      </c>
      <c r="P112" s="72" t="s">
        <v>586</v>
      </c>
      <c r="Q112" s="72" t="s">
        <v>405</v>
      </c>
      <c r="R112" s="72" t="s">
        <v>212</v>
      </c>
      <c r="S112" s="146" t="s">
        <v>587</v>
      </c>
      <c r="T112" s="68" t="s">
        <v>155</v>
      </c>
      <c r="U112" s="87"/>
      <c r="V112" s="80">
        <v>46070</v>
      </c>
      <c r="W112" s="73"/>
      <c r="X112" s="73"/>
      <c r="Y112" s="169" t="str">
        <f>IF(SUM(W112:W112)&gt;0,X112/SUM(W112:W112)*1000000,"N/A")</f>
        <v>N/A</v>
      </c>
      <c r="Z112" s="80"/>
      <c r="AA112" s="80"/>
      <c r="AB112" s="73"/>
      <c r="AC112" s="153"/>
      <c r="AD112" s="330"/>
      <c r="AE112" s="305"/>
      <c r="AF112" s="88"/>
      <c r="AG112" s="182">
        <f>YEAR(V112)</f>
        <v>2026</v>
      </c>
      <c r="AH112" s="86">
        <f>+IF(AG112=$AH$22,MONTH(V112),"")</f>
        <v>2</v>
      </c>
      <c r="AI112" s="86" t="str">
        <f>+IF(AG112=$AI$22,MONTH(V112),"")</f>
        <v/>
      </c>
      <c r="AJ112" s="86" t="str">
        <f>+IF(AG112=$AJ$22,MONTH(V112),"")</f>
        <v/>
      </c>
      <c r="AK112" s="86" t="str">
        <f>+IF(AG112=$AK$22,MONTH(V112),"")</f>
        <v/>
      </c>
      <c r="AL112" s="86" t="str">
        <f>+IF(AG112=$AL$22,MONTH(V112),"")</f>
        <v/>
      </c>
      <c r="AM112" s="86" t="str">
        <f>+IF($AG112=$AM$22,MONTH($D112),"")</f>
        <v/>
      </c>
      <c r="AN112" s="89" t="str">
        <f>+IF($AG112=AN$22,MONTH($D112),"")</f>
        <v/>
      </c>
      <c r="AO112" s="89" t="str">
        <f>+IF($AG112=AO$22,MONTH($D112),"")</f>
        <v/>
      </c>
      <c r="AP112" s="89" t="str">
        <f>+IF($AG112=AP$22,MONTH($D112),"")</f>
        <v/>
      </c>
      <c r="AQ112" s="89" t="str">
        <f>+IF($AG112=AQ$22,MONTH($D112),"")</f>
        <v/>
      </c>
      <c r="AR112" s="89" t="str">
        <f>+IF($AG112=AR$22,MONTH($D112),"")</f>
        <v/>
      </c>
      <c r="AS112" s="89" t="str">
        <f>+IF($AG112=AS$22,MONTH($D112),"")</f>
        <v/>
      </c>
      <c r="AT112" s="89" t="str">
        <f>+IF($AG112=AT$22,MONTH($D112),"")</f>
        <v/>
      </c>
      <c r="AU112" s="89" t="str">
        <f>+IF($AG112=AU$22,MONTH($D112),"")</f>
        <v/>
      </c>
      <c r="AV112" s="89" t="str">
        <f>+IF($AG112=AV$22,MONTH($D112),"")</f>
        <v/>
      </c>
      <c r="AW112" s="86" t="str">
        <f>+IF($AG112=AW$22,MONTH($D112),"")</f>
        <v/>
      </c>
      <c r="AX112" s="86" t="str">
        <f>+IF($AG112=AX$22,MONTH($D112),"")</f>
        <v/>
      </c>
      <c r="AY112" s="89"/>
      <c r="AZ112" s="89"/>
      <c r="BA112" s="89"/>
      <c r="BB112" s="89"/>
      <c r="BC112" s="89"/>
      <c r="BD112" s="89"/>
      <c r="BE112" s="89"/>
      <c r="BF112" s="89"/>
      <c r="BG112" s="89"/>
      <c r="BH112" s="89"/>
      <c r="BI112" s="89"/>
      <c r="BJ112" s="89"/>
      <c r="BK112" s="89"/>
      <c r="BL112" s="89"/>
      <c r="BM112" s="89"/>
      <c r="BN112" s="89"/>
      <c r="BO112" s="89"/>
      <c r="BP112" s="89"/>
    </row>
    <row r="113" spans="1:68" s="381" customFormat="1" ht="45.75" hidden="1" customHeight="1">
      <c r="A113" s="204">
        <f>+IFERROR(VALUE(MID(AB113,4,4)),"")</f>
        <v>439</v>
      </c>
      <c r="B113" s="204">
        <f>VALUE(RIGHT(C113,LEN(C113)-2))</f>
        <v>2609</v>
      </c>
      <c r="C113" s="74" t="s">
        <v>588</v>
      </c>
      <c r="D113" s="75">
        <v>45770</v>
      </c>
      <c r="E113" s="68" t="s">
        <v>51</v>
      </c>
      <c r="F113" s="68" t="s">
        <v>51</v>
      </c>
      <c r="G113" s="68" t="s">
        <v>210</v>
      </c>
      <c r="H113" s="304" t="s">
        <v>210</v>
      </c>
      <c r="I113" s="69" t="s">
        <v>589</v>
      </c>
      <c r="J113" s="69"/>
      <c r="K113" s="68" t="s">
        <v>11</v>
      </c>
      <c r="L113" s="69" t="s">
        <v>120</v>
      </c>
      <c r="M113" s="71" t="s">
        <v>141</v>
      </c>
      <c r="N113" s="69" t="e" vm="1">
        <v>#VALUE!</v>
      </c>
      <c r="O113" s="84">
        <v>46020</v>
      </c>
      <c r="P113" s="69" t="s">
        <v>274</v>
      </c>
      <c r="Q113" s="69" t="s">
        <v>220</v>
      </c>
      <c r="R113" s="69" t="s">
        <v>221</v>
      </c>
      <c r="S113" s="146"/>
      <c r="T113" s="68" t="s">
        <v>158</v>
      </c>
      <c r="U113" s="87">
        <v>0.2</v>
      </c>
      <c r="V113" s="183">
        <v>46021</v>
      </c>
      <c r="W113" s="73">
        <v>955</v>
      </c>
      <c r="X113" s="73">
        <f>1121.7*39720/1000000</f>
        <v>44.553924000000002</v>
      </c>
      <c r="Y113" s="83">
        <f>IF(SUM(W113:W113)&gt;0,X113/SUM(W113:W113)*1000000,"N/A")</f>
        <v>46653.323560209421</v>
      </c>
      <c r="Z113" s="80"/>
      <c r="AA113" s="80"/>
      <c r="AB113" s="73" t="s">
        <v>590</v>
      </c>
      <c r="AC113" s="75"/>
      <c r="AD113" s="332"/>
      <c r="AE113" s="68"/>
      <c r="AF113" s="73"/>
      <c r="AG113" s="182">
        <f>YEAR(V113)</f>
        <v>2025</v>
      </c>
      <c r="AH113" s="86" t="str">
        <f>+IF(AG113=$AH$22,MONTH(V113),"")</f>
        <v/>
      </c>
      <c r="AI113" s="86">
        <f>+IF(AG113=$AI$22,MONTH(V113),"")</f>
        <v>12</v>
      </c>
      <c r="AJ113" s="86" t="str">
        <f>+IF(AG113=$AJ$22,MONTH(V113),"")</f>
        <v/>
      </c>
      <c r="AK113" s="86" t="str">
        <f>+IF(AG113=$AK$22,MONTH(V113),"")</f>
        <v/>
      </c>
      <c r="AL113" s="86" t="str">
        <f>+IF(AG113=$AL$22,MONTH(V113),"")</f>
        <v/>
      </c>
      <c r="AM113" s="86" t="str">
        <f>+IF($AG113=$AM$22,MONTH($D113),"")</f>
        <v/>
      </c>
      <c r="AN113" s="89" t="str">
        <f>+IF($AG113=AN$22,MONTH($D113),"")</f>
        <v/>
      </c>
      <c r="AO113" s="184" t="str">
        <f>+IF($AG113=AO$22,MONTH($D113),"")</f>
        <v/>
      </c>
      <c r="AP113" s="184" t="str">
        <f>+IF($AG113=AP$22,MONTH($D113),"")</f>
        <v/>
      </c>
      <c r="AQ113" s="184" t="str">
        <f>+IF($AG113=AQ$22,MONTH($D113),"")</f>
        <v/>
      </c>
      <c r="AR113" s="184" t="str">
        <f>+IF($AG113=AR$22,MONTH($D113),"")</f>
        <v/>
      </c>
      <c r="AS113" s="184" t="str">
        <f>+IF($AG113=AS$22,MONTH($D113),"")</f>
        <v/>
      </c>
      <c r="AT113" s="86" t="str">
        <f>+IF($AG113=AT$22,MONTH($D113),"")</f>
        <v/>
      </c>
      <c r="AU113" s="86" t="str">
        <f>+IF($AG113=AU$22,MONTH($D113),"")</f>
        <v/>
      </c>
      <c r="AV113" s="86" t="str">
        <f>+IF($AG113=AV$22,MONTH($D113),"")</f>
        <v/>
      </c>
      <c r="AW113" s="86" t="str">
        <f>+IF($AG113=AW$22,MONTH($D113),"")</f>
        <v/>
      </c>
      <c r="AX113" s="86" t="str">
        <f>+IF($AG113=AX$22,MONTH($D113),"")</f>
        <v/>
      </c>
      <c r="AY113" s="89"/>
      <c r="AZ113" s="89"/>
      <c r="BA113" s="89"/>
      <c r="BB113" s="89"/>
      <c r="BC113" s="89"/>
      <c r="BD113" s="89"/>
      <c r="BE113" s="89"/>
      <c r="BF113" s="89"/>
      <c r="BG113" s="89"/>
      <c r="BH113" s="89"/>
      <c r="BI113" s="89"/>
      <c r="BJ113" s="89"/>
      <c r="BK113" s="89"/>
      <c r="BL113" s="89"/>
      <c r="BM113" s="89"/>
      <c r="BN113" s="89"/>
      <c r="BO113" s="89"/>
      <c r="BP113" s="89"/>
    </row>
    <row r="114" spans="1:68" s="382" customFormat="1" ht="28.5" hidden="1" customHeight="1">
      <c r="A114" s="204" t="str">
        <f>+IFERROR(VALUE(MID(AB114,4,4)),"")</f>
        <v/>
      </c>
      <c r="B114" s="204">
        <f>VALUE(RIGHT(C114,LEN(C114)-2))</f>
        <v>2608</v>
      </c>
      <c r="C114" s="74" t="s">
        <v>591</v>
      </c>
      <c r="D114" s="75">
        <v>46021</v>
      </c>
      <c r="E114" s="70" t="s">
        <v>262</v>
      </c>
      <c r="F114" s="70" t="s">
        <v>270</v>
      </c>
      <c r="G114" s="68" t="s">
        <v>592</v>
      </c>
      <c r="H114" s="307" t="s">
        <v>593</v>
      </c>
      <c r="I114" s="69" t="s">
        <v>594</v>
      </c>
      <c r="J114" s="69"/>
      <c r="K114" s="68" t="s">
        <v>389</v>
      </c>
      <c r="L114" s="69" t="s">
        <v>129</v>
      </c>
      <c r="M114" s="71" t="s">
        <v>141</v>
      </c>
      <c r="N114" s="69" t="e" vm="1">
        <v>#VALUE!</v>
      </c>
      <c r="O114" s="84">
        <v>46058</v>
      </c>
      <c r="P114" s="72" t="s">
        <v>595</v>
      </c>
      <c r="Q114" s="72" t="s">
        <v>316</v>
      </c>
      <c r="R114" s="72" t="s">
        <v>378</v>
      </c>
      <c r="S114" s="146"/>
      <c r="T114" s="68" t="s">
        <v>158</v>
      </c>
      <c r="U114" s="87">
        <v>0.1</v>
      </c>
      <c r="V114" s="80">
        <v>46058</v>
      </c>
      <c r="W114" s="73">
        <v>32609</v>
      </c>
      <c r="X114" s="73">
        <v>1638</v>
      </c>
      <c r="Y114" s="169">
        <f>IF(SUM(W114:W114)&gt;0,X114/SUM(W114:W114)*1000000,"N/A")</f>
        <v>50231.531172375726</v>
      </c>
      <c r="Z114" s="80"/>
      <c r="AA114" s="80"/>
      <c r="AB114" s="73"/>
      <c r="AC114" s="153"/>
      <c r="AD114" s="330"/>
      <c r="AE114" s="305"/>
      <c r="AF114" s="88"/>
      <c r="AG114" s="182">
        <f>YEAR(V114)</f>
        <v>2026</v>
      </c>
      <c r="AH114" s="86">
        <f>+IF(AG114=$AH$22,MONTH(V114),"")</f>
        <v>2</v>
      </c>
      <c r="AI114" s="86" t="str">
        <f>+IF(AG114=$AI$22,MONTH(V114),"")</f>
        <v/>
      </c>
      <c r="AJ114" s="86" t="str">
        <f>+IF(AG114=$AJ$22,MONTH(V114),"")</f>
        <v/>
      </c>
      <c r="AK114" s="86" t="str">
        <f>+IF(AG114=$AK$22,MONTH(V114),"")</f>
        <v/>
      </c>
      <c r="AL114" s="86" t="str">
        <f>+IF(AG114=$AL$22,MONTH(V114),"")</f>
        <v/>
      </c>
      <c r="AM114" s="86" t="str">
        <f>+IF($AG114=$AM$22,MONTH($D114),"")</f>
        <v/>
      </c>
      <c r="AN114" s="89" t="str">
        <f>+IF($AG114=AN$22,MONTH($D114),"")</f>
        <v/>
      </c>
      <c r="AO114" s="89" t="str">
        <f>+IF($AG114=AO$22,MONTH($D114),"")</f>
        <v/>
      </c>
      <c r="AP114" s="89" t="str">
        <f>+IF($AG114=AP$22,MONTH($D114),"")</f>
        <v/>
      </c>
      <c r="AQ114" s="89" t="str">
        <f>+IF($AG114=AQ$22,MONTH($D114),"")</f>
        <v/>
      </c>
      <c r="AR114" s="89" t="str">
        <f>+IF($AG114=AR$22,MONTH($D114),"")</f>
        <v/>
      </c>
      <c r="AS114" s="89" t="str">
        <f>+IF($AG114=AS$22,MONTH($D114),"")</f>
        <v/>
      </c>
      <c r="AT114" s="89" t="str">
        <f>+IF($AG114=AT$22,MONTH($D114),"")</f>
        <v/>
      </c>
      <c r="AU114" s="89" t="str">
        <f>+IF($AG114=AU$22,MONTH($D114),"")</f>
        <v/>
      </c>
      <c r="AV114" s="89" t="str">
        <f>+IF($AG114=AV$22,MONTH($D114),"")</f>
        <v/>
      </c>
      <c r="AW114" s="86" t="str">
        <f>+IF($AG114=AW$22,MONTH($D114),"")</f>
        <v/>
      </c>
      <c r="AX114" s="86" t="str">
        <f>+IF($AG114=AX$22,MONTH($D114),"")</f>
        <v/>
      </c>
      <c r="AY114" s="89"/>
      <c r="AZ114" s="89"/>
      <c r="BA114" s="89"/>
      <c r="BB114" s="89"/>
      <c r="BC114" s="89"/>
      <c r="BD114" s="89"/>
      <c r="BE114" s="89"/>
      <c r="BF114" s="89"/>
      <c r="BG114" s="89"/>
      <c r="BH114" s="89"/>
      <c r="BI114" s="89"/>
      <c r="BJ114" s="89"/>
      <c r="BK114" s="89"/>
      <c r="BL114" s="89"/>
      <c r="BM114" s="89"/>
      <c r="BN114" s="89"/>
      <c r="BO114" s="89"/>
      <c r="BP114" s="89"/>
    </row>
    <row r="115" spans="1:68" s="382" customFormat="1" ht="51" hidden="1" customHeight="1">
      <c r="A115" s="204" t="str">
        <f>+IFERROR(VALUE(MID(AB115,4,4)),"")</f>
        <v/>
      </c>
      <c r="B115" s="204">
        <f>VALUE(RIGHT(C115,LEN(C115)-2))</f>
        <v>2607</v>
      </c>
      <c r="C115" s="74" t="s">
        <v>596</v>
      </c>
      <c r="D115" s="75">
        <v>46021</v>
      </c>
      <c r="E115" s="70" t="s">
        <v>53</v>
      </c>
      <c r="F115" s="70" t="s">
        <v>313</v>
      </c>
      <c r="G115" s="68" t="s">
        <v>210</v>
      </c>
      <c r="H115" s="379" t="s">
        <v>210</v>
      </c>
      <c r="I115" s="69" t="s">
        <v>597</v>
      </c>
      <c r="J115" s="69"/>
      <c r="K115" s="68" t="s">
        <v>598</v>
      </c>
      <c r="L115" s="69" t="s">
        <v>123</v>
      </c>
      <c r="M115" s="71" t="s">
        <v>141</v>
      </c>
      <c r="N115" s="69" t="e" vm="1">
        <v>#VALUE!</v>
      </c>
      <c r="O115" s="84">
        <v>46083</v>
      </c>
      <c r="P115" s="72" t="s">
        <v>228</v>
      </c>
      <c r="Q115" s="72" t="s">
        <v>316</v>
      </c>
      <c r="R115" s="72" t="s">
        <v>378</v>
      </c>
      <c r="S115" s="146"/>
      <c r="T115" s="68" t="s">
        <v>158</v>
      </c>
      <c r="U115" s="87">
        <v>0.01</v>
      </c>
      <c r="V115" s="80">
        <v>46083</v>
      </c>
      <c r="W115" s="73">
        <v>6810</v>
      </c>
      <c r="X115" s="73">
        <v>384</v>
      </c>
      <c r="Y115" s="169">
        <f>IF(SUM(W115:W115)&gt;0,X115/SUM(W115:W115)*1000000,"N/A")</f>
        <v>56387.66519823789</v>
      </c>
      <c r="Z115" s="80"/>
      <c r="AA115" s="80"/>
      <c r="AB115" s="73"/>
      <c r="AC115" s="153"/>
      <c r="AD115" s="330"/>
      <c r="AE115" s="305"/>
      <c r="AF115" s="88"/>
      <c r="AG115" s="182">
        <f>YEAR(V115)</f>
        <v>2026</v>
      </c>
      <c r="AH115" s="86">
        <f>+IF(AG115=$AH$22,MONTH(V115),"")</f>
        <v>3</v>
      </c>
      <c r="AI115" s="86" t="str">
        <f>+IF(AG115=$AI$22,MONTH(V115),"")</f>
        <v/>
      </c>
      <c r="AJ115" s="86" t="str">
        <f>+IF(AG115=$AJ$22,MONTH(V115),"")</f>
        <v/>
      </c>
      <c r="AK115" s="86" t="str">
        <f>+IF(AG115=$AK$22,MONTH(V115),"")</f>
        <v/>
      </c>
      <c r="AL115" s="86" t="str">
        <f>+IF(AG115=$AL$22,MONTH(V115),"")</f>
        <v/>
      </c>
      <c r="AM115" s="86" t="str">
        <f>+IF($AG115=$AM$22,MONTH($D115),"")</f>
        <v/>
      </c>
      <c r="AN115" s="89" t="str">
        <f>+IF($AG115=AN$22,MONTH($D115),"")</f>
        <v/>
      </c>
      <c r="AO115" s="89" t="str">
        <f>+IF($AG115=AO$22,MONTH($D115),"")</f>
        <v/>
      </c>
      <c r="AP115" s="89" t="str">
        <f>+IF($AG115=AP$22,MONTH($D115),"")</f>
        <v/>
      </c>
      <c r="AQ115" s="89" t="str">
        <f>+IF($AG115=AQ$22,MONTH($D115),"")</f>
        <v/>
      </c>
      <c r="AR115" s="89" t="str">
        <f>+IF($AG115=AR$22,MONTH($D115),"")</f>
        <v/>
      </c>
      <c r="AS115" s="89" t="str">
        <f>+IF($AG115=AS$22,MONTH($D115),"")</f>
        <v/>
      </c>
      <c r="AT115" s="89" t="str">
        <f>+IF($AG115=AT$22,MONTH($D115),"")</f>
        <v/>
      </c>
      <c r="AU115" s="89" t="str">
        <f>+IF($AG115=AU$22,MONTH($D115),"")</f>
        <v/>
      </c>
      <c r="AV115" s="89" t="str">
        <f>+IF($AG115=AV$22,MONTH($D115),"")</f>
        <v/>
      </c>
      <c r="AW115" s="86" t="str">
        <f>+IF($AG115=AW$22,MONTH($D115),"")</f>
        <v/>
      </c>
      <c r="AX115" s="86" t="str">
        <f>+IF($AG115=AX$22,MONTH($D115),"")</f>
        <v/>
      </c>
      <c r="AY115" s="89"/>
      <c r="AZ115" s="89"/>
      <c r="BA115" s="89"/>
      <c r="BB115" s="89"/>
      <c r="BC115" s="89"/>
      <c r="BD115" s="89"/>
      <c r="BE115" s="89"/>
      <c r="BF115" s="89"/>
      <c r="BG115" s="89"/>
      <c r="BH115" s="89"/>
      <c r="BI115" s="89"/>
      <c r="BJ115" s="89"/>
      <c r="BK115" s="89"/>
      <c r="BL115" s="89"/>
      <c r="BM115" s="89"/>
      <c r="BN115" s="89"/>
      <c r="BO115" s="89"/>
      <c r="BP115" s="89"/>
    </row>
    <row r="116" spans="1:68" s="385" customFormat="1" ht="45.75" hidden="1" customHeight="1">
      <c r="A116" s="204" t="str">
        <f>+IFERROR(VALUE(MID(AB116,4,4)),"")</f>
        <v/>
      </c>
      <c r="B116" s="204">
        <f>VALUE(RIGHT(C116,LEN(C116)-2))</f>
        <v>2606</v>
      </c>
      <c r="C116" s="74" t="s">
        <v>599</v>
      </c>
      <c r="D116" s="75">
        <v>46021</v>
      </c>
      <c r="E116" s="70" t="s">
        <v>332</v>
      </c>
      <c r="F116" s="70" t="s">
        <v>332</v>
      </c>
      <c r="G116" s="68" t="s">
        <v>600</v>
      </c>
      <c r="H116" s="307" t="s">
        <v>601</v>
      </c>
      <c r="I116" s="69" t="s">
        <v>602</v>
      </c>
      <c r="J116" s="69"/>
      <c r="K116" s="68" t="s">
        <v>13</v>
      </c>
      <c r="L116" s="69" t="s">
        <v>120</v>
      </c>
      <c r="M116" s="71" t="s">
        <v>141</v>
      </c>
      <c r="N116" s="69" t="e" vm="1">
        <v>#VALUE!</v>
      </c>
      <c r="O116" s="84">
        <v>46065</v>
      </c>
      <c r="P116" s="72" t="s">
        <v>603</v>
      </c>
      <c r="Q116" s="72" t="s">
        <v>316</v>
      </c>
      <c r="R116" s="72" t="s">
        <v>260</v>
      </c>
      <c r="S116" s="146"/>
      <c r="T116" s="68" t="s">
        <v>158</v>
      </c>
      <c r="U116" s="87">
        <v>0.1</v>
      </c>
      <c r="V116" s="80">
        <v>46065</v>
      </c>
      <c r="W116" s="73">
        <v>768</v>
      </c>
      <c r="X116" s="73">
        <v>32</v>
      </c>
      <c r="Y116" s="83">
        <f>IF(SUM(W116:W116)&gt;0,X116/SUM(W116:W116)*1000000,"N/A")</f>
        <v>41666.666666666664</v>
      </c>
      <c r="Z116" s="80"/>
      <c r="AA116" s="80"/>
      <c r="AB116" s="73"/>
      <c r="AC116" s="153"/>
      <c r="AD116" s="331"/>
      <c r="AE116" s="57"/>
      <c r="AF116" s="88"/>
      <c r="AG116" s="182">
        <f>YEAR(V116)</f>
        <v>2026</v>
      </c>
      <c r="AH116" s="86">
        <f>+IF(AG116=$AH$22,MONTH(V116),"")</f>
        <v>2</v>
      </c>
      <c r="AI116" s="86" t="str">
        <f>+IF(AG116=$AI$22,MONTH(V116),"")</f>
        <v/>
      </c>
      <c r="AJ116" s="86" t="str">
        <f>+IF(AG116=$AJ$22,MONTH(V116),"")</f>
        <v/>
      </c>
      <c r="AK116" s="86" t="str">
        <f>+IF(AG116=$AK$22,MONTH(V116),"")</f>
        <v/>
      </c>
      <c r="AL116" s="86" t="str">
        <f>+IF(AG116=$AL$22,MONTH(V116),"")</f>
        <v/>
      </c>
      <c r="AM116" s="86" t="str">
        <f>+IF($AG116=$AM$22,MONTH($D116),"")</f>
        <v/>
      </c>
      <c r="AN116" s="89" t="str">
        <f>+IF($AG116=AN$22,MONTH($D116),"")</f>
        <v/>
      </c>
      <c r="AO116" s="89" t="str">
        <f>+IF($AG116=AO$22,MONTH($D116),"")</f>
        <v/>
      </c>
      <c r="AP116" s="89" t="str">
        <f>+IF($AG116=AP$22,MONTH($D116),"")</f>
        <v/>
      </c>
      <c r="AQ116" s="89" t="str">
        <f>+IF($AG116=AQ$22,MONTH($D116),"")</f>
        <v/>
      </c>
      <c r="AR116" s="89" t="str">
        <f>+IF($AG116=AR$22,MONTH($D116),"")</f>
        <v/>
      </c>
      <c r="AS116" s="89" t="str">
        <f>+IF($AG116=AS$22,MONTH($D116),"")</f>
        <v/>
      </c>
      <c r="AT116" s="89" t="str">
        <f>+IF($AG116=AT$22,MONTH($D116),"")</f>
        <v/>
      </c>
      <c r="AU116" s="89" t="str">
        <f>+IF($AG116=AU$22,MONTH($D116),"")</f>
        <v/>
      </c>
      <c r="AV116" s="89" t="str">
        <f>+IF($AG116=AV$22,MONTH($D116),"")</f>
        <v/>
      </c>
      <c r="AW116" s="86" t="str">
        <f>+IF($AG116=AW$22,MONTH($D116),"")</f>
        <v/>
      </c>
      <c r="AX116" s="86" t="str">
        <f>+IF($AG116=AX$22,MONTH($D116),"")</f>
        <v/>
      </c>
      <c r="AY116" s="89"/>
      <c r="AZ116" s="89"/>
      <c r="BA116" s="89"/>
      <c r="BB116" s="89"/>
      <c r="BC116" s="89"/>
      <c r="BD116" s="89"/>
      <c r="BE116" s="89"/>
      <c r="BF116" s="89"/>
      <c r="BG116" s="89"/>
      <c r="BH116" s="89"/>
      <c r="BI116" s="89"/>
      <c r="BJ116" s="89"/>
      <c r="BK116" s="89"/>
      <c r="BL116" s="89"/>
      <c r="BM116" s="89"/>
      <c r="BN116" s="89"/>
      <c r="BO116" s="89"/>
      <c r="BP116" s="89"/>
    </row>
    <row r="117" spans="1:68" s="381" customFormat="1" ht="40.5" customHeight="1">
      <c r="A117" s="204" t="str">
        <f>+IFERROR(VALUE(MID(AB117,4,4)),"")</f>
        <v/>
      </c>
      <c r="B117" s="204">
        <f>VALUE(RIGHT(C117,LEN(C117)-2))</f>
        <v>2605</v>
      </c>
      <c r="C117" s="74" t="s">
        <v>604</v>
      </c>
      <c r="D117" s="75">
        <v>46020</v>
      </c>
      <c r="E117" s="70" t="s">
        <v>468</v>
      </c>
      <c r="F117" s="70" t="s">
        <v>468</v>
      </c>
      <c r="G117" s="68" t="s">
        <v>605</v>
      </c>
      <c r="H117" s="307" t="s">
        <v>470</v>
      </c>
      <c r="I117" s="69" t="s">
        <v>606</v>
      </c>
      <c r="J117" s="69"/>
      <c r="K117" s="68" t="s">
        <v>607</v>
      </c>
      <c r="L117" s="69" t="s">
        <v>123</v>
      </c>
      <c r="M117" s="71" t="s">
        <v>141</v>
      </c>
      <c r="N117" s="69" t="e" vm="1">
        <v>#VALUE!</v>
      </c>
      <c r="O117" s="84">
        <v>46052</v>
      </c>
      <c r="P117" s="72" t="s">
        <v>289</v>
      </c>
      <c r="Q117" s="72" t="s">
        <v>229</v>
      </c>
      <c r="R117" s="72" t="s">
        <v>230</v>
      </c>
      <c r="S117" s="146"/>
      <c r="T117" s="68" t="s">
        <v>64</v>
      </c>
      <c r="U117" s="87"/>
      <c r="V117" s="183">
        <v>46020</v>
      </c>
      <c r="W117" s="73"/>
      <c r="X117" s="73"/>
      <c r="Y117" s="83" t="str">
        <f>IF(SUM(W117:W117)&gt;0,X117/SUM(W117:W117)*1000000,"N/A")</f>
        <v>N/A</v>
      </c>
      <c r="Z117" s="183"/>
      <c r="AA117" s="183"/>
      <c r="AB117" s="150"/>
      <c r="AC117" s="153"/>
      <c r="AD117" s="330"/>
      <c r="AE117" s="305"/>
      <c r="AF117" s="88"/>
      <c r="AG117" s="182">
        <f>YEAR(V117)</f>
        <v>2025</v>
      </c>
      <c r="AH117" s="86" t="str">
        <f>+IF(AG117=$AH$22,MONTH(V117),"")</f>
        <v/>
      </c>
      <c r="AI117" s="86">
        <f>+IF(AG117=$AI$22,MONTH(V117),"")</f>
        <v>12</v>
      </c>
      <c r="AJ117" s="86" t="str">
        <f>+IF(AG117=$AJ$22,MONTH(V117),"")</f>
        <v/>
      </c>
      <c r="AK117" s="86" t="str">
        <f>+IF(AG117=$AK$22,MONTH(V117),"")</f>
        <v/>
      </c>
      <c r="AL117" s="86"/>
      <c r="AM117" s="89"/>
      <c r="AN117" s="89"/>
      <c r="AO117" s="89"/>
      <c r="AP117" s="89"/>
      <c r="AQ117" s="89"/>
      <c r="AR117" s="89"/>
      <c r="AS117" s="89"/>
      <c r="AT117" s="89"/>
      <c r="AU117" s="89"/>
      <c r="AV117" s="89"/>
      <c r="AW117" s="86" t="str">
        <f>+IF($AG117=AW$22,MONTH($D117),"")</f>
        <v/>
      </c>
      <c r="AX117" s="86" t="str">
        <f>+IF($AG117=AX$22,MONTH($D117),"")</f>
        <v/>
      </c>
      <c r="AY117" s="89"/>
      <c r="AZ117" s="89"/>
      <c r="BA117" s="89"/>
      <c r="BB117" s="89"/>
      <c r="BC117" s="89"/>
      <c r="BD117" s="89"/>
      <c r="BE117" s="89"/>
      <c r="BF117" s="89"/>
      <c r="BG117" s="89"/>
      <c r="BH117" s="89"/>
      <c r="BI117" s="89"/>
      <c r="BJ117" s="89"/>
      <c r="BK117" s="89"/>
      <c r="BL117" s="89"/>
      <c r="BM117" s="89"/>
      <c r="BN117" s="89"/>
      <c r="BO117" s="89"/>
      <c r="BP117" s="89"/>
    </row>
    <row r="118" spans="1:68" s="381" customFormat="1" ht="40.5" customHeight="1">
      <c r="A118" s="204" t="str">
        <f>+IFERROR(VALUE(MID(AB118,4,4)),"")</f>
        <v/>
      </c>
      <c r="B118" s="204">
        <f>VALUE(RIGHT(C118,LEN(C118)-2))</f>
        <v>2604</v>
      </c>
      <c r="C118" s="74" t="s">
        <v>608</v>
      </c>
      <c r="D118" s="75">
        <v>46014</v>
      </c>
      <c r="E118" s="70" t="s">
        <v>609</v>
      </c>
      <c r="F118" s="70" t="s">
        <v>609</v>
      </c>
      <c r="G118" s="68" t="s">
        <v>610</v>
      </c>
      <c r="H118" s="307" t="s">
        <v>611</v>
      </c>
      <c r="I118" s="69" t="s">
        <v>612</v>
      </c>
      <c r="J118" s="69"/>
      <c r="K118" s="68" t="s">
        <v>607</v>
      </c>
      <c r="L118" s="69" t="s">
        <v>120</v>
      </c>
      <c r="M118" s="71" t="s">
        <v>141</v>
      </c>
      <c r="N118" s="69" t="e" vm="1">
        <v>#VALUE!</v>
      </c>
      <c r="O118" s="84">
        <v>46052</v>
      </c>
      <c r="P118" s="72" t="s">
        <v>289</v>
      </c>
      <c r="Q118" s="72" t="s">
        <v>220</v>
      </c>
      <c r="R118" s="72" t="s">
        <v>260</v>
      </c>
      <c r="S118" s="146"/>
      <c r="T118" s="68" t="s">
        <v>64</v>
      </c>
      <c r="U118" s="87"/>
      <c r="V118" s="183">
        <v>46020</v>
      </c>
      <c r="W118" s="73"/>
      <c r="X118" s="73"/>
      <c r="Y118" s="83" t="str">
        <f>IF(SUM(W118:W118)&gt;0,X118/SUM(W118:W118)*1000000,"N/A")</f>
        <v>N/A</v>
      </c>
      <c r="Z118" s="183"/>
      <c r="AA118" s="183"/>
      <c r="AB118" s="150"/>
      <c r="AC118" s="153"/>
      <c r="AD118" s="330"/>
      <c r="AE118" s="305"/>
      <c r="AF118" s="88"/>
      <c r="AG118" s="182">
        <f>YEAR(V118)</f>
        <v>2025</v>
      </c>
      <c r="AH118" s="86" t="str">
        <f>+IF(AG118=$AH$22,MONTH(V118),"")</f>
        <v/>
      </c>
      <c r="AI118" s="86">
        <f>+IF(AG118=$AI$22,MONTH(V118),"")</f>
        <v>12</v>
      </c>
      <c r="AJ118" s="86" t="str">
        <f>+IF(AG118=$AJ$22,MONTH(V118),"")</f>
        <v/>
      </c>
      <c r="AK118" s="86" t="str">
        <f>+IF(AG118=$AK$22,MONTH(V118),"")</f>
        <v/>
      </c>
      <c r="AL118" s="86"/>
      <c r="AM118" s="89"/>
      <c r="AN118" s="89"/>
      <c r="AO118" s="89"/>
      <c r="AP118" s="89"/>
      <c r="AQ118" s="89"/>
      <c r="AR118" s="89"/>
      <c r="AS118" s="89"/>
      <c r="AT118" s="89"/>
      <c r="AU118" s="89"/>
      <c r="AV118" s="89"/>
      <c r="AW118" s="86" t="str">
        <f>+IF($AG118=AW$22,MONTH($D118),"")</f>
        <v/>
      </c>
      <c r="AX118" s="86" t="str">
        <f>+IF($AG118=AX$22,MONTH($D118),"")</f>
        <v/>
      </c>
      <c r="AY118" s="89"/>
      <c r="AZ118" s="89"/>
      <c r="BA118" s="89"/>
      <c r="BB118" s="89"/>
      <c r="BC118" s="89"/>
      <c r="BD118" s="89"/>
      <c r="BE118" s="89"/>
      <c r="BF118" s="89"/>
      <c r="BG118" s="89"/>
      <c r="BH118" s="89"/>
      <c r="BI118" s="89"/>
      <c r="BJ118" s="89"/>
      <c r="BK118" s="89"/>
      <c r="BL118" s="89"/>
      <c r="BM118" s="89"/>
      <c r="BN118" s="89"/>
      <c r="BO118" s="89"/>
      <c r="BP118" s="89"/>
    </row>
    <row r="119" spans="1:68" s="320" customFormat="1" ht="45.75" customHeight="1">
      <c r="A119" s="204" t="str">
        <f>+IFERROR(VALUE(MID(AB119,4,4)),"")</f>
        <v/>
      </c>
      <c r="B119" s="204">
        <f>VALUE(RIGHT(C119,LEN(C119)-2))</f>
        <v>2603</v>
      </c>
      <c r="C119" s="74" t="s">
        <v>613</v>
      </c>
      <c r="D119" s="75">
        <v>46020</v>
      </c>
      <c r="E119" s="70" t="s">
        <v>614</v>
      </c>
      <c r="F119" s="70" t="s">
        <v>615</v>
      </c>
      <c r="G119" s="68" t="s">
        <v>616</v>
      </c>
      <c r="H119" s="282" t="s">
        <v>617</v>
      </c>
      <c r="I119" s="69" t="s">
        <v>618</v>
      </c>
      <c r="J119" s="69"/>
      <c r="K119" s="68" t="s">
        <v>45</v>
      </c>
      <c r="L119" s="69" t="s">
        <v>123</v>
      </c>
      <c r="M119" s="71" t="s">
        <v>113</v>
      </c>
      <c r="N119" s="69" t="e" vm="3">
        <v>#VALUE!</v>
      </c>
      <c r="O119" s="84">
        <v>46052</v>
      </c>
      <c r="P119" s="72" t="s">
        <v>289</v>
      </c>
      <c r="Q119" s="72" t="s">
        <v>259</v>
      </c>
      <c r="R119" s="72" t="s">
        <v>260</v>
      </c>
      <c r="S119" s="146"/>
      <c r="T119" s="68" t="s">
        <v>3</v>
      </c>
      <c r="U119" s="87"/>
      <c r="V119" s="80">
        <v>46020</v>
      </c>
      <c r="W119" s="73"/>
      <c r="X119" s="73"/>
      <c r="Y119" s="83" t="str">
        <f>IF(SUM(W119:W119)&gt;0,X119/SUM(W119:W119)*1000000,"N/A")</f>
        <v>N/A</v>
      </c>
      <c r="Z119" s="80"/>
      <c r="AA119" s="80"/>
      <c r="AB119" s="73"/>
      <c r="AC119" s="153"/>
      <c r="AD119" s="331"/>
      <c r="AE119" s="57"/>
      <c r="AF119" s="88"/>
      <c r="AG119" s="182">
        <f>YEAR(V119)</f>
        <v>2025</v>
      </c>
      <c r="AH119" s="86" t="str">
        <f>+IF(AG119=$AH$22,MONTH(V119),"")</f>
        <v/>
      </c>
      <c r="AI119" s="86">
        <f>+IF(AG119=$AI$22,MONTH(V119),"")</f>
        <v>12</v>
      </c>
      <c r="AJ119" s="86" t="str">
        <f>+IF(AG119=$AJ$22,MONTH(V119),"")</f>
        <v/>
      </c>
      <c r="AK119" s="86" t="str">
        <f>+IF(AG119=$AK$22,MONTH(V119),"")</f>
        <v/>
      </c>
      <c r="AL119" s="86" t="str">
        <f>+IF(AG119=$AL$22,MONTH(V119),"")</f>
        <v/>
      </c>
      <c r="AM119" s="86" t="str">
        <f>+IF($AG119=$AM$22,MONTH($D119),"")</f>
        <v/>
      </c>
      <c r="AN119" s="89" t="str">
        <f>+IF($AG119=AN$22,MONTH($D119),"")</f>
        <v/>
      </c>
      <c r="AO119" s="89" t="str">
        <f>+IF($AG119=AO$22,MONTH($D119),"")</f>
        <v/>
      </c>
      <c r="AP119" s="89" t="str">
        <f>+IF($AG119=AP$22,MONTH($D119),"")</f>
        <v/>
      </c>
      <c r="AQ119" s="89" t="str">
        <f>+IF($AG119=AQ$22,MONTH($D119),"")</f>
        <v/>
      </c>
      <c r="AR119" s="89" t="str">
        <f>+IF($AG119=AR$22,MONTH($D119),"")</f>
        <v/>
      </c>
      <c r="AS119" s="89" t="str">
        <f>+IF($AG119=AS$22,MONTH($D119),"")</f>
        <v/>
      </c>
      <c r="AT119" s="89" t="str">
        <f>+IF($AG119=AT$22,MONTH($D119),"")</f>
        <v/>
      </c>
      <c r="AU119" s="89" t="str">
        <f>+IF($AG119=AU$22,MONTH($D119),"")</f>
        <v/>
      </c>
      <c r="AV119" s="89" t="str">
        <f>+IF($AG119=AV$22,MONTH($D119),"")</f>
        <v/>
      </c>
      <c r="AW119" s="86" t="str">
        <f>+IF($AG119=AW$22,MONTH($D119),"")</f>
        <v/>
      </c>
      <c r="AX119" s="86" t="str">
        <f>+IF($AG119=AX$22,MONTH($D119),"")</f>
        <v/>
      </c>
      <c r="AY119" s="89"/>
      <c r="AZ119" s="89"/>
      <c r="BA119" s="89"/>
      <c r="BB119" s="89"/>
      <c r="BC119" s="89"/>
      <c r="BD119" s="89"/>
      <c r="BE119" s="89"/>
      <c r="BF119" s="89"/>
      <c r="BG119" s="89"/>
      <c r="BH119" s="89"/>
      <c r="BI119" s="89"/>
      <c r="BJ119" s="89"/>
      <c r="BK119" s="89"/>
      <c r="BL119" s="89"/>
      <c r="BM119" s="89"/>
      <c r="BN119" s="89"/>
      <c r="BO119" s="89"/>
      <c r="BP119" s="89"/>
    </row>
    <row r="120" spans="1:68" s="382" customFormat="1" ht="45.75" hidden="1" customHeight="1">
      <c r="A120" s="204" t="str">
        <f>+IFERROR(VALUE(MID(AB120,4,4)),"")</f>
        <v/>
      </c>
      <c r="B120" s="204">
        <f>VALUE(RIGHT(C120,LEN(C120)-2))</f>
        <v>2602</v>
      </c>
      <c r="C120" s="74" t="s">
        <v>619</v>
      </c>
      <c r="D120" s="75">
        <v>46020</v>
      </c>
      <c r="E120" s="70" t="s">
        <v>479</v>
      </c>
      <c r="F120" s="70" t="s">
        <v>479</v>
      </c>
      <c r="G120" s="68" t="s">
        <v>620</v>
      </c>
      <c r="H120" s="307" t="s">
        <v>621</v>
      </c>
      <c r="I120" s="162" t="s">
        <v>622</v>
      </c>
      <c r="J120" s="162"/>
      <c r="K120" s="68" t="s">
        <v>13</v>
      </c>
      <c r="L120" s="69" t="s">
        <v>129</v>
      </c>
      <c r="M120" s="71" t="s">
        <v>113</v>
      </c>
      <c r="N120" s="69" t="e" vm="2">
        <v>#VALUE!</v>
      </c>
      <c r="O120" s="84">
        <v>46034</v>
      </c>
      <c r="P120" s="82" t="s">
        <v>294</v>
      </c>
      <c r="Q120" s="72" t="s">
        <v>623</v>
      </c>
      <c r="R120" s="72" t="s">
        <v>221</v>
      </c>
      <c r="S120" s="146"/>
      <c r="T120" s="68" t="s">
        <v>158</v>
      </c>
      <c r="U120" s="87">
        <v>0.01</v>
      </c>
      <c r="V120" s="183">
        <v>46020</v>
      </c>
      <c r="W120" s="73"/>
      <c r="X120" s="73"/>
      <c r="Y120" s="83" t="str">
        <f>IF(SUM(W120:W120)&gt;0,X120/SUM(W120:W120)*1000000,"N/A")</f>
        <v>N/A</v>
      </c>
      <c r="Z120" s="183"/>
      <c r="AA120" s="183"/>
      <c r="AB120" s="73"/>
      <c r="AC120" s="153"/>
      <c r="AD120" s="330"/>
      <c r="AE120" s="305"/>
      <c r="AF120" s="88"/>
      <c r="AG120" s="182">
        <f>YEAR(V120)</f>
        <v>2025</v>
      </c>
      <c r="AH120" s="86" t="str">
        <f>+IF(AG120=$AH$22,MONTH(V120),"")</f>
        <v/>
      </c>
      <c r="AI120" s="86">
        <f>+IF(AG120=$AI$22,MONTH(V120),"")</f>
        <v>12</v>
      </c>
      <c r="AJ120" s="86" t="str">
        <f>+IF(AG120=$AJ$22,MONTH(V120),"")</f>
        <v/>
      </c>
      <c r="AK120" s="86" t="str">
        <f>+IF(AG120=$AK$22,MONTH(V120),"")</f>
        <v/>
      </c>
      <c r="AL120" s="86"/>
      <c r="AM120" s="89"/>
      <c r="AN120" s="89"/>
      <c r="AO120" s="89"/>
      <c r="AP120" s="89"/>
      <c r="AQ120" s="89"/>
      <c r="AR120" s="89"/>
      <c r="AS120" s="89"/>
      <c r="AT120" s="89"/>
      <c r="AU120" s="89"/>
      <c r="AV120" s="89"/>
      <c r="AW120" s="86" t="str">
        <f>+IF($AG120=AW$22,MONTH($D120),"")</f>
        <v/>
      </c>
      <c r="AX120" s="86" t="str">
        <f>+IF($AG120=AX$22,MONTH($D120),"")</f>
        <v/>
      </c>
      <c r="AY120" s="89"/>
      <c r="AZ120" s="89"/>
      <c r="BA120" s="89"/>
      <c r="BB120" s="89"/>
      <c r="BC120" s="89"/>
      <c r="BD120" s="89"/>
      <c r="BE120" s="89"/>
      <c r="BF120" s="89"/>
      <c r="BG120" s="89"/>
      <c r="BH120" s="89"/>
      <c r="BI120" s="89"/>
      <c r="BJ120" s="89"/>
      <c r="BK120" s="89"/>
      <c r="BL120" s="89"/>
      <c r="BM120" s="89"/>
      <c r="BN120" s="89"/>
      <c r="BO120" s="89"/>
      <c r="BP120" s="89"/>
    </row>
    <row r="121" spans="1:68" s="382" customFormat="1" ht="51" customHeight="1">
      <c r="A121" s="204" t="str">
        <f>+IFERROR(VALUE(MID(AB121,4,4)),"")</f>
        <v/>
      </c>
      <c r="B121" s="204">
        <f>VALUE(RIGHT(C121,LEN(C121)-2))</f>
        <v>2601</v>
      </c>
      <c r="C121" s="74" t="s">
        <v>624</v>
      </c>
      <c r="D121" s="75">
        <v>46014</v>
      </c>
      <c r="E121" s="70" t="s">
        <v>53</v>
      </c>
      <c r="F121" s="70" t="s">
        <v>313</v>
      </c>
      <c r="G121" s="68" t="s">
        <v>210</v>
      </c>
      <c r="H121" s="379" t="s">
        <v>210</v>
      </c>
      <c r="I121" s="69" t="s">
        <v>625</v>
      </c>
      <c r="J121" s="69"/>
      <c r="K121" s="68" t="s">
        <v>315</v>
      </c>
      <c r="L121" s="69" t="s">
        <v>123</v>
      </c>
      <c r="M121" s="71" t="s">
        <v>141</v>
      </c>
      <c r="N121" s="69" t="e" vm="1">
        <v>#VALUE!</v>
      </c>
      <c r="O121" s="84">
        <v>46098</v>
      </c>
      <c r="P121" s="72" t="s">
        <v>239</v>
      </c>
      <c r="Q121" s="72" t="s">
        <v>229</v>
      </c>
      <c r="R121" s="72" t="s">
        <v>230</v>
      </c>
      <c r="S121" s="146"/>
      <c r="T121" s="68" t="s">
        <v>64</v>
      </c>
      <c r="U121" s="87"/>
      <c r="V121" s="80">
        <v>46072</v>
      </c>
      <c r="W121" s="73"/>
      <c r="X121" s="73"/>
      <c r="Y121" s="169" t="str">
        <f>IF(SUM(W121:W121)&gt;0,X121/SUM(W121:W121)*1000000,"N/A")</f>
        <v>N/A</v>
      </c>
      <c r="Z121" s="80"/>
      <c r="AA121" s="80"/>
      <c r="AB121" s="73"/>
      <c r="AC121" s="153"/>
      <c r="AD121" s="330"/>
      <c r="AE121" s="305"/>
      <c r="AF121" s="88"/>
      <c r="AG121" s="182">
        <f>YEAR(V121)</f>
        <v>2026</v>
      </c>
      <c r="AH121" s="86">
        <f>+IF(AG121=$AH$22,MONTH(V121),"")</f>
        <v>2</v>
      </c>
      <c r="AI121" s="86" t="str">
        <f>+IF(AG121=$AI$22,MONTH(V121),"")</f>
        <v/>
      </c>
      <c r="AJ121" s="86" t="str">
        <f>+IF(AG121=$AJ$22,MONTH(V121),"")</f>
        <v/>
      </c>
      <c r="AK121" s="86" t="str">
        <f>+IF(AG121=$AK$22,MONTH(V121),"")</f>
        <v/>
      </c>
      <c r="AL121" s="86" t="str">
        <f>+IF(AG121=$AL$22,MONTH(V121),"")</f>
        <v/>
      </c>
      <c r="AM121" s="86" t="str">
        <f>+IF($AG121=$AM$22,MONTH($D121),"")</f>
        <v/>
      </c>
      <c r="AN121" s="89" t="str">
        <f>+IF($AG121=AN$22,MONTH($D121),"")</f>
        <v/>
      </c>
      <c r="AO121" s="89" t="str">
        <f>+IF($AG121=AO$22,MONTH($D121),"")</f>
        <v/>
      </c>
      <c r="AP121" s="89" t="str">
        <f>+IF($AG121=AP$22,MONTH($D121),"")</f>
        <v/>
      </c>
      <c r="AQ121" s="89" t="str">
        <f>+IF($AG121=AQ$22,MONTH($D121),"")</f>
        <v/>
      </c>
      <c r="AR121" s="89" t="str">
        <f>+IF($AG121=AR$22,MONTH($D121),"")</f>
        <v/>
      </c>
      <c r="AS121" s="89" t="str">
        <f>+IF($AG121=AS$22,MONTH($D121),"")</f>
        <v/>
      </c>
      <c r="AT121" s="89" t="str">
        <f>+IF($AG121=AT$22,MONTH($D121),"")</f>
        <v/>
      </c>
      <c r="AU121" s="89" t="str">
        <f>+IF($AG121=AU$22,MONTH($D121),"")</f>
        <v/>
      </c>
      <c r="AV121" s="89" t="str">
        <f>+IF($AG121=AV$22,MONTH($D121),"")</f>
        <v/>
      </c>
      <c r="AW121" s="86" t="str">
        <f>+IF($AG121=AW$22,MONTH($D121),"")</f>
        <v/>
      </c>
      <c r="AX121" s="86" t="str">
        <f>+IF($AG121=AX$22,MONTH($D121),"")</f>
        <v/>
      </c>
      <c r="AY121" s="89"/>
      <c r="AZ121" s="89"/>
      <c r="BA121" s="89"/>
      <c r="BB121" s="89"/>
      <c r="BC121" s="89"/>
      <c r="BD121" s="89"/>
      <c r="BE121" s="89"/>
      <c r="BF121" s="89"/>
      <c r="BG121" s="89"/>
      <c r="BH121" s="89"/>
      <c r="BI121" s="89"/>
      <c r="BJ121" s="89"/>
      <c r="BK121" s="89"/>
      <c r="BL121" s="89"/>
      <c r="BM121" s="89"/>
      <c r="BN121" s="89"/>
      <c r="BO121" s="89"/>
      <c r="BP121" s="89"/>
    </row>
    <row r="122" spans="1:68" s="56" customFormat="1" ht="42" hidden="1" customHeight="1">
      <c r="A122" s="204" t="str">
        <f>+IFERROR(VALUE(MID(AB122,4,4)),"")</f>
        <v/>
      </c>
      <c r="B122" s="204">
        <f>VALUE(RIGHT(C122,LEN(C122)-2))</f>
        <v>2600</v>
      </c>
      <c r="C122" s="74" t="s">
        <v>626</v>
      </c>
      <c r="D122" s="75">
        <v>46014</v>
      </c>
      <c r="E122" s="70" t="s">
        <v>332</v>
      </c>
      <c r="F122" s="70" t="s">
        <v>332</v>
      </c>
      <c r="G122" s="68" t="s">
        <v>627</v>
      </c>
      <c r="H122" s="59" t="s">
        <v>210</v>
      </c>
      <c r="I122" s="162" t="s">
        <v>628</v>
      </c>
      <c r="J122" s="162"/>
      <c r="K122" s="68" t="s">
        <v>212</v>
      </c>
      <c r="L122" s="69" t="s">
        <v>123</v>
      </c>
      <c r="M122" s="71" t="s">
        <v>141</v>
      </c>
      <c r="N122" s="69" t="e" vm="1">
        <v>#VALUE!</v>
      </c>
      <c r="O122" s="164">
        <v>46064</v>
      </c>
      <c r="P122" s="72" t="s">
        <v>228</v>
      </c>
      <c r="Q122" s="72" t="s">
        <v>316</v>
      </c>
      <c r="R122" s="72" t="s">
        <v>212</v>
      </c>
      <c r="S122" s="146"/>
      <c r="T122" s="68" t="s">
        <v>158</v>
      </c>
      <c r="U122" s="87">
        <v>0.1</v>
      </c>
      <c r="V122" s="183">
        <v>46064</v>
      </c>
      <c r="W122" s="73">
        <v>1000</v>
      </c>
      <c r="X122" s="73">
        <v>42</v>
      </c>
      <c r="Y122" s="83">
        <f>IF(SUM(W122:W122)&gt;0,X122/SUM(W122:W122)*1000000,"N/A")</f>
        <v>42000</v>
      </c>
      <c r="Z122" s="183"/>
      <c r="AA122" s="183"/>
      <c r="AB122" s="73"/>
      <c r="AC122" s="153"/>
      <c r="AD122" s="331"/>
      <c r="AE122" s="57"/>
      <c r="AF122" s="88"/>
      <c r="AG122" s="182">
        <f>YEAR(V122)</f>
        <v>2026</v>
      </c>
      <c r="AH122" s="86">
        <f>+IF(AG122=$AH$22,MONTH(V122),"")</f>
        <v>2</v>
      </c>
      <c r="AI122" s="86" t="str">
        <f>+IF(AG122=$AI$22,MONTH(V122),"")</f>
        <v/>
      </c>
      <c r="AJ122" s="86" t="str">
        <f>+IF(AG122=$AJ$22,MONTH(V122),"")</f>
        <v/>
      </c>
      <c r="AK122" s="86" t="str">
        <f>+IF(AG122=$AK$22,MONTH(V122),"")</f>
        <v/>
      </c>
      <c r="AL122" s="86"/>
      <c r="AM122" s="89"/>
      <c r="AN122" s="89"/>
      <c r="AO122" s="89"/>
      <c r="AP122" s="89"/>
      <c r="AQ122" s="89"/>
      <c r="AR122" s="89"/>
      <c r="AS122" s="89"/>
      <c r="AT122" s="89"/>
      <c r="AU122" s="89"/>
      <c r="AV122" s="89"/>
      <c r="AW122" s="86" t="str">
        <f>+IF($AG122=AW$22,MONTH($D122),"")</f>
        <v/>
      </c>
      <c r="AX122" s="86" t="str">
        <f>+IF($AG122=AX$22,MONTH($D122),"")</f>
        <v/>
      </c>
      <c r="AY122" s="89"/>
      <c r="AZ122" s="89"/>
      <c r="BA122" s="89"/>
      <c r="BB122" s="89"/>
      <c r="BC122" s="89"/>
      <c r="BD122" s="89"/>
      <c r="BE122" s="89"/>
      <c r="BF122" s="89"/>
      <c r="BG122" s="89"/>
      <c r="BH122" s="89"/>
      <c r="BI122" s="89"/>
      <c r="BJ122" s="89"/>
      <c r="BK122" s="89"/>
      <c r="BL122" s="89"/>
      <c r="BM122" s="89"/>
      <c r="BN122" s="89"/>
      <c r="BO122" s="89"/>
      <c r="BP122" s="89"/>
    </row>
    <row r="123" spans="1:68" s="382" customFormat="1" ht="51" hidden="1" customHeight="1">
      <c r="A123" s="204" t="str">
        <f>+IFERROR(VALUE(MID(AB123,4,4)),"")</f>
        <v/>
      </c>
      <c r="B123" s="204">
        <f>VALUE(RIGHT(C123,LEN(C123)-2))</f>
        <v>2599</v>
      </c>
      <c r="C123" s="74" t="s">
        <v>629</v>
      </c>
      <c r="D123" s="75">
        <v>46014</v>
      </c>
      <c r="E123" s="70" t="s">
        <v>53</v>
      </c>
      <c r="F123" s="70" t="s">
        <v>630</v>
      </c>
      <c r="G123" s="68" t="s">
        <v>210</v>
      </c>
      <c r="H123" s="379" t="s">
        <v>210</v>
      </c>
      <c r="I123" s="69" t="s">
        <v>631</v>
      </c>
      <c r="J123" s="69"/>
      <c r="K123" s="68" t="s">
        <v>491</v>
      </c>
      <c r="L123" s="69" t="s">
        <v>123</v>
      </c>
      <c r="M123" s="71" t="s">
        <v>141</v>
      </c>
      <c r="N123" s="69" t="e" vm="1">
        <v>#VALUE!</v>
      </c>
      <c r="O123" s="84">
        <v>46049</v>
      </c>
      <c r="P123" s="72" t="s">
        <v>213</v>
      </c>
      <c r="Q123" s="72" t="s">
        <v>316</v>
      </c>
      <c r="R123" s="72" t="s">
        <v>260</v>
      </c>
      <c r="S123" s="146"/>
      <c r="T123" s="68" t="s">
        <v>155</v>
      </c>
      <c r="U123" s="87"/>
      <c r="V123" s="80">
        <v>46019</v>
      </c>
      <c r="W123" s="73"/>
      <c r="X123" s="73"/>
      <c r="Y123" s="169" t="str">
        <f>IF(SUM(W123:W123)&gt;0,X123/SUM(W123:W123)*1000000,"N/A")</f>
        <v>N/A</v>
      </c>
      <c r="Z123" s="80"/>
      <c r="AA123" s="80"/>
      <c r="AB123" s="73"/>
      <c r="AC123" s="153"/>
      <c r="AD123" s="330"/>
      <c r="AE123" s="305"/>
      <c r="AF123" s="88"/>
      <c r="AG123" s="182">
        <f>YEAR(V123)</f>
        <v>2025</v>
      </c>
      <c r="AH123" s="86" t="str">
        <f>+IF(AG123=$AH$22,MONTH(V123),"")</f>
        <v/>
      </c>
      <c r="AI123" s="86">
        <f>+IF(AG123=$AI$22,MONTH(V123),"")</f>
        <v>12</v>
      </c>
      <c r="AJ123" s="86" t="str">
        <f>+IF(AG123=$AJ$22,MONTH(V123),"")</f>
        <v/>
      </c>
      <c r="AK123" s="86" t="str">
        <f>+IF(AG123=$AK$22,MONTH(V123),"")</f>
        <v/>
      </c>
      <c r="AL123" s="86" t="str">
        <f>+IF(AG123=$AL$22,MONTH(V123),"")</f>
        <v/>
      </c>
      <c r="AM123" s="86" t="str">
        <f>+IF($AG123=$AM$22,MONTH($D123),"")</f>
        <v/>
      </c>
      <c r="AN123" s="89" t="str">
        <f>+IF($AG123=AN$22,MONTH($D123),"")</f>
        <v/>
      </c>
      <c r="AO123" s="89" t="str">
        <f>+IF($AG123=AO$22,MONTH($D123),"")</f>
        <v/>
      </c>
      <c r="AP123" s="89" t="str">
        <f>+IF($AG123=AP$22,MONTH($D123),"")</f>
        <v/>
      </c>
      <c r="AQ123" s="89" t="str">
        <f>+IF($AG123=AQ$22,MONTH($D123),"")</f>
        <v/>
      </c>
      <c r="AR123" s="89" t="str">
        <f>+IF($AG123=AR$22,MONTH($D123),"")</f>
        <v/>
      </c>
      <c r="AS123" s="89" t="str">
        <f>+IF($AG123=AS$22,MONTH($D123),"")</f>
        <v/>
      </c>
      <c r="AT123" s="89" t="str">
        <f>+IF($AG123=AT$22,MONTH($D123),"")</f>
        <v/>
      </c>
      <c r="AU123" s="89" t="str">
        <f>+IF($AG123=AU$22,MONTH($D123),"")</f>
        <v/>
      </c>
      <c r="AV123" s="89" t="str">
        <f>+IF($AG123=AV$22,MONTH($D123),"")</f>
        <v/>
      </c>
      <c r="AW123" s="86" t="str">
        <f>+IF($AG123=AW$22,MONTH($D123),"")</f>
        <v/>
      </c>
      <c r="AX123" s="86" t="str">
        <f>+IF($AG123=AX$22,MONTH($D123),"")</f>
        <v/>
      </c>
      <c r="AY123" s="89"/>
      <c r="AZ123" s="89"/>
      <c r="BA123" s="89"/>
      <c r="BB123" s="89"/>
      <c r="BC123" s="89"/>
      <c r="BD123" s="89"/>
      <c r="BE123" s="89"/>
      <c r="BF123" s="89"/>
      <c r="BG123" s="89"/>
      <c r="BH123" s="89"/>
      <c r="BI123" s="89"/>
      <c r="BJ123" s="89"/>
      <c r="BK123" s="89"/>
      <c r="BL123" s="89"/>
      <c r="BM123" s="89"/>
      <c r="BN123" s="89"/>
      <c r="BO123" s="89"/>
      <c r="BP123" s="89"/>
    </row>
    <row r="124" spans="1:68" s="381" customFormat="1" ht="40.5" hidden="1" customHeight="1">
      <c r="A124" s="204" t="str">
        <f>+IFERROR(VALUE(MID(AB124,4,4)),"")</f>
        <v/>
      </c>
      <c r="B124" s="204">
        <f>VALUE(RIGHT(C124,LEN(C124)-2))</f>
        <v>2598</v>
      </c>
      <c r="C124" s="74" t="s">
        <v>632</v>
      </c>
      <c r="D124" s="75">
        <v>46010</v>
      </c>
      <c r="E124" s="70" t="s">
        <v>633</v>
      </c>
      <c r="F124" s="70" t="s">
        <v>633</v>
      </c>
      <c r="G124" s="68" t="s">
        <v>634</v>
      </c>
      <c r="H124" s="307" t="s">
        <v>635</v>
      </c>
      <c r="I124" s="69" t="s">
        <v>636</v>
      </c>
      <c r="J124" s="69"/>
      <c r="K124" s="68" t="s">
        <v>13</v>
      </c>
      <c r="L124" s="69" t="s">
        <v>123</v>
      </c>
      <c r="M124" s="71" t="s">
        <v>141</v>
      </c>
      <c r="N124" s="69" t="e" vm="1">
        <v>#VALUE!</v>
      </c>
      <c r="O124" s="84">
        <v>46037</v>
      </c>
      <c r="P124" s="72" t="s">
        <v>274</v>
      </c>
      <c r="Q124" s="72" t="s">
        <v>220</v>
      </c>
      <c r="R124" s="72" t="s">
        <v>221</v>
      </c>
      <c r="S124" s="146"/>
      <c r="T124" s="68" t="s">
        <v>158</v>
      </c>
      <c r="U124" s="87">
        <v>0.4</v>
      </c>
      <c r="V124" s="183">
        <v>46056</v>
      </c>
      <c r="W124" s="73">
        <v>5888</v>
      </c>
      <c r="X124" s="73">
        <v>280</v>
      </c>
      <c r="Y124" s="83">
        <f>IF(SUM(W124:W124)&gt;0,X124/SUM(W124:W124)*1000000,"N/A")</f>
        <v>47554.34782608696</v>
      </c>
      <c r="Z124" s="183"/>
      <c r="AA124" s="183"/>
      <c r="AB124" s="150"/>
      <c r="AC124" s="153"/>
      <c r="AD124" s="330"/>
      <c r="AE124" s="305"/>
      <c r="AF124" s="88"/>
      <c r="AG124" s="182">
        <f>YEAR(V124)</f>
        <v>2026</v>
      </c>
      <c r="AH124" s="86">
        <f>+IF(AG124=$AH$22,MONTH(V124),"")</f>
        <v>2</v>
      </c>
      <c r="AI124" s="86" t="str">
        <f>+IF(AG124=$AI$22,MONTH(V124),"")</f>
        <v/>
      </c>
      <c r="AJ124" s="86" t="str">
        <f>+IF(AG124=$AJ$22,MONTH(V124),"")</f>
        <v/>
      </c>
      <c r="AK124" s="86" t="str">
        <f>+IF(AG124=$AK$22,MONTH(V124),"")</f>
        <v/>
      </c>
      <c r="AL124" s="86"/>
      <c r="AM124" s="89"/>
      <c r="AN124" s="89"/>
      <c r="AO124" s="89"/>
      <c r="AP124" s="89"/>
      <c r="AQ124" s="89"/>
      <c r="AR124" s="89"/>
      <c r="AS124" s="89"/>
      <c r="AT124" s="89"/>
      <c r="AU124" s="89"/>
      <c r="AV124" s="89"/>
      <c r="AW124" s="86" t="str">
        <f>+IF($AG124=AW$22,MONTH($D124),"")</f>
        <v/>
      </c>
      <c r="AX124" s="86" t="str">
        <f>+IF($AG124=AX$22,MONTH($D124),"")</f>
        <v/>
      </c>
      <c r="AY124" s="89"/>
      <c r="AZ124" s="89"/>
      <c r="BA124" s="89"/>
      <c r="BB124" s="89"/>
      <c r="BC124" s="89"/>
      <c r="BD124" s="89"/>
      <c r="BE124" s="89"/>
      <c r="BF124" s="89"/>
      <c r="BG124" s="89"/>
      <c r="BH124" s="89"/>
      <c r="BI124" s="89"/>
      <c r="BJ124" s="89"/>
      <c r="BK124" s="89"/>
      <c r="BL124" s="89"/>
      <c r="BM124" s="89"/>
      <c r="BN124" s="89"/>
      <c r="BO124" s="89"/>
      <c r="BP124" s="89"/>
    </row>
    <row r="125" spans="1:68" s="382" customFormat="1" ht="45.75" hidden="1" customHeight="1">
      <c r="A125" s="204" t="str">
        <f>+IFERROR(VALUE(MID(AB125,4,4)),"")</f>
        <v/>
      </c>
      <c r="B125" s="204">
        <f>VALUE(RIGHT(C125,LEN(C125)-2))</f>
        <v>2597</v>
      </c>
      <c r="C125" s="74" t="s">
        <v>637</v>
      </c>
      <c r="D125" s="75">
        <v>46009</v>
      </c>
      <c r="E125" s="70" t="s">
        <v>479</v>
      </c>
      <c r="F125" s="70" t="s">
        <v>479</v>
      </c>
      <c r="G125" s="68" t="s">
        <v>638</v>
      </c>
      <c r="H125" s="307" t="s">
        <v>237</v>
      </c>
      <c r="I125" s="162" t="s">
        <v>639</v>
      </c>
      <c r="J125" s="162"/>
      <c r="K125" s="68" t="s">
        <v>13</v>
      </c>
      <c r="L125" s="69" t="s">
        <v>129</v>
      </c>
      <c r="M125" s="71" t="s">
        <v>113</v>
      </c>
      <c r="N125" s="69" t="e" vm="2">
        <v>#VALUE!</v>
      </c>
      <c r="O125" s="84">
        <v>46031</v>
      </c>
      <c r="P125" s="82" t="s">
        <v>640</v>
      </c>
      <c r="Q125" s="72" t="s">
        <v>623</v>
      </c>
      <c r="R125" s="72" t="s">
        <v>221</v>
      </c>
      <c r="S125" s="146"/>
      <c r="T125" s="68" t="s">
        <v>158</v>
      </c>
      <c r="U125" s="87"/>
      <c r="V125" s="183">
        <v>46013</v>
      </c>
      <c r="W125" s="73"/>
      <c r="X125" s="73"/>
      <c r="Y125" s="83" t="str">
        <f>IF(SUM(W125:W125)&gt;0,X125/SUM(W125:W125)*1000000,"N/A")</f>
        <v>N/A</v>
      </c>
      <c r="Z125" s="183"/>
      <c r="AA125" s="183"/>
      <c r="AB125" s="73"/>
      <c r="AC125" s="153"/>
      <c r="AD125" s="330"/>
      <c r="AE125" s="305"/>
      <c r="AF125" s="88"/>
      <c r="AG125" s="182">
        <f>YEAR(V125)</f>
        <v>2025</v>
      </c>
      <c r="AH125" s="86" t="str">
        <f>+IF(AG125=$AH$22,MONTH(V125),"")</f>
        <v/>
      </c>
      <c r="AI125" s="86">
        <f>+IF(AG125=$AI$22,MONTH(V125),"")</f>
        <v>12</v>
      </c>
      <c r="AJ125" s="86" t="str">
        <f>+IF(AG125=$AJ$22,MONTH(V125),"")</f>
        <v/>
      </c>
      <c r="AK125" s="86" t="str">
        <f>+IF(AG125=$AK$22,MONTH(V125),"")</f>
        <v/>
      </c>
      <c r="AL125" s="86"/>
      <c r="AM125" s="89"/>
      <c r="AN125" s="89"/>
      <c r="AO125" s="89"/>
      <c r="AP125" s="89"/>
      <c r="AQ125" s="89"/>
      <c r="AR125" s="89"/>
      <c r="AS125" s="89"/>
      <c r="AT125" s="89"/>
      <c r="AU125" s="89"/>
      <c r="AV125" s="89"/>
      <c r="AW125" s="86" t="str">
        <f>+IF($AG125=AW$22,MONTH($D125),"")</f>
        <v/>
      </c>
      <c r="AX125" s="86" t="str">
        <f>+IF($AG125=AX$22,MONTH($D125),"")</f>
        <v/>
      </c>
      <c r="AY125" s="89"/>
      <c r="AZ125" s="89"/>
      <c r="BA125" s="89"/>
      <c r="BB125" s="89"/>
      <c r="BC125" s="89"/>
      <c r="BD125" s="89"/>
      <c r="BE125" s="89"/>
      <c r="BF125" s="89"/>
      <c r="BG125" s="89"/>
      <c r="BH125" s="89"/>
      <c r="BI125" s="89"/>
      <c r="BJ125" s="89"/>
      <c r="BK125" s="89"/>
      <c r="BL125" s="89"/>
      <c r="BM125" s="89"/>
      <c r="BN125" s="89"/>
      <c r="BO125" s="89"/>
      <c r="BP125" s="89"/>
    </row>
    <row r="126" spans="1:68" s="382" customFormat="1" ht="51" hidden="1" customHeight="1">
      <c r="A126" s="204" t="str">
        <f>+IFERROR(VALUE(MID(AB126,4,4)),"")</f>
        <v/>
      </c>
      <c r="B126" s="204">
        <f>VALUE(RIGHT(C126,LEN(C126)-2))</f>
        <v>2596</v>
      </c>
      <c r="C126" s="74" t="s">
        <v>641</v>
      </c>
      <c r="D126" s="75">
        <v>46008</v>
      </c>
      <c r="E126" s="70" t="s">
        <v>53</v>
      </c>
      <c r="F126" s="70" t="s">
        <v>642</v>
      </c>
      <c r="G126" s="68" t="s">
        <v>210</v>
      </c>
      <c r="H126" s="379" t="s">
        <v>210</v>
      </c>
      <c r="I126" s="69" t="s">
        <v>643</v>
      </c>
      <c r="J126" s="69"/>
      <c r="K126" s="68" t="s">
        <v>9</v>
      </c>
      <c r="L126" s="69" t="s">
        <v>123</v>
      </c>
      <c r="M126" s="71" t="s">
        <v>141</v>
      </c>
      <c r="N126" s="69" t="e" vm="1">
        <v>#VALUE!</v>
      </c>
      <c r="O126" s="84">
        <v>46049</v>
      </c>
      <c r="P126" s="72" t="s">
        <v>412</v>
      </c>
      <c r="Q126" s="72" t="s">
        <v>644</v>
      </c>
      <c r="R126" s="72" t="s">
        <v>212</v>
      </c>
      <c r="S126" s="146"/>
      <c r="T126" s="68" t="s">
        <v>155</v>
      </c>
      <c r="U126" s="87"/>
      <c r="V126" s="80">
        <v>46042</v>
      </c>
      <c r="W126" s="73"/>
      <c r="X126" s="73"/>
      <c r="Y126" s="169" t="str">
        <f>IF(SUM(W126:W126)&gt;0,X126/SUM(W126:W126)*1000000,"N/A")</f>
        <v>N/A</v>
      </c>
      <c r="Z126" s="80"/>
      <c r="AA126" s="80"/>
      <c r="AB126" s="73"/>
      <c r="AC126" s="153"/>
      <c r="AD126" s="330"/>
      <c r="AE126" s="305"/>
      <c r="AF126" s="88"/>
      <c r="AG126" s="182">
        <f>YEAR(V126)</f>
        <v>2026</v>
      </c>
      <c r="AH126" s="86">
        <f>+IF(AG126=$AH$22,MONTH(V126),"")</f>
        <v>1</v>
      </c>
      <c r="AI126" s="86" t="str">
        <f>+IF(AG126=$AI$22,MONTH(V126),"")</f>
        <v/>
      </c>
      <c r="AJ126" s="86" t="str">
        <f>+IF(AG126=$AJ$22,MONTH(V126),"")</f>
        <v/>
      </c>
      <c r="AK126" s="86" t="str">
        <f>+IF(AG126=$AK$22,MONTH(V126),"")</f>
        <v/>
      </c>
      <c r="AL126" s="86" t="str">
        <f>+IF(AG126=$AL$22,MONTH(V126),"")</f>
        <v/>
      </c>
      <c r="AM126" s="86" t="str">
        <f>+IF($AG126=$AM$22,MONTH($D126),"")</f>
        <v/>
      </c>
      <c r="AN126" s="89" t="str">
        <f>+IF($AG126=AN$22,MONTH($D126),"")</f>
        <v/>
      </c>
      <c r="AO126" s="89" t="str">
        <f>+IF($AG126=AO$22,MONTH($D126),"")</f>
        <v/>
      </c>
      <c r="AP126" s="89" t="str">
        <f>+IF($AG126=AP$22,MONTH($D126),"")</f>
        <v/>
      </c>
      <c r="AQ126" s="89" t="str">
        <f>+IF($AG126=AQ$22,MONTH($D126),"")</f>
        <v/>
      </c>
      <c r="AR126" s="89" t="str">
        <f>+IF($AG126=AR$22,MONTH($D126),"")</f>
        <v/>
      </c>
      <c r="AS126" s="89" t="str">
        <f>+IF($AG126=AS$22,MONTH($D126),"")</f>
        <v/>
      </c>
      <c r="AT126" s="89" t="str">
        <f>+IF($AG126=AT$22,MONTH($D126),"")</f>
        <v/>
      </c>
      <c r="AU126" s="89" t="str">
        <f>+IF($AG126=AU$22,MONTH($D126),"")</f>
        <v/>
      </c>
      <c r="AV126" s="89" t="str">
        <f>+IF($AG126=AV$22,MONTH($D126),"")</f>
        <v/>
      </c>
      <c r="AW126" s="86" t="str">
        <f>+IF($AG126=AW$22,MONTH($D126),"")</f>
        <v/>
      </c>
      <c r="AX126" s="86" t="str">
        <f>+IF($AG126=AX$22,MONTH($D126),"")</f>
        <v/>
      </c>
      <c r="AY126" s="89"/>
      <c r="AZ126" s="89"/>
      <c r="BA126" s="89"/>
      <c r="BB126" s="89"/>
      <c r="BC126" s="89"/>
      <c r="BD126" s="89"/>
      <c r="BE126" s="89"/>
      <c r="BF126" s="89"/>
      <c r="BG126" s="89"/>
      <c r="BH126" s="89"/>
      <c r="BI126" s="89"/>
      <c r="BJ126" s="89"/>
      <c r="BK126" s="89"/>
      <c r="BL126" s="89"/>
      <c r="BM126" s="89"/>
      <c r="BN126" s="89"/>
      <c r="BO126" s="89"/>
      <c r="BP126" s="89"/>
    </row>
    <row r="127" spans="1:68" s="382" customFormat="1" ht="45.75" hidden="1" customHeight="1">
      <c r="A127" s="204" t="str">
        <f>+IFERROR(VALUE(MID(AB127,4,4)),"")</f>
        <v/>
      </c>
      <c r="B127" s="204">
        <f>VALUE(RIGHT(C127,LEN(C127)-2))</f>
        <v>2595</v>
      </c>
      <c r="C127" s="74" t="s">
        <v>645</v>
      </c>
      <c r="D127" s="75">
        <v>46006</v>
      </c>
      <c r="E127" s="70" t="s">
        <v>353</v>
      </c>
      <c r="F127" s="68" t="s">
        <v>354</v>
      </c>
      <c r="G127" s="68" t="s">
        <v>646</v>
      </c>
      <c r="H127" s="304" t="s">
        <v>647</v>
      </c>
      <c r="I127" s="69" t="s">
        <v>648</v>
      </c>
      <c r="J127" s="69"/>
      <c r="K127" s="68" t="s">
        <v>9</v>
      </c>
      <c r="L127" s="69" t="s">
        <v>120</v>
      </c>
      <c r="M127" s="71" t="s">
        <v>141</v>
      </c>
      <c r="N127" s="69" t="e" vm="1">
        <v>#VALUE!</v>
      </c>
      <c r="O127" s="84">
        <v>46007</v>
      </c>
      <c r="P127" s="69" t="s">
        <v>649</v>
      </c>
      <c r="Q127" s="69" t="s">
        <v>623</v>
      </c>
      <c r="R127" s="69" t="s">
        <v>378</v>
      </c>
      <c r="S127" s="146"/>
      <c r="T127" s="68" t="s">
        <v>158</v>
      </c>
      <c r="U127" s="87">
        <v>0.05</v>
      </c>
      <c r="V127" s="80">
        <v>46007</v>
      </c>
      <c r="W127" s="73">
        <v>116</v>
      </c>
      <c r="X127" s="73">
        <v>5.9379999999999997</v>
      </c>
      <c r="Y127" s="83">
        <f>IF(SUM(W127:W127)&gt;0,X127/SUM(W127:W127)*1000000,"N/A")</f>
        <v>51189.65517241379</v>
      </c>
      <c r="Z127" s="80"/>
      <c r="AA127" s="80"/>
      <c r="AB127" s="73"/>
      <c r="AC127" s="75"/>
      <c r="AD127" s="332"/>
      <c r="AE127" s="68"/>
      <c r="AF127" s="73"/>
      <c r="AG127" s="182">
        <f>YEAR(V127)</f>
        <v>2025</v>
      </c>
      <c r="AH127" s="86" t="str">
        <f>+IF(AG127=$AH$22,MONTH(V127),"")</f>
        <v/>
      </c>
      <c r="AI127" s="86">
        <f>+IF(AG127=$AI$22,MONTH(V127),"")</f>
        <v>12</v>
      </c>
      <c r="AJ127" s="86" t="str">
        <f>+IF(AG127=$AJ$22,MONTH(V127),"")</f>
        <v/>
      </c>
      <c r="AK127" s="86" t="str">
        <f>+IF(AG127=$AK$22,MONTH(V127),"")</f>
        <v/>
      </c>
      <c r="AL127" s="86" t="str">
        <f>+IF(AG127=$AL$22,MONTH(V127),"")</f>
        <v/>
      </c>
      <c r="AM127" s="86" t="str">
        <f>+IF($AG127=$AM$22,MONTH($D127),"")</f>
        <v/>
      </c>
      <c r="AN127" s="89" t="str">
        <f>+IF($AG127=AN$22,MONTH($D127),"")</f>
        <v/>
      </c>
      <c r="AO127" s="184" t="str">
        <f>+IF($AG127=AO$22,MONTH($D127),"")</f>
        <v/>
      </c>
      <c r="AP127" s="184" t="str">
        <f>+IF($AG127=AP$22,MONTH($D127),"")</f>
        <v/>
      </c>
      <c r="AQ127" s="184" t="str">
        <f>+IF($AG127=AQ$22,MONTH($D127),"")</f>
        <v/>
      </c>
      <c r="AR127" s="184" t="str">
        <f>+IF($AG127=AR$22,MONTH($D127),"")</f>
        <v/>
      </c>
      <c r="AS127" s="184" t="str">
        <f>+IF($AG127=AS$22,MONTH($D127),"")</f>
        <v/>
      </c>
      <c r="AT127" s="86" t="str">
        <f>+IF($AG127=AT$22,MONTH($D127),"")</f>
        <v/>
      </c>
      <c r="AU127" s="86" t="str">
        <f>+IF($AG127=AU$22,MONTH($D127),"")</f>
        <v/>
      </c>
      <c r="AV127" s="86" t="str">
        <f>+IF($AG127=AV$22,MONTH($D127),"")</f>
        <v/>
      </c>
      <c r="AW127" s="86" t="str">
        <f>+IF($AG127=AW$22,MONTH($D127),"")</f>
        <v/>
      </c>
      <c r="AX127" s="86" t="str">
        <f>+IF($AG127=AX$22,MONTH($D127),"")</f>
        <v/>
      </c>
      <c r="AY127" s="89"/>
      <c r="AZ127" s="89"/>
      <c r="BA127" s="89"/>
      <c r="BB127" s="89"/>
      <c r="BC127" s="89"/>
      <c r="BD127" s="89"/>
      <c r="BE127" s="89"/>
      <c r="BF127" s="89"/>
      <c r="BG127" s="89"/>
      <c r="BH127" s="89"/>
      <c r="BI127" s="89"/>
      <c r="BJ127" s="89"/>
      <c r="BK127" s="89"/>
      <c r="BL127" s="89"/>
      <c r="BM127" s="89"/>
      <c r="BN127" s="89"/>
      <c r="BO127" s="89"/>
      <c r="BP127" s="89"/>
    </row>
    <row r="128" spans="1:68" s="388" customFormat="1" ht="45.75" hidden="1" customHeight="1">
      <c r="A128" s="204">
        <f>+IFERROR(VALUE(MID(AB128,4,4)),"")</f>
        <v>467</v>
      </c>
      <c r="B128" s="204">
        <f>VALUE(RIGHT(C128,LEN(C128)-2))</f>
        <v>2594</v>
      </c>
      <c r="C128" s="74" t="s">
        <v>650</v>
      </c>
      <c r="D128" s="75">
        <v>45992</v>
      </c>
      <c r="E128" s="70" t="s">
        <v>487</v>
      </c>
      <c r="F128" s="70" t="s">
        <v>487</v>
      </c>
      <c r="G128" s="68" t="s">
        <v>488</v>
      </c>
      <c r="H128" s="307" t="s">
        <v>489</v>
      </c>
      <c r="I128" s="69" t="s">
        <v>651</v>
      </c>
      <c r="J128" s="69"/>
      <c r="K128" s="68" t="s">
        <v>212</v>
      </c>
      <c r="L128" s="69" t="s">
        <v>120</v>
      </c>
      <c r="M128" s="71" t="s">
        <v>141</v>
      </c>
      <c r="N128" s="69" t="e" vm="1">
        <v>#VALUE!</v>
      </c>
      <c r="O128" s="84">
        <v>46010</v>
      </c>
      <c r="P128" s="82" t="s">
        <v>377</v>
      </c>
      <c r="Q128" s="72" t="s">
        <v>652</v>
      </c>
      <c r="R128" s="72" t="s">
        <v>378</v>
      </c>
      <c r="S128" s="146"/>
      <c r="T128" s="68" t="s">
        <v>3</v>
      </c>
      <c r="U128" s="87"/>
      <c r="V128" s="80">
        <v>46037</v>
      </c>
      <c r="W128" s="150"/>
      <c r="X128" s="150"/>
      <c r="Y128" s="83" t="str">
        <f>IF(SUM(W128:W128)&gt;0,X128/SUM(W128:W128)*1000000,"N/A")</f>
        <v>N/A</v>
      </c>
      <c r="Z128" s="80"/>
      <c r="AA128" s="80"/>
      <c r="AB128" s="73" t="s">
        <v>653</v>
      </c>
      <c r="AC128" s="153"/>
      <c r="AD128" s="330"/>
      <c r="AE128" s="305"/>
      <c r="AF128" s="88"/>
      <c r="AG128" s="182">
        <f>YEAR(V128)</f>
        <v>2026</v>
      </c>
      <c r="AH128" s="86">
        <f>+IF(AG128=$AH$22,MONTH(V128),"")</f>
        <v>1</v>
      </c>
      <c r="AI128" s="86" t="str">
        <f>+IF(AG128=$AI$22,MONTH(V128),"")</f>
        <v/>
      </c>
      <c r="AJ128" s="86" t="str">
        <f>+IF(AG128=$AJ$22,MONTH(V128),"")</f>
        <v/>
      </c>
      <c r="AK128" s="86" t="str">
        <f>+IF(AG128=$AK$22,MONTH(V128),"")</f>
        <v/>
      </c>
      <c r="AL128" s="86" t="str">
        <f>+IF(AG128=$AL$22,MONTH(V128),"")</f>
        <v/>
      </c>
      <c r="AM128" s="86" t="str">
        <f>+IF($AG128=$AM$22,MONTH($D128),"")</f>
        <v/>
      </c>
      <c r="AN128" s="89" t="str">
        <f>+IF($AG128=AN$22,MONTH($D128),"")</f>
        <v/>
      </c>
      <c r="AO128" s="89" t="str">
        <f>+IF($AG128=AO$22,MONTH($D128),"")</f>
        <v/>
      </c>
      <c r="AP128" s="89" t="str">
        <f>+IF($AG128=AP$22,MONTH($D128),"")</f>
        <v/>
      </c>
      <c r="AQ128" s="89" t="str">
        <f>+IF($AG128=AQ$22,MONTH($D128),"")</f>
        <v/>
      </c>
      <c r="AR128" s="89" t="str">
        <f>+IF($AG128=AR$22,MONTH($D128),"")</f>
        <v/>
      </c>
      <c r="AS128" s="89" t="str">
        <f>+IF($AG128=AS$22,MONTH($D128),"")</f>
        <v/>
      </c>
      <c r="AT128" s="89" t="str">
        <f>+IF($AG128=AT$22,MONTH($D128),"")</f>
        <v/>
      </c>
      <c r="AU128" s="89" t="str">
        <f>+IF($AG128=AU$22,MONTH($D128),"")</f>
        <v/>
      </c>
      <c r="AV128" s="89" t="str">
        <f>+IF($AG128=AV$22,MONTH($D128),"")</f>
        <v/>
      </c>
      <c r="AW128" s="86" t="str">
        <f>+IF($AG128=AW$22,MONTH($D128),"")</f>
        <v/>
      </c>
      <c r="AX128" s="86" t="str">
        <f>+IF($AG128=AX$22,MONTH($D128),"")</f>
        <v/>
      </c>
      <c r="AY128" s="89"/>
      <c r="AZ128" s="89"/>
      <c r="BA128" s="89"/>
      <c r="BB128" s="89"/>
      <c r="BC128" s="89"/>
      <c r="BD128" s="89"/>
      <c r="BE128" s="89"/>
      <c r="BF128" s="89"/>
      <c r="BG128" s="89"/>
      <c r="BH128" s="89"/>
      <c r="BI128" s="89"/>
      <c r="BJ128" s="89"/>
      <c r="BK128" s="89"/>
      <c r="BL128" s="89"/>
      <c r="BM128" s="89"/>
      <c r="BN128" s="182"/>
      <c r="BO128" s="182"/>
      <c r="BP128" s="182"/>
    </row>
    <row r="129" spans="1:68" s="56" customFormat="1" ht="25.5" hidden="1" customHeight="1">
      <c r="A129" s="204">
        <f>+IFERROR(VALUE(MID(AB129,4,4)),"")</f>
        <v>468</v>
      </c>
      <c r="B129" s="204">
        <f>VALUE(RIGHT(C129,LEN(C129)-2))</f>
        <v>2593</v>
      </c>
      <c r="C129" s="74" t="s">
        <v>654</v>
      </c>
      <c r="D129" s="75">
        <v>45996</v>
      </c>
      <c r="E129" s="70" t="s">
        <v>223</v>
      </c>
      <c r="F129" s="70" t="s">
        <v>223</v>
      </c>
      <c r="G129" s="68" t="s">
        <v>327</v>
      </c>
      <c r="H129" s="282" t="s">
        <v>328</v>
      </c>
      <c r="I129" s="69" t="s">
        <v>655</v>
      </c>
      <c r="J129" s="69"/>
      <c r="K129" s="68" t="s">
        <v>13</v>
      </c>
      <c r="L129" s="69" t="s">
        <v>123</v>
      </c>
      <c r="M129" s="71" t="s">
        <v>141</v>
      </c>
      <c r="N129" s="69" t="e" vm="1">
        <v>#VALUE!</v>
      </c>
      <c r="O129" s="84">
        <v>46006</v>
      </c>
      <c r="P129" s="72" t="s">
        <v>239</v>
      </c>
      <c r="Q129" s="72" t="s">
        <v>229</v>
      </c>
      <c r="R129" s="72" t="s">
        <v>230</v>
      </c>
      <c r="S129" s="146"/>
      <c r="T129" s="68" t="s">
        <v>3</v>
      </c>
      <c r="U129" s="87"/>
      <c r="V129" s="80">
        <v>46030</v>
      </c>
      <c r="W129" s="73">
        <v>814</v>
      </c>
      <c r="X129" s="73">
        <v>39.369999999999997</v>
      </c>
      <c r="Y129" s="169">
        <f>IF(SUM(W129:W129)&gt;0,X129/SUM(W129:W129)*1000000,"N/A")</f>
        <v>48366.093366093366</v>
      </c>
      <c r="Z129" s="80"/>
      <c r="AA129" s="80"/>
      <c r="AB129" s="73" t="s">
        <v>656</v>
      </c>
      <c r="AC129" s="153"/>
      <c r="AD129" s="331"/>
      <c r="AE129" s="57"/>
      <c r="AF129" s="88"/>
      <c r="AG129" s="182">
        <f>YEAR(V129)</f>
        <v>2026</v>
      </c>
      <c r="AH129" s="86">
        <f>+IF(AG129=$AH$22,MONTH(V129),"")</f>
        <v>1</v>
      </c>
      <c r="AI129" s="86" t="str">
        <f>+IF(AG129=$AI$22,MONTH(V129),"")</f>
        <v/>
      </c>
      <c r="AJ129" s="86" t="str">
        <f>+IF(AG129=$AJ$22,MONTH(V129),"")</f>
        <v/>
      </c>
      <c r="AK129" s="86" t="str">
        <f>+IF(AG129=$AK$22,MONTH(V129),"")</f>
        <v/>
      </c>
      <c r="AL129" s="86" t="str">
        <f>+IF(AG129=$AL$22,MONTH(V129),"")</f>
        <v/>
      </c>
      <c r="AM129" s="86" t="str">
        <f>+IF($AG129=$AM$22,MONTH($D129),"")</f>
        <v/>
      </c>
      <c r="AN129" s="89" t="str">
        <f>+IF($AG129=AN$22,MONTH($D129),"")</f>
        <v/>
      </c>
      <c r="AO129" s="89" t="str">
        <f>+IF($AG129=AO$22,MONTH($D129),"")</f>
        <v/>
      </c>
      <c r="AP129" s="89" t="str">
        <f>+IF($AG129=AP$22,MONTH($D129),"")</f>
        <v/>
      </c>
      <c r="AQ129" s="89" t="str">
        <f>+IF($AG129=AQ$22,MONTH($D129),"")</f>
        <v/>
      </c>
      <c r="AR129" s="89" t="str">
        <f>+IF($AG129=AR$22,MONTH($D129),"")</f>
        <v/>
      </c>
      <c r="AS129" s="89" t="str">
        <f>+IF($AG129=AS$22,MONTH($D129),"")</f>
        <v/>
      </c>
      <c r="AT129" s="89" t="str">
        <f>+IF($AG129=AT$22,MONTH($D129),"")</f>
        <v/>
      </c>
      <c r="AU129" s="89" t="str">
        <f>+IF($AG129=AU$22,MONTH($D129),"")</f>
        <v/>
      </c>
      <c r="AV129" s="89" t="str">
        <f>+IF($AG129=AV$22,MONTH($D129),"")</f>
        <v/>
      </c>
      <c r="AW129" s="86" t="str">
        <f>+IF($AG129=AW$22,MONTH($D129),"")</f>
        <v/>
      </c>
      <c r="AX129" s="86" t="str">
        <f>+IF($AG129=AX$22,MONTH($D129),"")</f>
        <v/>
      </c>
      <c r="AY129" s="89"/>
      <c r="AZ129" s="89"/>
      <c r="BA129" s="89"/>
      <c r="BB129" s="89"/>
      <c r="BC129" s="89"/>
      <c r="BD129" s="89"/>
      <c r="BE129" s="89"/>
      <c r="BF129" s="89"/>
      <c r="BG129" s="89"/>
      <c r="BH129" s="89"/>
      <c r="BI129" s="89"/>
      <c r="BJ129" s="89"/>
      <c r="BK129" s="89"/>
      <c r="BL129" s="89"/>
      <c r="BM129" s="89"/>
      <c r="BN129" s="89"/>
      <c r="BO129" s="89"/>
      <c r="BP129" s="89"/>
    </row>
    <row r="130" spans="1:68" s="382" customFormat="1" ht="45.75" hidden="1" customHeight="1">
      <c r="A130" s="204" t="str">
        <f>+IFERROR(VALUE(MID(AB130,4,4)),"")</f>
        <v/>
      </c>
      <c r="B130" s="204">
        <f>VALUE(RIGHT(C130,LEN(C130)-2))</f>
        <v>2592</v>
      </c>
      <c r="C130" s="74" t="s">
        <v>657</v>
      </c>
      <c r="D130" s="75">
        <v>46000</v>
      </c>
      <c r="E130" s="70" t="s">
        <v>658</v>
      </c>
      <c r="F130" s="70" t="s">
        <v>479</v>
      </c>
      <c r="G130" s="68" t="s">
        <v>659</v>
      </c>
      <c r="H130" s="307" t="s">
        <v>660</v>
      </c>
      <c r="I130" s="162" t="s">
        <v>661</v>
      </c>
      <c r="J130" s="162"/>
      <c r="K130" s="68" t="s">
        <v>13</v>
      </c>
      <c r="L130" s="69" t="s">
        <v>120</v>
      </c>
      <c r="M130" s="71" t="s">
        <v>113</v>
      </c>
      <c r="N130" s="69" t="e" vm="2">
        <v>#VALUE!</v>
      </c>
      <c r="O130" s="84">
        <v>46007</v>
      </c>
      <c r="P130" s="82" t="s">
        <v>219</v>
      </c>
      <c r="Q130" s="72" t="s">
        <v>623</v>
      </c>
      <c r="R130" s="72" t="s">
        <v>378</v>
      </c>
      <c r="S130" s="146"/>
      <c r="T130" s="68" t="s">
        <v>158</v>
      </c>
      <c r="U130" s="87">
        <v>0.02</v>
      </c>
      <c r="V130" s="183">
        <v>46000</v>
      </c>
      <c r="W130" s="73"/>
      <c r="X130" s="73"/>
      <c r="Y130" s="83" t="str">
        <f>IF(SUM(W130:W130)&gt;0,X130/SUM(W130:W130)*1000000,"N/A")</f>
        <v>N/A</v>
      </c>
      <c r="Z130" s="183"/>
      <c r="AA130" s="183"/>
      <c r="AB130" s="73"/>
      <c r="AC130" s="153"/>
      <c r="AD130" s="330"/>
      <c r="AE130" s="305"/>
      <c r="AF130" s="88"/>
      <c r="AG130" s="182">
        <f>YEAR(V130)</f>
        <v>2025</v>
      </c>
      <c r="AH130" s="86" t="str">
        <f>+IF(AG130=$AH$22,MONTH(V130),"")</f>
        <v/>
      </c>
      <c r="AI130" s="86">
        <f>+IF(AG130=$AI$22,MONTH(V130),"")</f>
        <v>12</v>
      </c>
      <c r="AJ130" s="86" t="str">
        <f>+IF(AG130=$AJ$22,MONTH(V130),"")</f>
        <v/>
      </c>
      <c r="AK130" s="86" t="str">
        <f>+IF(AG130=$AK$22,MONTH(V130),"")</f>
        <v/>
      </c>
      <c r="AL130" s="86"/>
      <c r="AM130" s="89"/>
      <c r="AN130" s="89"/>
      <c r="AO130" s="89"/>
      <c r="AP130" s="89"/>
      <c r="AQ130" s="89"/>
      <c r="AR130" s="89"/>
      <c r="AS130" s="89"/>
      <c r="AT130" s="89"/>
      <c r="AU130" s="89"/>
      <c r="AV130" s="89"/>
      <c r="AW130" s="86" t="str">
        <f>+IF($AG130=AW$22,MONTH($D130),"")</f>
        <v/>
      </c>
      <c r="AX130" s="86" t="str">
        <f>+IF($AG130=AX$22,MONTH($D130),"")</f>
        <v/>
      </c>
      <c r="AY130" s="89"/>
      <c r="AZ130" s="89"/>
      <c r="BA130" s="89"/>
      <c r="BB130" s="89"/>
      <c r="BC130" s="89"/>
      <c r="BD130" s="89"/>
      <c r="BE130" s="89"/>
      <c r="BF130" s="89"/>
      <c r="BG130" s="89"/>
      <c r="BH130" s="89"/>
      <c r="BI130" s="89"/>
      <c r="BJ130" s="89"/>
      <c r="BK130" s="89"/>
      <c r="BL130" s="89"/>
      <c r="BM130" s="89"/>
      <c r="BN130" s="89"/>
      <c r="BO130" s="89"/>
      <c r="BP130" s="89"/>
    </row>
    <row r="131" spans="1:68" s="56" customFormat="1" ht="41.25" hidden="1" customHeight="1">
      <c r="A131" s="204" t="str">
        <f>+IFERROR(VALUE(MID(AB131,4,4)),"")</f>
        <v/>
      </c>
      <c r="B131" s="204">
        <f>VALUE(RIGHT(C131,LEN(C131)-2))</f>
        <v>2591</v>
      </c>
      <c r="C131" s="74" t="s">
        <v>662</v>
      </c>
      <c r="D131" s="75">
        <v>45994</v>
      </c>
      <c r="E131" s="70" t="s">
        <v>447</v>
      </c>
      <c r="F131" s="70" t="s">
        <v>447</v>
      </c>
      <c r="G131" s="68" t="s">
        <v>663</v>
      </c>
      <c r="H131" s="282" t="s">
        <v>664</v>
      </c>
      <c r="I131" s="69" t="s">
        <v>665</v>
      </c>
      <c r="J131" s="69"/>
      <c r="K131" s="68" t="s">
        <v>9</v>
      </c>
      <c r="L131" s="69" t="s">
        <v>120</v>
      </c>
      <c r="M131" s="71" t="s">
        <v>141</v>
      </c>
      <c r="N131" s="69" t="e" vm="1">
        <v>#VALUE!</v>
      </c>
      <c r="O131" s="84">
        <v>45996</v>
      </c>
      <c r="P131" s="72" t="s">
        <v>666</v>
      </c>
      <c r="Q131" s="72" t="s">
        <v>316</v>
      </c>
      <c r="R131" s="72" t="s">
        <v>378</v>
      </c>
      <c r="S131" s="146"/>
      <c r="T131" s="68" t="s">
        <v>168</v>
      </c>
      <c r="U131" s="87"/>
      <c r="V131" s="80">
        <v>45994</v>
      </c>
      <c r="W131" s="73"/>
      <c r="X131" s="73">
        <v>0</v>
      </c>
      <c r="Y131" s="169" t="str">
        <f>IF(SUM(W131:W131)&gt;0,X131/SUM(W131:W131)*1000000,"N/A")</f>
        <v>N/A</v>
      </c>
      <c r="Z131" s="80"/>
      <c r="AA131" s="80"/>
      <c r="AB131" s="73"/>
      <c r="AC131" s="153"/>
      <c r="AD131" s="331"/>
      <c r="AE131" s="57"/>
      <c r="AF131" s="88"/>
      <c r="AG131" s="182">
        <f>YEAR(V131)</f>
        <v>2025</v>
      </c>
      <c r="AH131" s="86" t="str">
        <f>+IF(AG131=$AH$22,MONTH(V131),"")</f>
        <v/>
      </c>
      <c r="AI131" s="86">
        <f>+IF(AG131=$AI$22,MONTH(V131),"")</f>
        <v>12</v>
      </c>
      <c r="AJ131" s="86" t="str">
        <f>+IF(AG131=$AJ$22,MONTH(V131),"")</f>
        <v/>
      </c>
      <c r="AK131" s="86" t="str">
        <f>+IF(AG131=$AK$22,MONTH(V131),"")</f>
        <v/>
      </c>
      <c r="AL131" s="86" t="str">
        <f>+IF(AG131=$AL$22,MONTH(V131),"")</f>
        <v/>
      </c>
      <c r="AM131" s="86" t="str">
        <f>+IF($AG131=$AM$22,MONTH($D131),"")</f>
        <v/>
      </c>
      <c r="AN131" s="89" t="str">
        <f>+IF($AG131=AN$22,MONTH($D131),"")</f>
        <v/>
      </c>
      <c r="AO131" s="89" t="str">
        <f>+IF($AG131=AO$22,MONTH($D131),"")</f>
        <v/>
      </c>
      <c r="AP131" s="89" t="str">
        <f>+IF($AG131=AP$22,MONTH($D131),"")</f>
        <v/>
      </c>
      <c r="AQ131" s="89" t="str">
        <f>+IF($AG131=AQ$22,MONTH($D131),"")</f>
        <v/>
      </c>
      <c r="AR131" s="89" t="str">
        <f>+IF($AG131=AR$22,MONTH($D131),"")</f>
        <v/>
      </c>
      <c r="AS131" s="89" t="str">
        <f>+IF($AG131=AS$22,MONTH($D131),"")</f>
        <v/>
      </c>
      <c r="AT131" s="89" t="str">
        <f>+IF($AG131=AT$22,MONTH($D131),"")</f>
        <v/>
      </c>
      <c r="AU131" s="89" t="str">
        <f>+IF($AG131=AU$22,MONTH($D131),"")</f>
        <v/>
      </c>
      <c r="AV131" s="89" t="str">
        <f>+IF($AG131=AV$22,MONTH($D131),"")</f>
        <v/>
      </c>
      <c r="AW131" s="86" t="str">
        <f>+IF($AG131=AW$22,MONTH($D131),"")</f>
        <v/>
      </c>
      <c r="AX131" s="86" t="str">
        <f>+IF($AG131=AX$22,MONTH($D131),"")</f>
        <v/>
      </c>
      <c r="AY131" s="89"/>
      <c r="AZ131" s="89"/>
      <c r="BA131" s="89"/>
      <c r="BB131" s="89"/>
      <c r="BC131" s="89"/>
      <c r="BD131" s="89"/>
      <c r="BE131" s="89"/>
      <c r="BF131" s="89"/>
      <c r="BG131" s="89"/>
      <c r="BH131" s="89"/>
      <c r="BI131" s="89"/>
      <c r="BJ131" s="89"/>
      <c r="BK131" s="89"/>
      <c r="BL131" s="89"/>
      <c r="BM131" s="89"/>
      <c r="BN131" s="89"/>
      <c r="BO131" s="89"/>
      <c r="BP131" s="89"/>
    </row>
    <row r="132" spans="1:68" s="382" customFormat="1" ht="51" hidden="1" customHeight="1">
      <c r="A132" s="204" t="str">
        <f>+IFERROR(VALUE(MID(AB132,4,4)),"")</f>
        <v/>
      </c>
      <c r="B132" s="204">
        <f>VALUE(RIGHT(C132,LEN(C132)-2))</f>
        <v>2590</v>
      </c>
      <c r="C132" s="74" t="s">
        <v>667</v>
      </c>
      <c r="D132" s="75">
        <v>45994</v>
      </c>
      <c r="E132" s="70" t="s">
        <v>53</v>
      </c>
      <c r="F132" s="70" t="s">
        <v>642</v>
      </c>
      <c r="G132" s="68" t="s">
        <v>210</v>
      </c>
      <c r="H132" s="379" t="s">
        <v>210</v>
      </c>
      <c r="I132" s="69" t="s">
        <v>668</v>
      </c>
      <c r="J132" s="69"/>
      <c r="K132" s="68" t="s">
        <v>9</v>
      </c>
      <c r="L132" s="69" t="s">
        <v>123</v>
      </c>
      <c r="M132" s="71" t="s">
        <v>141</v>
      </c>
      <c r="N132" s="69" t="e" vm="1">
        <v>#VALUE!</v>
      </c>
      <c r="O132" s="84">
        <v>46028</v>
      </c>
      <c r="P132" s="72" t="s">
        <v>213</v>
      </c>
      <c r="Q132" s="72" t="s">
        <v>259</v>
      </c>
      <c r="R132" s="72" t="s">
        <v>212</v>
      </c>
      <c r="S132" s="146"/>
      <c r="T132" s="68" t="s">
        <v>155</v>
      </c>
      <c r="U132" s="87"/>
      <c r="V132" s="80">
        <v>45994</v>
      </c>
      <c r="W132" s="73"/>
      <c r="X132" s="73"/>
      <c r="Y132" s="169" t="str">
        <f>IF(SUM(W132:W132)&gt;0,X132/SUM(W132:W132)*1000000,"N/A")</f>
        <v>N/A</v>
      </c>
      <c r="Z132" s="80"/>
      <c r="AA132" s="80"/>
      <c r="AB132" s="73"/>
      <c r="AC132" s="153"/>
      <c r="AD132" s="330"/>
      <c r="AE132" s="305"/>
      <c r="AF132" s="88"/>
      <c r="AG132" s="182">
        <f>YEAR(V132)</f>
        <v>2025</v>
      </c>
      <c r="AH132" s="86" t="str">
        <f>+IF(AG132=$AH$22,MONTH(V132),"")</f>
        <v/>
      </c>
      <c r="AI132" s="86">
        <f>+IF(AG132=$AI$22,MONTH(V132),"")</f>
        <v>12</v>
      </c>
      <c r="AJ132" s="86" t="str">
        <f>+IF(AG132=$AJ$22,MONTH(V132),"")</f>
        <v/>
      </c>
      <c r="AK132" s="86" t="str">
        <f>+IF(AG132=$AK$22,MONTH(V132),"")</f>
        <v/>
      </c>
      <c r="AL132" s="86" t="str">
        <f>+IF(AG132=$AL$22,MONTH(V132),"")</f>
        <v/>
      </c>
      <c r="AM132" s="86" t="str">
        <f>+IF($AG132=$AM$22,MONTH($D132),"")</f>
        <v/>
      </c>
      <c r="AN132" s="89" t="str">
        <f>+IF($AG132=AN$22,MONTH($D132),"")</f>
        <v/>
      </c>
      <c r="AO132" s="89" t="str">
        <f>+IF($AG132=AO$22,MONTH($D132),"")</f>
        <v/>
      </c>
      <c r="AP132" s="89" t="str">
        <f>+IF($AG132=AP$22,MONTH($D132),"")</f>
        <v/>
      </c>
      <c r="AQ132" s="89" t="str">
        <f>+IF($AG132=AQ$22,MONTH($D132),"")</f>
        <v/>
      </c>
      <c r="AR132" s="89" t="str">
        <f>+IF($AG132=AR$22,MONTH($D132),"")</f>
        <v/>
      </c>
      <c r="AS132" s="89" t="str">
        <f>+IF($AG132=AS$22,MONTH($D132),"")</f>
        <v/>
      </c>
      <c r="AT132" s="89" t="str">
        <f>+IF($AG132=AT$22,MONTH($D132),"")</f>
        <v/>
      </c>
      <c r="AU132" s="89" t="str">
        <f>+IF($AG132=AU$22,MONTH($D132),"")</f>
        <v/>
      </c>
      <c r="AV132" s="89" t="str">
        <f>+IF($AG132=AV$22,MONTH($D132),"")</f>
        <v/>
      </c>
      <c r="AW132" s="86" t="str">
        <f>+IF($AG132=AW$22,MONTH($D132),"")</f>
        <v/>
      </c>
      <c r="AX132" s="86" t="str">
        <f>+IF($AG132=AX$22,MONTH($D132),"")</f>
        <v/>
      </c>
      <c r="AY132" s="89"/>
      <c r="AZ132" s="89"/>
      <c r="BA132" s="89"/>
      <c r="BB132" s="89"/>
      <c r="BC132" s="89"/>
      <c r="BD132" s="89"/>
      <c r="BE132" s="89"/>
      <c r="BF132" s="89"/>
      <c r="BG132" s="89"/>
      <c r="BH132" s="89"/>
      <c r="BI132" s="89"/>
      <c r="BJ132" s="89"/>
      <c r="BK132" s="89"/>
      <c r="BL132" s="89"/>
      <c r="BM132" s="89"/>
      <c r="BN132" s="89"/>
      <c r="BO132" s="89"/>
      <c r="BP132" s="89"/>
    </row>
    <row r="133" spans="1:68" s="56" customFormat="1" ht="42.75" hidden="1" customHeight="1">
      <c r="A133" s="204">
        <f>+IFERROR(VALUE(MID(AB133,4,4)),"")</f>
        <v>271</v>
      </c>
      <c r="B133" s="204">
        <f>VALUE(RIGHT(C133,LEN(C133)-2))</f>
        <v>2589</v>
      </c>
      <c r="C133" s="74" t="s">
        <v>669</v>
      </c>
      <c r="D133" s="75">
        <v>45989</v>
      </c>
      <c r="E133" s="70" t="s">
        <v>277</v>
      </c>
      <c r="F133" s="70" t="s">
        <v>277</v>
      </c>
      <c r="G133" s="68" t="s">
        <v>278</v>
      </c>
      <c r="H133" s="379" t="s">
        <v>279</v>
      </c>
      <c r="I133" s="69" t="s">
        <v>670</v>
      </c>
      <c r="J133" s="69"/>
      <c r="K133" s="68" t="s">
        <v>9</v>
      </c>
      <c r="L133" s="69" t="s">
        <v>129</v>
      </c>
      <c r="M133" s="71" t="s">
        <v>141</v>
      </c>
      <c r="N133" s="69" t="e" vm="1">
        <v>#VALUE!</v>
      </c>
      <c r="O133" s="84">
        <v>45995</v>
      </c>
      <c r="P133" s="82" t="s">
        <v>281</v>
      </c>
      <c r="Q133" s="72" t="s">
        <v>623</v>
      </c>
      <c r="R133" s="72" t="s">
        <v>221</v>
      </c>
      <c r="S133" s="146"/>
      <c r="T133" s="68" t="s">
        <v>3</v>
      </c>
      <c r="U133" s="87"/>
      <c r="V133" s="80">
        <v>45995</v>
      </c>
      <c r="W133" s="73">
        <v>132</v>
      </c>
      <c r="X133" s="214">
        <v>5.6420000000000003</v>
      </c>
      <c r="Y133" s="169">
        <f>IF(SUM(W133:W133)&gt;0,X133/SUM(W133:W133)*1000000,"N/A")</f>
        <v>42742.424242424247</v>
      </c>
      <c r="Z133" s="80"/>
      <c r="AA133" s="80"/>
      <c r="AB133" s="73" t="s">
        <v>671</v>
      </c>
      <c r="AC133" s="153"/>
      <c r="AD133" s="330"/>
      <c r="AE133" s="57"/>
      <c r="AF133" s="88"/>
      <c r="AG133" s="182">
        <f>YEAR(V133)</f>
        <v>2025</v>
      </c>
      <c r="AH133" s="86" t="str">
        <f>+IF(AG133=$AH$22,MONTH(V133),"")</f>
        <v/>
      </c>
      <c r="AI133" s="86">
        <f>+IF(AG133=$AI$22,MONTH(V133),"")</f>
        <v>12</v>
      </c>
      <c r="AJ133" s="86" t="str">
        <f>+IF(AG133=$AJ$22,MONTH(V133),"")</f>
        <v/>
      </c>
      <c r="AK133" s="86" t="str">
        <f>+IF(AG133=$AK$22,MONTH(V133),"")</f>
        <v/>
      </c>
      <c r="AL133" s="86" t="str">
        <f>+IF(AG133=$AL$22,MONTH(V133),"")</f>
        <v/>
      </c>
      <c r="AM133" s="86" t="str">
        <f>+IF($AG133=$AM$22,MONTH($D133),"")</f>
        <v/>
      </c>
      <c r="AN133" s="89" t="str">
        <f>+IF($AG133=AN$22,MONTH($D133),"")</f>
        <v/>
      </c>
      <c r="AO133" s="89" t="str">
        <f>+IF($AG133=AO$22,MONTH($D133),"")</f>
        <v/>
      </c>
      <c r="AP133" s="89" t="str">
        <f>+IF($AG133=AP$22,MONTH($D133),"")</f>
        <v/>
      </c>
      <c r="AQ133" s="89" t="str">
        <f>+IF($AG133=AQ$22,MONTH($D133),"")</f>
        <v/>
      </c>
      <c r="AR133" s="89" t="str">
        <f>+IF($AG133=AR$22,MONTH($D133),"")</f>
        <v/>
      </c>
      <c r="AS133" s="89" t="str">
        <f>+IF($AG133=AS$22,MONTH($D133),"")</f>
        <v/>
      </c>
      <c r="AT133" s="89" t="str">
        <f>+IF($AG133=AT$22,MONTH($D133),"")</f>
        <v/>
      </c>
      <c r="AU133" s="89" t="str">
        <f>+IF($AG133=AU$22,MONTH($D133),"")</f>
        <v/>
      </c>
      <c r="AV133" s="89" t="str">
        <f>+IF($AG133=AV$22,MONTH($D133),"")</f>
        <v/>
      </c>
      <c r="AW133" s="86" t="str">
        <f>+IF($AG133=AW$22,MONTH($D133),"")</f>
        <v/>
      </c>
      <c r="AX133" s="86" t="str">
        <f>+IF($AG133=AX$22,MONTH($D133),"")</f>
        <v/>
      </c>
      <c r="AY133" s="89"/>
      <c r="AZ133" s="89"/>
      <c r="BA133" s="89"/>
      <c r="BB133" s="89"/>
      <c r="BC133" s="89"/>
      <c r="BD133" s="89"/>
      <c r="BE133" s="89"/>
      <c r="BF133" s="89"/>
      <c r="BG133" s="89"/>
      <c r="BH133" s="89"/>
      <c r="BI133" s="89"/>
      <c r="BJ133" s="89"/>
      <c r="BK133" s="89"/>
      <c r="BL133" s="89"/>
      <c r="BM133" s="89"/>
      <c r="BN133" s="89"/>
      <c r="BO133" s="89"/>
      <c r="BP133" s="89"/>
    </row>
    <row r="134" spans="1:68" s="56" customFormat="1" ht="42.75" hidden="1" customHeight="1">
      <c r="A134" s="204">
        <f>+IFERROR(VALUE(MID(AB134,4,4)),"")</f>
        <v>271</v>
      </c>
      <c r="B134" s="204">
        <f>VALUE(RIGHT(C134,LEN(C134)-2))</f>
        <v>2588</v>
      </c>
      <c r="C134" s="74" t="s">
        <v>672</v>
      </c>
      <c r="D134" s="75">
        <v>45989</v>
      </c>
      <c r="E134" s="70" t="s">
        <v>277</v>
      </c>
      <c r="F134" s="70" t="s">
        <v>277</v>
      </c>
      <c r="G134" s="68" t="s">
        <v>278</v>
      </c>
      <c r="H134" s="379" t="s">
        <v>279</v>
      </c>
      <c r="I134" s="69" t="s">
        <v>673</v>
      </c>
      <c r="J134" s="69"/>
      <c r="K134" s="68" t="s">
        <v>9</v>
      </c>
      <c r="L134" s="69" t="s">
        <v>129</v>
      </c>
      <c r="M134" s="71" t="s">
        <v>141</v>
      </c>
      <c r="N134" s="69" t="e" vm="1">
        <v>#VALUE!</v>
      </c>
      <c r="O134" s="84">
        <v>45995</v>
      </c>
      <c r="P134" s="82" t="s">
        <v>281</v>
      </c>
      <c r="Q134" s="72" t="s">
        <v>623</v>
      </c>
      <c r="R134" s="162" t="s">
        <v>221</v>
      </c>
      <c r="S134" s="146"/>
      <c r="T134" s="68" t="s">
        <v>3</v>
      </c>
      <c r="U134" s="87"/>
      <c r="V134" s="80">
        <v>45995</v>
      </c>
      <c r="W134" s="73">
        <v>411</v>
      </c>
      <c r="X134" s="214">
        <v>17.23</v>
      </c>
      <c r="Y134" s="169">
        <f>IF(SUM(W134:W134)&gt;0,X134/SUM(W134:W134)*1000000,"N/A")</f>
        <v>41922.141119221415</v>
      </c>
      <c r="Z134" s="80"/>
      <c r="AA134" s="80"/>
      <c r="AB134" s="73" t="s">
        <v>674</v>
      </c>
      <c r="AC134" s="153"/>
      <c r="AD134" s="330"/>
      <c r="AE134" s="57"/>
      <c r="AF134" s="88"/>
      <c r="AG134" s="182">
        <f>YEAR(V134)</f>
        <v>2025</v>
      </c>
      <c r="AH134" s="86" t="str">
        <f>+IF(AG134=$AH$22,MONTH(V134),"")</f>
        <v/>
      </c>
      <c r="AI134" s="86">
        <f>+IF(AG134=$AI$22,MONTH(V134),"")</f>
        <v>12</v>
      </c>
      <c r="AJ134" s="86" t="str">
        <f>+IF(AG134=$AJ$22,MONTH(V134),"")</f>
        <v/>
      </c>
      <c r="AK134" s="86" t="str">
        <f>+IF(AG134=$AK$22,MONTH(V134),"")</f>
        <v/>
      </c>
      <c r="AL134" s="86" t="str">
        <f>+IF(AG134=$AL$22,MONTH(V134),"")</f>
        <v/>
      </c>
      <c r="AM134" s="86" t="str">
        <f>+IF($AG134=$AM$22,MONTH($D134),"")</f>
        <v/>
      </c>
      <c r="AN134" s="89" t="str">
        <f>+IF($AG134=AN$22,MONTH($D134),"")</f>
        <v/>
      </c>
      <c r="AO134" s="89" t="str">
        <f>+IF($AG134=AO$22,MONTH($D134),"")</f>
        <v/>
      </c>
      <c r="AP134" s="89" t="str">
        <f>+IF($AG134=AP$22,MONTH($D134),"")</f>
        <v/>
      </c>
      <c r="AQ134" s="89" t="str">
        <f>+IF($AG134=AQ$22,MONTH($D134),"")</f>
        <v/>
      </c>
      <c r="AR134" s="89" t="str">
        <f>+IF($AG134=AR$22,MONTH($D134),"")</f>
        <v/>
      </c>
      <c r="AS134" s="89" t="str">
        <f>+IF($AG134=AS$22,MONTH($D134),"")</f>
        <v/>
      </c>
      <c r="AT134" s="89" t="str">
        <f>+IF($AG134=AT$22,MONTH($D134),"")</f>
        <v/>
      </c>
      <c r="AU134" s="89" t="str">
        <f>+IF($AG134=AU$22,MONTH($D134),"")</f>
        <v/>
      </c>
      <c r="AV134" s="89" t="str">
        <f>+IF($AG134=AV$22,MONTH($D134),"")</f>
        <v/>
      </c>
      <c r="AW134" s="86" t="str">
        <f>+IF($AG134=AW$22,MONTH($D134),"")</f>
        <v/>
      </c>
      <c r="AX134" s="86" t="str">
        <f>+IF($AG134=AX$22,MONTH($D134),"")</f>
        <v/>
      </c>
      <c r="AY134" s="89"/>
      <c r="AZ134" s="89"/>
      <c r="BA134" s="89"/>
      <c r="BB134" s="89"/>
      <c r="BC134" s="89"/>
      <c r="BD134" s="89"/>
      <c r="BE134" s="89"/>
      <c r="BF134" s="89"/>
      <c r="BG134" s="89"/>
      <c r="BH134" s="89"/>
      <c r="BI134" s="89"/>
      <c r="BJ134" s="89"/>
      <c r="BK134" s="89"/>
      <c r="BL134" s="89"/>
      <c r="BM134" s="89"/>
      <c r="BN134" s="89"/>
      <c r="BO134" s="89"/>
      <c r="BP134" s="89"/>
    </row>
    <row r="135" spans="1:68" s="56" customFormat="1" ht="42.75" hidden="1" customHeight="1">
      <c r="A135" s="204">
        <f>+IFERROR(VALUE(MID(AB135,4,4)),"")</f>
        <v>271</v>
      </c>
      <c r="B135" s="204">
        <f>VALUE(RIGHT(C135,LEN(C135)-2))</f>
        <v>2587</v>
      </c>
      <c r="C135" s="74" t="s">
        <v>675</v>
      </c>
      <c r="D135" s="75">
        <v>45989</v>
      </c>
      <c r="E135" s="70" t="s">
        <v>277</v>
      </c>
      <c r="F135" s="70" t="s">
        <v>277</v>
      </c>
      <c r="G135" s="68" t="s">
        <v>278</v>
      </c>
      <c r="H135" s="379" t="s">
        <v>279</v>
      </c>
      <c r="I135" s="69" t="s">
        <v>676</v>
      </c>
      <c r="J135" s="69"/>
      <c r="K135" s="68" t="s">
        <v>9</v>
      </c>
      <c r="L135" s="69" t="s">
        <v>129</v>
      </c>
      <c r="M135" s="71" t="s">
        <v>141</v>
      </c>
      <c r="N135" s="69" t="e" vm="1">
        <v>#VALUE!</v>
      </c>
      <c r="O135" s="84">
        <v>45995</v>
      </c>
      <c r="P135" s="82" t="s">
        <v>281</v>
      </c>
      <c r="Q135" s="72" t="s">
        <v>259</v>
      </c>
      <c r="R135" s="162" t="s">
        <v>260</v>
      </c>
      <c r="S135" s="146"/>
      <c r="T135" s="68" t="s">
        <v>3</v>
      </c>
      <c r="U135" s="87"/>
      <c r="V135" s="80">
        <v>45995</v>
      </c>
      <c r="W135" s="73">
        <v>170</v>
      </c>
      <c r="X135" s="214">
        <v>7.83</v>
      </c>
      <c r="Y135" s="169">
        <f>IF(SUM(W135:W135)&gt;0,X135/SUM(W135:W135)*1000000,"N/A")</f>
        <v>46058.823529411762</v>
      </c>
      <c r="Z135" s="80"/>
      <c r="AA135" s="80"/>
      <c r="AB135" s="73" t="s">
        <v>677</v>
      </c>
      <c r="AC135" s="153"/>
      <c r="AD135" s="330"/>
      <c r="AE135" s="57"/>
      <c r="AF135" s="88"/>
      <c r="AG135" s="182">
        <f>YEAR(V135)</f>
        <v>2025</v>
      </c>
      <c r="AH135" s="86" t="str">
        <f>+IF(AG135=$AH$22,MONTH(V135),"")</f>
        <v/>
      </c>
      <c r="AI135" s="86">
        <f>+IF(AG135=$AI$22,MONTH(V135),"")</f>
        <v>12</v>
      </c>
      <c r="AJ135" s="86" t="str">
        <f>+IF(AG135=$AJ$22,MONTH(V135),"")</f>
        <v/>
      </c>
      <c r="AK135" s="86" t="str">
        <f>+IF(AG135=$AK$22,MONTH(V135),"")</f>
        <v/>
      </c>
      <c r="AL135" s="86" t="str">
        <f>+IF(AG135=$AL$22,MONTH(V135),"")</f>
        <v/>
      </c>
      <c r="AM135" s="86" t="str">
        <f>+IF($AG135=$AM$22,MONTH($D135),"")</f>
        <v/>
      </c>
      <c r="AN135" s="89" t="str">
        <f>+IF($AG135=AN$22,MONTH($D135),"")</f>
        <v/>
      </c>
      <c r="AO135" s="89" t="str">
        <f>+IF($AG135=AO$22,MONTH($D135),"")</f>
        <v/>
      </c>
      <c r="AP135" s="89" t="str">
        <f>+IF($AG135=AP$22,MONTH($D135),"")</f>
        <v/>
      </c>
      <c r="AQ135" s="89" t="str">
        <f>+IF($AG135=AQ$22,MONTH($D135),"")</f>
        <v/>
      </c>
      <c r="AR135" s="89" t="str">
        <f>+IF($AG135=AR$22,MONTH($D135),"")</f>
        <v/>
      </c>
      <c r="AS135" s="89" t="str">
        <f>+IF($AG135=AS$22,MONTH($D135),"")</f>
        <v/>
      </c>
      <c r="AT135" s="89" t="str">
        <f>+IF($AG135=AT$22,MONTH($D135),"")</f>
        <v/>
      </c>
      <c r="AU135" s="89" t="str">
        <f>+IF($AG135=AU$22,MONTH($D135),"")</f>
        <v/>
      </c>
      <c r="AV135" s="89" t="str">
        <f>+IF($AG135=AV$22,MONTH($D135),"")</f>
        <v/>
      </c>
      <c r="AW135" s="86" t="str">
        <f>+IF($AG135=AW$22,MONTH($D135),"")</f>
        <v/>
      </c>
      <c r="AX135" s="86" t="str">
        <f>+IF($AG135=AX$22,MONTH($D135),"")</f>
        <v/>
      </c>
      <c r="AY135" s="89"/>
      <c r="AZ135" s="89"/>
      <c r="BA135" s="89"/>
      <c r="BB135" s="89"/>
      <c r="BC135" s="89"/>
      <c r="BD135" s="89"/>
      <c r="BE135" s="89"/>
      <c r="BF135" s="89"/>
      <c r="BG135" s="89"/>
      <c r="BH135" s="89"/>
      <c r="BI135" s="89"/>
      <c r="BJ135" s="89"/>
      <c r="BK135" s="89"/>
      <c r="BL135" s="89"/>
      <c r="BM135" s="89"/>
      <c r="BN135" s="89"/>
      <c r="BO135" s="89"/>
      <c r="BP135" s="89"/>
    </row>
    <row r="136" spans="1:68" s="56" customFormat="1" ht="32.25" hidden="1" customHeight="1">
      <c r="A136" s="204" t="str">
        <f>+IFERROR(VALUE(MID(AB136,4,4)),"")</f>
        <v/>
      </c>
      <c r="B136" s="204">
        <f>VALUE(RIGHT(C136,LEN(C136)-2))</f>
        <v>2586</v>
      </c>
      <c r="C136" s="74" t="s">
        <v>678</v>
      </c>
      <c r="D136" s="75">
        <v>45994</v>
      </c>
      <c r="E136" s="70" t="s">
        <v>223</v>
      </c>
      <c r="F136" s="70" t="s">
        <v>223</v>
      </c>
      <c r="G136" s="68" t="s">
        <v>327</v>
      </c>
      <c r="H136" s="282" t="s">
        <v>328</v>
      </c>
      <c r="I136" s="69" t="s">
        <v>679</v>
      </c>
      <c r="J136" s="69"/>
      <c r="K136" s="68" t="s">
        <v>607</v>
      </c>
      <c r="L136" s="69" t="s">
        <v>123</v>
      </c>
      <c r="M136" s="71" t="s">
        <v>141</v>
      </c>
      <c r="N136" s="69" t="e" vm="1">
        <v>#VALUE!</v>
      </c>
      <c r="O136" s="84">
        <v>46003</v>
      </c>
      <c r="P136" s="72" t="s">
        <v>649</v>
      </c>
      <c r="Q136" s="72" t="s">
        <v>229</v>
      </c>
      <c r="R136" s="162" t="s">
        <v>260</v>
      </c>
      <c r="S136" s="146"/>
      <c r="T136" s="68" t="s">
        <v>158</v>
      </c>
      <c r="U136" s="87">
        <v>0.01</v>
      </c>
      <c r="V136" s="80">
        <v>46003</v>
      </c>
      <c r="W136" s="73">
        <v>1405</v>
      </c>
      <c r="X136" s="73">
        <v>65.284999999999997</v>
      </c>
      <c r="Y136" s="169">
        <f>IF(SUM(W136:W136)&gt;0,X136/SUM(W136:W136)*1000000,"N/A")</f>
        <v>46466.192170818504</v>
      </c>
      <c r="Z136" s="80"/>
      <c r="AA136" s="80"/>
      <c r="AB136" s="73"/>
      <c r="AC136" s="153"/>
      <c r="AD136" s="331"/>
      <c r="AE136" s="57"/>
      <c r="AF136" s="88"/>
      <c r="AG136" s="182">
        <f>YEAR(V136)</f>
        <v>2025</v>
      </c>
      <c r="AH136" s="86" t="str">
        <f>+IF(AG136=$AH$22,MONTH(V136),"")</f>
        <v/>
      </c>
      <c r="AI136" s="86">
        <f>+IF(AG136=$AI$22,MONTH(V136),"")</f>
        <v>12</v>
      </c>
      <c r="AJ136" s="86" t="str">
        <f>+IF(AG136=$AJ$22,MONTH(V136),"")</f>
        <v/>
      </c>
      <c r="AK136" s="86" t="str">
        <f>+IF(AG136=$AK$22,MONTH(V136),"")</f>
        <v/>
      </c>
      <c r="AL136" s="86" t="str">
        <f>+IF(AG136=$AL$22,MONTH(V136),"")</f>
        <v/>
      </c>
      <c r="AM136" s="86" t="str">
        <f>+IF($AG136=$AM$22,MONTH($D136),"")</f>
        <v/>
      </c>
      <c r="AN136" s="89" t="str">
        <f>+IF($AG136=AN$22,MONTH($D136),"")</f>
        <v/>
      </c>
      <c r="AO136" s="89" t="str">
        <f>+IF($AG136=AO$22,MONTH($D136),"")</f>
        <v/>
      </c>
      <c r="AP136" s="89" t="str">
        <f>+IF($AG136=AP$22,MONTH($D136),"")</f>
        <v/>
      </c>
      <c r="AQ136" s="89" t="str">
        <f>+IF($AG136=AQ$22,MONTH($D136),"")</f>
        <v/>
      </c>
      <c r="AR136" s="89" t="str">
        <f>+IF($AG136=AR$22,MONTH($D136),"")</f>
        <v/>
      </c>
      <c r="AS136" s="89" t="str">
        <f>+IF($AG136=AS$22,MONTH($D136),"")</f>
        <v/>
      </c>
      <c r="AT136" s="89" t="str">
        <f>+IF($AG136=AT$22,MONTH($D136),"")</f>
        <v/>
      </c>
      <c r="AU136" s="89" t="str">
        <f>+IF($AG136=AU$22,MONTH($D136),"")</f>
        <v/>
      </c>
      <c r="AV136" s="89" t="str">
        <f>+IF($AG136=AV$22,MONTH($D136),"")</f>
        <v/>
      </c>
      <c r="AW136" s="86" t="str">
        <f>+IF($AG136=AW$22,MONTH($D136),"")</f>
        <v/>
      </c>
      <c r="AX136" s="86" t="str">
        <f>+IF($AG136=AX$22,MONTH($D136),"")</f>
        <v/>
      </c>
      <c r="AY136" s="89"/>
      <c r="AZ136" s="89"/>
      <c r="BA136" s="89"/>
      <c r="BB136" s="89"/>
      <c r="BC136" s="89"/>
      <c r="BD136" s="89"/>
      <c r="BE136" s="89"/>
      <c r="BF136" s="89"/>
      <c r="BG136" s="89"/>
      <c r="BH136" s="89"/>
      <c r="BI136" s="89"/>
      <c r="BJ136" s="89"/>
      <c r="BK136" s="89"/>
      <c r="BL136" s="89"/>
      <c r="BM136" s="89"/>
      <c r="BN136" s="89"/>
      <c r="BO136" s="89"/>
      <c r="BP136" s="89"/>
    </row>
    <row r="137" spans="1:68" s="56" customFormat="1" ht="46.5" hidden="1" customHeight="1">
      <c r="A137" s="204" t="str">
        <f>+IFERROR(VALUE(MID(AB137,4,4)),"")</f>
        <v/>
      </c>
      <c r="B137" s="204">
        <f>VALUE(RIGHT(C137,LEN(C137)-2))</f>
        <v>2585</v>
      </c>
      <c r="C137" s="74" t="s">
        <v>680</v>
      </c>
      <c r="D137" s="75">
        <v>45992</v>
      </c>
      <c r="E137" s="70" t="s">
        <v>473</v>
      </c>
      <c r="F137" s="70" t="s">
        <v>473</v>
      </c>
      <c r="G137" s="68" t="s">
        <v>681</v>
      </c>
      <c r="H137" s="307" t="s">
        <v>682</v>
      </c>
      <c r="I137" s="69" t="s">
        <v>683</v>
      </c>
      <c r="J137" s="69"/>
      <c r="K137" s="68" t="s">
        <v>18</v>
      </c>
      <c r="L137" s="69" t="s">
        <v>129</v>
      </c>
      <c r="M137" s="71" t="s">
        <v>141</v>
      </c>
      <c r="N137" s="69" t="e" vm="1">
        <v>#VALUE!</v>
      </c>
      <c r="O137" s="164">
        <v>45996</v>
      </c>
      <c r="P137" s="72" t="s">
        <v>412</v>
      </c>
      <c r="Q137" s="72" t="s">
        <v>316</v>
      </c>
      <c r="R137" s="162" t="s">
        <v>378</v>
      </c>
      <c r="S137" s="146"/>
      <c r="T137" s="68" t="s">
        <v>158</v>
      </c>
      <c r="U137" s="87">
        <v>0.15</v>
      </c>
      <c r="V137" s="183">
        <v>45994</v>
      </c>
      <c r="W137" s="73">
        <v>601</v>
      </c>
      <c r="X137" s="73">
        <v>33.265000000000001</v>
      </c>
      <c r="Y137" s="83">
        <f>IF(SUM(W137:W137)&gt;0,X137/SUM(W137:W137)*1000000,"N/A")</f>
        <v>55349.41763727121</v>
      </c>
      <c r="Z137" s="183"/>
      <c r="AA137" s="183"/>
      <c r="AB137" s="73"/>
      <c r="AC137" s="153"/>
      <c r="AD137" s="330"/>
      <c r="AE137" s="305"/>
      <c r="AF137" s="88"/>
      <c r="AG137" s="182">
        <f>YEAR(V137)</f>
        <v>2025</v>
      </c>
      <c r="AH137" s="86" t="str">
        <f>+IF(AG137=$AH$22,MONTH(V137),"")</f>
        <v/>
      </c>
      <c r="AI137" s="86">
        <f>+IF(AG137=$AI$22,MONTH(V137),"")</f>
        <v>12</v>
      </c>
      <c r="AJ137" s="86" t="str">
        <f>+IF(AG137=$AJ$22,MONTH(V137),"")</f>
        <v/>
      </c>
      <c r="AK137" s="86" t="str">
        <f>+IF(AG137=$AK$22,MONTH(V137),"")</f>
        <v/>
      </c>
      <c r="AL137" s="86"/>
      <c r="AM137" s="89"/>
      <c r="AN137" s="89"/>
      <c r="AO137" s="89"/>
      <c r="AP137" s="89"/>
      <c r="AQ137" s="89"/>
      <c r="AR137" s="89"/>
      <c r="AS137" s="89"/>
      <c r="AT137" s="89"/>
      <c r="AU137" s="89"/>
      <c r="AV137" s="89"/>
      <c r="AW137" s="86" t="str">
        <f>+IF($AG137=AW$22,MONTH($D137),"")</f>
        <v/>
      </c>
      <c r="AX137" s="86" t="str">
        <f>+IF($AG137=AX$22,MONTH($D137),"")</f>
        <v/>
      </c>
      <c r="AY137" s="89"/>
      <c r="AZ137" s="89"/>
      <c r="BA137" s="89"/>
      <c r="BB137" s="89"/>
      <c r="BC137" s="89"/>
      <c r="BD137" s="89"/>
      <c r="BE137" s="89"/>
      <c r="BF137" s="89"/>
      <c r="BG137" s="89"/>
      <c r="BH137" s="89"/>
      <c r="BI137" s="89"/>
      <c r="BJ137" s="89"/>
      <c r="BK137" s="89"/>
      <c r="BL137" s="89"/>
      <c r="BM137" s="89"/>
      <c r="BN137" s="89"/>
      <c r="BO137" s="89"/>
      <c r="BP137" s="89"/>
    </row>
    <row r="138" spans="1:68" s="56" customFormat="1" ht="30" hidden="1" customHeight="1">
      <c r="A138" s="204" t="str">
        <f>+IFERROR(VALUE(MID(AB138,4,4)),"")</f>
        <v/>
      </c>
      <c r="B138" s="204">
        <f>VALUE(RIGHT(C138,LEN(C138)-2))</f>
        <v>2584</v>
      </c>
      <c r="C138" s="74" t="s">
        <v>684</v>
      </c>
      <c r="D138" s="75">
        <v>45994</v>
      </c>
      <c r="E138" s="70" t="s">
        <v>685</v>
      </c>
      <c r="F138" s="70" t="s">
        <v>685</v>
      </c>
      <c r="G138" s="68" t="s">
        <v>686</v>
      </c>
      <c r="H138" s="282" t="s">
        <v>687</v>
      </c>
      <c r="I138" s="69" t="s">
        <v>688</v>
      </c>
      <c r="J138" s="69"/>
      <c r="K138" s="68" t="s">
        <v>11</v>
      </c>
      <c r="L138" s="69" t="s">
        <v>123</v>
      </c>
      <c r="M138" s="71" t="s">
        <v>141</v>
      </c>
      <c r="N138" s="69" t="e" vm="1">
        <v>#VALUE!</v>
      </c>
      <c r="O138" s="164">
        <v>46034</v>
      </c>
      <c r="P138" s="72" t="s">
        <v>689</v>
      </c>
      <c r="Q138" s="72" t="s">
        <v>220</v>
      </c>
      <c r="R138" s="162" t="s">
        <v>260</v>
      </c>
      <c r="S138" s="146"/>
      <c r="T138" s="68" t="s">
        <v>158</v>
      </c>
      <c r="U138" s="87">
        <v>0.2</v>
      </c>
      <c r="V138" s="183">
        <v>46034</v>
      </c>
      <c r="W138" s="73">
        <v>6586</v>
      </c>
      <c r="X138" s="73">
        <v>377.91699999999997</v>
      </c>
      <c r="Y138" s="83">
        <f>IF(SUM(W138:W138)&gt;0,X138/SUM(W138:W138)*1000000,"N/A")</f>
        <v>57381.870634679617</v>
      </c>
      <c r="Z138" s="183"/>
      <c r="AA138" s="183"/>
      <c r="AB138" s="73"/>
      <c r="AC138" s="153"/>
      <c r="AD138" s="331"/>
      <c r="AE138" s="57"/>
      <c r="AF138" s="88"/>
      <c r="AG138" s="182">
        <f>YEAR(V138)</f>
        <v>2026</v>
      </c>
      <c r="AH138" s="86">
        <f>+IF(AG138=$AH$22,MONTH(V138),"")</f>
        <v>1</v>
      </c>
      <c r="AI138" s="86" t="str">
        <f>+IF(AG138=$AI$22,MONTH(V138),"")</f>
        <v/>
      </c>
      <c r="AJ138" s="86" t="str">
        <f>+IF(AG138=$AJ$22,MONTH(V138),"")</f>
        <v/>
      </c>
      <c r="AK138" s="86" t="str">
        <f>+IF(AG138=$AK$22,MONTH(V138),"")</f>
        <v/>
      </c>
      <c r="AL138" s="86"/>
      <c r="AM138" s="89"/>
      <c r="AN138" s="89"/>
      <c r="AO138" s="89"/>
      <c r="AP138" s="89"/>
      <c r="AQ138" s="89"/>
      <c r="AR138" s="89"/>
      <c r="AS138" s="89"/>
      <c r="AT138" s="89"/>
      <c r="AU138" s="89"/>
      <c r="AV138" s="89"/>
      <c r="AW138" s="86" t="str">
        <f>+IF($AG138=AW$22,MONTH($D138),"")</f>
        <v/>
      </c>
      <c r="AX138" s="86" t="str">
        <f>+IF($AG138=AX$22,MONTH($D138),"")</f>
        <v/>
      </c>
      <c r="AY138" s="89"/>
      <c r="AZ138" s="89"/>
      <c r="BA138" s="89"/>
      <c r="BB138" s="89"/>
      <c r="BC138" s="89"/>
      <c r="BD138" s="89"/>
      <c r="BE138" s="89"/>
      <c r="BF138" s="89"/>
      <c r="BG138" s="89"/>
      <c r="BH138" s="89"/>
      <c r="BI138" s="89"/>
      <c r="BJ138" s="89"/>
      <c r="BK138" s="89"/>
      <c r="BL138" s="89"/>
      <c r="BM138" s="89"/>
      <c r="BN138" s="89"/>
      <c r="BO138" s="89"/>
      <c r="BP138" s="89"/>
    </row>
    <row r="139" spans="1:68" s="56" customFormat="1" ht="34.5" hidden="1" customHeight="1">
      <c r="A139" s="204">
        <f>+IFERROR(VALUE(MID(AB139,4,4)),"")</f>
        <v>469</v>
      </c>
      <c r="B139" s="204">
        <f>VALUE(RIGHT(C139,LEN(C139)-2))</f>
        <v>2583</v>
      </c>
      <c r="C139" s="74" t="s">
        <v>690</v>
      </c>
      <c r="D139" s="75">
        <v>45986</v>
      </c>
      <c r="E139" s="70" t="s">
        <v>262</v>
      </c>
      <c r="F139" s="70" t="s">
        <v>270</v>
      </c>
      <c r="G139" s="68" t="s">
        <v>691</v>
      </c>
      <c r="H139" s="307" t="s">
        <v>692</v>
      </c>
      <c r="I139" s="69" t="s">
        <v>693</v>
      </c>
      <c r="J139" s="69"/>
      <c r="K139" s="68" t="s">
        <v>18</v>
      </c>
      <c r="L139" s="69" t="s">
        <v>120</v>
      </c>
      <c r="M139" s="71" t="s">
        <v>141</v>
      </c>
      <c r="N139" s="69" t="e" vm="1">
        <v>#VALUE!</v>
      </c>
      <c r="O139" s="84">
        <v>46003</v>
      </c>
      <c r="P139" s="72" t="s">
        <v>666</v>
      </c>
      <c r="Q139" s="72" t="s">
        <v>694</v>
      </c>
      <c r="R139" s="162" t="s">
        <v>378</v>
      </c>
      <c r="S139" s="146" t="s">
        <v>695</v>
      </c>
      <c r="T139" s="68" t="s">
        <v>3</v>
      </c>
      <c r="U139" s="87"/>
      <c r="V139" s="80">
        <v>46037</v>
      </c>
      <c r="W139" s="73">
        <v>497</v>
      </c>
      <c r="X139" s="73">
        <v>29.959</v>
      </c>
      <c r="Y139" s="169">
        <f>IF(SUM(W139:W139)&gt;0,X139/SUM(W139:W139)*1000000,"N/A")</f>
        <v>60279.67806841046</v>
      </c>
      <c r="Z139" s="80"/>
      <c r="AA139" s="80"/>
      <c r="AB139" s="73" t="s">
        <v>696</v>
      </c>
      <c r="AC139" s="153"/>
      <c r="AD139" s="330"/>
      <c r="AE139" s="305"/>
      <c r="AF139" s="88"/>
      <c r="AG139" s="182">
        <f>YEAR(V139)</f>
        <v>2026</v>
      </c>
      <c r="AH139" s="86">
        <f>+IF(AG139=$AH$22,MONTH(V139),"")</f>
        <v>1</v>
      </c>
      <c r="AI139" s="86" t="str">
        <f>+IF(AG139=$AI$22,MONTH(V139),"")</f>
        <v/>
      </c>
      <c r="AJ139" s="86" t="str">
        <f>+IF(AG139=$AJ$22,MONTH(V139),"")</f>
        <v/>
      </c>
      <c r="AK139" s="86" t="str">
        <f>+IF(AG139=$AK$22,MONTH(V139),"")</f>
        <v/>
      </c>
      <c r="AL139" s="86" t="str">
        <f>+IF(AG139=$AL$22,MONTH(V139),"")</f>
        <v/>
      </c>
      <c r="AM139" s="86" t="str">
        <f>+IF($AG139=$AM$22,MONTH($D139),"")</f>
        <v/>
      </c>
      <c r="AN139" s="89" t="str">
        <f>+IF($AG139=AN$22,MONTH($D139),"")</f>
        <v/>
      </c>
      <c r="AO139" s="89" t="str">
        <f>+IF($AG139=AO$22,MONTH($D139),"")</f>
        <v/>
      </c>
      <c r="AP139" s="89" t="str">
        <f>+IF($AG139=AP$22,MONTH($D139),"")</f>
        <v/>
      </c>
      <c r="AQ139" s="89" t="str">
        <f>+IF($AG139=AQ$22,MONTH($D139),"")</f>
        <v/>
      </c>
      <c r="AR139" s="89" t="str">
        <f>+IF($AG139=AR$22,MONTH($D139),"")</f>
        <v/>
      </c>
      <c r="AS139" s="89" t="str">
        <f>+IF($AG139=AS$22,MONTH($D139),"")</f>
        <v/>
      </c>
      <c r="AT139" s="89" t="str">
        <f>+IF($AG139=AT$22,MONTH($D139),"")</f>
        <v/>
      </c>
      <c r="AU139" s="89" t="str">
        <f>+IF($AG139=AU$22,MONTH($D139),"")</f>
        <v/>
      </c>
      <c r="AV139" s="89" t="str">
        <f>+IF($AG139=AV$22,MONTH($D139),"")</f>
        <v/>
      </c>
      <c r="AW139" s="86" t="str">
        <f>+IF($AG139=AW$22,MONTH($D139),"")</f>
        <v/>
      </c>
      <c r="AX139" s="86" t="str">
        <f>+IF($AG139=AX$22,MONTH($D139),"")</f>
        <v/>
      </c>
      <c r="AY139" s="89"/>
      <c r="AZ139" s="89"/>
      <c r="BA139" s="89"/>
      <c r="BB139" s="89"/>
      <c r="BC139" s="89"/>
      <c r="BD139" s="89"/>
      <c r="BE139" s="89"/>
      <c r="BF139" s="89"/>
      <c r="BG139" s="89"/>
      <c r="BH139" s="89"/>
      <c r="BI139" s="89"/>
      <c r="BJ139" s="89"/>
      <c r="BK139" s="89"/>
      <c r="BL139" s="89"/>
      <c r="BM139" s="89"/>
      <c r="BN139" s="89"/>
      <c r="BO139" s="89"/>
      <c r="BP139" s="89"/>
    </row>
    <row r="140" spans="1:68" s="382" customFormat="1" ht="45.75" hidden="1" customHeight="1">
      <c r="A140" s="204" t="str">
        <f>+IFERROR(VALUE(MID(AB140,4,4)),"")</f>
        <v/>
      </c>
      <c r="B140" s="204">
        <f>VALUE(RIGHT(C140,LEN(C140)-2))</f>
        <v>2582</v>
      </c>
      <c r="C140" s="74" t="s">
        <v>697</v>
      </c>
      <c r="D140" s="75">
        <v>45993</v>
      </c>
      <c r="E140" s="70" t="s">
        <v>479</v>
      </c>
      <c r="F140" s="70" t="s">
        <v>479</v>
      </c>
      <c r="G140" s="68" t="s">
        <v>698</v>
      </c>
      <c r="H140" s="307" t="s">
        <v>699</v>
      </c>
      <c r="I140" s="162" t="s">
        <v>700</v>
      </c>
      <c r="J140" s="162"/>
      <c r="K140" s="68" t="s">
        <v>13</v>
      </c>
      <c r="L140" s="69" t="s">
        <v>129</v>
      </c>
      <c r="M140" s="71" t="s">
        <v>113</v>
      </c>
      <c r="N140" s="69" t="e" vm="2">
        <v>#VALUE!</v>
      </c>
      <c r="O140" s="84">
        <v>46003</v>
      </c>
      <c r="P140" s="82" t="s">
        <v>701</v>
      </c>
      <c r="Q140" s="72" t="s">
        <v>623</v>
      </c>
      <c r="R140" s="162" t="s">
        <v>221</v>
      </c>
      <c r="S140" s="146"/>
      <c r="T140" s="68" t="s">
        <v>158</v>
      </c>
      <c r="U140" s="87">
        <v>0.01</v>
      </c>
      <c r="V140" s="183">
        <v>45993</v>
      </c>
      <c r="W140" s="73">
        <v>3642</v>
      </c>
      <c r="X140" s="73">
        <v>106.224</v>
      </c>
      <c r="Y140" s="83">
        <f>IF(SUM(W140:W140)&gt;0,X140/SUM(W140:W140)*1000000,"N/A")</f>
        <v>29166.392092257003</v>
      </c>
      <c r="Z140" s="183"/>
      <c r="AA140" s="183"/>
      <c r="AB140" s="73"/>
      <c r="AC140" s="153"/>
      <c r="AD140" s="330"/>
      <c r="AE140" s="305"/>
      <c r="AF140" s="88"/>
      <c r="AG140" s="182">
        <f>YEAR(V140)</f>
        <v>2025</v>
      </c>
      <c r="AH140" s="86" t="str">
        <f>+IF(AG140=$AH$22,MONTH(V140),"")</f>
        <v/>
      </c>
      <c r="AI140" s="86">
        <f>+IF(AG140=$AI$22,MONTH(V140),"")</f>
        <v>12</v>
      </c>
      <c r="AJ140" s="86" t="str">
        <f>+IF(AG140=$AJ$22,MONTH(V140),"")</f>
        <v/>
      </c>
      <c r="AK140" s="86" t="str">
        <f>+IF(AG140=$AK$22,MONTH(V140),"")</f>
        <v/>
      </c>
      <c r="AL140" s="86"/>
      <c r="AM140" s="89"/>
      <c r="AN140" s="89"/>
      <c r="AO140" s="89"/>
      <c r="AP140" s="89"/>
      <c r="AQ140" s="89"/>
      <c r="AR140" s="89"/>
      <c r="AS140" s="89"/>
      <c r="AT140" s="89"/>
      <c r="AU140" s="89"/>
      <c r="AV140" s="89"/>
      <c r="AW140" s="86" t="str">
        <f>+IF($AG140=AW$22,MONTH($D140),"")</f>
        <v/>
      </c>
      <c r="AX140" s="86" t="str">
        <f>+IF($AG140=AX$22,MONTH($D140),"")</f>
        <v/>
      </c>
      <c r="AY140" s="89"/>
      <c r="AZ140" s="89"/>
      <c r="BA140" s="89"/>
      <c r="BB140" s="89"/>
      <c r="BC140" s="89"/>
      <c r="BD140" s="89"/>
      <c r="BE140" s="89"/>
      <c r="BF140" s="89"/>
      <c r="BG140" s="89"/>
      <c r="BH140" s="89"/>
      <c r="BI140" s="89"/>
      <c r="BJ140" s="89"/>
      <c r="BK140" s="89"/>
      <c r="BL140" s="89"/>
      <c r="BM140" s="89"/>
      <c r="BN140" s="89"/>
      <c r="BO140" s="89"/>
      <c r="BP140" s="89"/>
    </row>
    <row r="141" spans="1:68" s="388" customFormat="1" ht="25.5" hidden="1" customHeight="1">
      <c r="A141" s="204">
        <f>+IFERROR(VALUE(MID(AB141,4,4)),"")</f>
        <v>465</v>
      </c>
      <c r="B141" s="204">
        <f>VALUE(RIGHT(C141,LEN(C141)-2))</f>
        <v>2581</v>
      </c>
      <c r="C141" s="74" t="s">
        <v>702</v>
      </c>
      <c r="D141" s="75">
        <v>45992</v>
      </c>
      <c r="E141" s="70" t="s">
        <v>487</v>
      </c>
      <c r="F141" s="70" t="s">
        <v>487</v>
      </c>
      <c r="G141" s="68"/>
      <c r="H141" s="304"/>
      <c r="I141" s="69" t="s">
        <v>703</v>
      </c>
      <c r="J141" s="69"/>
      <c r="K141" s="68" t="s">
        <v>401</v>
      </c>
      <c r="L141" s="69" t="s">
        <v>120</v>
      </c>
      <c r="M141" s="71" t="s">
        <v>141</v>
      </c>
      <c r="N141" s="69" t="e" vm="1">
        <v>#VALUE!</v>
      </c>
      <c r="O141" s="84">
        <v>45994</v>
      </c>
      <c r="P141" s="82" t="s">
        <v>451</v>
      </c>
      <c r="Q141" s="72" t="s">
        <v>704</v>
      </c>
      <c r="R141" s="162" t="s">
        <v>378</v>
      </c>
      <c r="S141" s="146"/>
      <c r="T141" s="68" t="s">
        <v>3</v>
      </c>
      <c r="U141" s="87"/>
      <c r="V141" s="80">
        <v>46021</v>
      </c>
      <c r="W141" s="150">
        <v>631</v>
      </c>
      <c r="X141" s="213">
        <v>32</v>
      </c>
      <c r="Y141" s="83">
        <f>IF(SUM(W141:W141)&gt;0,X141/SUM(W141:W141)*1000000,"N/A")</f>
        <v>50713.153724247226</v>
      </c>
      <c r="Z141" s="80"/>
      <c r="AA141" s="80"/>
      <c r="AB141" s="73" t="s">
        <v>705</v>
      </c>
      <c r="AC141" s="153"/>
      <c r="AD141" s="330"/>
      <c r="AE141" s="305"/>
      <c r="AF141" s="88"/>
      <c r="AG141" s="182">
        <f>YEAR(V141)</f>
        <v>2025</v>
      </c>
      <c r="AH141" s="86" t="str">
        <f>+IF(AG141=$AH$22,MONTH(V141),"")</f>
        <v/>
      </c>
      <c r="AI141" s="86">
        <f>+IF(AG141=$AI$22,MONTH(V141),"")</f>
        <v>12</v>
      </c>
      <c r="AJ141" s="86" t="str">
        <f>+IF(AG141=$AJ$22,MONTH(V141),"")</f>
        <v/>
      </c>
      <c r="AK141" s="86" t="str">
        <f>+IF(AG141=$AK$22,MONTH(V141),"")</f>
        <v/>
      </c>
      <c r="AL141" s="86" t="str">
        <f>+IF(AG141=$AL$22,MONTH(V141),"")</f>
        <v/>
      </c>
      <c r="AM141" s="86" t="str">
        <f>+IF($AG141=$AM$22,MONTH($D141),"")</f>
        <v/>
      </c>
      <c r="AN141" s="89" t="str">
        <f>+IF($AG141=AN$22,MONTH($D141),"")</f>
        <v/>
      </c>
      <c r="AO141" s="89" t="str">
        <f>+IF($AG141=AO$22,MONTH($D141),"")</f>
        <v/>
      </c>
      <c r="AP141" s="89" t="str">
        <f>+IF($AG141=AP$22,MONTH($D141),"")</f>
        <v/>
      </c>
      <c r="AQ141" s="89" t="str">
        <f>+IF($AG141=AQ$22,MONTH($D141),"")</f>
        <v/>
      </c>
      <c r="AR141" s="89" t="str">
        <f>+IF($AG141=AR$22,MONTH($D141),"")</f>
        <v/>
      </c>
      <c r="AS141" s="89" t="str">
        <f>+IF($AG141=AS$22,MONTH($D141),"")</f>
        <v/>
      </c>
      <c r="AT141" s="89" t="str">
        <f>+IF($AG141=AT$22,MONTH($D141),"")</f>
        <v/>
      </c>
      <c r="AU141" s="89" t="str">
        <f>+IF($AG141=AU$22,MONTH($D141),"")</f>
        <v/>
      </c>
      <c r="AV141" s="89" t="str">
        <f>+IF($AG141=AV$22,MONTH($D141),"")</f>
        <v/>
      </c>
      <c r="AW141" s="86" t="str">
        <f>+IF($AG141=AW$22,MONTH($D141),"")</f>
        <v/>
      </c>
      <c r="AX141" s="86" t="str">
        <f>+IF($AG141=AX$22,MONTH($D141),"")</f>
        <v/>
      </c>
      <c r="AY141" s="89"/>
      <c r="AZ141" s="89"/>
      <c r="BA141" s="89"/>
      <c r="BB141" s="89"/>
      <c r="BC141" s="89"/>
      <c r="BD141" s="89"/>
      <c r="BE141" s="89"/>
      <c r="BF141" s="89"/>
      <c r="BG141" s="89"/>
      <c r="BH141" s="89"/>
      <c r="BI141" s="89"/>
      <c r="BJ141" s="89"/>
      <c r="BK141" s="89"/>
      <c r="BL141" s="89"/>
      <c r="BM141" s="89"/>
      <c r="BN141" s="182"/>
      <c r="BO141" s="182"/>
      <c r="BP141" s="182"/>
    </row>
    <row r="142" spans="1:68" s="51" customFormat="1" ht="39" hidden="1" customHeight="1">
      <c r="A142" s="204" t="str">
        <f>+IFERROR(VALUE(MID(AB142,4,4)),"")</f>
        <v/>
      </c>
      <c r="B142" s="204">
        <f>VALUE(RIGHT(C142,LEN(C142)-2))</f>
        <v>2580</v>
      </c>
      <c r="C142" s="74" t="s">
        <v>706</v>
      </c>
      <c r="D142" s="75">
        <v>45992</v>
      </c>
      <c r="E142" s="70" t="s">
        <v>707</v>
      </c>
      <c r="F142" s="70" t="s">
        <v>708</v>
      </c>
      <c r="G142" s="68" t="s">
        <v>709</v>
      </c>
      <c r="H142" s="59" t="s">
        <v>710</v>
      </c>
      <c r="I142" s="69" t="s">
        <v>711</v>
      </c>
      <c r="J142" s="69"/>
      <c r="K142" s="68" t="s">
        <v>401</v>
      </c>
      <c r="L142" s="69" t="s">
        <v>120</v>
      </c>
      <c r="M142" s="71" t="s">
        <v>141</v>
      </c>
      <c r="N142" s="69" t="e" vm="1">
        <v>#VALUE!</v>
      </c>
      <c r="O142" s="84">
        <v>45994</v>
      </c>
      <c r="P142" s="82" t="s">
        <v>454</v>
      </c>
      <c r="Q142" s="72" t="s">
        <v>623</v>
      </c>
      <c r="R142" s="162" t="s">
        <v>260</v>
      </c>
      <c r="S142" s="146"/>
      <c r="T142" s="68" t="s">
        <v>158</v>
      </c>
      <c r="U142" s="87">
        <v>0.01</v>
      </c>
      <c r="V142" s="80">
        <v>45992</v>
      </c>
      <c r="W142" s="73">
        <v>1616</v>
      </c>
      <c r="X142" s="73">
        <v>91.488</v>
      </c>
      <c r="Y142" s="83">
        <f>IF(SUM(W142:W142)&gt;0,X142/SUM(W142:W142)*1000000,"N/A")</f>
        <v>56613.861386138618</v>
      </c>
      <c r="Z142" s="80"/>
      <c r="AA142" s="80"/>
      <c r="AB142" s="73"/>
      <c r="AC142" s="153"/>
      <c r="AD142" s="331"/>
      <c r="AE142" s="57"/>
      <c r="AF142" s="88"/>
      <c r="AG142" s="182">
        <f>YEAR(V142)</f>
        <v>2025</v>
      </c>
      <c r="AH142" s="86" t="str">
        <f>+IF(AG142=$AH$22,MONTH(V142),"")</f>
        <v/>
      </c>
      <c r="AI142" s="86">
        <f>+IF(AG142=$AI$22,MONTH(V142),"")</f>
        <v>12</v>
      </c>
      <c r="AJ142" s="86" t="str">
        <f>+IF(AG142=$AJ$22,MONTH(V142),"")</f>
        <v/>
      </c>
      <c r="AK142" s="86" t="str">
        <f>+IF(AG142=$AK$22,MONTH(V142),"")</f>
        <v/>
      </c>
      <c r="AL142" s="86" t="str">
        <f>+IF(AG142=$AL$22,MONTH(V142),"")</f>
        <v/>
      </c>
      <c r="AM142" s="86" t="str">
        <f>+IF($AG142=$AM$22,MONTH($D142),"")</f>
        <v/>
      </c>
      <c r="AN142" s="89" t="str">
        <f>+IF($AG142=AN$22,MONTH($D142),"")</f>
        <v/>
      </c>
      <c r="AO142" s="89" t="str">
        <f>+IF($AG142=AO$22,MONTH($D142),"")</f>
        <v/>
      </c>
      <c r="AP142" s="89" t="str">
        <f>+IF($AG142=AP$22,MONTH($D142),"")</f>
        <v/>
      </c>
      <c r="AQ142" s="89" t="str">
        <f>+IF($AG142=AQ$22,MONTH($D142),"")</f>
        <v/>
      </c>
      <c r="AR142" s="89" t="str">
        <f>+IF($AG142=AR$22,MONTH($D142),"")</f>
        <v/>
      </c>
      <c r="AS142" s="89" t="str">
        <f>+IF($AG142=AS$22,MONTH($D142),"")</f>
        <v/>
      </c>
      <c r="AT142" s="89" t="str">
        <f>+IF($AG142=AT$22,MONTH($D142),"")</f>
        <v/>
      </c>
      <c r="AU142" s="89" t="str">
        <f>+IF($AG142=AU$22,MONTH($D142),"")</f>
        <v/>
      </c>
      <c r="AV142" s="89" t="str">
        <f>+IF($AG142=AV$22,MONTH($D142),"")</f>
        <v/>
      </c>
      <c r="AW142" s="86" t="str">
        <f>+IF($AG142=AW$22,MONTH($D142),"")</f>
        <v/>
      </c>
      <c r="AX142" s="86" t="str">
        <f>+IF($AG142=AX$22,MONTH($D142),"")</f>
        <v/>
      </c>
      <c r="AY142" s="89"/>
      <c r="AZ142" s="89"/>
      <c r="BA142" s="89"/>
      <c r="BB142" s="89"/>
      <c r="BC142" s="89"/>
      <c r="BD142" s="89"/>
      <c r="BE142" s="89"/>
      <c r="BF142" s="89"/>
      <c r="BG142" s="89"/>
      <c r="BH142" s="89"/>
      <c r="BI142" s="89"/>
      <c r="BJ142" s="89"/>
      <c r="BK142" s="89"/>
      <c r="BL142" s="89"/>
      <c r="BM142" s="89"/>
      <c r="BN142" s="182"/>
      <c r="BO142" s="182"/>
      <c r="BP142" s="182"/>
    </row>
    <row r="143" spans="1:68" s="56" customFormat="1" ht="39.75" hidden="1" customHeight="1">
      <c r="A143" s="204" t="str">
        <f>+IFERROR(VALUE(MID(AB143,4,4)),"")</f>
        <v/>
      </c>
      <c r="B143" s="204">
        <f>VALUE(RIGHT(C143,LEN(C143)-2))</f>
        <v>2579</v>
      </c>
      <c r="C143" s="74" t="s">
        <v>712</v>
      </c>
      <c r="D143" s="75">
        <v>45985</v>
      </c>
      <c r="E143" s="70" t="s">
        <v>713</v>
      </c>
      <c r="F143" s="70" t="s">
        <v>714</v>
      </c>
      <c r="G143" s="68" t="s">
        <v>713</v>
      </c>
      <c r="H143" s="282" t="s">
        <v>715</v>
      </c>
      <c r="I143" s="69" t="s">
        <v>716</v>
      </c>
      <c r="J143" s="69"/>
      <c r="K143" s="95" t="s">
        <v>401</v>
      </c>
      <c r="L143" s="69" t="s">
        <v>120</v>
      </c>
      <c r="M143" s="71" t="s">
        <v>141</v>
      </c>
      <c r="N143" s="69" t="e" vm="1">
        <v>#VALUE!</v>
      </c>
      <c r="O143" s="84">
        <v>45987</v>
      </c>
      <c r="P143" s="82" t="s">
        <v>451</v>
      </c>
      <c r="Q143" s="82" t="s">
        <v>316</v>
      </c>
      <c r="R143" s="69" t="s">
        <v>378</v>
      </c>
      <c r="S143" s="146"/>
      <c r="T143" s="68" t="s">
        <v>165</v>
      </c>
      <c r="U143" s="87"/>
      <c r="V143" s="80">
        <v>45989</v>
      </c>
      <c r="W143" s="73"/>
      <c r="X143" s="73"/>
      <c r="Y143" s="83" t="str">
        <f>IF(SUM(W143:W143)&gt;0,X143/SUM(W143:W143)*1000000,"N/A")</f>
        <v>N/A</v>
      </c>
      <c r="Z143" s="80"/>
      <c r="AA143" s="80"/>
      <c r="AB143" s="73"/>
      <c r="AC143" s="153"/>
      <c r="AD143" s="331"/>
      <c r="AE143" s="57"/>
      <c r="AF143" s="88"/>
      <c r="AG143" s="182">
        <f>YEAR(V143)</f>
        <v>2025</v>
      </c>
      <c r="AH143" s="86" t="str">
        <f>+IF(AG143=$AH$22,MONTH(V143),"")</f>
        <v/>
      </c>
      <c r="AI143" s="86">
        <f>+IF(AG143=$AI$22,MONTH(V143),"")</f>
        <v>11</v>
      </c>
      <c r="AJ143" s="86" t="str">
        <f>+IF(AG143=$AJ$22,MONTH(V143),"")</f>
        <v/>
      </c>
      <c r="AK143" s="86" t="str">
        <f>+IF(AG143=$AK$22,MONTH(V143),"")</f>
        <v/>
      </c>
      <c r="AL143" s="86" t="str">
        <f>+IF(AG143=$AL$22,MONTH(V143),"")</f>
        <v/>
      </c>
      <c r="AM143" s="86" t="str">
        <f>+IF($AG143=$AM$22,MONTH($D143),"")</f>
        <v/>
      </c>
      <c r="AN143" s="89" t="str">
        <f>+IF($AG143=AN$22,MONTH($D143),"")</f>
        <v/>
      </c>
      <c r="AO143" s="89" t="str">
        <f>+IF($AG143=AO$22,MONTH($D143),"")</f>
        <v/>
      </c>
      <c r="AP143" s="89" t="str">
        <f>+IF($AG143=AP$22,MONTH($D143),"")</f>
        <v/>
      </c>
      <c r="AQ143" s="89" t="str">
        <f>+IF($AG143=AQ$22,MONTH($D143),"")</f>
        <v/>
      </c>
      <c r="AR143" s="89" t="str">
        <f>+IF($AG143=AR$22,MONTH($D143),"")</f>
        <v/>
      </c>
      <c r="AS143" s="89" t="str">
        <f>+IF($AG143=AS$22,MONTH($D143),"")</f>
        <v/>
      </c>
      <c r="AT143" s="89" t="str">
        <f>+IF($AG143=AT$22,MONTH($D143),"")</f>
        <v/>
      </c>
      <c r="AU143" s="89" t="str">
        <f>+IF($AG143=AU$22,MONTH($D143),"")</f>
        <v/>
      </c>
      <c r="AV143" s="89" t="str">
        <f>+IF($AG143=AV$22,MONTH($D143),"")</f>
        <v/>
      </c>
      <c r="AW143" s="86" t="str">
        <f>+IF($AG143=AW$22,MONTH($D143),"")</f>
        <v/>
      </c>
      <c r="AX143" s="86" t="str">
        <f>+IF($AG143=AX$22,MONTH($D143),"")</f>
        <v/>
      </c>
      <c r="AY143" s="89"/>
      <c r="AZ143" s="89"/>
      <c r="BA143" s="89"/>
      <c r="BB143" s="89"/>
      <c r="BC143" s="89"/>
      <c r="BD143" s="89"/>
      <c r="BE143" s="89"/>
      <c r="BF143" s="89"/>
      <c r="BG143" s="89"/>
      <c r="BH143" s="89"/>
      <c r="BI143" s="89"/>
      <c r="BJ143" s="89"/>
      <c r="BK143" s="89"/>
      <c r="BL143" s="89"/>
      <c r="BM143" s="89"/>
      <c r="BN143" s="89"/>
      <c r="BO143" s="89"/>
      <c r="BP143" s="89"/>
    </row>
    <row r="144" spans="1:68" s="382" customFormat="1" ht="51" hidden="1" customHeight="1">
      <c r="A144" s="204" t="str">
        <f>+IFERROR(VALUE(MID(AB144,4,4)),"")</f>
        <v/>
      </c>
      <c r="B144" s="204">
        <f>VALUE(RIGHT(C144,LEN(C144)-2))</f>
        <v>2578</v>
      </c>
      <c r="C144" s="74" t="s">
        <v>717</v>
      </c>
      <c r="D144" s="75">
        <v>45988</v>
      </c>
      <c r="E144" s="70" t="s">
        <v>346</v>
      </c>
      <c r="F144" s="70" t="s">
        <v>346</v>
      </c>
      <c r="G144" s="68" t="s">
        <v>210</v>
      </c>
      <c r="H144" s="379" t="s">
        <v>210</v>
      </c>
      <c r="I144" s="69" t="s">
        <v>718</v>
      </c>
      <c r="J144" s="69"/>
      <c r="K144" s="68" t="s">
        <v>42</v>
      </c>
      <c r="L144" s="69" t="s">
        <v>123</v>
      </c>
      <c r="M144" s="71" t="s">
        <v>141</v>
      </c>
      <c r="N144" s="69" t="e" vm="1">
        <v>#VALUE!</v>
      </c>
      <c r="O144" s="84">
        <v>46043</v>
      </c>
      <c r="P144" s="72" t="s">
        <v>412</v>
      </c>
      <c r="Q144" s="72" t="s">
        <v>405</v>
      </c>
      <c r="R144" s="162" t="s">
        <v>212</v>
      </c>
      <c r="S144" s="146"/>
      <c r="T144" s="68" t="s">
        <v>158</v>
      </c>
      <c r="U144" s="87">
        <v>0.01</v>
      </c>
      <c r="V144" s="80">
        <v>46034</v>
      </c>
      <c r="W144" s="73">
        <v>1000</v>
      </c>
      <c r="X144" s="73">
        <v>42</v>
      </c>
      <c r="Y144" s="169">
        <f>IF(SUM(W144:W144)&gt;0,X144/SUM(W144:W144)*1000000,"N/A")</f>
        <v>42000</v>
      </c>
      <c r="Z144" s="80"/>
      <c r="AA144" s="80"/>
      <c r="AB144" s="73"/>
      <c r="AC144" s="153"/>
      <c r="AD144" s="330"/>
      <c r="AE144" s="305"/>
      <c r="AF144" s="88"/>
      <c r="AG144" s="182">
        <f>YEAR(V144)</f>
        <v>2026</v>
      </c>
      <c r="AH144" s="86">
        <f>+IF(AG144=$AH$22,MONTH(V144),"")</f>
        <v>1</v>
      </c>
      <c r="AI144" s="86" t="str">
        <f>+IF(AG144=$AI$22,MONTH(V144),"")</f>
        <v/>
      </c>
      <c r="AJ144" s="86" t="str">
        <f>+IF(AG144=$AJ$22,MONTH(V144),"")</f>
        <v/>
      </c>
      <c r="AK144" s="86" t="str">
        <f>+IF(AG144=$AK$22,MONTH(V144),"")</f>
        <v/>
      </c>
      <c r="AL144" s="86" t="str">
        <f>+IF(AG144=$AL$22,MONTH(V144),"")</f>
        <v/>
      </c>
      <c r="AM144" s="86" t="str">
        <f>+IF($AG144=$AM$22,MONTH($D144),"")</f>
        <v/>
      </c>
      <c r="AN144" s="89" t="str">
        <f>+IF($AG144=AN$22,MONTH($D144),"")</f>
        <v/>
      </c>
      <c r="AO144" s="89" t="str">
        <f>+IF($AG144=AO$22,MONTH($D144),"")</f>
        <v/>
      </c>
      <c r="AP144" s="89" t="str">
        <f>+IF($AG144=AP$22,MONTH($D144),"")</f>
        <v/>
      </c>
      <c r="AQ144" s="89" t="str">
        <f>+IF($AG144=AQ$22,MONTH($D144),"")</f>
        <v/>
      </c>
      <c r="AR144" s="89" t="str">
        <f>+IF($AG144=AR$22,MONTH($D144),"")</f>
        <v/>
      </c>
      <c r="AS144" s="89" t="str">
        <f>+IF($AG144=AS$22,MONTH($D144),"")</f>
        <v/>
      </c>
      <c r="AT144" s="89" t="str">
        <f>+IF($AG144=AT$22,MONTH($D144),"")</f>
        <v/>
      </c>
      <c r="AU144" s="89" t="str">
        <f>+IF($AG144=AU$22,MONTH($D144),"")</f>
        <v/>
      </c>
      <c r="AV144" s="89" t="str">
        <f>+IF($AG144=AV$22,MONTH($D144),"")</f>
        <v/>
      </c>
      <c r="AW144" s="86" t="str">
        <f>+IF($AG144=AW$22,MONTH($D144),"")</f>
        <v/>
      </c>
      <c r="AX144" s="86" t="str">
        <f>+IF($AG144=AX$22,MONTH($D144),"")</f>
        <v/>
      </c>
      <c r="AY144" s="89"/>
      <c r="AZ144" s="89"/>
      <c r="BA144" s="89"/>
      <c r="BB144" s="89"/>
      <c r="BC144" s="89"/>
      <c r="BD144" s="89"/>
      <c r="BE144" s="89"/>
      <c r="BF144" s="89"/>
      <c r="BG144" s="89"/>
      <c r="BH144" s="89"/>
      <c r="BI144" s="89"/>
      <c r="BJ144" s="89"/>
      <c r="BK144" s="89"/>
      <c r="BL144" s="89"/>
      <c r="BM144" s="89"/>
      <c r="BN144" s="89"/>
      <c r="BO144" s="89"/>
      <c r="BP144" s="89"/>
    </row>
    <row r="145" spans="1:68" s="382" customFormat="1" ht="51" hidden="1" customHeight="1">
      <c r="A145" s="204" t="str">
        <f>+IFERROR(VALUE(MID(AB145,4,4)),"")</f>
        <v/>
      </c>
      <c r="B145" s="204">
        <f>VALUE(RIGHT(C145,LEN(C145)-2))</f>
        <v>2577</v>
      </c>
      <c r="C145" s="74" t="s">
        <v>719</v>
      </c>
      <c r="D145" s="75">
        <v>45986</v>
      </c>
      <c r="E145" s="70" t="s">
        <v>53</v>
      </c>
      <c r="F145" s="70" t="s">
        <v>642</v>
      </c>
      <c r="G145" s="68" t="s">
        <v>210</v>
      </c>
      <c r="H145" s="379" t="s">
        <v>210</v>
      </c>
      <c r="I145" s="69" t="s">
        <v>720</v>
      </c>
      <c r="J145" s="69"/>
      <c r="K145" s="68" t="s">
        <v>42</v>
      </c>
      <c r="L145" s="69" t="s">
        <v>123</v>
      </c>
      <c r="M145" s="71" t="s">
        <v>141</v>
      </c>
      <c r="N145" s="69" t="e" vm="1">
        <v>#VALUE!</v>
      </c>
      <c r="O145" s="84">
        <v>46035</v>
      </c>
      <c r="P145" s="72" t="s">
        <v>213</v>
      </c>
      <c r="Q145" s="72" t="s">
        <v>644</v>
      </c>
      <c r="R145" s="162" t="s">
        <v>212</v>
      </c>
      <c r="S145" s="146"/>
      <c r="T145" s="68" t="s">
        <v>155</v>
      </c>
      <c r="U145" s="87"/>
      <c r="V145" s="80">
        <v>45989</v>
      </c>
      <c r="W145" s="73"/>
      <c r="X145" s="73"/>
      <c r="Y145" s="169" t="str">
        <f>IF(SUM(W145:W145)&gt;0,X145/SUM(W145:W145)*1000000,"N/A")</f>
        <v>N/A</v>
      </c>
      <c r="Z145" s="80"/>
      <c r="AA145" s="80"/>
      <c r="AB145" s="73"/>
      <c r="AC145" s="153"/>
      <c r="AD145" s="330"/>
      <c r="AE145" s="305"/>
      <c r="AF145" s="88"/>
      <c r="AG145" s="182">
        <f>YEAR(V145)</f>
        <v>2025</v>
      </c>
      <c r="AH145" s="86" t="str">
        <f>+IF(AG145=$AH$22,MONTH(V145),"")</f>
        <v/>
      </c>
      <c r="AI145" s="86">
        <f>+IF(AG145=$AI$22,MONTH(V145),"")</f>
        <v>11</v>
      </c>
      <c r="AJ145" s="86" t="str">
        <f>+IF(AG145=$AJ$22,MONTH(V145),"")</f>
        <v/>
      </c>
      <c r="AK145" s="86" t="str">
        <f>+IF(AG145=$AK$22,MONTH(V145),"")</f>
        <v/>
      </c>
      <c r="AL145" s="86" t="str">
        <f>+IF(AG145=$AL$22,MONTH(V145),"")</f>
        <v/>
      </c>
      <c r="AM145" s="86" t="str">
        <f>+IF($AG145=$AM$22,MONTH($D145),"")</f>
        <v/>
      </c>
      <c r="AN145" s="89" t="str">
        <f>+IF($AG145=AN$22,MONTH($D145),"")</f>
        <v/>
      </c>
      <c r="AO145" s="89" t="str">
        <f>+IF($AG145=AO$22,MONTH($D145),"")</f>
        <v/>
      </c>
      <c r="AP145" s="89" t="str">
        <f>+IF($AG145=AP$22,MONTH($D145),"")</f>
        <v/>
      </c>
      <c r="AQ145" s="89" t="str">
        <f>+IF($AG145=AQ$22,MONTH($D145),"")</f>
        <v/>
      </c>
      <c r="AR145" s="89" t="str">
        <f>+IF($AG145=AR$22,MONTH($D145),"")</f>
        <v/>
      </c>
      <c r="AS145" s="89" t="str">
        <f>+IF($AG145=AS$22,MONTH($D145),"")</f>
        <v/>
      </c>
      <c r="AT145" s="89" t="str">
        <f>+IF($AG145=AT$22,MONTH($D145),"")</f>
        <v/>
      </c>
      <c r="AU145" s="89" t="str">
        <f>+IF($AG145=AU$22,MONTH($D145),"")</f>
        <v/>
      </c>
      <c r="AV145" s="89" t="str">
        <f>+IF($AG145=AV$22,MONTH($D145),"")</f>
        <v/>
      </c>
      <c r="AW145" s="86" t="str">
        <f>+IF($AG145=AW$22,MONTH($D145),"")</f>
        <v/>
      </c>
      <c r="AX145" s="86" t="str">
        <f>+IF($AG145=AX$22,MONTH($D145),"")</f>
        <v/>
      </c>
      <c r="AY145" s="89"/>
      <c r="AZ145" s="89"/>
      <c r="BA145" s="89"/>
      <c r="BB145" s="89"/>
      <c r="BC145" s="89"/>
      <c r="BD145" s="89"/>
      <c r="BE145" s="89"/>
      <c r="BF145" s="89"/>
      <c r="BG145" s="89"/>
      <c r="BH145" s="89"/>
      <c r="BI145" s="89"/>
      <c r="BJ145" s="89"/>
      <c r="BK145" s="89"/>
      <c r="BL145" s="89"/>
      <c r="BM145" s="89"/>
      <c r="BN145" s="89"/>
      <c r="BO145" s="89"/>
      <c r="BP145" s="89"/>
    </row>
    <row r="146" spans="1:68" s="382" customFormat="1" ht="28.5" hidden="1" customHeight="1">
      <c r="A146" s="204" t="str">
        <f>+IFERROR(VALUE(MID(AB146,4,4)),"")</f>
        <v/>
      </c>
      <c r="B146" s="204">
        <f>VALUE(RIGHT(C146,LEN(C146)-2))</f>
        <v>2576</v>
      </c>
      <c r="C146" s="74" t="s">
        <v>721</v>
      </c>
      <c r="D146" s="75">
        <v>45982</v>
      </c>
      <c r="E146" s="70" t="s">
        <v>262</v>
      </c>
      <c r="F146" s="70" t="s">
        <v>270</v>
      </c>
      <c r="G146" s="68" t="s">
        <v>592</v>
      </c>
      <c r="H146" s="307" t="s">
        <v>593</v>
      </c>
      <c r="I146" s="69" t="s">
        <v>722</v>
      </c>
      <c r="J146" s="69"/>
      <c r="K146" s="68" t="s">
        <v>389</v>
      </c>
      <c r="L146" s="69" t="s">
        <v>129</v>
      </c>
      <c r="M146" s="71" t="s">
        <v>141</v>
      </c>
      <c r="N146" s="69" t="e" vm="1">
        <v>#VALUE!</v>
      </c>
      <c r="O146" s="84">
        <v>46003</v>
      </c>
      <c r="P146" s="72" t="s">
        <v>412</v>
      </c>
      <c r="Q146" s="72" t="s">
        <v>389</v>
      </c>
      <c r="R146" s="162" t="s">
        <v>221</v>
      </c>
      <c r="S146" s="146"/>
      <c r="T146" s="68" t="s">
        <v>165</v>
      </c>
      <c r="U146" s="87">
        <v>0.01</v>
      </c>
      <c r="V146" s="80">
        <v>45987</v>
      </c>
      <c r="W146" s="73">
        <v>2679</v>
      </c>
      <c r="X146" s="73">
        <v>134.185</v>
      </c>
      <c r="Y146" s="169">
        <f>IF(SUM(W146:W146)&gt;0,X146/SUM(W146:W146)*1000000,"N/A")</f>
        <v>50087.719298245611</v>
      </c>
      <c r="Z146" s="80"/>
      <c r="AA146" s="80"/>
      <c r="AB146" s="73"/>
      <c r="AC146" s="153"/>
      <c r="AD146" s="330"/>
      <c r="AE146" s="305"/>
      <c r="AF146" s="88"/>
      <c r="AG146" s="182">
        <f>YEAR(V146)</f>
        <v>2025</v>
      </c>
      <c r="AH146" s="86" t="str">
        <f>+IF(AG146=$AH$22,MONTH(V146),"")</f>
        <v/>
      </c>
      <c r="AI146" s="86">
        <f>+IF(AG146=$AI$22,MONTH(V146),"")</f>
        <v>11</v>
      </c>
      <c r="AJ146" s="86" t="str">
        <f>+IF(AG146=$AJ$22,MONTH(V146),"")</f>
        <v/>
      </c>
      <c r="AK146" s="86" t="str">
        <f>+IF(AG146=$AK$22,MONTH(V146),"")</f>
        <v/>
      </c>
      <c r="AL146" s="86" t="str">
        <f>+IF(AG146=$AL$22,MONTH(V146),"")</f>
        <v/>
      </c>
      <c r="AM146" s="86" t="str">
        <f>+IF($AG146=$AM$22,MONTH($D146),"")</f>
        <v/>
      </c>
      <c r="AN146" s="89" t="str">
        <f>+IF($AG146=AN$22,MONTH($D146),"")</f>
        <v/>
      </c>
      <c r="AO146" s="89" t="str">
        <f>+IF($AG146=AO$22,MONTH($D146),"")</f>
        <v/>
      </c>
      <c r="AP146" s="89" t="str">
        <f>+IF($AG146=AP$22,MONTH($D146),"")</f>
        <v/>
      </c>
      <c r="AQ146" s="89" t="str">
        <f>+IF($AG146=AQ$22,MONTH($D146),"")</f>
        <v/>
      </c>
      <c r="AR146" s="89" t="str">
        <f>+IF($AG146=AR$22,MONTH($D146),"")</f>
        <v/>
      </c>
      <c r="AS146" s="89" t="str">
        <f>+IF($AG146=AS$22,MONTH($D146),"")</f>
        <v/>
      </c>
      <c r="AT146" s="89" t="str">
        <f>+IF($AG146=AT$22,MONTH($D146),"")</f>
        <v/>
      </c>
      <c r="AU146" s="89" t="str">
        <f>+IF($AG146=AU$22,MONTH($D146),"")</f>
        <v/>
      </c>
      <c r="AV146" s="89" t="str">
        <f>+IF($AG146=AV$22,MONTH($D146),"")</f>
        <v/>
      </c>
      <c r="AW146" s="86" t="str">
        <f>+IF($AG146=AW$22,MONTH($D146),"")</f>
        <v/>
      </c>
      <c r="AX146" s="86" t="str">
        <f>+IF($AG146=AX$22,MONTH($D146),"")</f>
        <v/>
      </c>
      <c r="AY146" s="89"/>
      <c r="AZ146" s="89"/>
      <c r="BA146" s="89"/>
      <c r="BB146" s="89"/>
      <c r="BC146" s="89"/>
      <c r="BD146" s="89"/>
      <c r="BE146" s="89"/>
      <c r="BF146" s="89"/>
      <c r="BG146" s="89"/>
      <c r="BH146" s="89"/>
      <c r="BI146" s="89"/>
      <c r="BJ146" s="89"/>
      <c r="BK146" s="89"/>
      <c r="BL146" s="89"/>
      <c r="BM146" s="89"/>
      <c r="BN146" s="89"/>
      <c r="BO146" s="89"/>
      <c r="BP146" s="89"/>
    </row>
    <row r="147" spans="1:68" s="382" customFormat="1" ht="45.75" hidden="1" customHeight="1">
      <c r="A147" s="204" t="str">
        <f>+IFERROR(VALUE(MID(AB147,4,4)),"")</f>
        <v/>
      </c>
      <c r="B147" s="204">
        <f>VALUE(RIGHT(C147,LEN(C147)-2))</f>
        <v>2575</v>
      </c>
      <c r="C147" s="74" t="s">
        <v>723</v>
      </c>
      <c r="D147" s="75">
        <v>45987</v>
      </c>
      <c r="E147" s="70" t="s">
        <v>479</v>
      </c>
      <c r="F147" s="70" t="s">
        <v>479</v>
      </c>
      <c r="G147" s="68" t="s">
        <v>638</v>
      </c>
      <c r="H147" s="307" t="s">
        <v>237</v>
      </c>
      <c r="I147" s="162" t="s">
        <v>724</v>
      </c>
      <c r="J147" s="162"/>
      <c r="K147" s="68" t="s">
        <v>607</v>
      </c>
      <c r="L147" s="69" t="s">
        <v>129</v>
      </c>
      <c r="M147" s="71" t="s">
        <v>113</v>
      </c>
      <c r="N147" s="69" t="e" vm="2">
        <v>#VALUE!</v>
      </c>
      <c r="O147" s="84">
        <v>46003</v>
      </c>
      <c r="P147" s="82" t="s">
        <v>219</v>
      </c>
      <c r="Q147" s="72" t="s">
        <v>623</v>
      </c>
      <c r="R147" s="162" t="s">
        <v>221</v>
      </c>
      <c r="S147" s="146"/>
      <c r="T147" s="68" t="s">
        <v>158</v>
      </c>
      <c r="U147" s="87">
        <v>0.01</v>
      </c>
      <c r="V147" s="183">
        <v>46004</v>
      </c>
      <c r="W147" s="73">
        <v>2671</v>
      </c>
      <c r="X147" s="73">
        <v>80.069999999999993</v>
      </c>
      <c r="Y147" s="83">
        <f>IF(SUM(W147:W147)&gt;0,X147/SUM(W147:W147)*1000000,"N/A")</f>
        <v>29977.536503182324</v>
      </c>
      <c r="Z147" s="183"/>
      <c r="AA147" s="183"/>
      <c r="AB147" s="73"/>
      <c r="AC147" s="153"/>
      <c r="AD147" s="330"/>
      <c r="AE147" s="305"/>
      <c r="AF147" s="88"/>
      <c r="AG147" s="182">
        <f>YEAR(V147)</f>
        <v>2025</v>
      </c>
      <c r="AH147" s="86" t="str">
        <f>+IF(AG147=$AH$22,MONTH(V147),"")</f>
        <v/>
      </c>
      <c r="AI147" s="86">
        <f>+IF(AG147=$AI$22,MONTH(V147),"")</f>
        <v>12</v>
      </c>
      <c r="AJ147" s="86" t="str">
        <f>+IF(AG147=$AJ$22,MONTH(V147),"")</f>
        <v/>
      </c>
      <c r="AK147" s="86" t="str">
        <f>+IF(AG147=$AK$22,MONTH(V147),"")</f>
        <v/>
      </c>
      <c r="AL147" s="86"/>
      <c r="AM147" s="89"/>
      <c r="AN147" s="89"/>
      <c r="AO147" s="89"/>
      <c r="AP147" s="89"/>
      <c r="AQ147" s="89"/>
      <c r="AR147" s="89"/>
      <c r="AS147" s="89"/>
      <c r="AT147" s="89"/>
      <c r="AU147" s="89"/>
      <c r="AV147" s="89"/>
      <c r="AW147" s="86" t="str">
        <f>+IF($AG147=AW$22,MONTH($D147),"")</f>
        <v/>
      </c>
      <c r="AX147" s="86" t="str">
        <f>+IF($AG147=AX$22,MONTH($D147),"")</f>
        <v/>
      </c>
      <c r="AY147" s="89"/>
      <c r="AZ147" s="89"/>
      <c r="BA147" s="89"/>
      <c r="BB147" s="89"/>
      <c r="BC147" s="89"/>
      <c r="BD147" s="89"/>
      <c r="BE147" s="89"/>
      <c r="BF147" s="89"/>
      <c r="BG147" s="89"/>
      <c r="BH147" s="89"/>
      <c r="BI147" s="89"/>
      <c r="BJ147" s="89"/>
      <c r="BK147" s="89"/>
      <c r="BL147" s="89"/>
      <c r="BM147" s="89"/>
      <c r="BN147" s="89"/>
      <c r="BO147" s="89"/>
      <c r="BP147" s="89"/>
    </row>
    <row r="148" spans="1:68" s="382" customFormat="1" ht="51" hidden="1" customHeight="1">
      <c r="A148" s="204" t="str">
        <f>+IFERROR(VALUE(MID(AB148,4,4)),"")</f>
        <v/>
      </c>
      <c r="B148" s="204">
        <f>VALUE(RIGHT(C148,LEN(C148)-2))</f>
        <v>2574</v>
      </c>
      <c r="C148" s="74" t="s">
        <v>725</v>
      </c>
      <c r="D148" s="75">
        <v>45982</v>
      </c>
      <c r="E148" s="70" t="s">
        <v>53</v>
      </c>
      <c r="F148" s="70" t="s">
        <v>313</v>
      </c>
      <c r="G148" s="68" t="s">
        <v>210</v>
      </c>
      <c r="H148" s="379" t="s">
        <v>210</v>
      </c>
      <c r="I148" s="69" t="s">
        <v>726</v>
      </c>
      <c r="J148" s="69"/>
      <c r="K148" s="68" t="s">
        <v>42</v>
      </c>
      <c r="L148" s="69" t="s">
        <v>123</v>
      </c>
      <c r="M148" s="71" t="s">
        <v>141</v>
      </c>
      <c r="N148" s="69" t="e" vm="1">
        <v>#VALUE!</v>
      </c>
      <c r="O148" s="84">
        <v>46062</v>
      </c>
      <c r="P148" s="72" t="s">
        <v>239</v>
      </c>
      <c r="Q148" s="72" t="s">
        <v>240</v>
      </c>
      <c r="R148" s="162" t="s">
        <v>230</v>
      </c>
      <c r="S148" s="146"/>
      <c r="T148" s="68" t="s">
        <v>158</v>
      </c>
      <c r="U148" s="87">
        <v>0.01</v>
      </c>
      <c r="V148" s="80">
        <v>46062</v>
      </c>
      <c r="W148" s="73">
        <v>28180</v>
      </c>
      <c r="X148" s="73">
        <v>1434</v>
      </c>
      <c r="Y148" s="169">
        <f>IF(SUM(W148:W148)&gt;0,X148/SUM(W148:W148)*1000000,"N/A")</f>
        <v>50887.154009936123</v>
      </c>
      <c r="Z148" s="80"/>
      <c r="AA148" s="80"/>
      <c r="AB148" s="73"/>
      <c r="AC148" s="153"/>
      <c r="AD148" s="330"/>
      <c r="AE148" s="305"/>
      <c r="AF148" s="88"/>
      <c r="AG148" s="182">
        <f>YEAR(V148)</f>
        <v>2026</v>
      </c>
      <c r="AH148" s="86">
        <f>+IF(AG148=$AH$22,MONTH(V148),"")</f>
        <v>2</v>
      </c>
      <c r="AI148" s="86" t="str">
        <f>+IF(AG148=$AI$22,MONTH(V148),"")</f>
        <v/>
      </c>
      <c r="AJ148" s="86" t="str">
        <f>+IF(AG148=$AJ$22,MONTH(V148),"")</f>
        <v/>
      </c>
      <c r="AK148" s="86" t="str">
        <f>+IF(AG148=$AK$22,MONTH(V148),"")</f>
        <v/>
      </c>
      <c r="AL148" s="86" t="str">
        <f>+IF(AG148=$AL$22,MONTH(V148),"")</f>
        <v/>
      </c>
      <c r="AM148" s="86" t="str">
        <f>+IF($AG148=$AM$22,MONTH($D148),"")</f>
        <v/>
      </c>
      <c r="AN148" s="89" t="str">
        <f>+IF($AG148=AN$22,MONTH($D148),"")</f>
        <v/>
      </c>
      <c r="AO148" s="89" t="str">
        <f>+IF($AG148=AO$22,MONTH($D148),"")</f>
        <v/>
      </c>
      <c r="AP148" s="89" t="str">
        <f>+IF($AG148=AP$22,MONTH($D148),"")</f>
        <v/>
      </c>
      <c r="AQ148" s="89" t="str">
        <f>+IF($AG148=AQ$22,MONTH($D148),"")</f>
        <v/>
      </c>
      <c r="AR148" s="89" t="str">
        <f>+IF($AG148=AR$22,MONTH($D148),"")</f>
        <v/>
      </c>
      <c r="AS148" s="89" t="str">
        <f>+IF($AG148=AS$22,MONTH($D148),"")</f>
        <v/>
      </c>
      <c r="AT148" s="89" t="str">
        <f>+IF($AG148=AT$22,MONTH($D148),"")</f>
        <v/>
      </c>
      <c r="AU148" s="89" t="str">
        <f>+IF($AG148=AU$22,MONTH($D148),"")</f>
        <v/>
      </c>
      <c r="AV148" s="89" t="str">
        <f>+IF($AG148=AV$22,MONTH($D148),"")</f>
        <v/>
      </c>
      <c r="AW148" s="86" t="str">
        <f>+IF($AG148=AW$22,MONTH($D148),"")</f>
        <v/>
      </c>
      <c r="AX148" s="86" t="str">
        <f>+IF($AG148=AX$22,MONTH($D148),"")</f>
        <v/>
      </c>
      <c r="AY148" s="89"/>
      <c r="AZ148" s="89"/>
      <c r="BA148" s="89"/>
      <c r="BB148" s="89"/>
      <c r="BC148" s="89"/>
      <c r="BD148" s="89"/>
      <c r="BE148" s="89"/>
      <c r="BF148" s="89"/>
      <c r="BG148" s="89"/>
      <c r="BH148" s="89"/>
      <c r="BI148" s="89"/>
      <c r="BJ148" s="89"/>
      <c r="BK148" s="89"/>
      <c r="BL148" s="89"/>
      <c r="BM148" s="89"/>
      <c r="BN148" s="89"/>
      <c r="BO148" s="89"/>
      <c r="BP148" s="89"/>
    </row>
    <row r="149" spans="1:68" s="382" customFormat="1" ht="51" hidden="1" customHeight="1">
      <c r="A149" s="204" t="str">
        <f>+IFERROR(VALUE(MID(AB149,4,4)),"")</f>
        <v/>
      </c>
      <c r="B149" s="204">
        <f>VALUE(RIGHT(C149,LEN(C149)-2))</f>
        <v>2573</v>
      </c>
      <c r="C149" s="74" t="s">
        <v>727</v>
      </c>
      <c r="D149" s="75">
        <v>45981</v>
      </c>
      <c r="E149" s="70" t="s">
        <v>53</v>
      </c>
      <c r="F149" s="70" t="s">
        <v>313</v>
      </c>
      <c r="G149" s="68" t="s">
        <v>210</v>
      </c>
      <c r="H149" s="379" t="s">
        <v>210</v>
      </c>
      <c r="I149" s="69" t="s">
        <v>728</v>
      </c>
      <c r="J149" s="69"/>
      <c r="K149" s="68" t="s">
        <v>275</v>
      </c>
      <c r="L149" s="69" t="s">
        <v>123</v>
      </c>
      <c r="M149" s="71" t="s">
        <v>141</v>
      </c>
      <c r="N149" s="69" t="e" vm="1">
        <v>#VALUE!</v>
      </c>
      <c r="O149" s="84">
        <v>45996</v>
      </c>
      <c r="P149" s="72" t="s">
        <v>412</v>
      </c>
      <c r="Q149" s="72" t="s">
        <v>220</v>
      </c>
      <c r="R149" s="162" t="s">
        <v>221</v>
      </c>
      <c r="S149" s="146"/>
      <c r="T149" s="68" t="s">
        <v>158</v>
      </c>
      <c r="U149" s="87">
        <v>0.1</v>
      </c>
      <c r="V149" s="80">
        <v>45996</v>
      </c>
      <c r="W149" s="73" t="s">
        <v>134</v>
      </c>
      <c r="X149" s="73" t="s">
        <v>134</v>
      </c>
      <c r="Y149" s="169" t="str">
        <f>IF(SUM(W149:W149)&gt;0,X149/SUM(W149:W149)*1000000,"N/A")</f>
        <v>N/A</v>
      </c>
      <c r="Z149" s="80"/>
      <c r="AA149" s="80"/>
      <c r="AB149" s="73"/>
      <c r="AC149" s="153"/>
      <c r="AD149" s="330"/>
      <c r="AE149" s="305"/>
      <c r="AF149" s="88"/>
      <c r="AG149" s="182">
        <f>YEAR(V149)</f>
        <v>2025</v>
      </c>
      <c r="AH149" s="86" t="str">
        <f>+IF(AG149=$AH$22,MONTH(V149),"")</f>
        <v/>
      </c>
      <c r="AI149" s="86">
        <f>+IF(AG149=$AI$22,MONTH(V149),"")</f>
        <v>12</v>
      </c>
      <c r="AJ149" s="86" t="str">
        <f>+IF(AG149=$AJ$22,MONTH(V149),"")</f>
        <v/>
      </c>
      <c r="AK149" s="86" t="str">
        <f>+IF(AG149=$AK$22,MONTH(V149),"")</f>
        <v/>
      </c>
      <c r="AL149" s="86" t="str">
        <f>+IF(AG149=$AL$22,MONTH(V149),"")</f>
        <v/>
      </c>
      <c r="AM149" s="86" t="str">
        <f>+IF($AG149=$AM$22,MONTH($D149),"")</f>
        <v/>
      </c>
      <c r="AN149" s="89" t="str">
        <f>+IF($AG149=AN$22,MONTH($D149),"")</f>
        <v/>
      </c>
      <c r="AO149" s="89" t="str">
        <f>+IF($AG149=AO$22,MONTH($D149),"")</f>
        <v/>
      </c>
      <c r="AP149" s="89" t="str">
        <f>+IF($AG149=AP$22,MONTH($D149),"")</f>
        <v/>
      </c>
      <c r="AQ149" s="89" t="str">
        <f>+IF($AG149=AQ$22,MONTH($D149),"")</f>
        <v/>
      </c>
      <c r="AR149" s="89" t="str">
        <f>+IF($AG149=AR$22,MONTH($D149),"")</f>
        <v/>
      </c>
      <c r="AS149" s="89" t="str">
        <f>+IF($AG149=AS$22,MONTH($D149),"")</f>
        <v/>
      </c>
      <c r="AT149" s="89" t="str">
        <f>+IF($AG149=AT$22,MONTH($D149),"")</f>
        <v/>
      </c>
      <c r="AU149" s="89" t="str">
        <f>+IF($AG149=AU$22,MONTH($D149),"")</f>
        <v/>
      </c>
      <c r="AV149" s="89" t="str">
        <f>+IF($AG149=AV$22,MONTH($D149),"")</f>
        <v/>
      </c>
      <c r="AW149" s="86" t="str">
        <f>+IF($AG149=AW$22,MONTH($D149),"")</f>
        <v/>
      </c>
      <c r="AX149" s="86" t="str">
        <f>+IF($AG149=AX$22,MONTH($D149),"")</f>
        <v/>
      </c>
      <c r="AY149" s="89"/>
      <c r="AZ149" s="89"/>
      <c r="BA149" s="89"/>
      <c r="BB149" s="89"/>
      <c r="BC149" s="89"/>
      <c r="BD149" s="89"/>
      <c r="BE149" s="89"/>
      <c r="BF149" s="89"/>
      <c r="BG149" s="89"/>
      <c r="BH149" s="89"/>
      <c r="BI149" s="89"/>
      <c r="BJ149" s="89"/>
      <c r="BK149" s="89"/>
      <c r="BL149" s="89"/>
      <c r="BM149" s="89"/>
      <c r="BN149" s="89"/>
      <c r="BO149" s="89"/>
      <c r="BP149" s="89"/>
    </row>
    <row r="150" spans="1:68" s="56" customFormat="1" ht="29.25" hidden="1" customHeight="1">
      <c r="A150" s="204" t="str">
        <f>+IFERROR(VALUE(MID(AB150,4,4)),"")</f>
        <v/>
      </c>
      <c r="B150" s="204">
        <f>VALUE(RIGHT(C150,LEN(C150)-2))</f>
        <v>2572</v>
      </c>
      <c r="C150" s="74" t="s">
        <v>729</v>
      </c>
      <c r="D150" s="75">
        <v>45980</v>
      </c>
      <c r="E150" s="70" t="s">
        <v>730</v>
      </c>
      <c r="F150" s="70" t="s">
        <v>615</v>
      </c>
      <c r="G150" s="68" t="s">
        <v>731</v>
      </c>
      <c r="H150" s="59" t="s">
        <v>732</v>
      </c>
      <c r="I150" s="69" t="s">
        <v>733</v>
      </c>
      <c r="J150" s="69"/>
      <c r="K150" s="95" t="s">
        <v>9</v>
      </c>
      <c r="L150" s="69" t="s">
        <v>120</v>
      </c>
      <c r="M150" s="71" t="s">
        <v>141</v>
      </c>
      <c r="N150" s="69" t="e" vm="1">
        <v>#VALUE!</v>
      </c>
      <c r="O150" s="84">
        <v>45982</v>
      </c>
      <c r="P150" s="82" t="s">
        <v>666</v>
      </c>
      <c r="Q150" s="82" t="s">
        <v>259</v>
      </c>
      <c r="R150" s="69" t="s">
        <v>260</v>
      </c>
      <c r="S150" s="146" t="s">
        <v>734</v>
      </c>
      <c r="T150" s="68" t="s">
        <v>155</v>
      </c>
      <c r="U150" s="87"/>
      <c r="V150" s="80">
        <v>45982</v>
      </c>
      <c r="W150" s="73"/>
      <c r="X150" s="73"/>
      <c r="Y150" s="83" t="str">
        <f>IF(SUM(W150:W150)&gt;0,X150/SUM(W150:W150)*1000000,"N/A")</f>
        <v>N/A</v>
      </c>
      <c r="Z150" s="80"/>
      <c r="AA150" s="80"/>
      <c r="AB150" s="73"/>
      <c r="AC150" s="153"/>
      <c r="AD150" s="331"/>
      <c r="AE150" s="57"/>
      <c r="AF150" s="88"/>
      <c r="AG150" s="182">
        <f>YEAR(V150)</f>
        <v>2025</v>
      </c>
      <c r="AH150" s="86" t="str">
        <f>+IF(AG150=$AH$22,MONTH(V150),"")</f>
        <v/>
      </c>
      <c r="AI150" s="86">
        <f>+IF(AG150=$AI$22,MONTH(V150),"")</f>
        <v>11</v>
      </c>
      <c r="AJ150" s="86" t="str">
        <f>+IF(AG150=$AJ$22,MONTH(V150),"")</f>
        <v/>
      </c>
      <c r="AK150" s="86" t="str">
        <f>+IF(AG150=$AK$22,MONTH(V150),"")</f>
        <v/>
      </c>
      <c r="AL150" s="86" t="str">
        <f>+IF(AG150=$AL$22,MONTH(V150),"")</f>
        <v/>
      </c>
      <c r="AM150" s="86" t="str">
        <f>+IF($AG150=$AM$22,MONTH($D150),"")</f>
        <v/>
      </c>
      <c r="AN150" s="89" t="str">
        <f>+IF($AG150=AN$22,MONTH($D150),"")</f>
        <v/>
      </c>
      <c r="AO150" s="89" t="str">
        <f>+IF($AG150=AO$22,MONTH($D150),"")</f>
        <v/>
      </c>
      <c r="AP150" s="89" t="str">
        <f>+IF($AG150=AP$22,MONTH($D150),"")</f>
        <v/>
      </c>
      <c r="AQ150" s="89" t="str">
        <f>+IF($AG150=AQ$22,MONTH($D150),"")</f>
        <v/>
      </c>
      <c r="AR150" s="89" t="str">
        <f>+IF($AG150=AR$22,MONTH($D150),"")</f>
        <v/>
      </c>
      <c r="AS150" s="89" t="str">
        <f>+IF($AG150=AS$22,MONTH($D150),"")</f>
        <v/>
      </c>
      <c r="AT150" s="89" t="str">
        <f>+IF($AG150=AT$22,MONTH($D150),"")</f>
        <v/>
      </c>
      <c r="AU150" s="89" t="str">
        <f>+IF($AG150=AU$22,MONTH($D150),"")</f>
        <v/>
      </c>
      <c r="AV150" s="89" t="str">
        <f>+IF($AG150=AV$22,MONTH($D150),"")</f>
        <v/>
      </c>
      <c r="AW150" s="86" t="str">
        <f>+IF($AG150=AW$22,MONTH($D150),"")</f>
        <v/>
      </c>
      <c r="AX150" s="86" t="str">
        <f>+IF($AG150=AX$22,MONTH($D150),"")</f>
        <v/>
      </c>
      <c r="AY150" s="89"/>
      <c r="AZ150" s="89"/>
      <c r="BA150" s="89"/>
      <c r="BB150" s="89"/>
      <c r="BC150" s="89"/>
      <c r="BD150" s="89"/>
      <c r="BE150" s="89"/>
      <c r="BF150" s="89"/>
      <c r="BG150" s="89"/>
      <c r="BH150" s="89"/>
      <c r="BI150" s="89"/>
      <c r="BJ150" s="89"/>
      <c r="BK150" s="89"/>
      <c r="BL150" s="89"/>
      <c r="BM150" s="89"/>
      <c r="BN150" s="89"/>
      <c r="BO150" s="89"/>
      <c r="BP150" s="89"/>
    </row>
    <row r="151" spans="1:68" s="56" customFormat="1" ht="39" customHeight="1">
      <c r="A151" s="204" t="str">
        <f>+IFERROR(VALUE(MID(AB151,4,4)),"")</f>
        <v/>
      </c>
      <c r="B151" s="204">
        <f>VALUE(RIGHT(C151,LEN(C151)-2))</f>
        <v>2571</v>
      </c>
      <c r="C151" s="74" t="s">
        <v>735</v>
      </c>
      <c r="D151" s="75">
        <v>45979</v>
      </c>
      <c r="E151" s="70" t="s">
        <v>332</v>
      </c>
      <c r="F151" s="70" t="s">
        <v>332</v>
      </c>
      <c r="G151" s="68" t="s">
        <v>333</v>
      </c>
      <c r="H151" s="304" t="s">
        <v>334</v>
      </c>
      <c r="I151" s="162" t="s">
        <v>736</v>
      </c>
      <c r="J151" s="162"/>
      <c r="K151" s="68" t="s">
        <v>13</v>
      </c>
      <c r="L151" s="69" t="s">
        <v>129</v>
      </c>
      <c r="M151" s="71" t="s">
        <v>141</v>
      </c>
      <c r="N151" s="69" t="e" vm="1">
        <v>#VALUE!</v>
      </c>
      <c r="O151" s="164">
        <v>46092</v>
      </c>
      <c r="P151" s="72" t="s">
        <v>737</v>
      </c>
      <c r="Q151" s="72" t="s">
        <v>259</v>
      </c>
      <c r="R151" s="162" t="s">
        <v>260</v>
      </c>
      <c r="S151" s="146"/>
      <c r="T151" s="68" t="s">
        <v>64</v>
      </c>
      <c r="U151" s="87"/>
      <c r="V151" s="183">
        <v>45980</v>
      </c>
      <c r="W151" s="73"/>
      <c r="X151" s="73"/>
      <c r="Y151" s="83" t="str">
        <f>IF(SUM(W151:W151)&gt;0,X151/SUM(W151:W151)*1000000,"N/A")</f>
        <v>N/A</v>
      </c>
      <c r="Z151" s="183"/>
      <c r="AA151" s="183"/>
      <c r="AB151" s="73"/>
      <c r="AC151" s="153"/>
      <c r="AD151" s="330"/>
      <c r="AE151" s="305"/>
      <c r="AF151" s="88"/>
      <c r="AG151" s="182">
        <f>YEAR(V151)</f>
        <v>2025</v>
      </c>
      <c r="AH151" s="86" t="str">
        <f>+IF(AG151=$AH$22,MONTH(V151),"")</f>
        <v/>
      </c>
      <c r="AI151" s="86">
        <f>+IF(AG151=$AI$22,MONTH(V151),"")</f>
        <v>11</v>
      </c>
      <c r="AJ151" s="86" t="str">
        <f>+IF(AG151=$AJ$22,MONTH(V151),"")</f>
        <v/>
      </c>
      <c r="AK151" s="86" t="str">
        <f>+IF(AG151=$AK$22,MONTH(V151),"")</f>
        <v/>
      </c>
      <c r="AL151" s="86"/>
      <c r="AM151" s="89"/>
      <c r="AN151" s="89"/>
      <c r="AO151" s="89"/>
      <c r="AP151" s="89"/>
      <c r="AQ151" s="89"/>
      <c r="AR151" s="89"/>
      <c r="AS151" s="89"/>
      <c r="AT151" s="89"/>
      <c r="AU151" s="89"/>
      <c r="AV151" s="89"/>
      <c r="AW151" s="86" t="str">
        <f>+IF($AG151=AW$22,MONTH($D151),"")</f>
        <v/>
      </c>
      <c r="AX151" s="86" t="str">
        <f>+IF($AG151=AX$22,MONTH($D151),"")</f>
        <v/>
      </c>
      <c r="AY151" s="89"/>
      <c r="AZ151" s="89"/>
      <c r="BA151" s="89"/>
      <c r="BB151" s="89"/>
      <c r="BC151" s="89"/>
      <c r="BD151" s="89"/>
      <c r="BE151" s="89"/>
      <c r="BF151" s="89"/>
      <c r="BG151" s="89"/>
      <c r="BH151" s="89"/>
      <c r="BI151" s="89"/>
      <c r="BJ151" s="89"/>
      <c r="BK151" s="89"/>
      <c r="BL151" s="89"/>
      <c r="BM151" s="89"/>
      <c r="BN151" s="89"/>
      <c r="BO151" s="89"/>
      <c r="BP151" s="89"/>
    </row>
    <row r="152" spans="1:68" s="56" customFormat="1" ht="33.75" hidden="1" customHeight="1">
      <c r="A152" s="204">
        <f>+IFERROR(VALUE(MID(AB152,4,4)),"")</f>
        <v>419</v>
      </c>
      <c r="B152" s="204">
        <f>VALUE(RIGHT(C152,LEN(C152)-2))</f>
        <v>2570</v>
      </c>
      <c r="C152" s="74" t="s">
        <v>738</v>
      </c>
      <c r="D152" s="75">
        <v>45980</v>
      </c>
      <c r="E152" s="70" t="s">
        <v>739</v>
      </c>
      <c r="F152" s="70" t="s">
        <v>739</v>
      </c>
      <c r="G152" s="68" t="s">
        <v>740</v>
      </c>
      <c r="H152" s="59" t="s">
        <v>741</v>
      </c>
      <c r="I152" s="69" t="s">
        <v>742</v>
      </c>
      <c r="J152" s="69"/>
      <c r="K152" s="68" t="s">
        <v>13</v>
      </c>
      <c r="L152" s="69" t="s">
        <v>120</v>
      </c>
      <c r="M152" s="71" t="s">
        <v>141</v>
      </c>
      <c r="N152" s="69" t="e" vm="1">
        <v>#VALUE!</v>
      </c>
      <c r="O152" s="164">
        <v>45981</v>
      </c>
      <c r="P152" s="72" t="s">
        <v>737</v>
      </c>
      <c r="Q152" s="72" t="s">
        <v>316</v>
      </c>
      <c r="R152" s="162" t="s">
        <v>260</v>
      </c>
      <c r="S152" s="146"/>
      <c r="T152" s="68" t="s">
        <v>158</v>
      </c>
      <c r="U152" s="87"/>
      <c r="V152" s="183">
        <v>45980</v>
      </c>
      <c r="W152" s="226"/>
      <c r="X152" s="73"/>
      <c r="Y152" s="83" t="str">
        <f>IF(SUM(W152:W152)&gt;0,X152/SUM(W152:W152)*1000000,"N/A")</f>
        <v>N/A</v>
      </c>
      <c r="Z152" s="183"/>
      <c r="AA152" s="183"/>
      <c r="AB152" s="73" t="s">
        <v>743</v>
      </c>
      <c r="AC152" s="153"/>
      <c r="AD152" s="331"/>
      <c r="AE152" s="57"/>
      <c r="AF152" s="88"/>
      <c r="AG152" s="182">
        <f>YEAR(V152)</f>
        <v>2025</v>
      </c>
      <c r="AH152" s="86" t="str">
        <f>+IF(AG152=$AH$22,MONTH(V152),"")</f>
        <v/>
      </c>
      <c r="AI152" s="86">
        <f>+IF(AG152=$AI$22,MONTH(V152),"")</f>
        <v>11</v>
      </c>
      <c r="AJ152" s="86" t="str">
        <f>+IF(AG152=$AJ$22,MONTH(V152),"")</f>
        <v/>
      </c>
      <c r="AK152" s="86" t="str">
        <f>+IF(AG152=$AK$22,MONTH(V152),"")</f>
        <v/>
      </c>
      <c r="AL152" s="86" t="str">
        <f>+IF(AG152=$AL$22,MONTH(V152),"")</f>
        <v/>
      </c>
      <c r="AM152" s="86" t="str">
        <f>+IF($AG152=$AM$22,MONTH($D152),"")</f>
        <v/>
      </c>
      <c r="AN152" s="89" t="str">
        <f>+IF($AG152=AN$22,MONTH($D152),"")</f>
        <v/>
      </c>
      <c r="AO152" s="86" t="str">
        <f>+IF($AG152=AO$22,MONTH($D152),"")</f>
        <v/>
      </c>
      <c r="AP152" s="86" t="str">
        <f>+IF($AG152=AP$22,MONTH($D152),"")</f>
        <v/>
      </c>
      <c r="AQ152" s="86" t="str">
        <f>+IF($AG152=AQ$22,MONTH($D152),"")</f>
        <v/>
      </c>
      <c r="AR152" s="86" t="str">
        <f>+IF($AG152=AR$22,MONTH($D152),"")</f>
        <v/>
      </c>
      <c r="AS152" s="86" t="str">
        <f>+IF($AG152=AS$22,MONTH($D152),"")</f>
        <v/>
      </c>
      <c r="AT152" s="86" t="str">
        <f>+IF($AG152=AT$22,MONTH($D152),"")</f>
        <v/>
      </c>
      <c r="AU152" s="86" t="str">
        <f>+IF($AG152=AU$22,MONTH($D152),"")</f>
        <v/>
      </c>
      <c r="AV152" s="86" t="str">
        <f>+IF($AG152=AV$22,MONTH($D152),"")</f>
        <v/>
      </c>
      <c r="AW152" s="86" t="str">
        <f>+IF($AG152=AW$22,MONTH($D152),"")</f>
        <v/>
      </c>
      <c r="AX152" s="86" t="str">
        <f>+IF($AG152=AX$22,MONTH($D152),"")</f>
        <v/>
      </c>
      <c r="AY152" s="89"/>
      <c r="AZ152" s="89"/>
      <c r="BA152" s="89"/>
      <c r="BB152" s="89"/>
      <c r="BC152" s="89"/>
      <c r="BD152" s="89"/>
      <c r="BE152" s="89"/>
      <c r="BF152" s="89"/>
      <c r="BG152" s="89"/>
      <c r="BH152" s="89"/>
      <c r="BI152" s="89"/>
      <c r="BJ152" s="89"/>
      <c r="BK152" s="89"/>
      <c r="BL152" s="89"/>
      <c r="BM152" s="89"/>
      <c r="BN152" s="89"/>
      <c r="BO152" s="89"/>
      <c r="BP152" s="89"/>
    </row>
    <row r="153" spans="1:68" s="382" customFormat="1" ht="28.5" hidden="1" customHeight="1">
      <c r="A153" s="204">
        <f>+IFERROR(VALUE(MID(AB153,4,4)),"")</f>
        <v>428</v>
      </c>
      <c r="B153" s="204">
        <f>VALUE(RIGHT(C153,LEN(C153)-2))</f>
        <v>2569</v>
      </c>
      <c r="C153" s="74" t="s">
        <v>744</v>
      </c>
      <c r="D153" s="75">
        <v>45979</v>
      </c>
      <c r="E153" s="70" t="s">
        <v>745</v>
      </c>
      <c r="F153" s="70" t="s">
        <v>685</v>
      </c>
      <c r="G153" s="68" t="s">
        <v>746</v>
      </c>
      <c r="H153" s="282" t="s">
        <v>747</v>
      </c>
      <c r="I153" s="162" t="s">
        <v>748</v>
      </c>
      <c r="J153" s="162"/>
      <c r="K153" s="68" t="s">
        <v>9</v>
      </c>
      <c r="L153" s="69" t="s">
        <v>120</v>
      </c>
      <c r="M153" s="71" t="s">
        <v>141</v>
      </c>
      <c r="N153" s="69" t="e" vm="1">
        <v>#VALUE!</v>
      </c>
      <c r="O153" s="164">
        <v>45979</v>
      </c>
      <c r="P153" s="72" t="s">
        <v>749</v>
      </c>
      <c r="Q153" s="72" t="s">
        <v>623</v>
      </c>
      <c r="R153" s="162" t="s">
        <v>221</v>
      </c>
      <c r="S153" s="146"/>
      <c r="T153" s="68" t="s">
        <v>158</v>
      </c>
      <c r="U153" s="87"/>
      <c r="V153" s="183">
        <v>45980</v>
      </c>
      <c r="W153" s="226"/>
      <c r="X153" s="73"/>
      <c r="Y153" s="83" t="str">
        <f>IF(SUM(W153:W153)&gt;0,X153/SUM(W153:W153)*1000000,"N/A")</f>
        <v>N/A</v>
      </c>
      <c r="Z153" s="183"/>
      <c r="AA153" s="183"/>
      <c r="AB153" s="73" t="s">
        <v>750</v>
      </c>
      <c r="AC153" s="153"/>
      <c r="AD153" s="331"/>
      <c r="AE153" s="57"/>
      <c r="AF153" s="88"/>
      <c r="AG153" s="182">
        <f>YEAR(V153)</f>
        <v>2025</v>
      </c>
      <c r="AH153" s="86" t="str">
        <f>+IF(AG153=$AH$22,MONTH(V153),"")</f>
        <v/>
      </c>
      <c r="AI153" s="86">
        <f>+IF(AG153=$AI$22,MONTH(V153),"")</f>
        <v>11</v>
      </c>
      <c r="AJ153" s="86" t="str">
        <f>+IF(AG153=$AJ$22,MONTH(V153),"")</f>
        <v/>
      </c>
      <c r="AK153" s="86" t="str">
        <f>+IF(AG153=$AK$22,MONTH(V153),"")</f>
        <v/>
      </c>
      <c r="AL153" s="86" t="str">
        <f>+IF(AG153=$AL$22,MONTH(V153),"")</f>
        <v/>
      </c>
      <c r="AM153" s="86" t="str">
        <f>+IF($AG153=$AM$22,MONTH($D153),"")</f>
        <v/>
      </c>
      <c r="AN153" s="89" t="str">
        <f>+IF($AG153=AN$22,MONTH($D153),"")</f>
        <v/>
      </c>
      <c r="AO153" s="89" t="str">
        <f>+IF($AG153=AO$22,MONTH($D153),"")</f>
        <v/>
      </c>
      <c r="AP153" s="89" t="str">
        <f>+IF($AG153=AP$22,MONTH($D153),"")</f>
        <v/>
      </c>
      <c r="AQ153" s="89" t="str">
        <f>+IF($AG153=AQ$22,MONTH($D153),"")</f>
        <v/>
      </c>
      <c r="AR153" s="89" t="str">
        <f>+IF($AG153=AR$22,MONTH($D153),"")</f>
        <v/>
      </c>
      <c r="AS153" s="89" t="str">
        <f>+IF($AG153=AS$22,MONTH($D153),"")</f>
        <v/>
      </c>
      <c r="AT153" s="89" t="str">
        <f>+IF($AG153=AT$22,MONTH($D153),"")</f>
        <v/>
      </c>
      <c r="AU153" s="89" t="str">
        <f>+IF($AG153=AU$22,MONTH($D153),"")</f>
        <v/>
      </c>
      <c r="AV153" s="89" t="str">
        <f>+IF($AG153=AV$22,MONTH($D153),"")</f>
        <v/>
      </c>
      <c r="AW153" s="86" t="str">
        <f>+IF($AG153=AW$22,MONTH($D153),"")</f>
        <v/>
      </c>
      <c r="AX153" s="86" t="str">
        <f>+IF($AG153=AX$22,MONTH($D153),"")</f>
        <v/>
      </c>
      <c r="AY153" s="89"/>
      <c r="AZ153" s="89"/>
      <c r="BA153" s="89"/>
      <c r="BB153" s="89"/>
      <c r="BC153" s="89"/>
      <c r="BD153" s="89"/>
      <c r="BE153" s="89"/>
      <c r="BF153" s="89"/>
      <c r="BG153" s="89"/>
      <c r="BH153" s="89"/>
      <c r="BI153" s="89"/>
      <c r="BJ153" s="182"/>
      <c r="BK153" s="182"/>
      <c r="BL153" s="182"/>
      <c r="BM153" s="182"/>
      <c r="BN153" s="89"/>
      <c r="BO153" s="89"/>
      <c r="BP153" s="89"/>
    </row>
    <row r="154" spans="1:68" s="89" customFormat="1" ht="45.75" hidden="1" customHeight="1">
      <c r="A154" s="204" t="str">
        <f>+IFERROR(VALUE(MID(AB154,4,4)),"")</f>
        <v/>
      </c>
      <c r="B154" s="204">
        <f>VALUE(RIGHT(C154,LEN(C154)-2))</f>
        <v>2568</v>
      </c>
      <c r="C154" s="74" t="s">
        <v>751</v>
      </c>
      <c r="D154" s="75">
        <v>45973</v>
      </c>
      <c r="E154" s="70" t="s">
        <v>752</v>
      </c>
      <c r="F154" s="70" t="s">
        <v>752</v>
      </c>
      <c r="G154" s="68" t="s">
        <v>753</v>
      </c>
      <c r="H154" s="282" t="s">
        <v>754</v>
      </c>
      <c r="I154" s="162" t="s">
        <v>755</v>
      </c>
      <c r="J154" s="162"/>
      <c r="K154" s="68" t="s">
        <v>9</v>
      </c>
      <c r="L154" s="69" t="s">
        <v>120</v>
      </c>
      <c r="M154" s="71" t="s">
        <v>141</v>
      </c>
      <c r="N154" s="69" t="e" vm="1">
        <v>#VALUE!</v>
      </c>
      <c r="O154" s="164">
        <v>45993</v>
      </c>
      <c r="P154" s="72" t="s">
        <v>239</v>
      </c>
      <c r="Q154" s="72" t="s">
        <v>240</v>
      </c>
      <c r="R154" s="162" t="s">
        <v>260</v>
      </c>
      <c r="S154" s="146"/>
      <c r="T154" s="68" t="s">
        <v>158</v>
      </c>
      <c r="U154" s="87">
        <v>0.05</v>
      </c>
      <c r="V154" s="183">
        <v>45980</v>
      </c>
      <c r="W154" s="73">
        <v>1404</v>
      </c>
      <c r="X154" s="383">
        <v>73.546999999999997</v>
      </c>
      <c r="Y154" s="83">
        <f>IF(SUM(W154:W154)&gt;0,X154/SUM(W154:W154)*1000000,"N/A")</f>
        <v>52383.903133903135</v>
      </c>
      <c r="Z154" s="183"/>
      <c r="AA154" s="183"/>
      <c r="AB154" s="73"/>
      <c r="AC154" s="153"/>
      <c r="AD154" s="331"/>
      <c r="AE154" s="57"/>
      <c r="AF154" s="88"/>
      <c r="AG154" s="182">
        <f>YEAR(V154)</f>
        <v>2025</v>
      </c>
      <c r="AH154" s="86" t="str">
        <f>+IF(AG154=$AH$22,MONTH(V154),"")</f>
        <v/>
      </c>
      <c r="AI154" s="86">
        <f>+IF(AG154=$AI$22,MONTH(V154),"")</f>
        <v>11</v>
      </c>
      <c r="AJ154" s="86" t="str">
        <f>+IF(AG154=$AJ$22,MONTH(V154),"")</f>
        <v/>
      </c>
      <c r="AK154" s="86" t="str">
        <f>+IF(AG154=$AK$22,MONTH(V154),"")</f>
        <v/>
      </c>
      <c r="AL154" s="86"/>
      <c r="AW154" s="86" t="str">
        <f>+IF($AG154=AW$22,MONTH($D154),"")</f>
        <v/>
      </c>
      <c r="AX154" s="86" t="str">
        <f>+IF($AG154=AX$22,MONTH($D154),"")</f>
        <v/>
      </c>
    </row>
    <row r="155" spans="1:68" s="320" customFormat="1" ht="45.75" hidden="1" customHeight="1">
      <c r="A155" s="204" t="str">
        <f>+IFERROR(VALUE(MID(AB155,4,4)),"")</f>
        <v/>
      </c>
      <c r="B155" s="204">
        <f>VALUE(RIGHT(C155,LEN(C155)-2))</f>
        <v>2567</v>
      </c>
      <c r="C155" s="74" t="s">
        <v>756</v>
      </c>
      <c r="D155" s="75">
        <v>45973</v>
      </c>
      <c r="E155" s="68" t="s">
        <v>757</v>
      </c>
      <c r="F155" s="68" t="s">
        <v>758</v>
      </c>
      <c r="G155" s="68" t="s">
        <v>759</v>
      </c>
      <c r="H155" s="282" t="s">
        <v>760</v>
      </c>
      <c r="I155" s="69" t="s">
        <v>761</v>
      </c>
      <c r="J155" s="69"/>
      <c r="K155" s="68" t="s">
        <v>9</v>
      </c>
      <c r="L155" s="69" t="s">
        <v>120</v>
      </c>
      <c r="M155" s="71" t="s">
        <v>113</v>
      </c>
      <c r="N155" s="69" t="e" vm="4">
        <v>#VALUE!</v>
      </c>
      <c r="O155" s="84">
        <v>45978</v>
      </c>
      <c r="P155" s="69" t="s">
        <v>289</v>
      </c>
      <c r="Q155" s="69" t="s">
        <v>220</v>
      </c>
      <c r="R155" s="69" t="s">
        <v>221</v>
      </c>
      <c r="S155" s="146"/>
      <c r="T155" s="68" t="s">
        <v>3</v>
      </c>
      <c r="U155" s="87"/>
      <c r="V155" s="80">
        <v>46028</v>
      </c>
      <c r="W155" s="150">
        <v>127</v>
      </c>
      <c r="X155" s="150">
        <f>8762*930/1000000</f>
        <v>8.1486599999999996</v>
      </c>
      <c r="Y155" s="83">
        <f>IF(SUM(W155:W155)&gt;0,X155/SUM(W155:W155)*1000000,"N/A")</f>
        <v>64162.677165354326</v>
      </c>
      <c r="Z155" s="80"/>
      <c r="AA155" s="80"/>
      <c r="AB155" s="73"/>
      <c r="AC155" s="75"/>
      <c r="AD155" s="332"/>
      <c r="AE155" s="68"/>
      <c r="AF155" s="88"/>
      <c r="AG155" s="182">
        <f>YEAR(V155)</f>
        <v>2026</v>
      </c>
      <c r="AH155" s="86">
        <f>+IF(AG155=$AH$22,MONTH(V155),"")</f>
        <v>1</v>
      </c>
      <c r="AI155" s="86" t="str">
        <f>+IF(AG155=$AI$22,MONTH(V155),"")</f>
        <v/>
      </c>
      <c r="AJ155" s="86" t="str">
        <f>+IF(AG155=$AJ$22,MONTH(V155),"")</f>
        <v/>
      </c>
      <c r="AK155" s="86" t="str">
        <f>+IF(AG155=$AK$22,MONTH(V155),"")</f>
        <v/>
      </c>
      <c r="AL155" s="86" t="str">
        <f>+IF(AG155=$AL$22,MONTH(V155),"")</f>
        <v/>
      </c>
      <c r="AM155" s="86" t="str">
        <f>+IF($AG155=$AM$22,MONTH($D155),"")</f>
        <v/>
      </c>
      <c r="AN155" s="89" t="str">
        <f>+IF($AG155=AN$22,MONTH($D155),"")</f>
        <v/>
      </c>
      <c r="AO155" s="184" t="str">
        <f>+IF($AG155=AO$22,MONTH($D155),"")</f>
        <v/>
      </c>
      <c r="AP155" s="184" t="str">
        <f>+IF($AG155=AP$22,MONTH($D155),"")</f>
        <v/>
      </c>
      <c r="AQ155" s="184" t="str">
        <f>+IF($AG155=AQ$22,MONTH($D155),"")</f>
        <v/>
      </c>
      <c r="AR155" s="184" t="str">
        <f>+IF($AG155=AR$22,MONTH($D155),"")</f>
        <v/>
      </c>
      <c r="AS155" s="184" t="str">
        <f>+IF($AG155=AS$22,MONTH($D155),"")</f>
        <v/>
      </c>
      <c r="AT155" s="86" t="str">
        <f>+IF($AG155=AT$22,MONTH($D155),"")</f>
        <v/>
      </c>
      <c r="AU155" s="86" t="str">
        <f>+IF($AG155=AU$22,MONTH($D155),"")</f>
        <v/>
      </c>
      <c r="AV155" s="86" t="str">
        <f>+IF($AG155=AV$22,MONTH($D155),"")</f>
        <v/>
      </c>
      <c r="AW155" s="86" t="str">
        <f>+IF($AG155=AW$22,MONTH($D155),"")</f>
        <v/>
      </c>
      <c r="AX155" s="86" t="str">
        <f>+IF($AG155=AX$22,MONTH($D155),"")</f>
        <v/>
      </c>
      <c r="AY155" s="89"/>
      <c r="AZ155" s="89"/>
      <c r="BA155" s="89"/>
      <c r="BB155" s="89"/>
      <c r="BC155" s="89"/>
      <c r="BD155" s="89"/>
      <c r="BE155" s="89"/>
      <c r="BF155" s="89"/>
      <c r="BG155" s="89"/>
      <c r="BH155" s="89"/>
      <c r="BI155" s="89"/>
      <c r="BJ155" s="89"/>
      <c r="BK155" s="89"/>
      <c r="BL155" s="89"/>
      <c r="BM155" s="89"/>
      <c r="BN155" s="89"/>
      <c r="BO155" s="89"/>
      <c r="BP155" s="89"/>
    </row>
    <row r="156" spans="1:68" s="320" customFormat="1" ht="45.75" hidden="1" customHeight="1">
      <c r="A156" s="204" t="str">
        <f>+IFERROR(VALUE(MID(AB156,4,4)),"")</f>
        <v/>
      </c>
      <c r="B156" s="204">
        <f>VALUE(RIGHT(C156,LEN(C156)-2))</f>
        <v>2566</v>
      </c>
      <c r="C156" s="74" t="s">
        <v>762</v>
      </c>
      <c r="D156" s="75">
        <v>45973</v>
      </c>
      <c r="E156" s="68" t="s">
        <v>757</v>
      </c>
      <c r="F156" s="68" t="s">
        <v>758</v>
      </c>
      <c r="G156" s="68" t="s">
        <v>759</v>
      </c>
      <c r="H156" s="282" t="s">
        <v>760</v>
      </c>
      <c r="I156" s="69" t="s">
        <v>763</v>
      </c>
      <c r="J156" s="69"/>
      <c r="K156" s="68" t="s">
        <v>9</v>
      </c>
      <c r="L156" s="69" t="s">
        <v>120</v>
      </c>
      <c r="M156" s="71" t="s">
        <v>113</v>
      </c>
      <c r="N156" s="69" t="e" vm="4">
        <v>#VALUE!</v>
      </c>
      <c r="O156" s="84">
        <v>45978</v>
      </c>
      <c r="P156" s="69" t="s">
        <v>289</v>
      </c>
      <c r="Q156" s="69" t="s">
        <v>220</v>
      </c>
      <c r="R156" s="69" t="s">
        <v>221</v>
      </c>
      <c r="S156" s="146"/>
      <c r="T156" s="68" t="s">
        <v>3</v>
      </c>
      <c r="U156" s="87"/>
      <c r="V156" s="80">
        <v>46028</v>
      </c>
      <c r="W156" s="150">
        <v>80</v>
      </c>
      <c r="X156" s="150">
        <f>4827*930/1000000</f>
        <v>4.4891100000000002</v>
      </c>
      <c r="Y156" s="83">
        <f>IF(SUM(W156:W156)&gt;0,X156/SUM(W156:W156)*1000000,"N/A")</f>
        <v>56113.875</v>
      </c>
      <c r="Z156" s="80"/>
      <c r="AA156" s="80"/>
      <c r="AB156" s="73"/>
      <c r="AC156" s="75"/>
      <c r="AD156" s="332"/>
      <c r="AE156" s="68"/>
      <c r="AF156" s="88"/>
      <c r="AG156" s="182">
        <f>YEAR(V156)</f>
        <v>2026</v>
      </c>
      <c r="AH156" s="86">
        <f>+IF(AG156=$AH$22,MONTH(V156),"")</f>
        <v>1</v>
      </c>
      <c r="AI156" s="86" t="str">
        <f>+IF(AG156=$AI$22,MONTH(V156),"")</f>
        <v/>
      </c>
      <c r="AJ156" s="86" t="str">
        <f>+IF(AG156=$AJ$22,MONTH(V156),"")</f>
        <v/>
      </c>
      <c r="AK156" s="86" t="str">
        <f>+IF(AG156=$AK$22,MONTH(V156),"")</f>
        <v/>
      </c>
      <c r="AL156" s="86" t="str">
        <f>+IF(AG156=$AL$22,MONTH(V156),"")</f>
        <v/>
      </c>
      <c r="AM156" s="86" t="str">
        <f>+IF($AG156=$AM$22,MONTH($D156),"")</f>
        <v/>
      </c>
      <c r="AN156" s="89" t="str">
        <f>+IF($AG156=AN$22,MONTH($D156),"")</f>
        <v/>
      </c>
      <c r="AO156" s="184" t="str">
        <f>+IF($AG156=AO$22,MONTH($D156),"")</f>
        <v/>
      </c>
      <c r="AP156" s="184" t="str">
        <f>+IF($AG156=AP$22,MONTH($D156),"")</f>
        <v/>
      </c>
      <c r="AQ156" s="184" t="str">
        <f>+IF($AG156=AQ$22,MONTH($D156),"")</f>
        <v/>
      </c>
      <c r="AR156" s="184" t="str">
        <f>+IF($AG156=AR$22,MONTH($D156),"")</f>
        <v/>
      </c>
      <c r="AS156" s="184" t="str">
        <f>+IF($AG156=AS$22,MONTH($D156),"")</f>
        <v/>
      </c>
      <c r="AT156" s="86" t="str">
        <f>+IF($AG156=AT$22,MONTH($D156),"")</f>
        <v/>
      </c>
      <c r="AU156" s="86" t="str">
        <f>+IF($AG156=AU$22,MONTH($D156),"")</f>
        <v/>
      </c>
      <c r="AV156" s="86" t="str">
        <f>+IF($AG156=AV$22,MONTH($D156),"")</f>
        <v/>
      </c>
      <c r="AW156" s="86" t="str">
        <f>+IF($AG156=AW$22,MONTH($D156),"")</f>
        <v/>
      </c>
      <c r="AX156" s="86" t="str">
        <f>+IF($AG156=AX$22,MONTH($D156),"")</f>
        <v/>
      </c>
      <c r="AY156" s="89"/>
      <c r="AZ156" s="89"/>
      <c r="BA156" s="89"/>
      <c r="BB156" s="89"/>
      <c r="BC156" s="89"/>
      <c r="BD156" s="89"/>
      <c r="BE156" s="89"/>
      <c r="BF156" s="89"/>
      <c r="BG156" s="89"/>
      <c r="BH156" s="89"/>
      <c r="BI156" s="89"/>
      <c r="BJ156" s="89"/>
      <c r="BK156" s="89"/>
      <c r="BL156" s="89"/>
      <c r="BM156" s="89"/>
      <c r="BN156" s="89"/>
      <c r="BO156" s="89"/>
      <c r="BP156" s="89"/>
    </row>
    <row r="157" spans="1:68" s="381" customFormat="1" ht="45.75" hidden="1" customHeight="1">
      <c r="A157" s="204">
        <f>+IFERROR(VALUE(MID(AB157,4,4)),"")</f>
        <v>402</v>
      </c>
      <c r="B157" s="204">
        <f>VALUE(RIGHT(C157,LEN(C157)-2))</f>
        <v>2565</v>
      </c>
      <c r="C157" s="74" t="s">
        <v>764</v>
      </c>
      <c r="D157" s="75">
        <v>45973</v>
      </c>
      <c r="E157" s="70" t="s">
        <v>685</v>
      </c>
      <c r="F157" s="70" t="s">
        <v>685</v>
      </c>
      <c r="G157" s="68" t="s">
        <v>765</v>
      </c>
      <c r="H157" s="282" t="s">
        <v>766</v>
      </c>
      <c r="I157" s="69" t="s">
        <v>767</v>
      </c>
      <c r="J157" s="69"/>
      <c r="K157" s="95" t="s">
        <v>9</v>
      </c>
      <c r="L157" s="69" t="s">
        <v>120</v>
      </c>
      <c r="M157" s="71" t="s">
        <v>141</v>
      </c>
      <c r="N157" s="69" t="e" vm="1">
        <v>#VALUE!</v>
      </c>
      <c r="O157" s="84">
        <v>45980</v>
      </c>
      <c r="P157" s="82" t="s">
        <v>689</v>
      </c>
      <c r="Q157" s="82" t="s">
        <v>623</v>
      </c>
      <c r="R157" s="69" t="s">
        <v>221</v>
      </c>
      <c r="S157" s="146"/>
      <c r="T157" s="68" t="s">
        <v>3</v>
      </c>
      <c r="U157" s="87"/>
      <c r="V157" s="80">
        <v>45996</v>
      </c>
      <c r="W157" s="73">
        <v>183</v>
      </c>
      <c r="X157" s="214">
        <v>9.125</v>
      </c>
      <c r="Y157" s="83">
        <f>IF(SUM(W157:W157)&gt;0,X157/SUM(W157:W157)*1000000,"N/A")</f>
        <v>49863.387978142076</v>
      </c>
      <c r="Z157" s="80"/>
      <c r="AA157" s="80"/>
      <c r="AB157" s="73" t="s">
        <v>768</v>
      </c>
      <c r="AC157" s="153"/>
      <c r="AD157" s="331"/>
      <c r="AE157" s="57"/>
      <c r="AF157" s="88"/>
      <c r="AG157" s="182">
        <f>YEAR(V157)</f>
        <v>2025</v>
      </c>
      <c r="AH157" s="86" t="str">
        <f>+IF(AG157=$AH$22,MONTH(V157),"")</f>
        <v/>
      </c>
      <c r="AI157" s="86">
        <f>+IF(AG157=$AI$22,MONTH(V157),"")</f>
        <v>12</v>
      </c>
      <c r="AJ157" s="86" t="str">
        <f>+IF(AG157=$AJ$22,MONTH(V157),"")</f>
        <v/>
      </c>
      <c r="AK157" s="86" t="str">
        <f>+IF(AG157=$AK$22,MONTH(V157),"")</f>
        <v/>
      </c>
      <c r="AL157" s="86" t="str">
        <f>+IF(AG157=$AL$22,MONTH(V157),"")</f>
        <v/>
      </c>
      <c r="AM157" s="86" t="str">
        <f>+IF($AG157=$AM$22,MONTH($D157),"")</f>
        <v/>
      </c>
      <c r="AN157" s="89" t="str">
        <f>+IF($AG157=AN$22,MONTH($D157),"")</f>
        <v/>
      </c>
      <c r="AO157" s="89" t="str">
        <f>+IF($AG157=AO$22,MONTH($D157),"")</f>
        <v/>
      </c>
      <c r="AP157" s="89" t="str">
        <f>+IF($AG157=AP$22,MONTH($D157),"")</f>
        <v/>
      </c>
      <c r="AQ157" s="89" t="str">
        <f>+IF($AG157=AQ$22,MONTH($D157),"")</f>
        <v/>
      </c>
      <c r="AR157" s="89" t="str">
        <f>+IF($AG157=AR$22,MONTH($D157),"")</f>
        <v/>
      </c>
      <c r="AS157" s="89" t="str">
        <f>+IF($AG157=AS$22,MONTH($D157),"")</f>
        <v/>
      </c>
      <c r="AT157" s="89" t="str">
        <f>+IF($AG157=AT$22,MONTH($D157),"")</f>
        <v/>
      </c>
      <c r="AU157" s="89" t="str">
        <f>+IF($AG157=AU$22,MONTH($D157),"")</f>
        <v/>
      </c>
      <c r="AV157" s="89" t="str">
        <f>+IF($AG157=AV$22,MONTH($D157),"")</f>
        <v/>
      </c>
      <c r="AW157" s="86" t="str">
        <f>+IF($AG157=AW$22,MONTH($D157),"")</f>
        <v/>
      </c>
      <c r="AX157" s="86" t="str">
        <f>+IF($AG157=AX$22,MONTH($D157),"")</f>
        <v/>
      </c>
      <c r="AY157" s="89"/>
      <c r="AZ157" s="89"/>
      <c r="BA157" s="89"/>
      <c r="BB157" s="89"/>
      <c r="BC157" s="89"/>
      <c r="BD157" s="89"/>
      <c r="BE157" s="89"/>
      <c r="BF157" s="89"/>
      <c r="BG157" s="89"/>
      <c r="BH157" s="89"/>
      <c r="BI157" s="89"/>
      <c r="BJ157" s="89"/>
      <c r="BK157" s="89"/>
      <c r="BL157" s="89"/>
      <c r="BM157" s="89"/>
      <c r="BN157" s="89"/>
      <c r="BO157" s="89"/>
      <c r="BP157" s="89"/>
    </row>
    <row r="158" spans="1:68" s="381" customFormat="1" ht="45.75" hidden="1" customHeight="1">
      <c r="A158" s="204">
        <f>+IFERROR(VALUE(MID(AB158,4,4)),"")</f>
        <v>462</v>
      </c>
      <c r="B158" s="204">
        <f>VALUE(RIGHT(C158,LEN(C158)-2))</f>
        <v>2564</v>
      </c>
      <c r="C158" s="74" t="s">
        <v>769</v>
      </c>
      <c r="D158" s="75">
        <v>45973</v>
      </c>
      <c r="E158" s="70" t="s">
        <v>685</v>
      </c>
      <c r="F158" s="70" t="s">
        <v>685</v>
      </c>
      <c r="G158" s="68" t="s">
        <v>765</v>
      </c>
      <c r="H158" s="282" t="s">
        <v>766</v>
      </c>
      <c r="I158" s="69" t="s">
        <v>770</v>
      </c>
      <c r="J158" s="69"/>
      <c r="K158" s="95" t="s">
        <v>9</v>
      </c>
      <c r="L158" s="69" t="s">
        <v>120</v>
      </c>
      <c r="M158" s="71" t="s">
        <v>141</v>
      </c>
      <c r="N158" s="69" t="e" vm="1">
        <v>#VALUE!</v>
      </c>
      <c r="O158" s="84">
        <v>45978</v>
      </c>
      <c r="P158" s="82" t="s">
        <v>689</v>
      </c>
      <c r="Q158" s="82" t="s">
        <v>623</v>
      </c>
      <c r="R158" s="69" t="s">
        <v>221</v>
      </c>
      <c r="S158" s="146"/>
      <c r="T158" s="68" t="s">
        <v>3</v>
      </c>
      <c r="U158" s="87"/>
      <c r="V158" s="80">
        <v>45996</v>
      </c>
      <c r="W158" s="73">
        <v>476</v>
      </c>
      <c r="X158" s="73">
        <v>25</v>
      </c>
      <c r="Y158" s="83">
        <f>IF(SUM(W158:W158)&gt;0,X158/SUM(W158:W158)*1000000,"N/A")</f>
        <v>52521.008403361346</v>
      </c>
      <c r="Z158" s="80"/>
      <c r="AA158" s="80"/>
      <c r="AB158" s="73" t="s">
        <v>771</v>
      </c>
      <c r="AC158" s="153"/>
      <c r="AD158" s="331"/>
      <c r="AE158" s="57"/>
      <c r="AF158" s="88"/>
      <c r="AG158" s="182">
        <f>YEAR(V158)</f>
        <v>2025</v>
      </c>
      <c r="AH158" s="86" t="str">
        <f>+IF(AG158=$AH$22,MONTH(V158),"")</f>
        <v/>
      </c>
      <c r="AI158" s="86">
        <f>+IF(AG158=$AI$22,MONTH(V158),"")</f>
        <v>12</v>
      </c>
      <c r="AJ158" s="86" t="str">
        <f>+IF(AG158=$AJ$22,MONTH(V158),"")</f>
        <v/>
      </c>
      <c r="AK158" s="86" t="str">
        <f>+IF(AG158=$AK$22,MONTH(V158),"")</f>
        <v/>
      </c>
      <c r="AL158" s="86" t="str">
        <f>+IF(AG158=$AL$22,MONTH(V158),"")</f>
        <v/>
      </c>
      <c r="AM158" s="86" t="str">
        <f>+IF($AG158=$AM$22,MONTH($D158),"")</f>
        <v/>
      </c>
      <c r="AN158" s="89" t="str">
        <f>+IF($AG158=AN$22,MONTH($D158),"")</f>
        <v/>
      </c>
      <c r="AO158" s="89" t="str">
        <f>+IF($AG158=AO$22,MONTH($D158),"")</f>
        <v/>
      </c>
      <c r="AP158" s="89" t="str">
        <f>+IF($AG158=AP$22,MONTH($D158),"")</f>
        <v/>
      </c>
      <c r="AQ158" s="89" t="str">
        <f>+IF($AG158=AQ$22,MONTH($D158),"")</f>
        <v/>
      </c>
      <c r="AR158" s="89" t="str">
        <f>+IF($AG158=AR$22,MONTH($D158),"")</f>
        <v/>
      </c>
      <c r="AS158" s="89" t="str">
        <f>+IF($AG158=AS$22,MONTH($D158),"")</f>
        <v/>
      </c>
      <c r="AT158" s="89" t="str">
        <f>+IF($AG158=AT$22,MONTH($D158),"")</f>
        <v/>
      </c>
      <c r="AU158" s="89" t="str">
        <f>+IF($AG158=AU$22,MONTH($D158),"")</f>
        <v/>
      </c>
      <c r="AV158" s="89" t="str">
        <f>+IF($AG158=AV$22,MONTH($D158),"")</f>
        <v/>
      </c>
      <c r="AW158" s="86" t="str">
        <f>+IF($AG158=AW$22,MONTH($D158),"")</f>
        <v/>
      </c>
      <c r="AX158" s="86" t="str">
        <f>+IF($AG158=AX$22,MONTH($D158),"")</f>
        <v/>
      </c>
      <c r="AY158" s="89"/>
      <c r="AZ158" s="89"/>
      <c r="BA158" s="89"/>
      <c r="BB158" s="89"/>
      <c r="BC158" s="89"/>
      <c r="BD158" s="89"/>
      <c r="BE158" s="89"/>
      <c r="BF158" s="89"/>
      <c r="BG158" s="89"/>
      <c r="BH158" s="89"/>
      <c r="BI158" s="89"/>
      <c r="BJ158" s="89"/>
      <c r="BK158" s="89"/>
      <c r="BL158" s="89"/>
      <c r="BM158" s="89"/>
      <c r="BN158" s="89"/>
      <c r="BO158" s="89"/>
      <c r="BP158" s="89"/>
    </row>
    <row r="159" spans="1:68" s="89" customFormat="1" ht="45.75" hidden="1" customHeight="1">
      <c r="A159" s="204" t="str">
        <f>+IFERROR(VALUE(MID(AB159,4,4)),"")</f>
        <v/>
      </c>
      <c r="B159" s="204">
        <f>VALUE(RIGHT(C159,LEN(C159)-2))</f>
        <v>2563</v>
      </c>
      <c r="C159" s="74" t="s">
        <v>772</v>
      </c>
      <c r="D159" s="75">
        <v>45973</v>
      </c>
      <c r="E159" s="70" t="s">
        <v>773</v>
      </c>
      <c r="F159" s="70" t="s">
        <v>773</v>
      </c>
      <c r="G159" s="68" t="s">
        <v>774</v>
      </c>
      <c r="H159" s="282" t="s">
        <v>775</v>
      </c>
      <c r="I159" s="162" t="s">
        <v>776</v>
      </c>
      <c r="J159" s="162"/>
      <c r="K159" s="68" t="s">
        <v>777</v>
      </c>
      <c r="L159" s="69" t="s">
        <v>120</v>
      </c>
      <c r="M159" s="71" t="s">
        <v>141</v>
      </c>
      <c r="N159" s="69" t="e" vm="1">
        <v>#VALUE!</v>
      </c>
      <c r="O159" s="164">
        <v>45978</v>
      </c>
      <c r="P159" s="72" t="s">
        <v>451</v>
      </c>
      <c r="Q159" s="72" t="s">
        <v>316</v>
      </c>
      <c r="R159" s="162" t="s">
        <v>378</v>
      </c>
      <c r="S159" s="146"/>
      <c r="T159" s="68" t="s">
        <v>165</v>
      </c>
      <c r="U159" s="87">
        <v>0</v>
      </c>
      <c r="V159" s="183">
        <v>45973</v>
      </c>
      <c r="W159" s="73">
        <v>573</v>
      </c>
      <c r="X159" s="383">
        <f>723*39701/1000000</f>
        <v>28.703823</v>
      </c>
      <c r="Y159" s="83">
        <f>IF(SUM(W159:W159)&gt;0,X159/SUM(W159:W159)*1000000,"N/A")</f>
        <v>50093.931937172769</v>
      </c>
      <c r="Z159" s="183"/>
      <c r="AA159" s="183"/>
      <c r="AB159" s="73"/>
      <c r="AC159" s="153"/>
      <c r="AD159" s="331"/>
      <c r="AE159" s="57"/>
      <c r="AF159" s="88"/>
      <c r="AG159" s="182">
        <f>YEAR(V159)</f>
        <v>2025</v>
      </c>
      <c r="AH159" s="86" t="str">
        <f>+IF(AG159=$AH$22,MONTH(V159),"")</f>
        <v/>
      </c>
      <c r="AI159" s="86">
        <f>+IF(AG159=$AI$22,MONTH(V159),"")</f>
        <v>11</v>
      </c>
      <c r="AJ159" s="86" t="str">
        <f>+IF(AG159=$AJ$22,MONTH(V159),"")</f>
        <v/>
      </c>
      <c r="AK159" s="86" t="str">
        <f>+IF(AG159=$AK$22,MONTH(V159),"")</f>
        <v/>
      </c>
      <c r="AL159" s="86"/>
      <c r="AW159" s="86" t="str">
        <f>+IF($AG159=AW$22,MONTH($D159),"")</f>
        <v/>
      </c>
      <c r="AX159" s="86" t="str">
        <f>+IF($AG159=AX$22,MONTH($D159),"")</f>
        <v/>
      </c>
    </row>
    <row r="160" spans="1:68" s="89" customFormat="1" ht="45.75" hidden="1" customHeight="1">
      <c r="A160" s="204" t="str">
        <f>+IFERROR(VALUE(MID(AB160,4,4)),"")</f>
        <v/>
      </c>
      <c r="B160" s="204">
        <f>VALUE(RIGHT(C160,LEN(C160)-2))</f>
        <v>2562</v>
      </c>
      <c r="C160" s="74" t="s">
        <v>778</v>
      </c>
      <c r="D160" s="75">
        <v>45973</v>
      </c>
      <c r="E160" s="70" t="s">
        <v>779</v>
      </c>
      <c r="F160" s="70"/>
      <c r="G160" s="68" t="s">
        <v>780</v>
      </c>
      <c r="H160" s="282" t="s">
        <v>781</v>
      </c>
      <c r="I160" s="162" t="s">
        <v>782</v>
      </c>
      <c r="J160" s="162"/>
      <c r="K160" s="68" t="s">
        <v>18</v>
      </c>
      <c r="L160" s="69" t="s">
        <v>120</v>
      </c>
      <c r="M160" s="71" t="s">
        <v>141</v>
      </c>
      <c r="N160" s="69" t="e" vm="5">
        <v>#VALUE!</v>
      </c>
      <c r="O160" s="164">
        <v>45989</v>
      </c>
      <c r="P160" s="72" t="s">
        <v>239</v>
      </c>
      <c r="Q160" s="72" t="s">
        <v>240</v>
      </c>
      <c r="R160" s="162" t="s">
        <v>230</v>
      </c>
      <c r="S160" s="146"/>
      <c r="T160" s="68" t="s">
        <v>165</v>
      </c>
      <c r="U160" s="87"/>
      <c r="V160" s="183">
        <v>46084</v>
      </c>
      <c r="W160" s="73">
        <v>1550</v>
      </c>
      <c r="X160" s="383">
        <v>91.358000000000004</v>
      </c>
      <c r="Y160" s="83">
        <f>IF(SUM(W160:W160)&gt;0,X160/SUM(W160:W160)*1000000,"N/A")</f>
        <v>58940.645161290326</v>
      </c>
      <c r="Z160" s="183"/>
      <c r="AA160" s="183"/>
      <c r="AB160" s="73"/>
      <c r="AC160" s="153"/>
      <c r="AD160" s="331"/>
      <c r="AE160" s="57"/>
      <c r="AF160" s="88"/>
      <c r="AG160" s="182">
        <f>YEAR(V160)</f>
        <v>2026</v>
      </c>
      <c r="AH160" s="86">
        <f>+IF(AG160=$AH$22,MONTH(V160),"")</f>
        <v>3</v>
      </c>
      <c r="AI160" s="86" t="str">
        <f>+IF(AG160=$AI$22,MONTH(V160),"")</f>
        <v/>
      </c>
      <c r="AJ160" s="86" t="str">
        <f>+IF(AG160=$AJ$22,MONTH(V160),"")</f>
        <v/>
      </c>
      <c r="AK160" s="86" t="str">
        <f>+IF(AG160=$AK$22,MONTH(V160),"")</f>
        <v/>
      </c>
      <c r="AL160" s="86"/>
      <c r="AW160" s="86" t="str">
        <f>+IF($AG160=AW$22,MONTH($D160),"")</f>
        <v/>
      </c>
      <c r="AX160" s="86" t="str">
        <f>+IF($AG160=AX$22,MONTH($D160),"")</f>
        <v/>
      </c>
    </row>
    <row r="161" spans="1:68" s="382" customFormat="1" ht="51" hidden="1" customHeight="1">
      <c r="A161" s="204" t="str">
        <f>+IFERROR(VALUE(MID(AB161,4,4)),"")</f>
        <v/>
      </c>
      <c r="B161" s="204">
        <f>VALUE(RIGHT(C161,LEN(C161)-2))</f>
        <v>2561</v>
      </c>
      <c r="C161" s="74" t="s">
        <v>783</v>
      </c>
      <c r="D161" s="75">
        <v>45967</v>
      </c>
      <c r="E161" s="70" t="s">
        <v>53</v>
      </c>
      <c r="F161" s="70" t="s">
        <v>313</v>
      </c>
      <c r="G161" s="68" t="s">
        <v>210</v>
      </c>
      <c r="H161" s="379" t="s">
        <v>210</v>
      </c>
      <c r="I161" s="69" t="s">
        <v>784</v>
      </c>
      <c r="J161" s="69"/>
      <c r="K161" s="68" t="s">
        <v>227</v>
      </c>
      <c r="L161" s="69" t="s">
        <v>123</v>
      </c>
      <c r="M161" s="71" t="s">
        <v>141</v>
      </c>
      <c r="N161" s="69" t="e" vm="1">
        <v>#VALUE!</v>
      </c>
      <c r="O161" s="84">
        <v>45986</v>
      </c>
      <c r="P161" s="72" t="s">
        <v>424</v>
      </c>
      <c r="Q161" s="72" t="s">
        <v>229</v>
      </c>
      <c r="R161" s="162" t="s">
        <v>227</v>
      </c>
      <c r="S161" s="146"/>
      <c r="T161" s="68" t="s">
        <v>158</v>
      </c>
      <c r="U161" s="87">
        <v>0.1</v>
      </c>
      <c r="V161" s="80">
        <v>45986</v>
      </c>
      <c r="W161" s="73" t="s">
        <v>134</v>
      </c>
      <c r="X161" s="73" t="s">
        <v>134</v>
      </c>
      <c r="Y161" s="169" t="str">
        <f>IF(SUM(W161:W161)&gt;0,X161/SUM(W161:W161)*1000000,"N/A")</f>
        <v>N/A</v>
      </c>
      <c r="Z161" s="80"/>
      <c r="AA161" s="80"/>
      <c r="AB161" s="73"/>
      <c r="AC161" s="153"/>
      <c r="AD161" s="330"/>
      <c r="AE161" s="305"/>
      <c r="AF161" s="88"/>
      <c r="AG161" s="182">
        <f>YEAR(V161)</f>
        <v>2025</v>
      </c>
      <c r="AH161" s="86" t="str">
        <f>+IF(AG161=$AH$22,MONTH(V161),"")</f>
        <v/>
      </c>
      <c r="AI161" s="86">
        <f>+IF(AG161=$AI$22,MONTH(V161),"")</f>
        <v>11</v>
      </c>
      <c r="AJ161" s="86" t="str">
        <f>+IF(AG161=$AJ$22,MONTH(V161),"")</f>
        <v/>
      </c>
      <c r="AK161" s="86" t="str">
        <f>+IF(AG161=$AK$22,MONTH(V161),"")</f>
        <v/>
      </c>
      <c r="AL161" s="86" t="str">
        <f>+IF(AG161=$AL$22,MONTH(V161),"")</f>
        <v/>
      </c>
      <c r="AM161" s="86" t="str">
        <f>+IF($AG161=$AM$22,MONTH($D161),"")</f>
        <v/>
      </c>
      <c r="AN161" s="89" t="str">
        <f>+IF($AG161=AN$22,MONTH($D161),"")</f>
        <v/>
      </c>
      <c r="AO161" s="89" t="str">
        <f>+IF($AG161=AO$22,MONTH($D161),"")</f>
        <v/>
      </c>
      <c r="AP161" s="89" t="str">
        <f>+IF($AG161=AP$22,MONTH($D161),"")</f>
        <v/>
      </c>
      <c r="AQ161" s="89" t="str">
        <f>+IF($AG161=AQ$22,MONTH($D161),"")</f>
        <v/>
      </c>
      <c r="AR161" s="89" t="str">
        <f>+IF($AG161=AR$22,MONTH($D161),"")</f>
        <v/>
      </c>
      <c r="AS161" s="89" t="str">
        <f>+IF($AG161=AS$22,MONTH($D161),"")</f>
        <v/>
      </c>
      <c r="AT161" s="89" t="str">
        <f>+IF($AG161=AT$22,MONTH($D161),"")</f>
        <v/>
      </c>
      <c r="AU161" s="89" t="str">
        <f>+IF($AG161=AU$22,MONTH($D161),"")</f>
        <v/>
      </c>
      <c r="AV161" s="89" t="str">
        <f>+IF($AG161=AV$22,MONTH($D161),"")</f>
        <v/>
      </c>
      <c r="AW161" s="86" t="str">
        <f>+IF($AG161=AW$22,MONTH($D161),"")</f>
        <v/>
      </c>
      <c r="AX161" s="86" t="str">
        <f>+IF($AG161=AX$22,MONTH($D161),"")</f>
        <v/>
      </c>
      <c r="AY161" s="89"/>
      <c r="AZ161" s="89"/>
      <c r="BA161" s="89"/>
      <c r="BB161" s="89"/>
      <c r="BC161" s="89"/>
      <c r="BD161" s="89"/>
      <c r="BE161" s="89"/>
      <c r="BF161" s="89"/>
      <c r="BG161" s="89"/>
      <c r="BH161" s="89"/>
      <c r="BI161" s="89"/>
      <c r="BJ161" s="89"/>
      <c r="BK161" s="89"/>
      <c r="BL161" s="89"/>
      <c r="BM161" s="89"/>
      <c r="BN161" s="89"/>
      <c r="BO161" s="89"/>
      <c r="BP161" s="89"/>
    </row>
    <row r="162" spans="1:68" s="56" customFormat="1" ht="46.5" hidden="1" customHeight="1">
      <c r="A162" s="204">
        <f>+IFERROR(VALUE(MID(AB162,4,4)),"")</f>
        <v>390</v>
      </c>
      <c r="B162" s="204">
        <f>VALUE(RIGHT(C162,LEN(C162)-2))</f>
        <v>2560</v>
      </c>
      <c r="C162" s="74" t="s">
        <v>785</v>
      </c>
      <c r="D162" s="75">
        <v>45868</v>
      </c>
      <c r="E162" s="70" t="s">
        <v>262</v>
      </c>
      <c r="F162" s="70" t="s">
        <v>270</v>
      </c>
      <c r="G162" s="68" t="s">
        <v>786</v>
      </c>
      <c r="H162" s="307" t="s">
        <v>494</v>
      </c>
      <c r="I162" s="69" t="s">
        <v>787</v>
      </c>
      <c r="J162" s="69"/>
      <c r="K162" s="68" t="s">
        <v>13</v>
      </c>
      <c r="L162" s="69" t="s">
        <v>120</v>
      </c>
      <c r="M162" s="71" t="s">
        <v>141</v>
      </c>
      <c r="N162" s="69" t="e" vm="1">
        <v>#VALUE!</v>
      </c>
      <c r="O162" s="84">
        <v>45978</v>
      </c>
      <c r="P162" s="72" t="s">
        <v>402</v>
      </c>
      <c r="Q162" s="72" t="s">
        <v>220</v>
      </c>
      <c r="R162" s="162" t="s">
        <v>221</v>
      </c>
      <c r="S162" s="146"/>
      <c r="T162" s="68" t="s">
        <v>158</v>
      </c>
      <c r="U162" s="87">
        <v>0.3</v>
      </c>
      <c r="V162" s="80">
        <v>46011</v>
      </c>
      <c r="W162" s="73">
        <v>4396</v>
      </c>
      <c r="X162" s="73">
        <v>185.84</v>
      </c>
      <c r="Y162" s="169">
        <f>IF(SUM(W162:W162)&gt;0,X162/SUM(W162:W162)*1000000,"N/A")</f>
        <v>42274.795268425842</v>
      </c>
      <c r="Z162" s="80"/>
      <c r="AA162" s="80"/>
      <c r="AB162" s="73" t="s">
        <v>788</v>
      </c>
      <c r="AC162" s="153"/>
      <c r="AD162" s="330"/>
      <c r="AE162" s="305"/>
      <c r="AF162" s="88"/>
      <c r="AG162" s="182">
        <f>YEAR(V162)</f>
        <v>2025</v>
      </c>
      <c r="AH162" s="86" t="str">
        <f>+IF(AG162=$AH$22,MONTH(V162),"")</f>
        <v/>
      </c>
      <c r="AI162" s="86">
        <f>+IF(AG162=$AI$22,MONTH(V162),"")</f>
        <v>12</v>
      </c>
      <c r="AJ162" s="86" t="str">
        <f>+IF(AG162=$AJ$22,MONTH(V162),"")</f>
        <v/>
      </c>
      <c r="AK162" s="86" t="str">
        <f>+IF(AG162=$AK$22,MONTH(V162),"")</f>
        <v/>
      </c>
      <c r="AL162" s="86" t="str">
        <f>+IF(AG162=$AL$22,MONTH(V162),"")</f>
        <v/>
      </c>
      <c r="AM162" s="86" t="str">
        <f>+IF($AG162=$AM$22,MONTH($D162),"")</f>
        <v/>
      </c>
      <c r="AN162" s="89" t="str">
        <f>+IF($AG162=AN$22,MONTH($D162),"")</f>
        <v/>
      </c>
      <c r="AO162" s="89" t="str">
        <f>+IF($AG162=AO$22,MONTH($D162),"")</f>
        <v/>
      </c>
      <c r="AP162" s="89" t="str">
        <f>+IF($AG162=AP$22,MONTH($D162),"")</f>
        <v/>
      </c>
      <c r="AQ162" s="89" t="str">
        <f>+IF($AG162=AQ$22,MONTH($D162),"")</f>
        <v/>
      </c>
      <c r="AR162" s="89" t="str">
        <f>+IF($AG162=AR$22,MONTH($D162),"")</f>
        <v/>
      </c>
      <c r="AS162" s="89" t="str">
        <f>+IF($AG162=AS$22,MONTH($D162),"")</f>
        <v/>
      </c>
      <c r="AT162" s="89" t="str">
        <f>+IF($AG162=AT$22,MONTH($D162),"")</f>
        <v/>
      </c>
      <c r="AU162" s="89" t="str">
        <f>+IF($AG162=AU$22,MONTH($D162),"")</f>
        <v/>
      </c>
      <c r="AV162" s="89" t="str">
        <f>+IF($AG162=AV$22,MONTH($D162),"")</f>
        <v/>
      </c>
      <c r="AW162" s="86" t="str">
        <f>+IF($AG162=AW$22,MONTH($D162),"")</f>
        <v/>
      </c>
      <c r="AX162" s="86" t="str">
        <f>+IF($AG162=AX$22,MONTH($D162),"")</f>
        <v/>
      </c>
      <c r="AY162" s="89"/>
      <c r="AZ162" s="89"/>
      <c r="BA162" s="89"/>
      <c r="BB162" s="89"/>
      <c r="BC162" s="89"/>
      <c r="BD162" s="89"/>
      <c r="BE162" s="89"/>
      <c r="BF162" s="89"/>
      <c r="BG162" s="89"/>
      <c r="BH162" s="89"/>
      <c r="BI162" s="89"/>
      <c r="BJ162" s="89"/>
      <c r="BK162" s="89"/>
      <c r="BL162" s="89"/>
      <c r="BM162" s="89"/>
      <c r="BN162" s="89"/>
      <c r="BO162" s="89"/>
      <c r="BP162" s="89"/>
    </row>
    <row r="163" spans="1:68" s="382" customFormat="1" ht="45.75" hidden="1" customHeight="1">
      <c r="A163" s="204">
        <f>+IFERROR(VALUE(MID(AB163,4,4)),"")</f>
        <v>271</v>
      </c>
      <c r="B163" s="204">
        <f>VALUE(RIGHT(C163,LEN(C163)-2))</f>
        <v>2559</v>
      </c>
      <c r="C163" s="74" t="s">
        <v>789</v>
      </c>
      <c r="D163" s="75">
        <v>45967</v>
      </c>
      <c r="E163" s="70" t="s">
        <v>277</v>
      </c>
      <c r="F163" s="70" t="s">
        <v>277</v>
      </c>
      <c r="G163" s="68" t="s">
        <v>278</v>
      </c>
      <c r="H163" s="379" t="s">
        <v>279</v>
      </c>
      <c r="I163" s="69" t="s">
        <v>790</v>
      </c>
      <c r="J163" s="69"/>
      <c r="K163" s="68" t="s">
        <v>13</v>
      </c>
      <c r="L163" s="69" t="s">
        <v>129</v>
      </c>
      <c r="M163" s="71" t="s">
        <v>141</v>
      </c>
      <c r="N163" s="69" t="e" vm="1">
        <v>#VALUE!</v>
      </c>
      <c r="O163" s="84">
        <v>45967</v>
      </c>
      <c r="P163" s="82" t="s">
        <v>281</v>
      </c>
      <c r="Q163" s="72" t="s">
        <v>623</v>
      </c>
      <c r="R163" s="162" t="s">
        <v>221</v>
      </c>
      <c r="S163" s="146"/>
      <c r="T163" s="68" t="s">
        <v>3</v>
      </c>
      <c r="U163" s="87"/>
      <c r="V163" s="80">
        <v>45967</v>
      </c>
      <c r="W163" s="73">
        <v>421</v>
      </c>
      <c r="X163" s="73">
        <v>17.661000000000001</v>
      </c>
      <c r="Y163" s="169">
        <f>IF(SUM(W163:W163)&gt;0,X163/SUM(W163:W163)*1000000,"N/A")</f>
        <v>41950.118764845611</v>
      </c>
      <c r="Z163" s="80"/>
      <c r="AA163" s="80"/>
      <c r="AB163" s="73" t="s">
        <v>791</v>
      </c>
      <c r="AC163" s="153"/>
      <c r="AD163" s="330"/>
      <c r="AE163" s="305"/>
      <c r="AF163" s="88"/>
      <c r="AG163" s="182">
        <f>YEAR(V163)</f>
        <v>2025</v>
      </c>
      <c r="AH163" s="86" t="str">
        <f>+IF(AG163=$AH$22,MONTH(V163),"")</f>
        <v/>
      </c>
      <c r="AI163" s="86">
        <f>+IF(AG163=$AI$22,MONTH(V163),"")</f>
        <v>11</v>
      </c>
      <c r="AJ163" s="86" t="str">
        <f>+IF(AG163=$AJ$22,MONTH(V163),"")</f>
        <v/>
      </c>
      <c r="AK163" s="86" t="str">
        <f>+IF(AG163=$AK$22,MONTH(V163),"")</f>
        <v/>
      </c>
      <c r="AL163" s="86" t="str">
        <f>+IF(AG163=$AL$22,MONTH(V163),"")</f>
        <v/>
      </c>
      <c r="AM163" s="86" t="str">
        <f>+IF($AG163=$AM$22,MONTH($D163),"")</f>
        <v/>
      </c>
      <c r="AN163" s="89" t="str">
        <f>+IF($AG163=AN$22,MONTH($D163),"")</f>
        <v/>
      </c>
      <c r="AO163" s="89" t="str">
        <f>+IF($AG163=AO$22,MONTH($D163),"")</f>
        <v/>
      </c>
      <c r="AP163" s="89" t="str">
        <f>+IF($AG163=AP$22,MONTH($D163),"")</f>
        <v/>
      </c>
      <c r="AQ163" s="89" t="str">
        <f>+IF($AG163=AQ$22,MONTH($D163),"")</f>
        <v/>
      </c>
      <c r="AR163" s="89" t="str">
        <f>+IF($AG163=AR$22,MONTH($D163),"")</f>
        <v/>
      </c>
      <c r="AS163" s="89" t="str">
        <f>+IF($AG163=AS$22,MONTH($D163),"")</f>
        <v/>
      </c>
      <c r="AT163" s="89" t="str">
        <f>+IF($AG163=AT$22,MONTH($D163),"")</f>
        <v/>
      </c>
      <c r="AU163" s="89" t="str">
        <f>+IF($AG163=AU$22,MONTH($D163),"")</f>
        <v/>
      </c>
      <c r="AV163" s="89" t="str">
        <f>+IF($AG163=AV$22,MONTH($D163),"")</f>
        <v/>
      </c>
      <c r="AW163" s="86" t="str">
        <f>+IF($AG163=AW$22,MONTH($D163),"")</f>
        <v/>
      </c>
      <c r="AX163" s="86" t="str">
        <f>+IF($AG163=AX$22,MONTH($D163),"")</f>
        <v/>
      </c>
      <c r="AY163" s="89"/>
      <c r="AZ163" s="89"/>
      <c r="BA163" s="89"/>
      <c r="BB163" s="89"/>
      <c r="BC163" s="89"/>
      <c r="BD163" s="89"/>
      <c r="BE163" s="89"/>
      <c r="BF163" s="89"/>
      <c r="BG163" s="89"/>
      <c r="BH163" s="89"/>
      <c r="BI163" s="89"/>
      <c r="BJ163" s="89"/>
      <c r="BK163" s="89"/>
      <c r="BL163" s="89"/>
      <c r="BM163" s="89"/>
      <c r="BN163" s="89"/>
      <c r="BO163" s="89"/>
      <c r="BP163" s="89"/>
    </row>
    <row r="164" spans="1:68" s="382" customFormat="1" ht="51" hidden="1" customHeight="1">
      <c r="A164" s="204" t="str">
        <f>+IFERROR(VALUE(MID(AB164,4,4)),"")</f>
        <v/>
      </c>
      <c r="B164" s="204">
        <f>VALUE(RIGHT(C164,LEN(C164)-2))</f>
        <v>2558</v>
      </c>
      <c r="C164" s="74" t="s">
        <v>792</v>
      </c>
      <c r="D164" s="75">
        <v>45966</v>
      </c>
      <c r="E164" s="70" t="s">
        <v>255</v>
      </c>
      <c r="F164" s="70" t="s">
        <v>255</v>
      </c>
      <c r="G164" s="68" t="s">
        <v>210</v>
      </c>
      <c r="H164" s="379" t="s">
        <v>210</v>
      </c>
      <c r="I164" s="69" t="s">
        <v>793</v>
      </c>
      <c r="J164" s="69"/>
      <c r="K164" s="68" t="s">
        <v>13</v>
      </c>
      <c r="L164" s="69" t="s">
        <v>123</v>
      </c>
      <c r="M164" s="71" t="s">
        <v>141</v>
      </c>
      <c r="N164" s="69" t="e" vm="1">
        <v>#VALUE!</v>
      </c>
      <c r="O164" s="84">
        <v>46010</v>
      </c>
      <c r="P164" s="72" t="s">
        <v>289</v>
      </c>
      <c r="Q164" s="72" t="s">
        <v>259</v>
      </c>
      <c r="R164" s="162" t="s">
        <v>260</v>
      </c>
      <c r="S164" s="146"/>
      <c r="T164" s="68" t="s">
        <v>158</v>
      </c>
      <c r="U164" s="87">
        <v>0.1</v>
      </c>
      <c r="V164" s="80">
        <v>46006</v>
      </c>
      <c r="W164" s="73">
        <v>23820</v>
      </c>
      <c r="X164" s="73">
        <v>1117</v>
      </c>
      <c r="Y164" s="169">
        <f>IF(SUM(W164:W164)&gt;0,X164/SUM(W164:W164)*1000000,"N/A")</f>
        <v>46893.366918555832</v>
      </c>
      <c r="Z164" s="80"/>
      <c r="AA164" s="80"/>
      <c r="AB164" s="73"/>
      <c r="AC164" s="153"/>
      <c r="AD164" s="330"/>
      <c r="AE164" s="305"/>
      <c r="AF164" s="88"/>
      <c r="AG164" s="182">
        <f>YEAR(V164)</f>
        <v>2025</v>
      </c>
      <c r="AH164" s="86" t="str">
        <f>+IF(AG164=$AH$22,MONTH(V164),"")</f>
        <v/>
      </c>
      <c r="AI164" s="86">
        <f>+IF(AG164=$AI$22,MONTH(V164),"")</f>
        <v>12</v>
      </c>
      <c r="AJ164" s="86" t="str">
        <f>+IF(AG164=$AJ$22,MONTH(V164),"")</f>
        <v/>
      </c>
      <c r="AK164" s="86" t="str">
        <f>+IF(AG164=$AK$22,MONTH(V164),"")</f>
        <v/>
      </c>
      <c r="AL164" s="86" t="str">
        <f>+IF(AG164=$AL$22,MONTH(V164),"")</f>
        <v/>
      </c>
      <c r="AM164" s="86" t="str">
        <f>+IF($AG164=$AM$22,MONTH($D164),"")</f>
        <v/>
      </c>
      <c r="AN164" s="89" t="str">
        <f>+IF($AG164=AN$22,MONTH($D164),"")</f>
        <v/>
      </c>
      <c r="AO164" s="89" t="str">
        <f>+IF($AG164=AO$22,MONTH($D164),"")</f>
        <v/>
      </c>
      <c r="AP164" s="89" t="str">
        <f>+IF($AG164=AP$22,MONTH($D164),"")</f>
        <v/>
      </c>
      <c r="AQ164" s="89" t="str">
        <f>+IF($AG164=AQ$22,MONTH($D164),"")</f>
        <v/>
      </c>
      <c r="AR164" s="89" t="str">
        <f>+IF($AG164=AR$22,MONTH($D164),"")</f>
        <v/>
      </c>
      <c r="AS164" s="89" t="str">
        <f>+IF($AG164=AS$22,MONTH($D164),"")</f>
        <v/>
      </c>
      <c r="AT164" s="89" t="str">
        <f>+IF($AG164=AT$22,MONTH($D164),"")</f>
        <v/>
      </c>
      <c r="AU164" s="89" t="str">
        <f>+IF($AG164=AU$22,MONTH($D164),"")</f>
        <v/>
      </c>
      <c r="AV164" s="89" t="str">
        <f>+IF($AG164=AV$22,MONTH($D164),"")</f>
        <v/>
      </c>
      <c r="AW164" s="86" t="str">
        <f>+IF($AG164=AW$22,MONTH($D164),"")</f>
        <v/>
      </c>
      <c r="AX164" s="86" t="str">
        <f>+IF($AG164=AX$22,MONTH($D164),"")</f>
        <v/>
      </c>
      <c r="AY164" s="89"/>
      <c r="AZ164" s="89"/>
      <c r="BA164" s="89"/>
      <c r="BB164" s="89"/>
      <c r="BC164" s="89"/>
      <c r="BD164" s="89"/>
      <c r="BE164" s="89"/>
      <c r="BF164" s="89"/>
      <c r="BG164" s="89"/>
      <c r="BH164" s="89"/>
      <c r="BI164" s="89"/>
      <c r="BJ164" s="89"/>
      <c r="BK164" s="89"/>
      <c r="BL164" s="89"/>
      <c r="BM164" s="89"/>
      <c r="BN164" s="89"/>
      <c r="BO164" s="89"/>
      <c r="BP164" s="89"/>
    </row>
    <row r="165" spans="1:68" s="382" customFormat="1" ht="51" hidden="1" customHeight="1">
      <c r="A165" s="204" t="str">
        <f>+IFERROR(VALUE(MID(AB165,4,4)),"")</f>
        <v/>
      </c>
      <c r="B165" s="204">
        <f>VALUE(RIGHT(C165,LEN(C165)-2))</f>
        <v>2557</v>
      </c>
      <c r="C165" s="74" t="s">
        <v>794</v>
      </c>
      <c r="D165" s="75">
        <v>45966</v>
      </c>
      <c r="E165" s="70" t="s">
        <v>53</v>
      </c>
      <c r="F165" s="70" t="s">
        <v>630</v>
      </c>
      <c r="G165" s="68" t="s">
        <v>210</v>
      </c>
      <c r="H165" s="379" t="s">
        <v>210</v>
      </c>
      <c r="I165" s="69" t="s">
        <v>795</v>
      </c>
      <c r="J165" s="69"/>
      <c r="K165" s="68" t="s">
        <v>275</v>
      </c>
      <c r="L165" s="69" t="s">
        <v>123</v>
      </c>
      <c r="M165" s="71" t="s">
        <v>141</v>
      </c>
      <c r="N165" s="69" t="e" vm="1">
        <v>#VALUE!</v>
      </c>
      <c r="O165" s="84">
        <v>45996</v>
      </c>
      <c r="P165" s="72" t="s">
        <v>258</v>
      </c>
      <c r="Q165" s="72" t="s">
        <v>220</v>
      </c>
      <c r="R165" s="162" t="s">
        <v>221</v>
      </c>
      <c r="S165" s="146"/>
      <c r="T165" s="68" t="s">
        <v>155</v>
      </c>
      <c r="U165" s="87"/>
      <c r="V165" s="80">
        <v>45966</v>
      </c>
      <c r="W165" s="73"/>
      <c r="X165" s="73"/>
      <c r="Y165" s="169" t="str">
        <f>IF(SUM(W165:W165)&gt;0,X165/SUM(W165:W165)*1000000,"N/A")</f>
        <v>N/A</v>
      </c>
      <c r="Z165" s="80"/>
      <c r="AA165" s="80"/>
      <c r="AB165" s="73"/>
      <c r="AC165" s="153"/>
      <c r="AD165" s="330"/>
      <c r="AE165" s="305"/>
      <c r="AF165" s="88"/>
      <c r="AG165" s="182">
        <f>YEAR(V165)</f>
        <v>2025</v>
      </c>
      <c r="AH165" s="86" t="str">
        <f>+IF(AG165=$AH$22,MONTH(V165),"")</f>
        <v/>
      </c>
      <c r="AI165" s="86">
        <f>+IF(AG165=$AI$22,MONTH(V165),"")</f>
        <v>11</v>
      </c>
      <c r="AJ165" s="86" t="str">
        <f>+IF(AG165=$AJ$22,MONTH(V165),"")</f>
        <v/>
      </c>
      <c r="AK165" s="86" t="str">
        <f>+IF(AG165=$AK$22,MONTH(V165),"")</f>
        <v/>
      </c>
      <c r="AL165" s="86" t="str">
        <f>+IF(AG165=$AL$22,MONTH(V165),"")</f>
        <v/>
      </c>
      <c r="AM165" s="86" t="str">
        <f>+IF($AG165=$AM$22,MONTH($D165),"")</f>
        <v/>
      </c>
      <c r="AN165" s="89" t="str">
        <f>+IF($AG165=AN$22,MONTH($D165),"")</f>
        <v/>
      </c>
      <c r="AO165" s="89" t="str">
        <f>+IF($AG165=AO$22,MONTH($D165),"")</f>
        <v/>
      </c>
      <c r="AP165" s="89" t="str">
        <f>+IF($AG165=AP$22,MONTH($D165),"")</f>
        <v/>
      </c>
      <c r="AQ165" s="89" t="str">
        <f>+IF($AG165=AQ$22,MONTH($D165),"")</f>
        <v/>
      </c>
      <c r="AR165" s="89" t="str">
        <f>+IF($AG165=AR$22,MONTH($D165),"")</f>
        <v/>
      </c>
      <c r="AS165" s="89" t="str">
        <f>+IF($AG165=AS$22,MONTH($D165),"")</f>
        <v/>
      </c>
      <c r="AT165" s="89" t="str">
        <f>+IF($AG165=AT$22,MONTH($D165),"")</f>
        <v/>
      </c>
      <c r="AU165" s="89" t="str">
        <f>+IF($AG165=AU$22,MONTH($D165),"")</f>
        <v/>
      </c>
      <c r="AV165" s="89" t="str">
        <f>+IF($AG165=AV$22,MONTH($D165),"")</f>
        <v/>
      </c>
      <c r="AW165" s="86" t="str">
        <f>+IF($AG165=AW$22,MONTH($D165),"")</f>
        <v/>
      </c>
      <c r="AX165" s="86" t="str">
        <f>+IF($AG165=AX$22,MONTH($D165),"")</f>
        <v/>
      </c>
      <c r="AY165" s="89"/>
      <c r="AZ165" s="89"/>
      <c r="BA165" s="89"/>
      <c r="BB165" s="89"/>
      <c r="BC165" s="89"/>
      <c r="BD165" s="89"/>
      <c r="BE165" s="89"/>
      <c r="BF165" s="89"/>
      <c r="BG165" s="89"/>
      <c r="BH165" s="89"/>
      <c r="BI165" s="89"/>
      <c r="BJ165" s="89"/>
      <c r="BK165" s="89"/>
      <c r="BL165" s="89"/>
      <c r="BM165" s="89"/>
      <c r="BN165" s="89"/>
      <c r="BO165" s="89"/>
      <c r="BP165" s="89"/>
    </row>
    <row r="166" spans="1:68" s="56" customFormat="1" ht="46.5" hidden="1" customHeight="1">
      <c r="A166" s="204">
        <f>+IFERROR(VALUE(MID(AB166,4,4)),"")</f>
        <v>392</v>
      </c>
      <c r="B166" s="204">
        <f>VALUE(RIGHT(C166,LEN(C166)-2))</f>
        <v>2556</v>
      </c>
      <c r="C166" s="74" t="s">
        <v>796</v>
      </c>
      <c r="D166" s="75">
        <v>45965</v>
      </c>
      <c r="E166" s="70" t="s">
        <v>332</v>
      </c>
      <c r="F166" s="70" t="s">
        <v>332</v>
      </c>
      <c r="G166" s="68" t="s">
        <v>333</v>
      </c>
      <c r="H166" s="282" t="s">
        <v>334</v>
      </c>
      <c r="I166" s="69" t="s">
        <v>797</v>
      </c>
      <c r="J166" s="69"/>
      <c r="K166" s="68" t="s">
        <v>798</v>
      </c>
      <c r="L166" s="69" t="s">
        <v>129</v>
      </c>
      <c r="M166" s="71" t="s">
        <v>141</v>
      </c>
      <c r="N166" s="69" t="e" vm="1">
        <v>#VALUE!</v>
      </c>
      <c r="O166" s="84">
        <v>45971</v>
      </c>
      <c r="P166" s="72" t="s">
        <v>737</v>
      </c>
      <c r="Q166" s="72" t="s">
        <v>316</v>
      </c>
      <c r="R166" s="162" t="s">
        <v>378</v>
      </c>
      <c r="S166" s="146"/>
      <c r="T166" s="68" t="s">
        <v>3</v>
      </c>
      <c r="U166" s="87"/>
      <c r="V166" s="80">
        <v>45967</v>
      </c>
      <c r="W166" s="73">
        <v>889</v>
      </c>
      <c r="X166" s="73">
        <f>949*39628.28/1000000</f>
        <v>37.607237720000001</v>
      </c>
      <c r="Y166" s="83">
        <f>IF(SUM(W166:W166)&gt;0,X166/SUM(W166:W166)*1000000,"N/A")</f>
        <v>42302.854578177728</v>
      </c>
      <c r="Z166" s="80"/>
      <c r="AA166" s="80"/>
      <c r="AB166" s="73" t="s">
        <v>799</v>
      </c>
      <c r="AC166" s="153"/>
      <c r="AD166" s="331"/>
      <c r="AE166" s="57"/>
      <c r="AF166" s="88"/>
      <c r="AG166" s="182">
        <f>YEAR(V166)</f>
        <v>2025</v>
      </c>
      <c r="AH166" s="86" t="str">
        <f>+IF(AG166=$AH$22,MONTH(V166),"")</f>
        <v/>
      </c>
      <c r="AI166" s="86">
        <f>+IF(AG166=$AI$22,MONTH(V166),"")</f>
        <v>11</v>
      </c>
      <c r="AJ166" s="86" t="str">
        <f>+IF(AG166=$AJ$22,MONTH(V166),"")</f>
        <v/>
      </c>
      <c r="AK166" s="86" t="str">
        <f>+IF(AG166=$AK$22,MONTH(V166),"")</f>
        <v/>
      </c>
      <c r="AL166" s="86" t="str">
        <f>+IF(AG166=$AL$22,MONTH(V166),"")</f>
        <v/>
      </c>
      <c r="AM166" s="86" t="str">
        <f>+IF($AG166=$AM$22,MONTH($D166),"")</f>
        <v/>
      </c>
      <c r="AN166" s="89" t="str">
        <f>+IF($AG166=AN$22,MONTH($D166),"")</f>
        <v/>
      </c>
      <c r="AO166" s="89" t="str">
        <f>+IF($AG166=AO$22,MONTH($D166),"")</f>
        <v/>
      </c>
      <c r="AP166" s="89" t="str">
        <f>+IF($AG166=AP$22,MONTH($D166),"")</f>
        <v/>
      </c>
      <c r="AQ166" s="89" t="str">
        <f>+IF($AG166=AQ$22,MONTH($D166),"")</f>
        <v/>
      </c>
      <c r="AR166" s="89" t="str">
        <f>+IF($AG166=AR$22,MONTH($D166),"")</f>
        <v/>
      </c>
      <c r="AS166" s="89" t="str">
        <f>+IF($AG166=AS$22,MONTH($D166),"")</f>
        <v/>
      </c>
      <c r="AT166" s="89" t="str">
        <f>+IF($AG166=AT$22,MONTH($D166),"")</f>
        <v/>
      </c>
      <c r="AU166" s="89" t="str">
        <f>+IF($AG166=AU$22,MONTH($D166),"")</f>
        <v/>
      </c>
      <c r="AV166" s="89" t="str">
        <f>+IF($AG166=AV$22,MONTH($D166),"")</f>
        <v/>
      </c>
      <c r="AW166" s="86" t="str">
        <f>+IF($AG166=AW$22,MONTH($D166),"")</f>
        <v/>
      </c>
      <c r="AX166" s="86" t="str">
        <f>+IF($AG166=AX$22,MONTH($D166),"")</f>
        <v/>
      </c>
      <c r="AY166" s="89"/>
      <c r="AZ166" s="89"/>
      <c r="BA166" s="89"/>
      <c r="BB166" s="89"/>
      <c r="BC166" s="89"/>
      <c r="BD166" s="89"/>
      <c r="BE166" s="89"/>
      <c r="BF166" s="89"/>
      <c r="BG166" s="89"/>
      <c r="BH166" s="89"/>
      <c r="BI166" s="89"/>
      <c r="BJ166" s="89"/>
      <c r="BK166" s="89"/>
      <c r="BL166" s="89"/>
      <c r="BM166" s="89"/>
      <c r="BN166" s="89"/>
      <c r="BO166" s="89"/>
      <c r="BP166" s="89"/>
    </row>
    <row r="167" spans="1:68" s="382" customFormat="1" ht="28.5" hidden="1" customHeight="1">
      <c r="A167" s="204">
        <f>+IFERROR(VALUE(MID(AB167,4,4)),"")</f>
        <v>463</v>
      </c>
      <c r="B167" s="204">
        <f>VALUE(RIGHT(C167,LEN(C167)-2))</f>
        <v>2555</v>
      </c>
      <c r="C167" s="74" t="s">
        <v>800</v>
      </c>
      <c r="D167" s="75">
        <v>45964</v>
      </c>
      <c r="E167" s="70" t="s">
        <v>51</v>
      </c>
      <c r="F167" s="70" t="s">
        <v>51</v>
      </c>
      <c r="G167" s="68" t="s">
        <v>210</v>
      </c>
      <c r="H167" s="307" t="s">
        <v>210</v>
      </c>
      <c r="I167" s="69" t="s">
        <v>801</v>
      </c>
      <c r="J167" s="69"/>
      <c r="K167" s="68" t="s">
        <v>18</v>
      </c>
      <c r="L167" s="69" t="s">
        <v>123</v>
      </c>
      <c r="M167" s="71" t="s">
        <v>141</v>
      </c>
      <c r="N167" s="69" t="e" vm="1">
        <v>#VALUE!</v>
      </c>
      <c r="O167" s="84">
        <v>45971</v>
      </c>
      <c r="P167" s="72" t="s">
        <v>274</v>
      </c>
      <c r="Q167" s="72" t="s">
        <v>220</v>
      </c>
      <c r="R167" s="162" t="s">
        <v>221</v>
      </c>
      <c r="S167" s="146"/>
      <c r="T167" s="68" t="s">
        <v>3</v>
      </c>
      <c r="U167" s="87"/>
      <c r="V167" s="80">
        <v>45986</v>
      </c>
      <c r="W167" s="73">
        <v>1153</v>
      </c>
      <c r="X167" s="73">
        <v>96.293000000000006</v>
      </c>
      <c r="Y167" s="169">
        <f>IF(SUM(W167:W167)&gt;0,X167/SUM(W167:W167)*1000000,"N/A")</f>
        <v>83515.177797051176</v>
      </c>
      <c r="Z167" s="80"/>
      <c r="AA167" s="80"/>
      <c r="AB167" s="73" t="s">
        <v>802</v>
      </c>
      <c r="AC167" s="153"/>
      <c r="AD167" s="330"/>
      <c r="AE167" s="305"/>
      <c r="AF167" s="88"/>
      <c r="AG167" s="182">
        <f>YEAR(V167)</f>
        <v>2025</v>
      </c>
      <c r="AH167" s="86" t="str">
        <f>+IF(AG167=$AH$22,MONTH(V167),"")</f>
        <v/>
      </c>
      <c r="AI167" s="86">
        <f>+IF(AG167=$AI$22,MONTH(V167),"")</f>
        <v>11</v>
      </c>
      <c r="AJ167" s="86" t="str">
        <f>+IF(AG167=$AJ$22,MONTH(V167),"")</f>
        <v/>
      </c>
      <c r="AK167" s="86" t="str">
        <f>+IF(AG167=$AK$22,MONTH(V167),"")</f>
        <v/>
      </c>
      <c r="AL167" s="86" t="str">
        <f>+IF(AG167=$AL$22,MONTH(V167),"")</f>
        <v/>
      </c>
      <c r="AM167" s="86" t="str">
        <f>+IF($AG167=$AM$22,MONTH($D167),"")</f>
        <v/>
      </c>
      <c r="AN167" s="89" t="str">
        <f>+IF($AG167=AN$22,MONTH($D167),"")</f>
        <v/>
      </c>
      <c r="AO167" s="89" t="str">
        <f>+IF($AG167=AO$22,MONTH($D167),"")</f>
        <v/>
      </c>
      <c r="AP167" s="89" t="str">
        <f>+IF($AG167=AP$22,MONTH($D167),"")</f>
        <v/>
      </c>
      <c r="AQ167" s="89" t="str">
        <f>+IF($AG167=AQ$22,MONTH($D167),"")</f>
        <v/>
      </c>
      <c r="AR167" s="89" t="str">
        <f>+IF($AG167=AR$22,MONTH($D167),"")</f>
        <v/>
      </c>
      <c r="AS167" s="89" t="str">
        <f>+IF($AG167=AS$22,MONTH($D167),"")</f>
        <v/>
      </c>
      <c r="AT167" s="89" t="str">
        <f>+IF($AG167=AT$22,MONTH($D167),"")</f>
        <v/>
      </c>
      <c r="AU167" s="89" t="str">
        <f>+IF($AG167=AU$22,MONTH($D167),"")</f>
        <v/>
      </c>
      <c r="AV167" s="89" t="str">
        <f>+IF($AG167=AV$22,MONTH($D167),"")</f>
        <v/>
      </c>
      <c r="AW167" s="86" t="str">
        <f>+IF($AG167=AW$22,MONTH($D167),"")</f>
        <v/>
      </c>
      <c r="AX167" s="86" t="str">
        <f>+IF($AG167=AX$22,MONTH($D167),"")</f>
        <v/>
      </c>
      <c r="AY167" s="89"/>
      <c r="AZ167" s="89"/>
      <c r="BA167" s="89"/>
      <c r="BB167" s="89"/>
      <c r="BC167" s="89"/>
      <c r="BD167" s="89"/>
      <c r="BE167" s="89"/>
      <c r="BF167" s="89"/>
      <c r="BG167" s="89"/>
      <c r="BH167" s="89"/>
      <c r="BI167" s="89"/>
      <c r="BJ167" s="89"/>
      <c r="BK167" s="89"/>
      <c r="BL167" s="89"/>
      <c r="BM167" s="89"/>
      <c r="BN167" s="89"/>
      <c r="BO167" s="89"/>
      <c r="BP167" s="89"/>
    </row>
    <row r="168" spans="1:68" s="382" customFormat="1" ht="28.5" hidden="1" customHeight="1">
      <c r="A168" s="204" t="str">
        <f>+IFERROR(VALUE(MID(AB168,4,4)),"")</f>
        <v/>
      </c>
      <c r="B168" s="204">
        <f>VALUE(RIGHT(C168,LEN(C168)-2))</f>
        <v>2554</v>
      </c>
      <c r="C168" s="74" t="s">
        <v>803</v>
      </c>
      <c r="D168" s="75">
        <v>45959</v>
      </c>
      <c r="E168" s="70" t="s">
        <v>262</v>
      </c>
      <c r="F168" s="70" t="s">
        <v>263</v>
      </c>
      <c r="G168" s="68" t="s">
        <v>804</v>
      </c>
      <c r="H168" s="307" t="s">
        <v>593</v>
      </c>
      <c r="I168" s="69" t="s">
        <v>411</v>
      </c>
      <c r="J168" s="69"/>
      <c r="K168" s="68" t="s">
        <v>389</v>
      </c>
      <c r="L168" s="69" t="s">
        <v>129</v>
      </c>
      <c r="M168" s="71" t="s">
        <v>141</v>
      </c>
      <c r="N168" s="69" t="e" vm="1">
        <v>#VALUE!</v>
      </c>
      <c r="O168" s="84">
        <v>45965</v>
      </c>
      <c r="P168" s="72" t="s">
        <v>412</v>
      </c>
      <c r="Q168" s="72" t="s">
        <v>389</v>
      </c>
      <c r="R168" s="162" t="s">
        <v>260</v>
      </c>
      <c r="S168" s="146"/>
      <c r="T168" s="68" t="s">
        <v>165</v>
      </c>
      <c r="U168" s="87"/>
      <c r="V168" s="80">
        <v>45966</v>
      </c>
      <c r="W168" s="73">
        <v>1523</v>
      </c>
      <c r="X168" s="73">
        <v>76.433999999999997</v>
      </c>
      <c r="Y168" s="169">
        <f>IF(SUM(W168:W168)&gt;0,X168/SUM(W168:W168)*1000000,"N/A")</f>
        <v>50186.474064346679</v>
      </c>
      <c r="Z168" s="80"/>
      <c r="AA168" s="80"/>
      <c r="AB168" s="73"/>
      <c r="AC168" s="153"/>
      <c r="AD168" s="330"/>
      <c r="AE168" s="305"/>
      <c r="AF168" s="88"/>
      <c r="AG168" s="182">
        <f>YEAR(V168)</f>
        <v>2025</v>
      </c>
      <c r="AH168" s="86" t="str">
        <f>+IF(AG168=$AH$22,MONTH(V168),"")</f>
        <v/>
      </c>
      <c r="AI168" s="86">
        <f>+IF(AG168=$AI$22,MONTH(V168),"")</f>
        <v>11</v>
      </c>
      <c r="AJ168" s="86" t="str">
        <f>+IF(AG168=$AJ$22,MONTH(V168),"")</f>
        <v/>
      </c>
      <c r="AK168" s="86" t="str">
        <f>+IF(AG168=$AK$22,MONTH(V168),"")</f>
        <v/>
      </c>
      <c r="AL168" s="86" t="str">
        <f>+IF(AG168=$AL$22,MONTH(V168),"")</f>
        <v/>
      </c>
      <c r="AM168" s="86" t="str">
        <f>+IF($AG168=$AM$22,MONTH($D168),"")</f>
        <v/>
      </c>
      <c r="AN168" s="89" t="str">
        <f>+IF($AG168=AN$22,MONTH($D168),"")</f>
        <v/>
      </c>
      <c r="AO168" s="89" t="str">
        <f>+IF($AG168=AO$22,MONTH($D168),"")</f>
        <v/>
      </c>
      <c r="AP168" s="89" t="str">
        <f>+IF($AG168=AP$22,MONTH($D168),"")</f>
        <v/>
      </c>
      <c r="AQ168" s="89" t="str">
        <f>+IF($AG168=AQ$22,MONTH($D168),"")</f>
        <v/>
      </c>
      <c r="AR168" s="89" t="str">
        <f>+IF($AG168=AR$22,MONTH($D168),"")</f>
        <v/>
      </c>
      <c r="AS168" s="89" t="str">
        <f>+IF($AG168=AS$22,MONTH($D168),"")</f>
        <v/>
      </c>
      <c r="AT168" s="89" t="str">
        <f>+IF($AG168=AT$22,MONTH($D168),"")</f>
        <v/>
      </c>
      <c r="AU168" s="89" t="str">
        <f>+IF($AG168=AU$22,MONTH($D168),"")</f>
        <v/>
      </c>
      <c r="AV168" s="89" t="str">
        <f>+IF($AG168=AV$22,MONTH($D168),"")</f>
        <v/>
      </c>
      <c r="AW168" s="86" t="str">
        <f>+IF($AG168=AW$22,MONTH($D168),"")</f>
        <v/>
      </c>
      <c r="AX168" s="86" t="str">
        <f>+IF($AG168=AX$22,MONTH($D168),"")</f>
        <v/>
      </c>
      <c r="AY168" s="89"/>
      <c r="AZ168" s="89"/>
      <c r="BA168" s="89"/>
      <c r="BB168" s="89"/>
      <c r="BC168" s="89"/>
      <c r="BD168" s="89"/>
      <c r="BE168" s="89"/>
      <c r="BF168" s="89"/>
      <c r="BG168" s="89"/>
      <c r="BH168" s="89"/>
      <c r="BI168" s="89"/>
      <c r="BJ168" s="89"/>
      <c r="BK168" s="89"/>
      <c r="BL168" s="89"/>
      <c r="BM168" s="89"/>
      <c r="BN168" s="89"/>
      <c r="BO168" s="89"/>
      <c r="BP168" s="89"/>
    </row>
    <row r="169" spans="1:68" s="89" customFormat="1" ht="45.75" hidden="1" customHeight="1">
      <c r="A169" s="204" t="str">
        <f>+IFERROR(VALUE(MID(AB169,4,4)),"")</f>
        <v/>
      </c>
      <c r="B169" s="204">
        <f>VALUE(RIGHT(C169,LEN(C169)-2))</f>
        <v>2553</v>
      </c>
      <c r="C169" s="74" t="s">
        <v>805</v>
      </c>
      <c r="D169" s="75">
        <v>45953</v>
      </c>
      <c r="E169" s="70" t="s">
        <v>806</v>
      </c>
      <c r="F169" s="70" t="s">
        <v>806</v>
      </c>
      <c r="G169" s="68" t="s">
        <v>807</v>
      </c>
      <c r="H169" s="282" t="s">
        <v>808</v>
      </c>
      <c r="I169" s="162" t="s">
        <v>809</v>
      </c>
      <c r="J169" s="162"/>
      <c r="K169" s="68" t="s">
        <v>24</v>
      </c>
      <c r="L169" s="69" t="s">
        <v>120</v>
      </c>
      <c r="M169" s="71" t="s">
        <v>141</v>
      </c>
      <c r="N169" s="69" t="e" vm="1">
        <v>#VALUE!</v>
      </c>
      <c r="O169" s="164">
        <v>45981</v>
      </c>
      <c r="P169" s="72" t="s">
        <v>239</v>
      </c>
      <c r="Q169" s="72" t="s">
        <v>240</v>
      </c>
      <c r="R169" s="162" t="s">
        <v>230</v>
      </c>
      <c r="S169" s="146"/>
      <c r="T169" s="68" t="s">
        <v>155</v>
      </c>
      <c r="U169" s="87">
        <v>0</v>
      </c>
      <c r="V169" s="183">
        <v>46031</v>
      </c>
      <c r="W169" s="73"/>
      <c r="X169" s="383"/>
      <c r="Y169" s="83" t="str">
        <f>IF(SUM(W169:W169)&gt;0,X169/SUM(W169:W169)*1000000,"N/A")</f>
        <v>N/A</v>
      </c>
      <c r="Z169" s="183"/>
      <c r="AA169" s="183"/>
      <c r="AB169" s="73"/>
      <c r="AC169" s="153"/>
      <c r="AD169" s="331"/>
      <c r="AE169" s="57"/>
      <c r="AF169" s="88"/>
      <c r="AG169" s="182">
        <f>YEAR(V169)</f>
        <v>2026</v>
      </c>
      <c r="AH169" s="86">
        <f>+IF(AG169=$AH$22,MONTH(V169),"")</f>
        <v>1</v>
      </c>
      <c r="AI169" s="86" t="str">
        <f>+IF(AG169=$AI$22,MONTH(V169),"")</f>
        <v/>
      </c>
      <c r="AJ169" s="86" t="str">
        <f>+IF(AG169=$AJ$22,MONTH(V169),"")</f>
        <v/>
      </c>
      <c r="AK169" s="86" t="str">
        <f>+IF(AG169=$AK$22,MONTH(V169),"")</f>
        <v/>
      </c>
      <c r="AL169" s="86"/>
      <c r="AW169" s="86" t="str">
        <f>+IF($AG169=AW$22,MONTH($D169),"")</f>
        <v/>
      </c>
      <c r="AX169" s="86" t="str">
        <f>+IF($AG169=AX$22,MONTH($D169),"")</f>
        <v/>
      </c>
    </row>
    <row r="170" spans="1:68" s="56" customFormat="1" ht="26.25" hidden="1" customHeight="1">
      <c r="A170" s="204" t="str">
        <f>+IFERROR(VALUE(MID(AB170,4,4)),"")</f>
        <v/>
      </c>
      <c r="B170" s="204">
        <f>VALUE(RIGHT(C170,LEN(C170)-2))</f>
        <v>2552</v>
      </c>
      <c r="C170" s="74" t="s">
        <v>810</v>
      </c>
      <c r="D170" s="75">
        <v>45953</v>
      </c>
      <c r="E170" s="70" t="s">
        <v>479</v>
      </c>
      <c r="F170" s="70" t="s">
        <v>479</v>
      </c>
      <c r="G170" s="68" t="s">
        <v>811</v>
      </c>
      <c r="H170" s="307" t="s">
        <v>812</v>
      </c>
      <c r="I170" s="162" t="s">
        <v>813</v>
      </c>
      <c r="J170" s="162"/>
      <c r="K170" s="68" t="s">
        <v>27</v>
      </c>
      <c r="L170" s="69" t="s">
        <v>129</v>
      </c>
      <c r="M170" s="71" t="s">
        <v>113</v>
      </c>
      <c r="N170" s="69" t="e" vm="2">
        <v>#VALUE!</v>
      </c>
      <c r="O170" s="84">
        <v>45960</v>
      </c>
      <c r="P170" s="82" t="s">
        <v>483</v>
      </c>
      <c r="Q170" s="72" t="s">
        <v>623</v>
      </c>
      <c r="R170" s="162" t="s">
        <v>221</v>
      </c>
      <c r="S170" s="146"/>
      <c r="T170" s="68" t="s">
        <v>158</v>
      </c>
      <c r="U170" s="87">
        <v>0.01</v>
      </c>
      <c r="V170" s="183">
        <v>45967</v>
      </c>
      <c r="W170" s="73">
        <v>13017</v>
      </c>
      <c r="X170" s="73">
        <v>428.35300000000001</v>
      </c>
      <c r="Y170" s="83">
        <f>IF(SUM(W170:W170)&gt;0,X170/SUM(W170:W170)*1000000,"N/A")</f>
        <v>32907.19827917339</v>
      </c>
      <c r="Z170" s="183"/>
      <c r="AA170" s="183"/>
      <c r="AB170" s="73"/>
      <c r="AC170" s="153"/>
      <c r="AD170" s="330"/>
      <c r="AE170" s="305"/>
      <c r="AF170" s="88"/>
      <c r="AG170" s="182">
        <f>YEAR(V170)</f>
        <v>2025</v>
      </c>
      <c r="AH170" s="86" t="str">
        <f>+IF(AG170=$AH$22,MONTH(V170),"")</f>
        <v/>
      </c>
      <c r="AI170" s="86">
        <f>+IF(AG170=$AI$22,MONTH(V170),"")</f>
        <v>11</v>
      </c>
      <c r="AJ170" s="86" t="str">
        <f>+IF(AG170=$AJ$22,MONTH(V170),"")</f>
        <v/>
      </c>
      <c r="AK170" s="86" t="str">
        <f>+IF(AG170=$AK$22,MONTH(V170),"")</f>
        <v/>
      </c>
      <c r="AL170" s="86"/>
      <c r="AM170" s="89"/>
      <c r="AN170" s="89"/>
      <c r="AO170" s="89"/>
      <c r="AP170" s="89"/>
      <c r="AQ170" s="89"/>
      <c r="AR170" s="89"/>
      <c r="AS170" s="89"/>
      <c r="AT170" s="89"/>
      <c r="AU170" s="89"/>
      <c r="AV170" s="89"/>
      <c r="AW170" s="86" t="str">
        <f>+IF($AG170=AW$22,MONTH($D170),"")</f>
        <v/>
      </c>
      <c r="AX170" s="86" t="str">
        <f>+IF($AG170=AX$22,MONTH($D170),"")</f>
        <v/>
      </c>
      <c r="AY170" s="89"/>
      <c r="AZ170" s="89"/>
      <c r="BA170" s="89"/>
      <c r="BB170" s="89"/>
      <c r="BC170" s="89"/>
      <c r="BD170" s="89"/>
      <c r="BE170" s="89"/>
      <c r="BF170" s="89"/>
      <c r="BG170" s="89"/>
      <c r="BH170" s="89"/>
      <c r="BI170" s="89"/>
      <c r="BJ170" s="89"/>
      <c r="BK170" s="89"/>
      <c r="BL170" s="89"/>
      <c r="BM170" s="89"/>
      <c r="BN170" s="89"/>
      <c r="BO170" s="89"/>
      <c r="BP170" s="89"/>
    </row>
    <row r="171" spans="1:68" s="385" customFormat="1" ht="45.75" hidden="1" customHeight="1">
      <c r="A171" s="204" t="str">
        <f>+IFERROR(VALUE(MID(AB171,4,4)),"")</f>
        <v/>
      </c>
      <c r="B171" s="204">
        <f>VALUE(RIGHT(C171,LEN(C171)-2))</f>
        <v>2551</v>
      </c>
      <c r="C171" s="74" t="s">
        <v>814</v>
      </c>
      <c r="D171" s="75">
        <v>45953</v>
      </c>
      <c r="E171" s="70" t="s">
        <v>479</v>
      </c>
      <c r="F171" s="70" t="s">
        <v>479</v>
      </c>
      <c r="G171" s="68" t="s">
        <v>815</v>
      </c>
      <c r="H171" s="307" t="s">
        <v>816</v>
      </c>
      <c r="I171" s="162" t="s">
        <v>817</v>
      </c>
      <c r="J171" s="162"/>
      <c r="K171" s="68" t="s">
        <v>13</v>
      </c>
      <c r="L171" s="69" t="s">
        <v>129</v>
      </c>
      <c r="M171" s="71" t="s">
        <v>113</v>
      </c>
      <c r="N171" s="69" t="e" vm="2">
        <v>#VALUE!</v>
      </c>
      <c r="O171" s="84">
        <v>45959</v>
      </c>
      <c r="P171" s="82" t="s">
        <v>818</v>
      </c>
      <c r="Q171" s="72" t="s">
        <v>623</v>
      </c>
      <c r="R171" s="162" t="s">
        <v>221</v>
      </c>
      <c r="S171" s="146"/>
      <c r="T171" s="68" t="s">
        <v>158</v>
      </c>
      <c r="U171" s="87">
        <v>0.01</v>
      </c>
      <c r="V171" s="183">
        <v>45967</v>
      </c>
      <c r="W171" s="226">
        <v>6623</v>
      </c>
      <c r="X171" s="226">
        <v>226.89599999999999</v>
      </c>
      <c r="Y171" s="83">
        <f>IF(SUM(W171:W171)&gt;0,X171/SUM(W171:W171)*1000000,"N/A")</f>
        <v>34258.795107957114</v>
      </c>
      <c r="Z171" s="183"/>
      <c r="AA171" s="183"/>
      <c r="AB171" s="73"/>
      <c r="AC171" s="153"/>
      <c r="AD171" s="330"/>
      <c r="AE171" s="305"/>
      <c r="AF171" s="88"/>
      <c r="AG171" s="182">
        <f>YEAR(V171)</f>
        <v>2025</v>
      </c>
      <c r="AH171" s="86" t="str">
        <f>+IF(AG171=$AH$22,MONTH(V171),"")</f>
        <v/>
      </c>
      <c r="AI171" s="86">
        <f>+IF(AG171=$AI$22,MONTH(V171),"")</f>
        <v>11</v>
      </c>
      <c r="AJ171" s="86" t="str">
        <f>+IF(AG171=$AJ$22,MONTH(V171),"")</f>
        <v/>
      </c>
      <c r="AK171" s="86" t="str">
        <f>+IF(AG171=$AK$22,MONTH(V171),"")</f>
        <v/>
      </c>
      <c r="AL171" s="86"/>
      <c r="AM171" s="89"/>
      <c r="AN171" s="89"/>
      <c r="AO171" s="89"/>
      <c r="AP171" s="89"/>
      <c r="AQ171" s="89"/>
      <c r="AR171" s="89"/>
      <c r="AS171" s="89"/>
      <c r="AT171" s="89"/>
      <c r="AU171" s="89"/>
      <c r="AV171" s="89"/>
      <c r="AW171" s="86" t="str">
        <f>+IF($AG171=AW$22,MONTH($D171),"")</f>
        <v/>
      </c>
      <c r="AX171" s="86" t="str">
        <f>+IF($AG171=AX$22,MONTH($D171),"")</f>
        <v/>
      </c>
      <c r="AY171" s="89"/>
      <c r="AZ171" s="89"/>
      <c r="BA171" s="89"/>
      <c r="BB171" s="89"/>
      <c r="BC171" s="89"/>
      <c r="BD171" s="89"/>
      <c r="BE171" s="89"/>
      <c r="BF171" s="89"/>
      <c r="BG171" s="89"/>
      <c r="BH171" s="89"/>
      <c r="BI171" s="89"/>
      <c r="BJ171" s="89"/>
      <c r="BK171" s="89"/>
      <c r="BL171" s="89"/>
      <c r="BM171" s="89"/>
      <c r="BN171" s="89"/>
      <c r="BO171" s="89"/>
      <c r="BP171" s="89"/>
    </row>
    <row r="172" spans="1:68" s="385" customFormat="1" ht="45.75" hidden="1" customHeight="1">
      <c r="A172" s="204" t="str">
        <f>+IFERROR(VALUE(MID(AB172,4,4)),"")</f>
        <v/>
      </c>
      <c r="B172" s="204">
        <f>VALUE(RIGHT(C172,LEN(C172)-2))</f>
        <v>2550</v>
      </c>
      <c r="C172" s="74" t="s">
        <v>819</v>
      </c>
      <c r="D172" s="75">
        <v>45952</v>
      </c>
      <c r="E172" s="70" t="s">
        <v>332</v>
      </c>
      <c r="F172" s="70" t="s">
        <v>332</v>
      </c>
      <c r="G172" s="68" t="s">
        <v>820</v>
      </c>
      <c r="H172" s="282" t="s">
        <v>821</v>
      </c>
      <c r="I172" s="69" t="s">
        <v>822</v>
      </c>
      <c r="J172" s="69"/>
      <c r="K172" s="68" t="s">
        <v>13</v>
      </c>
      <c r="L172" s="69" t="s">
        <v>129</v>
      </c>
      <c r="M172" s="71" t="s">
        <v>141</v>
      </c>
      <c r="N172" s="69" t="e" vm="1">
        <v>#VALUE!</v>
      </c>
      <c r="O172" s="84">
        <v>45973</v>
      </c>
      <c r="P172" s="72" t="s">
        <v>701</v>
      </c>
      <c r="Q172" s="72" t="s">
        <v>316</v>
      </c>
      <c r="R172" s="162" t="s">
        <v>378</v>
      </c>
      <c r="S172" s="146"/>
      <c r="T172" s="68" t="s">
        <v>155</v>
      </c>
      <c r="U172" s="87"/>
      <c r="V172" s="80">
        <v>45952</v>
      </c>
      <c r="W172" s="73"/>
      <c r="X172" s="73"/>
      <c r="Y172" s="83" t="str">
        <f>IF(SUM(W172:W172)&gt;0,X172/SUM(W172:W172)*1000000,"N/A")</f>
        <v>N/A</v>
      </c>
      <c r="Z172" s="80"/>
      <c r="AA172" s="80"/>
      <c r="AB172" s="73"/>
      <c r="AC172" s="153"/>
      <c r="AD172" s="331"/>
      <c r="AE172" s="57"/>
      <c r="AF172" s="88"/>
      <c r="AG172" s="182">
        <f>YEAR(V172)</f>
        <v>2025</v>
      </c>
      <c r="AH172" s="86" t="str">
        <f>+IF(AG172=$AH$22,MONTH(V172),"")</f>
        <v/>
      </c>
      <c r="AI172" s="86">
        <f>+IF(AG172=$AI$22,MONTH(V172),"")</f>
        <v>10</v>
      </c>
      <c r="AJ172" s="86" t="str">
        <f>+IF(AG172=$AJ$22,MONTH(V172),"")</f>
        <v/>
      </c>
      <c r="AK172" s="86" t="str">
        <f>+IF(AG172=$AK$22,MONTH(V172),"")</f>
        <v/>
      </c>
      <c r="AL172" s="86" t="str">
        <f>+IF(AG172=$AL$22,MONTH(V172),"")</f>
        <v/>
      </c>
      <c r="AM172" s="86" t="str">
        <f>+IF($AG172=$AM$22,MONTH($D172),"")</f>
        <v/>
      </c>
      <c r="AN172" s="89" t="str">
        <f>+IF($AG172=AN$22,MONTH($D172),"")</f>
        <v/>
      </c>
      <c r="AO172" s="89" t="str">
        <f>+IF($AG172=AO$22,MONTH($D172),"")</f>
        <v/>
      </c>
      <c r="AP172" s="89" t="str">
        <f>+IF($AG172=AP$22,MONTH($D172),"")</f>
        <v/>
      </c>
      <c r="AQ172" s="89" t="str">
        <f>+IF($AG172=AQ$22,MONTH($D172),"")</f>
        <v/>
      </c>
      <c r="AR172" s="89" t="str">
        <f>+IF($AG172=AR$22,MONTH($D172),"")</f>
        <v/>
      </c>
      <c r="AS172" s="89" t="str">
        <f>+IF($AG172=AS$22,MONTH($D172),"")</f>
        <v/>
      </c>
      <c r="AT172" s="89" t="str">
        <f>+IF($AG172=AT$22,MONTH($D172),"")</f>
        <v/>
      </c>
      <c r="AU172" s="89" t="str">
        <f>+IF($AG172=AU$22,MONTH($D172),"")</f>
        <v/>
      </c>
      <c r="AV172" s="89" t="str">
        <f>+IF($AG172=AV$22,MONTH($D172),"")</f>
        <v/>
      </c>
      <c r="AW172" s="86" t="str">
        <f>+IF($AG172=AW$22,MONTH($D172),"")</f>
        <v/>
      </c>
      <c r="AX172" s="86" t="str">
        <f>+IF($AG172=AX$22,MONTH($D172),"")</f>
        <v/>
      </c>
      <c r="AY172" s="89"/>
      <c r="AZ172" s="89"/>
      <c r="BA172" s="89"/>
      <c r="BB172" s="89"/>
      <c r="BC172" s="89"/>
      <c r="BD172" s="89"/>
      <c r="BE172" s="89"/>
      <c r="BF172" s="89"/>
      <c r="BG172" s="89"/>
      <c r="BH172" s="89"/>
      <c r="BI172" s="89"/>
      <c r="BJ172" s="89"/>
      <c r="BK172" s="89"/>
      <c r="BL172" s="89"/>
      <c r="BM172" s="89"/>
      <c r="BN172" s="89"/>
      <c r="BO172" s="89"/>
      <c r="BP172" s="89"/>
    </row>
    <row r="173" spans="1:68" s="56" customFormat="1" ht="46.5" hidden="1" customHeight="1">
      <c r="A173" s="204">
        <f>+IFERROR(VALUE(MID(AB173,4,4)),"")</f>
        <v>399</v>
      </c>
      <c r="B173" s="204">
        <f>VALUE(RIGHT(C173,LEN(C173)-2))</f>
        <v>2549</v>
      </c>
      <c r="C173" s="74" t="s">
        <v>823</v>
      </c>
      <c r="D173" s="75">
        <v>45952</v>
      </c>
      <c r="E173" s="70" t="s">
        <v>473</v>
      </c>
      <c r="F173" s="70" t="s">
        <v>473</v>
      </c>
      <c r="G173" s="68" t="s">
        <v>824</v>
      </c>
      <c r="H173" s="307" t="s">
        <v>825</v>
      </c>
      <c r="I173" s="69" t="s">
        <v>826</v>
      </c>
      <c r="J173" s="69"/>
      <c r="K173" s="68" t="s">
        <v>491</v>
      </c>
      <c r="L173" s="69" t="s">
        <v>129</v>
      </c>
      <c r="M173" s="71" t="s">
        <v>141</v>
      </c>
      <c r="N173" s="69" t="e" vm="1">
        <v>#VALUE!</v>
      </c>
      <c r="O173" s="164">
        <v>45965</v>
      </c>
      <c r="P173" s="72" t="s">
        <v>451</v>
      </c>
      <c r="Q173" s="72" t="s">
        <v>316</v>
      </c>
      <c r="R173" s="162" t="s">
        <v>378</v>
      </c>
      <c r="S173" s="146"/>
      <c r="T173" s="68" t="s">
        <v>165</v>
      </c>
      <c r="U173" s="87"/>
      <c r="V173" s="183">
        <v>46049</v>
      </c>
      <c r="W173" s="73">
        <v>4704</v>
      </c>
      <c r="X173" s="73">
        <v>200.08600000000001</v>
      </c>
      <c r="Y173" s="83">
        <f>IF(SUM(W173:W173)&gt;0,X173/SUM(W173:W173)*1000000,"N/A")</f>
        <v>42535.289115646257</v>
      </c>
      <c r="Z173" s="183"/>
      <c r="AA173" s="183"/>
      <c r="AB173" s="73" t="s">
        <v>827</v>
      </c>
      <c r="AC173" s="153"/>
      <c r="AD173" s="330"/>
      <c r="AE173" s="305"/>
      <c r="AF173" s="88"/>
      <c r="AG173" s="182">
        <f>YEAR(V173)</f>
        <v>2026</v>
      </c>
      <c r="AH173" s="86">
        <f>+IF(AG173=$AH$22,MONTH(V173),"")</f>
        <v>1</v>
      </c>
      <c r="AI173" s="86" t="str">
        <f>+IF(AG173=$AI$22,MONTH(V173),"")</f>
        <v/>
      </c>
      <c r="AJ173" s="86" t="str">
        <f>+IF(AG173=$AJ$22,MONTH(V173),"")</f>
        <v/>
      </c>
      <c r="AK173" s="86" t="str">
        <f>+IF(AG173=$AK$22,MONTH(V173),"")</f>
        <v/>
      </c>
      <c r="AL173" s="86"/>
      <c r="AM173" s="89"/>
      <c r="AN173" s="89"/>
      <c r="AO173" s="89"/>
      <c r="AP173" s="89"/>
      <c r="AQ173" s="89"/>
      <c r="AR173" s="89"/>
      <c r="AS173" s="89"/>
      <c r="AT173" s="89"/>
      <c r="AU173" s="89"/>
      <c r="AV173" s="89"/>
      <c r="AW173" s="86" t="str">
        <f>+IF($AG173=AW$22,MONTH($D173),"")</f>
        <v/>
      </c>
      <c r="AX173" s="86" t="str">
        <f>+IF($AG173=AX$22,MONTH($D173),"")</f>
        <v/>
      </c>
      <c r="AY173" s="89"/>
      <c r="AZ173" s="89"/>
      <c r="BA173" s="89"/>
      <c r="BB173" s="89"/>
      <c r="BC173" s="89"/>
      <c r="BD173" s="89"/>
      <c r="BE173" s="89"/>
      <c r="BF173" s="89"/>
      <c r="BG173" s="89"/>
      <c r="BH173" s="89"/>
      <c r="BI173" s="89"/>
      <c r="BJ173" s="89"/>
      <c r="BK173" s="89"/>
      <c r="BL173" s="89"/>
      <c r="BM173" s="89"/>
      <c r="BN173" s="89"/>
      <c r="BO173" s="89"/>
      <c r="BP173" s="89"/>
    </row>
    <row r="174" spans="1:68" s="382" customFormat="1" ht="51" hidden="1" customHeight="1">
      <c r="A174" s="204" t="str">
        <f>+IFERROR(VALUE(MID(AB174,4,4)),"")</f>
        <v/>
      </c>
      <c r="B174" s="204">
        <f>VALUE(RIGHT(C174,LEN(C174)-2))</f>
        <v>2548</v>
      </c>
      <c r="C174" s="74" t="s">
        <v>828</v>
      </c>
      <c r="D174" s="75">
        <v>45952</v>
      </c>
      <c r="E174" s="70" t="s">
        <v>53</v>
      </c>
      <c r="F174" s="70" t="s">
        <v>642</v>
      </c>
      <c r="G174" s="68" t="s">
        <v>210</v>
      </c>
      <c r="H174" s="379" t="s">
        <v>210</v>
      </c>
      <c r="I174" s="69" t="s">
        <v>829</v>
      </c>
      <c r="J174" s="69"/>
      <c r="K174" s="68" t="s">
        <v>13</v>
      </c>
      <c r="L174" s="69" t="s">
        <v>123</v>
      </c>
      <c r="M174" s="71" t="s">
        <v>141</v>
      </c>
      <c r="N174" s="69" t="e" vm="1">
        <v>#VALUE!</v>
      </c>
      <c r="O174" s="84">
        <v>46001</v>
      </c>
      <c r="P174" s="72" t="s">
        <v>213</v>
      </c>
      <c r="Q174" s="72" t="s">
        <v>316</v>
      </c>
      <c r="R174" s="162" t="s">
        <v>378</v>
      </c>
      <c r="S174" s="146"/>
      <c r="T174" s="68" t="s">
        <v>155</v>
      </c>
      <c r="U174" s="87"/>
      <c r="V174" s="80">
        <v>45952</v>
      </c>
      <c r="W174" s="73"/>
      <c r="X174" s="73"/>
      <c r="Y174" s="169" t="str">
        <f>IF(SUM(W174:W174)&gt;0,X174/SUM(W174:W174)*1000000,"N/A")</f>
        <v>N/A</v>
      </c>
      <c r="Z174" s="80"/>
      <c r="AA174" s="80"/>
      <c r="AB174" s="73"/>
      <c r="AC174" s="153"/>
      <c r="AD174" s="330"/>
      <c r="AE174" s="305"/>
      <c r="AF174" s="88"/>
      <c r="AG174" s="182">
        <f>YEAR(V174)</f>
        <v>2025</v>
      </c>
      <c r="AH174" s="86" t="str">
        <f>+IF(AG174=$AH$22,MONTH(V174),"")</f>
        <v/>
      </c>
      <c r="AI174" s="86">
        <f>+IF(AG174=$AI$22,MONTH(V174),"")</f>
        <v>10</v>
      </c>
      <c r="AJ174" s="86" t="str">
        <f>+IF(AG174=$AJ$22,MONTH(V174),"")</f>
        <v/>
      </c>
      <c r="AK174" s="86" t="str">
        <f>+IF(AG174=$AK$22,MONTH(V174),"")</f>
        <v/>
      </c>
      <c r="AL174" s="86" t="str">
        <f>+IF(AG174=$AL$22,MONTH(V174),"")</f>
        <v/>
      </c>
      <c r="AM174" s="86" t="str">
        <f>+IF($AG174=$AM$22,MONTH($D174),"")</f>
        <v/>
      </c>
      <c r="AN174" s="89" t="str">
        <f>+IF($AG174=AN$22,MONTH($D174),"")</f>
        <v/>
      </c>
      <c r="AO174" s="89" t="str">
        <f>+IF($AG174=AO$22,MONTH($D174),"")</f>
        <v/>
      </c>
      <c r="AP174" s="89" t="str">
        <f>+IF($AG174=AP$22,MONTH($D174),"")</f>
        <v/>
      </c>
      <c r="AQ174" s="89" t="str">
        <f>+IF($AG174=AQ$22,MONTH($D174),"")</f>
        <v/>
      </c>
      <c r="AR174" s="89" t="str">
        <f>+IF($AG174=AR$22,MONTH($D174),"")</f>
        <v/>
      </c>
      <c r="AS174" s="89" t="str">
        <f>+IF($AG174=AS$22,MONTH($D174),"")</f>
        <v/>
      </c>
      <c r="AT174" s="89" t="str">
        <f>+IF($AG174=AT$22,MONTH($D174),"")</f>
        <v/>
      </c>
      <c r="AU174" s="89" t="str">
        <f>+IF($AG174=AU$22,MONTH($D174),"")</f>
        <v/>
      </c>
      <c r="AV174" s="89" t="str">
        <f>+IF($AG174=AV$22,MONTH($D174),"")</f>
        <v/>
      </c>
      <c r="AW174" s="86" t="str">
        <f>+IF($AG174=AW$22,MONTH($D174),"")</f>
        <v/>
      </c>
      <c r="AX174" s="86" t="str">
        <f>+IF($AG174=AX$22,MONTH($D174),"")</f>
        <v/>
      </c>
      <c r="AY174" s="89"/>
      <c r="AZ174" s="89"/>
      <c r="BA174" s="89"/>
      <c r="BB174" s="89"/>
      <c r="BC174" s="89"/>
      <c r="BD174" s="89"/>
      <c r="BE174" s="89"/>
      <c r="BF174" s="89"/>
      <c r="BG174" s="89"/>
      <c r="BH174" s="89"/>
      <c r="BI174" s="89"/>
      <c r="BJ174" s="89"/>
      <c r="BK174" s="89"/>
      <c r="BL174" s="89"/>
      <c r="BM174" s="89"/>
      <c r="BN174" s="89"/>
      <c r="BO174" s="89"/>
      <c r="BP174" s="89"/>
    </row>
    <row r="175" spans="1:68" s="382" customFormat="1" ht="45.75" hidden="1" customHeight="1">
      <c r="A175" s="204">
        <f>+IFERROR(VALUE(MID(AB175,4,4)),"")</f>
        <v>271</v>
      </c>
      <c r="B175" s="204">
        <f>VALUE(RIGHT(C175,LEN(C175)-2))</f>
        <v>2547</v>
      </c>
      <c r="C175" s="74" t="s">
        <v>830</v>
      </c>
      <c r="D175" s="75">
        <v>45951</v>
      </c>
      <c r="E175" s="70" t="s">
        <v>277</v>
      </c>
      <c r="F175" s="70" t="s">
        <v>277</v>
      </c>
      <c r="G175" s="68" t="s">
        <v>278</v>
      </c>
      <c r="H175" s="379" t="s">
        <v>279</v>
      </c>
      <c r="I175" s="69" t="s">
        <v>831</v>
      </c>
      <c r="J175" s="69"/>
      <c r="K175" s="68" t="s">
        <v>9</v>
      </c>
      <c r="L175" s="69" t="s">
        <v>129</v>
      </c>
      <c r="M175" s="71" t="s">
        <v>141</v>
      </c>
      <c r="N175" s="69" t="e" vm="1">
        <v>#VALUE!</v>
      </c>
      <c r="O175" s="84">
        <v>45951</v>
      </c>
      <c r="P175" s="82" t="s">
        <v>281</v>
      </c>
      <c r="Q175" s="72" t="s">
        <v>623</v>
      </c>
      <c r="R175" s="162" t="s">
        <v>221</v>
      </c>
      <c r="S175" s="146"/>
      <c r="T175" s="68" t="s">
        <v>3</v>
      </c>
      <c r="U175" s="87"/>
      <c r="V175" s="80">
        <v>45951</v>
      </c>
      <c r="W175" s="73">
        <v>60</v>
      </c>
      <c r="X175" s="73">
        <v>3.0640000000000001</v>
      </c>
      <c r="Y175" s="169">
        <f>IF(SUM(W175:W175)&gt;0,X175/SUM(W175:W175)*1000000,"N/A")</f>
        <v>51066.666666666672</v>
      </c>
      <c r="Z175" s="80"/>
      <c r="AA175" s="80"/>
      <c r="AB175" s="73" t="s">
        <v>832</v>
      </c>
      <c r="AC175" s="153"/>
      <c r="AD175" s="330"/>
      <c r="AE175" s="305"/>
      <c r="AF175" s="88"/>
      <c r="AG175" s="182">
        <f>YEAR(V175)</f>
        <v>2025</v>
      </c>
      <c r="AH175" s="86" t="str">
        <f>+IF(AG175=$AH$22,MONTH(V175),"")</f>
        <v/>
      </c>
      <c r="AI175" s="86">
        <f>+IF(AG175=$AI$22,MONTH(V175),"")</f>
        <v>10</v>
      </c>
      <c r="AJ175" s="86" t="str">
        <f>+IF(AG175=$AJ$22,MONTH(V175),"")</f>
        <v/>
      </c>
      <c r="AK175" s="86" t="str">
        <f>+IF(AG175=$AK$22,MONTH(V175),"")</f>
        <v/>
      </c>
      <c r="AL175" s="86" t="str">
        <f>+IF(AG175=$AL$22,MONTH(V175),"")</f>
        <v/>
      </c>
      <c r="AM175" s="86" t="str">
        <f>+IF($AG175=$AM$22,MONTH($D175),"")</f>
        <v/>
      </c>
      <c r="AN175" s="89" t="str">
        <f>+IF($AG175=AN$22,MONTH($D175),"")</f>
        <v/>
      </c>
      <c r="AO175" s="89" t="str">
        <f>+IF($AG175=AO$22,MONTH($D175),"")</f>
        <v/>
      </c>
      <c r="AP175" s="89" t="str">
        <f>+IF($AG175=AP$22,MONTH($D175),"")</f>
        <v/>
      </c>
      <c r="AQ175" s="89" t="str">
        <f>+IF($AG175=AQ$22,MONTH($D175),"")</f>
        <v/>
      </c>
      <c r="AR175" s="89" t="str">
        <f>+IF($AG175=AR$22,MONTH($D175),"")</f>
        <v/>
      </c>
      <c r="AS175" s="89" t="str">
        <f>+IF($AG175=AS$22,MONTH($D175),"")</f>
        <v/>
      </c>
      <c r="AT175" s="89" t="str">
        <f>+IF($AG175=AT$22,MONTH($D175),"")</f>
        <v/>
      </c>
      <c r="AU175" s="89" t="str">
        <f>+IF($AG175=AU$22,MONTH($D175),"")</f>
        <v/>
      </c>
      <c r="AV175" s="89" t="str">
        <f>+IF($AG175=AV$22,MONTH($D175),"")</f>
        <v/>
      </c>
      <c r="AW175" s="86" t="str">
        <f>+IF($AG175=AW$22,MONTH($D175),"")</f>
        <v/>
      </c>
      <c r="AX175" s="86" t="str">
        <f>+IF($AG175=AX$22,MONTH($D175),"")</f>
        <v/>
      </c>
      <c r="AY175" s="89"/>
      <c r="AZ175" s="89"/>
      <c r="BA175" s="89"/>
      <c r="BB175" s="89"/>
      <c r="BC175" s="89"/>
      <c r="BD175" s="89"/>
      <c r="BE175" s="89"/>
      <c r="BF175" s="89"/>
      <c r="BG175" s="89"/>
      <c r="BH175" s="89"/>
      <c r="BI175" s="89"/>
      <c r="BJ175" s="89"/>
      <c r="BK175" s="89"/>
      <c r="BL175" s="89"/>
      <c r="BM175" s="89"/>
      <c r="BN175" s="89"/>
      <c r="BO175" s="89"/>
      <c r="BP175" s="89"/>
    </row>
    <row r="176" spans="1:68" s="382" customFormat="1" ht="45.75" hidden="1" customHeight="1">
      <c r="A176" s="204" t="str">
        <f>+IFERROR(VALUE(MID(AB176,4,4)),"")</f>
        <v/>
      </c>
      <c r="B176" s="204">
        <f>VALUE(RIGHT(C176,LEN(C176)-2))</f>
        <v>2546</v>
      </c>
      <c r="C176" s="74" t="s">
        <v>833</v>
      </c>
      <c r="D176" s="75">
        <v>45950</v>
      </c>
      <c r="E176" s="70" t="s">
        <v>479</v>
      </c>
      <c r="F176" s="70" t="s">
        <v>479</v>
      </c>
      <c r="G176" s="68" t="s">
        <v>638</v>
      </c>
      <c r="H176" s="307" t="s">
        <v>237</v>
      </c>
      <c r="I176" s="162" t="s">
        <v>834</v>
      </c>
      <c r="J176" s="162"/>
      <c r="K176" s="68" t="s">
        <v>13</v>
      </c>
      <c r="L176" s="69" t="s">
        <v>129</v>
      </c>
      <c r="M176" s="71" t="s">
        <v>113</v>
      </c>
      <c r="N176" s="69" t="e" vm="2">
        <v>#VALUE!</v>
      </c>
      <c r="O176" s="84">
        <v>45959</v>
      </c>
      <c r="P176" s="82" t="s">
        <v>213</v>
      </c>
      <c r="Q176" s="72" t="s">
        <v>623</v>
      </c>
      <c r="R176" s="162" t="s">
        <v>221</v>
      </c>
      <c r="S176" s="146"/>
      <c r="T176" s="68" t="s">
        <v>168</v>
      </c>
      <c r="U176" s="87"/>
      <c r="V176" s="183">
        <v>46029</v>
      </c>
      <c r="W176" s="73">
        <v>5566</v>
      </c>
      <c r="X176" s="73">
        <v>177.011</v>
      </c>
      <c r="Y176" s="83">
        <f>IF(SUM(W176:W176)&gt;0,X176/SUM(W176:W176)*1000000,"N/A")</f>
        <v>31802.191879266979</v>
      </c>
      <c r="Z176" s="183"/>
      <c r="AA176" s="183"/>
      <c r="AB176" s="73"/>
      <c r="AC176" s="153"/>
      <c r="AD176" s="330"/>
      <c r="AE176" s="305"/>
      <c r="AF176" s="88"/>
      <c r="AG176" s="182">
        <f>YEAR(V176)</f>
        <v>2026</v>
      </c>
      <c r="AH176" s="86">
        <f>+IF(AG176=$AH$22,MONTH(V176),"")</f>
        <v>1</v>
      </c>
      <c r="AI176" s="86" t="str">
        <f>+IF(AG176=$AI$22,MONTH(V176),"")</f>
        <v/>
      </c>
      <c r="AJ176" s="86" t="str">
        <f>+IF(AG176=$AJ$22,MONTH(V176),"")</f>
        <v/>
      </c>
      <c r="AK176" s="86" t="str">
        <f>+IF(AG176=$AK$22,MONTH(V176),"")</f>
        <v/>
      </c>
      <c r="AL176" s="86"/>
      <c r="AM176" s="89"/>
      <c r="AN176" s="89"/>
      <c r="AO176" s="89"/>
      <c r="AP176" s="89"/>
      <c r="AQ176" s="89"/>
      <c r="AR176" s="89"/>
      <c r="AS176" s="89"/>
      <c r="AT176" s="89"/>
      <c r="AU176" s="89"/>
      <c r="AV176" s="89"/>
      <c r="AW176" s="86" t="str">
        <f>+IF($AG176=AW$22,MONTH($D176),"")</f>
        <v/>
      </c>
      <c r="AX176" s="86" t="str">
        <f>+IF($AG176=AX$22,MONTH($D176),"")</f>
        <v/>
      </c>
      <c r="AY176" s="89"/>
      <c r="AZ176" s="89"/>
      <c r="BA176" s="89"/>
      <c r="BB176" s="89"/>
      <c r="BC176" s="89"/>
      <c r="BD176" s="89"/>
      <c r="BE176" s="89"/>
      <c r="BF176" s="89"/>
      <c r="BG176" s="89"/>
      <c r="BH176" s="89"/>
      <c r="BI176" s="89"/>
      <c r="BJ176" s="89"/>
      <c r="BK176" s="89"/>
      <c r="BL176" s="89"/>
      <c r="BM176" s="89"/>
      <c r="BN176" s="89"/>
      <c r="BO176" s="89"/>
      <c r="BP176" s="89"/>
    </row>
    <row r="177" spans="1:68" s="385" customFormat="1" ht="45.75" hidden="1" customHeight="1">
      <c r="A177" s="204" t="str">
        <f>+IFERROR(VALUE(MID(AB177,4,4)),"")</f>
        <v/>
      </c>
      <c r="B177" s="204">
        <f>VALUE(RIGHT(C177,LEN(C177)-2))</f>
        <v>2545</v>
      </c>
      <c r="C177" s="74" t="s">
        <v>835</v>
      </c>
      <c r="D177" s="75">
        <v>45945</v>
      </c>
      <c r="E177" s="70" t="s">
        <v>53</v>
      </c>
      <c r="F177" s="70" t="s">
        <v>642</v>
      </c>
      <c r="G177" s="68" t="s">
        <v>210</v>
      </c>
      <c r="H177" s="307" t="s">
        <v>210</v>
      </c>
      <c r="I177" s="69" t="s">
        <v>836</v>
      </c>
      <c r="J177" s="69"/>
      <c r="K177" s="68" t="s">
        <v>227</v>
      </c>
      <c r="L177" s="69" t="s">
        <v>123</v>
      </c>
      <c r="M177" s="71" t="s">
        <v>141</v>
      </c>
      <c r="N177" s="69" t="e" vm="1">
        <v>#VALUE!</v>
      </c>
      <c r="O177" s="84">
        <v>45954</v>
      </c>
      <c r="P177" s="72" t="s">
        <v>213</v>
      </c>
      <c r="Q177" s="72" t="s">
        <v>837</v>
      </c>
      <c r="R177" s="162" t="s">
        <v>227</v>
      </c>
      <c r="S177" s="146" t="s">
        <v>838</v>
      </c>
      <c r="T177" s="68" t="s">
        <v>155</v>
      </c>
      <c r="U177" s="87"/>
      <c r="V177" s="80">
        <v>45953</v>
      </c>
      <c r="W177" s="73"/>
      <c r="X177" s="73"/>
      <c r="Y177" s="169" t="str">
        <f>IF(SUM(W177:W177)&gt;0,X177/SUM(W177:W177)*1000000,"N/A")</f>
        <v>N/A</v>
      </c>
      <c r="Z177" s="80"/>
      <c r="AA177" s="80"/>
      <c r="AB177" s="73"/>
      <c r="AC177" s="153"/>
      <c r="AD177" s="330"/>
      <c r="AE177" s="305"/>
      <c r="AF177" s="88"/>
      <c r="AG177" s="182">
        <f>YEAR(V177)</f>
        <v>2025</v>
      </c>
      <c r="AH177" s="86" t="str">
        <f>+IF(AG177=$AH$22,MONTH(V177),"")</f>
        <v/>
      </c>
      <c r="AI177" s="86">
        <f>+IF(AG177=$AI$22,MONTH(V177),"")</f>
        <v>10</v>
      </c>
      <c r="AJ177" s="86" t="str">
        <f>+IF(AG177=$AJ$22,MONTH(V177),"")</f>
        <v/>
      </c>
      <c r="AK177" s="86" t="str">
        <f>+IF(AG177=$AK$22,MONTH(V177),"")</f>
        <v/>
      </c>
      <c r="AL177" s="86" t="str">
        <f>+IF(AG177=$AL$22,MONTH(V177),"")</f>
        <v/>
      </c>
      <c r="AM177" s="86" t="str">
        <f>+IF($AG177=$AM$22,MONTH($D177),"")</f>
        <v/>
      </c>
      <c r="AN177" s="89" t="str">
        <f>+IF($AG177=AN$22,MONTH($D177),"")</f>
        <v/>
      </c>
      <c r="AO177" s="89" t="str">
        <f>+IF($AG177=AO$22,MONTH($D177),"")</f>
        <v/>
      </c>
      <c r="AP177" s="89" t="str">
        <f>+IF($AG177=AP$22,MONTH($D177),"")</f>
        <v/>
      </c>
      <c r="AQ177" s="89" t="str">
        <f>+IF($AG177=AQ$22,MONTH($D177),"")</f>
        <v/>
      </c>
      <c r="AR177" s="89" t="str">
        <f>+IF($AG177=AR$22,MONTH($D177),"")</f>
        <v/>
      </c>
      <c r="AS177" s="89" t="str">
        <f>+IF($AG177=AS$22,MONTH($D177),"")</f>
        <v/>
      </c>
      <c r="AT177" s="89" t="str">
        <f>+IF($AG177=AT$22,MONTH($D177),"")</f>
        <v/>
      </c>
      <c r="AU177" s="89" t="str">
        <f>+IF($AG177=AU$22,MONTH($D177),"")</f>
        <v/>
      </c>
      <c r="AV177" s="89" t="str">
        <f>+IF($AG177=AV$22,MONTH($D177),"")</f>
        <v/>
      </c>
      <c r="AW177" s="86" t="str">
        <f>+IF($AG177=AW$22,MONTH($D177),"")</f>
        <v/>
      </c>
      <c r="AX177" s="86" t="str">
        <f>+IF($AG177=AX$22,MONTH($D177),"")</f>
        <v/>
      </c>
      <c r="AY177" s="89"/>
      <c r="AZ177" s="89"/>
      <c r="BA177" s="89"/>
      <c r="BB177" s="89"/>
      <c r="BC177" s="89"/>
      <c r="BD177" s="89"/>
      <c r="BE177" s="89"/>
      <c r="BF177" s="89"/>
      <c r="BG177" s="89"/>
      <c r="BH177" s="89"/>
      <c r="BI177" s="89"/>
      <c r="BJ177" s="89"/>
      <c r="BK177" s="89"/>
      <c r="BL177" s="89"/>
      <c r="BM177" s="89"/>
      <c r="BN177" s="89"/>
      <c r="BO177" s="89"/>
      <c r="BP177" s="89"/>
    </row>
    <row r="178" spans="1:68" s="385" customFormat="1" ht="45.75" hidden="1" customHeight="1">
      <c r="A178" s="204" t="str">
        <f>+IFERROR(VALUE(MID(AB178,4,4)),"")</f>
        <v/>
      </c>
      <c r="B178" s="204">
        <f>VALUE(RIGHT(C178,LEN(C178)-2))</f>
        <v>2544</v>
      </c>
      <c r="C178" s="74" t="s">
        <v>839</v>
      </c>
      <c r="D178" s="75">
        <v>45944</v>
      </c>
      <c r="E178" s="70" t="s">
        <v>53</v>
      </c>
      <c r="F178" s="70" t="s">
        <v>642</v>
      </c>
      <c r="G178" s="68" t="s">
        <v>210</v>
      </c>
      <c r="H178" s="307" t="s">
        <v>210</v>
      </c>
      <c r="I178" s="69" t="s">
        <v>840</v>
      </c>
      <c r="J178" s="69"/>
      <c r="K178" s="68" t="s">
        <v>42</v>
      </c>
      <c r="L178" s="69" t="s">
        <v>123</v>
      </c>
      <c r="M178" s="71" t="s">
        <v>141</v>
      </c>
      <c r="N178" s="69" t="e" vm="1">
        <v>#VALUE!</v>
      </c>
      <c r="O178" s="84">
        <v>46027</v>
      </c>
      <c r="P178" s="72" t="s">
        <v>213</v>
      </c>
      <c r="Q178" s="72" t="s">
        <v>220</v>
      </c>
      <c r="R178" s="162" t="s">
        <v>212</v>
      </c>
      <c r="S178" s="146"/>
      <c r="T178" s="68" t="s">
        <v>155</v>
      </c>
      <c r="U178" s="87"/>
      <c r="V178" s="80">
        <v>45945</v>
      </c>
      <c r="W178" s="73"/>
      <c r="X178" s="73"/>
      <c r="Y178" s="169" t="str">
        <f>IF(SUM(W178:W178)&gt;0,X178/SUM(W178:W178)*1000000,"N/A")</f>
        <v>N/A</v>
      </c>
      <c r="Z178" s="80"/>
      <c r="AA178" s="80"/>
      <c r="AB178" s="73"/>
      <c r="AC178" s="153"/>
      <c r="AD178" s="330"/>
      <c r="AE178" s="305"/>
      <c r="AF178" s="88"/>
      <c r="AG178" s="182">
        <f>YEAR(V178)</f>
        <v>2025</v>
      </c>
      <c r="AH178" s="86" t="str">
        <f>+IF(AG178=$AH$22,MONTH(V178),"")</f>
        <v/>
      </c>
      <c r="AI178" s="86">
        <f>+IF(AG178=$AI$22,MONTH(V178),"")</f>
        <v>10</v>
      </c>
      <c r="AJ178" s="86" t="str">
        <f>+IF(AG178=$AJ$22,MONTH(V178),"")</f>
        <v/>
      </c>
      <c r="AK178" s="86" t="str">
        <f>+IF(AG178=$AK$22,MONTH(V178),"")</f>
        <v/>
      </c>
      <c r="AL178" s="86" t="str">
        <f>+IF(AG178=$AL$22,MONTH(V178),"")</f>
        <v/>
      </c>
      <c r="AM178" s="86" t="str">
        <f>+IF($AG178=$AM$22,MONTH($D178),"")</f>
        <v/>
      </c>
      <c r="AN178" s="89" t="str">
        <f>+IF($AG178=AN$22,MONTH($D178),"")</f>
        <v/>
      </c>
      <c r="AO178" s="89" t="str">
        <f>+IF($AG178=AO$22,MONTH($D178),"")</f>
        <v/>
      </c>
      <c r="AP178" s="89" t="str">
        <f>+IF($AG178=AP$22,MONTH($D178),"")</f>
        <v/>
      </c>
      <c r="AQ178" s="89" t="str">
        <f>+IF($AG178=AQ$22,MONTH($D178),"")</f>
        <v/>
      </c>
      <c r="AR178" s="89" t="str">
        <f>+IF($AG178=AR$22,MONTH($D178),"")</f>
        <v/>
      </c>
      <c r="AS178" s="89" t="str">
        <f>+IF($AG178=AS$22,MONTH($D178),"")</f>
        <v/>
      </c>
      <c r="AT178" s="89" t="str">
        <f>+IF($AG178=AT$22,MONTH($D178),"")</f>
        <v/>
      </c>
      <c r="AU178" s="89" t="str">
        <f>+IF($AG178=AU$22,MONTH($D178),"")</f>
        <v/>
      </c>
      <c r="AV178" s="89" t="str">
        <f>+IF($AG178=AV$22,MONTH($D178),"")</f>
        <v/>
      </c>
      <c r="AW178" s="86" t="str">
        <f>+IF($AG178=AW$22,MONTH($D178),"")</f>
        <v/>
      </c>
      <c r="AX178" s="86" t="str">
        <f>+IF($AG178=AX$22,MONTH($D178),"")</f>
        <v/>
      </c>
      <c r="AY178" s="89"/>
      <c r="AZ178" s="89"/>
      <c r="BA178" s="89"/>
      <c r="BB178" s="89"/>
      <c r="BC178" s="89"/>
      <c r="BD178" s="89"/>
      <c r="BE178" s="89"/>
      <c r="BF178" s="89"/>
      <c r="BG178" s="89"/>
      <c r="BH178" s="89"/>
      <c r="BI178" s="89"/>
      <c r="BJ178" s="89"/>
      <c r="BK178" s="89"/>
      <c r="BL178" s="89"/>
      <c r="BM178" s="89"/>
      <c r="BN178" s="89"/>
      <c r="BO178" s="89"/>
      <c r="BP178" s="89"/>
    </row>
    <row r="179" spans="1:68" s="385" customFormat="1" ht="45.75" hidden="1" customHeight="1">
      <c r="A179" s="204">
        <f>+IFERROR(VALUE(MID(AB179,4,4)),"")</f>
        <v>451</v>
      </c>
      <c r="B179" s="204">
        <f>VALUE(RIGHT(C179,LEN(C179)-2))</f>
        <v>2543</v>
      </c>
      <c r="C179" s="74" t="s">
        <v>841</v>
      </c>
      <c r="D179" s="75">
        <v>45943</v>
      </c>
      <c r="E179" s="70" t="s">
        <v>394</v>
      </c>
      <c r="F179" s="70" t="s">
        <v>394</v>
      </c>
      <c r="G179" s="68" t="s">
        <v>842</v>
      </c>
      <c r="H179" s="307" t="s">
        <v>843</v>
      </c>
      <c r="I179" s="69" t="s">
        <v>844</v>
      </c>
      <c r="J179" s="69"/>
      <c r="K179" s="68" t="s">
        <v>9</v>
      </c>
      <c r="L179" s="69" t="s">
        <v>120</v>
      </c>
      <c r="M179" s="71" t="s">
        <v>141</v>
      </c>
      <c r="N179" s="69" t="e" vm="1">
        <v>#VALUE!</v>
      </c>
      <c r="O179" s="164">
        <v>45946</v>
      </c>
      <c r="P179" s="72" t="s">
        <v>454</v>
      </c>
      <c r="Q179" s="72" t="s">
        <v>316</v>
      </c>
      <c r="R179" s="162" t="s">
        <v>378</v>
      </c>
      <c r="S179" s="146"/>
      <c r="T179" s="68" t="s">
        <v>3</v>
      </c>
      <c r="U179" s="87"/>
      <c r="V179" s="183">
        <v>46028</v>
      </c>
      <c r="W179" s="73">
        <v>72</v>
      </c>
      <c r="X179" s="73">
        <v>3.5590000000000002</v>
      </c>
      <c r="Y179" s="83">
        <f>IF(SUM(W179:W179)&gt;0,X179/SUM(W179:W179)*1000000,"N/A")</f>
        <v>49430.555555555562</v>
      </c>
      <c r="Z179" s="183"/>
      <c r="AA179" s="183"/>
      <c r="AB179" s="73" t="s">
        <v>845</v>
      </c>
      <c r="AC179" s="153"/>
      <c r="AD179" s="330"/>
      <c r="AE179" s="305"/>
      <c r="AF179" s="88"/>
      <c r="AG179" s="182">
        <f>YEAR(V179)</f>
        <v>2026</v>
      </c>
      <c r="AH179" s="86">
        <f>+IF(AG179=$AH$22,MONTH(V179),"")</f>
        <v>1</v>
      </c>
      <c r="AI179" s="86" t="str">
        <f>+IF(AG179=$AI$22,MONTH(V179),"")</f>
        <v/>
      </c>
      <c r="AJ179" s="86" t="str">
        <f>+IF(AG179=$AJ$22,MONTH(V179),"")</f>
        <v/>
      </c>
      <c r="AK179" s="86" t="str">
        <f>+IF(AG179=$AK$22,MONTH(V179),"")</f>
        <v/>
      </c>
      <c r="AL179" s="86"/>
      <c r="AM179" s="89"/>
      <c r="AN179" s="89"/>
      <c r="AO179" s="89"/>
      <c r="AP179" s="89"/>
      <c r="AQ179" s="89"/>
      <c r="AR179" s="89"/>
      <c r="AS179" s="89"/>
      <c r="AT179" s="89"/>
      <c r="AU179" s="89"/>
      <c r="AV179" s="89"/>
      <c r="AW179" s="86" t="str">
        <f>+IF($AG179=AW$22,MONTH($D179),"")</f>
        <v/>
      </c>
      <c r="AX179" s="86" t="str">
        <f>+IF($AG179=AX$22,MONTH($D179),"")</f>
        <v/>
      </c>
      <c r="AY179" s="89"/>
      <c r="AZ179" s="89"/>
      <c r="BA179" s="89"/>
      <c r="BB179" s="89"/>
      <c r="BC179" s="89"/>
      <c r="BD179" s="89"/>
      <c r="BE179" s="89"/>
      <c r="BF179" s="89"/>
      <c r="BG179" s="89"/>
      <c r="BH179" s="89"/>
      <c r="BI179" s="89"/>
      <c r="BJ179" s="89"/>
      <c r="BK179" s="89"/>
      <c r="BL179" s="89"/>
      <c r="BM179" s="89"/>
      <c r="BN179" s="89"/>
      <c r="BO179" s="89"/>
      <c r="BP179" s="89"/>
    </row>
    <row r="180" spans="1:68" s="385" customFormat="1" ht="45.75" hidden="1" customHeight="1">
      <c r="A180" s="204" t="str">
        <f>+IFERROR(VALUE(MID(AB180,4,4)),"")</f>
        <v/>
      </c>
      <c r="B180" s="204">
        <f>VALUE(RIGHT(C180,LEN(C180)-2))</f>
        <v>2542</v>
      </c>
      <c r="C180" s="74" t="s">
        <v>846</v>
      </c>
      <c r="D180" s="75">
        <v>45944</v>
      </c>
      <c r="E180" s="70" t="s">
        <v>847</v>
      </c>
      <c r="F180" s="70" t="s">
        <v>848</v>
      </c>
      <c r="G180" s="68" t="s">
        <v>849</v>
      </c>
      <c r="H180" s="307" t="s">
        <v>850</v>
      </c>
      <c r="I180" s="69" t="s">
        <v>851</v>
      </c>
      <c r="J180" s="69"/>
      <c r="K180" s="68" t="s">
        <v>13</v>
      </c>
      <c r="L180" s="69" t="s">
        <v>123</v>
      </c>
      <c r="M180" s="71" t="s">
        <v>141</v>
      </c>
      <c r="N180" s="69" t="e" vm="1">
        <v>#VALUE!</v>
      </c>
      <c r="O180" s="84">
        <v>45986</v>
      </c>
      <c r="P180" s="72" t="s">
        <v>640</v>
      </c>
      <c r="Q180" s="72" t="s">
        <v>623</v>
      </c>
      <c r="R180" s="162" t="s">
        <v>221</v>
      </c>
      <c r="S180" s="146"/>
      <c r="T180" s="68" t="s">
        <v>158</v>
      </c>
      <c r="U180" s="87">
        <v>0.01</v>
      </c>
      <c r="V180" s="80">
        <v>45989</v>
      </c>
      <c r="W180" s="73">
        <v>7356</v>
      </c>
      <c r="X180" s="73">
        <f>9867*39643/1000000</f>
        <v>391.15748100000002</v>
      </c>
      <c r="Y180" s="83">
        <f>IF(SUM(W180:W180)&gt;0,X180/SUM(W180:W180)*1000000,"N/A")</f>
        <v>53175.296492659058</v>
      </c>
      <c r="Z180" s="80"/>
      <c r="AA180" s="80"/>
      <c r="AB180" s="73"/>
      <c r="AC180" s="153"/>
      <c r="AD180" s="330"/>
      <c r="AE180" s="305"/>
      <c r="AF180" s="88"/>
      <c r="AG180" s="182">
        <f>YEAR(V180)</f>
        <v>2025</v>
      </c>
      <c r="AH180" s="86" t="str">
        <f>+IF(AG180=$AH$22,MONTH(V180),"")</f>
        <v/>
      </c>
      <c r="AI180" s="86">
        <f>+IF(AG180=$AI$22,MONTH(V180),"")</f>
        <v>11</v>
      </c>
      <c r="AJ180" s="86" t="str">
        <f>+IF(AG180=$AJ$22,MONTH(V180),"")</f>
        <v/>
      </c>
      <c r="AK180" s="86" t="str">
        <f>+IF(AG180=$AK$22,MONTH(V180),"")</f>
        <v/>
      </c>
      <c r="AL180" s="86" t="str">
        <f>+IF(AG180=$AL$22,MONTH(V180),"")</f>
        <v/>
      </c>
      <c r="AM180" s="86" t="str">
        <f>+IF($AG180=$AM$22,MONTH($D180),"")</f>
        <v/>
      </c>
      <c r="AN180" s="89" t="str">
        <f>+IF($AG180=AN$22,MONTH($D180),"")</f>
        <v/>
      </c>
      <c r="AO180" s="89" t="str">
        <f>+IF($AG180=AO$22,MONTH($D180),"")</f>
        <v/>
      </c>
      <c r="AP180" s="89" t="str">
        <f>+IF($AG180=AP$22,MONTH($D180),"")</f>
        <v/>
      </c>
      <c r="AQ180" s="89" t="str">
        <f>+IF($AG180=AQ$22,MONTH($D180),"")</f>
        <v/>
      </c>
      <c r="AR180" s="89" t="str">
        <f>+IF($AG180=AR$22,MONTH($D180),"")</f>
        <v/>
      </c>
      <c r="AS180" s="89" t="str">
        <f>+IF($AG180=AS$22,MONTH($D180),"")</f>
        <v/>
      </c>
      <c r="AT180" s="89" t="str">
        <f>+IF($AG180=AT$22,MONTH($D180),"")</f>
        <v/>
      </c>
      <c r="AU180" s="89" t="str">
        <f>+IF($AG180=AU$22,MONTH($D180),"")</f>
        <v/>
      </c>
      <c r="AV180" s="89" t="str">
        <f>+IF($AG180=AV$22,MONTH($D180),"")</f>
        <v/>
      </c>
      <c r="AW180" s="86" t="str">
        <f>+IF($AG180=AW$22,MONTH($D180),"")</f>
        <v/>
      </c>
      <c r="AX180" s="86" t="str">
        <f>+IF($AG180=AX$22,MONTH($D180),"")</f>
        <v/>
      </c>
      <c r="AY180" s="89"/>
      <c r="AZ180" s="89"/>
      <c r="BA180" s="89"/>
      <c r="BB180" s="89"/>
      <c r="BC180" s="89"/>
      <c r="BD180" s="89"/>
      <c r="BE180" s="89"/>
      <c r="BF180" s="89"/>
      <c r="BG180" s="89"/>
      <c r="BH180" s="89"/>
      <c r="BI180" s="89"/>
      <c r="BJ180" s="89"/>
      <c r="BK180" s="89"/>
      <c r="BL180" s="89"/>
      <c r="BM180" s="89"/>
      <c r="BN180" s="89"/>
      <c r="BO180" s="89"/>
      <c r="BP180" s="89"/>
    </row>
    <row r="181" spans="1:68" s="385" customFormat="1" ht="45.75" hidden="1" customHeight="1">
      <c r="A181" s="204" t="str">
        <f>+IFERROR(VALUE(MID(AB181,4,4)),"")</f>
        <v/>
      </c>
      <c r="B181" s="204">
        <f>VALUE(RIGHT(C181,LEN(C181)-2))</f>
        <v>2541</v>
      </c>
      <c r="C181" s="74" t="s">
        <v>852</v>
      </c>
      <c r="D181" s="75">
        <v>45944</v>
      </c>
      <c r="E181" s="70" t="s">
        <v>853</v>
      </c>
      <c r="F181" s="70" t="s">
        <v>848</v>
      </c>
      <c r="G181" s="68" t="s">
        <v>854</v>
      </c>
      <c r="H181" s="307" t="s">
        <v>855</v>
      </c>
      <c r="I181" s="69" t="s">
        <v>851</v>
      </c>
      <c r="J181" s="69"/>
      <c r="K181" s="68" t="s">
        <v>13</v>
      </c>
      <c r="L181" s="69" t="s">
        <v>123</v>
      </c>
      <c r="M181" s="71" t="s">
        <v>141</v>
      </c>
      <c r="N181" s="69" t="e" vm="1">
        <v>#VALUE!</v>
      </c>
      <c r="O181" s="84">
        <v>45985</v>
      </c>
      <c r="P181" s="72" t="s">
        <v>640</v>
      </c>
      <c r="Q181" s="72" t="s">
        <v>623</v>
      </c>
      <c r="R181" s="162" t="s">
        <v>221</v>
      </c>
      <c r="S181" s="146"/>
      <c r="T181" s="68" t="s">
        <v>155</v>
      </c>
      <c r="U181" s="87"/>
      <c r="V181" s="80">
        <v>45945</v>
      </c>
      <c r="W181" s="73"/>
      <c r="X181" s="73"/>
      <c r="Y181" s="83" t="str">
        <f>IF(SUM(W181:W181)&gt;0,X181/SUM(W181:W181)*1000000,"N/A")</f>
        <v>N/A</v>
      </c>
      <c r="Z181" s="80"/>
      <c r="AA181" s="80"/>
      <c r="AB181" s="73"/>
      <c r="AC181" s="153"/>
      <c r="AD181" s="330"/>
      <c r="AE181" s="305"/>
      <c r="AF181" s="88"/>
      <c r="AG181" s="182">
        <f>YEAR(V181)</f>
        <v>2025</v>
      </c>
      <c r="AH181" s="86" t="str">
        <f>+IF(AG181=$AH$22,MONTH(V181),"")</f>
        <v/>
      </c>
      <c r="AI181" s="86">
        <f>+IF(AG181=$AI$22,MONTH(V181),"")</f>
        <v>10</v>
      </c>
      <c r="AJ181" s="86" t="str">
        <f>+IF(AG181=$AJ$22,MONTH(V181),"")</f>
        <v/>
      </c>
      <c r="AK181" s="86" t="str">
        <f>+IF(AG181=$AK$22,MONTH(V181),"")</f>
        <v/>
      </c>
      <c r="AL181" s="86" t="str">
        <f>+IF(AG181=$AL$22,MONTH(V181),"")</f>
        <v/>
      </c>
      <c r="AM181" s="86" t="str">
        <f>+IF($AG181=$AM$22,MONTH($D181),"")</f>
        <v/>
      </c>
      <c r="AN181" s="89" t="str">
        <f>+IF($AG181=AN$22,MONTH($D181),"")</f>
        <v/>
      </c>
      <c r="AO181" s="89" t="str">
        <f>+IF($AG181=AO$22,MONTH($D181),"")</f>
        <v/>
      </c>
      <c r="AP181" s="89" t="str">
        <f>+IF($AG181=AP$22,MONTH($D181),"")</f>
        <v/>
      </c>
      <c r="AQ181" s="89" t="str">
        <f>+IF($AG181=AQ$22,MONTH($D181),"")</f>
        <v/>
      </c>
      <c r="AR181" s="89" t="str">
        <f>+IF($AG181=AR$22,MONTH($D181),"")</f>
        <v/>
      </c>
      <c r="AS181" s="89" t="str">
        <f>+IF($AG181=AS$22,MONTH($D181),"")</f>
        <v/>
      </c>
      <c r="AT181" s="89" t="str">
        <f>+IF($AG181=AT$22,MONTH($D181),"")</f>
        <v/>
      </c>
      <c r="AU181" s="89" t="str">
        <f>+IF($AG181=AU$22,MONTH($D181),"")</f>
        <v/>
      </c>
      <c r="AV181" s="89" t="str">
        <f>+IF($AG181=AV$22,MONTH($D181),"")</f>
        <v/>
      </c>
      <c r="AW181" s="86" t="str">
        <f>+IF($AG181=AW$22,MONTH($D181),"")</f>
        <v/>
      </c>
      <c r="AX181" s="86" t="str">
        <f>+IF($AG181=AX$22,MONTH($D181),"")</f>
        <v/>
      </c>
      <c r="AY181" s="89"/>
      <c r="AZ181" s="89"/>
      <c r="BA181" s="89"/>
      <c r="BB181" s="89"/>
      <c r="BC181" s="89"/>
      <c r="BD181" s="89"/>
      <c r="BE181" s="89"/>
      <c r="BF181" s="89"/>
      <c r="BG181" s="89"/>
      <c r="BH181" s="89"/>
      <c r="BI181" s="89"/>
      <c r="BJ181" s="89"/>
      <c r="BK181" s="89"/>
      <c r="BL181" s="89"/>
      <c r="BM181" s="89"/>
      <c r="BN181" s="89"/>
      <c r="BO181" s="89"/>
      <c r="BP181" s="89"/>
    </row>
    <row r="182" spans="1:68" s="385" customFormat="1" ht="45.75" hidden="1" customHeight="1">
      <c r="A182" s="204" t="str">
        <f>+IFERROR(VALUE(MID(AB182,4,4)),"")</f>
        <v/>
      </c>
      <c r="B182" s="204">
        <f>VALUE(RIGHT(C182,LEN(C182)-2))</f>
        <v>2540</v>
      </c>
      <c r="C182" s="74" t="s">
        <v>856</v>
      </c>
      <c r="D182" s="75">
        <v>45944</v>
      </c>
      <c r="E182" s="70" t="s">
        <v>479</v>
      </c>
      <c r="F182" s="70" t="s">
        <v>479</v>
      </c>
      <c r="G182" s="68" t="s">
        <v>857</v>
      </c>
      <c r="H182" s="307" t="s">
        <v>858</v>
      </c>
      <c r="I182" s="162" t="s">
        <v>859</v>
      </c>
      <c r="J182" s="162"/>
      <c r="K182" s="68" t="s">
        <v>11</v>
      </c>
      <c r="L182" s="69" t="s">
        <v>129</v>
      </c>
      <c r="M182" s="71" t="s">
        <v>113</v>
      </c>
      <c r="N182" s="69" t="e" vm="2">
        <v>#VALUE!</v>
      </c>
      <c r="O182" s="84">
        <v>45947</v>
      </c>
      <c r="P182" s="82" t="s">
        <v>294</v>
      </c>
      <c r="Q182" s="72" t="s">
        <v>623</v>
      </c>
      <c r="R182" s="162"/>
      <c r="S182" s="146"/>
      <c r="T182" s="68" t="s">
        <v>158</v>
      </c>
      <c r="U182" s="87">
        <v>0.01</v>
      </c>
      <c r="V182" s="183">
        <v>45967</v>
      </c>
      <c r="W182" s="73">
        <v>5164</v>
      </c>
      <c r="X182" s="73">
        <v>160.691</v>
      </c>
      <c r="Y182" s="83">
        <f>IF(SUM(W182:W182)&gt;0,X182/SUM(W182:W182)*1000000,"N/A")</f>
        <v>31117.544539116963</v>
      </c>
      <c r="Z182" s="183"/>
      <c r="AA182" s="183"/>
      <c r="AB182" s="73"/>
      <c r="AC182" s="153"/>
      <c r="AD182" s="330"/>
      <c r="AE182" s="305"/>
      <c r="AF182" s="88"/>
      <c r="AG182" s="182">
        <f>YEAR(V182)</f>
        <v>2025</v>
      </c>
      <c r="AH182" s="86" t="str">
        <f>+IF(AG182=$AH$22,MONTH(V182),"")</f>
        <v/>
      </c>
      <c r="AI182" s="86">
        <f>+IF(AG182=$AI$22,MONTH(V182),"")</f>
        <v>11</v>
      </c>
      <c r="AJ182" s="86" t="str">
        <f>+IF(AG182=$AJ$22,MONTH(V182),"")</f>
        <v/>
      </c>
      <c r="AK182" s="86" t="str">
        <f>+IF(AG182=$AK$22,MONTH(V182),"")</f>
        <v/>
      </c>
      <c r="AL182" s="86"/>
      <c r="AM182" s="89"/>
      <c r="AN182" s="89"/>
      <c r="AO182" s="89"/>
      <c r="AP182" s="89"/>
      <c r="AQ182" s="89"/>
      <c r="AR182" s="89"/>
      <c r="AS182" s="89"/>
      <c r="AT182" s="89"/>
      <c r="AU182" s="89"/>
      <c r="AV182" s="89"/>
      <c r="AW182" s="86" t="str">
        <f>+IF($AG182=AW$22,MONTH($D182),"")</f>
        <v/>
      </c>
      <c r="AX182" s="86" t="str">
        <f>+IF($AG182=AX$22,MONTH($D182),"")</f>
        <v/>
      </c>
      <c r="AY182" s="89"/>
      <c r="AZ182" s="89"/>
      <c r="BA182" s="89"/>
      <c r="BB182" s="89"/>
      <c r="BC182" s="89"/>
      <c r="BD182" s="89"/>
      <c r="BE182" s="89"/>
      <c r="BF182" s="89"/>
      <c r="BG182" s="89"/>
      <c r="BH182" s="89"/>
      <c r="BI182" s="89"/>
      <c r="BJ182" s="89"/>
      <c r="BK182" s="89"/>
      <c r="BL182" s="89"/>
      <c r="BM182" s="89"/>
      <c r="BN182" s="89"/>
      <c r="BO182" s="89"/>
      <c r="BP182" s="89"/>
    </row>
    <row r="183" spans="1:68" s="385" customFormat="1" ht="45.75" hidden="1" customHeight="1">
      <c r="A183" s="204" t="str">
        <f>+IFERROR(VALUE(MID(AB183,4,4)),"")</f>
        <v/>
      </c>
      <c r="B183" s="204">
        <f>VALUE(RIGHT(C183,LEN(C183)-2))</f>
        <v>2539</v>
      </c>
      <c r="C183" s="74" t="s">
        <v>860</v>
      </c>
      <c r="D183" s="75">
        <v>45936</v>
      </c>
      <c r="E183" s="70" t="s">
        <v>353</v>
      </c>
      <c r="F183" s="70" t="s">
        <v>354</v>
      </c>
      <c r="G183" s="68" t="s">
        <v>861</v>
      </c>
      <c r="H183" s="307" t="s">
        <v>862</v>
      </c>
      <c r="I183" s="162" t="s">
        <v>863</v>
      </c>
      <c r="J183" s="162"/>
      <c r="K183" s="68" t="s">
        <v>45</v>
      </c>
      <c r="L183" s="69" t="s">
        <v>123</v>
      </c>
      <c r="M183" s="71" t="s">
        <v>141</v>
      </c>
      <c r="N183" s="69" t="e" vm="1">
        <v>#VALUE!</v>
      </c>
      <c r="O183" s="164">
        <v>45951</v>
      </c>
      <c r="P183" s="72" t="s">
        <v>213</v>
      </c>
      <c r="Q183" s="72" t="s">
        <v>259</v>
      </c>
      <c r="R183" s="162"/>
      <c r="S183" s="146"/>
      <c r="T183" s="68" t="s">
        <v>155</v>
      </c>
      <c r="U183" s="87"/>
      <c r="V183" s="183">
        <v>45943</v>
      </c>
      <c r="W183" s="73"/>
      <c r="X183" s="73"/>
      <c r="Y183" s="83" t="str">
        <f>IF(SUM(W183:W183)&gt;0,X183/SUM(W183:W183)*1000000,"N/A")</f>
        <v>N/A</v>
      </c>
      <c r="Z183" s="183"/>
      <c r="AA183" s="183"/>
      <c r="AB183" s="73"/>
      <c r="AC183" s="153"/>
      <c r="AD183" s="330"/>
      <c r="AE183" s="305"/>
      <c r="AF183" s="88"/>
      <c r="AG183" s="182">
        <f>YEAR(V183)</f>
        <v>2025</v>
      </c>
      <c r="AH183" s="86" t="str">
        <f>+IF(AG183=$AH$22,MONTH(V183),"")</f>
        <v/>
      </c>
      <c r="AI183" s="86">
        <f>+IF(AG183=$AI$22,MONTH(V183),"")</f>
        <v>10</v>
      </c>
      <c r="AJ183" s="86" t="str">
        <f>+IF(AG183=$AJ$22,MONTH(V183),"")</f>
        <v/>
      </c>
      <c r="AK183" s="86" t="str">
        <f>+IF(AG183=$AK$22,MONTH(V183),"")</f>
        <v/>
      </c>
      <c r="AL183" s="86"/>
      <c r="AM183" s="89"/>
      <c r="AN183" s="89"/>
      <c r="AO183" s="89"/>
      <c r="AP183" s="89"/>
      <c r="AQ183" s="89"/>
      <c r="AR183" s="89"/>
      <c r="AS183" s="89"/>
      <c r="AT183" s="89"/>
      <c r="AU183" s="89"/>
      <c r="AV183" s="89"/>
      <c r="AW183" s="86" t="str">
        <f>+IF($AG183=AW$22,MONTH($D183),"")</f>
        <v/>
      </c>
      <c r="AX183" s="86" t="str">
        <f>+IF($AG183=AX$22,MONTH($D183),"")</f>
        <v/>
      </c>
      <c r="AY183" s="89"/>
      <c r="AZ183" s="89"/>
      <c r="BA183" s="89"/>
      <c r="BB183" s="89"/>
      <c r="BC183" s="89"/>
      <c r="BD183" s="89"/>
      <c r="BE183" s="89"/>
      <c r="BF183" s="89"/>
      <c r="BG183" s="89"/>
      <c r="BH183" s="89"/>
      <c r="BI183" s="89"/>
      <c r="BJ183" s="89"/>
      <c r="BK183" s="89"/>
      <c r="BL183" s="89"/>
      <c r="BM183" s="89"/>
      <c r="BN183" s="89"/>
      <c r="BO183" s="89"/>
      <c r="BP183" s="89"/>
    </row>
    <row r="184" spans="1:68" s="89" customFormat="1" ht="45.75" hidden="1" customHeight="1">
      <c r="A184" s="204" t="str">
        <f>+IFERROR(VALUE(MID(AB184,4,4)),"")</f>
        <v/>
      </c>
      <c r="B184" s="204">
        <f>VALUE(RIGHT(C184,LEN(C184)-2))</f>
        <v>2538</v>
      </c>
      <c r="C184" s="74" t="s">
        <v>864</v>
      </c>
      <c r="D184" s="75">
        <v>45938</v>
      </c>
      <c r="E184" s="70" t="s">
        <v>53</v>
      </c>
      <c r="F184" s="70" t="s">
        <v>642</v>
      </c>
      <c r="G184" s="68" t="s">
        <v>210</v>
      </c>
      <c r="H184" s="379" t="s">
        <v>210</v>
      </c>
      <c r="I184" s="69" t="s">
        <v>865</v>
      </c>
      <c r="J184" s="69"/>
      <c r="K184" s="68" t="s">
        <v>491</v>
      </c>
      <c r="L184" s="68" t="s">
        <v>123</v>
      </c>
      <c r="M184" s="68" t="s">
        <v>141</v>
      </c>
      <c r="N184" s="69" t="e" vm="1">
        <v>#VALUE!</v>
      </c>
      <c r="O184" s="84">
        <v>45981</v>
      </c>
      <c r="P184" s="72" t="s">
        <v>213</v>
      </c>
      <c r="Q184" s="72" t="s">
        <v>316</v>
      </c>
      <c r="R184" s="162"/>
      <c r="S184" s="146"/>
      <c r="T184" s="68" t="s">
        <v>155</v>
      </c>
      <c r="U184" s="87"/>
      <c r="V184" s="80">
        <v>45939</v>
      </c>
      <c r="W184" s="73"/>
      <c r="X184" s="73"/>
      <c r="Y184" s="169" t="str">
        <f>IF(SUM(W184:W184)&gt;0,X184/SUM(W184:W184)*1000000,"N/A")</f>
        <v>N/A</v>
      </c>
      <c r="Z184" s="80"/>
      <c r="AA184" s="80"/>
      <c r="AB184" s="73"/>
      <c r="AC184" s="153"/>
      <c r="AD184" s="330"/>
      <c r="AE184" s="305"/>
      <c r="AF184" s="88"/>
      <c r="AG184" s="182">
        <f>YEAR(V184)</f>
        <v>2025</v>
      </c>
      <c r="AH184" s="86" t="str">
        <f>+IF(AG184=$AH$22,MONTH(V184),"")</f>
        <v/>
      </c>
      <c r="AI184" s="86">
        <f>+IF(AG184=$AI$22,MONTH(V184),"")</f>
        <v>10</v>
      </c>
      <c r="AJ184" s="86" t="str">
        <f>+IF(AG184=$AJ$22,MONTH(V184),"")</f>
        <v/>
      </c>
      <c r="AK184" s="86" t="str">
        <f>+IF(AG184=$AK$22,MONTH(V184),"")</f>
        <v/>
      </c>
      <c r="AL184" s="86" t="str">
        <f>+IF(AG184=$AL$22,MONTH(V184),"")</f>
        <v/>
      </c>
      <c r="AM184" s="86" t="str">
        <f>+IF($AG184=$AM$22,MONTH($D184),"")</f>
        <v/>
      </c>
      <c r="AN184" s="89" t="str">
        <f>+IF($AG184=AN$22,MONTH($D184),"")</f>
        <v/>
      </c>
      <c r="AO184" s="89" t="str">
        <f>+IF($AG184=AO$22,MONTH($D184),"")</f>
        <v/>
      </c>
      <c r="AP184" s="89" t="str">
        <f>+IF($AG184=AP$22,MONTH($D184),"")</f>
        <v/>
      </c>
      <c r="AQ184" s="89" t="str">
        <f>+IF($AG184=AQ$22,MONTH($D184),"")</f>
        <v/>
      </c>
      <c r="AR184" s="89" t="str">
        <f>+IF($AG184=AR$22,MONTH($D184),"")</f>
        <v/>
      </c>
      <c r="AS184" s="89" t="str">
        <f>+IF($AG184=AS$22,MONTH($D184),"")</f>
        <v/>
      </c>
      <c r="AT184" s="89" t="str">
        <f>+IF($AG184=AT$22,MONTH($D184),"")</f>
        <v/>
      </c>
      <c r="AU184" s="89" t="str">
        <f>+IF($AG184=AU$22,MONTH($D184),"")</f>
        <v/>
      </c>
      <c r="AV184" s="89" t="str">
        <f>+IF($AG184=AV$22,MONTH($D184),"")</f>
        <v/>
      </c>
      <c r="AW184" s="86" t="str">
        <f>+IF($AG184=AW$22,MONTH($D184),"")</f>
        <v/>
      </c>
      <c r="AX184" s="86" t="str">
        <f>+IF($AG184=AX$22,MONTH($D184),"")</f>
        <v/>
      </c>
    </row>
    <row r="185" spans="1:68" s="382" customFormat="1" ht="45.75" hidden="1" customHeight="1">
      <c r="A185" s="204">
        <f>+IFERROR(VALUE(MID(AB185,4,4)),"")</f>
        <v>271</v>
      </c>
      <c r="B185" s="204">
        <f>VALUE(RIGHT(C185,LEN(C185)-2))</f>
        <v>2537</v>
      </c>
      <c r="C185" s="74" t="s">
        <v>866</v>
      </c>
      <c r="D185" s="75">
        <v>45938</v>
      </c>
      <c r="E185" s="70" t="s">
        <v>277</v>
      </c>
      <c r="F185" s="70" t="s">
        <v>277</v>
      </c>
      <c r="G185" s="68" t="s">
        <v>278</v>
      </c>
      <c r="H185" s="307" t="s">
        <v>279</v>
      </c>
      <c r="I185" s="69" t="s">
        <v>867</v>
      </c>
      <c r="J185" s="69"/>
      <c r="K185" s="68" t="s">
        <v>12</v>
      </c>
      <c r="L185" s="69" t="s">
        <v>129</v>
      </c>
      <c r="M185" s="71" t="s">
        <v>141</v>
      </c>
      <c r="N185" s="69" t="e" vm="1">
        <v>#VALUE!</v>
      </c>
      <c r="O185" s="84">
        <v>45878</v>
      </c>
      <c r="P185" s="72" t="s">
        <v>281</v>
      </c>
      <c r="Q185" s="72" t="s">
        <v>623</v>
      </c>
      <c r="R185" s="162"/>
      <c r="S185" s="146"/>
      <c r="T185" s="68" t="s">
        <v>3</v>
      </c>
      <c r="U185" s="87"/>
      <c r="V185" s="183">
        <v>45946</v>
      </c>
      <c r="W185" s="73">
        <v>42</v>
      </c>
      <c r="X185" s="150">
        <v>2.0259999999999998</v>
      </c>
      <c r="Y185" s="83">
        <f>IF(SUM(W185:W185)&gt;0,X185/SUM(W185:W185)*1000000,"N/A")</f>
        <v>48238.095238095229</v>
      </c>
      <c r="Z185" s="183"/>
      <c r="AA185" s="183"/>
      <c r="AB185" s="150" t="s">
        <v>868</v>
      </c>
      <c r="AC185" s="153"/>
      <c r="AD185" s="330"/>
      <c r="AE185" s="305"/>
      <c r="AF185" s="88"/>
      <c r="AG185" s="182">
        <f>YEAR(V185)</f>
        <v>2025</v>
      </c>
      <c r="AH185" s="86" t="str">
        <f>+IF(AG185=$AH$22,MONTH(V185),"")</f>
        <v/>
      </c>
      <c r="AI185" s="86">
        <f>+IF(AG185=$AI$22,MONTH(V185),"")</f>
        <v>10</v>
      </c>
      <c r="AJ185" s="86" t="str">
        <f>+IF(AG185=$AJ$22,MONTH(V185),"")</f>
        <v/>
      </c>
      <c r="AK185" s="86" t="str">
        <f>+IF(AG185=$AK$22,MONTH(V185),"")</f>
        <v/>
      </c>
      <c r="AL185" s="86"/>
      <c r="AM185" s="89"/>
      <c r="AN185" s="89"/>
      <c r="AO185" s="89"/>
      <c r="AP185" s="89"/>
      <c r="AQ185" s="89"/>
      <c r="AR185" s="89"/>
      <c r="AS185" s="89"/>
      <c r="AT185" s="89"/>
      <c r="AU185" s="89"/>
      <c r="AV185" s="89"/>
      <c r="AW185" s="86" t="str">
        <f>+IF($AG185=AW$22,MONTH($D185),"")</f>
        <v/>
      </c>
      <c r="AX185" s="86" t="str">
        <f>+IF($AG185=AX$22,MONTH($D185),"")</f>
        <v/>
      </c>
      <c r="AY185" s="89"/>
      <c r="AZ185" s="89"/>
      <c r="BA185" s="89"/>
      <c r="BB185" s="89"/>
      <c r="BC185" s="89"/>
      <c r="BD185" s="89"/>
      <c r="BE185" s="89"/>
      <c r="BF185" s="89"/>
      <c r="BG185" s="89"/>
      <c r="BH185" s="89"/>
      <c r="BI185" s="89"/>
      <c r="BJ185" s="89"/>
      <c r="BK185" s="89"/>
      <c r="BL185" s="89"/>
      <c r="BM185" s="89"/>
      <c r="BN185" s="89"/>
      <c r="BO185" s="89"/>
      <c r="BP185" s="89"/>
    </row>
    <row r="186" spans="1:68" s="381" customFormat="1" ht="45.75" hidden="1" customHeight="1">
      <c r="A186" s="204">
        <f>+IFERROR(VALUE(MID(AB186,4,4)),"")</f>
        <v>459</v>
      </c>
      <c r="B186" s="204">
        <f>VALUE(RIGHT(C186,LEN(C186)-2))</f>
        <v>2536</v>
      </c>
      <c r="C186" s="74" t="s">
        <v>869</v>
      </c>
      <c r="D186" s="75">
        <v>45936</v>
      </c>
      <c r="E186" s="70" t="s">
        <v>685</v>
      </c>
      <c r="F186" s="70" t="s">
        <v>685</v>
      </c>
      <c r="G186" s="68" t="s">
        <v>765</v>
      </c>
      <c r="H186" s="282" t="s">
        <v>766</v>
      </c>
      <c r="I186" s="69" t="s">
        <v>870</v>
      </c>
      <c r="J186" s="69"/>
      <c r="K186" s="95" t="s">
        <v>9</v>
      </c>
      <c r="L186" s="69" t="s">
        <v>120</v>
      </c>
      <c r="M186" s="71" t="s">
        <v>141</v>
      </c>
      <c r="N186" s="69" t="e" vm="1">
        <v>#VALUE!</v>
      </c>
      <c r="O186" s="84">
        <v>45937</v>
      </c>
      <c r="P186" s="82" t="s">
        <v>689</v>
      </c>
      <c r="Q186" s="82" t="s">
        <v>623</v>
      </c>
      <c r="R186" s="69"/>
      <c r="S186" s="146"/>
      <c r="T186" s="68" t="s">
        <v>3</v>
      </c>
      <c r="U186" s="87"/>
      <c r="V186" s="80">
        <v>45959</v>
      </c>
      <c r="W186" s="73">
        <v>305</v>
      </c>
      <c r="X186" s="73">
        <v>21</v>
      </c>
      <c r="Y186" s="83">
        <f>IF(SUM(W186:W186)&gt;0,X186/SUM(W186:W186)*1000000,"N/A")</f>
        <v>68852.459016393448</v>
      </c>
      <c r="Z186" s="80"/>
      <c r="AA186" s="80"/>
      <c r="AB186" s="73" t="s">
        <v>871</v>
      </c>
      <c r="AC186" s="153"/>
      <c r="AD186" s="331"/>
      <c r="AE186" s="57"/>
      <c r="AF186" s="88"/>
      <c r="AG186" s="182">
        <f>YEAR(V186)</f>
        <v>2025</v>
      </c>
      <c r="AH186" s="86" t="str">
        <f>+IF(AG186=$AH$22,MONTH(V186),"")</f>
        <v/>
      </c>
      <c r="AI186" s="86">
        <f>+IF(AG186=$AI$22,MONTH(V186),"")</f>
        <v>10</v>
      </c>
      <c r="AJ186" s="86" t="str">
        <f>+IF(AG186=$AJ$22,MONTH(V186),"")</f>
        <v/>
      </c>
      <c r="AK186" s="86" t="str">
        <f>+IF(AG186=$AK$22,MONTH(V186),"")</f>
        <v/>
      </c>
      <c r="AL186" s="86" t="str">
        <f>+IF(AG186=$AL$22,MONTH(V186),"")</f>
        <v/>
      </c>
      <c r="AM186" s="86" t="str">
        <f>+IF($AG186=$AM$22,MONTH($D186),"")</f>
        <v/>
      </c>
      <c r="AN186" s="89" t="str">
        <f>+IF($AG186=AN$22,MONTH($D186),"")</f>
        <v/>
      </c>
      <c r="AO186" s="89" t="str">
        <f>+IF($AG186=AO$22,MONTH($D186),"")</f>
        <v/>
      </c>
      <c r="AP186" s="89" t="str">
        <f>+IF($AG186=AP$22,MONTH($D186),"")</f>
        <v/>
      </c>
      <c r="AQ186" s="89" t="str">
        <f>+IF($AG186=AQ$22,MONTH($D186),"")</f>
        <v/>
      </c>
      <c r="AR186" s="89" t="str">
        <f>+IF($AG186=AR$22,MONTH($D186),"")</f>
        <v/>
      </c>
      <c r="AS186" s="89" t="str">
        <f>+IF($AG186=AS$22,MONTH($D186),"")</f>
        <v/>
      </c>
      <c r="AT186" s="89" t="str">
        <f>+IF($AG186=AT$22,MONTH($D186),"")</f>
        <v/>
      </c>
      <c r="AU186" s="89" t="str">
        <f>+IF($AG186=AU$22,MONTH($D186),"")</f>
        <v/>
      </c>
      <c r="AV186" s="89" t="str">
        <f>+IF($AG186=AV$22,MONTH($D186),"")</f>
        <v/>
      </c>
      <c r="AW186" s="86" t="str">
        <f>+IF($AG186=AW$22,MONTH($D186),"")</f>
        <v/>
      </c>
      <c r="AX186" s="86" t="str">
        <f>+IF($AG186=AX$22,MONTH($D186),"")</f>
        <v/>
      </c>
      <c r="AY186" s="89"/>
      <c r="AZ186" s="89"/>
      <c r="BA186" s="89"/>
      <c r="BB186" s="89"/>
      <c r="BC186" s="89"/>
      <c r="BD186" s="89"/>
      <c r="BE186" s="89"/>
      <c r="BF186" s="89"/>
      <c r="BG186" s="89"/>
      <c r="BH186" s="89"/>
      <c r="BI186" s="89"/>
      <c r="BJ186" s="89"/>
      <c r="BK186" s="89"/>
      <c r="BL186" s="89"/>
      <c r="BM186" s="89"/>
      <c r="BN186" s="89"/>
      <c r="BO186" s="89"/>
      <c r="BP186" s="89"/>
    </row>
    <row r="187" spans="1:68" s="56" customFormat="1" ht="45.75" hidden="1" customHeight="1">
      <c r="A187" s="204" t="str">
        <f>+IFERROR(VALUE(MID(AB187,4,4)),"")</f>
        <v/>
      </c>
      <c r="B187" s="204">
        <f>VALUE(RIGHT(C187,LEN(C187)-2))</f>
        <v>2535</v>
      </c>
      <c r="C187" s="74" t="s">
        <v>872</v>
      </c>
      <c r="D187" s="75">
        <v>45933</v>
      </c>
      <c r="E187" s="70" t="s">
        <v>332</v>
      </c>
      <c r="F187" s="70" t="s">
        <v>332</v>
      </c>
      <c r="G187" s="68" t="s">
        <v>820</v>
      </c>
      <c r="H187" s="282" t="s">
        <v>821</v>
      </c>
      <c r="I187" s="69" t="s">
        <v>873</v>
      </c>
      <c r="J187" s="69"/>
      <c r="K187" s="68" t="s">
        <v>13</v>
      </c>
      <c r="L187" s="69" t="s">
        <v>120</v>
      </c>
      <c r="M187" s="71" t="s">
        <v>141</v>
      </c>
      <c r="N187" s="69" t="e" vm="1">
        <v>#VALUE!</v>
      </c>
      <c r="O187" s="84">
        <v>45966</v>
      </c>
      <c r="P187" s="72" t="s">
        <v>874</v>
      </c>
      <c r="Q187" s="72" t="s">
        <v>623</v>
      </c>
      <c r="R187" s="162"/>
      <c r="S187" s="146"/>
      <c r="T187" s="68" t="s">
        <v>155</v>
      </c>
      <c r="U187" s="87"/>
      <c r="V187" s="80">
        <v>45932</v>
      </c>
      <c r="W187" s="73"/>
      <c r="X187" s="73"/>
      <c r="Y187" s="83" t="str">
        <f>IF(SUM(W187:W187)&gt;0,X187/SUM(W187:W187)*1000000,"N/A")</f>
        <v>N/A</v>
      </c>
      <c r="Z187" s="80"/>
      <c r="AA187" s="80"/>
      <c r="AB187" s="73"/>
      <c r="AC187" s="153"/>
      <c r="AD187" s="331"/>
      <c r="AE187" s="57"/>
      <c r="AF187" s="88"/>
      <c r="AG187" s="182">
        <f>YEAR(V187)</f>
        <v>2025</v>
      </c>
      <c r="AH187" s="86" t="str">
        <f>+IF(AG187=$AH$22,MONTH(V187),"")</f>
        <v/>
      </c>
      <c r="AI187" s="86">
        <f>+IF(AG187=$AI$22,MONTH(V187),"")</f>
        <v>10</v>
      </c>
      <c r="AJ187" s="86" t="str">
        <f>+IF(AG187=$AJ$22,MONTH(V187),"")</f>
        <v/>
      </c>
      <c r="AK187" s="86" t="str">
        <f>+IF(AG187=$AK$22,MONTH(V187),"")</f>
        <v/>
      </c>
      <c r="AL187" s="86" t="str">
        <f>+IF(AG187=$AL$22,MONTH(V187),"")</f>
        <v/>
      </c>
      <c r="AM187" s="86" t="str">
        <f>+IF($AG187=$AM$22,MONTH($D187),"")</f>
        <v/>
      </c>
      <c r="AN187" s="89" t="str">
        <f>+IF($AG187=AN$22,MONTH($D187),"")</f>
        <v/>
      </c>
      <c r="AO187" s="89" t="str">
        <f>+IF($AG187=AO$22,MONTH($D187),"")</f>
        <v/>
      </c>
      <c r="AP187" s="89" t="str">
        <f>+IF($AG187=AP$22,MONTH($D187),"")</f>
        <v/>
      </c>
      <c r="AQ187" s="89" t="str">
        <f>+IF($AG187=AQ$22,MONTH($D187),"")</f>
        <v/>
      </c>
      <c r="AR187" s="89" t="str">
        <f>+IF($AG187=AR$22,MONTH($D187),"")</f>
        <v/>
      </c>
      <c r="AS187" s="89" t="str">
        <f>+IF($AG187=AS$22,MONTH($D187),"")</f>
        <v/>
      </c>
      <c r="AT187" s="89" t="str">
        <f>+IF($AG187=AT$22,MONTH($D187),"")</f>
        <v/>
      </c>
      <c r="AU187" s="89" t="str">
        <f>+IF($AG187=AU$22,MONTH($D187),"")</f>
        <v/>
      </c>
      <c r="AV187" s="89" t="str">
        <f>+IF($AG187=AV$22,MONTH($D187),"")</f>
        <v/>
      </c>
      <c r="AW187" s="86" t="str">
        <f>+IF($AG187=AW$22,MONTH($D187),"")</f>
        <v/>
      </c>
      <c r="AX187" s="86" t="str">
        <f>+IF($AG187=AX$22,MONTH($D187),"")</f>
        <v/>
      </c>
      <c r="AY187" s="89"/>
      <c r="AZ187" s="89"/>
      <c r="BA187" s="89"/>
      <c r="BB187" s="89"/>
      <c r="BC187" s="89"/>
      <c r="BD187" s="89"/>
      <c r="BE187" s="89"/>
      <c r="BF187" s="89"/>
      <c r="BG187" s="89"/>
      <c r="BH187" s="89"/>
      <c r="BI187" s="89"/>
      <c r="BJ187" s="89"/>
      <c r="BK187" s="89"/>
      <c r="BL187" s="89"/>
      <c r="BM187" s="89"/>
      <c r="BN187" s="89"/>
      <c r="BO187" s="89"/>
      <c r="BP187" s="89"/>
    </row>
    <row r="188" spans="1:68" s="56" customFormat="1" ht="46.5" hidden="1" customHeight="1">
      <c r="A188" s="204" t="str">
        <f>+IFERROR(VALUE(MID(AB188,4,4)),"")</f>
        <v/>
      </c>
      <c r="B188" s="204">
        <f>VALUE(RIGHT(C188,LEN(C188)-2))</f>
        <v>2534</v>
      </c>
      <c r="C188" s="74" t="s">
        <v>875</v>
      </c>
      <c r="D188" s="75">
        <v>45933</v>
      </c>
      <c r="E188" s="70" t="s">
        <v>332</v>
      </c>
      <c r="F188" s="70" t="s">
        <v>332</v>
      </c>
      <c r="G188" s="68" t="s">
        <v>820</v>
      </c>
      <c r="H188" s="282" t="s">
        <v>821</v>
      </c>
      <c r="I188" s="69" t="s">
        <v>876</v>
      </c>
      <c r="J188" s="69"/>
      <c r="K188" s="68" t="s">
        <v>13</v>
      </c>
      <c r="L188" s="69" t="s">
        <v>120</v>
      </c>
      <c r="M188" s="71" t="s">
        <v>141</v>
      </c>
      <c r="N188" s="69" t="e" vm="1">
        <v>#VALUE!</v>
      </c>
      <c r="O188" s="84">
        <v>45966</v>
      </c>
      <c r="P188" s="72" t="s">
        <v>874</v>
      </c>
      <c r="Q188" s="72" t="s">
        <v>623</v>
      </c>
      <c r="R188" s="162"/>
      <c r="S188" s="146"/>
      <c r="T188" s="68" t="s">
        <v>155</v>
      </c>
      <c r="U188" s="87"/>
      <c r="V188" s="80">
        <v>45932</v>
      </c>
      <c r="W188" s="73"/>
      <c r="X188" s="73"/>
      <c r="Y188" s="83" t="str">
        <f>IF(SUM(W188:W188)&gt;0,X188/SUM(W188:W188)*1000000,"N/A")</f>
        <v>N/A</v>
      </c>
      <c r="Z188" s="80"/>
      <c r="AA188" s="80"/>
      <c r="AB188" s="73"/>
      <c r="AC188" s="153"/>
      <c r="AD188" s="331"/>
      <c r="AE188" s="57"/>
      <c r="AF188" s="88"/>
      <c r="AG188" s="182">
        <f>YEAR(V188)</f>
        <v>2025</v>
      </c>
      <c r="AH188" s="86" t="str">
        <f>+IF(AG188=$AH$22,MONTH(V188),"")</f>
        <v/>
      </c>
      <c r="AI188" s="86">
        <f>+IF(AG188=$AI$22,MONTH(V188),"")</f>
        <v>10</v>
      </c>
      <c r="AJ188" s="86" t="str">
        <f>+IF(AG188=$AJ$22,MONTH(V188),"")</f>
        <v/>
      </c>
      <c r="AK188" s="86" t="str">
        <f>+IF(AG188=$AK$22,MONTH(V188),"")</f>
        <v/>
      </c>
      <c r="AL188" s="86" t="str">
        <f>+IF(AG188=$AL$22,MONTH(V188),"")</f>
        <v/>
      </c>
      <c r="AM188" s="86" t="str">
        <f>+IF($AG188=$AM$22,MONTH($D188),"")</f>
        <v/>
      </c>
      <c r="AN188" s="89" t="str">
        <f>+IF($AG188=AN$22,MONTH($D188),"")</f>
        <v/>
      </c>
      <c r="AO188" s="89" t="str">
        <f>+IF($AG188=AO$22,MONTH($D188),"")</f>
        <v/>
      </c>
      <c r="AP188" s="89" t="str">
        <f>+IF($AG188=AP$22,MONTH($D188),"")</f>
        <v/>
      </c>
      <c r="AQ188" s="89" t="str">
        <f>+IF($AG188=AQ$22,MONTH($D188),"")</f>
        <v/>
      </c>
      <c r="AR188" s="89" t="str">
        <f>+IF($AG188=AR$22,MONTH($D188),"")</f>
        <v/>
      </c>
      <c r="AS188" s="89" t="str">
        <f>+IF($AG188=AS$22,MONTH($D188),"")</f>
        <v/>
      </c>
      <c r="AT188" s="89" t="str">
        <f>+IF($AG188=AT$22,MONTH($D188),"")</f>
        <v/>
      </c>
      <c r="AU188" s="89" t="str">
        <f>+IF($AG188=AU$22,MONTH($D188),"")</f>
        <v/>
      </c>
      <c r="AV188" s="89" t="str">
        <f>+IF($AG188=AV$22,MONTH($D188),"")</f>
        <v/>
      </c>
      <c r="AW188" s="86" t="str">
        <f>+IF($AG188=AW$22,MONTH($D188),"")</f>
        <v/>
      </c>
      <c r="AX188" s="86" t="str">
        <f>+IF($AG188=AX$22,MONTH($D188),"")</f>
        <v/>
      </c>
      <c r="AY188" s="89"/>
      <c r="AZ188" s="89"/>
      <c r="BA188" s="89"/>
      <c r="BB188" s="89"/>
      <c r="BC188" s="89"/>
      <c r="BD188" s="89"/>
      <c r="BE188" s="89"/>
      <c r="BF188" s="89"/>
      <c r="BG188" s="89"/>
      <c r="BH188" s="89"/>
      <c r="BI188" s="89"/>
      <c r="BJ188" s="89"/>
      <c r="BK188" s="89"/>
      <c r="BL188" s="89"/>
      <c r="BM188" s="89"/>
      <c r="BN188" s="89"/>
      <c r="BO188" s="89"/>
      <c r="BP188" s="89"/>
    </row>
    <row r="189" spans="1:68" s="56" customFormat="1" ht="46.5" hidden="1" customHeight="1">
      <c r="A189" s="204" t="str">
        <f>+IFERROR(VALUE(MID(AB189,4,4)),"")</f>
        <v/>
      </c>
      <c r="B189" s="204">
        <f>VALUE(RIGHT(C189,LEN(C189)-2))</f>
        <v>2533</v>
      </c>
      <c r="C189" s="74" t="s">
        <v>877</v>
      </c>
      <c r="D189" s="75">
        <v>45933</v>
      </c>
      <c r="E189" s="70" t="s">
        <v>332</v>
      </c>
      <c r="F189" s="70" t="s">
        <v>332</v>
      </c>
      <c r="G189" s="68" t="s">
        <v>820</v>
      </c>
      <c r="H189" s="282" t="s">
        <v>821</v>
      </c>
      <c r="I189" s="69" t="s">
        <v>878</v>
      </c>
      <c r="J189" s="69"/>
      <c r="K189" s="68" t="s">
        <v>13</v>
      </c>
      <c r="L189" s="69" t="s">
        <v>120</v>
      </c>
      <c r="M189" s="71" t="s">
        <v>141</v>
      </c>
      <c r="N189" s="69" t="e" vm="1">
        <v>#VALUE!</v>
      </c>
      <c r="O189" s="84">
        <v>45993</v>
      </c>
      <c r="P189" s="72" t="s">
        <v>874</v>
      </c>
      <c r="Q189" s="72" t="s">
        <v>623</v>
      </c>
      <c r="R189" s="162"/>
      <c r="S189" s="146"/>
      <c r="T189" s="68" t="s">
        <v>158</v>
      </c>
      <c r="U189" s="87">
        <v>0.01</v>
      </c>
      <c r="V189" s="80">
        <v>45932</v>
      </c>
      <c r="W189" s="73">
        <v>2209</v>
      </c>
      <c r="X189" s="73">
        <v>100.25</v>
      </c>
      <c r="Y189" s="83">
        <f>IF(SUM(W189:W189)&gt;0,X189/SUM(W189:W189)*1000000,"N/A")</f>
        <v>45382.526029877772</v>
      </c>
      <c r="Z189" s="80"/>
      <c r="AA189" s="80"/>
      <c r="AB189" s="73"/>
      <c r="AC189" s="153"/>
      <c r="AD189" s="331"/>
      <c r="AE189" s="57"/>
      <c r="AF189" s="88"/>
      <c r="AG189" s="182">
        <f>YEAR(V189)</f>
        <v>2025</v>
      </c>
      <c r="AH189" s="86" t="str">
        <f>+IF(AG189=$AH$22,MONTH(V189),"")</f>
        <v/>
      </c>
      <c r="AI189" s="86">
        <f>+IF(AG189=$AI$22,MONTH(V189),"")</f>
        <v>10</v>
      </c>
      <c r="AJ189" s="86" t="str">
        <f>+IF(AG189=$AJ$22,MONTH(V189),"")</f>
        <v/>
      </c>
      <c r="AK189" s="86" t="str">
        <f>+IF(AG189=$AK$22,MONTH(V189),"")</f>
        <v/>
      </c>
      <c r="AL189" s="86" t="str">
        <f>+IF(AG189=$AL$22,MONTH(V189),"")</f>
        <v/>
      </c>
      <c r="AM189" s="86" t="str">
        <f>+IF($AG189=$AM$22,MONTH($D189),"")</f>
        <v/>
      </c>
      <c r="AN189" s="89" t="str">
        <f>+IF($AG189=AN$22,MONTH($D189),"")</f>
        <v/>
      </c>
      <c r="AO189" s="89" t="str">
        <f>+IF($AG189=AO$22,MONTH($D189),"")</f>
        <v/>
      </c>
      <c r="AP189" s="89" t="str">
        <f>+IF($AG189=AP$22,MONTH($D189),"")</f>
        <v/>
      </c>
      <c r="AQ189" s="89" t="str">
        <f>+IF($AG189=AQ$22,MONTH($D189),"")</f>
        <v/>
      </c>
      <c r="AR189" s="89" t="str">
        <f>+IF($AG189=AR$22,MONTH($D189),"")</f>
        <v/>
      </c>
      <c r="AS189" s="89" t="str">
        <f>+IF($AG189=AS$22,MONTH($D189),"")</f>
        <v/>
      </c>
      <c r="AT189" s="89" t="str">
        <f>+IF($AG189=AT$22,MONTH($D189),"")</f>
        <v/>
      </c>
      <c r="AU189" s="89" t="str">
        <f>+IF($AG189=AU$22,MONTH($D189),"")</f>
        <v/>
      </c>
      <c r="AV189" s="89" t="str">
        <f>+IF($AG189=AV$22,MONTH($D189),"")</f>
        <v/>
      </c>
      <c r="AW189" s="86" t="str">
        <f>+IF($AG189=AW$22,MONTH($D189),"")</f>
        <v/>
      </c>
      <c r="AX189" s="86" t="str">
        <f>+IF($AG189=AX$22,MONTH($D189),"")</f>
        <v/>
      </c>
      <c r="AY189" s="89"/>
      <c r="AZ189" s="89"/>
      <c r="BA189" s="89"/>
      <c r="BB189" s="89"/>
      <c r="BC189" s="89"/>
      <c r="BD189" s="89"/>
      <c r="BE189" s="89"/>
      <c r="BF189" s="89"/>
      <c r="BG189" s="89"/>
      <c r="BH189" s="89"/>
      <c r="BI189" s="89"/>
      <c r="BJ189" s="89"/>
      <c r="BK189" s="89"/>
      <c r="BL189" s="89"/>
      <c r="BM189" s="89"/>
      <c r="BN189" s="89"/>
      <c r="BO189" s="89"/>
      <c r="BP189" s="89"/>
    </row>
    <row r="190" spans="1:68" s="56" customFormat="1" ht="46.5" hidden="1" customHeight="1">
      <c r="A190" s="204" t="str">
        <f>+IFERROR(VALUE(MID(AB190,4,4)),"")</f>
        <v/>
      </c>
      <c r="B190" s="204">
        <f>VALUE(RIGHT(C190,LEN(C190)-2))</f>
        <v>2532</v>
      </c>
      <c r="C190" s="74" t="s">
        <v>879</v>
      </c>
      <c r="D190" s="75">
        <v>45930</v>
      </c>
      <c r="E190" s="70" t="s">
        <v>53</v>
      </c>
      <c r="F190" s="70" t="s">
        <v>642</v>
      </c>
      <c r="G190" s="68" t="s">
        <v>210</v>
      </c>
      <c r="H190" s="379" t="s">
        <v>210</v>
      </c>
      <c r="I190" s="69" t="s">
        <v>880</v>
      </c>
      <c r="J190" s="69"/>
      <c r="K190" s="68" t="s">
        <v>491</v>
      </c>
      <c r="L190" s="69" t="s">
        <v>123</v>
      </c>
      <c r="M190" s="71" t="s">
        <v>141</v>
      </c>
      <c r="N190" s="69" t="e" vm="1">
        <v>#VALUE!</v>
      </c>
      <c r="O190" s="84">
        <v>45985</v>
      </c>
      <c r="P190" s="72" t="s">
        <v>258</v>
      </c>
      <c r="Q190" s="72" t="s">
        <v>259</v>
      </c>
      <c r="R190" s="162"/>
      <c r="S190" s="146"/>
      <c r="T190" s="68" t="s">
        <v>158</v>
      </c>
      <c r="U190" s="87">
        <v>0.1</v>
      </c>
      <c r="V190" s="80">
        <v>45985</v>
      </c>
      <c r="W190" s="73">
        <v>29372</v>
      </c>
      <c r="X190" s="73">
        <v>1045</v>
      </c>
      <c r="Y190" s="169">
        <f>IF(SUM(W190:W190)&gt;0,X190/SUM(W190:W190)*1000000,"N/A")</f>
        <v>35578.101593354215</v>
      </c>
      <c r="Z190" s="80"/>
      <c r="AA190" s="80"/>
      <c r="AB190" s="73"/>
      <c r="AC190" s="153"/>
      <c r="AD190" s="330"/>
      <c r="AE190" s="305"/>
      <c r="AF190" s="88"/>
      <c r="AG190" s="182">
        <f>YEAR(V190)</f>
        <v>2025</v>
      </c>
      <c r="AH190" s="86" t="str">
        <f>+IF(AG190=$AH$22,MONTH(V190),"")</f>
        <v/>
      </c>
      <c r="AI190" s="86">
        <f>+IF(AG190=$AI$22,MONTH(V190),"")</f>
        <v>11</v>
      </c>
      <c r="AJ190" s="86" t="str">
        <f>+IF(AG190=$AJ$22,MONTH(V190),"")</f>
        <v/>
      </c>
      <c r="AK190" s="86" t="str">
        <f>+IF(AG190=$AK$22,MONTH(V190),"")</f>
        <v/>
      </c>
      <c r="AL190" s="86" t="str">
        <f>+IF(AG190=$AL$22,MONTH(V190),"")</f>
        <v/>
      </c>
      <c r="AM190" s="86" t="str">
        <f>+IF($AG190=$AM$22,MONTH($D190),"")</f>
        <v/>
      </c>
      <c r="AN190" s="89" t="str">
        <f>+IF($AG190=AN$22,MONTH($D190),"")</f>
        <v/>
      </c>
      <c r="AO190" s="89" t="str">
        <f>+IF($AG190=AO$22,MONTH($D190),"")</f>
        <v/>
      </c>
      <c r="AP190" s="89" t="str">
        <f>+IF($AG190=AP$22,MONTH($D190),"")</f>
        <v/>
      </c>
      <c r="AQ190" s="89" t="str">
        <f>+IF($AG190=AQ$22,MONTH($D190),"")</f>
        <v/>
      </c>
      <c r="AR190" s="89" t="str">
        <f>+IF($AG190=AR$22,MONTH($D190),"")</f>
        <v/>
      </c>
      <c r="AS190" s="89" t="str">
        <f>+IF($AG190=AS$22,MONTH($D190),"")</f>
        <v/>
      </c>
      <c r="AT190" s="89" t="str">
        <f>+IF($AG190=AT$22,MONTH($D190),"")</f>
        <v/>
      </c>
      <c r="AU190" s="89" t="str">
        <f>+IF($AG190=AU$22,MONTH($D190),"")</f>
        <v/>
      </c>
      <c r="AV190" s="89" t="str">
        <f>+IF($AG190=AV$22,MONTH($D190),"")</f>
        <v/>
      </c>
      <c r="AW190" s="86" t="str">
        <f>+IF($AG190=AW$22,MONTH($D190),"")</f>
        <v/>
      </c>
      <c r="AX190" s="86" t="str">
        <f>+IF($AG190=AX$22,MONTH($D190),"")</f>
        <v/>
      </c>
      <c r="AY190" s="89"/>
      <c r="AZ190" s="89"/>
      <c r="BA190" s="89"/>
      <c r="BB190" s="89"/>
      <c r="BC190" s="89"/>
      <c r="BD190" s="89"/>
      <c r="BE190" s="89"/>
      <c r="BF190" s="89"/>
      <c r="BG190" s="89"/>
      <c r="BH190" s="89"/>
      <c r="BI190" s="89"/>
      <c r="BJ190" s="89"/>
      <c r="BK190" s="89"/>
      <c r="BL190" s="89"/>
      <c r="BM190" s="89"/>
      <c r="BN190" s="89"/>
      <c r="BO190" s="89"/>
      <c r="BP190" s="89"/>
    </row>
    <row r="191" spans="1:68" s="382" customFormat="1" ht="45.75" hidden="1" customHeight="1">
      <c r="A191" s="204">
        <f>+IFERROR(VALUE(MID(AB191,4,4)),"")</f>
        <v>409</v>
      </c>
      <c r="B191" s="204">
        <f>VALUE(RIGHT(C191,LEN(C191)-2))</f>
        <v>2531</v>
      </c>
      <c r="C191" s="74" t="s">
        <v>881</v>
      </c>
      <c r="D191" s="75">
        <v>45929</v>
      </c>
      <c r="E191" s="70" t="s">
        <v>353</v>
      </c>
      <c r="F191" s="68" t="s">
        <v>354</v>
      </c>
      <c r="G191" s="68" t="s">
        <v>882</v>
      </c>
      <c r="H191" s="304" t="s">
        <v>647</v>
      </c>
      <c r="I191" s="69" t="s">
        <v>883</v>
      </c>
      <c r="J191" s="69"/>
      <c r="K191" s="68" t="s">
        <v>9</v>
      </c>
      <c r="L191" s="69" t="s">
        <v>120</v>
      </c>
      <c r="M191" s="71" t="s">
        <v>141</v>
      </c>
      <c r="N191" s="69" t="e" vm="1">
        <v>#VALUE!</v>
      </c>
      <c r="O191" s="84">
        <v>45929</v>
      </c>
      <c r="P191" s="69" t="s">
        <v>649</v>
      </c>
      <c r="Q191" s="69" t="s">
        <v>623</v>
      </c>
      <c r="R191" s="69"/>
      <c r="S191" s="146"/>
      <c r="T191" s="68" t="s">
        <v>165</v>
      </c>
      <c r="U191" s="87"/>
      <c r="V191" s="80">
        <v>46049</v>
      </c>
      <c r="W191" s="73">
        <v>304</v>
      </c>
      <c r="X191" s="73">
        <v>17</v>
      </c>
      <c r="Y191" s="83">
        <f>IF(SUM(W191:W191)&gt;0,X191/SUM(W191:W191)*1000000,"N/A")</f>
        <v>55921.052631578947</v>
      </c>
      <c r="Z191" s="80"/>
      <c r="AA191" s="80"/>
      <c r="AB191" s="73" t="s">
        <v>884</v>
      </c>
      <c r="AC191" s="75"/>
      <c r="AD191" s="332"/>
      <c r="AE191" s="68"/>
      <c r="AF191" s="73"/>
      <c r="AG191" s="182">
        <f>YEAR(V191)</f>
        <v>2026</v>
      </c>
      <c r="AH191" s="86">
        <f>+IF(AG191=$AH$22,MONTH(V191),"")</f>
        <v>1</v>
      </c>
      <c r="AI191" s="86" t="str">
        <f>+IF(AG191=$AI$22,MONTH(V191),"")</f>
        <v/>
      </c>
      <c r="AJ191" s="86" t="str">
        <f>+IF(AG191=$AJ$22,MONTH(V191),"")</f>
        <v/>
      </c>
      <c r="AK191" s="86" t="str">
        <f>+IF(AG191=$AK$22,MONTH(V191),"")</f>
        <v/>
      </c>
      <c r="AL191" s="86" t="str">
        <f>+IF(AG191=$AL$22,MONTH(V191),"")</f>
        <v/>
      </c>
      <c r="AM191" s="86" t="str">
        <f>+IF($AG191=$AM$22,MONTH($D191),"")</f>
        <v/>
      </c>
      <c r="AN191" s="89" t="str">
        <f>+IF($AG191=AN$22,MONTH($D191),"")</f>
        <v/>
      </c>
      <c r="AO191" s="184" t="str">
        <f>+IF($AG191=AO$22,MONTH($D191),"")</f>
        <v/>
      </c>
      <c r="AP191" s="184" t="str">
        <f>+IF($AG191=AP$22,MONTH($D191),"")</f>
        <v/>
      </c>
      <c r="AQ191" s="184" t="str">
        <f>+IF($AG191=AQ$22,MONTH($D191),"")</f>
        <v/>
      </c>
      <c r="AR191" s="184" t="str">
        <f>+IF($AG191=AR$22,MONTH($D191),"")</f>
        <v/>
      </c>
      <c r="AS191" s="184" t="str">
        <f>+IF($AG191=AS$22,MONTH($D191),"")</f>
        <v/>
      </c>
      <c r="AT191" s="86" t="str">
        <f>+IF($AG191=AT$22,MONTH($D191),"")</f>
        <v/>
      </c>
      <c r="AU191" s="86" t="str">
        <f>+IF($AG191=AU$22,MONTH($D191),"")</f>
        <v/>
      </c>
      <c r="AV191" s="86" t="str">
        <f>+IF($AG191=AV$22,MONTH($D191),"")</f>
        <v/>
      </c>
      <c r="AW191" s="86" t="str">
        <f>+IF($AG191=AW$22,MONTH($D191),"")</f>
        <v/>
      </c>
      <c r="AX191" s="86" t="str">
        <f>+IF($AG191=AX$22,MONTH($D191),"")</f>
        <v/>
      </c>
      <c r="AY191" s="89"/>
      <c r="AZ191" s="89"/>
      <c r="BA191" s="89"/>
      <c r="BB191" s="89"/>
      <c r="BC191" s="89"/>
      <c r="BD191" s="89"/>
      <c r="BE191" s="89"/>
      <c r="BF191" s="89"/>
      <c r="BG191" s="89"/>
      <c r="BH191" s="89"/>
      <c r="BI191" s="89"/>
      <c r="BJ191" s="89"/>
      <c r="BK191" s="89"/>
      <c r="BL191" s="89"/>
      <c r="BM191" s="89"/>
      <c r="BN191" s="89"/>
      <c r="BO191" s="89"/>
      <c r="BP191" s="89"/>
    </row>
    <row r="192" spans="1:68" s="381" customFormat="1" ht="45.75" hidden="1" customHeight="1">
      <c r="A192" s="204" t="str">
        <f>+IFERROR(VALUE(MID(AB192,4,4)),"")</f>
        <v/>
      </c>
      <c r="B192" s="204">
        <f>VALUE(RIGHT(C192,LEN(C192)-2))</f>
        <v>2530</v>
      </c>
      <c r="C192" s="74" t="s">
        <v>885</v>
      </c>
      <c r="D192" s="75">
        <v>45926</v>
      </c>
      <c r="E192" s="70" t="s">
        <v>353</v>
      </c>
      <c r="F192" s="68" t="s">
        <v>354</v>
      </c>
      <c r="G192" s="68" t="s">
        <v>646</v>
      </c>
      <c r="H192" s="304" t="s">
        <v>647</v>
      </c>
      <c r="I192" s="69" t="s">
        <v>886</v>
      </c>
      <c r="J192" s="69"/>
      <c r="K192" s="68" t="s">
        <v>12</v>
      </c>
      <c r="L192" s="69" t="s">
        <v>120</v>
      </c>
      <c r="M192" s="71" t="s">
        <v>141</v>
      </c>
      <c r="N192" s="69" t="e" vm="1">
        <v>#VALUE!</v>
      </c>
      <c r="O192" s="84">
        <v>45930</v>
      </c>
      <c r="P192" s="69" t="s">
        <v>649</v>
      </c>
      <c r="Q192" s="69" t="s">
        <v>316</v>
      </c>
      <c r="R192" s="69"/>
      <c r="S192" s="146"/>
      <c r="T192" s="68" t="s">
        <v>165</v>
      </c>
      <c r="U192" s="87"/>
      <c r="V192" s="80">
        <v>46049</v>
      </c>
      <c r="W192" s="73">
        <v>195</v>
      </c>
      <c r="X192" s="73">
        <v>9.5830000000000002</v>
      </c>
      <c r="Y192" s="83">
        <f>IF(SUM(W192:W192)&gt;0,X192/SUM(W192:W192)*1000000,"N/A")</f>
        <v>49143.58974358975</v>
      </c>
      <c r="Z192" s="80"/>
      <c r="AA192" s="80"/>
      <c r="AB192" s="150"/>
      <c r="AC192" s="75"/>
      <c r="AD192" s="332"/>
      <c r="AE192" s="68"/>
      <c r="AF192" s="73"/>
      <c r="AG192" s="182">
        <f>YEAR(V192)</f>
        <v>2026</v>
      </c>
      <c r="AH192" s="86">
        <f>+IF(AG192=$AH$22,MONTH(V192),"")</f>
        <v>1</v>
      </c>
      <c r="AI192" s="86" t="str">
        <f>+IF(AG192=$AI$22,MONTH(V192),"")</f>
        <v/>
      </c>
      <c r="AJ192" s="86" t="str">
        <f>+IF(AG192=$AJ$22,MONTH(V192),"")</f>
        <v/>
      </c>
      <c r="AK192" s="86" t="str">
        <f>+IF(AG192=$AK$22,MONTH(V192),"")</f>
        <v/>
      </c>
      <c r="AL192" s="86" t="str">
        <f>+IF(AG192=$AL$22,MONTH(V192),"")</f>
        <v/>
      </c>
      <c r="AM192" s="86" t="str">
        <f>+IF($AG192=$AM$22,MONTH($D192),"")</f>
        <v/>
      </c>
      <c r="AN192" s="89" t="str">
        <f>+IF($AG192=AN$22,MONTH($D192),"")</f>
        <v/>
      </c>
      <c r="AO192" s="184" t="str">
        <f>+IF($AG192=AO$22,MONTH($D192),"")</f>
        <v/>
      </c>
      <c r="AP192" s="184" t="str">
        <f>+IF($AG192=AP$22,MONTH($D192),"")</f>
        <v/>
      </c>
      <c r="AQ192" s="184" t="str">
        <f>+IF($AG192=AQ$22,MONTH($D192),"")</f>
        <v/>
      </c>
      <c r="AR192" s="184" t="str">
        <f>+IF($AG192=AR$22,MONTH($D192),"")</f>
        <v/>
      </c>
      <c r="AS192" s="184" t="str">
        <f>+IF($AG192=AS$22,MONTH($D192),"")</f>
        <v/>
      </c>
      <c r="AT192" s="86" t="str">
        <f>+IF($AG192=AT$22,MONTH($D192),"")</f>
        <v/>
      </c>
      <c r="AU192" s="86" t="str">
        <f>+IF($AG192=AU$22,MONTH($D192),"")</f>
        <v/>
      </c>
      <c r="AV192" s="86" t="str">
        <f>+IF($AG192=AV$22,MONTH($D192),"")</f>
        <v/>
      </c>
      <c r="AW192" s="86" t="str">
        <f>+IF($AG192=AW$22,MONTH($D192),"")</f>
        <v/>
      </c>
      <c r="AX192" s="86" t="str">
        <f>+IF($AG192=AX$22,MONTH($D192),"")</f>
        <v/>
      </c>
      <c r="AY192" s="89"/>
      <c r="AZ192" s="89"/>
      <c r="BA192" s="89"/>
      <c r="BB192" s="89"/>
      <c r="BC192" s="89"/>
      <c r="BD192" s="89"/>
      <c r="BE192" s="89"/>
      <c r="BF192" s="89"/>
      <c r="BG192" s="89"/>
      <c r="BH192" s="89"/>
      <c r="BI192" s="89"/>
      <c r="BJ192" s="89"/>
      <c r="BK192" s="89"/>
      <c r="BL192" s="89"/>
      <c r="BM192" s="89"/>
      <c r="BN192" s="89"/>
      <c r="BO192" s="89"/>
      <c r="BP192" s="89"/>
    </row>
    <row r="193" spans="1:68" s="381" customFormat="1" ht="45.75" hidden="1" customHeight="1">
      <c r="A193" s="204">
        <f>+IFERROR(VALUE(MID(AB193,4,4)),"")</f>
        <v>464</v>
      </c>
      <c r="B193" s="204">
        <f>VALUE(RIGHT(C193,LEN(C193)-2))</f>
        <v>2529</v>
      </c>
      <c r="C193" s="74" t="s">
        <v>887</v>
      </c>
      <c r="D193" s="75">
        <v>45925</v>
      </c>
      <c r="E193" s="70" t="s">
        <v>262</v>
      </c>
      <c r="F193" s="70" t="s">
        <v>263</v>
      </c>
      <c r="G193" s="68" t="s">
        <v>888</v>
      </c>
      <c r="H193" s="307" t="s">
        <v>889</v>
      </c>
      <c r="I193" s="69" t="s">
        <v>890</v>
      </c>
      <c r="J193" s="69"/>
      <c r="K193" s="68" t="s">
        <v>26</v>
      </c>
      <c r="L193" s="69" t="s">
        <v>123</v>
      </c>
      <c r="M193" s="71" t="s">
        <v>141</v>
      </c>
      <c r="N193" s="69" t="e" vm="1">
        <v>#VALUE!</v>
      </c>
      <c r="O193" s="84">
        <v>45965</v>
      </c>
      <c r="P193" s="72" t="s">
        <v>377</v>
      </c>
      <c r="Q193" s="72" t="s">
        <v>652</v>
      </c>
      <c r="R193" s="162"/>
      <c r="S193" s="146"/>
      <c r="T193" s="68" t="s">
        <v>3</v>
      </c>
      <c r="U193" s="87"/>
      <c r="V193" s="80">
        <v>46007</v>
      </c>
      <c r="W193" s="73"/>
      <c r="X193" s="214"/>
      <c r="Y193" s="169" t="str">
        <f>IF(SUM(W193:W193)&gt;0,X193/SUM(W193:W193)*1000000,"N/A")</f>
        <v>N/A</v>
      </c>
      <c r="Z193" s="80"/>
      <c r="AA193" s="80"/>
      <c r="AB193" s="73" t="s">
        <v>891</v>
      </c>
      <c r="AC193" s="153"/>
      <c r="AD193" s="330"/>
      <c r="AE193" s="305"/>
      <c r="AF193" s="88"/>
      <c r="AG193" s="182">
        <f>YEAR(V193)</f>
        <v>2025</v>
      </c>
      <c r="AH193" s="86" t="str">
        <f>+IF(AG193=$AH$22,MONTH(V193),"")</f>
        <v/>
      </c>
      <c r="AI193" s="86">
        <f>+IF(AG193=$AI$22,MONTH(V193),"")</f>
        <v>12</v>
      </c>
      <c r="AJ193" s="86" t="str">
        <f>+IF(AG193=$AJ$22,MONTH(V193),"")</f>
        <v/>
      </c>
      <c r="AK193" s="86" t="str">
        <f>+IF(AG193=$AK$22,MONTH(V193),"")</f>
        <v/>
      </c>
      <c r="AL193" s="86" t="str">
        <f>+IF(AG193=$AL$22,MONTH(V193),"")</f>
        <v/>
      </c>
      <c r="AM193" s="86" t="str">
        <f>+IF($AG193=$AM$22,MONTH($D193),"")</f>
        <v/>
      </c>
      <c r="AN193" s="89" t="str">
        <f>+IF($AG193=AN$22,MONTH($D193),"")</f>
        <v/>
      </c>
      <c r="AO193" s="89" t="str">
        <f>+IF($AG193=AO$22,MONTH($D193),"")</f>
        <v/>
      </c>
      <c r="AP193" s="89" t="str">
        <f>+IF($AG193=AP$22,MONTH($D193),"")</f>
        <v/>
      </c>
      <c r="AQ193" s="89" t="str">
        <f>+IF($AG193=AQ$22,MONTH($D193),"")</f>
        <v/>
      </c>
      <c r="AR193" s="89" t="str">
        <f>+IF($AG193=AR$22,MONTH($D193),"")</f>
        <v/>
      </c>
      <c r="AS193" s="89" t="str">
        <f>+IF($AG193=AS$22,MONTH($D193),"")</f>
        <v/>
      </c>
      <c r="AT193" s="89" t="str">
        <f>+IF($AG193=AT$22,MONTH($D193),"")</f>
        <v/>
      </c>
      <c r="AU193" s="89" t="str">
        <f>+IF($AG193=AU$22,MONTH($D193),"")</f>
        <v/>
      </c>
      <c r="AV193" s="89" t="str">
        <f>+IF($AG193=AV$22,MONTH($D193),"")</f>
        <v/>
      </c>
      <c r="AW193" s="86" t="str">
        <f>+IF($AG193=AW$22,MONTH($D193),"")</f>
        <v/>
      </c>
      <c r="AX193" s="86" t="str">
        <f>+IF($AG193=AX$22,MONTH($D193),"")</f>
        <v/>
      </c>
      <c r="AY193" s="89"/>
      <c r="AZ193" s="89"/>
      <c r="BA193" s="89"/>
      <c r="BB193" s="89"/>
      <c r="BC193" s="89"/>
      <c r="BD193" s="89"/>
      <c r="BE193" s="89"/>
      <c r="BF193" s="89"/>
      <c r="BG193" s="89"/>
      <c r="BH193" s="89"/>
      <c r="BI193" s="89"/>
      <c r="BJ193" s="89"/>
      <c r="BK193" s="89"/>
      <c r="BL193" s="89"/>
      <c r="BM193" s="89"/>
      <c r="BN193" s="89"/>
      <c r="BO193" s="89"/>
      <c r="BP193" s="89"/>
    </row>
    <row r="194" spans="1:68" s="56" customFormat="1" ht="51" hidden="1" customHeight="1">
      <c r="A194" s="204" t="str">
        <f>+IFERROR(VALUE(MID(AB194,4,4)),"")</f>
        <v/>
      </c>
      <c r="B194" s="204">
        <f>VALUE(RIGHT(C194,LEN(C194)-2))</f>
        <v>2528</v>
      </c>
      <c r="C194" s="74" t="s">
        <v>892</v>
      </c>
      <c r="D194" s="75">
        <v>45925</v>
      </c>
      <c r="E194" s="70" t="s">
        <v>479</v>
      </c>
      <c r="F194" s="70" t="s">
        <v>479</v>
      </c>
      <c r="G194" s="68" t="s">
        <v>893</v>
      </c>
      <c r="H194" s="307" t="s">
        <v>894</v>
      </c>
      <c r="I194" s="162" t="s">
        <v>895</v>
      </c>
      <c r="J194" s="162"/>
      <c r="K194" s="68" t="s">
        <v>896</v>
      </c>
      <c r="L194" s="69" t="s">
        <v>129</v>
      </c>
      <c r="M194" s="71" t="s">
        <v>113</v>
      </c>
      <c r="N194" s="69" t="e" vm="2">
        <v>#VALUE!</v>
      </c>
      <c r="O194" s="84">
        <v>45938</v>
      </c>
      <c r="P194" s="82" t="s">
        <v>294</v>
      </c>
      <c r="Q194" s="72" t="s">
        <v>623</v>
      </c>
      <c r="R194" s="162"/>
      <c r="S194" s="146"/>
      <c r="T194" s="68" t="s">
        <v>165</v>
      </c>
      <c r="U194" s="87"/>
      <c r="V194" s="183">
        <v>45945</v>
      </c>
      <c r="W194" s="73">
        <v>4217</v>
      </c>
      <c r="X194" s="73">
        <v>130</v>
      </c>
      <c r="Y194" s="83">
        <f>IF(SUM(W194:W194)&gt;0,X194/SUM(W194:W194)*1000000,"N/A")</f>
        <v>30827.602561062366</v>
      </c>
      <c r="Z194" s="183"/>
      <c r="AA194" s="183"/>
      <c r="AB194" s="73"/>
      <c r="AC194" s="153"/>
      <c r="AD194" s="331"/>
      <c r="AE194" s="57"/>
      <c r="AF194" s="88"/>
      <c r="AG194" s="182">
        <f>YEAR(V194)</f>
        <v>2025</v>
      </c>
      <c r="AH194" s="86" t="str">
        <f>+IF(AG194=$AH$22,MONTH(V194),"")</f>
        <v/>
      </c>
      <c r="AI194" s="86">
        <f>+IF(AG194=$AI$22,MONTH(V194),"")</f>
        <v>10</v>
      </c>
      <c r="AJ194" s="86" t="str">
        <f>+IF(AG194=$AJ$22,MONTH(V194),"")</f>
        <v/>
      </c>
      <c r="AK194" s="86" t="str">
        <f>+IF(AG194=$AK$22,MONTH(V194),"")</f>
        <v/>
      </c>
      <c r="AL194" s="86"/>
      <c r="AM194" s="89"/>
      <c r="AN194" s="89"/>
      <c r="AO194" s="89"/>
      <c r="AP194" s="89"/>
      <c r="AQ194" s="89"/>
      <c r="AR194" s="89"/>
      <c r="AS194" s="89"/>
      <c r="AT194" s="89"/>
      <c r="AU194" s="89"/>
      <c r="AV194" s="89"/>
      <c r="AW194" s="86" t="str">
        <f>+IF($AG194=AW$22,MONTH($D194),"")</f>
        <v/>
      </c>
      <c r="AX194" s="86" t="str">
        <f>+IF($AG194=AX$22,MONTH($D194),"")</f>
        <v/>
      </c>
      <c r="AY194" s="89"/>
      <c r="AZ194" s="89"/>
      <c r="BA194" s="89"/>
      <c r="BB194" s="89"/>
      <c r="BC194" s="89"/>
      <c r="BD194" s="89"/>
      <c r="BE194" s="89"/>
      <c r="BF194" s="89"/>
      <c r="BG194" s="89"/>
      <c r="BH194" s="89"/>
      <c r="BI194" s="89"/>
      <c r="BJ194" s="89"/>
      <c r="BK194" s="89"/>
      <c r="BL194" s="89"/>
      <c r="BM194" s="89"/>
      <c r="BN194" s="89"/>
      <c r="BO194" s="89"/>
      <c r="BP194" s="89"/>
    </row>
    <row r="195" spans="1:68" s="56" customFormat="1" ht="33.75" hidden="1" customHeight="1">
      <c r="A195" s="204">
        <f>+IFERROR(VALUE(MID(AB195,4,4)),"")</f>
        <v>368</v>
      </c>
      <c r="B195" s="204">
        <f>VALUE(RIGHT(C195,LEN(C195)-2))</f>
        <v>2527</v>
      </c>
      <c r="C195" s="74" t="s">
        <v>897</v>
      </c>
      <c r="D195" s="75">
        <v>45925</v>
      </c>
      <c r="E195" s="70" t="s">
        <v>262</v>
      </c>
      <c r="F195" s="70" t="s">
        <v>270</v>
      </c>
      <c r="G195" s="68" t="s">
        <v>436</v>
      </c>
      <c r="H195" s="307" t="s">
        <v>437</v>
      </c>
      <c r="I195" s="69" t="s">
        <v>898</v>
      </c>
      <c r="J195" s="69"/>
      <c r="K195" s="68" t="s">
        <v>9</v>
      </c>
      <c r="L195" s="69" t="s">
        <v>120</v>
      </c>
      <c r="M195" s="71" t="s">
        <v>141</v>
      </c>
      <c r="N195" s="69" t="e" vm="1">
        <v>#VALUE!</v>
      </c>
      <c r="O195" s="84">
        <v>45925</v>
      </c>
      <c r="P195" s="72" t="s">
        <v>369</v>
      </c>
      <c r="Q195" s="72" t="s">
        <v>623</v>
      </c>
      <c r="R195" s="162"/>
      <c r="S195" s="146" t="s">
        <v>899</v>
      </c>
      <c r="T195" s="68" t="s">
        <v>3</v>
      </c>
      <c r="U195" s="87"/>
      <c r="V195" s="80">
        <v>45926</v>
      </c>
      <c r="W195" s="73">
        <v>52</v>
      </c>
      <c r="X195" s="73">
        <v>2.496</v>
      </c>
      <c r="Y195" s="169">
        <f>IF(SUM(W195:W195)&gt;0,X195/SUM(W195:W195)*1000000,"N/A")</f>
        <v>48000</v>
      </c>
      <c r="Z195" s="80"/>
      <c r="AA195" s="80"/>
      <c r="AB195" s="73" t="s">
        <v>900</v>
      </c>
      <c r="AC195" s="153"/>
      <c r="AD195" s="330" t="s">
        <v>134</v>
      </c>
      <c r="AE195" s="305"/>
      <c r="AF195" s="88"/>
      <c r="AG195" s="182">
        <f>YEAR(V195)</f>
        <v>2025</v>
      </c>
      <c r="AH195" s="86" t="str">
        <f>+IF(AG195=$AH$22,MONTH(V195),"")</f>
        <v/>
      </c>
      <c r="AI195" s="86">
        <f>+IF(AG195=$AI$22,MONTH(V195),"")</f>
        <v>9</v>
      </c>
      <c r="AJ195" s="86" t="str">
        <f>+IF(AG195=$AJ$22,MONTH(V195),"")</f>
        <v/>
      </c>
      <c r="AK195" s="86" t="str">
        <f>+IF(AG195=$AK$22,MONTH(V195),"")</f>
        <v/>
      </c>
      <c r="AL195" s="86" t="str">
        <f>+IF(AG195=$AL$22,MONTH(V195),"")</f>
        <v/>
      </c>
      <c r="AM195" s="86" t="str">
        <f>+IF($AG195=$AM$22,MONTH($D195),"")</f>
        <v/>
      </c>
      <c r="AN195" s="89" t="str">
        <f>+IF($AG195=AN$22,MONTH($D195),"")</f>
        <v/>
      </c>
      <c r="AO195" s="89" t="str">
        <f>+IF($AG195=AO$22,MONTH($D195),"")</f>
        <v/>
      </c>
      <c r="AP195" s="89" t="str">
        <f>+IF($AG195=AP$22,MONTH($D195),"")</f>
        <v/>
      </c>
      <c r="AQ195" s="89" t="str">
        <f>+IF($AG195=AQ$22,MONTH($D195),"")</f>
        <v/>
      </c>
      <c r="AR195" s="89" t="str">
        <f>+IF($AG195=AR$22,MONTH($D195),"")</f>
        <v/>
      </c>
      <c r="AS195" s="89" t="str">
        <f>+IF($AG195=AS$22,MONTH($D195),"")</f>
        <v/>
      </c>
      <c r="AT195" s="89" t="str">
        <f>+IF($AG195=AT$22,MONTH($D195),"")</f>
        <v/>
      </c>
      <c r="AU195" s="89" t="str">
        <f>+IF($AG195=AU$22,MONTH($D195),"")</f>
        <v/>
      </c>
      <c r="AV195" s="89" t="str">
        <f>+IF($AG195=AV$22,MONTH($D195),"")</f>
        <v/>
      </c>
      <c r="AW195" s="86" t="str">
        <f>+IF($AG195=AW$22,MONTH($D195),"")</f>
        <v/>
      </c>
      <c r="AX195" s="86" t="str">
        <f>+IF($AG195=AX$22,MONTH($D195),"")</f>
        <v/>
      </c>
      <c r="AY195" s="89"/>
      <c r="AZ195" s="89"/>
      <c r="BA195" s="89"/>
      <c r="BB195" s="89"/>
      <c r="BC195" s="89"/>
      <c r="BD195" s="89"/>
      <c r="BE195" s="89"/>
      <c r="BF195" s="89"/>
      <c r="BG195" s="89"/>
      <c r="BH195" s="89"/>
      <c r="BI195" s="89"/>
      <c r="BJ195" s="89"/>
      <c r="BK195" s="89"/>
      <c r="BL195" s="89"/>
      <c r="BM195" s="89"/>
      <c r="BN195" s="89"/>
      <c r="BO195" s="89"/>
      <c r="BP195" s="89"/>
    </row>
    <row r="196" spans="1:68" s="347" customFormat="1" ht="42.75" hidden="1" customHeight="1">
      <c r="A196" s="204" t="str">
        <f>+IFERROR(VALUE(MID(AB196,4,4)),"")</f>
        <v/>
      </c>
      <c r="B196" s="204">
        <f>VALUE(RIGHT(C196,LEN(C196)-2))</f>
        <v>2526</v>
      </c>
      <c r="C196" s="74" t="s">
        <v>901</v>
      </c>
      <c r="D196" s="75">
        <v>45924</v>
      </c>
      <c r="E196" s="70" t="s">
        <v>96</v>
      </c>
      <c r="F196" s="70" t="s">
        <v>96</v>
      </c>
      <c r="G196" s="68"/>
      <c r="H196" s="307" t="s">
        <v>902</v>
      </c>
      <c r="I196" s="162" t="s">
        <v>903</v>
      </c>
      <c r="J196" s="162"/>
      <c r="K196" s="68" t="s">
        <v>9</v>
      </c>
      <c r="L196" s="69" t="s">
        <v>120</v>
      </c>
      <c r="M196" s="71" t="s">
        <v>141</v>
      </c>
      <c r="N196" s="69" t="e" vm="1">
        <v>#VALUE!</v>
      </c>
      <c r="O196" s="164">
        <v>45929</v>
      </c>
      <c r="P196" s="72" t="s">
        <v>451</v>
      </c>
      <c r="Q196" s="72" t="s">
        <v>316</v>
      </c>
      <c r="R196" s="162"/>
      <c r="S196" s="146"/>
      <c r="T196" s="68" t="s">
        <v>165</v>
      </c>
      <c r="U196" s="87"/>
      <c r="V196" s="183">
        <v>45968</v>
      </c>
      <c r="W196" s="73">
        <v>862</v>
      </c>
      <c r="X196" s="73">
        <f>969*39485/1000000</f>
        <v>38.260964999999999</v>
      </c>
      <c r="Y196" s="83">
        <f>IF(SUM(W196:W196)&gt;0,X196/SUM(W196:W196)*1000000,"N/A")</f>
        <v>44386.270301624128</v>
      </c>
      <c r="Z196" s="183"/>
      <c r="AA196" s="183"/>
      <c r="AB196" s="73"/>
      <c r="AC196" s="153"/>
      <c r="AD196" s="330"/>
      <c r="AE196" s="305"/>
      <c r="AF196" s="88"/>
      <c r="AG196" s="182">
        <f>YEAR(V196)</f>
        <v>2025</v>
      </c>
      <c r="AH196" s="86" t="str">
        <f>+IF(AG196=$AH$22,MONTH(V196),"")</f>
        <v/>
      </c>
      <c r="AI196" s="86">
        <f>+IF(AG196=$AI$22,MONTH(V196),"")</f>
        <v>11</v>
      </c>
      <c r="AJ196" s="86" t="str">
        <f>+IF(AG196=$AJ$22,MONTH(V196),"")</f>
        <v/>
      </c>
      <c r="AK196" s="86" t="str">
        <f>+IF(AG196=$AK$22,MONTH(V196),"")</f>
        <v/>
      </c>
      <c r="AL196" s="86"/>
      <c r="AM196" s="89"/>
      <c r="AN196" s="89"/>
      <c r="AO196" s="89"/>
      <c r="AP196" s="89"/>
      <c r="AQ196" s="89"/>
      <c r="AR196" s="89"/>
      <c r="AS196" s="89"/>
      <c r="AT196" s="89"/>
      <c r="AU196" s="89"/>
      <c r="AV196" s="89"/>
      <c r="AW196" s="86" t="str">
        <f>+IF($AG196=AW$22,MONTH($D196),"")</f>
        <v/>
      </c>
      <c r="AX196" s="86" t="str">
        <f>+IF($AG196=AX$22,MONTH($D196),"")</f>
        <v/>
      </c>
      <c r="AY196" s="89"/>
      <c r="AZ196" s="89"/>
      <c r="BA196" s="89"/>
      <c r="BB196" s="89"/>
      <c r="BC196" s="89"/>
      <c r="BD196" s="89"/>
      <c r="BE196" s="89"/>
      <c r="BF196" s="89"/>
      <c r="BG196" s="89"/>
      <c r="BH196" s="89"/>
      <c r="BI196" s="89"/>
      <c r="BJ196" s="89"/>
      <c r="BK196" s="89"/>
      <c r="BL196" s="89"/>
      <c r="BM196" s="89"/>
      <c r="BN196" s="89"/>
      <c r="BO196" s="89"/>
      <c r="BP196" s="89"/>
    </row>
    <row r="197" spans="1:68" s="381" customFormat="1" ht="24" hidden="1" customHeight="1">
      <c r="A197" s="204" t="str">
        <f>+IFERROR(VALUE(MID(AB197,4,4)),"")</f>
        <v/>
      </c>
      <c r="B197" s="204">
        <f>VALUE(RIGHT(C197,LEN(C197)-2))</f>
        <v>2525</v>
      </c>
      <c r="C197" s="74" t="s">
        <v>904</v>
      </c>
      <c r="D197" s="75">
        <v>45924</v>
      </c>
      <c r="E197" s="70" t="s">
        <v>53</v>
      </c>
      <c r="F197" s="70" t="s">
        <v>642</v>
      </c>
      <c r="G197" s="68" t="s">
        <v>210</v>
      </c>
      <c r="H197" s="379" t="s">
        <v>210</v>
      </c>
      <c r="I197" s="69" t="s">
        <v>905</v>
      </c>
      <c r="J197" s="69"/>
      <c r="K197" s="68" t="s">
        <v>9</v>
      </c>
      <c r="L197" s="69" t="s">
        <v>123</v>
      </c>
      <c r="M197" s="71" t="s">
        <v>141</v>
      </c>
      <c r="N197" s="69" t="e" vm="1">
        <v>#VALUE!</v>
      </c>
      <c r="O197" s="84">
        <v>45966</v>
      </c>
      <c r="P197" s="72" t="s">
        <v>213</v>
      </c>
      <c r="Q197" s="72" t="s">
        <v>259</v>
      </c>
      <c r="R197" s="162"/>
      <c r="S197" s="146"/>
      <c r="T197" s="68" t="s">
        <v>155</v>
      </c>
      <c r="U197" s="87"/>
      <c r="V197" s="80">
        <v>45925</v>
      </c>
      <c r="W197" s="73"/>
      <c r="X197" s="73"/>
      <c r="Y197" s="169" t="str">
        <f>IF(SUM(W197:W197)&gt;0,X197/SUM(W197:W197)*1000000,"N/A")</f>
        <v>N/A</v>
      </c>
      <c r="Z197" s="80"/>
      <c r="AA197" s="80"/>
      <c r="AB197" s="73"/>
      <c r="AC197" s="153"/>
      <c r="AD197" s="330"/>
      <c r="AE197" s="305"/>
      <c r="AF197" s="88"/>
      <c r="AG197" s="182">
        <f>YEAR(V197)</f>
        <v>2025</v>
      </c>
      <c r="AH197" s="86" t="str">
        <f>+IF(AG197=$AH$22,MONTH(V197),"")</f>
        <v/>
      </c>
      <c r="AI197" s="86">
        <f>+IF(AG197=$AI$22,MONTH(V197),"")</f>
        <v>9</v>
      </c>
      <c r="AJ197" s="86" t="str">
        <f>+IF(AG197=$AJ$22,MONTH(V197),"")</f>
        <v/>
      </c>
      <c r="AK197" s="86" t="str">
        <f>+IF(AG197=$AK$22,MONTH(V197),"")</f>
        <v/>
      </c>
      <c r="AL197" s="86" t="str">
        <f>+IF(AG197=$AL$22,MONTH(V197),"")</f>
        <v/>
      </c>
      <c r="AM197" s="86" t="str">
        <f>+IF($AG197=$AM$22,MONTH($D197),"")</f>
        <v/>
      </c>
      <c r="AN197" s="89" t="str">
        <f>+IF($AG197=AN$22,MONTH($D197),"")</f>
        <v/>
      </c>
      <c r="AO197" s="89" t="str">
        <f>+IF($AG197=AO$22,MONTH($D197),"")</f>
        <v/>
      </c>
      <c r="AP197" s="89" t="str">
        <f>+IF($AG197=AP$22,MONTH($D197),"")</f>
        <v/>
      </c>
      <c r="AQ197" s="89" t="str">
        <f>+IF($AG197=AQ$22,MONTH($D197),"")</f>
        <v/>
      </c>
      <c r="AR197" s="89" t="str">
        <f>+IF($AG197=AR$22,MONTH($D197),"")</f>
        <v/>
      </c>
      <c r="AS197" s="89" t="str">
        <f>+IF($AG197=AS$22,MONTH($D197),"")</f>
        <v/>
      </c>
      <c r="AT197" s="89" t="str">
        <f>+IF($AG197=AT$22,MONTH($D197),"")</f>
        <v/>
      </c>
      <c r="AU197" s="89" t="str">
        <f>+IF($AG197=AU$22,MONTH($D197),"")</f>
        <v/>
      </c>
      <c r="AV197" s="89" t="str">
        <f>+IF($AG197=AV$22,MONTH($D197),"")</f>
        <v/>
      </c>
      <c r="AW197" s="86" t="str">
        <f>+IF($AG197=AW$22,MONTH($D197),"")</f>
        <v/>
      </c>
      <c r="AX197" s="86" t="str">
        <f>+IF($AG197=AX$22,MONTH($D197),"")</f>
        <v/>
      </c>
      <c r="AY197" s="89"/>
      <c r="AZ197" s="89"/>
      <c r="BA197" s="89"/>
      <c r="BB197" s="89"/>
      <c r="BC197" s="89"/>
      <c r="BD197" s="89"/>
      <c r="BE197" s="89"/>
      <c r="BF197" s="89"/>
      <c r="BG197" s="89"/>
      <c r="BH197" s="89"/>
      <c r="BI197" s="89"/>
      <c r="BJ197" s="89"/>
      <c r="BK197" s="89"/>
      <c r="BL197" s="89"/>
      <c r="BM197" s="89"/>
      <c r="BN197" s="89"/>
      <c r="BO197" s="89"/>
      <c r="BP197" s="89"/>
    </row>
    <row r="198" spans="1:68" s="382" customFormat="1" ht="45.75" hidden="1" customHeight="1">
      <c r="A198" s="204" t="str">
        <f>+IFERROR(VALUE(MID(AB198,4,4)),"")</f>
        <v/>
      </c>
      <c r="B198" s="204">
        <f>VALUE(RIGHT(C198,LEN(C198)-2))</f>
        <v>2524</v>
      </c>
      <c r="C198" s="74" t="s">
        <v>906</v>
      </c>
      <c r="D198" s="75">
        <v>45924</v>
      </c>
      <c r="E198" s="70" t="s">
        <v>53</v>
      </c>
      <c r="F198" s="70" t="s">
        <v>642</v>
      </c>
      <c r="G198" s="68" t="s">
        <v>210</v>
      </c>
      <c r="H198" s="379" t="s">
        <v>210</v>
      </c>
      <c r="I198" s="69" t="s">
        <v>907</v>
      </c>
      <c r="J198" s="69"/>
      <c r="K198" s="68" t="s">
        <v>9</v>
      </c>
      <c r="L198" s="69" t="s">
        <v>123</v>
      </c>
      <c r="M198" s="71" t="s">
        <v>141</v>
      </c>
      <c r="N198" s="69" t="e" vm="1">
        <v>#VALUE!</v>
      </c>
      <c r="O198" s="84">
        <v>45971</v>
      </c>
      <c r="P198" s="72" t="s">
        <v>213</v>
      </c>
      <c r="Q198" s="72" t="s">
        <v>259</v>
      </c>
      <c r="R198" s="162"/>
      <c r="S198" s="146"/>
      <c r="T198" s="68" t="s">
        <v>155</v>
      </c>
      <c r="U198" s="87"/>
      <c r="V198" s="80">
        <v>45925</v>
      </c>
      <c r="W198" s="73"/>
      <c r="X198" s="73"/>
      <c r="Y198" s="169" t="str">
        <f>IF(SUM(W198:W198)&gt;0,X198/SUM(W198:W198)*1000000,"N/A")</f>
        <v>N/A</v>
      </c>
      <c r="Z198" s="80"/>
      <c r="AA198" s="80"/>
      <c r="AB198" s="73"/>
      <c r="AC198" s="153"/>
      <c r="AD198" s="330"/>
      <c r="AE198" s="305"/>
      <c r="AF198" s="88"/>
      <c r="AG198" s="182">
        <f>YEAR(V198)</f>
        <v>2025</v>
      </c>
      <c r="AH198" s="86" t="str">
        <f>+IF(AG198=$AH$22,MONTH(V198),"")</f>
        <v/>
      </c>
      <c r="AI198" s="86">
        <f>+IF(AG198=$AI$22,MONTH(V198),"")</f>
        <v>9</v>
      </c>
      <c r="AJ198" s="86" t="str">
        <f>+IF(AG198=$AJ$22,MONTH(V198),"")</f>
        <v/>
      </c>
      <c r="AK198" s="86" t="str">
        <f>+IF(AG198=$AK$22,MONTH(V198),"")</f>
        <v/>
      </c>
      <c r="AL198" s="86" t="str">
        <f>+IF(AG198=$AL$22,MONTH(V198),"")</f>
        <v/>
      </c>
      <c r="AM198" s="86" t="str">
        <f>+IF($AG198=$AM$22,MONTH($D198),"")</f>
        <v/>
      </c>
      <c r="AN198" s="89" t="str">
        <f>+IF($AG198=AN$22,MONTH($D198),"")</f>
        <v/>
      </c>
      <c r="AO198" s="89" t="str">
        <f>+IF($AG198=AO$22,MONTH($D198),"")</f>
        <v/>
      </c>
      <c r="AP198" s="89" t="str">
        <f>+IF($AG198=AP$22,MONTH($D198),"")</f>
        <v/>
      </c>
      <c r="AQ198" s="89" t="str">
        <f>+IF($AG198=AQ$22,MONTH($D198),"")</f>
        <v/>
      </c>
      <c r="AR198" s="89" t="str">
        <f>+IF($AG198=AR$22,MONTH($D198),"")</f>
        <v/>
      </c>
      <c r="AS198" s="89" t="str">
        <f>+IF($AG198=AS$22,MONTH($D198),"")</f>
        <v/>
      </c>
      <c r="AT198" s="89" t="str">
        <f>+IF($AG198=AT$22,MONTH($D198),"")</f>
        <v/>
      </c>
      <c r="AU198" s="89" t="str">
        <f>+IF($AG198=AU$22,MONTH($D198),"")</f>
        <v/>
      </c>
      <c r="AV198" s="89" t="str">
        <f>+IF($AG198=AV$22,MONTH($D198),"")</f>
        <v/>
      </c>
      <c r="AW198" s="86" t="str">
        <f>+IF($AG198=AW$22,MONTH($D198),"")</f>
        <v/>
      </c>
      <c r="AX198" s="86" t="str">
        <f>+IF($AG198=AX$22,MONTH($D198),"")</f>
        <v/>
      </c>
      <c r="AY198" s="89"/>
      <c r="AZ198" s="89"/>
      <c r="BA198" s="89"/>
      <c r="BB198" s="89"/>
      <c r="BC198" s="89"/>
      <c r="BD198" s="89"/>
      <c r="BE198" s="89"/>
      <c r="BF198" s="89"/>
      <c r="BG198" s="89"/>
      <c r="BH198" s="89"/>
      <c r="BI198" s="89"/>
      <c r="BJ198" s="89"/>
      <c r="BK198" s="89"/>
      <c r="BL198" s="89"/>
      <c r="BM198" s="89"/>
      <c r="BN198" s="89"/>
      <c r="BO198" s="89"/>
      <c r="BP198" s="89"/>
    </row>
    <row r="199" spans="1:68" s="382" customFormat="1" ht="45.75" hidden="1" customHeight="1">
      <c r="A199" s="204" t="str">
        <f>+IFERROR(VALUE(MID(AB199,4,4)),"")</f>
        <v/>
      </c>
      <c r="B199" s="204">
        <f>VALUE(RIGHT(C199,LEN(C199)-2))</f>
        <v>2523</v>
      </c>
      <c r="C199" s="74" t="s">
        <v>908</v>
      </c>
      <c r="D199" s="75">
        <v>45924</v>
      </c>
      <c r="E199" s="70" t="s">
        <v>53</v>
      </c>
      <c r="F199" s="70" t="s">
        <v>642</v>
      </c>
      <c r="G199" s="68" t="s">
        <v>210</v>
      </c>
      <c r="H199" s="379" t="s">
        <v>210</v>
      </c>
      <c r="I199" s="69" t="s">
        <v>909</v>
      </c>
      <c r="J199" s="69"/>
      <c r="K199" s="68" t="s">
        <v>11</v>
      </c>
      <c r="L199" s="69" t="s">
        <v>123</v>
      </c>
      <c r="M199" s="71" t="s">
        <v>141</v>
      </c>
      <c r="N199" s="69" t="e" vm="1">
        <v>#VALUE!</v>
      </c>
      <c r="O199" s="84">
        <v>45974</v>
      </c>
      <c r="P199" s="72" t="s">
        <v>213</v>
      </c>
      <c r="Q199" s="72" t="s">
        <v>220</v>
      </c>
      <c r="R199" s="162"/>
      <c r="S199" s="146"/>
      <c r="T199" s="68" t="s">
        <v>155</v>
      </c>
      <c r="U199" s="87"/>
      <c r="V199" s="80">
        <v>45925</v>
      </c>
      <c r="W199" s="73"/>
      <c r="X199" s="73"/>
      <c r="Y199" s="169" t="str">
        <f>IF(SUM(W199:W199)&gt;0,X199/SUM(W199:W199)*1000000,"N/A")</f>
        <v>N/A</v>
      </c>
      <c r="Z199" s="80"/>
      <c r="AA199" s="80"/>
      <c r="AB199" s="73"/>
      <c r="AC199" s="153"/>
      <c r="AD199" s="330"/>
      <c r="AE199" s="305"/>
      <c r="AF199" s="88"/>
      <c r="AG199" s="182">
        <f>YEAR(V199)</f>
        <v>2025</v>
      </c>
      <c r="AH199" s="86" t="str">
        <f>+IF(AG199=$AH$22,MONTH(V199),"")</f>
        <v/>
      </c>
      <c r="AI199" s="86">
        <f>+IF(AG199=$AI$22,MONTH(V199),"")</f>
        <v>9</v>
      </c>
      <c r="AJ199" s="86" t="str">
        <f>+IF(AG199=$AJ$22,MONTH(V199),"")</f>
        <v/>
      </c>
      <c r="AK199" s="86" t="str">
        <f>+IF(AG199=$AK$22,MONTH(V199),"")</f>
        <v/>
      </c>
      <c r="AL199" s="86" t="str">
        <f>+IF(AG199=$AL$22,MONTH(V199),"")</f>
        <v/>
      </c>
      <c r="AM199" s="86" t="str">
        <f>+IF($AG199=$AM$22,MONTH($D199),"")</f>
        <v/>
      </c>
      <c r="AN199" s="89" t="str">
        <f>+IF($AG199=AN$22,MONTH($D199),"")</f>
        <v/>
      </c>
      <c r="AO199" s="89" t="str">
        <f>+IF($AG199=AO$22,MONTH($D199),"")</f>
        <v/>
      </c>
      <c r="AP199" s="89" t="str">
        <f>+IF($AG199=AP$22,MONTH($D199),"")</f>
        <v/>
      </c>
      <c r="AQ199" s="89" t="str">
        <f>+IF($AG199=AQ$22,MONTH($D199),"")</f>
        <v/>
      </c>
      <c r="AR199" s="89" t="str">
        <f>+IF($AG199=AR$22,MONTH($D199),"")</f>
        <v/>
      </c>
      <c r="AS199" s="89" t="str">
        <f>+IF($AG199=AS$22,MONTH($D199),"")</f>
        <v/>
      </c>
      <c r="AT199" s="89" t="str">
        <f>+IF($AG199=AT$22,MONTH($D199),"")</f>
        <v/>
      </c>
      <c r="AU199" s="89" t="str">
        <f>+IF($AG199=AU$22,MONTH($D199),"")</f>
        <v/>
      </c>
      <c r="AV199" s="89" t="str">
        <f>+IF($AG199=AV$22,MONTH($D199),"")</f>
        <v/>
      </c>
      <c r="AW199" s="86" t="str">
        <f>+IF($AG199=AW$22,MONTH($D199),"")</f>
        <v/>
      </c>
      <c r="AX199" s="86" t="str">
        <f>+IF($AG199=AX$22,MONTH($D199),"")</f>
        <v/>
      </c>
      <c r="AY199" s="89"/>
      <c r="AZ199" s="89"/>
      <c r="BA199" s="89"/>
      <c r="BB199" s="89"/>
      <c r="BC199" s="89"/>
      <c r="BD199" s="89"/>
      <c r="BE199" s="89"/>
      <c r="BF199" s="89"/>
      <c r="BG199" s="89"/>
      <c r="BH199" s="89"/>
      <c r="BI199" s="89"/>
      <c r="BJ199" s="89"/>
      <c r="BK199" s="89"/>
      <c r="BL199" s="89"/>
      <c r="BM199" s="89"/>
      <c r="BN199" s="89"/>
      <c r="BO199" s="89"/>
      <c r="BP199" s="89"/>
    </row>
    <row r="200" spans="1:68" s="382" customFormat="1" ht="45.75" hidden="1" customHeight="1">
      <c r="A200" s="204">
        <f>+IFERROR(VALUE(MID(AB200,4,4)),"")</f>
        <v>271</v>
      </c>
      <c r="B200" s="204">
        <f>VALUE(RIGHT(C200,LEN(C200)-2))</f>
        <v>2522</v>
      </c>
      <c r="C200" s="74" t="s">
        <v>910</v>
      </c>
      <c r="D200" s="75">
        <v>45924</v>
      </c>
      <c r="E200" s="70" t="s">
        <v>277</v>
      </c>
      <c r="F200" s="70" t="s">
        <v>277</v>
      </c>
      <c r="G200" s="68" t="s">
        <v>278</v>
      </c>
      <c r="H200" s="379" t="s">
        <v>279</v>
      </c>
      <c r="I200" s="69" t="s">
        <v>911</v>
      </c>
      <c r="J200" s="69"/>
      <c r="K200" s="68" t="s">
        <v>9</v>
      </c>
      <c r="L200" s="69" t="s">
        <v>129</v>
      </c>
      <c r="M200" s="71" t="s">
        <v>141</v>
      </c>
      <c r="N200" s="69" t="e" vm="1">
        <v>#VALUE!</v>
      </c>
      <c r="O200" s="84">
        <v>45936</v>
      </c>
      <c r="P200" s="82" t="s">
        <v>912</v>
      </c>
      <c r="Q200" s="72" t="s">
        <v>259</v>
      </c>
      <c r="R200" s="162"/>
      <c r="S200" s="146"/>
      <c r="T200" s="68" t="s">
        <v>3</v>
      </c>
      <c r="U200" s="87"/>
      <c r="V200" s="80">
        <v>45949</v>
      </c>
      <c r="W200" s="73">
        <v>295</v>
      </c>
      <c r="X200" s="73">
        <v>13</v>
      </c>
      <c r="Y200" s="169">
        <f>IF(SUM(W200:W200)&gt;0,X200/SUM(W200:W200)*1000000,"N/A")</f>
        <v>44067.796610169491</v>
      </c>
      <c r="Z200" s="80"/>
      <c r="AA200" s="80"/>
      <c r="AB200" s="73" t="s">
        <v>913</v>
      </c>
      <c r="AC200" s="153"/>
      <c r="AD200" s="330"/>
      <c r="AE200" s="305"/>
      <c r="AF200" s="88"/>
      <c r="AG200" s="182">
        <f>YEAR(V200)</f>
        <v>2025</v>
      </c>
      <c r="AH200" s="86" t="str">
        <f>+IF(AG200=$AH$22,MONTH(V200),"")</f>
        <v/>
      </c>
      <c r="AI200" s="86">
        <f>+IF(AG200=$AI$22,MONTH(V200),"")</f>
        <v>10</v>
      </c>
      <c r="AJ200" s="86" t="str">
        <f>+IF(AG200=$AJ$22,MONTH(V200),"")</f>
        <v/>
      </c>
      <c r="AK200" s="86" t="str">
        <f>+IF(AG200=$AK$22,MONTH(V200),"")</f>
        <v/>
      </c>
      <c r="AL200" s="86" t="str">
        <f>+IF(AG200=$AL$22,MONTH(V200),"")</f>
        <v/>
      </c>
      <c r="AM200" s="86" t="str">
        <f>+IF($AG200=$AM$22,MONTH($D200),"")</f>
        <v/>
      </c>
      <c r="AN200" s="89" t="str">
        <f>+IF($AG200=AN$22,MONTH($D200),"")</f>
        <v/>
      </c>
      <c r="AO200" s="89" t="str">
        <f>+IF($AG200=AO$22,MONTH($D200),"")</f>
        <v/>
      </c>
      <c r="AP200" s="89" t="str">
        <f>+IF($AG200=AP$22,MONTH($D200),"")</f>
        <v/>
      </c>
      <c r="AQ200" s="89" t="str">
        <f>+IF($AG200=AQ$22,MONTH($D200),"")</f>
        <v/>
      </c>
      <c r="AR200" s="89" t="str">
        <f>+IF($AG200=AR$22,MONTH($D200),"")</f>
        <v/>
      </c>
      <c r="AS200" s="89" t="str">
        <f>+IF($AG200=AS$22,MONTH($D200),"")</f>
        <v/>
      </c>
      <c r="AT200" s="89" t="str">
        <f>+IF($AG200=AT$22,MONTH($D200),"")</f>
        <v/>
      </c>
      <c r="AU200" s="89" t="str">
        <f>+IF($AG200=AU$22,MONTH($D200),"")</f>
        <v/>
      </c>
      <c r="AV200" s="89" t="str">
        <f>+IF($AG200=AV$22,MONTH($D200),"")</f>
        <v/>
      </c>
      <c r="AW200" s="86" t="str">
        <f>+IF($AG200=AW$22,MONTH($D200),"")</f>
        <v/>
      </c>
      <c r="AX200" s="86" t="str">
        <f>+IF($AG200=AX$22,MONTH($D200),"")</f>
        <v/>
      </c>
      <c r="AY200" s="89"/>
      <c r="AZ200" s="89"/>
      <c r="BA200" s="89"/>
      <c r="BB200" s="89"/>
      <c r="BC200" s="89"/>
      <c r="BD200" s="89"/>
      <c r="BE200" s="89"/>
      <c r="BF200" s="89"/>
      <c r="BG200" s="89"/>
      <c r="BH200" s="89"/>
      <c r="BI200" s="89"/>
      <c r="BJ200" s="89"/>
      <c r="BK200" s="89"/>
      <c r="BL200" s="89"/>
      <c r="BM200" s="89"/>
      <c r="BN200" s="89"/>
      <c r="BO200" s="89"/>
      <c r="BP200" s="89"/>
    </row>
    <row r="201" spans="1:68" s="382" customFormat="1" ht="45.75" hidden="1" customHeight="1">
      <c r="A201" s="204">
        <f>+IFERROR(VALUE(MID(AB201,4,4)),"")</f>
        <v>449</v>
      </c>
      <c r="B201" s="204">
        <f>VALUE(RIGHT(C201,LEN(C201)-2))</f>
        <v>2521</v>
      </c>
      <c r="C201" s="74" t="s">
        <v>914</v>
      </c>
      <c r="D201" s="75">
        <v>45843</v>
      </c>
      <c r="E201" s="70" t="s">
        <v>53</v>
      </c>
      <c r="F201" s="70" t="s">
        <v>460</v>
      </c>
      <c r="G201" s="68" t="s">
        <v>915</v>
      </c>
      <c r="H201" s="307" t="s">
        <v>916</v>
      </c>
      <c r="I201" s="162" t="s">
        <v>917</v>
      </c>
      <c r="J201" s="162"/>
      <c r="K201" s="68" t="s">
        <v>13</v>
      </c>
      <c r="L201" s="69" t="s">
        <v>129</v>
      </c>
      <c r="M201" s="71" t="s">
        <v>141</v>
      </c>
      <c r="N201" s="69" t="e" vm="1">
        <v>#VALUE!</v>
      </c>
      <c r="O201" s="164">
        <v>45910</v>
      </c>
      <c r="P201" s="72" t="s">
        <v>258</v>
      </c>
      <c r="Q201" s="72" t="s">
        <v>259</v>
      </c>
      <c r="R201" s="162"/>
      <c r="S201" s="146"/>
      <c r="T201" s="68" t="s">
        <v>3</v>
      </c>
      <c r="U201" s="87">
        <v>0</v>
      </c>
      <c r="V201" s="183">
        <v>45914</v>
      </c>
      <c r="W201" s="73"/>
      <c r="X201" s="73"/>
      <c r="Y201" s="83" t="str">
        <f>IF(SUM(W201:W201)&gt;0,X201/SUM(W201:W201)*1000000,"N/A")</f>
        <v>N/A</v>
      </c>
      <c r="Z201" s="183"/>
      <c r="AA201" s="183"/>
      <c r="AB201" s="73" t="s">
        <v>918</v>
      </c>
      <c r="AC201" s="153"/>
      <c r="AD201" s="330"/>
      <c r="AE201" s="305"/>
      <c r="AF201" s="88"/>
      <c r="AG201" s="182">
        <f>YEAR(V201)</f>
        <v>2025</v>
      </c>
      <c r="AH201" s="86" t="str">
        <f>+IF(AG201=$AH$22,MONTH(V201),"")</f>
        <v/>
      </c>
      <c r="AI201" s="86">
        <f>+IF(AG201=$AI$22,MONTH(V201),"")</f>
        <v>9</v>
      </c>
      <c r="AJ201" s="86" t="str">
        <f>+IF(AG201=$AJ$22,MONTH(V201),"")</f>
        <v/>
      </c>
      <c r="AK201" s="86" t="str">
        <f>+IF(AG201=$AK$22,MONTH(V201),"")</f>
        <v/>
      </c>
      <c r="AL201" s="86"/>
      <c r="AM201" s="89"/>
      <c r="AN201" s="89"/>
      <c r="AO201" s="89"/>
      <c r="AP201" s="89"/>
      <c r="AQ201" s="89"/>
      <c r="AR201" s="89"/>
      <c r="AS201" s="89"/>
      <c r="AT201" s="89"/>
      <c r="AU201" s="89"/>
      <c r="AV201" s="89"/>
      <c r="AW201" s="86" t="str">
        <f>+IF($AG201=AW$22,MONTH($D201),"")</f>
        <v/>
      </c>
      <c r="AX201" s="86" t="str">
        <f>+IF($AG201=AX$22,MONTH($D201),"")</f>
        <v/>
      </c>
      <c r="AY201" s="89"/>
      <c r="AZ201" s="89"/>
      <c r="BA201" s="89"/>
      <c r="BB201" s="89"/>
      <c r="BC201" s="89"/>
      <c r="BD201" s="89"/>
      <c r="BE201" s="89"/>
      <c r="BF201" s="89"/>
      <c r="BG201" s="89"/>
      <c r="BH201" s="89"/>
      <c r="BI201" s="89"/>
      <c r="BJ201" s="89"/>
      <c r="BK201" s="89"/>
      <c r="BL201" s="89"/>
      <c r="BM201" s="89"/>
      <c r="BN201" s="89"/>
      <c r="BO201" s="89"/>
      <c r="BP201" s="89"/>
    </row>
    <row r="202" spans="1:68" s="382" customFormat="1" ht="45.75" hidden="1" customHeight="1">
      <c r="A202" s="204">
        <f>+IFERROR(VALUE(MID(AB202,4,4)),"")</f>
        <v>449</v>
      </c>
      <c r="B202" s="204">
        <f>VALUE(RIGHT(C202,LEN(C202)-2))</f>
        <v>2520</v>
      </c>
      <c r="C202" s="74" t="s">
        <v>919</v>
      </c>
      <c r="D202" s="75">
        <v>45843</v>
      </c>
      <c r="E202" s="70" t="s">
        <v>53</v>
      </c>
      <c r="F202" s="70" t="s">
        <v>460</v>
      </c>
      <c r="G202" s="68" t="s">
        <v>915</v>
      </c>
      <c r="H202" s="307" t="s">
        <v>916</v>
      </c>
      <c r="I202" s="162" t="s">
        <v>920</v>
      </c>
      <c r="J202" s="162"/>
      <c r="K202" s="68" t="s">
        <v>13</v>
      </c>
      <c r="L202" s="69" t="s">
        <v>129</v>
      </c>
      <c r="M202" s="71" t="s">
        <v>141</v>
      </c>
      <c r="N202" s="69" t="e" vm="1">
        <v>#VALUE!</v>
      </c>
      <c r="O202" s="164">
        <v>45910</v>
      </c>
      <c r="P202" s="72" t="s">
        <v>258</v>
      </c>
      <c r="Q202" s="72" t="s">
        <v>259</v>
      </c>
      <c r="R202" s="162"/>
      <c r="S202" s="146"/>
      <c r="T202" s="68" t="s">
        <v>3</v>
      </c>
      <c r="U202" s="87">
        <v>0</v>
      </c>
      <c r="V202" s="183">
        <v>45914</v>
      </c>
      <c r="W202" s="73"/>
      <c r="X202" s="73"/>
      <c r="Y202" s="83" t="str">
        <f>IF(SUM(W202:W202)&gt;0,X202/SUM(W202:W202)*1000000,"N/A")</f>
        <v>N/A</v>
      </c>
      <c r="Z202" s="183"/>
      <c r="AA202" s="183"/>
      <c r="AB202" s="73" t="s">
        <v>921</v>
      </c>
      <c r="AC202" s="153"/>
      <c r="AD202" s="330"/>
      <c r="AE202" s="305"/>
      <c r="AF202" s="88"/>
      <c r="AG202" s="182">
        <f>YEAR(V202)</f>
        <v>2025</v>
      </c>
      <c r="AH202" s="86" t="str">
        <f>+IF(AG202=$AH$22,MONTH(V202),"")</f>
        <v/>
      </c>
      <c r="AI202" s="86">
        <f>+IF(AG202=$AI$22,MONTH(V202),"")</f>
        <v>9</v>
      </c>
      <c r="AJ202" s="86" t="str">
        <f>+IF(AG202=$AJ$22,MONTH(V202),"")</f>
        <v/>
      </c>
      <c r="AK202" s="86" t="str">
        <f>+IF(AG202=$AK$22,MONTH(V202),"")</f>
        <v/>
      </c>
      <c r="AL202" s="86"/>
      <c r="AM202" s="89"/>
      <c r="AN202" s="89"/>
      <c r="AO202" s="89"/>
      <c r="AP202" s="89"/>
      <c r="AQ202" s="89"/>
      <c r="AR202" s="89"/>
      <c r="AS202" s="89"/>
      <c r="AT202" s="89"/>
      <c r="AU202" s="89"/>
      <c r="AV202" s="89"/>
      <c r="AW202" s="86" t="str">
        <f>+IF($AG202=AW$22,MONTH($D202),"")</f>
        <v/>
      </c>
      <c r="AX202" s="86" t="str">
        <f>+IF($AG202=AX$22,MONTH($D202),"")</f>
        <v/>
      </c>
      <c r="AY202" s="89"/>
      <c r="AZ202" s="89"/>
      <c r="BA202" s="89"/>
      <c r="BB202" s="89"/>
      <c r="BC202" s="89"/>
      <c r="BD202" s="89"/>
      <c r="BE202" s="89"/>
      <c r="BF202" s="89"/>
      <c r="BG202" s="89"/>
      <c r="BH202" s="89"/>
      <c r="BI202" s="89"/>
      <c r="BJ202" s="89"/>
      <c r="BK202" s="89"/>
      <c r="BL202" s="89"/>
      <c r="BM202" s="89"/>
      <c r="BN202" s="89"/>
      <c r="BO202" s="89"/>
      <c r="BP202" s="89"/>
    </row>
    <row r="203" spans="1:68" s="382" customFormat="1" ht="45.75" hidden="1" customHeight="1">
      <c r="A203" s="204" t="str">
        <f>+IFERROR(VALUE(MID(AB203,4,4)),"")</f>
        <v/>
      </c>
      <c r="B203" s="204">
        <f>VALUE(RIGHT(C203,LEN(C203)-2))</f>
        <v>2519</v>
      </c>
      <c r="C203" s="74" t="s">
        <v>922</v>
      </c>
      <c r="D203" s="75">
        <v>45923</v>
      </c>
      <c r="E203" s="70" t="s">
        <v>923</v>
      </c>
      <c r="F203" s="70"/>
      <c r="G203" s="68" t="s">
        <v>924</v>
      </c>
      <c r="H203" s="307" t="s">
        <v>925</v>
      </c>
      <c r="I203" s="162" t="s">
        <v>926</v>
      </c>
      <c r="J203" s="162"/>
      <c r="K203" s="68" t="s">
        <v>9</v>
      </c>
      <c r="L203" s="69" t="s">
        <v>120</v>
      </c>
      <c r="M203" s="71" t="s">
        <v>141</v>
      </c>
      <c r="N203" s="69" t="e" vm="1">
        <v>#VALUE!</v>
      </c>
      <c r="O203" s="164">
        <v>45924</v>
      </c>
      <c r="P203" s="72" t="s">
        <v>377</v>
      </c>
      <c r="Q203" s="72" t="s">
        <v>694</v>
      </c>
      <c r="R203" s="162"/>
      <c r="S203" s="146" t="s">
        <v>927</v>
      </c>
      <c r="T203" s="68" t="s">
        <v>165</v>
      </c>
      <c r="U203" s="87"/>
      <c r="V203" s="183">
        <v>45924</v>
      </c>
      <c r="W203" s="73"/>
      <c r="X203" s="73"/>
      <c r="Y203" s="83" t="str">
        <f>IF(SUM(W203:W203)&gt;0,X203/SUM(W203:W203)*1000000,"N/A")</f>
        <v>N/A</v>
      </c>
      <c r="Z203" s="183"/>
      <c r="AA203" s="183"/>
      <c r="AB203" s="73"/>
      <c r="AC203" s="153"/>
      <c r="AD203" s="330"/>
      <c r="AE203" s="305"/>
      <c r="AF203" s="88"/>
      <c r="AG203" s="182">
        <f>YEAR(V203)</f>
        <v>2025</v>
      </c>
      <c r="AH203" s="86" t="str">
        <f>+IF(AG203=$AH$22,MONTH(V203),"")</f>
        <v/>
      </c>
      <c r="AI203" s="86">
        <f>+IF(AG203=$AI$22,MONTH(V203),"")</f>
        <v>9</v>
      </c>
      <c r="AJ203" s="86" t="str">
        <f>+IF(AG203=$AJ$22,MONTH(V203),"")</f>
        <v/>
      </c>
      <c r="AK203" s="86" t="str">
        <f>+IF(AG203=$AK$22,MONTH(V203),"")</f>
        <v/>
      </c>
      <c r="AL203" s="86"/>
      <c r="AM203" s="89"/>
      <c r="AN203" s="89"/>
      <c r="AO203" s="89"/>
      <c r="AP203" s="89"/>
      <c r="AQ203" s="89"/>
      <c r="AR203" s="89"/>
      <c r="AS203" s="89"/>
      <c r="AT203" s="89"/>
      <c r="AU203" s="89"/>
      <c r="AV203" s="89"/>
      <c r="AW203" s="86" t="str">
        <f>+IF($AG203=AW$22,MONTH($D203),"")</f>
        <v/>
      </c>
      <c r="AX203" s="86" t="str">
        <f>+IF($AG203=AX$22,MONTH($D203),"")</f>
        <v/>
      </c>
      <c r="AY203" s="89"/>
      <c r="AZ203" s="89"/>
      <c r="BA203" s="89"/>
      <c r="BB203" s="89"/>
      <c r="BC203" s="89"/>
      <c r="BD203" s="89"/>
      <c r="BE203" s="89"/>
      <c r="BF203" s="89"/>
      <c r="BG203" s="89"/>
      <c r="BH203" s="89"/>
      <c r="BI203" s="89"/>
      <c r="BJ203" s="89"/>
      <c r="BK203" s="89"/>
      <c r="BL203" s="89"/>
      <c r="BM203" s="89"/>
      <c r="BN203" s="89"/>
      <c r="BO203" s="89"/>
      <c r="BP203" s="89"/>
    </row>
    <row r="204" spans="1:68" s="89" customFormat="1" ht="45.75" hidden="1" customHeight="1">
      <c r="A204" s="204" t="str">
        <f>+IFERROR(VALUE(MID(AB204,4,4)),"")</f>
        <v/>
      </c>
      <c r="B204" s="204">
        <f>VALUE(RIGHT(C204,LEN(C204)-2))</f>
        <v>2518</v>
      </c>
      <c r="C204" s="74" t="s">
        <v>928</v>
      </c>
      <c r="D204" s="75">
        <v>45923</v>
      </c>
      <c r="E204" s="70" t="s">
        <v>929</v>
      </c>
      <c r="F204" s="68" t="s">
        <v>930</v>
      </c>
      <c r="G204" s="68" t="s">
        <v>931</v>
      </c>
      <c r="H204" s="384" t="s">
        <v>932</v>
      </c>
      <c r="I204" s="162" t="s">
        <v>933</v>
      </c>
      <c r="J204" s="162"/>
      <c r="K204" s="68" t="s">
        <v>9</v>
      </c>
      <c r="L204" s="68" t="s">
        <v>120</v>
      </c>
      <c r="M204" s="68" t="s">
        <v>141</v>
      </c>
      <c r="N204" s="69" t="e" vm="1">
        <v>#VALUE!</v>
      </c>
      <c r="O204" s="164">
        <v>45933</v>
      </c>
      <c r="P204" s="72" t="s">
        <v>666</v>
      </c>
      <c r="Q204" s="72" t="s">
        <v>220</v>
      </c>
      <c r="R204" s="162" t="s">
        <v>221</v>
      </c>
      <c r="S204" s="146"/>
      <c r="T204" s="68" t="s">
        <v>64</v>
      </c>
      <c r="U204" s="87">
        <v>0.5</v>
      </c>
      <c r="V204" s="183">
        <v>45923</v>
      </c>
      <c r="W204" s="73">
        <v>2800</v>
      </c>
      <c r="X204" s="73">
        <v>136</v>
      </c>
      <c r="Y204" s="83">
        <f>IF(SUM(W204:W204)&gt;0,X204/SUM(W204:W204)*1000000,"N/A")</f>
        <v>48571.428571428572</v>
      </c>
      <c r="Z204" s="183"/>
      <c r="AA204" s="183"/>
      <c r="AB204" s="73"/>
      <c r="AC204" s="153"/>
      <c r="AD204" s="331"/>
      <c r="AE204" s="57"/>
      <c r="AF204" s="88"/>
      <c r="AG204" s="182">
        <f>YEAR(V204)</f>
        <v>2025</v>
      </c>
      <c r="AH204" s="86" t="str">
        <f>+IF(AG204=$AH$22,MONTH(V204),"")</f>
        <v/>
      </c>
      <c r="AI204" s="86">
        <f>+IF(AG204=$AI$22,MONTH(V204),"")</f>
        <v>9</v>
      </c>
      <c r="AJ204" s="86" t="str">
        <f>+IF(AG204=$AJ$22,MONTH(V204),"")</f>
        <v/>
      </c>
      <c r="AK204" s="86" t="str">
        <f>+IF(AG204=$AK$22,MONTH(V204),"")</f>
        <v/>
      </c>
      <c r="AL204" s="86"/>
      <c r="AW204" s="86" t="str">
        <f>+IF($AG204=AW$22,MONTH($D204),"")</f>
        <v/>
      </c>
      <c r="AX204" s="86" t="str">
        <f>+IF($AG204=AX$22,MONTH($D204),"")</f>
        <v/>
      </c>
    </row>
    <row r="205" spans="1:68" s="89" customFormat="1" ht="39.75" hidden="1" customHeight="1">
      <c r="A205" s="204" t="str">
        <f>+IFERROR(VALUE(MID(AB205,4,4)),"")</f>
        <v/>
      </c>
      <c r="B205" s="204">
        <f>VALUE(RIGHT(C205,LEN(C205)-2))</f>
        <v>2517</v>
      </c>
      <c r="C205" s="74" t="s">
        <v>934</v>
      </c>
      <c r="D205" s="75">
        <v>45923</v>
      </c>
      <c r="E205" s="70" t="s">
        <v>935</v>
      </c>
      <c r="F205" s="70"/>
      <c r="G205" s="68" t="s">
        <v>936</v>
      </c>
      <c r="H205" s="59"/>
      <c r="I205" s="162" t="s">
        <v>937</v>
      </c>
      <c r="J205" s="162"/>
      <c r="K205" s="68" t="s">
        <v>9</v>
      </c>
      <c r="L205" s="68" t="s">
        <v>120</v>
      </c>
      <c r="M205" s="68" t="s">
        <v>141</v>
      </c>
      <c r="N205" s="69" t="e" vm="1">
        <v>#VALUE!</v>
      </c>
      <c r="O205" s="164">
        <v>45924</v>
      </c>
      <c r="P205" s="72" t="s">
        <v>377</v>
      </c>
      <c r="Q205" s="72" t="s">
        <v>694</v>
      </c>
      <c r="R205" s="162"/>
      <c r="S205" s="146"/>
      <c r="T205" s="68" t="s">
        <v>165</v>
      </c>
      <c r="U205" s="87"/>
      <c r="V205" s="183">
        <v>46049</v>
      </c>
      <c r="W205" s="73">
        <v>205</v>
      </c>
      <c r="X205" s="73">
        <v>14.57</v>
      </c>
      <c r="Y205" s="83">
        <f>IF(SUM(W205:W205)&gt;0,X205/SUM(W205:W205)*1000000,"N/A")</f>
        <v>71073.170731707331</v>
      </c>
      <c r="Z205" s="183"/>
      <c r="AA205" s="183"/>
      <c r="AB205" s="73"/>
      <c r="AC205" s="153"/>
      <c r="AD205" s="331"/>
      <c r="AE205" s="57"/>
      <c r="AF205" s="88"/>
      <c r="AG205" s="182">
        <f>YEAR(V205)</f>
        <v>2026</v>
      </c>
      <c r="AH205" s="86">
        <f>+IF(AG205=$AH$22,MONTH(V205),"")</f>
        <v>1</v>
      </c>
      <c r="AI205" s="86" t="str">
        <f>+IF(AG205=$AI$22,MONTH(V205),"")</f>
        <v/>
      </c>
      <c r="AJ205" s="86" t="str">
        <f>+IF(AG205=$AJ$22,MONTH(V205),"")</f>
        <v/>
      </c>
      <c r="AK205" s="86" t="str">
        <f>+IF(AG205=$AK$22,MONTH(V205),"")</f>
        <v/>
      </c>
      <c r="AL205" s="86"/>
      <c r="AW205" s="86" t="str">
        <f>+IF($AG205=AW$22,MONTH($D205),"")</f>
        <v/>
      </c>
      <c r="AX205" s="86" t="str">
        <f>+IF($AG205=AX$22,MONTH($D205),"")</f>
        <v/>
      </c>
    </row>
    <row r="206" spans="1:68" s="89" customFormat="1" ht="29.25" hidden="1" customHeight="1">
      <c r="A206" s="204" t="str">
        <f>+IFERROR(VALUE(MID(AB206,4,4)),"")</f>
        <v/>
      </c>
      <c r="B206" s="204">
        <f>VALUE(RIGHT(C206,LEN(C206)-2))</f>
        <v>2516</v>
      </c>
      <c r="C206" s="74" t="s">
        <v>938</v>
      </c>
      <c r="D206" s="75">
        <v>45923</v>
      </c>
      <c r="E206" s="70" t="s">
        <v>939</v>
      </c>
      <c r="F206" s="70" t="s">
        <v>940</v>
      </c>
      <c r="G206" s="68" t="s">
        <v>941</v>
      </c>
      <c r="H206" s="282" t="s">
        <v>942</v>
      </c>
      <c r="I206" s="69" t="s">
        <v>943</v>
      </c>
      <c r="J206" s="69"/>
      <c r="K206" s="68" t="s">
        <v>944</v>
      </c>
      <c r="L206" s="68" t="s">
        <v>120</v>
      </c>
      <c r="M206" s="68" t="s">
        <v>141</v>
      </c>
      <c r="N206" s="69" t="e" vm="1">
        <v>#VALUE!</v>
      </c>
      <c r="O206" s="84">
        <v>45926</v>
      </c>
      <c r="P206" s="72" t="s">
        <v>666</v>
      </c>
      <c r="Q206" s="72" t="s">
        <v>316</v>
      </c>
      <c r="R206" s="162"/>
      <c r="S206" s="146"/>
      <c r="T206" s="68" t="s">
        <v>155</v>
      </c>
      <c r="U206" s="87"/>
      <c r="V206" s="183">
        <v>45923</v>
      </c>
      <c r="W206" s="150"/>
      <c r="X206" s="150"/>
      <c r="Y206" s="83" t="str">
        <f>IF(SUM(W206:W206)&gt;0,X206/SUM(W206:W206)*1000000,"N/A")</f>
        <v>N/A</v>
      </c>
      <c r="Z206" s="183"/>
      <c r="AA206" s="183"/>
      <c r="AB206" s="73"/>
      <c r="AC206" s="153"/>
      <c r="AD206" s="331"/>
      <c r="AE206" s="57"/>
      <c r="AF206" s="88"/>
      <c r="AG206" s="182">
        <f>YEAR(V206)</f>
        <v>2025</v>
      </c>
      <c r="AH206" s="86" t="str">
        <f>+IF(AG206=$AH$22,MONTH(V206),"")</f>
        <v/>
      </c>
      <c r="AI206" s="86">
        <f>+IF(AG206=$AI$22,MONTH(V206),"")</f>
        <v>9</v>
      </c>
      <c r="AJ206" s="86" t="str">
        <f>+IF(AG206=$AJ$22,MONTH(V206),"")</f>
        <v/>
      </c>
      <c r="AK206" s="86" t="str">
        <f>+IF(AG206=$AK$22,MONTH(V206),"")</f>
        <v/>
      </c>
      <c r="AL206" s="86" t="str">
        <f>+IF(AG206=$AL$22,MONTH(V206),"")</f>
        <v/>
      </c>
      <c r="AM206" s="86" t="str">
        <f>+IF($AG206=$AM$22,MONTH($D206),"")</f>
        <v/>
      </c>
      <c r="AN206" s="89" t="str">
        <f>+IF($AG206=AN$22,MONTH($D206),"")</f>
        <v/>
      </c>
      <c r="AO206" s="89" t="str">
        <f>+IF($AG206=AO$22,MONTH($D206),"")</f>
        <v/>
      </c>
      <c r="AP206" s="89" t="str">
        <f>+IF($AG206=AP$22,MONTH($D206),"")</f>
        <v/>
      </c>
      <c r="AQ206" s="89" t="str">
        <f>+IF($AG206=AQ$22,MONTH($D206),"")</f>
        <v/>
      </c>
      <c r="AR206" s="89" t="str">
        <f>+IF($AG206=AR$22,MONTH($D206),"")</f>
        <v/>
      </c>
      <c r="AS206" s="89" t="str">
        <f>+IF($AG206=AS$22,MONTH($D206),"")</f>
        <v/>
      </c>
      <c r="AT206" s="89" t="str">
        <f>+IF($AG206=AT$22,MONTH($D206),"")</f>
        <v/>
      </c>
      <c r="AU206" s="89" t="str">
        <f>+IF($AG206=AU$22,MONTH($D206),"")</f>
        <v/>
      </c>
      <c r="AV206" s="89" t="str">
        <f>+IF($AG206=AV$22,MONTH($D206),"")</f>
        <v/>
      </c>
      <c r="AW206" s="86" t="str">
        <f>+IF($AG206=AW$22,MONTH($D206),"")</f>
        <v/>
      </c>
      <c r="AX206" s="86" t="str">
        <f>+IF($AG206=AX$22,MONTH($D206),"")</f>
        <v/>
      </c>
    </row>
    <row r="207" spans="1:68" s="56" customFormat="1" ht="48.75" hidden="1" customHeight="1">
      <c r="A207" s="204">
        <f>+IFERROR(VALUE(MID(AB207,4,4)),"")</f>
        <v>390</v>
      </c>
      <c r="B207" s="204">
        <f>VALUE(RIGHT(C207,LEN(C207)-2))</f>
        <v>2515</v>
      </c>
      <c r="C207" s="74" t="s">
        <v>945</v>
      </c>
      <c r="D207" s="75">
        <v>45922</v>
      </c>
      <c r="E207" s="70" t="s">
        <v>262</v>
      </c>
      <c r="F207" s="70" t="s">
        <v>270</v>
      </c>
      <c r="G207" s="68" t="s">
        <v>946</v>
      </c>
      <c r="H207" s="307" t="s">
        <v>947</v>
      </c>
      <c r="I207" s="69" t="s">
        <v>948</v>
      </c>
      <c r="J207" s="69"/>
      <c r="K207" s="68" t="s">
        <v>944</v>
      </c>
      <c r="L207" s="69" t="s">
        <v>120</v>
      </c>
      <c r="M207" s="71" t="s">
        <v>141</v>
      </c>
      <c r="N207" s="69" t="e" vm="1">
        <v>#VALUE!</v>
      </c>
      <c r="O207" s="84">
        <v>45948</v>
      </c>
      <c r="P207" s="72" t="s">
        <v>402</v>
      </c>
      <c r="Q207" s="72" t="s">
        <v>837</v>
      </c>
      <c r="R207" s="162"/>
      <c r="S207" s="146"/>
      <c r="T207" s="68" t="s">
        <v>3</v>
      </c>
      <c r="U207" s="87"/>
      <c r="V207" s="80">
        <v>46012</v>
      </c>
      <c r="W207" s="73">
        <v>12800</v>
      </c>
      <c r="X207" s="214">
        <v>962.58799999999997</v>
      </c>
      <c r="Y207" s="169">
        <f>IF(SUM(W207:W207)&gt;0,X207/SUM(W207:W207)*1000000,"N/A")</f>
        <v>75202.1875</v>
      </c>
      <c r="Z207" s="80"/>
      <c r="AA207" s="80"/>
      <c r="AB207" s="73" t="s">
        <v>949</v>
      </c>
      <c r="AC207" s="153"/>
      <c r="AD207" s="330"/>
      <c r="AE207" s="305"/>
      <c r="AF207" s="88"/>
      <c r="AG207" s="182">
        <f>YEAR(V207)</f>
        <v>2025</v>
      </c>
      <c r="AH207" s="86" t="str">
        <f>+IF(AG207=$AH$22,MONTH(V207),"")</f>
        <v/>
      </c>
      <c r="AI207" s="86">
        <f>+IF(AG207=$AI$22,MONTH(V207),"")</f>
        <v>12</v>
      </c>
      <c r="AJ207" s="86" t="str">
        <f>+IF(AG207=$AJ$22,MONTH(V207),"")</f>
        <v/>
      </c>
      <c r="AK207" s="86" t="str">
        <f>+IF(AG207=$AK$22,MONTH(V207),"")</f>
        <v/>
      </c>
      <c r="AL207" s="86" t="str">
        <f>+IF(AG207=$AL$22,MONTH(V207),"")</f>
        <v/>
      </c>
      <c r="AM207" s="86" t="str">
        <f>+IF($AG207=$AM$22,MONTH($D207),"")</f>
        <v/>
      </c>
      <c r="AN207" s="89" t="str">
        <f>+IF($AG207=AN$22,MONTH($D207),"")</f>
        <v/>
      </c>
      <c r="AO207" s="89" t="str">
        <f>+IF($AG207=AO$22,MONTH($D207),"")</f>
        <v/>
      </c>
      <c r="AP207" s="89" t="str">
        <f>+IF($AG207=AP$22,MONTH($D207),"")</f>
        <v/>
      </c>
      <c r="AQ207" s="89" t="str">
        <f>+IF($AG207=AQ$22,MONTH($D207),"")</f>
        <v/>
      </c>
      <c r="AR207" s="89" t="str">
        <f>+IF($AG207=AR$22,MONTH($D207),"")</f>
        <v/>
      </c>
      <c r="AS207" s="89" t="str">
        <f>+IF($AG207=AS$22,MONTH($D207),"")</f>
        <v/>
      </c>
      <c r="AT207" s="89" t="str">
        <f>+IF($AG207=AT$22,MONTH($D207),"")</f>
        <v/>
      </c>
      <c r="AU207" s="89" t="str">
        <f>+IF($AG207=AU$22,MONTH($D207),"")</f>
        <v/>
      </c>
      <c r="AV207" s="89" t="str">
        <f>+IF($AG207=AV$22,MONTH($D207),"")</f>
        <v/>
      </c>
      <c r="AW207" s="86" t="str">
        <f>+IF($AG207=AW$22,MONTH($D207),"")</f>
        <v/>
      </c>
      <c r="AX207" s="86" t="str">
        <f>+IF($AG207=AX$22,MONTH($D207),"")</f>
        <v/>
      </c>
      <c r="AY207" s="89"/>
      <c r="AZ207" s="89"/>
      <c r="BA207" s="89"/>
      <c r="BB207" s="89"/>
      <c r="BC207" s="89"/>
      <c r="BD207" s="89"/>
      <c r="BE207" s="89"/>
      <c r="BF207" s="89"/>
      <c r="BG207" s="89"/>
      <c r="BH207" s="89"/>
      <c r="BI207" s="89"/>
      <c r="BJ207" s="89"/>
      <c r="BK207" s="89"/>
      <c r="BL207" s="89"/>
      <c r="BM207" s="89"/>
      <c r="BN207" s="89"/>
      <c r="BO207" s="89"/>
      <c r="BP207" s="89"/>
    </row>
    <row r="208" spans="1:68" s="382" customFormat="1" ht="40.5" hidden="1">
      <c r="A208" s="204">
        <f>+IFERROR(VALUE(MID(AB208,4,4)),"")</f>
        <v>271</v>
      </c>
      <c r="B208" s="204">
        <f>VALUE(RIGHT(C208,LEN(C208)-2))</f>
        <v>2514</v>
      </c>
      <c r="C208" s="74" t="s">
        <v>950</v>
      </c>
      <c r="D208" s="75">
        <v>45915</v>
      </c>
      <c r="E208" s="70" t="s">
        <v>277</v>
      </c>
      <c r="F208" s="70" t="s">
        <v>277</v>
      </c>
      <c r="G208" s="68" t="s">
        <v>278</v>
      </c>
      <c r="H208" s="307" t="s">
        <v>279</v>
      </c>
      <c r="I208" s="69" t="s">
        <v>951</v>
      </c>
      <c r="J208" s="69"/>
      <c r="K208" s="68" t="s">
        <v>944</v>
      </c>
      <c r="L208" s="69" t="s">
        <v>129</v>
      </c>
      <c r="M208" s="71" t="s">
        <v>141</v>
      </c>
      <c r="N208" s="69" t="e" vm="1">
        <v>#VALUE!</v>
      </c>
      <c r="O208" s="84">
        <v>45916</v>
      </c>
      <c r="P208" s="72" t="s">
        <v>649</v>
      </c>
      <c r="Q208" s="72" t="s">
        <v>623</v>
      </c>
      <c r="R208" s="162"/>
      <c r="S208" s="146"/>
      <c r="T208" s="68" t="s">
        <v>3</v>
      </c>
      <c r="U208" s="87"/>
      <c r="V208" s="183">
        <v>45916</v>
      </c>
      <c r="W208" s="73">
        <v>493</v>
      </c>
      <c r="X208" s="150">
        <v>23.666</v>
      </c>
      <c r="Y208" s="83">
        <f>IF(SUM(W208:W208)&gt;0,X208/SUM(W208:W208)*1000000,"N/A")</f>
        <v>48004.056795131844</v>
      </c>
      <c r="Z208" s="183"/>
      <c r="AA208" s="183"/>
      <c r="AB208" s="73" t="s">
        <v>952</v>
      </c>
      <c r="AC208" s="153"/>
      <c r="AD208" s="330"/>
      <c r="AE208" s="305"/>
      <c r="AF208" s="88"/>
      <c r="AG208" s="182">
        <f>YEAR(V208)</f>
        <v>2025</v>
      </c>
      <c r="AH208" s="86" t="str">
        <f>+IF(AG208=$AH$22,MONTH(V208),"")</f>
        <v/>
      </c>
      <c r="AI208" s="86">
        <f>+IF(AG208=$AI$22,MONTH(V208),"")</f>
        <v>9</v>
      </c>
      <c r="AJ208" s="86" t="str">
        <f>+IF(AG208=$AJ$22,MONTH(V208),"")</f>
        <v/>
      </c>
      <c r="AK208" s="86" t="str">
        <f>+IF(AG208=$AK$22,MONTH(V208),"")</f>
        <v/>
      </c>
      <c r="AL208" s="86"/>
      <c r="AM208" s="89"/>
      <c r="AN208" s="89"/>
      <c r="AO208" s="89"/>
      <c r="AP208" s="89"/>
      <c r="AQ208" s="89"/>
      <c r="AR208" s="89"/>
      <c r="AS208" s="89"/>
      <c r="AT208" s="89"/>
      <c r="AU208" s="89"/>
      <c r="AV208" s="89"/>
      <c r="AW208" s="86" t="str">
        <f>+IF($AG208=AW$22,MONTH($D208),"")</f>
        <v/>
      </c>
      <c r="AX208" s="86" t="str">
        <f>+IF($AG208=AX$22,MONTH($D208),"")</f>
        <v/>
      </c>
      <c r="AY208" s="89"/>
      <c r="AZ208" s="89"/>
      <c r="BA208" s="89"/>
      <c r="BB208" s="89"/>
      <c r="BC208" s="89"/>
      <c r="BD208" s="89"/>
      <c r="BE208" s="89"/>
      <c r="BF208" s="89"/>
      <c r="BG208" s="89"/>
      <c r="BH208" s="89"/>
      <c r="BI208" s="89"/>
      <c r="BJ208" s="89"/>
      <c r="BK208" s="89"/>
      <c r="BL208" s="89"/>
      <c r="BM208" s="89"/>
      <c r="BN208" s="89"/>
      <c r="BO208" s="89"/>
      <c r="BP208" s="89"/>
    </row>
    <row r="209" spans="1:68" s="381" customFormat="1" ht="45.75" hidden="1" customHeight="1">
      <c r="A209" s="204">
        <f>+IFERROR(VALUE(MID(AB209,4,4)),"")</f>
        <v>390</v>
      </c>
      <c r="B209" s="204">
        <f>VALUE(RIGHT(C209,LEN(C209)-2))</f>
        <v>2513</v>
      </c>
      <c r="C209" s="74" t="s">
        <v>953</v>
      </c>
      <c r="D209" s="75">
        <v>45915</v>
      </c>
      <c r="E209" s="70" t="s">
        <v>262</v>
      </c>
      <c r="F209" s="70" t="s">
        <v>270</v>
      </c>
      <c r="G209" s="68" t="s">
        <v>954</v>
      </c>
      <c r="H209" s="307" t="s">
        <v>955</v>
      </c>
      <c r="I209" s="69" t="s">
        <v>956</v>
      </c>
      <c r="J209" s="69"/>
      <c r="K209" s="68" t="s">
        <v>13</v>
      </c>
      <c r="L209" s="69" t="s">
        <v>120</v>
      </c>
      <c r="M209" s="71" t="s">
        <v>141</v>
      </c>
      <c r="N209" s="69" t="e" vm="1">
        <v>#VALUE!</v>
      </c>
      <c r="O209" s="84">
        <v>45929</v>
      </c>
      <c r="P209" s="72" t="s">
        <v>402</v>
      </c>
      <c r="Q209" s="72" t="s">
        <v>837</v>
      </c>
      <c r="R209" s="162"/>
      <c r="S209" s="146"/>
      <c r="T209" s="68" t="s">
        <v>3</v>
      </c>
      <c r="U209" s="87"/>
      <c r="V209" s="80">
        <v>45731</v>
      </c>
      <c r="W209" s="73">
        <v>972</v>
      </c>
      <c r="X209" s="214">
        <v>33.450000000000003</v>
      </c>
      <c r="Y209" s="169">
        <f>IF(SUM(W209:W209)&gt;0,X209/SUM(W209:W209)*1000000,"N/A")</f>
        <v>34413.580246913589</v>
      </c>
      <c r="Z209" s="80"/>
      <c r="AA209" s="80"/>
      <c r="AB209" s="73" t="s">
        <v>957</v>
      </c>
      <c r="AC209" s="153"/>
      <c r="AD209" s="330"/>
      <c r="AE209" s="305"/>
      <c r="AF209" s="88"/>
      <c r="AG209" s="182">
        <f>YEAR(V209)</f>
        <v>2025</v>
      </c>
      <c r="AH209" s="86" t="str">
        <f>+IF(AG209=$AH$22,MONTH(V209),"")</f>
        <v/>
      </c>
      <c r="AI209" s="86">
        <f>+IF(AG209=$AI$22,MONTH(V209),"")</f>
        <v>3</v>
      </c>
      <c r="AJ209" s="86" t="str">
        <f>+IF(AG209=$AJ$22,MONTH(V209),"")</f>
        <v/>
      </c>
      <c r="AK209" s="86" t="str">
        <f>+IF(AG209=$AK$22,MONTH(V209),"")</f>
        <v/>
      </c>
      <c r="AL209" s="86" t="str">
        <f>+IF(AG209=$AL$22,MONTH(V209),"")</f>
        <v/>
      </c>
      <c r="AM209" s="86" t="str">
        <f>+IF($AG209=$AM$22,MONTH($D209),"")</f>
        <v/>
      </c>
      <c r="AN209" s="89" t="str">
        <f>+IF($AG209=AN$22,MONTH($D209),"")</f>
        <v/>
      </c>
      <c r="AO209" s="89" t="str">
        <f>+IF($AG209=AO$22,MONTH($D209),"")</f>
        <v/>
      </c>
      <c r="AP209" s="89" t="str">
        <f>+IF($AG209=AP$22,MONTH($D209),"")</f>
        <v/>
      </c>
      <c r="AQ209" s="89" t="str">
        <f>+IF($AG209=AQ$22,MONTH($D209),"")</f>
        <v/>
      </c>
      <c r="AR209" s="89" t="str">
        <f>+IF($AG209=AR$22,MONTH($D209),"")</f>
        <v/>
      </c>
      <c r="AS209" s="89" t="str">
        <f>+IF($AG209=AS$22,MONTH($D209),"")</f>
        <v/>
      </c>
      <c r="AT209" s="89" t="str">
        <f>+IF($AG209=AT$22,MONTH($D209),"")</f>
        <v/>
      </c>
      <c r="AU209" s="89" t="str">
        <f>+IF($AG209=AU$22,MONTH($D209),"")</f>
        <v/>
      </c>
      <c r="AV209" s="89" t="str">
        <f>+IF($AG209=AV$22,MONTH($D209),"")</f>
        <v/>
      </c>
      <c r="AW209" s="86" t="str">
        <f>+IF($AG209=AW$22,MONTH($D209),"")</f>
        <v/>
      </c>
      <c r="AX209" s="86" t="str">
        <f>+IF($AG209=AX$22,MONTH($D209),"")</f>
        <v/>
      </c>
      <c r="AY209" s="89"/>
      <c r="AZ209" s="89"/>
      <c r="BA209" s="89"/>
      <c r="BB209" s="89"/>
      <c r="BC209" s="89"/>
      <c r="BD209" s="89"/>
      <c r="BE209" s="89"/>
      <c r="BF209" s="89"/>
      <c r="BG209" s="89"/>
      <c r="BH209" s="89"/>
      <c r="BI209" s="89"/>
      <c r="BJ209" s="89"/>
      <c r="BK209" s="89"/>
      <c r="BL209" s="89"/>
      <c r="BM209" s="89"/>
      <c r="BN209" s="89"/>
      <c r="BO209" s="89"/>
      <c r="BP209" s="89"/>
    </row>
    <row r="210" spans="1:68" s="382" customFormat="1" ht="28.5" hidden="1" customHeight="1">
      <c r="A210" s="204" t="str">
        <f>+IFERROR(VALUE(MID(AB210,4,4)),"")</f>
        <v/>
      </c>
      <c r="B210" s="204">
        <f>VALUE(RIGHT(C210,LEN(C210)-2))</f>
        <v>2512</v>
      </c>
      <c r="C210" s="74" t="s">
        <v>958</v>
      </c>
      <c r="D210" s="75">
        <v>45911</v>
      </c>
      <c r="E210" s="70" t="s">
        <v>262</v>
      </c>
      <c r="F210" s="70" t="s">
        <v>263</v>
      </c>
      <c r="G210" s="68" t="s">
        <v>959</v>
      </c>
      <c r="H210" s="307" t="s">
        <v>960</v>
      </c>
      <c r="I210" s="69" t="s">
        <v>961</v>
      </c>
      <c r="J210" s="69"/>
      <c r="K210" s="68" t="s">
        <v>389</v>
      </c>
      <c r="L210" s="69" t="s">
        <v>129</v>
      </c>
      <c r="M210" s="71" t="s">
        <v>141</v>
      </c>
      <c r="N210" s="69" t="e" vm="1">
        <v>#VALUE!</v>
      </c>
      <c r="O210" s="84">
        <v>45916</v>
      </c>
      <c r="P210" s="72" t="s">
        <v>412</v>
      </c>
      <c r="Q210" s="72" t="s">
        <v>389</v>
      </c>
      <c r="R210" s="162"/>
      <c r="S210" s="146"/>
      <c r="T210" s="68" t="s">
        <v>165</v>
      </c>
      <c r="U210" s="87"/>
      <c r="V210" s="80">
        <v>46049</v>
      </c>
      <c r="W210" s="73">
        <v>2793</v>
      </c>
      <c r="X210" s="73">
        <v>138.62700000000001</v>
      </c>
      <c r="Y210" s="169">
        <f>IF(SUM(W210:W210)&gt;0,X210/SUM(W210:W210)*1000000,"N/A")</f>
        <v>49633.727175080567</v>
      </c>
      <c r="Z210" s="80"/>
      <c r="AA210" s="80"/>
      <c r="AB210" s="73"/>
      <c r="AC210" s="153"/>
      <c r="AD210" s="330"/>
      <c r="AE210" s="305"/>
      <c r="AF210" s="88"/>
      <c r="AG210" s="182">
        <f>YEAR(V210)</f>
        <v>2026</v>
      </c>
      <c r="AH210" s="86">
        <f>+IF(AG210=$AH$22,MONTH(V210),"")</f>
        <v>1</v>
      </c>
      <c r="AI210" s="86" t="str">
        <f>+IF(AG210=$AI$22,MONTH(V210),"")</f>
        <v/>
      </c>
      <c r="AJ210" s="86" t="str">
        <f>+IF(AG210=$AJ$22,MONTH(V210),"")</f>
        <v/>
      </c>
      <c r="AK210" s="86" t="str">
        <f>+IF(AG210=$AK$22,MONTH(V210),"")</f>
        <v/>
      </c>
      <c r="AL210" s="86" t="str">
        <f>+IF(AG210=$AL$22,MONTH(V210),"")</f>
        <v/>
      </c>
      <c r="AM210" s="86" t="str">
        <f>+IF($AG210=$AM$22,MONTH($D210),"")</f>
        <v/>
      </c>
      <c r="AN210" s="89" t="str">
        <f>+IF($AG210=AN$22,MONTH($D210),"")</f>
        <v/>
      </c>
      <c r="AO210" s="89" t="str">
        <f>+IF($AG210=AO$22,MONTH($D210),"")</f>
        <v/>
      </c>
      <c r="AP210" s="89" t="str">
        <f>+IF($AG210=AP$22,MONTH($D210),"")</f>
        <v/>
      </c>
      <c r="AQ210" s="89" t="str">
        <f>+IF($AG210=AQ$22,MONTH($D210),"")</f>
        <v/>
      </c>
      <c r="AR210" s="89" t="str">
        <f>+IF($AG210=AR$22,MONTH($D210),"")</f>
        <v/>
      </c>
      <c r="AS210" s="89" t="str">
        <f>+IF($AG210=AS$22,MONTH($D210),"")</f>
        <v/>
      </c>
      <c r="AT210" s="89" t="str">
        <f>+IF($AG210=AT$22,MONTH($D210),"")</f>
        <v/>
      </c>
      <c r="AU210" s="89" t="str">
        <f>+IF($AG210=AU$22,MONTH($D210),"")</f>
        <v/>
      </c>
      <c r="AV210" s="89" t="str">
        <f>+IF($AG210=AV$22,MONTH($D210),"")</f>
        <v/>
      </c>
      <c r="AW210" s="86" t="str">
        <f>+IF($AG210=AW$22,MONTH($D210),"")</f>
        <v/>
      </c>
      <c r="AX210" s="86" t="str">
        <f>+IF($AG210=AX$22,MONTH($D210),"")</f>
        <v/>
      </c>
      <c r="AY210" s="89"/>
      <c r="AZ210" s="89"/>
      <c r="BA210" s="89"/>
      <c r="BB210" s="89"/>
      <c r="BC210" s="89"/>
      <c r="BD210" s="89"/>
      <c r="BE210" s="89"/>
      <c r="BF210" s="89"/>
      <c r="BG210" s="89"/>
      <c r="BH210" s="89"/>
      <c r="BI210" s="89"/>
      <c r="BJ210" s="89"/>
      <c r="BK210" s="89"/>
      <c r="BL210" s="89"/>
      <c r="BM210" s="89"/>
      <c r="BN210" s="89"/>
      <c r="BO210" s="89"/>
      <c r="BP210" s="89"/>
    </row>
    <row r="211" spans="1:68" s="382" customFormat="1" ht="28.5" hidden="1" customHeight="1">
      <c r="A211" s="204">
        <f>+IFERROR(VALUE(MID(AB211,4,4)),"")</f>
        <v>457</v>
      </c>
      <c r="B211" s="204">
        <f>VALUE(RIGHT(C211,LEN(C211)-2))</f>
        <v>2511</v>
      </c>
      <c r="C211" s="74" t="s">
        <v>962</v>
      </c>
      <c r="D211" s="75">
        <v>45909</v>
      </c>
      <c r="E211" s="70" t="s">
        <v>963</v>
      </c>
      <c r="F211" s="70" t="s">
        <v>964</v>
      </c>
      <c r="G211" s="68" t="s">
        <v>965</v>
      </c>
      <c r="H211" s="307" t="s">
        <v>966</v>
      </c>
      <c r="I211" s="69" t="s">
        <v>967</v>
      </c>
      <c r="J211" s="69"/>
      <c r="K211" s="68" t="s">
        <v>798</v>
      </c>
      <c r="L211" s="69" t="s">
        <v>120</v>
      </c>
      <c r="M211" s="71" t="s">
        <v>141</v>
      </c>
      <c r="N211" s="69" t="e" vm="1">
        <v>#VALUE!</v>
      </c>
      <c r="O211" s="84">
        <v>45916</v>
      </c>
      <c r="P211" s="72" t="s">
        <v>239</v>
      </c>
      <c r="Q211" s="72" t="s">
        <v>229</v>
      </c>
      <c r="R211" s="162"/>
      <c r="S211" s="146"/>
      <c r="T211" s="68" t="s">
        <v>3</v>
      </c>
      <c r="U211" s="87"/>
      <c r="V211" s="80">
        <v>45923</v>
      </c>
      <c r="W211" s="73">
        <v>261</v>
      </c>
      <c r="X211" s="73">
        <f>347*39485/1000000</f>
        <v>13.701295</v>
      </c>
      <c r="Y211" s="169">
        <f>IF(SUM(W211:W211)&gt;0,X211/SUM(W211:W211)*1000000,"N/A")</f>
        <v>52495.383141762453</v>
      </c>
      <c r="Z211" s="80"/>
      <c r="AA211" s="80"/>
      <c r="AB211" s="73" t="s">
        <v>968</v>
      </c>
      <c r="AC211" s="153"/>
      <c r="AD211" s="330"/>
      <c r="AE211" s="305"/>
      <c r="AF211" s="88"/>
      <c r="AG211" s="182">
        <f>YEAR(V211)</f>
        <v>2025</v>
      </c>
      <c r="AH211" s="86" t="str">
        <f>+IF(AG211=$AH$22,MONTH(V211),"")</f>
        <v/>
      </c>
      <c r="AI211" s="86">
        <f>+IF(AG211=$AI$22,MONTH(V211),"")</f>
        <v>9</v>
      </c>
      <c r="AJ211" s="86" t="str">
        <f>+IF(AG211=$AJ$22,MONTH(V211),"")</f>
        <v/>
      </c>
      <c r="AK211" s="86" t="str">
        <f>+IF(AG211=$AK$22,MONTH(V211),"")</f>
        <v/>
      </c>
      <c r="AL211" s="86" t="str">
        <f>+IF(AG211=$AL$22,MONTH(V211),"")</f>
        <v/>
      </c>
      <c r="AM211" s="86" t="str">
        <f>+IF($AG211=$AM$22,MONTH($D211),"")</f>
        <v/>
      </c>
      <c r="AN211" s="89" t="str">
        <f>+IF($AG211=AN$22,MONTH($D211),"")</f>
        <v/>
      </c>
      <c r="AO211" s="89" t="str">
        <f>+IF($AG211=AO$22,MONTH($D211),"")</f>
        <v/>
      </c>
      <c r="AP211" s="89" t="str">
        <f>+IF($AG211=AP$22,MONTH($D211),"")</f>
        <v/>
      </c>
      <c r="AQ211" s="89" t="str">
        <f>+IF($AG211=AQ$22,MONTH($D211),"")</f>
        <v/>
      </c>
      <c r="AR211" s="89" t="str">
        <f>+IF($AG211=AR$22,MONTH($D211),"")</f>
        <v/>
      </c>
      <c r="AS211" s="89" t="str">
        <f>+IF($AG211=AS$22,MONTH($D211),"")</f>
        <v/>
      </c>
      <c r="AT211" s="89" t="str">
        <f>+IF($AG211=AT$22,MONTH($D211),"")</f>
        <v/>
      </c>
      <c r="AU211" s="89" t="str">
        <f>+IF($AG211=AU$22,MONTH($D211),"")</f>
        <v/>
      </c>
      <c r="AV211" s="89" t="str">
        <f>+IF($AG211=AV$22,MONTH($D211),"")</f>
        <v/>
      </c>
      <c r="AW211" s="86" t="str">
        <f>+IF($AG211=AW$22,MONTH($D211),"")</f>
        <v/>
      </c>
      <c r="AX211" s="86" t="str">
        <f>+IF($AG211=AX$22,MONTH($D211),"")</f>
        <v/>
      </c>
      <c r="AY211" s="89"/>
      <c r="AZ211" s="89"/>
      <c r="BA211" s="89"/>
      <c r="BB211" s="89"/>
      <c r="BC211" s="89"/>
      <c r="BD211" s="89"/>
      <c r="BE211" s="89"/>
      <c r="BF211" s="89"/>
      <c r="BG211" s="89"/>
      <c r="BH211" s="89"/>
      <c r="BI211" s="89"/>
      <c r="BJ211" s="89"/>
      <c r="BK211" s="89"/>
      <c r="BL211" s="89"/>
      <c r="BM211" s="89"/>
      <c r="BN211" s="89"/>
      <c r="BO211" s="89"/>
      <c r="BP211" s="89"/>
    </row>
    <row r="212" spans="1:68" s="56" customFormat="1" ht="51" hidden="1" customHeight="1">
      <c r="A212" s="204" t="str">
        <f>+IFERROR(VALUE(MID(AB212,4,4)),"")</f>
        <v/>
      </c>
      <c r="B212" s="204">
        <f>VALUE(RIGHT(C212,LEN(C212)-2))</f>
        <v>2510</v>
      </c>
      <c r="C212" s="74" t="s">
        <v>969</v>
      </c>
      <c r="D212" s="75">
        <v>45910</v>
      </c>
      <c r="E212" s="70" t="s">
        <v>332</v>
      </c>
      <c r="F212" s="70" t="s">
        <v>332</v>
      </c>
      <c r="G212" s="68" t="s">
        <v>970</v>
      </c>
      <c r="H212" s="304" t="s">
        <v>971</v>
      </c>
      <c r="I212" s="162" t="s">
        <v>972</v>
      </c>
      <c r="J212" s="162"/>
      <c r="K212" s="68" t="s">
        <v>13</v>
      </c>
      <c r="L212" s="69" t="s">
        <v>123</v>
      </c>
      <c r="M212" s="71" t="s">
        <v>141</v>
      </c>
      <c r="N212" s="69" t="e" vm="1">
        <v>#VALUE!</v>
      </c>
      <c r="O212" s="164">
        <v>45912</v>
      </c>
      <c r="P212" s="72" t="s">
        <v>412</v>
      </c>
      <c r="Q212" s="69" t="s">
        <v>259</v>
      </c>
      <c r="R212" s="69"/>
      <c r="S212" s="146"/>
      <c r="T212" s="68" t="s">
        <v>3</v>
      </c>
      <c r="U212" s="87"/>
      <c r="V212" s="183">
        <v>46012</v>
      </c>
      <c r="W212" s="73"/>
      <c r="X212" s="73"/>
      <c r="Y212" s="83" t="str">
        <f>IF(SUM(W212:W212)&gt;0,X212/SUM(W212:W212)*1000000,"N/A")</f>
        <v>N/A</v>
      </c>
      <c r="Z212" s="183"/>
      <c r="AA212" s="183"/>
      <c r="AB212" s="73"/>
      <c r="AC212" s="153"/>
      <c r="AD212" s="330"/>
      <c r="AE212" s="305"/>
      <c r="AF212" s="88"/>
      <c r="AG212" s="182">
        <f>YEAR(V212)</f>
        <v>2025</v>
      </c>
      <c r="AH212" s="86" t="str">
        <f>+IF(AG212=$AH$22,MONTH(V212),"")</f>
        <v/>
      </c>
      <c r="AI212" s="86">
        <f>+IF(AG212=$AI$22,MONTH(V212),"")</f>
        <v>12</v>
      </c>
      <c r="AJ212" s="86" t="str">
        <f>+IF(AG212=$AJ$22,MONTH(V212),"")</f>
        <v/>
      </c>
      <c r="AK212" s="86" t="str">
        <f>+IF(AG212=$AK$22,MONTH(V212),"")</f>
        <v/>
      </c>
      <c r="AL212" s="86"/>
      <c r="AM212" s="89"/>
      <c r="AN212" s="89"/>
      <c r="AO212" s="89"/>
      <c r="AP212" s="89"/>
      <c r="AQ212" s="89"/>
      <c r="AR212" s="89"/>
      <c r="AS212" s="89"/>
      <c r="AT212" s="89"/>
      <c r="AU212" s="89"/>
      <c r="AV212" s="89"/>
      <c r="AW212" s="86" t="str">
        <f>+IF($AG212=AW$22,MONTH($D212),"")</f>
        <v/>
      </c>
      <c r="AX212" s="86" t="str">
        <f>+IF($AG212=AX$22,MONTH($D212),"")</f>
        <v/>
      </c>
      <c r="AY212" s="89"/>
      <c r="AZ212" s="89"/>
      <c r="BA212" s="89"/>
      <c r="BB212" s="89"/>
      <c r="BC212" s="89"/>
      <c r="BD212" s="89"/>
      <c r="BE212" s="89"/>
      <c r="BF212" s="89"/>
      <c r="BG212" s="89"/>
      <c r="BH212" s="89"/>
      <c r="BI212" s="89"/>
      <c r="BJ212" s="89"/>
      <c r="BK212" s="89"/>
      <c r="BL212" s="89"/>
      <c r="BM212" s="89"/>
      <c r="BN212" s="89"/>
      <c r="BO212" s="89"/>
      <c r="BP212" s="89"/>
    </row>
    <row r="213" spans="1:68" s="89" customFormat="1" ht="28.5" hidden="1" customHeight="1">
      <c r="A213" s="204" t="str">
        <f>+IFERROR(VALUE(MID(AB213,4,4)),"")</f>
        <v/>
      </c>
      <c r="B213" s="204">
        <f>VALUE(RIGHT(C213,LEN(C213)-2))</f>
        <v>2509</v>
      </c>
      <c r="C213" s="74" t="s">
        <v>973</v>
      </c>
      <c r="D213" s="75">
        <v>45910</v>
      </c>
      <c r="E213" s="70" t="s">
        <v>974</v>
      </c>
      <c r="F213" s="70" t="s">
        <v>974</v>
      </c>
      <c r="G213" s="68" t="s">
        <v>975</v>
      </c>
      <c r="H213" s="379" t="s">
        <v>976</v>
      </c>
      <c r="I213" s="162" t="s">
        <v>977</v>
      </c>
      <c r="J213" s="162"/>
      <c r="K213" s="68" t="s">
        <v>9</v>
      </c>
      <c r="L213" s="68" t="s">
        <v>123</v>
      </c>
      <c r="M213" s="68" t="s">
        <v>141</v>
      </c>
      <c r="N213" s="69" t="e" vm="1">
        <v>#VALUE!</v>
      </c>
      <c r="O213" s="164">
        <v>45912</v>
      </c>
      <c r="P213" s="72" t="s">
        <v>978</v>
      </c>
      <c r="Q213" s="69" t="s">
        <v>259</v>
      </c>
      <c r="R213" s="69"/>
      <c r="S213" s="146"/>
      <c r="T213" s="68" t="s">
        <v>165</v>
      </c>
      <c r="U213" s="87"/>
      <c r="V213" s="183">
        <v>45925</v>
      </c>
      <c r="W213" s="73"/>
      <c r="X213" s="73"/>
      <c r="Y213" s="83" t="str">
        <f>IF(SUM(W213:W213)&gt;0,X213/SUM(W213:W213)*1000000,"N/A")</f>
        <v>N/A</v>
      </c>
      <c r="Z213" s="183"/>
      <c r="AA213" s="183"/>
      <c r="AB213" s="73"/>
      <c r="AC213" s="153"/>
      <c r="AD213" s="330"/>
      <c r="AE213" s="305"/>
      <c r="AF213" s="88"/>
      <c r="AG213" s="182">
        <f>YEAR(V213)</f>
        <v>2025</v>
      </c>
      <c r="AH213" s="86" t="str">
        <f>+IF(AG213=$AH$22,MONTH(V213),"")</f>
        <v/>
      </c>
      <c r="AI213" s="86">
        <f>+IF(AG213=$AI$22,MONTH(V213),"")</f>
        <v>9</v>
      </c>
      <c r="AJ213" s="86" t="str">
        <f>+IF(AG213=$AJ$22,MONTH(V213),"")</f>
        <v/>
      </c>
      <c r="AK213" s="86" t="str">
        <f>+IF(AG213=$AK$22,MONTH(V213),"")</f>
        <v/>
      </c>
      <c r="AL213" s="86"/>
      <c r="AW213" s="86" t="str">
        <f>+IF($AG213=AW$22,MONTH($D213),"")</f>
        <v/>
      </c>
      <c r="AX213" s="86" t="str">
        <f>+IF($AG213=AX$22,MONTH($D213),"")</f>
        <v/>
      </c>
    </row>
    <row r="214" spans="1:68" s="89" customFormat="1" ht="28.5" hidden="1" customHeight="1">
      <c r="A214" s="204" t="str">
        <f>+IFERROR(VALUE(MID(AB214,4,4)),"")</f>
        <v/>
      </c>
      <c r="B214" s="204">
        <f>VALUE(RIGHT(C214,LEN(C214)-2))</f>
        <v>2508</v>
      </c>
      <c r="C214" s="74" t="s">
        <v>979</v>
      </c>
      <c r="D214" s="75">
        <v>45910</v>
      </c>
      <c r="E214" s="70" t="s">
        <v>332</v>
      </c>
      <c r="F214" s="70" t="s">
        <v>332</v>
      </c>
      <c r="G214" s="68" t="s">
        <v>210</v>
      </c>
      <c r="H214" s="304" t="s">
        <v>256</v>
      </c>
      <c r="I214" s="162" t="s">
        <v>980</v>
      </c>
      <c r="J214" s="162"/>
      <c r="K214" s="68" t="s">
        <v>13</v>
      </c>
      <c r="L214" s="68" t="s">
        <v>123</v>
      </c>
      <c r="M214" s="68" t="s">
        <v>141</v>
      </c>
      <c r="N214" s="69" t="e" vm="1">
        <v>#VALUE!</v>
      </c>
      <c r="O214" s="164">
        <v>45950</v>
      </c>
      <c r="P214" s="72" t="s">
        <v>737</v>
      </c>
      <c r="Q214" s="69" t="s">
        <v>623</v>
      </c>
      <c r="R214" s="69"/>
      <c r="S214" s="146"/>
      <c r="T214" s="68" t="s">
        <v>165</v>
      </c>
      <c r="U214" s="87"/>
      <c r="V214" s="183">
        <v>45973</v>
      </c>
      <c r="W214" s="73">
        <v>1979</v>
      </c>
      <c r="X214" s="73">
        <v>86.445999999999998</v>
      </c>
      <c r="Y214" s="83">
        <f>IF(SUM(W214:W214)&gt;0,X214/SUM(W214:W214)*1000000,"N/A")</f>
        <v>43681.657402728648</v>
      </c>
      <c r="Z214" s="183"/>
      <c r="AA214" s="183"/>
      <c r="AB214" s="73"/>
      <c r="AC214" s="153"/>
      <c r="AD214" s="330"/>
      <c r="AE214" s="305"/>
      <c r="AF214" s="88"/>
      <c r="AG214" s="182">
        <f>YEAR(V214)</f>
        <v>2025</v>
      </c>
      <c r="AH214" s="86" t="str">
        <f>+IF(AG214=$AH$22,MONTH(V214),"")</f>
        <v/>
      </c>
      <c r="AI214" s="86">
        <f>+IF(AG214=$AI$22,MONTH(V214),"")</f>
        <v>11</v>
      </c>
      <c r="AJ214" s="86" t="str">
        <f>+IF(AG214=$AJ$22,MONTH(V214),"")</f>
        <v/>
      </c>
      <c r="AK214" s="86" t="str">
        <f>+IF(AG214=$AK$22,MONTH(V214),"")</f>
        <v/>
      </c>
      <c r="AL214" s="86"/>
      <c r="AW214" s="86" t="str">
        <f>+IF($AG214=AW$22,MONTH($D214),"")</f>
        <v/>
      </c>
      <c r="AX214" s="86" t="str">
        <f>+IF($AG214=AX$22,MONTH($D214),"")</f>
        <v/>
      </c>
    </row>
    <row r="215" spans="1:68" s="89" customFormat="1" ht="28.5" hidden="1" customHeight="1">
      <c r="A215" s="204">
        <f>+IFERROR(VALUE(MID(AB215,4,4)),"")</f>
        <v>455</v>
      </c>
      <c r="B215" s="204">
        <f>VALUE(RIGHT(C215,LEN(C215)-2))</f>
        <v>2507</v>
      </c>
      <c r="C215" s="74" t="s">
        <v>981</v>
      </c>
      <c r="D215" s="75">
        <v>45910</v>
      </c>
      <c r="E215" s="70" t="s">
        <v>964</v>
      </c>
      <c r="F215" s="70" t="s">
        <v>964</v>
      </c>
      <c r="G215" s="68" t="s">
        <v>982</v>
      </c>
      <c r="H215" s="307" t="s">
        <v>983</v>
      </c>
      <c r="I215" s="69" t="s">
        <v>984</v>
      </c>
      <c r="J215" s="69"/>
      <c r="K215" s="68" t="s">
        <v>401</v>
      </c>
      <c r="L215" s="68" t="s">
        <v>120</v>
      </c>
      <c r="M215" s="68" t="s">
        <v>141</v>
      </c>
      <c r="N215" s="69" t="e" vm="1">
        <v>#VALUE!</v>
      </c>
      <c r="O215" s="84">
        <v>45910</v>
      </c>
      <c r="P215" s="72" t="s">
        <v>377</v>
      </c>
      <c r="Q215" s="72" t="s">
        <v>259</v>
      </c>
      <c r="R215" s="162"/>
      <c r="S215" s="146" t="s">
        <v>985</v>
      </c>
      <c r="T215" s="68" t="s">
        <v>3</v>
      </c>
      <c r="U215" s="87"/>
      <c r="V215" s="80">
        <v>45916</v>
      </c>
      <c r="W215" s="73">
        <v>10</v>
      </c>
      <c r="X215" s="73">
        <f>30*39485/1000000</f>
        <v>1.18455</v>
      </c>
      <c r="Y215" s="169">
        <f>IF(SUM(W215:W215)&gt;0,X215/SUM(W215:W215)*1000000,"N/A")</f>
        <v>118455</v>
      </c>
      <c r="Z215" s="80"/>
      <c r="AA215" s="80"/>
      <c r="AB215" s="73" t="s">
        <v>986</v>
      </c>
      <c r="AC215" s="153"/>
      <c r="AD215" s="330"/>
      <c r="AE215" s="305"/>
      <c r="AF215" s="88"/>
      <c r="AG215" s="182">
        <f>YEAR(V215)</f>
        <v>2025</v>
      </c>
      <c r="AH215" s="86" t="str">
        <f>+IF(AG215=$AH$22,MONTH(V215),"")</f>
        <v/>
      </c>
      <c r="AI215" s="86">
        <f>+IF(AG215=$AI$22,MONTH(V215),"")</f>
        <v>9</v>
      </c>
      <c r="AJ215" s="86" t="str">
        <f>+IF(AG215=$AJ$22,MONTH(V215),"")</f>
        <v/>
      </c>
      <c r="AK215" s="86" t="str">
        <f>+IF(AG215=$AK$22,MONTH(V215),"")</f>
        <v/>
      </c>
      <c r="AL215" s="86" t="str">
        <f>+IF(AG215=$AL$22,MONTH(V215),"")</f>
        <v/>
      </c>
      <c r="AM215" s="86" t="str">
        <f>+IF($AG215=$AM$22,MONTH($D215),"")</f>
        <v/>
      </c>
      <c r="AN215" s="89" t="str">
        <f>+IF($AG215=AN$22,MONTH($D215),"")</f>
        <v/>
      </c>
      <c r="AO215" s="89" t="str">
        <f>+IF($AG215=AO$22,MONTH($D215),"")</f>
        <v/>
      </c>
      <c r="AP215" s="89" t="str">
        <f>+IF($AG215=AP$22,MONTH($D215),"")</f>
        <v/>
      </c>
      <c r="AQ215" s="89" t="str">
        <f>+IF($AG215=AQ$22,MONTH($D215),"")</f>
        <v/>
      </c>
      <c r="AR215" s="89" t="str">
        <f>+IF($AG215=AR$22,MONTH($D215),"")</f>
        <v/>
      </c>
      <c r="AS215" s="89" t="str">
        <f>+IF($AG215=AS$22,MONTH($D215),"")</f>
        <v/>
      </c>
      <c r="AT215" s="89" t="str">
        <f>+IF($AG215=AT$22,MONTH($D215),"")</f>
        <v/>
      </c>
      <c r="AU215" s="89" t="str">
        <f>+IF($AG215=AU$22,MONTH($D215),"")</f>
        <v/>
      </c>
      <c r="AV215" s="89" t="str">
        <f>+IF($AG215=AV$22,MONTH($D215),"")</f>
        <v/>
      </c>
      <c r="AW215" s="86" t="str">
        <f>+IF($AG215=AW$22,MONTH($D215),"")</f>
        <v/>
      </c>
      <c r="AX215" s="86" t="str">
        <f>+IF($AG215=AX$22,MONTH($D215),"")</f>
        <v/>
      </c>
    </row>
    <row r="216" spans="1:68" s="56" customFormat="1" ht="51" hidden="1" customHeight="1">
      <c r="A216" s="204">
        <f>+IFERROR(VALUE(MID(AB216,4,4)),"")</f>
        <v>466</v>
      </c>
      <c r="B216" s="204">
        <f>VALUE(RIGHT(C216,LEN(C216)-2))</f>
        <v>2506</v>
      </c>
      <c r="C216" s="74" t="s">
        <v>987</v>
      </c>
      <c r="D216" s="75">
        <v>45908</v>
      </c>
      <c r="E216" s="70" t="s">
        <v>262</v>
      </c>
      <c r="F216" s="70" t="s">
        <v>270</v>
      </c>
      <c r="G216" s="68" t="s">
        <v>415</v>
      </c>
      <c r="H216" s="307" t="s">
        <v>416</v>
      </c>
      <c r="I216" s="69" t="s">
        <v>988</v>
      </c>
      <c r="J216" s="69"/>
      <c r="K216" s="68" t="s">
        <v>26</v>
      </c>
      <c r="L216" s="69" t="s">
        <v>123</v>
      </c>
      <c r="M216" s="71" t="s">
        <v>141</v>
      </c>
      <c r="N216" s="69" t="e" vm="1">
        <v>#VALUE!</v>
      </c>
      <c r="O216" s="84">
        <v>45945</v>
      </c>
      <c r="P216" s="72" t="s">
        <v>412</v>
      </c>
      <c r="Q216" s="72" t="s">
        <v>220</v>
      </c>
      <c r="R216" s="162"/>
      <c r="S216" s="146"/>
      <c r="T216" s="68" t="s">
        <v>3</v>
      </c>
      <c r="U216" s="87"/>
      <c r="V216" s="80">
        <v>45924</v>
      </c>
      <c r="W216" s="73"/>
      <c r="X216" s="73"/>
      <c r="Y216" s="169" t="str">
        <f>IF(SUM(W216:W216)&gt;0,X216/SUM(W216:W216)*1000000,"N/A")</f>
        <v>N/A</v>
      </c>
      <c r="Z216" s="80"/>
      <c r="AA216" s="80"/>
      <c r="AB216" s="73" t="s">
        <v>989</v>
      </c>
      <c r="AC216" s="153"/>
      <c r="AD216" s="330"/>
      <c r="AE216" s="305"/>
      <c r="AF216" s="88"/>
      <c r="AG216" s="182">
        <f>YEAR(V216)</f>
        <v>2025</v>
      </c>
      <c r="AH216" s="86" t="str">
        <f>+IF(AG216=$AH$22,MONTH(V216),"")</f>
        <v/>
      </c>
      <c r="AI216" s="86">
        <f>+IF(AG216=$AI$22,MONTH(V216),"")</f>
        <v>9</v>
      </c>
      <c r="AJ216" s="86" t="str">
        <f>+IF(AG216=$AJ$22,MONTH(V216),"")</f>
        <v/>
      </c>
      <c r="AK216" s="86" t="str">
        <f>+IF(AG216=$AK$22,MONTH(V216),"")</f>
        <v/>
      </c>
      <c r="AL216" s="86" t="str">
        <f>+IF(AG216=$AL$22,MONTH(V216),"")</f>
        <v/>
      </c>
      <c r="AM216" s="86" t="str">
        <f>+IF($AG216=$AM$22,MONTH($D216),"")</f>
        <v/>
      </c>
      <c r="AN216" s="89" t="str">
        <f>+IF($AG216=AN$22,MONTH($D216),"")</f>
        <v/>
      </c>
      <c r="AO216" s="89" t="str">
        <f>+IF($AG216=AO$22,MONTH($D216),"")</f>
        <v/>
      </c>
      <c r="AP216" s="89" t="str">
        <f>+IF($AG216=AP$22,MONTH($D216),"")</f>
        <v/>
      </c>
      <c r="AQ216" s="89" t="str">
        <f>+IF($AG216=AQ$22,MONTH($D216),"")</f>
        <v/>
      </c>
      <c r="AR216" s="89" t="str">
        <f>+IF($AG216=AR$22,MONTH($D216),"")</f>
        <v/>
      </c>
      <c r="AS216" s="89" t="str">
        <f>+IF($AG216=AS$22,MONTH($D216),"")</f>
        <v/>
      </c>
      <c r="AT216" s="89" t="str">
        <f>+IF($AG216=AT$22,MONTH($D216),"")</f>
        <v/>
      </c>
      <c r="AU216" s="89" t="str">
        <f>+IF($AG216=AU$22,MONTH($D216),"")</f>
        <v/>
      </c>
      <c r="AV216" s="89" t="str">
        <f>+IF($AG216=AV$22,MONTH($D216),"")</f>
        <v/>
      </c>
      <c r="AW216" s="86" t="str">
        <f>+IF($AG216=AW$22,MONTH($D216),"")</f>
        <v/>
      </c>
      <c r="AX216" s="86" t="str">
        <f>+IF($AG216=AX$22,MONTH($D216),"")</f>
        <v/>
      </c>
      <c r="AY216" s="89"/>
      <c r="AZ216" s="89"/>
      <c r="BA216" s="89"/>
      <c r="BB216" s="89"/>
      <c r="BC216" s="89"/>
      <c r="BD216" s="89"/>
      <c r="BE216" s="89"/>
      <c r="BF216" s="89"/>
      <c r="BG216" s="89"/>
      <c r="BH216" s="89"/>
      <c r="BI216" s="89"/>
      <c r="BJ216" s="89"/>
      <c r="BK216" s="89"/>
      <c r="BL216" s="89"/>
      <c r="BM216" s="89"/>
      <c r="BN216" s="89"/>
      <c r="BO216" s="89"/>
      <c r="BP216" s="89"/>
    </row>
    <row r="217" spans="1:68" s="56" customFormat="1" ht="51" hidden="1" customHeight="1">
      <c r="A217" s="204" t="str">
        <f>+IFERROR(VALUE(MID(AB217,4,4)),"")</f>
        <v/>
      </c>
      <c r="B217" s="204">
        <f>VALUE(RIGHT(C217,LEN(C217)-2))</f>
        <v>2505</v>
      </c>
      <c r="C217" s="74" t="s">
        <v>990</v>
      </c>
      <c r="D217" s="75">
        <v>45908</v>
      </c>
      <c r="E217" s="70" t="s">
        <v>479</v>
      </c>
      <c r="F217" s="70" t="s">
        <v>479</v>
      </c>
      <c r="G217" s="68" t="s">
        <v>991</v>
      </c>
      <c r="H217" s="307" t="s">
        <v>992</v>
      </c>
      <c r="I217" s="162" t="s">
        <v>993</v>
      </c>
      <c r="J217" s="162"/>
      <c r="K217" s="68" t="s">
        <v>13</v>
      </c>
      <c r="L217" s="69" t="s">
        <v>129</v>
      </c>
      <c r="M217" s="71" t="s">
        <v>113</v>
      </c>
      <c r="N217" s="69" t="e" vm="2">
        <v>#VALUE!</v>
      </c>
      <c r="O217" s="84">
        <v>45925</v>
      </c>
      <c r="P217" s="82" t="s">
        <v>294</v>
      </c>
      <c r="Q217" s="69" t="s">
        <v>623</v>
      </c>
      <c r="R217" s="69"/>
      <c r="S217" s="146"/>
      <c r="T217" s="68" t="s">
        <v>165</v>
      </c>
      <c r="U217" s="87"/>
      <c r="V217" s="183">
        <v>46066</v>
      </c>
      <c r="W217" s="73">
        <v>350</v>
      </c>
      <c r="X217" s="73">
        <v>13</v>
      </c>
      <c r="Y217" s="83">
        <f>IF(SUM(W217:W217)&gt;0,X217/SUM(W217:W217)*1000000,"N/A")</f>
        <v>37142.857142857145</v>
      </c>
      <c r="Z217" s="183"/>
      <c r="AA217" s="183"/>
      <c r="AB217" s="73"/>
      <c r="AC217" s="153"/>
      <c r="AD217" s="331"/>
      <c r="AE217" s="57"/>
      <c r="AF217" s="88"/>
      <c r="AG217" s="182">
        <f>YEAR(V217)</f>
        <v>2026</v>
      </c>
      <c r="AH217" s="86">
        <f>+IF(AG217=$AH$22,MONTH(V217),"")</f>
        <v>2</v>
      </c>
      <c r="AI217" s="86" t="str">
        <f>+IF(AG217=$AI$22,MONTH(V217),"")</f>
        <v/>
      </c>
      <c r="AJ217" s="86" t="str">
        <f>+IF(AG217=$AJ$22,MONTH(V217),"")</f>
        <v/>
      </c>
      <c r="AK217" s="86" t="str">
        <f>+IF(AG217=$AK$22,MONTH(V217),"")</f>
        <v/>
      </c>
      <c r="AL217" s="86"/>
      <c r="AM217" s="89"/>
      <c r="AN217" s="89"/>
      <c r="AO217" s="89"/>
      <c r="AP217" s="89"/>
      <c r="AQ217" s="89"/>
      <c r="AR217" s="89"/>
      <c r="AS217" s="89"/>
      <c r="AT217" s="89"/>
      <c r="AU217" s="89"/>
      <c r="AV217" s="89"/>
      <c r="AW217" s="86" t="str">
        <f>+IF($AG217=AW$22,MONTH($D217),"")</f>
        <v/>
      </c>
      <c r="AX217" s="86" t="str">
        <f>+IF($AG217=AX$22,MONTH($D217),"")</f>
        <v/>
      </c>
      <c r="AY217" s="89"/>
      <c r="AZ217" s="89"/>
      <c r="BA217" s="89"/>
      <c r="BB217" s="89"/>
      <c r="BC217" s="89"/>
      <c r="BD217" s="89"/>
      <c r="BE217" s="89"/>
      <c r="BF217" s="89"/>
      <c r="BG217" s="89"/>
      <c r="BH217" s="89"/>
      <c r="BI217" s="89"/>
      <c r="BJ217" s="89"/>
      <c r="BK217" s="89"/>
      <c r="BL217" s="89"/>
      <c r="BM217" s="89"/>
      <c r="BN217" s="89"/>
      <c r="BO217" s="89"/>
      <c r="BP217" s="89"/>
    </row>
    <row r="218" spans="1:68" s="56" customFormat="1" ht="33.75" hidden="1" customHeight="1">
      <c r="A218" s="204" t="str">
        <f>+IFERROR(VALUE(MID(AB218,4,4)),"")</f>
        <v/>
      </c>
      <c r="B218" s="204">
        <f>VALUE(RIGHT(C218,LEN(C218)-2))</f>
        <v>2504</v>
      </c>
      <c r="C218" s="74" t="s">
        <v>994</v>
      </c>
      <c r="D218" s="75">
        <v>45905</v>
      </c>
      <c r="E218" s="70" t="s">
        <v>939</v>
      </c>
      <c r="F218" s="70" t="s">
        <v>940</v>
      </c>
      <c r="G218" s="68" t="s">
        <v>995</v>
      </c>
      <c r="H218" s="307" t="s">
        <v>996</v>
      </c>
      <c r="I218" s="69" t="s">
        <v>997</v>
      </c>
      <c r="J218" s="69"/>
      <c r="K218" s="68" t="s">
        <v>12</v>
      </c>
      <c r="L218" s="69" t="s">
        <v>120</v>
      </c>
      <c r="M218" s="71" t="s">
        <v>141</v>
      </c>
      <c r="N218" s="69" t="e" vm="1">
        <v>#VALUE!</v>
      </c>
      <c r="O218" s="164">
        <v>45910</v>
      </c>
      <c r="P218" s="72" t="s">
        <v>412</v>
      </c>
      <c r="Q218" s="72" t="s">
        <v>623</v>
      </c>
      <c r="R218" s="162"/>
      <c r="S218" s="146"/>
      <c r="T218" s="68" t="s">
        <v>165</v>
      </c>
      <c r="U218" s="87"/>
      <c r="V218" s="183">
        <v>45925</v>
      </c>
      <c r="W218" s="73"/>
      <c r="X218" s="231"/>
      <c r="Y218" s="83" t="str">
        <f>IF(SUM(W218:W218)&gt;0,X218/SUM(W218:W218)*1000000,"N/A")</f>
        <v>N/A</v>
      </c>
      <c r="Z218" s="183"/>
      <c r="AA218" s="183"/>
      <c r="AB218" s="73"/>
      <c r="AC218" s="330"/>
      <c r="AD218" s="330" t="s">
        <v>134</v>
      </c>
      <c r="AE218" s="305"/>
      <c r="AF218" s="88"/>
      <c r="AG218" s="182">
        <f>YEAR(V218)</f>
        <v>2025</v>
      </c>
      <c r="AH218" s="86" t="str">
        <f>+IF(AG218=$AH$22,MONTH(V218),"")</f>
        <v/>
      </c>
      <c r="AI218" s="86">
        <f>+IF(AG218=$AI$22,MONTH(V218),"")</f>
        <v>9</v>
      </c>
      <c r="AJ218" s="86" t="str">
        <f>+IF(AG218=$AJ$22,MONTH(V218),"")</f>
        <v/>
      </c>
      <c r="AK218" s="86" t="str">
        <f>+IF(AG218=$AK$22,MONTH(V218),"")</f>
        <v/>
      </c>
      <c r="AL218" s="86"/>
      <c r="AM218" s="89"/>
      <c r="AN218" s="89"/>
      <c r="AO218" s="89"/>
      <c r="AP218" s="89"/>
      <c r="AQ218" s="89"/>
      <c r="AR218" s="89"/>
      <c r="AS218" s="89"/>
      <c r="AT218" s="89"/>
      <c r="AU218" s="89"/>
      <c r="AV218" s="89"/>
      <c r="AW218" s="86" t="str">
        <f>+IF($AG218=AW$22,MONTH($D218),"")</f>
        <v/>
      </c>
      <c r="AX218" s="86" t="str">
        <f>+IF($AG218=AX$22,MONTH($D218),"")</f>
        <v/>
      </c>
      <c r="AY218" s="89"/>
      <c r="AZ218" s="89"/>
      <c r="BA218" s="89"/>
      <c r="BB218" s="89"/>
      <c r="BC218" s="89"/>
      <c r="BD218" s="89"/>
      <c r="BE218" s="89"/>
      <c r="BF218" s="89"/>
      <c r="BG218" s="89"/>
      <c r="BH218" s="89"/>
      <c r="BI218" s="89"/>
      <c r="BJ218" s="89"/>
      <c r="BK218" s="89"/>
      <c r="BL218" s="89"/>
      <c r="BM218" s="89"/>
      <c r="BN218" s="89"/>
      <c r="BO218" s="89"/>
      <c r="BP218" s="89"/>
    </row>
    <row r="219" spans="1:68" s="89" customFormat="1" ht="45.75" hidden="1" customHeight="1">
      <c r="A219" s="204" t="str">
        <f>+IFERROR(VALUE(MID(AB219,4,4)),"")</f>
        <v/>
      </c>
      <c r="B219" s="204">
        <f>VALUE(RIGHT(C219,LEN(C219)-2))</f>
        <v>2503</v>
      </c>
      <c r="C219" s="74" t="s">
        <v>998</v>
      </c>
      <c r="D219" s="75">
        <v>45902</v>
      </c>
      <c r="E219" s="70" t="s">
        <v>806</v>
      </c>
      <c r="F219" s="70" t="s">
        <v>806</v>
      </c>
      <c r="G219" s="68" t="s">
        <v>999</v>
      </c>
      <c r="H219" s="282" t="s">
        <v>1000</v>
      </c>
      <c r="I219" s="162" t="s">
        <v>1001</v>
      </c>
      <c r="J219" s="162"/>
      <c r="K219" s="68" t="s">
        <v>24</v>
      </c>
      <c r="L219" s="68" t="s">
        <v>120</v>
      </c>
      <c r="M219" s="68" t="s">
        <v>141</v>
      </c>
      <c r="N219" s="69" t="e" vm="1">
        <v>#VALUE!</v>
      </c>
      <c r="O219" s="164">
        <v>45904</v>
      </c>
      <c r="P219" s="72" t="s">
        <v>239</v>
      </c>
      <c r="Q219" s="72" t="s">
        <v>259</v>
      </c>
      <c r="R219" s="162"/>
      <c r="S219" s="146"/>
      <c r="T219" s="68" t="s">
        <v>158</v>
      </c>
      <c r="U219" s="87">
        <v>0.05</v>
      </c>
      <c r="V219" s="183">
        <v>45904</v>
      </c>
      <c r="W219" s="73">
        <v>480</v>
      </c>
      <c r="X219" s="383">
        <f>624*39701/1000000</f>
        <v>24.773423999999999</v>
      </c>
      <c r="Y219" s="83">
        <f>IF(SUM(W219:W219)&gt;0,X219/SUM(W219:W219)*1000000,"N/A")</f>
        <v>51611.299999999996</v>
      </c>
      <c r="Z219" s="183"/>
      <c r="AA219" s="183"/>
      <c r="AB219" s="73"/>
      <c r="AC219" s="153"/>
      <c r="AD219" s="331"/>
      <c r="AE219" s="57"/>
      <c r="AF219" s="88"/>
      <c r="AG219" s="182">
        <f>YEAR(V219)</f>
        <v>2025</v>
      </c>
      <c r="AH219" s="86" t="str">
        <f>+IF(AG219=$AH$22,MONTH(V219),"")</f>
        <v/>
      </c>
      <c r="AI219" s="86">
        <f>+IF(AG219=$AI$22,MONTH(V219),"")</f>
        <v>9</v>
      </c>
      <c r="AJ219" s="86" t="str">
        <f>+IF(AG219=$AJ$22,MONTH(V219),"")</f>
        <v/>
      </c>
      <c r="AK219" s="86" t="str">
        <f>+IF(AG219=$AK$22,MONTH(V219),"")</f>
        <v/>
      </c>
      <c r="AL219" s="86"/>
      <c r="AW219" s="86" t="str">
        <f>+IF($AG219=AW$22,MONTH($D219),"")</f>
        <v/>
      </c>
      <c r="AX219" s="86" t="str">
        <f>+IF($AG219=AX$22,MONTH($D219),"")</f>
        <v/>
      </c>
    </row>
    <row r="220" spans="1:68" s="56" customFormat="1" ht="26.25" hidden="1" customHeight="1">
      <c r="A220" s="204" t="str">
        <f>+IFERROR(VALUE(MID(AB220,4,4)),"")</f>
        <v/>
      </c>
      <c r="B220" s="204">
        <f>VALUE(RIGHT(C220,LEN(C220)-2))</f>
        <v>2502</v>
      </c>
      <c r="C220" s="74" t="s">
        <v>1002</v>
      </c>
      <c r="D220" s="75">
        <v>45902</v>
      </c>
      <c r="E220" s="70" t="s">
        <v>262</v>
      </c>
      <c r="F220" s="70" t="s">
        <v>263</v>
      </c>
      <c r="G220" s="68" t="s">
        <v>888</v>
      </c>
      <c r="H220" s="307" t="s">
        <v>889</v>
      </c>
      <c r="I220" s="69" t="s">
        <v>1003</v>
      </c>
      <c r="J220" s="69"/>
      <c r="K220" s="68" t="s">
        <v>227</v>
      </c>
      <c r="L220" s="69" t="s">
        <v>123</v>
      </c>
      <c r="M220" s="71" t="s">
        <v>141</v>
      </c>
      <c r="N220" s="69" t="e" vm="1">
        <v>#VALUE!</v>
      </c>
      <c r="O220" s="84">
        <v>45908</v>
      </c>
      <c r="P220" s="72" t="s">
        <v>412</v>
      </c>
      <c r="Q220" s="72" t="s">
        <v>652</v>
      </c>
      <c r="R220" s="162"/>
      <c r="S220" s="146"/>
      <c r="T220" s="68" t="s">
        <v>3</v>
      </c>
      <c r="U220" s="87"/>
      <c r="V220" s="80">
        <v>45904</v>
      </c>
      <c r="W220" s="73"/>
      <c r="X220" s="73"/>
      <c r="Y220" s="169" t="str">
        <f>IF(SUM(W220:W220)&gt;0,X220/SUM(W220:W220)*1000000,"N/A")</f>
        <v>N/A</v>
      </c>
      <c r="Z220" s="80"/>
      <c r="AA220" s="80"/>
      <c r="AB220" s="73"/>
      <c r="AC220" s="153"/>
      <c r="AD220" s="330"/>
      <c r="AE220" s="305"/>
      <c r="AF220" s="88"/>
      <c r="AG220" s="182">
        <f>YEAR(V220)</f>
        <v>2025</v>
      </c>
      <c r="AH220" s="86" t="str">
        <f>+IF(AG220=$AH$22,MONTH(V220),"")</f>
        <v/>
      </c>
      <c r="AI220" s="86">
        <f>+IF(AG220=$AI$22,MONTH(V220),"")</f>
        <v>9</v>
      </c>
      <c r="AJ220" s="86" t="str">
        <f>+IF(AG220=$AJ$22,MONTH(V220),"")</f>
        <v/>
      </c>
      <c r="AK220" s="86" t="str">
        <f>+IF(AG220=$AK$22,MONTH(V220),"")</f>
        <v/>
      </c>
      <c r="AL220" s="86" t="str">
        <f>+IF(AG220=$AL$22,MONTH(V220),"")</f>
        <v/>
      </c>
      <c r="AM220" s="86" t="str">
        <f>+IF($AG220=$AM$22,MONTH($D220),"")</f>
        <v/>
      </c>
      <c r="AN220" s="89" t="str">
        <f>+IF($AG220=AN$22,MONTH($D220),"")</f>
        <v/>
      </c>
      <c r="AO220" s="89" t="str">
        <f>+IF($AG220=AO$22,MONTH($D220),"")</f>
        <v/>
      </c>
      <c r="AP220" s="89" t="str">
        <f>+IF($AG220=AP$22,MONTH($D220),"")</f>
        <v/>
      </c>
      <c r="AQ220" s="89" t="str">
        <f>+IF($AG220=AQ$22,MONTH($D220),"")</f>
        <v/>
      </c>
      <c r="AR220" s="89" t="str">
        <f>+IF($AG220=AR$22,MONTH($D220),"")</f>
        <v/>
      </c>
      <c r="AS220" s="89" t="str">
        <f>+IF($AG220=AS$22,MONTH($D220),"")</f>
        <v/>
      </c>
      <c r="AT220" s="89" t="str">
        <f>+IF($AG220=AT$22,MONTH($D220),"")</f>
        <v/>
      </c>
      <c r="AU220" s="89" t="str">
        <f>+IF($AG220=AU$22,MONTH($D220),"")</f>
        <v/>
      </c>
      <c r="AV220" s="89" t="str">
        <f>+IF($AG220=AV$22,MONTH($D220),"")</f>
        <v/>
      </c>
      <c r="AW220" s="86" t="str">
        <f>+IF($AG220=AW$22,MONTH($D220),"")</f>
        <v/>
      </c>
      <c r="AX220" s="86" t="str">
        <f>+IF($AG220=AX$22,MONTH($D220),"")</f>
        <v/>
      </c>
      <c r="AY220" s="89"/>
      <c r="AZ220" s="89"/>
      <c r="BA220" s="89"/>
      <c r="BB220" s="89"/>
      <c r="BC220" s="89"/>
      <c r="BD220" s="89"/>
      <c r="BE220" s="89"/>
      <c r="BF220" s="89"/>
      <c r="BG220" s="89"/>
      <c r="BH220" s="89"/>
      <c r="BI220" s="89"/>
      <c r="BJ220" s="89"/>
      <c r="BK220" s="89"/>
      <c r="BL220" s="89"/>
      <c r="BM220" s="89"/>
      <c r="BN220" s="89"/>
      <c r="BO220" s="89"/>
      <c r="BP220" s="89"/>
    </row>
    <row r="221" spans="1:68" s="56" customFormat="1" ht="51" hidden="1" customHeight="1">
      <c r="A221" s="204" t="str">
        <f>+IFERROR(VALUE(MID(AB221,4,4)),"")</f>
        <v/>
      </c>
      <c r="B221" s="204">
        <f>VALUE(RIGHT(C221,LEN(C221)-2))</f>
        <v>2501</v>
      </c>
      <c r="C221" s="74" t="s">
        <v>1004</v>
      </c>
      <c r="D221" s="75">
        <v>45902</v>
      </c>
      <c r="E221" s="70" t="s">
        <v>53</v>
      </c>
      <c r="F221" s="70" t="s">
        <v>642</v>
      </c>
      <c r="G221" s="68" t="s">
        <v>210</v>
      </c>
      <c r="H221" s="379" t="s">
        <v>210</v>
      </c>
      <c r="I221" s="69" t="s">
        <v>1005</v>
      </c>
      <c r="J221" s="69"/>
      <c r="K221" s="68" t="s">
        <v>798</v>
      </c>
      <c r="L221" s="69" t="s">
        <v>123</v>
      </c>
      <c r="M221" s="71" t="s">
        <v>141</v>
      </c>
      <c r="N221" s="69" t="e" vm="1">
        <v>#VALUE!</v>
      </c>
      <c r="O221" s="84">
        <v>45939</v>
      </c>
      <c r="P221" s="72" t="s">
        <v>213</v>
      </c>
      <c r="Q221" s="72" t="s">
        <v>259</v>
      </c>
      <c r="R221" s="162"/>
      <c r="S221" s="146"/>
      <c r="T221" s="68" t="s">
        <v>155</v>
      </c>
      <c r="U221" s="87"/>
      <c r="V221" s="80">
        <v>45904</v>
      </c>
      <c r="W221" s="73"/>
      <c r="X221" s="73"/>
      <c r="Y221" s="169" t="str">
        <f>IF(SUM(W221:W221)&gt;0,X221/SUM(W221:W221)*1000000,"N/A")</f>
        <v>N/A</v>
      </c>
      <c r="Z221" s="80"/>
      <c r="AA221" s="80"/>
      <c r="AB221" s="73"/>
      <c r="AC221" s="153"/>
      <c r="AD221" s="330"/>
      <c r="AE221" s="305"/>
      <c r="AF221" s="88"/>
      <c r="AG221" s="182">
        <f>YEAR(V221)</f>
        <v>2025</v>
      </c>
      <c r="AH221" s="86" t="str">
        <f>+IF(AG221=$AH$22,MONTH(V221),"")</f>
        <v/>
      </c>
      <c r="AI221" s="86">
        <f>+IF(AG221=$AI$22,MONTH(V221),"")</f>
        <v>9</v>
      </c>
      <c r="AJ221" s="86" t="str">
        <f>+IF(AG221=$AJ$22,MONTH(V221),"")</f>
        <v/>
      </c>
      <c r="AK221" s="86" t="str">
        <f>+IF(AG221=$AK$22,MONTH(V221),"")</f>
        <v/>
      </c>
      <c r="AL221" s="86" t="str">
        <f>+IF(AG221=$AL$22,MONTH(V221),"")</f>
        <v/>
      </c>
      <c r="AM221" s="86" t="str">
        <f>+IF($AG221=$AM$22,MONTH($D221),"")</f>
        <v/>
      </c>
      <c r="AN221" s="89" t="str">
        <f>+IF($AG221=AN$22,MONTH($D221),"")</f>
        <v/>
      </c>
      <c r="AO221" s="89" t="str">
        <f>+IF($AG221=AO$22,MONTH($D221),"")</f>
        <v/>
      </c>
      <c r="AP221" s="89" t="str">
        <f>+IF($AG221=AP$22,MONTH($D221),"")</f>
        <v/>
      </c>
      <c r="AQ221" s="89" t="str">
        <f>+IF($AG221=AQ$22,MONTH($D221),"")</f>
        <v/>
      </c>
      <c r="AR221" s="89" t="str">
        <f>+IF($AG221=AR$22,MONTH($D221),"")</f>
        <v/>
      </c>
      <c r="AS221" s="89" t="str">
        <f>+IF($AG221=AS$22,MONTH($D221),"")</f>
        <v/>
      </c>
      <c r="AT221" s="89" t="str">
        <f>+IF($AG221=AT$22,MONTH($D221),"")</f>
        <v/>
      </c>
      <c r="AU221" s="89" t="str">
        <f>+IF($AG221=AU$22,MONTH($D221),"")</f>
        <v/>
      </c>
      <c r="AV221" s="89" t="str">
        <f>+IF($AG221=AV$22,MONTH($D221),"")</f>
        <v/>
      </c>
      <c r="AW221" s="86" t="str">
        <f>+IF($AG221=AW$22,MONTH($D221),"")</f>
        <v/>
      </c>
      <c r="AX221" s="86" t="str">
        <f>+IF($AG221=AX$22,MONTH($D221),"")</f>
        <v/>
      </c>
      <c r="AY221" s="89"/>
      <c r="AZ221" s="89"/>
      <c r="BA221" s="89"/>
      <c r="BB221" s="89"/>
      <c r="BC221" s="89"/>
      <c r="BD221" s="89"/>
      <c r="BE221" s="89"/>
      <c r="BF221" s="89"/>
      <c r="BG221" s="89"/>
      <c r="BH221" s="89"/>
      <c r="BI221" s="89"/>
      <c r="BJ221" s="89"/>
      <c r="BK221" s="89"/>
      <c r="BL221" s="89"/>
      <c r="BM221" s="89"/>
      <c r="BN221" s="89"/>
      <c r="BO221" s="89"/>
      <c r="BP221" s="89"/>
    </row>
    <row r="222" spans="1:68" s="382" customFormat="1" ht="45.75" hidden="1" customHeight="1">
      <c r="A222" s="204" t="str">
        <f>+IFERROR(VALUE(MID(AB222,4,4)),"")</f>
        <v/>
      </c>
      <c r="B222" s="204">
        <f>VALUE(RIGHT(C222,LEN(C222)-2))</f>
        <v>2500</v>
      </c>
      <c r="C222" s="74" t="s">
        <v>1006</v>
      </c>
      <c r="D222" s="75">
        <v>45902</v>
      </c>
      <c r="E222" s="70" t="s">
        <v>53</v>
      </c>
      <c r="F222" s="70" t="s">
        <v>642</v>
      </c>
      <c r="G222" s="68" t="s">
        <v>210</v>
      </c>
      <c r="H222" s="379" t="s">
        <v>210</v>
      </c>
      <c r="I222" s="69" t="s">
        <v>1007</v>
      </c>
      <c r="J222" s="69"/>
      <c r="K222" s="68" t="s">
        <v>798</v>
      </c>
      <c r="L222" s="69" t="s">
        <v>123</v>
      </c>
      <c r="M222" s="71" t="s">
        <v>141</v>
      </c>
      <c r="N222" s="69" t="e" vm="1">
        <v>#VALUE!</v>
      </c>
      <c r="O222" s="84">
        <v>45953</v>
      </c>
      <c r="P222" s="72" t="s">
        <v>289</v>
      </c>
      <c r="Q222" s="72" t="s">
        <v>1008</v>
      </c>
      <c r="R222" s="162"/>
      <c r="S222" s="146"/>
      <c r="T222" s="68" t="s">
        <v>165</v>
      </c>
      <c r="U222" s="87"/>
      <c r="V222" s="80">
        <v>45953</v>
      </c>
      <c r="W222" s="73">
        <v>29256</v>
      </c>
      <c r="X222" s="73">
        <v>1400</v>
      </c>
      <c r="Y222" s="169">
        <f>IF(SUM(W222:W222)&gt;0,X222/SUM(W222:W222)*1000000,"N/A")</f>
        <v>47853.431774678698</v>
      </c>
      <c r="Z222" s="80"/>
      <c r="AA222" s="80"/>
      <c r="AB222" s="73"/>
      <c r="AC222" s="153"/>
      <c r="AD222" s="330"/>
      <c r="AE222" s="305"/>
      <c r="AF222" s="88"/>
      <c r="AG222" s="182">
        <f>YEAR(V222)</f>
        <v>2025</v>
      </c>
      <c r="AH222" s="86" t="str">
        <f>+IF(AG222=$AH$22,MONTH(V222),"")</f>
        <v/>
      </c>
      <c r="AI222" s="86">
        <f>+IF(AG222=$AI$22,MONTH(V222),"")</f>
        <v>10</v>
      </c>
      <c r="AJ222" s="86" t="str">
        <f>+IF(AG222=$AJ$22,MONTH(V222),"")</f>
        <v/>
      </c>
      <c r="AK222" s="86" t="str">
        <f>+IF(AG222=$AK$22,MONTH(V222),"")</f>
        <v/>
      </c>
      <c r="AL222" s="86" t="str">
        <f>+IF(AG222=$AL$22,MONTH(V222),"")</f>
        <v/>
      </c>
      <c r="AM222" s="86" t="str">
        <f>+IF($AG222=$AM$22,MONTH($D222),"")</f>
        <v/>
      </c>
      <c r="AN222" s="89" t="str">
        <f>+IF($AG222=AN$22,MONTH($D222),"")</f>
        <v/>
      </c>
      <c r="AO222" s="89" t="str">
        <f>+IF($AG222=AO$22,MONTH($D222),"")</f>
        <v/>
      </c>
      <c r="AP222" s="89" t="str">
        <f>+IF($AG222=AP$22,MONTH($D222),"")</f>
        <v/>
      </c>
      <c r="AQ222" s="89" t="str">
        <f>+IF($AG222=AQ$22,MONTH($D222),"")</f>
        <v/>
      </c>
      <c r="AR222" s="89" t="str">
        <f>+IF($AG222=AR$22,MONTH($D222),"")</f>
        <v/>
      </c>
      <c r="AS222" s="89" t="str">
        <f>+IF($AG222=AS$22,MONTH($D222),"")</f>
        <v/>
      </c>
      <c r="AT222" s="89" t="str">
        <f>+IF($AG222=AT$22,MONTH($D222),"")</f>
        <v/>
      </c>
      <c r="AU222" s="89" t="str">
        <f>+IF($AG222=AU$22,MONTH($D222),"")</f>
        <v/>
      </c>
      <c r="AV222" s="89" t="str">
        <f>+IF($AG222=AV$22,MONTH($D222),"")</f>
        <v/>
      </c>
      <c r="AW222" s="86" t="str">
        <f>+IF($AG222=AW$22,MONTH($D222),"")</f>
        <v/>
      </c>
      <c r="AX222" s="86" t="str">
        <f>+IF($AG222=AX$22,MONTH($D222),"")</f>
        <v/>
      </c>
      <c r="AY222" s="89"/>
      <c r="AZ222" s="89"/>
      <c r="BA222" s="89"/>
      <c r="BB222" s="89"/>
      <c r="BC222" s="89"/>
      <c r="BD222" s="89"/>
      <c r="BE222" s="89"/>
      <c r="BF222" s="89"/>
      <c r="BG222" s="89"/>
      <c r="BH222" s="89"/>
      <c r="BI222" s="89"/>
      <c r="BJ222" s="89"/>
      <c r="BK222" s="89"/>
      <c r="BL222" s="89"/>
      <c r="BM222" s="89"/>
      <c r="BN222" s="89"/>
      <c r="BO222" s="89"/>
      <c r="BP222" s="89"/>
    </row>
    <row r="223" spans="1:68" s="382" customFormat="1" ht="45.75" hidden="1" customHeight="1">
      <c r="A223" s="204">
        <f>+IFERROR(VALUE(MID(AB223,4,4)),"")</f>
        <v>271</v>
      </c>
      <c r="B223" s="204">
        <f>VALUE(RIGHT(C223,LEN(C223)-2))</f>
        <v>2499</v>
      </c>
      <c r="C223" s="74" t="s">
        <v>1009</v>
      </c>
      <c r="D223" s="75">
        <v>45902</v>
      </c>
      <c r="E223" s="70" t="s">
        <v>277</v>
      </c>
      <c r="F223" s="70" t="s">
        <v>277</v>
      </c>
      <c r="G223" s="68" t="s">
        <v>278</v>
      </c>
      <c r="H223" s="379" t="s">
        <v>279</v>
      </c>
      <c r="I223" s="69" t="s">
        <v>1010</v>
      </c>
      <c r="J223" s="69"/>
      <c r="K223" s="68" t="s">
        <v>9</v>
      </c>
      <c r="L223" s="69" t="s">
        <v>129</v>
      </c>
      <c r="M223" s="71" t="s">
        <v>141</v>
      </c>
      <c r="N223" s="69" t="e" vm="1">
        <v>#VALUE!</v>
      </c>
      <c r="O223" s="84">
        <v>45985</v>
      </c>
      <c r="P223" s="82" t="s">
        <v>912</v>
      </c>
      <c r="Q223" s="69" t="s">
        <v>623</v>
      </c>
      <c r="R223" s="69"/>
      <c r="S223" s="146"/>
      <c r="T223" s="68" t="s">
        <v>3</v>
      </c>
      <c r="U223" s="87"/>
      <c r="V223" s="80">
        <v>45986</v>
      </c>
      <c r="W223" s="73">
        <v>618</v>
      </c>
      <c r="X223" s="73">
        <v>28.434000000000001</v>
      </c>
      <c r="Y223" s="169">
        <f>IF(SUM(W223:W223)&gt;0,X223/SUM(W223:W223)*1000000,"N/A")</f>
        <v>46009.708737864079</v>
      </c>
      <c r="Z223" s="80"/>
      <c r="AA223" s="80"/>
      <c r="AB223" s="73" t="s">
        <v>1011</v>
      </c>
      <c r="AC223" s="153"/>
      <c r="AD223" s="330"/>
      <c r="AE223" s="305"/>
      <c r="AF223" s="88"/>
      <c r="AG223" s="182">
        <f>YEAR(V223)</f>
        <v>2025</v>
      </c>
      <c r="AH223" s="86" t="str">
        <f>+IF(AG223=$AH$22,MONTH(V223),"")</f>
        <v/>
      </c>
      <c r="AI223" s="86">
        <f>+IF(AG223=$AI$22,MONTH(V223),"")</f>
        <v>11</v>
      </c>
      <c r="AJ223" s="86" t="str">
        <f>+IF(AG223=$AJ$22,MONTH(V223),"")</f>
        <v/>
      </c>
      <c r="AK223" s="86" t="str">
        <f>+IF(AG223=$AK$22,MONTH(V223),"")</f>
        <v/>
      </c>
      <c r="AL223" s="86" t="str">
        <f>+IF(AG223=$AL$22,MONTH(V223),"")</f>
        <v/>
      </c>
      <c r="AM223" s="86" t="str">
        <f>+IF($AG223=$AM$22,MONTH($D223),"")</f>
        <v/>
      </c>
      <c r="AN223" s="89" t="str">
        <f>+IF($AG223=AN$22,MONTH($D223),"")</f>
        <v/>
      </c>
      <c r="AO223" s="89" t="str">
        <f>+IF($AG223=AO$22,MONTH($D223),"")</f>
        <v/>
      </c>
      <c r="AP223" s="89" t="str">
        <f>+IF($AG223=AP$22,MONTH($D223),"")</f>
        <v/>
      </c>
      <c r="AQ223" s="89" t="str">
        <f>+IF($AG223=AQ$22,MONTH($D223),"")</f>
        <v/>
      </c>
      <c r="AR223" s="89" t="str">
        <f>+IF($AG223=AR$22,MONTH($D223),"")</f>
        <v/>
      </c>
      <c r="AS223" s="89" t="str">
        <f>+IF($AG223=AS$22,MONTH($D223),"")</f>
        <v/>
      </c>
      <c r="AT223" s="89" t="str">
        <f>+IF($AG223=AT$22,MONTH($D223),"")</f>
        <v/>
      </c>
      <c r="AU223" s="89" t="str">
        <f>+IF($AG223=AU$22,MONTH($D223),"")</f>
        <v/>
      </c>
      <c r="AV223" s="89" t="str">
        <f>+IF($AG223=AV$22,MONTH($D223),"")</f>
        <v/>
      </c>
      <c r="AW223" s="86" t="str">
        <f>+IF($AG223=AW$22,MONTH($D223),"")</f>
        <v/>
      </c>
      <c r="AX223" s="86" t="str">
        <f>+IF($AG223=AX$22,MONTH($D223),"")</f>
        <v/>
      </c>
      <c r="AY223" s="89"/>
      <c r="AZ223" s="89"/>
      <c r="BA223" s="89"/>
      <c r="BB223" s="89"/>
      <c r="BC223" s="89"/>
      <c r="BD223" s="89"/>
      <c r="BE223" s="89"/>
      <c r="BF223" s="89"/>
      <c r="BG223" s="89"/>
      <c r="BH223" s="89"/>
      <c r="BI223" s="89"/>
      <c r="BJ223" s="89"/>
      <c r="BK223" s="89"/>
      <c r="BL223" s="89"/>
      <c r="BM223" s="89"/>
      <c r="BN223" s="89"/>
      <c r="BO223" s="89"/>
      <c r="BP223" s="89"/>
    </row>
    <row r="224" spans="1:68" s="382" customFormat="1" ht="45.75" hidden="1" customHeight="1">
      <c r="A224" s="204" t="str">
        <f>+IFERROR(VALUE(MID(AB224,4,4)),"")</f>
        <v/>
      </c>
      <c r="B224" s="204">
        <f>VALUE(RIGHT(C224,LEN(C224)-2))</f>
        <v>2498</v>
      </c>
      <c r="C224" s="74" t="s">
        <v>1012</v>
      </c>
      <c r="D224" s="75">
        <v>45902</v>
      </c>
      <c r="E224" s="70" t="s">
        <v>1013</v>
      </c>
      <c r="F224" s="70" t="s">
        <v>1014</v>
      </c>
      <c r="G224" s="68" t="s">
        <v>1015</v>
      </c>
      <c r="H224" s="379" t="s">
        <v>1016</v>
      </c>
      <c r="I224" s="69" t="s">
        <v>1017</v>
      </c>
      <c r="J224" s="69"/>
      <c r="K224" s="68" t="s">
        <v>13</v>
      </c>
      <c r="L224" s="69" t="s">
        <v>123</v>
      </c>
      <c r="M224" s="71" t="s">
        <v>113</v>
      </c>
      <c r="N224" s="69" t="e" vm="4">
        <v>#VALUE!</v>
      </c>
      <c r="O224" s="84">
        <v>45912</v>
      </c>
      <c r="P224" s="82" t="s">
        <v>1018</v>
      </c>
      <c r="Q224" s="72" t="s">
        <v>694</v>
      </c>
      <c r="R224" s="162"/>
      <c r="S224" s="146"/>
      <c r="T224" s="68" t="s">
        <v>165</v>
      </c>
      <c r="U224" s="87"/>
      <c r="V224" s="80">
        <v>45986</v>
      </c>
      <c r="W224" s="73">
        <v>6583</v>
      </c>
      <c r="X224" s="73">
        <v>284.81099999999998</v>
      </c>
      <c r="Y224" s="169">
        <f>IF(SUM(W224:W224)&gt;0,X224/SUM(W224:W224)*1000000,"N/A")</f>
        <v>43264.620993468023</v>
      </c>
      <c r="Z224" s="80"/>
      <c r="AA224" s="80"/>
      <c r="AB224" s="73"/>
      <c r="AC224" s="153"/>
      <c r="AD224" s="330"/>
      <c r="AE224" s="305"/>
      <c r="AF224" s="88"/>
      <c r="AG224" s="182">
        <f>YEAR(V224)</f>
        <v>2025</v>
      </c>
      <c r="AH224" s="86" t="str">
        <f>+IF(AG224=$AH$22,MONTH(V224),"")</f>
        <v/>
      </c>
      <c r="AI224" s="86">
        <f>+IF(AG224=$AI$22,MONTH(V224),"")</f>
        <v>11</v>
      </c>
      <c r="AJ224" s="86" t="str">
        <f>+IF(AG224=$AJ$22,MONTH(V224),"")</f>
        <v/>
      </c>
      <c r="AK224" s="86" t="str">
        <f>+IF(AG224=$AK$22,MONTH(V224),"")</f>
        <v/>
      </c>
      <c r="AL224" s="86" t="str">
        <f>+IF(AG224=$AL$22,MONTH(V224),"")</f>
        <v/>
      </c>
      <c r="AM224" s="86" t="str">
        <f>+IF($AG224=$AM$22,MONTH($D224),"")</f>
        <v/>
      </c>
      <c r="AN224" s="89" t="str">
        <f>+IF($AG224=AN$22,MONTH($D224),"")</f>
        <v/>
      </c>
      <c r="AO224" s="89" t="str">
        <f>+IF($AG224=AO$22,MONTH($D224),"")</f>
        <v/>
      </c>
      <c r="AP224" s="89" t="str">
        <f>+IF($AG224=AP$22,MONTH($D224),"")</f>
        <v/>
      </c>
      <c r="AQ224" s="89" t="str">
        <f>+IF($AG224=AQ$22,MONTH($D224),"")</f>
        <v/>
      </c>
      <c r="AR224" s="89" t="str">
        <f>+IF($AG224=AR$22,MONTH($D224),"")</f>
        <v/>
      </c>
      <c r="AS224" s="89" t="str">
        <f>+IF($AG224=AS$22,MONTH($D224),"")</f>
        <v/>
      </c>
      <c r="AT224" s="89" t="str">
        <f>+IF($AG224=AT$22,MONTH($D224),"")</f>
        <v/>
      </c>
      <c r="AU224" s="89" t="str">
        <f>+IF($AG224=AU$22,MONTH($D224),"")</f>
        <v/>
      </c>
      <c r="AV224" s="89" t="str">
        <f>+IF($AG224=AV$22,MONTH($D224),"")</f>
        <v/>
      </c>
      <c r="AW224" s="86" t="str">
        <f>+IF($AG224=AW$22,MONTH($D224),"")</f>
        <v/>
      </c>
      <c r="AX224" s="86" t="str">
        <f>+IF($AG224=AX$22,MONTH($D224),"")</f>
        <v/>
      </c>
      <c r="AY224" s="89"/>
      <c r="AZ224" s="89"/>
      <c r="BA224" s="89"/>
      <c r="BB224" s="89"/>
      <c r="BC224" s="89"/>
      <c r="BD224" s="89"/>
      <c r="BE224" s="89"/>
      <c r="BF224" s="89"/>
      <c r="BG224" s="89"/>
      <c r="BH224" s="89"/>
      <c r="BI224" s="89"/>
      <c r="BJ224" s="89"/>
      <c r="BK224" s="89"/>
      <c r="BL224" s="89"/>
      <c r="BM224" s="89"/>
      <c r="BN224" s="89"/>
      <c r="BO224" s="89"/>
      <c r="BP224" s="89"/>
    </row>
    <row r="225" spans="1:68" s="382" customFormat="1" ht="45.75" hidden="1" customHeight="1">
      <c r="A225" s="204" t="str">
        <f>+IFERROR(VALUE(MID(AB225,4,4)),"")</f>
        <v/>
      </c>
      <c r="B225" s="204">
        <f>VALUE(RIGHT(C225,LEN(C225)-2))</f>
        <v>2497</v>
      </c>
      <c r="C225" s="74" t="s">
        <v>1019</v>
      </c>
      <c r="D225" s="75">
        <v>45897</v>
      </c>
      <c r="E225" s="70" t="s">
        <v>262</v>
      </c>
      <c r="F225" s="70" t="s">
        <v>270</v>
      </c>
      <c r="G225" s="68" t="s">
        <v>1020</v>
      </c>
      <c r="H225" s="307" t="s">
        <v>1021</v>
      </c>
      <c r="I225" s="69" t="s">
        <v>1022</v>
      </c>
      <c r="J225" s="69"/>
      <c r="K225" s="68" t="s">
        <v>389</v>
      </c>
      <c r="L225" s="69" t="s">
        <v>120</v>
      </c>
      <c r="M225" s="71" t="s">
        <v>141</v>
      </c>
      <c r="N225" s="69" t="e" vm="1">
        <v>#VALUE!</v>
      </c>
      <c r="O225" s="84">
        <v>45903</v>
      </c>
      <c r="P225" s="72" t="s">
        <v>640</v>
      </c>
      <c r="Q225" s="72" t="s">
        <v>389</v>
      </c>
      <c r="R225" s="162"/>
      <c r="S225" s="146"/>
      <c r="T225" s="68" t="s">
        <v>165</v>
      </c>
      <c r="U225" s="87"/>
      <c r="V225" s="80">
        <v>46011</v>
      </c>
      <c r="W225" s="73">
        <v>3336</v>
      </c>
      <c r="X225" s="73">
        <v>169.495</v>
      </c>
      <c r="Y225" s="169">
        <f>IF(SUM(W225:W225)&gt;0,X225/SUM(W225:W225)*1000000,"N/A")</f>
        <v>50807.853717026381</v>
      </c>
      <c r="Z225" s="80"/>
      <c r="AA225" s="80"/>
      <c r="AB225" s="73"/>
      <c r="AC225" s="153"/>
      <c r="AD225" s="330"/>
      <c r="AE225" s="305"/>
      <c r="AF225" s="88"/>
      <c r="AG225" s="182">
        <f>YEAR(V225)</f>
        <v>2025</v>
      </c>
      <c r="AH225" s="86" t="str">
        <f>+IF(AG225=$AH$22,MONTH(V225),"")</f>
        <v/>
      </c>
      <c r="AI225" s="86">
        <f>+IF(AG225=$AI$22,MONTH(V225),"")</f>
        <v>12</v>
      </c>
      <c r="AJ225" s="86" t="str">
        <f>+IF(AG225=$AJ$22,MONTH(V225),"")</f>
        <v/>
      </c>
      <c r="AK225" s="86" t="str">
        <f>+IF(AG225=$AK$22,MONTH(V225),"")</f>
        <v/>
      </c>
      <c r="AL225" s="86" t="str">
        <f>+IF(AG225=$AL$22,MONTH(V225),"")</f>
        <v/>
      </c>
      <c r="AM225" s="86" t="str">
        <f>+IF($AG225=$AM$22,MONTH($D225),"")</f>
        <v/>
      </c>
      <c r="AN225" s="89" t="str">
        <f>+IF($AG225=AN$22,MONTH($D225),"")</f>
        <v/>
      </c>
      <c r="AO225" s="89" t="str">
        <f>+IF($AG225=AO$22,MONTH($D225),"")</f>
        <v/>
      </c>
      <c r="AP225" s="89" t="str">
        <f>+IF($AG225=AP$22,MONTH($D225),"")</f>
        <v/>
      </c>
      <c r="AQ225" s="89" t="str">
        <f>+IF($AG225=AQ$22,MONTH($D225),"")</f>
        <v/>
      </c>
      <c r="AR225" s="89" t="str">
        <f>+IF($AG225=AR$22,MONTH($D225),"")</f>
        <v/>
      </c>
      <c r="AS225" s="89" t="str">
        <f>+IF($AG225=AS$22,MONTH($D225),"")</f>
        <v/>
      </c>
      <c r="AT225" s="89" t="str">
        <f>+IF($AG225=AT$22,MONTH($D225),"")</f>
        <v/>
      </c>
      <c r="AU225" s="89" t="str">
        <f>+IF($AG225=AU$22,MONTH($D225),"")</f>
        <v/>
      </c>
      <c r="AV225" s="89" t="str">
        <f>+IF($AG225=AV$22,MONTH($D225),"")</f>
        <v/>
      </c>
      <c r="AW225" s="86" t="str">
        <f>+IF($AG225=AW$22,MONTH($D225),"")</f>
        <v/>
      </c>
      <c r="AX225" s="86" t="str">
        <f>+IF($AG225=AX$22,MONTH($D225),"")</f>
        <v/>
      </c>
      <c r="AY225" s="89"/>
      <c r="AZ225" s="89"/>
      <c r="BA225" s="89"/>
      <c r="BB225" s="89"/>
      <c r="BC225" s="89"/>
      <c r="BD225" s="89"/>
      <c r="BE225" s="89"/>
      <c r="BF225" s="89"/>
      <c r="BG225" s="89"/>
      <c r="BH225" s="89"/>
      <c r="BI225" s="89"/>
      <c r="BJ225" s="89"/>
      <c r="BK225" s="89"/>
      <c r="BL225" s="89"/>
      <c r="BM225" s="89"/>
      <c r="BN225" s="89"/>
      <c r="BO225" s="89"/>
      <c r="BP225" s="89"/>
    </row>
    <row r="226" spans="1:68" s="382" customFormat="1" ht="28.5" hidden="1" customHeight="1">
      <c r="A226" s="204">
        <f>+IFERROR(VALUE(MID(AB226,4,4)),"")</f>
        <v>458</v>
      </c>
      <c r="B226" s="204">
        <f>VALUE(RIGHT(C226,LEN(C226)-2))</f>
        <v>2496</v>
      </c>
      <c r="C226" s="74" t="s">
        <v>1023</v>
      </c>
      <c r="D226" s="75">
        <v>45897</v>
      </c>
      <c r="E226" s="70" t="s">
        <v>51</v>
      </c>
      <c r="F226" s="70" t="s">
        <v>51</v>
      </c>
      <c r="G226" s="68" t="s">
        <v>1024</v>
      </c>
      <c r="H226" s="307" t="s">
        <v>1025</v>
      </c>
      <c r="I226" s="69" t="s">
        <v>1026</v>
      </c>
      <c r="J226" s="69"/>
      <c r="K226" s="68" t="s">
        <v>90</v>
      </c>
      <c r="L226" s="69" t="s">
        <v>120</v>
      </c>
      <c r="M226" s="71" t="s">
        <v>141</v>
      </c>
      <c r="N226" s="69" t="e" vm="1">
        <v>#VALUE!</v>
      </c>
      <c r="O226" s="84">
        <v>45902</v>
      </c>
      <c r="P226" s="72" t="s">
        <v>228</v>
      </c>
      <c r="Q226" s="72" t="s">
        <v>275</v>
      </c>
      <c r="R226" s="162"/>
      <c r="S226" s="146"/>
      <c r="T226" s="68" t="s">
        <v>3</v>
      </c>
      <c r="U226" s="87"/>
      <c r="V226" s="80">
        <v>45929</v>
      </c>
      <c r="W226" s="73">
        <v>259</v>
      </c>
      <c r="X226" s="73">
        <v>20.99</v>
      </c>
      <c r="Y226" s="169">
        <f>IF(SUM(W226:W226)&gt;0,X226/SUM(W226:W226)*1000000,"N/A")</f>
        <v>81042.471042471036</v>
      </c>
      <c r="Z226" s="80"/>
      <c r="AA226" s="80"/>
      <c r="AB226" s="73" t="s">
        <v>1027</v>
      </c>
      <c r="AC226" s="153"/>
      <c r="AD226" s="330"/>
      <c r="AE226" s="305"/>
      <c r="AF226" s="88"/>
      <c r="AG226" s="182">
        <f>YEAR(V226)</f>
        <v>2025</v>
      </c>
      <c r="AH226" s="86" t="str">
        <f>+IF(AG226=$AH$22,MONTH(V226),"")</f>
        <v/>
      </c>
      <c r="AI226" s="86">
        <f>+IF(AG226=$AI$22,MONTH(V226),"")</f>
        <v>9</v>
      </c>
      <c r="AJ226" s="86" t="str">
        <f>+IF(AG226=$AJ$22,MONTH(V226),"")</f>
        <v/>
      </c>
      <c r="AK226" s="86" t="str">
        <f>+IF(AG226=$AK$22,MONTH(V226),"")</f>
        <v/>
      </c>
      <c r="AL226" s="86" t="str">
        <f>+IF(AG226=$AL$22,MONTH(V226),"")</f>
        <v/>
      </c>
      <c r="AM226" s="86" t="str">
        <f>+IF($AG226=$AM$22,MONTH($D226),"")</f>
        <v/>
      </c>
      <c r="AN226" s="89" t="str">
        <f>+IF($AG226=AN$22,MONTH($D226),"")</f>
        <v/>
      </c>
      <c r="AO226" s="89" t="str">
        <f>+IF($AG226=AO$22,MONTH($D226),"")</f>
        <v/>
      </c>
      <c r="AP226" s="89" t="str">
        <f>+IF($AG226=AP$22,MONTH($D226),"")</f>
        <v/>
      </c>
      <c r="AQ226" s="89" t="str">
        <f>+IF($AG226=AQ$22,MONTH($D226),"")</f>
        <v/>
      </c>
      <c r="AR226" s="89" t="str">
        <f>+IF($AG226=AR$22,MONTH($D226),"")</f>
        <v/>
      </c>
      <c r="AS226" s="89" t="str">
        <f>+IF($AG226=AS$22,MONTH($D226),"")</f>
        <v/>
      </c>
      <c r="AT226" s="89" t="str">
        <f>+IF($AG226=AT$22,MONTH($D226),"")</f>
        <v/>
      </c>
      <c r="AU226" s="89" t="str">
        <f>+IF($AG226=AU$22,MONTH($D226),"")</f>
        <v/>
      </c>
      <c r="AV226" s="89" t="str">
        <f>+IF($AG226=AV$22,MONTH($D226),"")</f>
        <v/>
      </c>
      <c r="AW226" s="86" t="str">
        <f>+IF($AG226=AW$22,MONTH($D226),"")</f>
        <v/>
      </c>
      <c r="AX226" s="86" t="str">
        <f>+IF($AG226=AX$22,MONTH($D226),"")</f>
        <v/>
      </c>
      <c r="AY226" s="89"/>
      <c r="AZ226" s="89"/>
      <c r="BA226" s="89"/>
      <c r="BB226" s="89"/>
      <c r="BC226" s="89"/>
      <c r="BD226" s="89"/>
      <c r="BE226" s="89"/>
      <c r="BF226" s="89"/>
      <c r="BG226" s="89"/>
      <c r="BH226" s="89"/>
      <c r="BI226" s="89"/>
      <c r="BJ226" s="89"/>
      <c r="BK226" s="89"/>
      <c r="BL226" s="89"/>
      <c r="BM226" s="89"/>
      <c r="BN226" s="89"/>
      <c r="BO226" s="89"/>
      <c r="BP226" s="89"/>
    </row>
    <row r="227" spans="1:68" s="382" customFormat="1" ht="28.5" customHeight="1">
      <c r="A227" s="204" t="str">
        <f>+IFERROR(VALUE(MID(AB227,4,4)),"")</f>
        <v/>
      </c>
      <c r="B227" s="204">
        <f>VALUE(RIGHT(C227,LEN(C227)-2))</f>
        <v>2495</v>
      </c>
      <c r="C227" s="74" t="s">
        <v>1028</v>
      </c>
      <c r="D227" s="75">
        <v>45894</v>
      </c>
      <c r="E227" s="70" t="s">
        <v>806</v>
      </c>
      <c r="F227" s="70" t="s">
        <v>806</v>
      </c>
      <c r="G227" s="68" t="s">
        <v>1029</v>
      </c>
      <c r="H227" s="282" t="s">
        <v>1030</v>
      </c>
      <c r="I227" s="162" t="s">
        <v>1031</v>
      </c>
      <c r="J227" s="162"/>
      <c r="K227" s="68" t="s">
        <v>13</v>
      </c>
      <c r="L227" s="69" t="s">
        <v>120</v>
      </c>
      <c r="M227" s="71" t="s">
        <v>141</v>
      </c>
      <c r="N227" s="69" t="e" vm="1">
        <v>#VALUE!</v>
      </c>
      <c r="O227" s="164">
        <v>45912</v>
      </c>
      <c r="P227" s="72" t="s">
        <v>239</v>
      </c>
      <c r="Q227" s="72" t="s">
        <v>240</v>
      </c>
      <c r="R227" s="162" t="s">
        <v>230</v>
      </c>
      <c r="S227" s="146"/>
      <c r="T227" s="68" t="s">
        <v>64</v>
      </c>
      <c r="U227" s="87">
        <v>0</v>
      </c>
      <c r="V227" s="183">
        <v>45898</v>
      </c>
      <c r="W227" s="73"/>
      <c r="X227" s="383"/>
      <c r="Y227" s="83" t="str">
        <f>IF(SUM(W227:W227)&gt;0,X227/SUM(W227:W227)*1000000,"N/A")</f>
        <v>N/A</v>
      </c>
      <c r="Z227" s="183"/>
      <c r="AA227" s="183"/>
      <c r="AB227" s="73"/>
      <c r="AC227" s="153"/>
      <c r="AD227" s="331"/>
      <c r="AE227" s="57"/>
      <c r="AF227" s="88"/>
      <c r="AG227" s="182">
        <f>YEAR(V227)</f>
        <v>2025</v>
      </c>
      <c r="AH227" s="86" t="str">
        <f>+IF(AG227=$AH$22,MONTH(V227),"")</f>
        <v/>
      </c>
      <c r="AI227" s="86">
        <f>+IF(AG227=$AI$22,MONTH(V227),"")</f>
        <v>8</v>
      </c>
      <c r="AJ227" s="86" t="str">
        <f>+IF(AG227=$AJ$22,MONTH(V227),"")</f>
        <v/>
      </c>
      <c r="AK227" s="86" t="str">
        <f>+IF(AG227=$AK$22,MONTH(V227),"")</f>
        <v/>
      </c>
      <c r="AL227" s="86"/>
      <c r="AM227" s="89"/>
      <c r="AN227" s="89"/>
      <c r="AO227" s="89"/>
      <c r="AP227" s="89"/>
      <c r="AQ227" s="89"/>
      <c r="AR227" s="89"/>
      <c r="AS227" s="89"/>
      <c r="AT227" s="89"/>
      <c r="AU227" s="89"/>
      <c r="AV227" s="89"/>
      <c r="AW227" s="86" t="str">
        <f>+IF($AG227=AW$22,MONTH($D227),"")</f>
        <v/>
      </c>
      <c r="AX227" s="86" t="str">
        <f>+IF($AG227=AX$22,MONTH($D227),"")</f>
        <v/>
      </c>
      <c r="AY227" s="89"/>
      <c r="AZ227" s="89"/>
      <c r="BA227" s="89"/>
      <c r="BB227" s="89"/>
      <c r="BC227" s="89"/>
      <c r="BD227" s="89"/>
      <c r="BE227" s="89"/>
      <c r="BF227" s="89"/>
      <c r="BG227" s="89"/>
      <c r="BH227" s="89"/>
      <c r="BI227" s="89"/>
      <c r="BJ227" s="89"/>
      <c r="BK227" s="89"/>
      <c r="BL227" s="89"/>
      <c r="BM227" s="89"/>
      <c r="BN227" s="89"/>
      <c r="BO227" s="89"/>
      <c r="BP227" s="89"/>
    </row>
    <row r="228" spans="1:68" s="56" customFormat="1" ht="26.25" hidden="1" customHeight="1">
      <c r="A228" s="204" t="str">
        <f>+IFERROR(VALUE(MID(AB228,4,4)),"")</f>
        <v/>
      </c>
      <c r="B228" s="204">
        <f>VALUE(RIGHT(C228,LEN(C228)-2))</f>
        <v>2494</v>
      </c>
      <c r="C228" s="74" t="s">
        <v>1032</v>
      </c>
      <c r="D228" s="75">
        <v>45895</v>
      </c>
      <c r="E228" s="68" t="s">
        <v>53</v>
      </c>
      <c r="F228" s="68" t="s">
        <v>252</v>
      </c>
      <c r="G228" s="68" t="s">
        <v>210</v>
      </c>
      <c r="H228" s="304" t="s">
        <v>210</v>
      </c>
      <c r="I228" s="69" t="s">
        <v>1033</v>
      </c>
      <c r="J228" s="69"/>
      <c r="K228" s="68" t="s">
        <v>227</v>
      </c>
      <c r="L228" s="69" t="s">
        <v>123</v>
      </c>
      <c r="M228" s="71" t="s">
        <v>141</v>
      </c>
      <c r="N228" s="69" t="e" vm="1">
        <v>#VALUE!</v>
      </c>
      <c r="O228" s="84">
        <v>45904</v>
      </c>
      <c r="P228" s="69" t="s">
        <v>213</v>
      </c>
      <c r="Q228" s="69" t="s">
        <v>220</v>
      </c>
      <c r="R228" s="69"/>
      <c r="S228" s="146"/>
      <c r="T228" s="68" t="s">
        <v>155</v>
      </c>
      <c r="U228" s="87"/>
      <c r="V228" s="183">
        <v>45898</v>
      </c>
      <c r="W228" s="73"/>
      <c r="X228" s="73"/>
      <c r="Y228" s="83" t="str">
        <f>IF(SUM(W228:W228)&gt;0,X228/SUM(W228:W228)*1000000,"N/A")</f>
        <v>N/A</v>
      </c>
      <c r="Z228" s="80"/>
      <c r="AA228" s="80"/>
      <c r="AB228" s="150"/>
      <c r="AC228" s="75"/>
      <c r="AD228" s="332"/>
      <c r="AE228" s="68"/>
      <c r="AF228" s="73"/>
      <c r="AG228" s="182">
        <f>YEAR(V228)</f>
        <v>2025</v>
      </c>
      <c r="AH228" s="86" t="str">
        <f>+IF(AG228=$AH$22,MONTH(V228),"")</f>
        <v/>
      </c>
      <c r="AI228" s="86">
        <f>+IF(AG228=$AI$22,MONTH(V228),"")</f>
        <v>8</v>
      </c>
      <c r="AJ228" s="86" t="str">
        <f>+IF(AG228=$AJ$22,MONTH(V228),"")</f>
        <v/>
      </c>
      <c r="AK228" s="86" t="str">
        <f>+IF(AG228=$AK$22,MONTH(V228),"")</f>
        <v/>
      </c>
      <c r="AL228" s="86" t="str">
        <f>+IF(AG228=$AL$22,MONTH(V228),"")</f>
        <v/>
      </c>
      <c r="AM228" s="86" t="str">
        <f>+IF($AG228=$AM$22,MONTH($D228),"")</f>
        <v/>
      </c>
      <c r="AN228" s="89" t="str">
        <f>+IF($AG228=AN$22,MONTH($D228),"")</f>
        <v/>
      </c>
      <c r="AO228" s="184" t="str">
        <f>+IF($AG228=AO$22,MONTH($D228),"")</f>
        <v/>
      </c>
      <c r="AP228" s="184" t="str">
        <f>+IF($AG228=AP$22,MONTH($D228),"")</f>
        <v/>
      </c>
      <c r="AQ228" s="184" t="str">
        <f>+IF($AG228=AQ$22,MONTH($D228),"")</f>
        <v/>
      </c>
      <c r="AR228" s="184" t="str">
        <f>+IF($AG228=AR$22,MONTH($D228),"")</f>
        <v/>
      </c>
      <c r="AS228" s="184" t="str">
        <f>+IF($AG228=AS$22,MONTH($D228),"")</f>
        <v/>
      </c>
      <c r="AT228" s="86" t="str">
        <f>+IF($AG228=AT$22,MONTH($D228),"")</f>
        <v/>
      </c>
      <c r="AU228" s="86" t="str">
        <f>+IF($AG228=AU$22,MONTH($D228),"")</f>
        <v/>
      </c>
      <c r="AV228" s="86" t="str">
        <f>+IF($AG228=AV$22,MONTH($D228),"")</f>
        <v/>
      </c>
      <c r="AW228" s="86" t="str">
        <f>+IF($AG228=AW$22,MONTH($D228),"")</f>
        <v/>
      </c>
      <c r="AX228" s="86" t="str">
        <f>+IF($AG228=AX$22,MONTH($D228),"")</f>
        <v/>
      </c>
      <c r="AY228" s="89"/>
      <c r="AZ228" s="89"/>
      <c r="BA228" s="89"/>
      <c r="BB228" s="89"/>
      <c r="BC228" s="89"/>
      <c r="BD228" s="89"/>
      <c r="BE228" s="89"/>
      <c r="BF228" s="89"/>
      <c r="BG228" s="89"/>
      <c r="BH228" s="89"/>
      <c r="BI228" s="89"/>
      <c r="BJ228" s="89"/>
      <c r="BK228" s="89"/>
      <c r="BL228" s="89"/>
      <c r="BM228" s="89"/>
      <c r="BN228" s="89"/>
      <c r="BO228" s="89"/>
      <c r="BP228" s="89"/>
    </row>
    <row r="229" spans="1:68" s="381" customFormat="1" ht="45.75" hidden="1" customHeight="1">
      <c r="A229" s="204">
        <f>+IFERROR(VALUE(MID(AB229,4,4)),"")</f>
        <v>390</v>
      </c>
      <c r="B229" s="204">
        <f>VALUE(RIGHT(C229,LEN(C229)-2))</f>
        <v>2493</v>
      </c>
      <c r="C229" s="74" t="s">
        <v>1034</v>
      </c>
      <c r="D229" s="75">
        <v>45894</v>
      </c>
      <c r="E229" s="70" t="s">
        <v>262</v>
      </c>
      <c r="F229" s="70" t="s">
        <v>270</v>
      </c>
      <c r="G229" s="68" t="s">
        <v>1035</v>
      </c>
      <c r="H229" s="307" t="s">
        <v>1036</v>
      </c>
      <c r="I229" s="69" t="s">
        <v>1037</v>
      </c>
      <c r="J229" s="69"/>
      <c r="K229" s="68" t="s">
        <v>13</v>
      </c>
      <c r="L229" s="69" t="s">
        <v>120</v>
      </c>
      <c r="M229" s="71" t="s">
        <v>141</v>
      </c>
      <c r="N229" s="69" t="e" vm="1">
        <v>#VALUE!</v>
      </c>
      <c r="O229" s="84">
        <v>45890</v>
      </c>
      <c r="P229" s="72" t="s">
        <v>402</v>
      </c>
      <c r="Q229" s="72" t="s">
        <v>837</v>
      </c>
      <c r="R229" s="162"/>
      <c r="S229" s="146"/>
      <c r="T229" s="68" t="s">
        <v>3</v>
      </c>
      <c r="U229" s="87"/>
      <c r="V229" s="80">
        <v>45895</v>
      </c>
      <c r="W229" s="73">
        <v>2329</v>
      </c>
      <c r="X229" s="73">
        <v>95.239000000000004</v>
      </c>
      <c r="Y229" s="169">
        <f>IF(SUM(W229:W229)&gt;0,X229/SUM(W229:W229)*1000000,"N/A")</f>
        <v>40892.657793044229</v>
      </c>
      <c r="Z229" s="80"/>
      <c r="AA229" s="80"/>
      <c r="AB229" s="73" t="s">
        <v>1038</v>
      </c>
      <c r="AC229" s="153"/>
      <c r="AD229" s="330"/>
      <c r="AE229" s="305"/>
      <c r="AF229" s="88"/>
      <c r="AG229" s="182">
        <f>YEAR(V229)</f>
        <v>2025</v>
      </c>
      <c r="AH229" s="86" t="str">
        <f>+IF(AG229=$AH$22,MONTH(V229),"")</f>
        <v/>
      </c>
      <c r="AI229" s="86">
        <f>+IF(AG229=$AI$22,MONTH(V229),"")</f>
        <v>8</v>
      </c>
      <c r="AJ229" s="86" t="str">
        <f>+IF(AG229=$AJ$22,MONTH(V229),"")</f>
        <v/>
      </c>
      <c r="AK229" s="86" t="str">
        <f>+IF(AG229=$AK$22,MONTH(V229),"")</f>
        <v/>
      </c>
      <c r="AL229" s="86" t="str">
        <f>+IF(AG229=$AL$22,MONTH(V229),"")</f>
        <v/>
      </c>
      <c r="AM229" s="86" t="str">
        <f>+IF($AG229=$AM$22,MONTH($D229),"")</f>
        <v/>
      </c>
      <c r="AN229" s="89" t="str">
        <f>+IF($AG229=AN$22,MONTH($D229),"")</f>
        <v/>
      </c>
      <c r="AO229" s="89" t="str">
        <f>+IF($AG229=AO$22,MONTH($D229),"")</f>
        <v/>
      </c>
      <c r="AP229" s="89" t="str">
        <f>+IF($AG229=AP$22,MONTH($D229),"")</f>
        <v/>
      </c>
      <c r="AQ229" s="89" t="str">
        <f>+IF($AG229=AQ$22,MONTH($D229),"")</f>
        <v/>
      </c>
      <c r="AR229" s="89" t="str">
        <f>+IF($AG229=AR$22,MONTH($D229),"")</f>
        <v/>
      </c>
      <c r="AS229" s="89" t="str">
        <f>+IF($AG229=AS$22,MONTH($D229),"")</f>
        <v/>
      </c>
      <c r="AT229" s="89" t="str">
        <f>+IF($AG229=AT$22,MONTH($D229),"")</f>
        <v/>
      </c>
      <c r="AU229" s="89" t="str">
        <f>+IF($AG229=AU$22,MONTH($D229),"")</f>
        <v/>
      </c>
      <c r="AV229" s="89" t="str">
        <f>+IF($AG229=AV$22,MONTH($D229),"")</f>
        <v/>
      </c>
      <c r="AW229" s="86" t="str">
        <f>+IF($AG229=AW$22,MONTH($D229),"")</f>
        <v/>
      </c>
      <c r="AX229" s="86" t="str">
        <f>+IF($AG229=AX$22,MONTH($D229),"")</f>
        <v/>
      </c>
      <c r="AY229" s="89"/>
      <c r="AZ229" s="89"/>
      <c r="BA229" s="89"/>
      <c r="BB229" s="89"/>
      <c r="BC229" s="89"/>
      <c r="BD229" s="89"/>
      <c r="BE229" s="89"/>
      <c r="BF229" s="89"/>
      <c r="BG229" s="89"/>
      <c r="BH229" s="89"/>
      <c r="BI229" s="89"/>
      <c r="BJ229" s="89"/>
      <c r="BK229" s="89"/>
      <c r="BL229" s="89"/>
      <c r="BM229" s="89"/>
      <c r="BN229" s="89"/>
      <c r="BO229" s="89"/>
      <c r="BP229" s="89"/>
    </row>
    <row r="230" spans="1:68" s="382" customFormat="1" ht="28.5" hidden="1" customHeight="1">
      <c r="A230" s="204">
        <f>+IFERROR(VALUE(MID(AB230,4,4)),"")</f>
        <v>399</v>
      </c>
      <c r="B230" s="204">
        <f>VALUE(RIGHT(C230,LEN(C230)-2))</f>
        <v>2492</v>
      </c>
      <c r="C230" s="74" t="s">
        <v>1039</v>
      </c>
      <c r="D230" s="75">
        <v>45895</v>
      </c>
      <c r="E230" s="70" t="s">
        <v>473</v>
      </c>
      <c r="F230" s="70" t="s">
        <v>473</v>
      </c>
      <c r="G230" s="68" t="s">
        <v>1040</v>
      </c>
      <c r="H230" s="307" t="s">
        <v>1041</v>
      </c>
      <c r="I230" s="69" t="s">
        <v>1042</v>
      </c>
      <c r="J230" s="69"/>
      <c r="K230" s="68" t="s">
        <v>18</v>
      </c>
      <c r="L230" s="69" t="s">
        <v>129</v>
      </c>
      <c r="M230" s="71" t="s">
        <v>141</v>
      </c>
      <c r="N230" s="69" t="e" vm="1">
        <v>#VALUE!</v>
      </c>
      <c r="O230" s="164">
        <v>45895</v>
      </c>
      <c r="P230" s="72" t="s">
        <v>377</v>
      </c>
      <c r="Q230" s="72" t="s">
        <v>316</v>
      </c>
      <c r="R230" s="162"/>
      <c r="S230" s="146"/>
      <c r="T230" s="68" t="s">
        <v>3</v>
      </c>
      <c r="U230" s="87"/>
      <c r="V230" s="183">
        <v>45901</v>
      </c>
      <c r="W230" s="73">
        <v>810</v>
      </c>
      <c r="X230" s="73">
        <v>44.46</v>
      </c>
      <c r="Y230" s="83">
        <f>IF(SUM(W230:W230)&gt;0,X230/SUM(W230:W230)*1000000,"N/A")</f>
        <v>54888.888888888891</v>
      </c>
      <c r="Z230" s="183"/>
      <c r="AA230" s="183"/>
      <c r="AB230" s="73" t="s">
        <v>1043</v>
      </c>
      <c r="AC230" s="153"/>
      <c r="AD230" s="330"/>
      <c r="AE230" s="305"/>
      <c r="AF230" s="88"/>
      <c r="AG230" s="182">
        <f>YEAR(V230)</f>
        <v>2025</v>
      </c>
      <c r="AH230" s="86" t="str">
        <f>+IF(AG230=$AH$22,MONTH(V230),"")</f>
        <v/>
      </c>
      <c r="AI230" s="86">
        <f>+IF(AG230=$AI$22,MONTH(V230),"")</f>
        <v>9</v>
      </c>
      <c r="AJ230" s="86" t="str">
        <f>+IF(AG230=$AJ$22,MONTH(V230),"")</f>
        <v/>
      </c>
      <c r="AK230" s="86" t="str">
        <f>+IF(AG230=$AK$22,MONTH(V230),"")</f>
        <v/>
      </c>
      <c r="AL230" s="86"/>
      <c r="AM230" s="89"/>
      <c r="AN230" s="89"/>
      <c r="AO230" s="89"/>
      <c r="AP230" s="89"/>
      <c r="AQ230" s="89"/>
      <c r="AR230" s="89"/>
      <c r="AS230" s="89"/>
      <c r="AT230" s="89"/>
      <c r="AU230" s="89"/>
      <c r="AV230" s="89"/>
      <c r="AW230" s="86" t="str">
        <f>+IF($AG230=AW$22,MONTH($D230),"")</f>
        <v/>
      </c>
      <c r="AX230" s="86" t="str">
        <f>+IF($AG230=AX$22,MONTH($D230),"")</f>
        <v/>
      </c>
      <c r="AY230" s="89"/>
      <c r="AZ230" s="89"/>
      <c r="BA230" s="89"/>
      <c r="BB230" s="89"/>
      <c r="BC230" s="89"/>
      <c r="BD230" s="89"/>
      <c r="BE230" s="89"/>
      <c r="BF230" s="89"/>
      <c r="BG230" s="89"/>
      <c r="BH230" s="89"/>
      <c r="BI230" s="89"/>
      <c r="BJ230" s="89"/>
      <c r="BK230" s="89"/>
      <c r="BL230" s="89"/>
      <c r="BM230" s="89"/>
      <c r="BN230" s="89"/>
      <c r="BO230" s="89"/>
      <c r="BP230" s="89"/>
    </row>
    <row r="231" spans="1:68" s="382" customFormat="1" ht="51" hidden="1" customHeight="1">
      <c r="A231" s="204">
        <f>+IFERROR(VALUE(MID(AB231,4,4)),"")</f>
        <v>390</v>
      </c>
      <c r="B231" s="204">
        <f>VALUE(RIGHT(C231,LEN(C231)-2))</f>
        <v>2491</v>
      </c>
      <c r="C231" s="74" t="s">
        <v>1044</v>
      </c>
      <c r="D231" s="75">
        <v>45891</v>
      </c>
      <c r="E231" s="70" t="s">
        <v>262</v>
      </c>
      <c r="F231" s="70" t="s">
        <v>270</v>
      </c>
      <c r="G231" s="68" t="s">
        <v>1035</v>
      </c>
      <c r="H231" s="307" t="s">
        <v>1036</v>
      </c>
      <c r="I231" s="69" t="s">
        <v>1045</v>
      </c>
      <c r="J231" s="69"/>
      <c r="K231" s="68" t="s">
        <v>13</v>
      </c>
      <c r="L231" s="69" t="s">
        <v>120</v>
      </c>
      <c r="M231" s="71" t="s">
        <v>141</v>
      </c>
      <c r="N231" s="69" t="e" vm="1">
        <v>#VALUE!</v>
      </c>
      <c r="O231" s="84">
        <v>45912</v>
      </c>
      <c r="P231" s="72" t="s">
        <v>402</v>
      </c>
      <c r="Q231" s="72" t="s">
        <v>837</v>
      </c>
      <c r="R231" s="162"/>
      <c r="S231" s="146"/>
      <c r="T231" s="68" t="s">
        <v>158</v>
      </c>
      <c r="U231" s="87"/>
      <c r="V231" s="80">
        <v>45915</v>
      </c>
      <c r="W231" s="73">
        <v>352</v>
      </c>
      <c r="X231" s="73">
        <v>14.737</v>
      </c>
      <c r="Y231" s="169">
        <f>IF(SUM(W231:W231)&gt;0,X231/SUM(W231:W231)*1000000,"N/A")</f>
        <v>41866.477272727272</v>
      </c>
      <c r="Z231" s="80"/>
      <c r="AA231" s="80"/>
      <c r="AB231" s="73" t="s">
        <v>1046</v>
      </c>
      <c r="AC231" s="153"/>
      <c r="AD231" s="330"/>
      <c r="AE231" s="305"/>
      <c r="AF231" s="88"/>
      <c r="AG231" s="182">
        <f>YEAR(V231)</f>
        <v>2025</v>
      </c>
      <c r="AH231" s="86" t="str">
        <f>+IF(AG231=$AH$22,MONTH(V231),"")</f>
        <v/>
      </c>
      <c r="AI231" s="86">
        <f>+IF(AG231=$AI$22,MONTH(V231),"")</f>
        <v>9</v>
      </c>
      <c r="AJ231" s="86" t="str">
        <f>+IF(AG231=$AJ$22,MONTH(V231),"")</f>
        <v/>
      </c>
      <c r="AK231" s="86" t="str">
        <f>+IF(AG231=$AK$22,MONTH(V231),"")</f>
        <v/>
      </c>
      <c r="AL231" s="86" t="str">
        <f>+IF(AG231=$AL$22,MONTH(V231),"")</f>
        <v/>
      </c>
      <c r="AM231" s="86" t="str">
        <f>+IF($AG231=$AM$22,MONTH($D231),"")</f>
        <v/>
      </c>
      <c r="AN231" s="89" t="str">
        <f>+IF($AG231=AN$22,MONTH($D231),"")</f>
        <v/>
      </c>
      <c r="AO231" s="89" t="str">
        <f>+IF($AG231=AO$22,MONTH($D231),"")</f>
        <v/>
      </c>
      <c r="AP231" s="89" t="str">
        <f>+IF($AG231=AP$22,MONTH($D231),"")</f>
        <v/>
      </c>
      <c r="AQ231" s="89" t="str">
        <f>+IF($AG231=AQ$22,MONTH($D231),"")</f>
        <v/>
      </c>
      <c r="AR231" s="89" t="str">
        <f>+IF($AG231=AR$22,MONTH($D231),"")</f>
        <v/>
      </c>
      <c r="AS231" s="89" t="str">
        <f>+IF($AG231=AS$22,MONTH($D231),"")</f>
        <v/>
      </c>
      <c r="AT231" s="89" t="str">
        <f>+IF($AG231=AT$22,MONTH($D231),"")</f>
        <v/>
      </c>
      <c r="AU231" s="89" t="str">
        <f>+IF($AG231=AU$22,MONTH($D231),"")</f>
        <v/>
      </c>
      <c r="AV231" s="89" t="str">
        <f>+IF($AG231=AV$22,MONTH($D231),"")</f>
        <v/>
      </c>
      <c r="AW231" s="86" t="str">
        <f>+IF($AG231=AW$22,MONTH($D231),"")</f>
        <v/>
      </c>
      <c r="AX231" s="86" t="str">
        <f>+IF($AG231=AX$22,MONTH($D231),"")</f>
        <v/>
      </c>
      <c r="AY231" s="89"/>
      <c r="AZ231" s="89"/>
      <c r="BA231" s="89"/>
      <c r="BB231" s="89"/>
      <c r="BC231" s="89"/>
      <c r="BD231" s="89"/>
      <c r="BE231" s="89"/>
      <c r="BF231" s="89"/>
      <c r="BG231" s="89"/>
      <c r="BH231" s="89"/>
      <c r="BI231" s="89"/>
      <c r="BJ231" s="89"/>
      <c r="BK231" s="89"/>
      <c r="BL231" s="89"/>
      <c r="BM231" s="89"/>
      <c r="BN231" s="89"/>
      <c r="BO231" s="89"/>
      <c r="BP231" s="89"/>
    </row>
    <row r="232" spans="1:68" s="56" customFormat="1" ht="28.5" hidden="1" customHeight="1">
      <c r="A232" s="204">
        <f>+IFERROR(VALUE(MID(AB232,4,4)),"")</f>
        <v>399</v>
      </c>
      <c r="B232" s="204">
        <f>VALUE(RIGHT(C232,LEN(C232)-2))</f>
        <v>2490</v>
      </c>
      <c r="C232" s="74" t="s">
        <v>1047</v>
      </c>
      <c r="D232" s="75">
        <v>45894</v>
      </c>
      <c r="E232" s="70" t="s">
        <v>473</v>
      </c>
      <c r="F232" s="70" t="s">
        <v>473</v>
      </c>
      <c r="G232" s="68" t="s">
        <v>1040</v>
      </c>
      <c r="H232" s="307" t="s">
        <v>1041</v>
      </c>
      <c r="I232" s="69" t="s">
        <v>1048</v>
      </c>
      <c r="J232" s="69"/>
      <c r="K232" s="68" t="s">
        <v>275</v>
      </c>
      <c r="L232" s="69" t="s">
        <v>129</v>
      </c>
      <c r="M232" s="71" t="s">
        <v>141</v>
      </c>
      <c r="N232" s="69" t="e" vm="1">
        <v>#VALUE!</v>
      </c>
      <c r="O232" s="164">
        <v>45890</v>
      </c>
      <c r="P232" s="72" t="s">
        <v>377</v>
      </c>
      <c r="Q232" s="72" t="s">
        <v>694</v>
      </c>
      <c r="R232" s="162"/>
      <c r="S232" s="146"/>
      <c r="T232" s="68" t="s">
        <v>3</v>
      </c>
      <c r="U232" s="87"/>
      <c r="V232" s="183">
        <v>45895</v>
      </c>
      <c r="W232" s="73">
        <v>132.5</v>
      </c>
      <c r="X232" s="73">
        <v>5.85</v>
      </c>
      <c r="Y232" s="83">
        <f>IF(SUM(W232:W232)&gt;0,X232/SUM(W232:W232)*1000000,"N/A")</f>
        <v>44150.943396226408</v>
      </c>
      <c r="Z232" s="183"/>
      <c r="AA232" s="183"/>
      <c r="AB232" s="73" t="s">
        <v>1049</v>
      </c>
      <c r="AC232" s="153"/>
      <c r="AD232" s="330"/>
      <c r="AE232" s="305"/>
      <c r="AF232" s="88"/>
      <c r="AG232" s="182">
        <f>YEAR(V232)</f>
        <v>2025</v>
      </c>
      <c r="AH232" s="86" t="str">
        <f>+IF(AG232=$AH$22,MONTH(V232),"")</f>
        <v/>
      </c>
      <c r="AI232" s="86">
        <f>+IF(AG232=$AI$22,MONTH(V232),"")</f>
        <v>8</v>
      </c>
      <c r="AJ232" s="86" t="str">
        <f>+IF(AG232=$AJ$22,MONTH(V232),"")</f>
        <v/>
      </c>
      <c r="AK232" s="86" t="str">
        <f>+IF(AG232=$AK$22,MONTH(V232),"")</f>
        <v/>
      </c>
      <c r="AL232" s="86"/>
      <c r="AM232" s="89"/>
      <c r="AN232" s="89"/>
      <c r="AO232" s="89"/>
      <c r="AP232" s="89"/>
      <c r="AQ232" s="89"/>
      <c r="AR232" s="89"/>
      <c r="AS232" s="89"/>
      <c r="AT232" s="89"/>
      <c r="AU232" s="89"/>
      <c r="AV232" s="89"/>
      <c r="AW232" s="86" t="str">
        <f>+IF($AG232=AW$22,MONTH($D232),"")</f>
        <v/>
      </c>
      <c r="AX232" s="86" t="str">
        <f>+IF($AG232=AX$22,MONTH($D232),"")</f>
        <v/>
      </c>
      <c r="AY232" s="89"/>
      <c r="AZ232" s="89"/>
      <c r="BA232" s="89"/>
      <c r="BB232" s="89"/>
      <c r="BC232" s="89"/>
      <c r="BD232" s="89"/>
      <c r="BE232" s="89"/>
      <c r="BF232" s="89"/>
      <c r="BG232" s="89"/>
      <c r="BH232" s="89"/>
      <c r="BI232" s="89"/>
      <c r="BJ232" s="89"/>
      <c r="BK232" s="89"/>
      <c r="BL232" s="89"/>
      <c r="BM232" s="89"/>
      <c r="BN232" s="89"/>
      <c r="BO232" s="89"/>
      <c r="BP232" s="89"/>
    </row>
    <row r="233" spans="1:68" s="56" customFormat="1" ht="28.5" hidden="1" customHeight="1">
      <c r="A233" s="204">
        <f>+IFERROR(VALUE(MID(AB233,4,4)),"")</f>
        <v>390</v>
      </c>
      <c r="B233" s="204">
        <f>VALUE(RIGHT(C233,LEN(C233)-2))</f>
        <v>2489</v>
      </c>
      <c r="C233" s="74" t="s">
        <v>1050</v>
      </c>
      <c r="D233" s="75">
        <v>45891</v>
      </c>
      <c r="E233" s="70" t="s">
        <v>262</v>
      </c>
      <c r="F233" s="70" t="s">
        <v>270</v>
      </c>
      <c r="G233" s="68" t="s">
        <v>1035</v>
      </c>
      <c r="H233" s="307" t="s">
        <v>1036</v>
      </c>
      <c r="I233" s="69" t="s">
        <v>1051</v>
      </c>
      <c r="J233" s="69"/>
      <c r="K233" s="68" t="s">
        <v>13</v>
      </c>
      <c r="L233" s="69" t="s">
        <v>120</v>
      </c>
      <c r="M233" s="71" t="s">
        <v>141</v>
      </c>
      <c r="N233" s="69" t="e" vm="1">
        <v>#VALUE!</v>
      </c>
      <c r="O233" s="84">
        <v>45912</v>
      </c>
      <c r="P233" s="72" t="s">
        <v>402</v>
      </c>
      <c r="Q233" s="72" t="s">
        <v>837</v>
      </c>
      <c r="R233" s="162"/>
      <c r="S233" s="146"/>
      <c r="T233" s="68" t="s">
        <v>3</v>
      </c>
      <c r="U233" s="87"/>
      <c r="V233" s="80">
        <v>45945</v>
      </c>
      <c r="W233" s="73">
        <v>2992</v>
      </c>
      <c r="X233" s="73">
        <v>114.75</v>
      </c>
      <c r="Y233" s="169">
        <f>IF(SUM(W233:W233)&gt;0,X233/SUM(W233:W233)*1000000,"N/A")</f>
        <v>38352.272727272728</v>
      </c>
      <c r="Z233" s="80"/>
      <c r="AA233" s="80"/>
      <c r="AB233" s="73" t="s">
        <v>1052</v>
      </c>
      <c r="AC233" s="153"/>
      <c r="AD233" s="330"/>
      <c r="AE233" s="305"/>
      <c r="AF233" s="88"/>
      <c r="AG233" s="182">
        <f>YEAR(V233)</f>
        <v>2025</v>
      </c>
      <c r="AH233" s="86" t="str">
        <f>+IF(AG233=$AH$22,MONTH(V233),"")</f>
        <v/>
      </c>
      <c r="AI233" s="86">
        <f>+IF(AG233=$AI$22,MONTH(V233),"")</f>
        <v>10</v>
      </c>
      <c r="AJ233" s="86" t="str">
        <f>+IF(AG233=$AJ$22,MONTH(V233),"")</f>
        <v/>
      </c>
      <c r="AK233" s="86" t="str">
        <f>+IF(AG233=$AK$22,MONTH(V233),"")</f>
        <v/>
      </c>
      <c r="AL233" s="86" t="str">
        <f>+IF(AG233=$AL$22,MONTH(V233),"")</f>
        <v/>
      </c>
      <c r="AM233" s="86" t="str">
        <f>+IF($AG233=$AM$22,MONTH($D233),"")</f>
        <v/>
      </c>
      <c r="AN233" s="89" t="str">
        <f>+IF($AG233=AN$22,MONTH($D233),"")</f>
        <v/>
      </c>
      <c r="AO233" s="89" t="str">
        <f>+IF($AG233=AO$22,MONTH($D233),"")</f>
        <v/>
      </c>
      <c r="AP233" s="89" t="str">
        <f>+IF($AG233=AP$22,MONTH($D233),"")</f>
        <v/>
      </c>
      <c r="AQ233" s="89" t="str">
        <f>+IF($AG233=AQ$22,MONTH($D233),"")</f>
        <v/>
      </c>
      <c r="AR233" s="89" t="str">
        <f>+IF($AG233=AR$22,MONTH($D233),"")</f>
        <v/>
      </c>
      <c r="AS233" s="89" t="str">
        <f>+IF($AG233=AS$22,MONTH($D233),"")</f>
        <v/>
      </c>
      <c r="AT233" s="89" t="str">
        <f>+IF($AG233=AT$22,MONTH($D233),"")</f>
        <v/>
      </c>
      <c r="AU233" s="89" t="str">
        <f>+IF($AG233=AU$22,MONTH($D233),"")</f>
        <v/>
      </c>
      <c r="AV233" s="89" t="str">
        <f>+IF($AG233=AV$22,MONTH($D233),"")</f>
        <v/>
      </c>
      <c r="AW233" s="86" t="str">
        <f>+IF($AG233=AW$22,MONTH($D233),"")</f>
        <v/>
      </c>
      <c r="AX233" s="86" t="str">
        <f>+IF($AG233=AX$22,MONTH($D233),"")</f>
        <v/>
      </c>
      <c r="AY233" s="89"/>
      <c r="AZ233" s="89"/>
      <c r="BA233" s="89"/>
      <c r="BB233" s="89"/>
      <c r="BC233" s="89"/>
      <c r="BD233" s="89"/>
      <c r="BE233" s="89"/>
      <c r="BF233" s="89"/>
      <c r="BG233" s="89"/>
      <c r="BH233" s="89"/>
      <c r="BI233" s="89"/>
      <c r="BJ233" s="89"/>
      <c r="BK233" s="89"/>
      <c r="BL233" s="89"/>
      <c r="BM233" s="89"/>
      <c r="BN233" s="89"/>
      <c r="BO233" s="89"/>
      <c r="BP233" s="89"/>
    </row>
    <row r="234" spans="1:68" s="56" customFormat="1" ht="28.5" hidden="1" customHeight="1">
      <c r="A234" s="204">
        <f>+IFERROR(VALUE(MID(AB234,4,4)),"")</f>
        <v>274</v>
      </c>
      <c r="B234" s="204">
        <f>VALUE(RIGHT(C234,LEN(C234)-2))</f>
        <v>2488</v>
      </c>
      <c r="C234" s="74" t="s">
        <v>1053</v>
      </c>
      <c r="D234" s="75">
        <v>45888</v>
      </c>
      <c r="E234" s="70" t="s">
        <v>1054</v>
      </c>
      <c r="F234" s="70" t="s">
        <v>252</v>
      </c>
      <c r="G234" s="68" t="s">
        <v>1055</v>
      </c>
      <c r="H234" s="59" t="s">
        <v>1056</v>
      </c>
      <c r="I234" s="69" t="s">
        <v>1057</v>
      </c>
      <c r="J234" s="69"/>
      <c r="K234" s="68" t="s">
        <v>13</v>
      </c>
      <c r="L234" s="69" t="s">
        <v>129</v>
      </c>
      <c r="M234" s="71" t="s">
        <v>141</v>
      </c>
      <c r="N234" s="69" t="e" vm="1">
        <v>#VALUE!</v>
      </c>
      <c r="O234" s="164">
        <v>45924</v>
      </c>
      <c r="P234" s="72" t="s">
        <v>1058</v>
      </c>
      <c r="Q234" s="72" t="s">
        <v>259</v>
      </c>
      <c r="R234" s="162"/>
      <c r="S234" s="146"/>
      <c r="T234" s="68" t="s">
        <v>3</v>
      </c>
      <c r="U234" s="87"/>
      <c r="V234" s="183">
        <v>45925</v>
      </c>
      <c r="W234" s="73">
        <v>267</v>
      </c>
      <c r="X234" s="73">
        <v>6.7789999999999999</v>
      </c>
      <c r="Y234" s="83">
        <f>IF(SUM(W234:W234)&gt;0,X234/SUM(W234:W234)*1000000,"N/A")</f>
        <v>25389.513108614232</v>
      </c>
      <c r="Z234" s="183"/>
      <c r="AA234" s="183"/>
      <c r="AB234" s="73" t="s">
        <v>1059</v>
      </c>
      <c r="AC234" s="153"/>
      <c r="AD234" s="331"/>
      <c r="AE234" s="57"/>
      <c r="AF234" s="88"/>
      <c r="AG234" s="182">
        <f>YEAR(V234)</f>
        <v>2025</v>
      </c>
      <c r="AH234" s="86" t="str">
        <f>+IF(AG234=$AH$22,MONTH(V234),"")</f>
        <v/>
      </c>
      <c r="AI234" s="86">
        <f>+IF(AG234=$AI$22,MONTH(V234),"")</f>
        <v>9</v>
      </c>
      <c r="AJ234" s="86" t="str">
        <f>+IF(AG234=$AJ$22,MONTH(V234),"")</f>
        <v/>
      </c>
      <c r="AK234" s="86" t="str">
        <f>+IF(AG234=$AK$22,MONTH(V234),"")</f>
        <v/>
      </c>
      <c r="AL234" s="86" t="str">
        <f>+IF(AG234=$AL$22,MONTH(V234),"")</f>
        <v/>
      </c>
      <c r="AM234" s="86" t="str">
        <f>+IF($AG234=$AM$22,MONTH($D234),"")</f>
        <v/>
      </c>
      <c r="AN234" s="89" t="str">
        <f>+IF($AG234=AN$22,MONTH($D234),"")</f>
        <v/>
      </c>
      <c r="AO234" s="89" t="str">
        <f>+IF($AG234=AO$22,MONTH($D234),"")</f>
        <v/>
      </c>
      <c r="AP234" s="89" t="str">
        <f>+IF($AG234=AP$22,MONTH($D234),"")</f>
        <v/>
      </c>
      <c r="AQ234" s="89" t="str">
        <f>+IF($AG234=AQ$22,MONTH($D234),"")</f>
        <v/>
      </c>
      <c r="AR234" s="89" t="str">
        <f>+IF($AG234=AR$22,MONTH($D234),"")</f>
        <v/>
      </c>
      <c r="AS234" s="89" t="str">
        <f>+IF($AG234=AS$22,MONTH($D234),"")</f>
        <v/>
      </c>
      <c r="AT234" s="89" t="str">
        <f>+IF($AG234=AT$22,MONTH($D234),"")</f>
        <v/>
      </c>
      <c r="AU234" s="89" t="str">
        <f>+IF($AG234=AU$22,MONTH($D234),"")</f>
        <v/>
      </c>
      <c r="AV234" s="89" t="str">
        <f>+IF($AG234=AV$22,MONTH($D234),"")</f>
        <v/>
      </c>
      <c r="AW234" s="86" t="str">
        <f>+IF($AG234=AW$22,MONTH($D234),"")</f>
        <v/>
      </c>
      <c r="AX234" s="86" t="str">
        <f>+IF($AG234=AX$22,MONTH($D234),"")</f>
        <v/>
      </c>
      <c r="AY234" s="89"/>
      <c r="AZ234" s="89"/>
      <c r="BA234" s="89"/>
      <c r="BB234" s="89"/>
      <c r="BC234" s="89"/>
      <c r="BD234" s="89"/>
      <c r="BE234" s="89"/>
      <c r="BF234" s="89"/>
      <c r="BG234" s="89"/>
      <c r="BH234" s="89"/>
      <c r="BI234" s="89"/>
      <c r="BJ234" s="89"/>
      <c r="BK234" s="89"/>
      <c r="BL234" s="89"/>
      <c r="BM234" s="89"/>
      <c r="BN234" s="89"/>
      <c r="BO234" s="89"/>
      <c r="BP234" s="89"/>
    </row>
    <row r="235" spans="1:68" s="56" customFormat="1" ht="30" hidden="1" customHeight="1">
      <c r="A235" s="204">
        <f>+IFERROR(VALUE(MID(AB235,4,4)),"")</f>
        <v>460</v>
      </c>
      <c r="B235" s="204">
        <f>VALUE(RIGHT(C235,LEN(C235)-2))</f>
        <v>2487</v>
      </c>
      <c r="C235" s="74" t="s">
        <v>1060</v>
      </c>
      <c r="D235" s="75">
        <v>45887</v>
      </c>
      <c r="E235" s="70" t="s">
        <v>479</v>
      </c>
      <c r="F235" s="70" t="s">
        <v>479</v>
      </c>
      <c r="G235" s="68" t="s">
        <v>1061</v>
      </c>
      <c r="H235" s="307" t="s">
        <v>1062</v>
      </c>
      <c r="I235" s="162" t="s">
        <v>1063</v>
      </c>
      <c r="J235" s="162"/>
      <c r="K235" s="68" t="s">
        <v>18</v>
      </c>
      <c r="L235" s="69" t="s">
        <v>129</v>
      </c>
      <c r="M235" s="71" t="s">
        <v>113</v>
      </c>
      <c r="N235" s="69" t="e" vm="2">
        <v>#VALUE!</v>
      </c>
      <c r="O235" s="84">
        <v>45894</v>
      </c>
      <c r="P235" s="82" t="s">
        <v>294</v>
      </c>
      <c r="Q235" s="72" t="s">
        <v>259</v>
      </c>
      <c r="R235" s="162"/>
      <c r="S235" s="146"/>
      <c r="T235" s="68" t="s">
        <v>3</v>
      </c>
      <c r="U235" s="87"/>
      <c r="V235" s="183">
        <v>45936</v>
      </c>
      <c r="W235" s="73">
        <v>178</v>
      </c>
      <c r="X235" s="73">
        <v>3</v>
      </c>
      <c r="Y235" s="83">
        <f>IF(SUM(W235:W235)&gt;0,X235/SUM(W235:W235)*1000000,"N/A")</f>
        <v>16853.932584269663</v>
      </c>
      <c r="Z235" s="183"/>
      <c r="AA235" s="183"/>
      <c r="AB235" s="73" t="s">
        <v>1064</v>
      </c>
      <c r="AC235" s="153"/>
      <c r="AD235" s="331"/>
      <c r="AE235" s="57"/>
      <c r="AF235" s="88"/>
      <c r="AG235" s="182">
        <f>YEAR(V235)</f>
        <v>2025</v>
      </c>
      <c r="AH235" s="86" t="str">
        <f>+IF(AG235=$AH$22,MONTH(V235),"")</f>
        <v/>
      </c>
      <c r="AI235" s="86">
        <f>+IF(AG235=$AI$22,MONTH(V235),"")</f>
        <v>10</v>
      </c>
      <c r="AJ235" s="86" t="str">
        <f>+IF(AG235=$AJ$22,MONTH(V235),"")</f>
        <v/>
      </c>
      <c r="AK235" s="86" t="str">
        <f>+IF(AG235=$AK$22,MONTH(V235),"")</f>
        <v/>
      </c>
      <c r="AL235" s="86"/>
      <c r="AM235" s="89"/>
      <c r="AN235" s="89"/>
      <c r="AO235" s="89"/>
      <c r="AP235" s="89"/>
      <c r="AQ235" s="89"/>
      <c r="AR235" s="89"/>
      <c r="AS235" s="89"/>
      <c r="AT235" s="89"/>
      <c r="AU235" s="89"/>
      <c r="AV235" s="89"/>
      <c r="AW235" s="86" t="str">
        <f>+IF($AG235=AW$22,MONTH($D235),"")</f>
        <v/>
      </c>
      <c r="AX235" s="86" t="str">
        <f>+IF($AG235=AX$22,MONTH($D235),"")</f>
        <v/>
      </c>
      <c r="AY235" s="89"/>
      <c r="AZ235" s="89"/>
      <c r="BA235" s="89"/>
      <c r="BB235" s="89"/>
      <c r="BC235" s="89"/>
      <c r="BD235" s="89"/>
      <c r="BE235" s="89"/>
      <c r="BF235" s="89"/>
      <c r="BG235" s="89"/>
      <c r="BH235" s="89"/>
      <c r="BI235" s="89"/>
      <c r="BJ235" s="89"/>
      <c r="BK235" s="89"/>
      <c r="BL235" s="89"/>
      <c r="BM235" s="89"/>
      <c r="BN235" s="89"/>
      <c r="BO235" s="89"/>
      <c r="BP235" s="89"/>
    </row>
    <row r="236" spans="1:68" s="56" customFormat="1" ht="33.75" hidden="1" customHeight="1">
      <c r="A236" s="204" t="str">
        <f>+IFERROR(VALUE(MID(AB236,4,4)),"")</f>
        <v/>
      </c>
      <c r="B236" s="204">
        <f>VALUE(RIGHT(C236,LEN(C236)-2))</f>
        <v>2486</v>
      </c>
      <c r="C236" s="74" t="s">
        <v>1065</v>
      </c>
      <c r="D236" s="75">
        <v>45890</v>
      </c>
      <c r="E236" s="68" t="s">
        <v>53</v>
      </c>
      <c r="F236" s="68" t="s">
        <v>252</v>
      </c>
      <c r="G236" s="68" t="s">
        <v>210</v>
      </c>
      <c r="H236" s="304" t="s">
        <v>210</v>
      </c>
      <c r="I236" s="69" t="s">
        <v>1066</v>
      </c>
      <c r="J236" s="69"/>
      <c r="K236" s="68" t="s">
        <v>13</v>
      </c>
      <c r="L236" s="69" t="s">
        <v>123</v>
      </c>
      <c r="M236" s="71" t="s">
        <v>141</v>
      </c>
      <c r="N236" s="69" t="e" vm="1">
        <v>#VALUE!</v>
      </c>
      <c r="O236" s="84">
        <v>45938</v>
      </c>
      <c r="P236" s="69" t="s">
        <v>213</v>
      </c>
      <c r="Q236" s="69" t="s">
        <v>220</v>
      </c>
      <c r="R236" s="69"/>
      <c r="S236" s="146"/>
      <c r="T236" s="68" t="s">
        <v>155</v>
      </c>
      <c r="U236" s="87"/>
      <c r="V236" s="183">
        <v>45890</v>
      </c>
      <c r="W236" s="73"/>
      <c r="X236" s="73"/>
      <c r="Y236" s="83" t="str">
        <f>IF(SUM(W236:W236)&gt;0,X236/SUM(W236:W236)*1000000,"N/A")</f>
        <v>N/A</v>
      </c>
      <c r="Z236" s="80"/>
      <c r="AA236" s="80"/>
      <c r="AB236" s="150"/>
      <c r="AC236" s="75"/>
      <c r="AD236" s="332"/>
      <c r="AE236" s="68"/>
      <c r="AF236" s="73"/>
      <c r="AG236" s="182">
        <f>YEAR(V236)</f>
        <v>2025</v>
      </c>
      <c r="AH236" s="86" t="str">
        <f>+IF(AG236=$AH$22,MONTH(V236),"")</f>
        <v/>
      </c>
      <c r="AI236" s="86">
        <f>+IF(AG236=$AI$22,MONTH(V236),"")</f>
        <v>8</v>
      </c>
      <c r="AJ236" s="86" t="str">
        <f>+IF(AG236=$AJ$22,MONTH(V236),"")</f>
        <v/>
      </c>
      <c r="AK236" s="86" t="str">
        <f>+IF(AG236=$AK$22,MONTH(V236),"")</f>
        <v/>
      </c>
      <c r="AL236" s="86" t="str">
        <f>+IF(AG236=$AL$22,MONTH(V236),"")</f>
        <v/>
      </c>
      <c r="AM236" s="86" t="str">
        <f>+IF($AG236=$AM$22,MONTH($D236),"")</f>
        <v/>
      </c>
      <c r="AN236" s="89" t="str">
        <f>+IF($AG236=AN$22,MONTH($D236),"")</f>
        <v/>
      </c>
      <c r="AO236" s="184" t="str">
        <f>+IF($AG236=AO$22,MONTH($D236),"")</f>
        <v/>
      </c>
      <c r="AP236" s="184" t="str">
        <f>+IF($AG236=AP$22,MONTH($D236),"")</f>
        <v/>
      </c>
      <c r="AQ236" s="184" t="str">
        <f>+IF($AG236=AQ$22,MONTH($D236),"")</f>
        <v/>
      </c>
      <c r="AR236" s="184" t="str">
        <f>+IF($AG236=AR$22,MONTH($D236),"")</f>
        <v/>
      </c>
      <c r="AS236" s="184" t="str">
        <f>+IF($AG236=AS$22,MONTH($D236),"")</f>
        <v/>
      </c>
      <c r="AT236" s="86" t="str">
        <f>+IF($AG236=AT$22,MONTH($D236),"")</f>
        <v/>
      </c>
      <c r="AU236" s="86" t="str">
        <f>+IF($AG236=AU$22,MONTH($D236),"")</f>
        <v/>
      </c>
      <c r="AV236" s="86" t="str">
        <f>+IF($AG236=AV$22,MONTH($D236),"")</f>
        <v/>
      </c>
      <c r="AW236" s="86" t="str">
        <f>+IF($AG236=AW$22,MONTH($D236),"")</f>
        <v/>
      </c>
      <c r="AX236" s="86" t="str">
        <f>+IF($AG236=AX$22,MONTH($D236),"")</f>
        <v/>
      </c>
      <c r="AY236" s="89"/>
      <c r="AZ236" s="89"/>
      <c r="BA236" s="89"/>
      <c r="BB236" s="89"/>
      <c r="BC236" s="89"/>
      <c r="BD236" s="89"/>
      <c r="BE236" s="89"/>
      <c r="BF236" s="89"/>
      <c r="BG236" s="89"/>
      <c r="BH236" s="89"/>
      <c r="BI236" s="89"/>
      <c r="BJ236" s="89"/>
      <c r="BK236" s="89"/>
      <c r="BL236" s="89"/>
      <c r="BM236" s="89"/>
      <c r="BN236" s="89"/>
      <c r="BO236" s="89"/>
      <c r="BP236" s="89"/>
    </row>
    <row r="237" spans="1:68" s="381" customFormat="1" ht="45.75" hidden="1" customHeight="1">
      <c r="A237" s="204">
        <f>+IFERROR(VALUE(MID(AB237,4,4)),"")</f>
        <v>271</v>
      </c>
      <c r="B237" s="204">
        <f>VALUE(RIGHT(C237,LEN(C237)-2))</f>
        <v>2485</v>
      </c>
      <c r="C237" s="74" t="s">
        <v>1067</v>
      </c>
      <c r="D237" s="75">
        <v>45883</v>
      </c>
      <c r="E237" s="70" t="s">
        <v>277</v>
      </c>
      <c r="F237" s="70" t="s">
        <v>277</v>
      </c>
      <c r="G237" s="68" t="s">
        <v>278</v>
      </c>
      <c r="H237" s="307" t="s">
        <v>279</v>
      </c>
      <c r="I237" s="69" t="s">
        <v>1068</v>
      </c>
      <c r="J237" s="69"/>
      <c r="K237" s="68" t="s">
        <v>944</v>
      </c>
      <c r="L237" s="69" t="s">
        <v>129</v>
      </c>
      <c r="M237" s="71" t="s">
        <v>141</v>
      </c>
      <c r="N237" s="69" t="e" vm="1">
        <v>#VALUE!</v>
      </c>
      <c r="O237" s="84">
        <v>45891</v>
      </c>
      <c r="P237" s="72" t="s">
        <v>912</v>
      </c>
      <c r="Q237" s="72" t="s">
        <v>623</v>
      </c>
      <c r="R237" s="162"/>
      <c r="S237" s="146" t="s">
        <v>1069</v>
      </c>
      <c r="T237" s="94" t="s">
        <v>168</v>
      </c>
      <c r="U237" s="87"/>
      <c r="V237" s="183">
        <v>45894</v>
      </c>
      <c r="W237" s="73">
        <v>370</v>
      </c>
      <c r="X237" s="150">
        <v>19.873000000000001</v>
      </c>
      <c r="Y237" s="83">
        <f>IF(SUM(W237:W237)&gt;0,X237/SUM(W237:W237)*1000000,"N/A")</f>
        <v>53710.810810810814</v>
      </c>
      <c r="Z237" s="183"/>
      <c r="AA237" s="183"/>
      <c r="AB237" s="73" t="s">
        <v>1070</v>
      </c>
      <c r="AC237" s="153"/>
      <c r="AD237" s="330"/>
      <c r="AE237" s="305"/>
      <c r="AF237" s="88"/>
      <c r="AG237" s="182">
        <f>YEAR(V237)</f>
        <v>2025</v>
      </c>
      <c r="AH237" s="86" t="str">
        <f>+IF(AG237=$AH$22,MONTH(V237),"")</f>
        <v/>
      </c>
      <c r="AI237" s="86">
        <f>+IF(AG237=$AI$22,MONTH(V237),"")</f>
        <v>8</v>
      </c>
      <c r="AJ237" s="86" t="str">
        <f>+IF(AG237=$AJ$22,MONTH(V237),"")</f>
        <v/>
      </c>
      <c r="AK237" s="86" t="str">
        <f>+IF(AG237=$AK$22,MONTH(V237),"")</f>
        <v/>
      </c>
      <c r="AL237" s="86"/>
      <c r="AM237" s="89"/>
      <c r="AN237" s="89"/>
      <c r="AO237" s="89"/>
      <c r="AP237" s="89"/>
      <c r="AQ237" s="89"/>
      <c r="AR237" s="89"/>
      <c r="AS237" s="89"/>
      <c r="AT237" s="89"/>
      <c r="AU237" s="89"/>
      <c r="AV237" s="89"/>
      <c r="AW237" s="86" t="str">
        <f>+IF($AG237=AW$22,MONTH($D237),"")</f>
        <v/>
      </c>
      <c r="AX237" s="86" t="str">
        <f>+IF($AG237=AX$22,MONTH($D237),"")</f>
        <v/>
      </c>
      <c r="AY237" s="89"/>
      <c r="AZ237" s="89"/>
      <c r="BA237" s="89"/>
      <c r="BB237" s="89"/>
      <c r="BC237" s="89"/>
      <c r="BD237" s="89"/>
      <c r="BE237" s="89"/>
      <c r="BF237" s="89"/>
      <c r="BG237" s="89"/>
      <c r="BH237" s="89"/>
      <c r="BI237" s="89"/>
      <c r="BJ237" s="89"/>
      <c r="BK237" s="89"/>
      <c r="BL237" s="89"/>
      <c r="BM237" s="89"/>
      <c r="BN237" s="89"/>
      <c r="BO237" s="89"/>
      <c r="BP237" s="89"/>
    </row>
    <row r="238" spans="1:68" s="381" customFormat="1" ht="45.75" hidden="1" customHeight="1">
      <c r="A238" s="204" t="str">
        <f>+IFERROR(VALUE(MID(AB238,4,4)),"")</f>
        <v/>
      </c>
      <c r="B238" s="204">
        <f>VALUE(RIGHT(C238,LEN(C238)-2))</f>
        <v>2484</v>
      </c>
      <c r="C238" s="74" t="s">
        <v>1071</v>
      </c>
      <c r="D238" s="75">
        <v>45889</v>
      </c>
      <c r="E238" s="68" t="s">
        <v>106</v>
      </c>
      <c r="F238" s="68" t="s">
        <v>106</v>
      </c>
      <c r="G238" s="68" t="s">
        <v>1072</v>
      </c>
      <c r="H238" s="282" t="s">
        <v>1073</v>
      </c>
      <c r="I238" s="69" t="s">
        <v>1074</v>
      </c>
      <c r="J238" s="69"/>
      <c r="K238" s="68" t="s">
        <v>11</v>
      </c>
      <c r="L238" s="69" t="s">
        <v>123</v>
      </c>
      <c r="M238" s="71" t="s">
        <v>141</v>
      </c>
      <c r="N238" s="69" t="s">
        <v>1075</v>
      </c>
      <c r="O238" s="84">
        <v>45939</v>
      </c>
      <c r="P238" s="69" t="s">
        <v>640</v>
      </c>
      <c r="Q238" s="72" t="s">
        <v>316</v>
      </c>
      <c r="R238" s="162"/>
      <c r="S238" s="146"/>
      <c r="T238" s="68" t="s">
        <v>165</v>
      </c>
      <c r="U238" s="87">
        <v>0.05</v>
      </c>
      <c r="V238" s="80">
        <v>45939</v>
      </c>
      <c r="W238" s="73">
        <v>17177</v>
      </c>
      <c r="X238" s="73">
        <v>809</v>
      </c>
      <c r="Y238" s="83">
        <f>IF(SUM(W238:W238)&gt;0,X238/SUM(W238:W238)*1000000,"N/A")</f>
        <v>47097.863422017814</v>
      </c>
      <c r="Z238" s="80"/>
      <c r="AA238" s="80"/>
      <c r="AB238" s="57"/>
      <c r="AC238" s="75"/>
      <c r="AD238" s="332"/>
      <c r="AE238" s="68"/>
      <c r="AF238" s="88"/>
      <c r="AG238" s="182">
        <f>YEAR(V238)</f>
        <v>2025</v>
      </c>
      <c r="AH238" s="86" t="str">
        <f>+IF(AG238=$AH$22,MONTH(V238),"")</f>
        <v/>
      </c>
      <c r="AI238" s="86">
        <f>+IF(AG238=$AI$22,MONTH(V238),"")</f>
        <v>10</v>
      </c>
      <c r="AJ238" s="86" t="str">
        <f>+IF(AG238=$AJ$22,MONTH(V238),"")</f>
        <v/>
      </c>
      <c r="AK238" s="86" t="str">
        <f>+IF(AG238=$AK$22,MONTH(V238),"")</f>
        <v/>
      </c>
      <c r="AL238" s="86" t="str">
        <f>+IF(AG238=$AL$22,MONTH(V238),"")</f>
        <v/>
      </c>
      <c r="AM238" s="86" t="str">
        <f>+IF($AG238=$AM$22,MONTH($D238),"")</f>
        <v/>
      </c>
      <c r="AN238" s="89" t="str">
        <f>+IF($AG238=AN$22,MONTH($D238),"")</f>
        <v/>
      </c>
      <c r="AO238" s="184" t="str">
        <f>+IF($AG238=AO$22,MONTH($D238),"")</f>
        <v/>
      </c>
      <c r="AP238" s="184" t="str">
        <f>+IF($AG238=AP$22,MONTH($D238),"")</f>
        <v/>
      </c>
      <c r="AQ238" s="184" t="str">
        <f>+IF($AG238=AQ$22,MONTH($D238),"")</f>
        <v/>
      </c>
      <c r="AR238" s="184" t="str">
        <f>+IF($AG238=AR$22,MONTH($D238),"")</f>
        <v/>
      </c>
      <c r="AS238" s="184" t="str">
        <f>+IF($AG238=AS$22,MONTH($D238),"")</f>
        <v/>
      </c>
      <c r="AT238" s="86" t="str">
        <f>+IF($AG238=AT$22,MONTH($D238),"")</f>
        <v/>
      </c>
      <c r="AU238" s="86" t="str">
        <f>+IF($AG238=AU$22,MONTH($D238),"")</f>
        <v/>
      </c>
      <c r="AV238" s="86" t="str">
        <f>+IF($AG238=AV$22,MONTH($D238),"")</f>
        <v/>
      </c>
      <c r="AW238" s="86" t="str">
        <f>+IF($AG238=AW$22,MONTH($D238),"")</f>
        <v/>
      </c>
      <c r="AX238" s="86" t="str">
        <f>+IF($AG238=AX$22,MONTH($D238),"")</f>
        <v/>
      </c>
      <c r="AY238" s="89"/>
      <c r="AZ238" s="89"/>
      <c r="BA238" s="89"/>
      <c r="BB238" s="89"/>
      <c r="BC238" s="89"/>
      <c r="BD238" s="89"/>
      <c r="BE238" s="89"/>
      <c r="BF238" s="89"/>
      <c r="BG238" s="89"/>
      <c r="BH238" s="89"/>
      <c r="BI238" s="89"/>
      <c r="BJ238" s="89"/>
      <c r="BK238" s="89"/>
      <c r="BL238" s="89"/>
      <c r="BM238" s="89"/>
      <c r="BN238" s="89"/>
      <c r="BO238" s="89"/>
      <c r="BP238" s="89"/>
    </row>
    <row r="239" spans="1:68" s="56" customFormat="1" ht="42.75" hidden="1" customHeight="1">
      <c r="A239" s="204">
        <f>+IFERROR(VALUE(MID(AB239,4,4)),"")</f>
        <v>392</v>
      </c>
      <c r="B239" s="204">
        <f>VALUE(RIGHT(C239,LEN(C239)-2))</f>
        <v>2483</v>
      </c>
      <c r="C239" s="74" t="s">
        <v>1076</v>
      </c>
      <c r="D239" s="75">
        <v>45883</v>
      </c>
      <c r="E239" s="70" t="s">
        <v>332</v>
      </c>
      <c r="F239" s="70" t="s">
        <v>332</v>
      </c>
      <c r="G239" s="68" t="s">
        <v>333</v>
      </c>
      <c r="H239" s="282" t="s">
        <v>334</v>
      </c>
      <c r="I239" s="69" t="s">
        <v>1077</v>
      </c>
      <c r="J239" s="69"/>
      <c r="K239" s="68" t="s">
        <v>13</v>
      </c>
      <c r="L239" s="69" t="s">
        <v>129</v>
      </c>
      <c r="M239" s="71" t="s">
        <v>141</v>
      </c>
      <c r="N239" s="69" t="e" vm="1">
        <v>#VALUE!</v>
      </c>
      <c r="O239" s="84">
        <v>45890</v>
      </c>
      <c r="P239" s="72" t="s">
        <v>737</v>
      </c>
      <c r="Q239" s="72" t="s">
        <v>316</v>
      </c>
      <c r="R239" s="162"/>
      <c r="S239" s="146"/>
      <c r="T239" s="68" t="s">
        <v>3</v>
      </c>
      <c r="U239" s="87"/>
      <c r="V239" s="80">
        <v>45952</v>
      </c>
      <c r="W239" s="73">
        <v>1799</v>
      </c>
      <c r="X239" s="73">
        <f>2019*39280/1000000</f>
        <v>79.306319999999999</v>
      </c>
      <c r="Y239" s="83">
        <f>IF(SUM(W239:W239)&gt;0,X239/SUM(W239:W239)*1000000,"N/A")</f>
        <v>44083.5575319622</v>
      </c>
      <c r="Z239" s="80"/>
      <c r="AA239" s="80"/>
      <c r="AB239" s="73" t="s">
        <v>1078</v>
      </c>
      <c r="AC239" s="153"/>
      <c r="AD239" s="331"/>
      <c r="AE239" s="57"/>
      <c r="AF239" s="88"/>
      <c r="AG239" s="182">
        <f>YEAR(V239)</f>
        <v>2025</v>
      </c>
      <c r="AH239" s="86" t="str">
        <f>+IF(AG239=$AH$22,MONTH(V239),"")</f>
        <v/>
      </c>
      <c r="AI239" s="86">
        <f>+IF(AG239=$AI$22,MONTH(V239),"")</f>
        <v>10</v>
      </c>
      <c r="AJ239" s="86" t="str">
        <f>+IF(AG239=$AJ$22,MONTH(V239),"")</f>
        <v/>
      </c>
      <c r="AK239" s="86" t="str">
        <f>+IF(AG239=$AK$22,MONTH(V239),"")</f>
        <v/>
      </c>
      <c r="AL239" s="86" t="str">
        <f>+IF(AG239=$AL$22,MONTH(V239),"")</f>
        <v/>
      </c>
      <c r="AM239" s="86" t="str">
        <f>+IF($AG239=$AM$22,MONTH($D239),"")</f>
        <v/>
      </c>
      <c r="AN239" s="89" t="str">
        <f>+IF($AG239=AN$22,MONTH($D239),"")</f>
        <v/>
      </c>
      <c r="AO239" s="89" t="str">
        <f>+IF($AG239=AO$22,MONTH($D239),"")</f>
        <v/>
      </c>
      <c r="AP239" s="89" t="str">
        <f>+IF($AG239=AP$22,MONTH($D239),"")</f>
        <v/>
      </c>
      <c r="AQ239" s="89" t="str">
        <f>+IF($AG239=AQ$22,MONTH($D239),"")</f>
        <v/>
      </c>
      <c r="AR239" s="89" t="str">
        <f>+IF($AG239=AR$22,MONTH($D239),"")</f>
        <v/>
      </c>
      <c r="AS239" s="89" t="str">
        <f>+IF($AG239=AS$22,MONTH($D239),"")</f>
        <v/>
      </c>
      <c r="AT239" s="89" t="str">
        <f>+IF($AG239=AT$22,MONTH($D239),"")</f>
        <v/>
      </c>
      <c r="AU239" s="89" t="str">
        <f>+IF($AG239=AU$22,MONTH($D239),"")</f>
        <v/>
      </c>
      <c r="AV239" s="89" t="str">
        <f>+IF($AG239=AV$22,MONTH($D239),"")</f>
        <v/>
      </c>
      <c r="AW239" s="86" t="str">
        <f>+IF($AG239=AW$22,MONTH($D239),"")</f>
        <v/>
      </c>
      <c r="AX239" s="86" t="str">
        <f>+IF($AG239=AX$22,MONTH($D239),"")</f>
        <v/>
      </c>
      <c r="AY239" s="89"/>
      <c r="AZ239" s="89"/>
      <c r="BA239" s="89"/>
      <c r="BB239" s="89"/>
      <c r="BC239" s="89"/>
      <c r="BD239" s="89"/>
      <c r="BE239" s="89"/>
      <c r="BF239" s="89"/>
      <c r="BG239" s="89"/>
      <c r="BH239" s="89"/>
      <c r="BI239" s="89"/>
      <c r="BJ239" s="89"/>
      <c r="BK239" s="89"/>
      <c r="BL239" s="89"/>
      <c r="BM239" s="89"/>
      <c r="BN239" s="89"/>
      <c r="BO239" s="89"/>
      <c r="BP239" s="89"/>
    </row>
    <row r="240" spans="1:68" s="56" customFormat="1" ht="46.5" hidden="1" customHeight="1">
      <c r="A240" s="204" t="str">
        <f>+IFERROR(VALUE(MID(AB240,4,4)),"")</f>
        <v/>
      </c>
      <c r="B240" s="204">
        <f>VALUE(RIGHT(C240,LEN(C240)-2))</f>
        <v>2482</v>
      </c>
      <c r="C240" s="74" t="s">
        <v>1079</v>
      </c>
      <c r="D240" s="75">
        <v>45888</v>
      </c>
      <c r="E240" s="68" t="s">
        <v>53</v>
      </c>
      <c r="F240" s="68" t="s">
        <v>252</v>
      </c>
      <c r="G240" s="68" t="s">
        <v>210</v>
      </c>
      <c r="H240" s="304" t="s">
        <v>210</v>
      </c>
      <c r="I240" s="69" t="s">
        <v>1080</v>
      </c>
      <c r="J240" s="69"/>
      <c r="K240" s="68" t="s">
        <v>607</v>
      </c>
      <c r="L240" s="69" t="s">
        <v>123</v>
      </c>
      <c r="M240" s="71" t="s">
        <v>141</v>
      </c>
      <c r="N240" s="69" t="e" vm="1">
        <v>#VALUE!</v>
      </c>
      <c r="O240" s="84">
        <v>45922</v>
      </c>
      <c r="P240" s="69" t="s">
        <v>213</v>
      </c>
      <c r="Q240" s="69" t="s">
        <v>220</v>
      </c>
      <c r="R240" s="69"/>
      <c r="S240" s="146"/>
      <c r="T240" s="68" t="s">
        <v>155</v>
      </c>
      <c r="U240" s="87"/>
      <c r="V240" s="183">
        <v>45890</v>
      </c>
      <c r="W240" s="73"/>
      <c r="X240" s="73"/>
      <c r="Y240" s="83" t="str">
        <f>IF(SUM(W240:W240)&gt;0,X240/SUM(W240:W240)*1000000,"N/A")</f>
        <v>N/A</v>
      </c>
      <c r="Z240" s="80"/>
      <c r="AA240" s="80"/>
      <c r="AB240" s="150"/>
      <c r="AC240" s="75"/>
      <c r="AD240" s="332"/>
      <c r="AE240" s="68"/>
      <c r="AF240" s="73"/>
      <c r="AG240" s="182">
        <f>YEAR(V240)</f>
        <v>2025</v>
      </c>
      <c r="AH240" s="86" t="str">
        <f>+IF(AG240=$AH$22,MONTH(V240),"")</f>
        <v/>
      </c>
      <c r="AI240" s="86">
        <f>+IF(AG240=$AI$22,MONTH(V240),"")</f>
        <v>8</v>
      </c>
      <c r="AJ240" s="86" t="str">
        <f>+IF(AG240=$AJ$22,MONTH(V240),"")</f>
        <v/>
      </c>
      <c r="AK240" s="86" t="str">
        <f>+IF(AG240=$AK$22,MONTH(V240),"")</f>
        <v/>
      </c>
      <c r="AL240" s="86" t="str">
        <f>+IF(AG240=$AL$22,MONTH(V240),"")</f>
        <v/>
      </c>
      <c r="AM240" s="86" t="str">
        <f>+IF($AG240=$AM$22,MONTH($D240),"")</f>
        <v/>
      </c>
      <c r="AN240" s="89" t="str">
        <f>+IF($AG240=AN$22,MONTH($D240),"")</f>
        <v/>
      </c>
      <c r="AO240" s="184" t="str">
        <f>+IF($AG240=AO$22,MONTH($D240),"")</f>
        <v/>
      </c>
      <c r="AP240" s="184" t="str">
        <f>+IF($AG240=AP$22,MONTH($D240),"")</f>
        <v/>
      </c>
      <c r="AQ240" s="184" t="str">
        <f>+IF($AG240=AQ$22,MONTH($D240),"")</f>
        <v/>
      </c>
      <c r="AR240" s="184" t="str">
        <f>+IF($AG240=AR$22,MONTH($D240),"")</f>
        <v/>
      </c>
      <c r="AS240" s="184" t="str">
        <f>+IF($AG240=AS$22,MONTH($D240),"")</f>
        <v/>
      </c>
      <c r="AT240" s="86" t="str">
        <f>+IF($AG240=AT$22,MONTH($D240),"")</f>
        <v/>
      </c>
      <c r="AU240" s="86" t="str">
        <f>+IF($AG240=AU$22,MONTH($D240),"")</f>
        <v/>
      </c>
      <c r="AV240" s="86" t="str">
        <f>+IF($AG240=AV$22,MONTH($D240),"")</f>
        <v/>
      </c>
      <c r="AW240" s="86" t="str">
        <f>+IF($AG240=AW$22,MONTH($D240),"")</f>
        <v/>
      </c>
      <c r="AX240" s="86" t="str">
        <f>+IF($AG240=AX$22,MONTH($D240),"")</f>
        <v/>
      </c>
      <c r="AY240" s="89"/>
      <c r="AZ240" s="89"/>
      <c r="BA240" s="89"/>
      <c r="BB240" s="89"/>
      <c r="BC240" s="89"/>
      <c r="BD240" s="89"/>
      <c r="BE240" s="89"/>
      <c r="BF240" s="89"/>
      <c r="BG240" s="89"/>
      <c r="BH240" s="89"/>
      <c r="BI240" s="89"/>
      <c r="BJ240" s="89"/>
      <c r="BK240" s="89"/>
      <c r="BL240" s="89"/>
      <c r="BM240" s="89"/>
      <c r="BN240" s="89"/>
      <c r="BO240" s="89"/>
      <c r="BP240" s="89"/>
    </row>
    <row r="241" spans="1:68" s="381" customFormat="1" ht="45.75" hidden="1" customHeight="1">
      <c r="A241" s="204">
        <f>+IFERROR(VALUE(MID(AB241,4,4)),"")</f>
        <v>399</v>
      </c>
      <c r="B241" s="204">
        <f>VALUE(RIGHT(C241,LEN(C241)-2))</f>
        <v>2481</v>
      </c>
      <c r="C241" s="74" t="s">
        <v>1081</v>
      </c>
      <c r="D241" s="75">
        <v>45882</v>
      </c>
      <c r="E241" s="70" t="s">
        <v>473</v>
      </c>
      <c r="F241" s="70" t="s">
        <v>473</v>
      </c>
      <c r="G241" s="68" t="s">
        <v>1040</v>
      </c>
      <c r="H241" s="307" t="s">
        <v>1041</v>
      </c>
      <c r="I241" s="69" t="s">
        <v>1042</v>
      </c>
      <c r="J241" s="69"/>
      <c r="K241" s="68" t="s">
        <v>18</v>
      </c>
      <c r="L241" s="69" t="s">
        <v>129</v>
      </c>
      <c r="M241" s="71" t="s">
        <v>141</v>
      </c>
      <c r="N241" s="69" t="e" vm="1">
        <v>#VALUE!</v>
      </c>
      <c r="O241" s="164">
        <v>45887</v>
      </c>
      <c r="P241" s="72" t="s">
        <v>377</v>
      </c>
      <c r="Q241" s="72" t="s">
        <v>316</v>
      </c>
      <c r="R241" s="162"/>
      <c r="S241" s="146"/>
      <c r="T241" s="68" t="s">
        <v>168</v>
      </c>
      <c r="U241" s="87"/>
      <c r="V241" s="183">
        <v>45895</v>
      </c>
      <c r="W241" s="73"/>
      <c r="X241" s="73"/>
      <c r="Y241" s="83" t="str">
        <f>IF(SUM(W241:W241)&gt;0,X241/SUM(W241:W241)*1000000,"N/A")</f>
        <v>N/A</v>
      </c>
      <c r="Z241" s="183"/>
      <c r="AA241" s="183"/>
      <c r="AB241" s="73" t="s">
        <v>1082</v>
      </c>
      <c r="AC241" s="153"/>
      <c r="AD241" s="331"/>
      <c r="AE241" s="57"/>
      <c r="AF241" s="88"/>
      <c r="AG241" s="182">
        <f>YEAR(V241)</f>
        <v>2025</v>
      </c>
      <c r="AH241" s="86" t="str">
        <f>+IF(AG241=$AH$22,MONTH(V241),"")</f>
        <v/>
      </c>
      <c r="AI241" s="86">
        <f>+IF(AG241=$AI$22,MONTH(V241),"")</f>
        <v>8</v>
      </c>
      <c r="AJ241" s="86" t="str">
        <f>+IF(AG241=$AJ$22,MONTH(V241),"")</f>
        <v/>
      </c>
      <c r="AK241" s="86" t="str">
        <f>+IF(AG241=$AK$22,MONTH(V241),"")</f>
        <v/>
      </c>
      <c r="AL241" s="86"/>
      <c r="AM241" s="89"/>
      <c r="AN241" s="89"/>
      <c r="AO241" s="89"/>
      <c r="AP241" s="89"/>
      <c r="AQ241" s="89"/>
      <c r="AR241" s="89"/>
      <c r="AS241" s="89"/>
      <c r="AT241" s="89"/>
      <c r="AU241" s="89"/>
      <c r="AV241" s="89"/>
      <c r="AW241" s="86" t="str">
        <f>+IF($AG241=AW$22,MONTH($D241),"")</f>
        <v/>
      </c>
      <c r="AX241" s="86" t="str">
        <f>+IF($AG241=AX$22,MONTH($D241),"")</f>
        <v/>
      </c>
      <c r="AY241" s="89"/>
      <c r="AZ241" s="89"/>
      <c r="BA241" s="89"/>
      <c r="BB241" s="89"/>
      <c r="BC241" s="89"/>
      <c r="BD241" s="89"/>
      <c r="BE241" s="89"/>
      <c r="BF241" s="89"/>
      <c r="BG241" s="89"/>
      <c r="BH241" s="89"/>
      <c r="BI241" s="89"/>
      <c r="BJ241" s="89"/>
      <c r="BK241" s="89"/>
      <c r="BL241" s="89"/>
      <c r="BM241" s="89"/>
      <c r="BN241" s="89"/>
      <c r="BO241" s="89"/>
      <c r="BP241" s="89"/>
    </row>
    <row r="242" spans="1:68" s="56" customFormat="1" ht="51" hidden="1" customHeight="1">
      <c r="A242" s="204">
        <f>+IFERROR(VALUE(MID(AB242,4,4)),"")</f>
        <v>399</v>
      </c>
      <c r="B242" s="204">
        <f>VALUE(RIGHT(C242,LEN(C242)-2))</f>
        <v>2480</v>
      </c>
      <c r="C242" s="74" t="s">
        <v>1083</v>
      </c>
      <c r="D242" s="75">
        <v>45888</v>
      </c>
      <c r="E242" s="70" t="s">
        <v>473</v>
      </c>
      <c r="F242" s="70" t="s">
        <v>473</v>
      </c>
      <c r="G242" s="68" t="s">
        <v>1040</v>
      </c>
      <c r="H242" s="307" t="s">
        <v>1041</v>
      </c>
      <c r="I242" s="69" t="s">
        <v>1084</v>
      </c>
      <c r="J242" s="69"/>
      <c r="K242" s="68" t="s">
        <v>13</v>
      </c>
      <c r="L242" s="69" t="s">
        <v>129</v>
      </c>
      <c r="M242" s="71" t="s">
        <v>141</v>
      </c>
      <c r="N242" s="69" t="e" vm="1">
        <v>#VALUE!</v>
      </c>
      <c r="O242" s="164">
        <v>45890</v>
      </c>
      <c r="P242" s="72" t="s">
        <v>377</v>
      </c>
      <c r="Q242" s="72" t="s">
        <v>316</v>
      </c>
      <c r="R242" s="162"/>
      <c r="S242" s="146"/>
      <c r="T242" s="68" t="s">
        <v>165</v>
      </c>
      <c r="U242" s="87"/>
      <c r="V242" s="183">
        <v>45955</v>
      </c>
      <c r="W242" s="73">
        <v>3613</v>
      </c>
      <c r="X242" s="73">
        <v>151</v>
      </c>
      <c r="Y242" s="83">
        <f>IF(SUM(W242:W242)&gt;0,X242/SUM(W242:W242)*1000000,"N/A")</f>
        <v>41793.5233877664</v>
      </c>
      <c r="Z242" s="183"/>
      <c r="AA242" s="183"/>
      <c r="AB242" s="73" t="s">
        <v>1085</v>
      </c>
      <c r="AC242" s="153"/>
      <c r="AD242" s="331"/>
      <c r="AE242" s="57"/>
      <c r="AF242" s="88"/>
      <c r="AG242" s="182">
        <f>YEAR(V242)</f>
        <v>2025</v>
      </c>
      <c r="AH242" s="86" t="str">
        <f>+IF(AG242=$AH$22,MONTH(V242),"")</f>
        <v/>
      </c>
      <c r="AI242" s="86">
        <f>+IF(AG242=$AI$22,MONTH(V242),"")</f>
        <v>10</v>
      </c>
      <c r="AJ242" s="86" t="str">
        <f>+IF(AG242=$AJ$22,MONTH(V242),"")</f>
        <v/>
      </c>
      <c r="AK242" s="86" t="str">
        <f>+IF(AG242=$AK$22,MONTH(V242),"")</f>
        <v/>
      </c>
      <c r="AL242" s="86"/>
      <c r="AM242" s="89"/>
      <c r="AN242" s="89"/>
      <c r="AO242" s="89"/>
      <c r="AP242" s="89"/>
      <c r="AQ242" s="89"/>
      <c r="AR242" s="89"/>
      <c r="AS242" s="89"/>
      <c r="AT242" s="89"/>
      <c r="AU242" s="89"/>
      <c r="AV242" s="89"/>
      <c r="AW242" s="86" t="str">
        <f>+IF($AG242=AW$22,MONTH($D242),"")</f>
        <v/>
      </c>
      <c r="AX242" s="86" t="str">
        <f>+IF($AG242=AX$22,MONTH($D242),"")</f>
        <v/>
      </c>
      <c r="AY242" s="89"/>
      <c r="AZ242" s="89"/>
      <c r="BA242" s="89"/>
      <c r="BB242" s="89"/>
      <c r="BC242" s="89"/>
      <c r="BD242" s="89"/>
      <c r="BE242" s="89"/>
      <c r="BF242" s="89"/>
      <c r="BG242" s="89"/>
      <c r="BH242" s="89"/>
      <c r="BI242" s="89"/>
      <c r="BJ242" s="89"/>
      <c r="BK242" s="89"/>
      <c r="BL242" s="89"/>
      <c r="BM242" s="89"/>
      <c r="BN242" s="89"/>
      <c r="BO242" s="89"/>
      <c r="BP242" s="89"/>
    </row>
    <row r="243" spans="1:68" s="56" customFormat="1" ht="51" hidden="1" customHeight="1">
      <c r="A243" s="204" t="str">
        <f>+IFERROR(VALUE(MID(AB243,4,4)),"")</f>
        <v/>
      </c>
      <c r="B243" s="204">
        <f>VALUE(RIGHT(C243,LEN(C243)-2))</f>
        <v>2479</v>
      </c>
      <c r="C243" s="74" t="s">
        <v>1086</v>
      </c>
      <c r="D243" s="75">
        <v>45887</v>
      </c>
      <c r="E243" s="68" t="s">
        <v>53</v>
      </c>
      <c r="F243" s="68" t="s">
        <v>252</v>
      </c>
      <c r="G243" s="68" t="s">
        <v>210</v>
      </c>
      <c r="H243" s="304" t="s">
        <v>210</v>
      </c>
      <c r="I243" s="69" t="s">
        <v>1087</v>
      </c>
      <c r="J243" s="69"/>
      <c r="K243" s="68" t="s">
        <v>607</v>
      </c>
      <c r="L243" s="69" t="s">
        <v>123</v>
      </c>
      <c r="M243" s="71" t="s">
        <v>141</v>
      </c>
      <c r="N243" s="69" t="e" vm="1">
        <v>#VALUE!</v>
      </c>
      <c r="O243" s="84">
        <v>45922</v>
      </c>
      <c r="P243" s="69" t="s">
        <v>213</v>
      </c>
      <c r="Q243" s="69" t="s">
        <v>220</v>
      </c>
      <c r="R243" s="69"/>
      <c r="S243" s="146"/>
      <c r="T243" s="68" t="s">
        <v>155</v>
      </c>
      <c r="U243" s="87"/>
      <c r="V243" s="183">
        <v>45887</v>
      </c>
      <c r="W243" s="73"/>
      <c r="X243" s="73"/>
      <c r="Y243" s="83" t="str">
        <f>IF(SUM(W243:W243)&gt;0,X243/SUM(W243:W243)*1000000,"N/A")</f>
        <v>N/A</v>
      </c>
      <c r="Z243" s="80"/>
      <c r="AA243" s="80"/>
      <c r="AB243" s="150"/>
      <c r="AC243" s="75"/>
      <c r="AD243" s="332"/>
      <c r="AE243" s="68"/>
      <c r="AF243" s="73"/>
      <c r="AG243" s="182">
        <f>YEAR(V243)</f>
        <v>2025</v>
      </c>
      <c r="AH243" s="86" t="str">
        <f>+IF(AG243=$AH$22,MONTH(V243),"")</f>
        <v/>
      </c>
      <c r="AI243" s="86">
        <f>+IF(AG243=$AI$22,MONTH(V243),"")</f>
        <v>8</v>
      </c>
      <c r="AJ243" s="86" t="str">
        <f>+IF(AG243=$AJ$22,MONTH(V243),"")</f>
        <v/>
      </c>
      <c r="AK243" s="86" t="str">
        <f>+IF(AG243=$AK$22,MONTH(V243),"")</f>
        <v/>
      </c>
      <c r="AL243" s="86" t="str">
        <f>+IF(AG243=$AL$22,MONTH(V243),"")</f>
        <v/>
      </c>
      <c r="AM243" s="86" t="str">
        <f>+IF($AG243=$AM$22,MONTH($D243),"")</f>
        <v/>
      </c>
      <c r="AN243" s="89" t="str">
        <f>+IF($AG243=AN$22,MONTH($D243),"")</f>
        <v/>
      </c>
      <c r="AO243" s="184" t="str">
        <f>+IF($AG243=AO$22,MONTH($D243),"")</f>
        <v/>
      </c>
      <c r="AP243" s="184" t="str">
        <f>+IF($AG243=AP$22,MONTH($D243),"")</f>
        <v/>
      </c>
      <c r="AQ243" s="184" t="str">
        <f>+IF($AG243=AQ$22,MONTH($D243),"")</f>
        <v/>
      </c>
      <c r="AR243" s="184" t="str">
        <f>+IF($AG243=AR$22,MONTH($D243),"")</f>
        <v/>
      </c>
      <c r="AS243" s="184" t="str">
        <f>+IF($AG243=AS$22,MONTH($D243),"")</f>
        <v/>
      </c>
      <c r="AT243" s="86" t="str">
        <f>+IF($AG243=AT$22,MONTH($D243),"")</f>
        <v/>
      </c>
      <c r="AU243" s="86" t="str">
        <f>+IF($AG243=AU$22,MONTH($D243),"")</f>
        <v/>
      </c>
      <c r="AV243" s="86" t="str">
        <f>+IF($AG243=AV$22,MONTH($D243),"")</f>
        <v/>
      </c>
      <c r="AW243" s="86" t="str">
        <f>+IF($AG243=AW$22,MONTH($D243),"")</f>
        <v/>
      </c>
      <c r="AX243" s="86" t="str">
        <f>+IF($AG243=AX$22,MONTH($D243),"")</f>
        <v/>
      </c>
      <c r="AY243" s="89"/>
      <c r="AZ243" s="89"/>
      <c r="BA243" s="89"/>
      <c r="BB243" s="89"/>
      <c r="BC243" s="89"/>
      <c r="BD243" s="89"/>
      <c r="BE243" s="89"/>
      <c r="BF243" s="89"/>
      <c r="BG243" s="89"/>
      <c r="BH243" s="89"/>
      <c r="BI243" s="89"/>
      <c r="BJ243" s="89"/>
      <c r="BK243" s="89"/>
      <c r="BL243" s="89"/>
      <c r="BM243" s="89"/>
      <c r="BN243" s="89"/>
      <c r="BO243" s="89"/>
      <c r="BP243" s="89"/>
    </row>
    <row r="244" spans="1:68" s="381" customFormat="1" ht="45.75" hidden="1" customHeight="1">
      <c r="A244" s="204">
        <f>+IFERROR(VALUE(MID(AB244,4,4)),"")</f>
        <v>451</v>
      </c>
      <c r="B244" s="204">
        <f>VALUE(RIGHT(C244,LEN(C244)-2))</f>
        <v>2478</v>
      </c>
      <c r="C244" s="74" t="s">
        <v>1088</v>
      </c>
      <c r="D244" s="75">
        <v>45887</v>
      </c>
      <c r="E244" s="70" t="s">
        <v>394</v>
      </c>
      <c r="F244" s="70" t="s">
        <v>394</v>
      </c>
      <c r="G244" s="68" t="s">
        <v>842</v>
      </c>
      <c r="H244" s="307" t="s">
        <v>843</v>
      </c>
      <c r="I244" s="69" t="s">
        <v>1089</v>
      </c>
      <c r="J244" s="69"/>
      <c r="K244" s="68" t="s">
        <v>9</v>
      </c>
      <c r="L244" s="69" t="s">
        <v>120</v>
      </c>
      <c r="M244" s="71" t="s">
        <v>141</v>
      </c>
      <c r="N244" s="69" t="e" vm="1">
        <v>#VALUE!</v>
      </c>
      <c r="O244" s="164">
        <v>45888</v>
      </c>
      <c r="P244" s="72" t="s">
        <v>454</v>
      </c>
      <c r="Q244" s="72" t="s">
        <v>316</v>
      </c>
      <c r="R244" s="162"/>
      <c r="S244" s="146"/>
      <c r="T244" s="68" t="s">
        <v>3</v>
      </c>
      <c r="U244" s="87"/>
      <c r="V244" s="183">
        <v>45890</v>
      </c>
      <c r="W244" s="73">
        <v>242</v>
      </c>
      <c r="X244" s="73">
        <v>12.98</v>
      </c>
      <c r="Y244" s="83">
        <f>IF(SUM(W244:W244)&gt;0,X244/SUM(W244:W244)*1000000,"N/A")</f>
        <v>53636.363636363632</v>
      </c>
      <c r="Z244" s="183"/>
      <c r="AA244" s="183"/>
      <c r="AB244" s="73" t="s">
        <v>1090</v>
      </c>
      <c r="AC244" s="153"/>
      <c r="AD244" s="331"/>
      <c r="AE244" s="57"/>
      <c r="AF244" s="88"/>
      <c r="AG244" s="182">
        <f>YEAR(V244)</f>
        <v>2025</v>
      </c>
      <c r="AH244" s="86" t="str">
        <f>+IF(AG244=$AH$22,MONTH(V244),"")</f>
        <v/>
      </c>
      <c r="AI244" s="86">
        <f>+IF(AG244=$AI$22,MONTH(V244),"")</f>
        <v>8</v>
      </c>
      <c r="AJ244" s="86" t="str">
        <f>+IF(AG244=$AJ$22,MONTH(V244),"")</f>
        <v/>
      </c>
      <c r="AK244" s="86" t="str">
        <f>+IF(AG244=$AK$22,MONTH(V244),"")</f>
        <v/>
      </c>
      <c r="AL244" s="86"/>
      <c r="AM244" s="89"/>
      <c r="AN244" s="89"/>
      <c r="AO244" s="89"/>
      <c r="AP244" s="89"/>
      <c r="AQ244" s="89"/>
      <c r="AR244" s="89"/>
      <c r="AS244" s="89"/>
      <c r="AT244" s="89"/>
      <c r="AU244" s="89"/>
      <c r="AV244" s="89"/>
      <c r="AW244" s="86" t="str">
        <f>+IF($AG244=AW$22,MONTH($D244),"")</f>
        <v/>
      </c>
      <c r="AX244" s="86" t="str">
        <f>+IF($AG244=AX$22,MONTH($D244),"")</f>
        <v/>
      </c>
      <c r="AY244" s="89"/>
      <c r="AZ244" s="89"/>
      <c r="BA244" s="89"/>
      <c r="BB244" s="89"/>
      <c r="BC244" s="89"/>
      <c r="BD244" s="89"/>
      <c r="BE244" s="89"/>
      <c r="BF244" s="89"/>
      <c r="BG244" s="89"/>
      <c r="BH244" s="89"/>
      <c r="BI244" s="89"/>
      <c r="BJ244" s="89"/>
      <c r="BK244" s="89"/>
      <c r="BL244" s="89"/>
      <c r="BM244" s="89"/>
      <c r="BN244" s="89"/>
      <c r="BO244" s="89"/>
      <c r="BP244" s="89"/>
    </row>
    <row r="245" spans="1:68" s="56" customFormat="1" ht="51" hidden="1" customHeight="1">
      <c r="A245" s="204" t="str">
        <f>+IFERROR(VALUE(MID(AB245,4,4)),"")</f>
        <v/>
      </c>
      <c r="B245" s="204">
        <f>VALUE(RIGHT(C245,LEN(C245)-2))</f>
        <v>2477</v>
      </c>
      <c r="C245" s="74" t="s">
        <v>1091</v>
      </c>
      <c r="D245" s="75">
        <v>45887</v>
      </c>
      <c r="E245" s="70" t="s">
        <v>479</v>
      </c>
      <c r="F245" s="70" t="s">
        <v>479</v>
      </c>
      <c r="G245" s="68" t="s">
        <v>1061</v>
      </c>
      <c r="H245" s="307" t="s">
        <v>1062</v>
      </c>
      <c r="I245" s="162" t="s">
        <v>1092</v>
      </c>
      <c r="J245" s="162"/>
      <c r="K245" s="68" t="s">
        <v>13</v>
      </c>
      <c r="L245" s="69" t="s">
        <v>129</v>
      </c>
      <c r="M245" s="71" t="s">
        <v>113</v>
      </c>
      <c r="N245" s="69" t="e" vm="2">
        <v>#VALUE!</v>
      </c>
      <c r="O245" s="84">
        <v>45894</v>
      </c>
      <c r="P245" s="82" t="s">
        <v>294</v>
      </c>
      <c r="Q245" s="72" t="s">
        <v>229</v>
      </c>
      <c r="R245" s="162"/>
      <c r="S245" s="146"/>
      <c r="T245" s="68" t="s">
        <v>165</v>
      </c>
      <c r="U245" s="87"/>
      <c r="V245" s="183">
        <v>46066</v>
      </c>
      <c r="W245" s="73">
        <v>603</v>
      </c>
      <c r="X245" s="73">
        <v>23.9</v>
      </c>
      <c r="Y245" s="83">
        <f>IF(SUM(W245:W245)&gt;0,X245/SUM(W245:W245)*1000000,"N/A")</f>
        <v>39635.157545605303</v>
      </c>
      <c r="Z245" s="183"/>
      <c r="AA245" s="183"/>
      <c r="AB245" s="73"/>
      <c r="AC245" s="153"/>
      <c r="AD245" s="331"/>
      <c r="AE245" s="57"/>
      <c r="AF245" s="88"/>
      <c r="AG245" s="182">
        <f>YEAR(V245)</f>
        <v>2026</v>
      </c>
      <c r="AH245" s="86">
        <f>+IF(AG245=$AH$22,MONTH(V245),"")</f>
        <v>2</v>
      </c>
      <c r="AI245" s="86" t="str">
        <f>+IF(AG245=$AI$22,MONTH(V245),"")</f>
        <v/>
      </c>
      <c r="AJ245" s="86" t="str">
        <f>+IF(AG245=$AJ$22,MONTH(V245),"")</f>
        <v/>
      </c>
      <c r="AK245" s="86" t="str">
        <f>+IF(AG245=$AK$22,MONTH(V245),"")</f>
        <v/>
      </c>
      <c r="AL245" s="86"/>
      <c r="AM245" s="89"/>
      <c r="AN245" s="89"/>
      <c r="AO245" s="89"/>
      <c r="AP245" s="89"/>
      <c r="AQ245" s="89"/>
      <c r="AR245" s="89"/>
      <c r="AS245" s="89"/>
      <c r="AT245" s="89"/>
      <c r="AU245" s="89"/>
      <c r="AV245" s="89"/>
      <c r="AW245" s="86" t="str">
        <f>+IF($AG245=AW$22,MONTH($D245),"")</f>
        <v/>
      </c>
      <c r="AX245" s="86" t="str">
        <f>+IF($AG245=AX$22,MONTH($D245),"")</f>
        <v/>
      </c>
      <c r="AY245" s="89"/>
      <c r="AZ245" s="89"/>
      <c r="BA245" s="89"/>
      <c r="BB245" s="89"/>
      <c r="BC245" s="89"/>
      <c r="BD245" s="89"/>
      <c r="BE245" s="89"/>
      <c r="BF245" s="89"/>
      <c r="BG245" s="89"/>
      <c r="BH245" s="89"/>
      <c r="BI245" s="89"/>
      <c r="BJ245" s="89"/>
      <c r="BK245" s="89"/>
      <c r="BL245" s="89"/>
      <c r="BM245" s="89"/>
      <c r="BN245" s="89"/>
      <c r="BO245" s="89"/>
      <c r="BP245" s="89"/>
    </row>
    <row r="246" spans="1:68" s="56" customFormat="1" ht="33.75" hidden="1" customHeight="1">
      <c r="A246" s="204" t="str">
        <f>+IFERROR(VALUE(MID(AB246,4,4)),"")</f>
        <v/>
      </c>
      <c r="B246" s="204">
        <f>VALUE(RIGHT(C246,LEN(C246)-2))</f>
        <v>2476</v>
      </c>
      <c r="C246" s="74" t="s">
        <v>1093</v>
      </c>
      <c r="D246" s="75">
        <v>45882</v>
      </c>
      <c r="E246" s="70" t="s">
        <v>479</v>
      </c>
      <c r="F246" s="70" t="s">
        <v>479</v>
      </c>
      <c r="G246" s="68" t="s">
        <v>1094</v>
      </c>
      <c r="H246" s="307" t="s">
        <v>1095</v>
      </c>
      <c r="I246" s="162" t="s">
        <v>1096</v>
      </c>
      <c r="J246" s="162"/>
      <c r="K246" s="68" t="s">
        <v>798</v>
      </c>
      <c r="L246" s="69" t="s">
        <v>129</v>
      </c>
      <c r="M246" s="71" t="s">
        <v>113</v>
      </c>
      <c r="N246" s="69" t="e" vm="2">
        <v>#VALUE!</v>
      </c>
      <c r="O246" s="84">
        <v>45894</v>
      </c>
      <c r="P246" s="82" t="s">
        <v>294</v>
      </c>
      <c r="Q246" s="72" t="s">
        <v>1097</v>
      </c>
      <c r="R246" s="162"/>
      <c r="S246" s="146"/>
      <c r="T246" s="68" t="s">
        <v>165</v>
      </c>
      <c r="U246" s="87"/>
      <c r="V246" s="183">
        <v>45664</v>
      </c>
      <c r="W246" s="73">
        <v>1642</v>
      </c>
      <c r="X246" s="73">
        <v>58.645000000000003</v>
      </c>
      <c r="Y246" s="83">
        <f>IF(SUM(W246:W246)&gt;0,X246/SUM(W246:W246)*1000000,"N/A")</f>
        <v>35715.590742996348</v>
      </c>
      <c r="Z246" s="183"/>
      <c r="AA246" s="183"/>
      <c r="AB246" s="73"/>
      <c r="AC246" s="153"/>
      <c r="AD246" s="331"/>
      <c r="AE246" s="57"/>
      <c r="AF246" s="88"/>
      <c r="AG246" s="182">
        <f>YEAR(V246)</f>
        <v>2025</v>
      </c>
      <c r="AH246" s="86" t="str">
        <f>+IF(AG246=$AH$22,MONTH(V246),"")</f>
        <v/>
      </c>
      <c r="AI246" s="86">
        <f>+IF(AG246=$AI$22,MONTH(V246),"")</f>
        <v>1</v>
      </c>
      <c r="AJ246" s="86" t="str">
        <f>+IF(AG246=$AJ$22,MONTH(V246),"")</f>
        <v/>
      </c>
      <c r="AK246" s="86" t="str">
        <f>+IF(AG246=$AK$22,MONTH(V246),"")</f>
        <v/>
      </c>
      <c r="AL246" s="86"/>
      <c r="AM246" s="89"/>
      <c r="AN246" s="89"/>
      <c r="AO246" s="89"/>
      <c r="AP246" s="89"/>
      <c r="AQ246" s="89"/>
      <c r="AR246" s="89"/>
      <c r="AS246" s="89"/>
      <c r="AT246" s="89"/>
      <c r="AU246" s="89"/>
      <c r="AV246" s="89"/>
      <c r="AW246" s="86" t="str">
        <f>+IF($AG246=AW$22,MONTH($D246),"")</f>
        <v/>
      </c>
      <c r="AX246" s="86" t="str">
        <f>+IF($AG246=AX$22,MONTH($D246),"")</f>
        <v/>
      </c>
      <c r="AY246" s="89"/>
      <c r="AZ246" s="89"/>
      <c r="BA246" s="89"/>
      <c r="BB246" s="89"/>
      <c r="BC246" s="89"/>
      <c r="BD246" s="89"/>
      <c r="BE246" s="89"/>
      <c r="BF246" s="89"/>
      <c r="BG246" s="89"/>
      <c r="BH246" s="89"/>
      <c r="BI246" s="89"/>
      <c r="BJ246" s="89"/>
      <c r="BK246" s="89"/>
      <c r="BL246" s="89"/>
      <c r="BM246" s="89"/>
      <c r="BN246" s="89"/>
      <c r="BO246" s="89"/>
      <c r="BP246" s="89"/>
    </row>
    <row r="247" spans="1:68" s="56" customFormat="1" ht="33.75" hidden="1" customHeight="1">
      <c r="A247" s="204" t="str">
        <f>+IFERROR(VALUE(MID(AB247,4,4)),"")</f>
        <v/>
      </c>
      <c r="B247" s="204">
        <f>VALUE(RIGHT(C247,LEN(C247)-2))</f>
        <v>2475</v>
      </c>
      <c r="C247" s="74" t="s">
        <v>1098</v>
      </c>
      <c r="D247" s="75">
        <v>45881</v>
      </c>
      <c r="E247" s="70" t="s">
        <v>1099</v>
      </c>
      <c r="F247" s="70" t="s">
        <v>1099</v>
      </c>
      <c r="G247" s="68" t="s">
        <v>1100</v>
      </c>
      <c r="H247" s="304" t="s">
        <v>1101</v>
      </c>
      <c r="I247" s="162" t="s">
        <v>1102</v>
      </c>
      <c r="J247" s="162"/>
      <c r="K247" s="68" t="s">
        <v>25</v>
      </c>
      <c r="L247" s="69" t="s">
        <v>123</v>
      </c>
      <c r="M247" s="71" t="s">
        <v>113</v>
      </c>
      <c r="N247" s="69" t="e" vm="2">
        <v>#VALUE!</v>
      </c>
      <c r="O247" s="84">
        <v>45883</v>
      </c>
      <c r="P247" s="82" t="s">
        <v>294</v>
      </c>
      <c r="Q247" s="72" t="s">
        <v>316</v>
      </c>
      <c r="R247" s="162"/>
      <c r="S247" s="146"/>
      <c r="T247" s="68" t="s">
        <v>165</v>
      </c>
      <c r="U247" s="87"/>
      <c r="V247" s="183">
        <v>46031</v>
      </c>
      <c r="W247" s="73">
        <v>4752</v>
      </c>
      <c r="X247" s="73">
        <v>290.08999999999997</v>
      </c>
      <c r="Y247" s="83">
        <f>IF(SUM(W247:W247)&gt;0,X247/SUM(W247:W247)*1000000,"N/A")</f>
        <v>61045.875420875418</v>
      </c>
      <c r="Z247" s="183"/>
      <c r="AA247" s="183"/>
      <c r="AB247" s="73"/>
      <c r="AC247" s="153"/>
      <c r="AD247" s="331"/>
      <c r="AE247" s="57"/>
      <c r="AF247" s="88"/>
      <c r="AG247" s="182">
        <f>YEAR(V247)</f>
        <v>2026</v>
      </c>
      <c r="AH247" s="86">
        <f>+IF(AG247=$AH$22,MONTH(V247),"")</f>
        <v>1</v>
      </c>
      <c r="AI247" s="86" t="str">
        <f>+IF(AG247=$AI$22,MONTH(V247),"")</f>
        <v/>
      </c>
      <c r="AJ247" s="86" t="str">
        <f>+IF(AG247=$AJ$22,MONTH(V247),"")</f>
        <v/>
      </c>
      <c r="AK247" s="86" t="str">
        <f>+IF(AG247=$AK$22,MONTH(V247),"")</f>
        <v/>
      </c>
      <c r="AL247" s="86"/>
      <c r="AM247" s="89"/>
      <c r="AN247" s="89"/>
      <c r="AO247" s="89"/>
      <c r="AP247" s="89"/>
      <c r="AQ247" s="89"/>
      <c r="AR247" s="89"/>
      <c r="AS247" s="89"/>
      <c r="AT247" s="89"/>
      <c r="AU247" s="89"/>
      <c r="AV247" s="89"/>
      <c r="AW247" s="86" t="str">
        <f>+IF($AG247=AW$22,MONTH($D247),"")</f>
        <v/>
      </c>
      <c r="AX247" s="86" t="str">
        <f>+IF($AG247=AX$22,MONTH($D247),"")</f>
        <v/>
      </c>
      <c r="AY247" s="89"/>
      <c r="AZ247" s="89"/>
      <c r="BA247" s="89"/>
      <c r="BB247" s="89"/>
      <c r="BC247" s="89"/>
      <c r="BD247" s="89"/>
      <c r="BE247" s="89"/>
      <c r="BF247" s="89"/>
      <c r="BG247" s="89"/>
      <c r="BH247" s="89"/>
      <c r="BI247" s="89"/>
      <c r="BJ247" s="89"/>
      <c r="BK247" s="89"/>
      <c r="BL247" s="89"/>
      <c r="BM247" s="89"/>
      <c r="BN247" s="89"/>
      <c r="BO247" s="89"/>
      <c r="BP247" s="89"/>
    </row>
    <row r="248" spans="1:68" s="56" customFormat="1" ht="33.75" hidden="1" customHeight="1">
      <c r="A248" s="204">
        <f>+IFERROR(VALUE(MID(AB248,4,4)),"")</f>
        <v>456</v>
      </c>
      <c r="B248" s="204">
        <f>VALUE(RIGHT(C248,LEN(C248)-2))</f>
        <v>2474</v>
      </c>
      <c r="C248" s="74" t="s">
        <v>1103</v>
      </c>
      <c r="D248" s="75">
        <v>45881</v>
      </c>
      <c r="E248" s="70" t="s">
        <v>353</v>
      </c>
      <c r="F248" s="68" t="s">
        <v>354</v>
      </c>
      <c r="G248" s="68" t="s">
        <v>646</v>
      </c>
      <c r="H248" s="304" t="s">
        <v>647</v>
      </c>
      <c r="I248" s="69" t="s">
        <v>1104</v>
      </c>
      <c r="J248" s="69"/>
      <c r="K248" s="68" t="s">
        <v>12</v>
      </c>
      <c r="L248" s="69" t="s">
        <v>120</v>
      </c>
      <c r="M248" s="71" t="s">
        <v>141</v>
      </c>
      <c r="N248" s="69" t="e" vm="1">
        <v>#VALUE!</v>
      </c>
      <c r="O248" s="84">
        <v>45887</v>
      </c>
      <c r="P248" s="69" t="s">
        <v>666</v>
      </c>
      <c r="Q248" s="69" t="s">
        <v>316</v>
      </c>
      <c r="R248" s="69"/>
      <c r="S248" s="146"/>
      <c r="T248" s="68" t="s">
        <v>3</v>
      </c>
      <c r="U248" s="87"/>
      <c r="V248" s="80">
        <v>45925</v>
      </c>
      <c r="W248" s="73">
        <v>195</v>
      </c>
      <c r="X248" s="73">
        <v>9.81</v>
      </c>
      <c r="Y248" s="83">
        <f>IF(SUM(W248:W248)&gt;0,X248/SUM(W248:W248)*1000000,"N/A")</f>
        <v>50307.692307692312</v>
      </c>
      <c r="Z248" s="80"/>
      <c r="AA248" s="80"/>
      <c r="AB248" s="150" t="s">
        <v>1105</v>
      </c>
      <c r="AC248" s="75"/>
      <c r="AD248" s="332"/>
      <c r="AE248" s="68"/>
      <c r="AF248" s="73"/>
      <c r="AG248" s="182">
        <f>YEAR(V248)</f>
        <v>2025</v>
      </c>
      <c r="AH248" s="86" t="str">
        <f>+IF(AG248=$AH$22,MONTH(V248),"")</f>
        <v/>
      </c>
      <c r="AI248" s="86">
        <f>+IF(AG248=$AI$22,MONTH(V248),"")</f>
        <v>9</v>
      </c>
      <c r="AJ248" s="86" t="str">
        <f>+IF(AG248=$AJ$22,MONTH(V248),"")</f>
        <v/>
      </c>
      <c r="AK248" s="86" t="str">
        <f>+IF(AG248=$AK$22,MONTH(V248),"")</f>
        <v/>
      </c>
      <c r="AL248" s="86" t="str">
        <f>+IF(AG248=$AL$22,MONTH(V248),"")</f>
        <v/>
      </c>
      <c r="AM248" s="86" t="str">
        <f>+IF($AG248=$AM$22,MONTH($D248),"")</f>
        <v/>
      </c>
      <c r="AN248" s="89" t="str">
        <f>+IF($AG248=AN$22,MONTH($D248),"")</f>
        <v/>
      </c>
      <c r="AO248" s="184" t="str">
        <f>+IF($AG248=AO$22,MONTH($D248),"")</f>
        <v/>
      </c>
      <c r="AP248" s="184" t="str">
        <f>+IF($AG248=AP$22,MONTH($D248),"")</f>
        <v/>
      </c>
      <c r="AQ248" s="184" t="str">
        <f>+IF($AG248=AQ$22,MONTH($D248),"")</f>
        <v/>
      </c>
      <c r="AR248" s="184" t="str">
        <f>+IF($AG248=AR$22,MONTH($D248),"")</f>
        <v/>
      </c>
      <c r="AS248" s="184" t="str">
        <f>+IF($AG248=AS$22,MONTH($D248),"")</f>
        <v/>
      </c>
      <c r="AT248" s="86" t="str">
        <f>+IF($AG248=AT$22,MONTH($D248),"")</f>
        <v/>
      </c>
      <c r="AU248" s="86" t="str">
        <f>+IF($AG248=AU$22,MONTH($D248),"")</f>
        <v/>
      </c>
      <c r="AV248" s="86" t="str">
        <f>+IF($AG248=AV$22,MONTH($D248),"")</f>
        <v/>
      </c>
      <c r="AW248" s="86" t="str">
        <f>+IF($AG248=AW$22,MONTH($D248),"")</f>
        <v/>
      </c>
      <c r="AX248" s="86" t="str">
        <f>+IF($AG248=AX$22,MONTH($D248),"")</f>
        <v/>
      </c>
      <c r="AY248" s="89"/>
      <c r="AZ248" s="89"/>
      <c r="BA248" s="89"/>
      <c r="BB248" s="89"/>
      <c r="BC248" s="89"/>
      <c r="BD248" s="89"/>
      <c r="BE248" s="89"/>
      <c r="BF248" s="89"/>
      <c r="BG248" s="89"/>
      <c r="BH248" s="89"/>
      <c r="BI248" s="89"/>
      <c r="BJ248" s="89"/>
      <c r="BK248" s="89"/>
      <c r="BL248" s="89"/>
      <c r="BM248" s="89"/>
      <c r="BN248" s="89"/>
      <c r="BO248" s="89"/>
      <c r="BP248" s="89"/>
    </row>
    <row r="249" spans="1:68" s="381" customFormat="1" ht="45.75" hidden="1" customHeight="1">
      <c r="A249" s="204" t="str">
        <f>+IFERROR(VALUE(MID(AB249,4,4)),"")</f>
        <v/>
      </c>
      <c r="B249" s="204">
        <f>VALUE(RIGHT(C249,LEN(C249)-2))</f>
        <v>2473</v>
      </c>
      <c r="C249" s="74" t="s">
        <v>1106</v>
      </c>
      <c r="D249" s="75">
        <v>45876</v>
      </c>
      <c r="E249" s="68" t="s">
        <v>53</v>
      </c>
      <c r="F249" s="68" t="s">
        <v>252</v>
      </c>
      <c r="G249" s="68" t="s">
        <v>210</v>
      </c>
      <c r="H249" s="304" t="s">
        <v>210</v>
      </c>
      <c r="I249" s="69" t="s">
        <v>1107</v>
      </c>
      <c r="J249" s="69"/>
      <c r="K249" s="68" t="s">
        <v>607</v>
      </c>
      <c r="L249" s="69" t="s">
        <v>123</v>
      </c>
      <c r="M249" s="71" t="s">
        <v>141</v>
      </c>
      <c r="N249" s="69" t="e" vm="1">
        <v>#VALUE!</v>
      </c>
      <c r="O249" s="84">
        <v>45922</v>
      </c>
      <c r="P249" s="69" t="s">
        <v>213</v>
      </c>
      <c r="Q249" s="69" t="s">
        <v>220</v>
      </c>
      <c r="R249" s="69"/>
      <c r="S249" s="146"/>
      <c r="T249" s="68" t="s">
        <v>155</v>
      </c>
      <c r="U249" s="87"/>
      <c r="V249" s="183">
        <v>45876</v>
      </c>
      <c r="W249" s="73"/>
      <c r="X249" s="73"/>
      <c r="Y249" s="83" t="str">
        <f>IF(SUM(W249:W249)&gt;0,X249/SUM(W249:W249)*1000000,"N/A")</f>
        <v>N/A</v>
      </c>
      <c r="Z249" s="80"/>
      <c r="AA249" s="80"/>
      <c r="AB249" s="150"/>
      <c r="AC249" s="75"/>
      <c r="AD249" s="332"/>
      <c r="AE249" s="68"/>
      <c r="AF249" s="73"/>
      <c r="AG249" s="182">
        <f>YEAR(V249)</f>
        <v>2025</v>
      </c>
      <c r="AH249" s="86" t="str">
        <f>+IF(AG249=$AH$22,MONTH(V249),"")</f>
        <v/>
      </c>
      <c r="AI249" s="86">
        <f>+IF(AG249=$AI$22,MONTH(V249),"")</f>
        <v>8</v>
      </c>
      <c r="AJ249" s="86" t="str">
        <f>+IF(AG249=$AJ$22,MONTH(V249),"")</f>
        <v/>
      </c>
      <c r="AK249" s="86" t="str">
        <f>+IF(AG249=$AK$22,MONTH(V249),"")</f>
        <v/>
      </c>
      <c r="AL249" s="86" t="str">
        <f>+IF(AG249=$AL$22,MONTH(V249),"")</f>
        <v/>
      </c>
      <c r="AM249" s="86" t="str">
        <f>+IF($AG249=$AM$22,MONTH($D249),"")</f>
        <v/>
      </c>
      <c r="AN249" s="89" t="str">
        <f>+IF($AG249=AN$22,MONTH($D249),"")</f>
        <v/>
      </c>
      <c r="AO249" s="184" t="str">
        <f>+IF($AG249=AO$22,MONTH($D249),"")</f>
        <v/>
      </c>
      <c r="AP249" s="184" t="str">
        <f>+IF($AG249=AP$22,MONTH($D249),"")</f>
        <v/>
      </c>
      <c r="AQ249" s="184" t="str">
        <f>+IF($AG249=AQ$22,MONTH($D249),"")</f>
        <v/>
      </c>
      <c r="AR249" s="184" t="str">
        <f>+IF($AG249=AR$22,MONTH($D249),"")</f>
        <v/>
      </c>
      <c r="AS249" s="184" t="str">
        <f>+IF($AG249=AS$22,MONTH($D249),"")</f>
        <v/>
      </c>
      <c r="AT249" s="86" t="str">
        <f>+IF($AG249=AT$22,MONTH($D249),"")</f>
        <v/>
      </c>
      <c r="AU249" s="86" t="str">
        <f>+IF($AG249=AU$22,MONTH($D249),"")</f>
        <v/>
      </c>
      <c r="AV249" s="86" t="str">
        <f>+IF($AG249=AV$22,MONTH($D249),"")</f>
        <v/>
      </c>
      <c r="AW249" s="86" t="str">
        <f>+IF($AG249=AW$22,MONTH($D249),"")</f>
        <v/>
      </c>
      <c r="AX249" s="86" t="str">
        <f>+IF($AG249=AX$22,MONTH($D249),"")</f>
        <v/>
      </c>
      <c r="AY249" s="89"/>
      <c r="AZ249" s="89"/>
      <c r="BA249" s="89"/>
      <c r="BB249" s="89"/>
      <c r="BC249" s="89"/>
      <c r="BD249" s="89"/>
      <c r="BE249" s="89"/>
      <c r="BF249" s="89"/>
      <c r="BG249" s="89"/>
      <c r="BH249" s="89"/>
      <c r="BI249" s="89"/>
      <c r="BJ249" s="89"/>
      <c r="BK249" s="89"/>
      <c r="BL249" s="89"/>
      <c r="BM249" s="89"/>
      <c r="BN249" s="89"/>
      <c r="BO249" s="89"/>
      <c r="BP249" s="89"/>
    </row>
    <row r="250" spans="1:68" s="381" customFormat="1" ht="45.75" hidden="1" customHeight="1">
      <c r="A250" s="204">
        <f>+IFERROR(VALUE(MID(AB250,4,4)),"")</f>
        <v>360</v>
      </c>
      <c r="B250" s="204">
        <f>VALUE(RIGHT(C250,LEN(C250)-2))</f>
        <v>2472</v>
      </c>
      <c r="C250" s="74" t="s">
        <v>1108</v>
      </c>
      <c r="D250" s="75">
        <v>45865</v>
      </c>
      <c r="E250" s="70" t="s">
        <v>53</v>
      </c>
      <c r="F250" s="70" t="s">
        <v>630</v>
      </c>
      <c r="G250" s="68" t="s">
        <v>1109</v>
      </c>
      <c r="H250" s="321" t="s">
        <v>210</v>
      </c>
      <c r="I250" s="69" t="s">
        <v>1110</v>
      </c>
      <c r="J250" s="69"/>
      <c r="K250" s="68" t="s">
        <v>14</v>
      </c>
      <c r="L250" s="69" t="s">
        <v>129</v>
      </c>
      <c r="M250" s="71" t="s">
        <v>141</v>
      </c>
      <c r="N250" s="69" t="e" vm="1">
        <v>#VALUE!</v>
      </c>
      <c r="O250" s="164">
        <v>45902</v>
      </c>
      <c r="P250" s="72" t="s">
        <v>258</v>
      </c>
      <c r="Q250" s="72" t="s">
        <v>240</v>
      </c>
      <c r="R250" s="162"/>
      <c r="S250" s="146" t="s">
        <v>1111</v>
      </c>
      <c r="T250" s="68" t="s">
        <v>3</v>
      </c>
      <c r="U250" s="87"/>
      <c r="V250" s="183">
        <v>45959</v>
      </c>
      <c r="W250" s="73">
        <v>1314</v>
      </c>
      <c r="X250" s="73">
        <v>61.683</v>
      </c>
      <c r="Y250" s="83">
        <f>IF(SUM(W250:W250)&gt;0,X250/SUM(W250:W250)*1000000,"N/A")</f>
        <v>46942.922374429225</v>
      </c>
      <c r="Z250" s="183"/>
      <c r="AA250" s="183"/>
      <c r="AB250" s="73" t="s">
        <v>1112</v>
      </c>
      <c r="AC250" s="153"/>
      <c r="AD250" s="330"/>
      <c r="AE250" s="305"/>
      <c r="AF250" s="88"/>
      <c r="AG250" s="182">
        <f>YEAR(V250)</f>
        <v>2025</v>
      </c>
      <c r="AH250" s="86" t="str">
        <f>+IF(AG250=$AH$22,MONTH(V250),"")</f>
        <v/>
      </c>
      <c r="AI250" s="86">
        <f>+IF(AG250=$AI$22,MONTH(V250),"")</f>
        <v>10</v>
      </c>
      <c r="AJ250" s="86" t="str">
        <f>+IF(AG250=$AJ$22,MONTH(V250),"")</f>
        <v/>
      </c>
      <c r="AK250" s="86" t="str">
        <f>+IF(AG250=$AK$22,MONTH(V250),"")</f>
        <v/>
      </c>
      <c r="AL250" s="86"/>
      <c r="AM250" s="89"/>
      <c r="AN250" s="89"/>
      <c r="AO250" s="89"/>
      <c r="AP250" s="89"/>
      <c r="AQ250" s="89"/>
      <c r="AR250" s="89"/>
      <c r="AS250" s="89"/>
      <c r="AT250" s="89"/>
      <c r="AU250" s="89"/>
      <c r="AV250" s="89"/>
      <c r="AW250" s="86" t="str">
        <f>+IF($AG250=AW$22,MONTH($D250),"")</f>
        <v/>
      </c>
      <c r="AX250" s="86" t="str">
        <f>+IF($AG250=AX$22,MONTH($D250),"")</f>
        <v/>
      </c>
      <c r="AY250" s="89"/>
      <c r="AZ250" s="89"/>
      <c r="BA250" s="89"/>
      <c r="BB250" s="89"/>
      <c r="BC250" s="89"/>
      <c r="BD250" s="89"/>
      <c r="BE250" s="89"/>
      <c r="BF250" s="89"/>
      <c r="BG250" s="89"/>
      <c r="BH250" s="89"/>
      <c r="BI250" s="89"/>
      <c r="BJ250" s="89"/>
      <c r="BK250" s="89"/>
      <c r="BL250" s="89"/>
      <c r="BM250" s="89"/>
      <c r="BN250" s="89"/>
      <c r="BO250" s="89"/>
      <c r="BP250" s="89"/>
    </row>
    <row r="251" spans="1:68" s="56" customFormat="1" ht="38.25" hidden="1" customHeight="1">
      <c r="A251" s="204" t="str">
        <f>+IFERROR(VALUE(MID(AB251,4,4)),"")</f>
        <v/>
      </c>
      <c r="B251" s="204">
        <f>VALUE(RIGHT(C251,LEN(C251)-2))</f>
        <v>2471</v>
      </c>
      <c r="C251" s="74" t="s">
        <v>1113</v>
      </c>
      <c r="D251" s="75">
        <v>45874</v>
      </c>
      <c r="E251" s="70" t="s">
        <v>479</v>
      </c>
      <c r="F251" s="70" t="s">
        <v>479</v>
      </c>
      <c r="G251" s="68" t="s">
        <v>1114</v>
      </c>
      <c r="H251" s="282" t="s">
        <v>1115</v>
      </c>
      <c r="I251" s="162" t="s">
        <v>1116</v>
      </c>
      <c r="J251" s="162"/>
      <c r="K251" s="68" t="s">
        <v>1117</v>
      </c>
      <c r="L251" s="69" t="s">
        <v>129</v>
      </c>
      <c r="M251" s="71" t="s">
        <v>113</v>
      </c>
      <c r="N251" s="69" t="e" vm="2">
        <v>#VALUE!</v>
      </c>
      <c r="O251" s="84">
        <v>46002</v>
      </c>
      <c r="P251" s="82" t="s">
        <v>219</v>
      </c>
      <c r="Q251" s="72" t="s">
        <v>220</v>
      </c>
      <c r="R251" s="162"/>
      <c r="S251" s="146"/>
      <c r="T251" s="68" t="s">
        <v>3</v>
      </c>
      <c r="U251" s="87"/>
      <c r="V251" s="183">
        <v>46037</v>
      </c>
      <c r="W251" s="73">
        <v>8333</v>
      </c>
      <c r="X251" s="73">
        <v>253.5</v>
      </c>
      <c r="Y251" s="83">
        <f>IF(SUM(W251:W251)&gt;0,X251/SUM(W251:W251)*1000000,"N/A")</f>
        <v>30421.216848673947</v>
      </c>
      <c r="Z251" s="183"/>
      <c r="AA251" s="183"/>
      <c r="AB251" s="73"/>
      <c r="AC251" s="153"/>
      <c r="AD251" s="331"/>
      <c r="AE251" s="57"/>
      <c r="AF251" s="88"/>
      <c r="AG251" s="182">
        <f>YEAR(V251)</f>
        <v>2026</v>
      </c>
      <c r="AH251" s="86">
        <f>+IF(AG251=$AH$22,MONTH(V251),"")</f>
        <v>1</v>
      </c>
      <c r="AI251" s="86" t="str">
        <f>+IF(AG251=$AI$22,MONTH(V251),"")</f>
        <v/>
      </c>
      <c r="AJ251" s="86" t="str">
        <f>+IF(AG251=$AJ$22,MONTH(V251),"")</f>
        <v/>
      </c>
      <c r="AK251" s="86" t="str">
        <f>+IF(AG251=$AK$22,MONTH(V251),"")</f>
        <v/>
      </c>
      <c r="AL251" s="86"/>
      <c r="AM251" s="89"/>
      <c r="AN251" s="89"/>
      <c r="AO251" s="89"/>
      <c r="AP251" s="89"/>
      <c r="AQ251" s="89"/>
      <c r="AR251" s="89"/>
      <c r="AS251" s="89"/>
      <c r="AT251" s="89"/>
      <c r="AU251" s="89"/>
      <c r="AV251" s="89"/>
      <c r="AW251" s="86" t="str">
        <f>+IF($AG251=AW$22,MONTH($D251),"")</f>
        <v/>
      </c>
      <c r="AX251" s="86" t="str">
        <f>+IF($AG251=AX$22,MONTH($D251),"")</f>
        <v/>
      </c>
      <c r="AY251" s="89"/>
      <c r="AZ251" s="89"/>
      <c r="BA251" s="89"/>
      <c r="BB251" s="89"/>
      <c r="BC251" s="89"/>
      <c r="BD251" s="89"/>
      <c r="BE251" s="89"/>
      <c r="BF251" s="89"/>
      <c r="BG251" s="89"/>
      <c r="BH251" s="89"/>
      <c r="BI251" s="89"/>
      <c r="BJ251" s="89"/>
      <c r="BK251" s="89"/>
      <c r="BL251" s="89"/>
      <c r="BM251" s="89"/>
      <c r="BN251" s="89"/>
      <c r="BO251" s="89"/>
      <c r="BP251" s="89"/>
    </row>
    <row r="252" spans="1:68" s="56" customFormat="1" ht="33.75" hidden="1" customHeight="1">
      <c r="A252" s="204" t="str">
        <f>+IFERROR(VALUE(MID(AB252,4,4)),"")</f>
        <v/>
      </c>
      <c r="B252" s="204">
        <f>VALUE(RIGHT(C252,LEN(C252)-2))</f>
        <v>2470</v>
      </c>
      <c r="C252" s="74" t="s">
        <v>1118</v>
      </c>
      <c r="D252" s="75">
        <v>45874</v>
      </c>
      <c r="E252" s="70" t="s">
        <v>479</v>
      </c>
      <c r="F252" s="70" t="s">
        <v>479</v>
      </c>
      <c r="G252" s="68" t="s">
        <v>1119</v>
      </c>
      <c r="H252" s="282" t="s">
        <v>1115</v>
      </c>
      <c r="I252" s="162" t="s">
        <v>1120</v>
      </c>
      <c r="J252" s="162"/>
      <c r="K252" s="68" t="s">
        <v>30</v>
      </c>
      <c r="L252" s="69" t="s">
        <v>129</v>
      </c>
      <c r="M252" s="71" t="s">
        <v>113</v>
      </c>
      <c r="N252" s="69" t="e" vm="2">
        <v>#VALUE!</v>
      </c>
      <c r="O252" s="84">
        <v>45884</v>
      </c>
      <c r="P252" s="82" t="s">
        <v>1121</v>
      </c>
      <c r="Q252" s="72" t="s">
        <v>220</v>
      </c>
      <c r="R252" s="162"/>
      <c r="S252" s="146"/>
      <c r="T252" s="68" t="s">
        <v>155</v>
      </c>
      <c r="U252" s="87"/>
      <c r="V252" s="183">
        <v>45874</v>
      </c>
      <c r="W252" s="73">
        <v>3140</v>
      </c>
      <c r="X252" s="73">
        <v>99.001999999999995</v>
      </c>
      <c r="Y252" s="83">
        <f>IF(SUM(W252:W252)&gt;0,X252/SUM(W252:W252)*1000000,"N/A")</f>
        <v>31529.299363057326</v>
      </c>
      <c r="Z252" s="183"/>
      <c r="AA252" s="183"/>
      <c r="AB252" s="73"/>
      <c r="AC252" s="153"/>
      <c r="AD252" s="331"/>
      <c r="AE252" s="57"/>
      <c r="AF252" s="88"/>
      <c r="AG252" s="182">
        <f>YEAR(V252)</f>
        <v>2025</v>
      </c>
      <c r="AH252" s="86" t="str">
        <f>+IF(AG252=$AH$22,MONTH(V252),"")</f>
        <v/>
      </c>
      <c r="AI252" s="86">
        <f>+IF(AG252=$AI$22,MONTH(V252),"")</f>
        <v>8</v>
      </c>
      <c r="AJ252" s="86" t="str">
        <f>+IF(AG252=$AJ$22,MONTH(V252),"")</f>
        <v/>
      </c>
      <c r="AK252" s="86" t="str">
        <f>+IF(AG252=$AK$22,MONTH(V252),"")</f>
        <v/>
      </c>
      <c r="AL252" s="86"/>
      <c r="AM252" s="89"/>
      <c r="AN252" s="89"/>
      <c r="AO252" s="89"/>
      <c r="AP252" s="89"/>
      <c r="AQ252" s="89"/>
      <c r="AR252" s="89"/>
      <c r="AS252" s="89"/>
      <c r="AT252" s="89"/>
      <c r="AU252" s="89"/>
      <c r="AV252" s="89"/>
      <c r="AW252" s="86" t="str">
        <f>+IF($AG252=AW$22,MONTH($D252),"")</f>
        <v/>
      </c>
      <c r="AX252" s="86" t="str">
        <f>+IF($AG252=AX$22,MONTH($D252),"")</f>
        <v/>
      </c>
      <c r="AY252" s="89"/>
      <c r="AZ252" s="89"/>
      <c r="BA252" s="89"/>
      <c r="BB252" s="89"/>
      <c r="BC252" s="89"/>
      <c r="BD252" s="89"/>
      <c r="BE252" s="89"/>
      <c r="BF252" s="89"/>
      <c r="BG252" s="89"/>
      <c r="BH252" s="89"/>
      <c r="BI252" s="89"/>
      <c r="BJ252" s="89"/>
      <c r="BK252" s="89"/>
      <c r="BL252" s="89"/>
      <c r="BM252" s="89"/>
      <c r="BN252" s="89"/>
      <c r="BO252" s="89"/>
      <c r="BP252" s="89"/>
    </row>
    <row r="253" spans="1:68" s="56" customFormat="1" ht="41.25" hidden="1" customHeight="1">
      <c r="A253" s="204" t="str">
        <f>+IFERROR(VALUE(MID(AB253,4,4)),"")</f>
        <v/>
      </c>
      <c r="B253" s="204">
        <f>VALUE(RIGHT(C253,LEN(C253)-2))</f>
        <v>2469</v>
      </c>
      <c r="C253" s="74" t="s">
        <v>1122</v>
      </c>
      <c r="D253" s="75">
        <v>45873</v>
      </c>
      <c r="E253" s="70" t="s">
        <v>332</v>
      </c>
      <c r="F253" s="70" t="s">
        <v>332</v>
      </c>
      <c r="G253" s="68" t="s">
        <v>333</v>
      </c>
      <c r="H253" s="282" t="s">
        <v>334</v>
      </c>
      <c r="I253" s="69" t="s">
        <v>1123</v>
      </c>
      <c r="J253" s="69"/>
      <c r="K253" s="68" t="s">
        <v>13</v>
      </c>
      <c r="L253" s="69" t="s">
        <v>129</v>
      </c>
      <c r="M253" s="71" t="s">
        <v>141</v>
      </c>
      <c r="N253" s="69" t="e" vm="1">
        <v>#VALUE!</v>
      </c>
      <c r="O253" s="84">
        <v>45891</v>
      </c>
      <c r="P253" s="72" t="s">
        <v>737</v>
      </c>
      <c r="Q253" s="72" t="s">
        <v>259</v>
      </c>
      <c r="R253" s="162"/>
      <c r="S253" s="146"/>
      <c r="T253" s="68" t="s">
        <v>158</v>
      </c>
      <c r="U253" s="87">
        <v>0.5</v>
      </c>
      <c r="V253" s="80">
        <v>45875</v>
      </c>
      <c r="W253" s="73">
        <v>857</v>
      </c>
      <c r="X253" s="73">
        <f>938*39485/1000000</f>
        <v>37.036929999999998</v>
      </c>
      <c r="Y253" s="83">
        <f>IF(SUM(W253:W253)&gt;0,X253/SUM(W253:W253)*1000000,"N/A")</f>
        <v>43216.954492415403</v>
      </c>
      <c r="Z253" s="80"/>
      <c r="AA253" s="80"/>
      <c r="AB253" s="73"/>
      <c r="AC253" s="153"/>
      <c r="AD253" s="331"/>
      <c r="AE253" s="57"/>
      <c r="AF253" s="88"/>
      <c r="AG253" s="182">
        <f>YEAR(V253)</f>
        <v>2025</v>
      </c>
      <c r="AH253" s="86" t="str">
        <f>+IF(AG253=$AH$22,MONTH(V253),"")</f>
        <v/>
      </c>
      <c r="AI253" s="86">
        <f>+IF(AG253=$AI$22,MONTH(V253),"")</f>
        <v>8</v>
      </c>
      <c r="AJ253" s="86" t="str">
        <f>+IF(AG253=$AJ$22,MONTH(V253),"")</f>
        <v/>
      </c>
      <c r="AK253" s="86" t="str">
        <f>+IF(AG253=$AK$22,MONTH(V253),"")</f>
        <v/>
      </c>
      <c r="AL253" s="86" t="str">
        <f>+IF(AG253=$AL$22,MONTH(V253),"")</f>
        <v/>
      </c>
      <c r="AM253" s="86" t="str">
        <f>+IF($AG253=$AM$22,MONTH($D253),"")</f>
        <v/>
      </c>
      <c r="AN253" s="89" t="str">
        <f>+IF($AG253=AN$22,MONTH($D253),"")</f>
        <v/>
      </c>
      <c r="AO253" s="89" t="str">
        <f>+IF($AG253=AO$22,MONTH($D253),"")</f>
        <v/>
      </c>
      <c r="AP253" s="89" t="str">
        <f>+IF($AG253=AP$22,MONTH($D253),"")</f>
        <v/>
      </c>
      <c r="AQ253" s="89" t="str">
        <f>+IF($AG253=AQ$22,MONTH($D253),"")</f>
        <v/>
      </c>
      <c r="AR253" s="89" t="str">
        <f>+IF($AG253=AR$22,MONTH($D253),"")</f>
        <v/>
      </c>
      <c r="AS253" s="89" t="str">
        <f>+IF($AG253=AS$22,MONTH($D253),"")</f>
        <v/>
      </c>
      <c r="AT253" s="89" t="str">
        <f>+IF($AG253=AT$22,MONTH($D253),"")</f>
        <v/>
      </c>
      <c r="AU253" s="89" t="str">
        <f>+IF($AG253=AU$22,MONTH($D253),"")</f>
        <v/>
      </c>
      <c r="AV253" s="89" t="str">
        <f>+IF($AG253=AV$22,MONTH($D253),"")</f>
        <v/>
      </c>
      <c r="AW253" s="86" t="str">
        <f>+IF($AG253=AW$22,MONTH($D253),"")</f>
        <v/>
      </c>
      <c r="AX253" s="86" t="str">
        <f>+IF($AG253=AX$22,MONTH($D253),"")</f>
        <v/>
      </c>
      <c r="AY253" s="89"/>
      <c r="AZ253" s="89"/>
      <c r="BA253" s="89"/>
      <c r="BB253" s="89"/>
      <c r="BC253" s="89"/>
      <c r="BD253" s="89"/>
      <c r="BE253" s="89"/>
      <c r="BF253" s="89"/>
      <c r="BG253" s="89"/>
      <c r="BH253" s="89"/>
      <c r="BI253" s="89"/>
      <c r="BJ253" s="89"/>
      <c r="BK253" s="89"/>
      <c r="BL253" s="89"/>
      <c r="BM253" s="89"/>
      <c r="BN253" s="89"/>
      <c r="BO253" s="89"/>
      <c r="BP253" s="89"/>
    </row>
    <row r="254" spans="1:68" s="56" customFormat="1" ht="46.5" hidden="1" customHeight="1">
      <c r="A254" s="204" t="str">
        <f>+IFERROR(VALUE(MID(AB254,4,4)),"")</f>
        <v/>
      </c>
      <c r="B254" s="204">
        <f>VALUE(RIGHT(C254,LEN(C254)-2))</f>
        <v>2468</v>
      </c>
      <c r="C254" s="74" t="s">
        <v>1124</v>
      </c>
      <c r="D254" s="75">
        <v>45873</v>
      </c>
      <c r="E254" s="70" t="s">
        <v>332</v>
      </c>
      <c r="F254" s="70" t="s">
        <v>332</v>
      </c>
      <c r="G254" s="68" t="s">
        <v>333</v>
      </c>
      <c r="H254" s="282" t="s">
        <v>334</v>
      </c>
      <c r="I254" s="69" t="s">
        <v>1125</v>
      </c>
      <c r="J254" s="69"/>
      <c r="K254" s="68" t="s">
        <v>13</v>
      </c>
      <c r="L254" s="69" t="s">
        <v>129</v>
      </c>
      <c r="M254" s="71" t="s">
        <v>141</v>
      </c>
      <c r="N254" s="69" t="e" vm="1">
        <v>#VALUE!</v>
      </c>
      <c r="O254" s="84">
        <v>45930</v>
      </c>
      <c r="P254" s="72" t="s">
        <v>737</v>
      </c>
      <c r="Q254" s="72" t="s">
        <v>316</v>
      </c>
      <c r="R254" s="162"/>
      <c r="S254" s="146"/>
      <c r="T254" s="68" t="s">
        <v>155</v>
      </c>
      <c r="U254" s="87"/>
      <c r="V254" s="80">
        <v>45875</v>
      </c>
      <c r="W254" s="73"/>
      <c r="X254" s="73"/>
      <c r="Y254" s="83" t="str">
        <f>IF(SUM(W254:W254)&gt;0,X254/SUM(W254:W254)*1000000,"N/A")</f>
        <v>N/A</v>
      </c>
      <c r="Z254" s="80"/>
      <c r="AA254" s="80"/>
      <c r="AB254" s="73"/>
      <c r="AC254" s="153"/>
      <c r="AD254" s="331"/>
      <c r="AE254" s="57"/>
      <c r="AF254" s="88"/>
      <c r="AG254" s="182">
        <f>YEAR(V254)</f>
        <v>2025</v>
      </c>
      <c r="AH254" s="86" t="str">
        <f>+IF(AG254=$AH$22,MONTH(V254),"")</f>
        <v/>
      </c>
      <c r="AI254" s="86">
        <f>+IF(AG254=$AI$22,MONTH(V254),"")</f>
        <v>8</v>
      </c>
      <c r="AJ254" s="86" t="str">
        <f>+IF(AG254=$AJ$22,MONTH(V254),"")</f>
        <v/>
      </c>
      <c r="AK254" s="86" t="str">
        <f>+IF(AG254=$AK$22,MONTH(V254),"")</f>
        <v/>
      </c>
      <c r="AL254" s="86" t="str">
        <f>+IF(AG254=$AL$22,MONTH(V254),"")</f>
        <v/>
      </c>
      <c r="AM254" s="86" t="str">
        <f>+IF($AG254=$AM$22,MONTH($D254),"")</f>
        <v/>
      </c>
      <c r="AN254" s="89" t="str">
        <f>+IF($AG254=AN$22,MONTH($D254),"")</f>
        <v/>
      </c>
      <c r="AO254" s="89" t="str">
        <f>+IF($AG254=AO$22,MONTH($D254),"")</f>
        <v/>
      </c>
      <c r="AP254" s="89" t="str">
        <f>+IF($AG254=AP$22,MONTH($D254),"")</f>
        <v/>
      </c>
      <c r="AQ254" s="89" t="str">
        <f>+IF($AG254=AQ$22,MONTH($D254),"")</f>
        <v/>
      </c>
      <c r="AR254" s="89" t="str">
        <f>+IF($AG254=AR$22,MONTH($D254),"")</f>
        <v/>
      </c>
      <c r="AS254" s="89" t="str">
        <f>+IF($AG254=AS$22,MONTH($D254),"")</f>
        <v/>
      </c>
      <c r="AT254" s="89" t="str">
        <f>+IF($AG254=AT$22,MONTH($D254),"")</f>
        <v/>
      </c>
      <c r="AU254" s="89" t="str">
        <f>+IF($AG254=AU$22,MONTH($D254),"")</f>
        <v/>
      </c>
      <c r="AV254" s="89" t="str">
        <f>+IF($AG254=AV$22,MONTH($D254),"")</f>
        <v/>
      </c>
      <c r="AW254" s="86" t="str">
        <f>+IF($AG254=AW$22,MONTH($D254),"")</f>
        <v/>
      </c>
      <c r="AX254" s="86" t="str">
        <f>+IF($AG254=AX$22,MONTH($D254),"")</f>
        <v/>
      </c>
      <c r="AY254" s="89"/>
      <c r="AZ254" s="89"/>
      <c r="BA254" s="89"/>
      <c r="BB254" s="89"/>
      <c r="BC254" s="89"/>
      <c r="BD254" s="89"/>
      <c r="BE254" s="89"/>
      <c r="BF254" s="89"/>
      <c r="BG254" s="89"/>
      <c r="BH254" s="89"/>
      <c r="BI254" s="89"/>
      <c r="BJ254" s="89"/>
      <c r="BK254" s="89"/>
      <c r="BL254" s="89"/>
      <c r="BM254" s="89"/>
      <c r="BN254" s="89"/>
      <c r="BO254" s="89"/>
      <c r="BP254" s="89"/>
    </row>
    <row r="255" spans="1:68" s="56" customFormat="1" ht="46.5" hidden="1" customHeight="1">
      <c r="A255" s="204">
        <f>+IFERROR(VALUE(MID(AB255,4,4)),"")</f>
        <v>384</v>
      </c>
      <c r="B255" s="204">
        <f>VALUE(RIGHT(C255,LEN(C255)-2))</f>
        <v>2467</v>
      </c>
      <c r="C255" s="74" t="s">
        <v>1126</v>
      </c>
      <c r="D255" s="75">
        <v>45873</v>
      </c>
      <c r="E255" s="70" t="s">
        <v>332</v>
      </c>
      <c r="F255" s="70" t="s">
        <v>332</v>
      </c>
      <c r="G255" s="68" t="s">
        <v>333</v>
      </c>
      <c r="H255" s="282" t="s">
        <v>334</v>
      </c>
      <c r="I255" s="69" t="s">
        <v>1127</v>
      </c>
      <c r="J255" s="69"/>
      <c r="K255" s="68" t="s">
        <v>13</v>
      </c>
      <c r="L255" s="69" t="s">
        <v>129</v>
      </c>
      <c r="M255" s="71" t="s">
        <v>141</v>
      </c>
      <c r="N255" s="69" t="e" vm="1">
        <v>#VALUE!</v>
      </c>
      <c r="O255" s="84">
        <v>45992</v>
      </c>
      <c r="P255" s="72" t="s">
        <v>737</v>
      </c>
      <c r="Q255" s="72" t="s">
        <v>623</v>
      </c>
      <c r="R255" s="162"/>
      <c r="S255" s="146"/>
      <c r="T255" s="68" t="s">
        <v>3</v>
      </c>
      <c r="U255" s="87"/>
      <c r="V255" s="80">
        <v>45995</v>
      </c>
      <c r="W255" s="73">
        <v>1769</v>
      </c>
      <c r="X255" s="214">
        <f>1818*39643/1000000</f>
        <v>72.070974000000007</v>
      </c>
      <c r="Y255" s="83">
        <f>IF(SUM(W255:W255)&gt;0,X255/SUM(W255:W255)*1000000,"N/A")</f>
        <v>40741.081967213118</v>
      </c>
      <c r="Z255" s="80"/>
      <c r="AA255" s="80"/>
      <c r="AB255" s="73" t="s">
        <v>1128</v>
      </c>
      <c r="AC255" s="153"/>
      <c r="AD255" s="331"/>
      <c r="AE255" s="57"/>
      <c r="AF255" s="88"/>
      <c r="AG255" s="182">
        <f>YEAR(V255)</f>
        <v>2025</v>
      </c>
      <c r="AH255" s="86" t="str">
        <f>+IF(AG255=$AH$22,MONTH(V255),"")</f>
        <v/>
      </c>
      <c r="AI255" s="86">
        <f>+IF(AG255=$AI$22,MONTH(V255),"")</f>
        <v>12</v>
      </c>
      <c r="AJ255" s="86" t="str">
        <f>+IF(AG255=$AJ$22,MONTH(V255),"")</f>
        <v/>
      </c>
      <c r="AK255" s="86" t="str">
        <f>+IF(AG255=$AK$22,MONTH(V255),"")</f>
        <v/>
      </c>
      <c r="AL255" s="86" t="str">
        <f>+IF(AG255=$AL$22,MONTH(V255),"")</f>
        <v/>
      </c>
      <c r="AM255" s="86" t="str">
        <f>+IF($AG255=$AM$22,MONTH($D255),"")</f>
        <v/>
      </c>
      <c r="AN255" s="89" t="str">
        <f>+IF($AG255=AN$22,MONTH($D255),"")</f>
        <v/>
      </c>
      <c r="AO255" s="89" t="str">
        <f>+IF($AG255=AO$22,MONTH($D255),"")</f>
        <v/>
      </c>
      <c r="AP255" s="89" t="str">
        <f>+IF($AG255=AP$22,MONTH($D255),"")</f>
        <v/>
      </c>
      <c r="AQ255" s="89" t="str">
        <f>+IF($AG255=AQ$22,MONTH($D255),"")</f>
        <v/>
      </c>
      <c r="AR255" s="89" t="str">
        <f>+IF($AG255=AR$22,MONTH($D255),"")</f>
        <v/>
      </c>
      <c r="AS255" s="89" t="str">
        <f>+IF($AG255=AS$22,MONTH($D255),"")</f>
        <v/>
      </c>
      <c r="AT255" s="89" t="str">
        <f>+IF($AG255=AT$22,MONTH($D255),"")</f>
        <v/>
      </c>
      <c r="AU255" s="89" t="str">
        <f>+IF($AG255=AU$22,MONTH($D255),"")</f>
        <v/>
      </c>
      <c r="AV255" s="89" t="str">
        <f>+IF($AG255=AV$22,MONTH($D255),"")</f>
        <v/>
      </c>
      <c r="AW255" s="86" t="str">
        <f>+IF($AG255=AW$22,MONTH($D255),"")</f>
        <v/>
      </c>
      <c r="AX255" s="86" t="str">
        <f>+IF($AG255=AX$22,MONTH($D255),"")</f>
        <v/>
      </c>
      <c r="AY255" s="89"/>
      <c r="AZ255" s="89"/>
      <c r="BA255" s="89"/>
      <c r="BB255" s="89"/>
      <c r="BC255" s="89"/>
      <c r="BD255" s="89"/>
      <c r="BE255" s="89"/>
      <c r="BF255" s="89"/>
      <c r="BG255" s="89"/>
      <c r="BH255" s="89"/>
      <c r="BI255" s="89"/>
      <c r="BJ255" s="89"/>
      <c r="BK255" s="89"/>
      <c r="BL255" s="89"/>
      <c r="BM255" s="89"/>
      <c r="BN255" s="89"/>
      <c r="BO255" s="89"/>
      <c r="BP255" s="89"/>
    </row>
    <row r="256" spans="1:68" s="56" customFormat="1" ht="46.5" hidden="1" customHeight="1">
      <c r="A256" s="204">
        <f>+IFERROR(VALUE(MID(AB256,4,4)),"")</f>
        <v>390</v>
      </c>
      <c r="B256" s="204">
        <f>VALUE(RIGHT(C256,LEN(C256)-2))</f>
        <v>2466</v>
      </c>
      <c r="C256" s="74" t="s">
        <v>1129</v>
      </c>
      <c r="D256" s="75">
        <v>45868</v>
      </c>
      <c r="E256" s="70" t="s">
        <v>262</v>
      </c>
      <c r="F256" s="70" t="s">
        <v>270</v>
      </c>
      <c r="G256" s="68" t="s">
        <v>786</v>
      </c>
      <c r="H256" s="307" t="s">
        <v>494</v>
      </c>
      <c r="I256" s="69" t="s">
        <v>1130</v>
      </c>
      <c r="J256" s="69"/>
      <c r="K256" s="68" t="s">
        <v>13</v>
      </c>
      <c r="L256" s="69" t="s">
        <v>120</v>
      </c>
      <c r="M256" s="71" t="s">
        <v>141</v>
      </c>
      <c r="N256" s="69" t="e" vm="1">
        <v>#VALUE!</v>
      </c>
      <c r="O256" s="84">
        <v>45947</v>
      </c>
      <c r="P256" s="72" t="s">
        <v>402</v>
      </c>
      <c r="Q256" s="72" t="s">
        <v>220</v>
      </c>
      <c r="R256" s="162"/>
      <c r="S256" s="146"/>
      <c r="T256" s="68" t="s">
        <v>3</v>
      </c>
      <c r="U256" s="87"/>
      <c r="V256" s="80">
        <v>45950</v>
      </c>
      <c r="W256" s="73">
        <v>45</v>
      </c>
      <c r="X256" s="73">
        <v>1.984</v>
      </c>
      <c r="Y256" s="169">
        <f>IF(SUM(W256:W256)&gt;0,X256/SUM(W256:W256)*1000000,"N/A")</f>
        <v>44088.888888888883</v>
      </c>
      <c r="Z256" s="80"/>
      <c r="AA256" s="80"/>
      <c r="AB256" s="73" t="s">
        <v>1131</v>
      </c>
      <c r="AC256" s="153"/>
      <c r="AD256" s="330"/>
      <c r="AE256" s="305"/>
      <c r="AF256" s="88"/>
      <c r="AG256" s="182">
        <f>YEAR(V256)</f>
        <v>2025</v>
      </c>
      <c r="AH256" s="86" t="str">
        <f>+IF(AG256=$AH$22,MONTH(V256),"")</f>
        <v/>
      </c>
      <c r="AI256" s="86">
        <f>+IF(AG256=$AI$22,MONTH(V256),"")</f>
        <v>10</v>
      </c>
      <c r="AJ256" s="86" t="str">
        <f>+IF(AG256=$AJ$22,MONTH(V256),"")</f>
        <v/>
      </c>
      <c r="AK256" s="86" t="str">
        <f>+IF(AG256=$AK$22,MONTH(V256),"")</f>
        <v/>
      </c>
      <c r="AL256" s="86" t="str">
        <f>+IF(AG256=$AL$22,MONTH(V256),"")</f>
        <v/>
      </c>
      <c r="AM256" s="86" t="str">
        <f>+IF($AG256=$AM$22,MONTH($D256),"")</f>
        <v/>
      </c>
      <c r="AN256" s="89" t="str">
        <f>+IF($AG256=AN$22,MONTH($D256),"")</f>
        <v/>
      </c>
      <c r="AO256" s="89" t="str">
        <f>+IF($AG256=AO$22,MONTH($D256),"")</f>
        <v/>
      </c>
      <c r="AP256" s="89" t="str">
        <f>+IF($AG256=AP$22,MONTH($D256),"")</f>
        <v/>
      </c>
      <c r="AQ256" s="89" t="str">
        <f>+IF($AG256=AQ$22,MONTH($D256),"")</f>
        <v/>
      </c>
      <c r="AR256" s="89" t="str">
        <f>+IF($AG256=AR$22,MONTH($D256),"")</f>
        <v/>
      </c>
      <c r="AS256" s="89" t="str">
        <f>+IF($AG256=AS$22,MONTH($D256),"")</f>
        <v/>
      </c>
      <c r="AT256" s="89" t="str">
        <f>+IF($AG256=AT$22,MONTH($D256),"")</f>
        <v/>
      </c>
      <c r="AU256" s="89" t="str">
        <f>+IF($AG256=AU$22,MONTH($D256),"")</f>
        <v/>
      </c>
      <c r="AV256" s="89" t="str">
        <f>+IF($AG256=AV$22,MONTH($D256),"")</f>
        <v/>
      </c>
      <c r="AW256" s="86" t="str">
        <f>+IF($AG256=AW$22,MONTH($D256),"")</f>
        <v/>
      </c>
      <c r="AX256" s="86" t="str">
        <f>+IF($AG256=AX$22,MONTH($D256),"")</f>
        <v/>
      </c>
      <c r="AY256" s="89"/>
      <c r="AZ256" s="89"/>
      <c r="BA256" s="89"/>
      <c r="BB256" s="89"/>
      <c r="BC256" s="89"/>
      <c r="BD256" s="89"/>
      <c r="BE256" s="89"/>
      <c r="BF256" s="89"/>
      <c r="BG256" s="89"/>
      <c r="BH256" s="89"/>
      <c r="BI256" s="89"/>
      <c r="BJ256" s="89"/>
      <c r="BK256" s="89"/>
      <c r="BL256" s="89"/>
      <c r="BM256" s="89"/>
      <c r="BN256" s="89"/>
      <c r="BO256" s="89"/>
      <c r="BP256" s="89"/>
    </row>
    <row r="257" spans="1:68" s="382" customFormat="1" ht="45.75" hidden="1" customHeight="1">
      <c r="A257" s="204" t="str">
        <f>+IFERROR(VALUE(MID(AB257,4,4)),"")</f>
        <v/>
      </c>
      <c r="B257" s="204">
        <f>VALUE(RIGHT(C257,LEN(C257)-2))</f>
        <v>2465</v>
      </c>
      <c r="C257" s="74" t="s">
        <v>1132</v>
      </c>
      <c r="D257" s="75">
        <v>45899</v>
      </c>
      <c r="E257" s="70" t="s">
        <v>479</v>
      </c>
      <c r="F257" s="70" t="s">
        <v>479</v>
      </c>
      <c r="G257" s="68" t="s">
        <v>698</v>
      </c>
      <c r="H257" s="282" t="s">
        <v>699</v>
      </c>
      <c r="I257" s="162" t="s">
        <v>1133</v>
      </c>
      <c r="J257" s="162"/>
      <c r="K257" s="68" t="s">
        <v>9</v>
      </c>
      <c r="L257" s="69" t="s">
        <v>129</v>
      </c>
      <c r="M257" s="71" t="s">
        <v>113</v>
      </c>
      <c r="N257" s="69" t="e" vm="2">
        <v>#VALUE!</v>
      </c>
      <c r="O257" s="84">
        <v>45870</v>
      </c>
      <c r="P257" s="82" t="s">
        <v>483</v>
      </c>
      <c r="Q257" s="72" t="s">
        <v>220</v>
      </c>
      <c r="R257" s="162"/>
      <c r="S257" s="146"/>
      <c r="T257" s="68" t="s">
        <v>165</v>
      </c>
      <c r="U257" s="87">
        <v>0</v>
      </c>
      <c r="V257" s="183">
        <v>45944</v>
      </c>
      <c r="W257" s="73"/>
      <c r="X257" s="73"/>
      <c r="Y257" s="83" t="str">
        <f>IF(SUM(W257:W257)&gt;0,X257/SUM(W257:W257)*1000000,"N/A")</f>
        <v>N/A</v>
      </c>
      <c r="Z257" s="183"/>
      <c r="AA257" s="183"/>
      <c r="AB257" s="73"/>
      <c r="AC257" s="153"/>
      <c r="AD257" s="331"/>
      <c r="AE257" s="57"/>
      <c r="AF257" s="88"/>
      <c r="AG257" s="182">
        <f>YEAR(V257)</f>
        <v>2025</v>
      </c>
      <c r="AH257" s="86" t="str">
        <f>+IF(AG257=$AH$22,MONTH(V257),"")</f>
        <v/>
      </c>
      <c r="AI257" s="86">
        <f>+IF(AG257=$AI$22,MONTH(V257),"")</f>
        <v>10</v>
      </c>
      <c r="AJ257" s="86" t="str">
        <f>+IF(AG257=$AJ$22,MONTH(V257),"")</f>
        <v/>
      </c>
      <c r="AK257" s="86" t="str">
        <f>+IF(AG257=$AK$22,MONTH(V257),"")</f>
        <v/>
      </c>
      <c r="AL257" s="86"/>
      <c r="AM257" s="89"/>
      <c r="AN257" s="89"/>
      <c r="AO257" s="89"/>
      <c r="AP257" s="89"/>
      <c r="AQ257" s="89"/>
      <c r="AR257" s="89"/>
      <c r="AS257" s="89"/>
      <c r="AT257" s="89"/>
      <c r="AU257" s="89"/>
      <c r="AV257" s="89"/>
      <c r="AW257" s="86" t="str">
        <f>+IF($AG257=AW$22,MONTH($D257),"")</f>
        <v/>
      </c>
      <c r="AX257" s="86" t="str">
        <f>+IF($AG257=AX$22,MONTH($D257),"")</f>
        <v/>
      </c>
      <c r="AY257" s="89"/>
      <c r="AZ257" s="89"/>
      <c r="BA257" s="89"/>
      <c r="BB257" s="89"/>
      <c r="BC257" s="89"/>
      <c r="BD257" s="89"/>
      <c r="BE257" s="89"/>
      <c r="BF257" s="89"/>
      <c r="BG257" s="89"/>
      <c r="BH257" s="89"/>
      <c r="BI257" s="89"/>
      <c r="BJ257" s="89"/>
      <c r="BK257" s="89"/>
      <c r="BL257" s="89"/>
      <c r="BM257" s="89"/>
      <c r="BN257" s="89"/>
      <c r="BO257" s="89"/>
      <c r="BP257" s="89"/>
    </row>
    <row r="258" spans="1:68" s="56" customFormat="1" ht="33.75" hidden="1" customHeight="1">
      <c r="A258" s="204" t="str">
        <f>+IFERROR(VALUE(MID(AB258,4,4)),"")</f>
        <v/>
      </c>
      <c r="B258" s="204">
        <f>VALUE(RIGHT(C258,LEN(C258)-2))</f>
        <v>2464</v>
      </c>
      <c r="C258" s="74" t="s">
        <v>1134</v>
      </c>
      <c r="D258" s="75">
        <v>45899</v>
      </c>
      <c r="E258" s="70" t="s">
        <v>479</v>
      </c>
      <c r="F258" s="70" t="s">
        <v>479</v>
      </c>
      <c r="G258" s="68" t="s">
        <v>1135</v>
      </c>
      <c r="H258" s="282" t="s">
        <v>1136</v>
      </c>
      <c r="I258" s="162" t="s">
        <v>1137</v>
      </c>
      <c r="J258" s="162"/>
      <c r="K258" s="68" t="s">
        <v>9</v>
      </c>
      <c r="L258" s="69" t="s">
        <v>129</v>
      </c>
      <c r="M258" s="71" t="s">
        <v>113</v>
      </c>
      <c r="N258" s="69" t="e" vm="2">
        <v>#VALUE!</v>
      </c>
      <c r="O258" s="84">
        <v>45870</v>
      </c>
      <c r="P258" s="82" t="s">
        <v>294</v>
      </c>
      <c r="Q258" s="72" t="s">
        <v>220</v>
      </c>
      <c r="R258" s="162"/>
      <c r="S258" s="146"/>
      <c r="T258" s="68" t="s">
        <v>165</v>
      </c>
      <c r="U258" s="87"/>
      <c r="V258" s="183">
        <v>46066</v>
      </c>
      <c r="W258" s="73">
        <v>192</v>
      </c>
      <c r="X258" s="73">
        <v>6.98</v>
      </c>
      <c r="Y258" s="83">
        <f>IF(SUM(W258:W258)&gt;0,X258/SUM(W258:W258)*1000000,"N/A")</f>
        <v>36354.166666666664</v>
      </c>
      <c r="Z258" s="183"/>
      <c r="AA258" s="183"/>
      <c r="AB258" s="73"/>
      <c r="AC258" s="153"/>
      <c r="AD258" s="331"/>
      <c r="AE258" s="57"/>
      <c r="AF258" s="88"/>
      <c r="AG258" s="182">
        <f>YEAR(V258)</f>
        <v>2026</v>
      </c>
      <c r="AH258" s="86">
        <f>+IF(AG258=$AH$22,MONTH(V258),"")</f>
        <v>2</v>
      </c>
      <c r="AI258" s="86" t="str">
        <f>+IF(AG258=$AI$22,MONTH(V258),"")</f>
        <v/>
      </c>
      <c r="AJ258" s="86" t="str">
        <f>+IF(AG258=$AJ$22,MONTH(V258),"")</f>
        <v/>
      </c>
      <c r="AK258" s="86" t="str">
        <f>+IF(AG258=$AK$22,MONTH(V258),"")</f>
        <v/>
      </c>
      <c r="AL258" s="86"/>
      <c r="AM258" s="89"/>
      <c r="AN258" s="89"/>
      <c r="AO258" s="89"/>
      <c r="AP258" s="89"/>
      <c r="AQ258" s="89"/>
      <c r="AR258" s="89"/>
      <c r="AS258" s="89"/>
      <c r="AT258" s="89"/>
      <c r="AU258" s="89"/>
      <c r="AV258" s="89"/>
      <c r="AW258" s="86" t="str">
        <f>+IF($AG258=AW$22,MONTH($D258),"")</f>
        <v/>
      </c>
      <c r="AX258" s="86" t="str">
        <f>+IF($AG258=AX$22,MONTH($D258),"")</f>
        <v/>
      </c>
      <c r="AY258" s="89"/>
      <c r="AZ258" s="89"/>
      <c r="BA258" s="89"/>
      <c r="BB258" s="89"/>
      <c r="BC258" s="89"/>
      <c r="BD258" s="89"/>
      <c r="BE258" s="89"/>
      <c r="BF258" s="89"/>
      <c r="BG258" s="89"/>
      <c r="BH258" s="89"/>
      <c r="BI258" s="89"/>
      <c r="BJ258" s="89"/>
      <c r="BK258" s="89"/>
      <c r="BL258" s="89"/>
      <c r="BM258" s="89"/>
      <c r="BN258" s="89"/>
      <c r="BO258" s="89"/>
      <c r="BP258" s="89"/>
    </row>
    <row r="259" spans="1:68" s="56" customFormat="1" ht="33.75" hidden="1" customHeight="1">
      <c r="A259" s="204" t="str">
        <f>+IFERROR(VALUE(MID(AB259,4,4)),"")</f>
        <v/>
      </c>
      <c r="B259" s="204">
        <f>VALUE(RIGHT(C259,LEN(C259)-2))</f>
        <v>2463</v>
      </c>
      <c r="C259" s="74" t="s">
        <v>1138</v>
      </c>
      <c r="D259" s="75">
        <v>45864</v>
      </c>
      <c r="E259" s="68" t="s">
        <v>685</v>
      </c>
      <c r="F259" s="68" t="s">
        <v>685</v>
      </c>
      <c r="G259" s="68" t="s">
        <v>210</v>
      </c>
      <c r="H259" s="304" t="s">
        <v>210</v>
      </c>
      <c r="I259" s="69" t="s">
        <v>1139</v>
      </c>
      <c r="J259" s="69"/>
      <c r="K259" s="68" t="s">
        <v>9</v>
      </c>
      <c r="L259" s="69" t="s">
        <v>123</v>
      </c>
      <c r="M259" s="71" t="s">
        <v>141</v>
      </c>
      <c r="N259" s="69" t="e" vm="1">
        <v>#VALUE!</v>
      </c>
      <c r="O259" s="84">
        <v>45903</v>
      </c>
      <c r="P259" s="69" t="s">
        <v>258</v>
      </c>
      <c r="Q259" s="69" t="s">
        <v>220</v>
      </c>
      <c r="R259" s="69"/>
      <c r="S259" s="146"/>
      <c r="T259" s="68" t="s">
        <v>165</v>
      </c>
      <c r="U259" s="87">
        <v>0.01</v>
      </c>
      <c r="V259" s="183">
        <v>45903</v>
      </c>
      <c r="W259" s="73">
        <v>70432</v>
      </c>
      <c r="X259" s="73">
        <v>4656</v>
      </c>
      <c r="Y259" s="83">
        <f>IF(SUM(W259:W259)&gt;0,X259/SUM(W259:W259)*1000000,"N/A")</f>
        <v>66106.315311222177</v>
      </c>
      <c r="Z259" s="80"/>
      <c r="AA259" s="80"/>
      <c r="AB259" s="150"/>
      <c r="AC259" s="75"/>
      <c r="AD259" s="332"/>
      <c r="AE259" s="68"/>
      <c r="AF259" s="73"/>
      <c r="AG259" s="182">
        <f>YEAR(V259)</f>
        <v>2025</v>
      </c>
      <c r="AH259" s="86" t="str">
        <f>+IF(AG259=$AH$22,MONTH(V259),"")</f>
        <v/>
      </c>
      <c r="AI259" s="86">
        <f>+IF(AG259=$AI$22,MONTH(V259),"")</f>
        <v>9</v>
      </c>
      <c r="AJ259" s="86" t="str">
        <f>+IF(AG259=$AJ$22,MONTH(V259),"")</f>
        <v/>
      </c>
      <c r="AK259" s="86" t="str">
        <f>+IF(AG259=$AK$22,MONTH(V259),"")</f>
        <v/>
      </c>
      <c r="AL259" s="86" t="str">
        <f>+IF(AG259=$AL$22,MONTH(V259),"")</f>
        <v/>
      </c>
      <c r="AM259" s="86" t="str">
        <f>+IF($AG259=$AM$22,MONTH($D259),"")</f>
        <v/>
      </c>
      <c r="AN259" s="89" t="str">
        <f>+IF($AG259=AN$22,MONTH($D259),"")</f>
        <v/>
      </c>
      <c r="AO259" s="184" t="str">
        <f>+IF($AG259=AO$22,MONTH($D259),"")</f>
        <v/>
      </c>
      <c r="AP259" s="184" t="str">
        <f>+IF($AG259=AP$22,MONTH($D259),"")</f>
        <v/>
      </c>
      <c r="AQ259" s="184" t="str">
        <f>+IF($AG259=AQ$22,MONTH($D259),"")</f>
        <v/>
      </c>
      <c r="AR259" s="184" t="str">
        <f>+IF($AG259=AR$22,MONTH($D259),"")</f>
        <v/>
      </c>
      <c r="AS259" s="184" t="str">
        <f>+IF($AG259=AS$22,MONTH($D259),"")</f>
        <v/>
      </c>
      <c r="AT259" s="86" t="str">
        <f>+IF($AG259=AT$22,MONTH($D259),"")</f>
        <v/>
      </c>
      <c r="AU259" s="86" t="str">
        <f>+IF($AG259=AU$22,MONTH($D259),"")</f>
        <v/>
      </c>
      <c r="AV259" s="86" t="str">
        <f>+IF($AG259=AV$22,MONTH($D259),"")</f>
        <v/>
      </c>
      <c r="AW259" s="86" t="str">
        <f>+IF($AG259=AW$22,MONTH($D259),"")</f>
        <v/>
      </c>
      <c r="AX259" s="86" t="str">
        <f>+IF($AG259=AX$22,MONTH($D259),"")</f>
        <v/>
      </c>
      <c r="AY259" s="89"/>
      <c r="AZ259" s="89"/>
      <c r="BA259" s="89"/>
      <c r="BB259" s="89"/>
      <c r="BC259" s="89"/>
      <c r="BD259" s="89"/>
      <c r="BE259" s="89"/>
      <c r="BF259" s="89"/>
      <c r="BG259" s="89"/>
      <c r="BH259" s="89"/>
      <c r="BI259" s="89"/>
      <c r="BJ259" s="89"/>
      <c r="BK259" s="89"/>
      <c r="BL259" s="89"/>
      <c r="BM259" s="89"/>
      <c r="BN259" s="89"/>
      <c r="BO259" s="89"/>
      <c r="BP259" s="89"/>
    </row>
    <row r="260" spans="1:68" s="381" customFormat="1" ht="45.75" hidden="1" customHeight="1">
      <c r="A260" s="204">
        <f>+IFERROR(VALUE(MID(AB260,4,4)),"")</f>
        <v>390</v>
      </c>
      <c r="B260" s="204">
        <f>VALUE(RIGHT(C260,LEN(C260)-2))</f>
        <v>2462</v>
      </c>
      <c r="C260" s="74" t="s">
        <v>1140</v>
      </c>
      <c r="D260" s="75">
        <v>45865</v>
      </c>
      <c r="E260" s="70" t="s">
        <v>262</v>
      </c>
      <c r="F260" s="70" t="s">
        <v>270</v>
      </c>
      <c r="G260" s="68" t="s">
        <v>1141</v>
      </c>
      <c r="H260" s="307" t="s">
        <v>494</v>
      </c>
      <c r="I260" s="69" t="s">
        <v>1142</v>
      </c>
      <c r="J260" s="69"/>
      <c r="K260" s="68" t="s">
        <v>13</v>
      </c>
      <c r="L260" s="69" t="s">
        <v>120</v>
      </c>
      <c r="M260" s="71" t="s">
        <v>141</v>
      </c>
      <c r="N260" s="69" t="e" vm="1">
        <v>#VALUE!</v>
      </c>
      <c r="O260" s="84">
        <v>45875</v>
      </c>
      <c r="P260" s="72" t="s">
        <v>402</v>
      </c>
      <c r="Q260" s="72" t="s">
        <v>220</v>
      </c>
      <c r="R260" s="162"/>
      <c r="S260" s="146"/>
      <c r="T260" s="68" t="s">
        <v>3</v>
      </c>
      <c r="U260" s="87"/>
      <c r="V260" s="80">
        <v>45741</v>
      </c>
      <c r="W260" s="73">
        <v>124</v>
      </c>
      <c r="X260" s="214">
        <v>4.5</v>
      </c>
      <c r="Y260" s="169">
        <f>IF(SUM(W260:W260)&gt;0,X260/SUM(W260:W260)*1000000,"N/A")</f>
        <v>36290.322580645166</v>
      </c>
      <c r="Z260" s="80"/>
      <c r="AA260" s="80"/>
      <c r="AB260" s="73" t="s">
        <v>1143</v>
      </c>
      <c r="AC260" s="153"/>
      <c r="AD260" s="330"/>
      <c r="AE260" s="305"/>
      <c r="AF260" s="88"/>
      <c r="AG260" s="182">
        <f>YEAR(V260)</f>
        <v>2025</v>
      </c>
      <c r="AH260" s="86" t="str">
        <f>+IF(AG260=$AH$22,MONTH(V260),"")</f>
        <v/>
      </c>
      <c r="AI260" s="86">
        <f>+IF(AG260=$AI$22,MONTH(V260),"")</f>
        <v>3</v>
      </c>
      <c r="AJ260" s="86" t="str">
        <f>+IF(AG260=$AJ$22,MONTH(V260),"")</f>
        <v/>
      </c>
      <c r="AK260" s="86" t="str">
        <f>+IF(AG260=$AK$22,MONTH(V260),"")</f>
        <v/>
      </c>
      <c r="AL260" s="86" t="str">
        <f>+IF(AG260=$AL$22,MONTH(V260),"")</f>
        <v/>
      </c>
      <c r="AM260" s="86" t="str">
        <f>+IF($AG260=$AM$22,MONTH($D260),"")</f>
        <v/>
      </c>
      <c r="AN260" s="89" t="str">
        <f>+IF($AG260=AN$22,MONTH($D260),"")</f>
        <v/>
      </c>
      <c r="AO260" s="89" t="str">
        <f>+IF($AG260=AO$22,MONTH($D260),"")</f>
        <v/>
      </c>
      <c r="AP260" s="89" t="str">
        <f>+IF($AG260=AP$22,MONTH($D260),"")</f>
        <v/>
      </c>
      <c r="AQ260" s="89" t="str">
        <f>+IF($AG260=AQ$22,MONTH($D260),"")</f>
        <v/>
      </c>
      <c r="AR260" s="89" t="str">
        <f>+IF($AG260=AR$22,MONTH($D260),"")</f>
        <v/>
      </c>
      <c r="AS260" s="89" t="str">
        <f>+IF($AG260=AS$22,MONTH($D260),"")</f>
        <v/>
      </c>
      <c r="AT260" s="89" t="str">
        <f>+IF($AG260=AT$22,MONTH($D260),"")</f>
        <v/>
      </c>
      <c r="AU260" s="89" t="str">
        <f>+IF($AG260=AU$22,MONTH($D260),"")</f>
        <v/>
      </c>
      <c r="AV260" s="89" t="str">
        <f>+IF($AG260=AV$22,MONTH($D260),"")</f>
        <v/>
      </c>
      <c r="AW260" s="86" t="str">
        <f>+IF($AG260=AW$22,MONTH($D260),"")</f>
        <v/>
      </c>
      <c r="AX260" s="86" t="str">
        <f>+IF($AG260=AX$22,MONTH($D260),"")</f>
        <v/>
      </c>
      <c r="AY260" s="89"/>
      <c r="AZ260" s="89"/>
      <c r="BA260" s="89"/>
      <c r="BB260" s="89"/>
      <c r="BC260" s="89"/>
      <c r="BD260" s="89"/>
      <c r="BE260" s="89"/>
      <c r="BF260" s="89"/>
      <c r="BG260" s="89"/>
      <c r="BH260" s="89"/>
      <c r="BI260" s="89"/>
      <c r="BJ260" s="89"/>
      <c r="BK260" s="89"/>
      <c r="BL260" s="89"/>
      <c r="BM260" s="89"/>
      <c r="BN260" s="89"/>
      <c r="BO260" s="89"/>
      <c r="BP260" s="89"/>
    </row>
    <row r="261" spans="1:68" s="320" customFormat="1" ht="45.75" hidden="1" customHeight="1">
      <c r="A261" s="204">
        <f>+IFERROR(VALUE(MID(AB261,4,4)),"")</f>
        <v>352</v>
      </c>
      <c r="B261" s="204">
        <f>VALUE(RIGHT(C261,LEN(C261)-2))</f>
        <v>2461</v>
      </c>
      <c r="C261" s="74" t="s">
        <v>1144</v>
      </c>
      <c r="D261" s="75">
        <v>45865</v>
      </c>
      <c r="E261" s="68" t="s">
        <v>53</v>
      </c>
      <c r="F261" s="68" t="s">
        <v>287</v>
      </c>
      <c r="G261" s="68" t="s">
        <v>210</v>
      </c>
      <c r="H261" s="304" t="s">
        <v>210</v>
      </c>
      <c r="I261" s="69" t="s">
        <v>1145</v>
      </c>
      <c r="J261" s="69"/>
      <c r="K261" s="68" t="s">
        <v>9</v>
      </c>
      <c r="L261" s="69" t="s">
        <v>129</v>
      </c>
      <c r="M261" s="71" t="s">
        <v>141</v>
      </c>
      <c r="N261" s="69" t="e" vm="1">
        <v>#VALUE!</v>
      </c>
      <c r="O261" s="84">
        <v>45877</v>
      </c>
      <c r="P261" s="69" t="s">
        <v>213</v>
      </c>
      <c r="Q261" s="69" t="s">
        <v>259</v>
      </c>
      <c r="R261" s="69"/>
      <c r="S261" s="146"/>
      <c r="T261" s="68" t="s">
        <v>155</v>
      </c>
      <c r="U261" s="87"/>
      <c r="V261" s="183">
        <v>45869</v>
      </c>
      <c r="W261" s="73"/>
      <c r="X261" s="73"/>
      <c r="Y261" s="83" t="str">
        <f>IF(SUM(W261:W261)&gt;0,X261/SUM(W261:W261)*1000000,"N/A")</f>
        <v>N/A</v>
      </c>
      <c r="Z261" s="80"/>
      <c r="AA261" s="80"/>
      <c r="AB261" s="150" t="s">
        <v>1146</v>
      </c>
      <c r="AC261" s="75"/>
      <c r="AD261" s="332"/>
      <c r="AE261" s="68"/>
      <c r="AF261" s="73"/>
      <c r="AG261" s="182">
        <f>YEAR(V261)</f>
        <v>2025</v>
      </c>
      <c r="AH261" s="86" t="str">
        <f>+IF(AG261=$AH$22,MONTH(V261),"")</f>
        <v/>
      </c>
      <c r="AI261" s="86">
        <f>+IF(AG261=$AI$22,MONTH(V261),"")</f>
        <v>7</v>
      </c>
      <c r="AJ261" s="86" t="str">
        <f>+IF(AG261=$AJ$22,MONTH(V261),"")</f>
        <v/>
      </c>
      <c r="AK261" s="86" t="str">
        <f>+IF(AG261=$AK$22,MONTH(V261),"")</f>
        <v/>
      </c>
      <c r="AL261" s="86" t="str">
        <f>+IF(AG261=$AL$22,MONTH(V261),"")</f>
        <v/>
      </c>
      <c r="AM261" s="86" t="str">
        <f>+IF($AG261=$AM$22,MONTH($D261),"")</f>
        <v/>
      </c>
      <c r="AN261" s="89" t="str">
        <f>+IF($AG261=AN$22,MONTH($D261),"")</f>
        <v/>
      </c>
      <c r="AO261" s="184" t="str">
        <f>+IF($AG261=AO$22,MONTH($D261),"")</f>
        <v/>
      </c>
      <c r="AP261" s="184" t="str">
        <f>+IF($AG261=AP$22,MONTH($D261),"")</f>
        <v/>
      </c>
      <c r="AQ261" s="184" t="str">
        <f>+IF($AG261=AQ$22,MONTH($D261),"")</f>
        <v/>
      </c>
      <c r="AR261" s="184" t="str">
        <f>+IF($AG261=AR$22,MONTH($D261),"")</f>
        <v/>
      </c>
      <c r="AS261" s="184" t="str">
        <f>+IF($AG261=AS$22,MONTH($D261),"")</f>
        <v/>
      </c>
      <c r="AT261" s="86" t="str">
        <f>+IF($AG261=AT$22,MONTH($D261),"")</f>
        <v/>
      </c>
      <c r="AU261" s="86" t="str">
        <f>+IF($AG261=AU$22,MONTH($D261),"")</f>
        <v/>
      </c>
      <c r="AV261" s="86" t="str">
        <f>+IF($AG261=AV$22,MONTH($D261),"")</f>
        <v/>
      </c>
      <c r="AW261" s="86" t="str">
        <f>+IF($AG261=AW$22,MONTH($D261),"")</f>
        <v/>
      </c>
      <c r="AX261" s="86" t="str">
        <f>+IF($AG261=AX$22,MONTH($D261),"")</f>
        <v/>
      </c>
      <c r="AY261" s="89"/>
      <c r="AZ261" s="89"/>
      <c r="BA261" s="89"/>
      <c r="BB261" s="89"/>
      <c r="BC261" s="89"/>
      <c r="BD261" s="89"/>
      <c r="BE261" s="89"/>
      <c r="BF261" s="89"/>
      <c r="BG261" s="89"/>
      <c r="BH261" s="89"/>
      <c r="BI261" s="89"/>
      <c r="BJ261" s="89"/>
      <c r="BK261" s="89"/>
      <c r="BL261" s="89"/>
      <c r="BM261" s="89"/>
      <c r="BN261" s="89"/>
      <c r="BO261" s="89"/>
      <c r="BP261" s="89"/>
    </row>
    <row r="262" spans="1:68" s="381" customFormat="1" ht="45.75" hidden="1" customHeight="1">
      <c r="A262" s="204" t="str">
        <f>+IFERROR(VALUE(MID(AB262,4,4)),"")</f>
        <v/>
      </c>
      <c r="B262" s="204">
        <f>VALUE(RIGHT(C262,LEN(C262)-2))</f>
        <v>2460</v>
      </c>
      <c r="C262" s="74" t="s">
        <v>1147</v>
      </c>
      <c r="D262" s="75">
        <v>45860</v>
      </c>
      <c r="E262" s="70" t="s">
        <v>1148</v>
      </c>
      <c r="F262" s="70" t="s">
        <v>1149</v>
      </c>
      <c r="G262" s="68" t="s">
        <v>1150</v>
      </c>
      <c r="H262" s="282" t="s">
        <v>1151</v>
      </c>
      <c r="I262" s="162" t="s">
        <v>1152</v>
      </c>
      <c r="J262" s="162"/>
      <c r="K262" s="68" t="s">
        <v>13</v>
      </c>
      <c r="L262" s="69" t="s">
        <v>123</v>
      </c>
      <c r="M262" s="71" t="s">
        <v>113</v>
      </c>
      <c r="N262" s="69" t="s">
        <v>1153</v>
      </c>
      <c r="O262" s="164">
        <v>45883</v>
      </c>
      <c r="P262" s="72" t="s">
        <v>1154</v>
      </c>
      <c r="Q262" s="72" t="s">
        <v>259</v>
      </c>
      <c r="R262" s="162"/>
      <c r="S262" s="146"/>
      <c r="T262" s="68" t="s">
        <v>165</v>
      </c>
      <c r="U262" s="87">
        <v>0.01</v>
      </c>
      <c r="V262" s="183">
        <v>45860</v>
      </c>
      <c r="W262" s="73">
        <v>24679</v>
      </c>
      <c r="X262" s="216">
        <v>1219.2940000000001</v>
      </c>
      <c r="Y262" s="83">
        <f>IF(SUM(W262:W262)&gt;0,X262/SUM(W262:W262)*1000000,"N/A")</f>
        <v>49406.134770452612</v>
      </c>
      <c r="Z262" s="183"/>
      <c r="AA262" s="183"/>
      <c r="AB262" s="73"/>
      <c r="AC262" s="153"/>
      <c r="AD262" s="331"/>
      <c r="AE262" s="57"/>
      <c r="AF262" s="88"/>
      <c r="AG262" s="182">
        <f>YEAR(V262)</f>
        <v>2025</v>
      </c>
      <c r="AH262" s="86" t="str">
        <f>+IF(AG262=$AH$22,MONTH(V262),"")</f>
        <v/>
      </c>
      <c r="AI262" s="86">
        <f>+IF(AG262=$AI$22,MONTH(V262),"")</f>
        <v>7</v>
      </c>
      <c r="AJ262" s="86" t="str">
        <f>+IF(AG262=$AJ$22,MONTH(V262),"")</f>
        <v/>
      </c>
      <c r="AK262" s="86" t="str">
        <f>+IF(AG262=$AK$22,MONTH(V262),"")</f>
        <v/>
      </c>
      <c r="AL262" s="86"/>
      <c r="AM262" s="89"/>
      <c r="AN262" s="89"/>
      <c r="AO262" s="89"/>
      <c r="AP262" s="89"/>
      <c r="AQ262" s="89"/>
      <c r="AR262" s="89"/>
      <c r="AS262" s="89"/>
      <c r="AT262" s="89"/>
      <c r="AU262" s="89"/>
      <c r="AV262" s="89"/>
      <c r="AW262" s="86" t="str">
        <f>+IF($AG262=AW$22,MONTH($D262),"")</f>
        <v/>
      </c>
      <c r="AX262" s="86" t="str">
        <f>+IF($AG262=AX$22,MONTH($D262),"")</f>
        <v/>
      </c>
      <c r="AY262" s="89"/>
      <c r="AZ262" s="89"/>
      <c r="BA262" s="89"/>
      <c r="BB262" s="89"/>
      <c r="BC262" s="89"/>
      <c r="BD262" s="89"/>
      <c r="BE262" s="89"/>
      <c r="BF262" s="89"/>
      <c r="BG262" s="89"/>
      <c r="BH262" s="89"/>
      <c r="BI262" s="89"/>
      <c r="BJ262" s="89"/>
      <c r="BK262" s="89"/>
      <c r="BL262" s="89"/>
      <c r="BM262" s="89"/>
      <c r="BN262" s="89"/>
      <c r="BO262" s="89"/>
      <c r="BP262" s="89"/>
    </row>
    <row r="263" spans="1:68" s="56" customFormat="1" ht="26.25" hidden="1" customHeight="1">
      <c r="A263" s="204" t="str">
        <f>+IFERROR(VALUE(MID(AB263,4,4)),"")</f>
        <v/>
      </c>
      <c r="B263" s="204">
        <f>VALUE(RIGHT(C263,LEN(C263)-2))</f>
        <v>2459</v>
      </c>
      <c r="C263" s="74" t="s">
        <v>1155</v>
      </c>
      <c r="D263" s="75">
        <v>45860</v>
      </c>
      <c r="E263" s="70" t="s">
        <v>1156</v>
      </c>
      <c r="F263" s="70" t="s">
        <v>1157</v>
      </c>
      <c r="G263" s="68" t="s">
        <v>1158</v>
      </c>
      <c r="H263" s="282" t="s">
        <v>1159</v>
      </c>
      <c r="I263" s="162" t="s">
        <v>1160</v>
      </c>
      <c r="J263" s="162"/>
      <c r="K263" s="68" t="s">
        <v>1161</v>
      </c>
      <c r="L263" s="69" t="s">
        <v>123</v>
      </c>
      <c r="M263" s="71" t="s">
        <v>113</v>
      </c>
      <c r="N263" s="69" t="e" vm="2">
        <v>#VALUE!</v>
      </c>
      <c r="O263" s="84">
        <v>45863</v>
      </c>
      <c r="P263" s="82" t="s">
        <v>483</v>
      </c>
      <c r="Q263" s="72" t="s">
        <v>220</v>
      </c>
      <c r="R263" s="162"/>
      <c r="S263" s="146"/>
      <c r="T263" s="68" t="s">
        <v>158</v>
      </c>
      <c r="U263" s="87">
        <v>0.01</v>
      </c>
      <c r="V263" s="183">
        <v>45860</v>
      </c>
      <c r="W263" s="73">
        <v>4133</v>
      </c>
      <c r="X263" s="73">
        <v>151.84399999999999</v>
      </c>
      <c r="Y263" s="83">
        <f>IF(SUM(W263:W263)&gt;0,X263/SUM(W263:W263)*1000000,"N/A")</f>
        <v>36739.414468908784</v>
      </c>
      <c r="Z263" s="183"/>
      <c r="AA263" s="183"/>
      <c r="AB263" s="73"/>
      <c r="AC263" s="153"/>
      <c r="AD263" s="331"/>
      <c r="AE263" s="57"/>
      <c r="AF263" s="88"/>
      <c r="AG263" s="182">
        <f>YEAR(V263)</f>
        <v>2025</v>
      </c>
      <c r="AH263" s="86" t="str">
        <f>+IF(AG263=$AH$22,MONTH(V263),"")</f>
        <v/>
      </c>
      <c r="AI263" s="86">
        <f>+IF(AG263=$AI$22,MONTH(V263),"")</f>
        <v>7</v>
      </c>
      <c r="AJ263" s="86" t="str">
        <f>+IF(AG263=$AJ$22,MONTH(V263),"")</f>
        <v/>
      </c>
      <c r="AK263" s="86" t="str">
        <f>+IF(AG263=$AK$22,MONTH(V263),"")</f>
        <v/>
      </c>
      <c r="AL263" s="86"/>
      <c r="AM263" s="89"/>
      <c r="AN263" s="89"/>
      <c r="AO263" s="89"/>
      <c r="AP263" s="89"/>
      <c r="AQ263" s="89"/>
      <c r="AR263" s="89"/>
      <c r="AS263" s="89"/>
      <c r="AT263" s="89"/>
      <c r="AU263" s="89"/>
      <c r="AV263" s="89"/>
      <c r="AW263" s="86" t="str">
        <f>+IF($AG263=AW$22,MONTH($D263),"")</f>
        <v/>
      </c>
      <c r="AX263" s="86" t="str">
        <f>+IF($AG263=AX$22,MONTH($D263),"")</f>
        <v/>
      </c>
      <c r="AY263" s="89"/>
      <c r="AZ263" s="89"/>
      <c r="BA263" s="89"/>
      <c r="BB263" s="89"/>
      <c r="BC263" s="89"/>
      <c r="BD263" s="89"/>
      <c r="BE263" s="89"/>
      <c r="BF263" s="89"/>
      <c r="BG263" s="89"/>
      <c r="BH263" s="89"/>
      <c r="BI263" s="89"/>
      <c r="BJ263" s="89"/>
      <c r="BK263" s="89"/>
      <c r="BL263" s="89"/>
      <c r="BM263" s="89"/>
      <c r="BN263" s="89"/>
      <c r="BO263" s="89"/>
      <c r="BP263" s="89"/>
    </row>
    <row r="264" spans="1:68" s="56" customFormat="1" ht="33.75" hidden="1" customHeight="1">
      <c r="A264" s="204">
        <f>+IFERROR(VALUE(MID(AB264,4,4)),"")</f>
        <v>444</v>
      </c>
      <c r="B264" s="204">
        <f>VALUE(RIGHT(C264,LEN(C264)-2))</f>
        <v>2458</v>
      </c>
      <c r="C264" s="74" t="s">
        <v>1162</v>
      </c>
      <c r="D264" s="75">
        <v>45860</v>
      </c>
      <c r="E264" s="70" t="s">
        <v>939</v>
      </c>
      <c r="F264" s="70" t="s">
        <v>940</v>
      </c>
      <c r="G264" s="68" t="s">
        <v>1163</v>
      </c>
      <c r="H264" s="282" t="s">
        <v>1164</v>
      </c>
      <c r="I264" s="69" t="s">
        <v>1165</v>
      </c>
      <c r="J264" s="69"/>
      <c r="K264" s="68" t="s">
        <v>12</v>
      </c>
      <c r="L264" s="69" t="s">
        <v>120</v>
      </c>
      <c r="M264" s="71" t="s">
        <v>141</v>
      </c>
      <c r="N264" s="69" t="e" vm="1">
        <v>#VALUE!</v>
      </c>
      <c r="O264" s="164">
        <v>45860</v>
      </c>
      <c r="P264" s="72" t="s">
        <v>749</v>
      </c>
      <c r="Q264" s="72" t="s">
        <v>623</v>
      </c>
      <c r="R264" s="162"/>
      <c r="S264" s="146" t="s">
        <v>1166</v>
      </c>
      <c r="T264" s="68" t="s">
        <v>3</v>
      </c>
      <c r="U264" s="87"/>
      <c r="V264" s="183">
        <v>45860</v>
      </c>
      <c r="W264" s="73">
        <v>958</v>
      </c>
      <c r="X264" s="73">
        <f>1399*39224/1000000</f>
        <v>54.874375999999998</v>
      </c>
      <c r="Y264" s="83">
        <f>IF(SUM(W264:W264)&gt;0,X264/SUM(W264:W264)*1000000,"N/A")</f>
        <v>57280.141962421709</v>
      </c>
      <c r="Z264" s="183"/>
      <c r="AA264" s="183"/>
      <c r="AB264" s="73" t="s">
        <v>1167</v>
      </c>
      <c r="AC264" s="331" t="s">
        <v>134</v>
      </c>
      <c r="AD264" s="331" t="s">
        <v>134</v>
      </c>
      <c r="AE264" s="57"/>
      <c r="AF264" s="88"/>
      <c r="AG264" s="182">
        <f>YEAR(V264)</f>
        <v>2025</v>
      </c>
      <c r="AH264" s="86" t="str">
        <f>+IF(AG264=$AH$22,MONTH(V264),"")</f>
        <v/>
      </c>
      <c r="AI264" s="86">
        <f>+IF(AG264=$AI$22,MONTH(V264),"")</f>
        <v>7</v>
      </c>
      <c r="AJ264" s="86" t="str">
        <f>+IF(AG264=$AJ$22,MONTH(V264),"")</f>
        <v/>
      </c>
      <c r="AK264" s="86" t="str">
        <f>+IF(AG264=$AK$22,MONTH(V264),"")</f>
        <v/>
      </c>
      <c r="AL264" s="86"/>
      <c r="AM264" s="89"/>
      <c r="AN264" s="89"/>
      <c r="AO264" s="89"/>
      <c r="AP264" s="89"/>
      <c r="AQ264" s="89"/>
      <c r="AR264" s="89"/>
      <c r="AS264" s="89"/>
      <c r="AT264" s="89"/>
      <c r="AU264" s="89"/>
      <c r="AV264" s="89"/>
      <c r="AW264" s="86" t="str">
        <f>+IF($AG264=AW$22,MONTH($D264),"")</f>
        <v/>
      </c>
      <c r="AX264" s="86" t="str">
        <f>+IF($AG264=AX$22,MONTH($D264),"")</f>
        <v/>
      </c>
      <c r="AY264" s="89"/>
      <c r="AZ264" s="89"/>
      <c r="BA264" s="89"/>
      <c r="BB264" s="89"/>
      <c r="BC264" s="89"/>
      <c r="BD264" s="89"/>
      <c r="BE264" s="89"/>
      <c r="BF264" s="89"/>
      <c r="BG264" s="89"/>
      <c r="BH264" s="89"/>
      <c r="BI264" s="89"/>
      <c r="BJ264" s="89"/>
      <c r="BK264" s="89"/>
      <c r="BL264" s="89"/>
      <c r="BM264" s="89"/>
      <c r="BN264" s="89"/>
      <c r="BO264" s="89"/>
      <c r="BP264" s="89"/>
    </row>
    <row r="265" spans="1:68" s="89" customFormat="1" ht="39" hidden="1" customHeight="1">
      <c r="A265" s="204" t="str">
        <f>+IFERROR(VALUE(MID(AB265,4,4)),"")</f>
        <v/>
      </c>
      <c r="B265" s="204">
        <f>VALUE(RIGHT(C265,LEN(C265)-2))</f>
        <v>2457</v>
      </c>
      <c r="C265" s="74" t="s">
        <v>1168</v>
      </c>
      <c r="D265" s="75">
        <v>45859</v>
      </c>
      <c r="E265" s="68" t="s">
        <v>53</v>
      </c>
      <c r="F265" s="68" t="s">
        <v>252</v>
      </c>
      <c r="G265" s="68" t="s">
        <v>210</v>
      </c>
      <c r="H265" s="304" t="s">
        <v>210</v>
      </c>
      <c r="I265" s="69" t="s">
        <v>1169</v>
      </c>
      <c r="J265" s="69"/>
      <c r="K265" s="68" t="s">
        <v>607</v>
      </c>
      <c r="L265" s="68" t="s">
        <v>123</v>
      </c>
      <c r="M265" s="68" t="s">
        <v>141</v>
      </c>
      <c r="N265" s="69" t="e" vm="1">
        <v>#VALUE!</v>
      </c>
      <c r="O265" s="84">
        <v>45903</v>
      </c>
      <c r="P265" s="69" t="s">
        <v>213</v>
      </c>
      <c r="Q265" s="72" t="s">
        <v>259</v>
      </c>
      <c r="R265" s="162"/>
      <c r="S265" s="146"/>
      <c r="T265" s="68" t="s">
        <v>155</v>
      </c>
      <c r="U265" s="87"/>
      <c r="V265" s="183">
        <v>45855</v>
      </c>
      <c r="W265" s="73"/>
      <c r="X265" s="73"/>
      <c r="Y265" s="83" t="str">
        <f>IF(SUM(W265:W265)&gt;0,X265/SUM(W265:W265)*1000000,"N/A")</f>
        <v>N/A</v>
      </c>
      <c r="Z265" s="80"/>
      <c r="AA265" s="80"/>
      <c r="AB265" s="150"/>
      <c r="AC265" s="75"/>
      <c r="AD265" s="332"/>
      <c r="AE265" s="68"/>
      <c r="AF265" s="73"/>
      <c r="AG265" s="182">
        <f>YEAR(V265)</f>
        <v>2025</v>
      </c>
      <c r="AH265" s="86" t="str">
        <f>+IF(AG265=$AH$22,MONTH(V265),"")</f>
        <v/>
      </c>
      <c r="AI265" s="86">
        <f>+IF(AG265=$AI$22,MONTH(V265),"")</f>
        <v>7</v>
      </c>
      <c r="AJ265" s="86" t="str">
        <f>+IF(AG265=$AJ$22,MONTH(V265),"")</f>
        <v/>
      </c>
      <c r="AK265" s="86" t="str">
        <f>+IF(AG265=$AK$22,MONTH(V265),"")</f>
        <v/>
      </c>
      <c r="AL265" s="86" t="str">
        <f>+IF(AG265=$AL$22,MONTH(V265),"")</f>
        <v/>
      </c>
      <c r="AM265" s="86" t="str">
        <f>+IF($AG265=$AM$22,MONTH($D265),"")</f>
        <v/>
      </c>
      <c r="AN265" s="89" t="str">
        <f>+IF($AG265=AN$22,MONTH($D265),"")</f>
        <v/>
      </c>
      <c r="AO265" s="184" t="str">
        <f>+IF($AG265=AO$22,MONTH($D265),"")</f>
        <v/>
      </c>
      <c r="AP265" s="184" t="str">
        <f>+IF($AG265=AP$22,MONTH($D265),"")</f>
        <v/>
      </c>
      <c r="AQ265" s="184" t="str">
        <f>+IF($AG265=AQ$22,MONTH($D265),"")</f>
        <v/>
      </c>
      <c r="AR265" s="184" t="str">
        <f>+IF($AG265=AR$22,MONTH($D265),"")</f>
        <v/>
      </c>
      <c r="AS265" s="184" t="str">
        <f>+IF($AG265=AS$22,MONTH($D265),"")</f>
        <v/>
      </c>
      <c r="AT265" s="86" t="str">
        <f>+IF($AG265=AT$22,MONTH($D265),"")</f>
        <v/>
      </c>
      <c r="AU265" s="86" t="str">
        <f>+IF($AG265=AU$22,MONTH($D265),"")</f>
        <v/>
      </c>
      <c r="AV265" s="86" t="str">
        <f>+IF($AG265=AV$22,MONTH($D265),"")</f>
        <v/>
      </c>
      <c r="AW265" s="86" t="str">
        <f>+IF($AG265=AW$22,MONTH($D265),"")</f>
        <v/>
      </c>
      <c r="AX265" s="86" t="str">
        <f>+IF($AG265=AX$22,MONTH($D265),"")</f>
        <v/>
      </c>
    </row>
    <row r="266" spans="1:68" s="381" customFormat="1" ht="45.75" hidden="1" customHeight="1">
      <c r="A266" s="204" t="str">
        <f>+IFERROR(VALUE(MID(AB266,4,4)),"")</f>
        <v/>
      </c>
      <c r="B266" s="204">
        <f>VALUE(RIGHT(C266,LEN(C266)-2))</f>
        <v>2456</v>
      </c>
      <c r="C266" s="74" t="s">
        <v>1170</v>
      </c>
      <c r="D266" s="75">
        <v>45855</v>
      </c>
      <c r="E266" s="70" t="s">
        <v>479</v>
      </c>
      <c r="F266" s="70" t="s">
        <v>479</v>
      </c>
      <c r="G266" s="68" t="s">
        <v>216</v>
      </c>
      <c r="H266" s="282" t="s">
        <v>217</v>
      </c>
      <c r="I266" s="162" t="s">
        <v>1171</v>
      </c>
      <c r="J266" s="162"/>
      <c r="K266" s="68" t="s">
        <v>1172</v>
      </c>
      <c r="L266" s="69" t="s">
        <v>129</v>
      </c>
      <c r="M266" s="71" t="s">
        <v>113</v>
      </c>
      <c r="N266" s="69" t="e" vm="2">
        <v>#VALUE!</v>
      </c>
      <c r="O266" s="84">
        <v>45863</v>
      </c>
      <c r="P266" s="82" t="s">
        <v>219</v>
      </c>
      <c r="Q266" s="72" t="s">
        <v>220</v>
      </c>
      <c r="R266" s="162"/>
      <c r="S266" s="146"/>
      <c r="T266" s="68" t="s">
        <v>165</v>
      </c>
      <c r="U266" s="87"/>
      <c r="V266" s="183">
        <v>45855</v>
      </c>
      <c r="W266" s="73">
        <v>2291</v>
      </c>
      <c r="X266" s="73">
        <v>77.716999999999999</v>
      </c>
      <c r="Y266" s="83">
        <f>IF(SUM(W266:W266)&gt;0,X266/SUM(W266:W266)*1000000,"N/A")</f>
        <v>33922.741161065038</v>
      </c>
      <c r="Z266" s="183"/>
      <c r="AA266" s="183"/>
      <c r="AB266" s="73"/>
      <c r="AC266" s="153"/>
      <c r="AD266" s="331"/>
      <c r="AE266" s="57"/>
      <c r="AF266" s="88"/>
      <c r="AG266" s="182">
        <f>YEAR(V266)</f>
        <v>2025</v>
      </c>
      <c r="AH266" s="86" t="str">
        <f>+IF(AG266=$AH$22,MONTH(V266),"")</f>
        <v/>
      </c>
      <c r="AI266" s="86">
        <f>+IF(AG266=$AI$22,MONTH(V266),"")</f>
        <v>7</v>
      </c>
      <c r="AJ266" s="86" t="str">
        <f>+IF(AG266=$AJ$22,MONTH(V266),"")</f>
        <v/>
      </c>
      <c r="AK266" s="86" t="str">
        <f>+IF(AG266=$AK$22,MONTH(V266),"")</f>
        <v/>
      </c>
      <c r="AL266" s="86"/>
      <c r="AM266" s="89"/>
      <c r="AN266" s="89"/>
      <c r="AO266" s="89"/>
      <c r="AP266" s="89"/>
      <c r="AQ266" s="89"/>
      <c r="AR266" s="89"/>
      <c r="AS266" s="89"/>
      <c r="AT266" s="89"/>
      <c r="AU266" s="89"/>
      <c r="AV266" s="89"/>
      <c r="AW266" s="86" t="str">
        <f>+IF($AG266=AW$22,MONTH($D266),"")</f>
        <v/>
      </c>
      <c r="AX266" s="86" t="str">
        <f>+IF($AG266=AX$22,MONTH($D266),"")</f>
        <v/>
      </c>
      <c r="AY266" s="89"/>
      <c r="AZ266" s="89"/>
      <c r="BA266" s="89"/>
      <c r="BB266" s="89"/>
      <c r="BC266" s="89"/>
      <c r="BD266" s="89"/>
      <c r="BE266" s="89"/>
      <c r="BF266" s="89"/>
      <c r="BG266" s="89"/>
      <c r="BH266" s="89"/>
      <c r="BI266" s="89"/>
      <c r="BJ266" s="89"/>
      <c r="BK266" s="89"/>
      <c r="BL266" s="89"/>
      <c r="BM266" s="89"/>
      <c r="BN266" s="89"/>
      <c r="BO266" s="89"/>
      <c r="BP266" s="89"/>
    </row>
    <row r="267" spans="1:68" s="56" customFormat="1" ht="33.75" hidden="1" customHeight="1">
      <c r="A267" s="204">
        <f>+IFERROR(VALUE(MID(AB267,4,4)),"")</f>
        <v>448</v>
      </c>
      <c r="B267" s="204">
        <f>VALUE(RIGHT(C267,LEN(C267)-2))</f>
        <v>2455</v>
      </c>
      <c r="C267" s="74" t="s">
        <v>1173</v>
      </c>
      <c r="D267" s="75">
        <v>45848</v>
      </c>
      <c r="E267" s="70" t="s">
        <v>806</v>
      </c>
      <c r="F267" s="70" t="s">
        <v>806</v>
      </c>
      <c r="G267" s="68" t="s">
        <v>1174</v>
      </c>
      <c r="H267" s="282" t="s">
        <v>1175</v>
      </c>
      <c r="I267" s="162" t="s">
        <v>1176</v>
      </c>
      <c r="J267" s="162"/>
      <c r="K267" s="68" t="s">
        <v>798</v>
      </c>
      <c r="L267" s="69" t="s">
        <v>120</v>
      </c>
      <c r="M267" s="71" t="s">
        <v>141</v>
      </c>
      <c r="N267" s="69" t="e" vm="1">
        <v>#VALUE!</v>
      </c>
      <c r="O267" s="164">
        <v>45868</v>
      </c>
      <c r="P267" s="72" t="s">
        <v>239</v>
      </c>
      <c r="Q267" s="72" t="s">
        <v>240</v>
      </c>
      <c r="R267" s="162"/>
      <c r="S267" s="146"/>
      <c r="T267" s="68" t="s">
        <v>3</v>
      </c>
      <c r="U267" s="87">
        <v>0</v>
      </c>
      <c r="V267" s="183">
        <v>45871</v>
      </c>
      <c r="W267" s="73">
        <v>42</v>
      </c>
      <c r="X267" s="73">
        <f>48*39200/1000000</f>
        <v>1.8815999999999999</v>
      </c>
      <c r="Y267" s="83">
        <f>IF(SUM(W267:W267)&gt;0,X267/SUM(W267:W267)*1000000,"N/A")</f>
        <v>44800</v>
      </c>
      <c r="Z267" s="183"/>
      <c r="AA267" s="183"/>
      <c r="AB267" s="73" t="s">
        <v>1177</v>
      </c>
      <c r="AC267" s="153"/>
      <c r="AD267" s="331"/>
      <c r="AE267" s="57"/>
      <c r="AF267" s="88"/>
      <c r="AG267" s="182">
        <f>YEAR(V267)</f>
        <v>2025</v>
      </c>
      <c r="AH267" s="86" t="str">
        <f>+IF(AG267=$AH$22,MONTH(V267),"")</f>
        <v/>
      </c>
      <c r="AI267" s="86">
        <f>+IF(AG267=$AI$22,MONTH(V267),"")</f>
        <v>8</v>
      </c>
      <c r="AJ267" s="86" t="str">
        <f>+IF(AG267=$AJ$22,MONTH(V267),"")</f>
        <v/>
      </c>
      <c r="AK267" s="86" t="str">
        <f>+IF(AG267=$AK$22,MONTH(V267),"")</f>
        <v/>
      </c>
      <c r="AL267" s="86"/>
      <c r="AM267" s="89"/>
      <c r="AN267" s="89"/>
      <c r="AO267" s="89"/>
      <c r="AP267" s="89"/>
      <c r="AQ267" s="89"/>
      <c r="AR267" s="89"/>
      <c r="AS267" s="89"/>
      <c r="AT267" s="89"/>
      <c r="AU267" s="89"/>
      <c r="AV267" s="89"/>
      <c r="AW267" s="86" t="str">
        <f>+IF($AG267=AW$22,MONTH($D267),"")</f>
        <v/>
      </c>
      <c r="AX267" s="86" t="str">
        <f>+IF($AG267=AX$22,MONTH($D267),"")</f>
        <v/>
      </c>
      <c r="AY267" s="89"/>
      <c r="AZ267" s="89"/>
      <c r="BA267" s="89"/>
      <c r="BB267" s="89"/>
      <c r="BC267" s="89"/>
      <c r="BD267" s="89"/>
      <c r="BE267" s="89"/>
      <c r="BF267" s="89"/>
      <c r="BG267" s="89"/>
      <c r="BH267" s="89"/>
      <c r="BI267" s="89"/>
      <c r="BJ267" s="89"/>
      <c r="BK267" s="89"/>
      <c r="BL267" s="89"/>
      <c r="BM267" s="89"/>
      <c r="BN267" s="89"/>
      <c r="BO267" s="89"/>
      <c r="BP267" s="89"/>
    </row>
    <row r="268" spans="1:68" s="56" customFormat="1" ht="26.25" hidden="1" customHeight="1">
      <c r="A268" s="204" t="str">
        <f>+IFERROR(VALUE(MID(AB268,4,4)),"")</f>
        <v/>
      </c>
      <c r="B268" s="204">
        <f>VALUE(RIGHT(C268,LEN(C268)-2))</f>
        <v>2454</v>
      </c>
      <c r="C268" s="74" t="s">
        <v>1178</v>
      </c>
      <c r="D268" s="75">
        <v>45853</v>
      </c>
      <c r="E268" s="68" t="s">
        <v>53</v>
      </c>
      <c r="F268" s="68" t="s">
        <v>252</v>
      </c>
      <c r="G268" s="68" t="s">
        <v>210</v>
      </c>
      <c r="H268" s="304" t="s">
        <v>210</v>
      </c>
      <c r="I268" s="69" t="s">
        <v>1179</v>
      </c>
      <c r="J268" s="69"/>
      <c r="K268" s="68" t="s">
        <v>13</v>
      </c>
      <c r="L268" s="69" t="s">
        <v>123</v>
      </c>
      <c r="M268" s="71" t="s">
        <v>141</v>
      </c>
      <c r="N268" s="69" t="e" vm="1">
        <v>#VALUE!</v>
      </c>
      <c r="O268" s="84">
        <v>45903</v>
      </c>
      <c r="P268" s="69" t="s">
        <v>213</v>
      </c>
      <c r="Q268" s="72" t="s">
        <v>259</v>
      </c>
      <c r="R268" s="162"/>
      <c r="S268" s="146"/>
      <c r="T268" s="68" t="s">
        <v>155</v>
      </c>
      <c r="U268" s="87"/>
      <c r="V268" s="183">
        <v>45855</v>
      </c>
      <c r="W268" s="73"/>
      <c r="X268" s="73"/>
      <c r="Y268" s="83" t="str">
        <f>IF(SUM(W268:W268)&gt;0,X268/SUM(W268:W268)*1000000,"N/A")</f>
        <v>N/A</v>
      </c>
      <c r="Z268" s="80"/>
      <c r="AA268" s="80"/>
      <c r="AB268" s="150"/>
      <c r="AC268" s="75"/>
      <c r="AD268" s="332"/>
      <c r="AE268" s="68"/>
      <c r="AF268" s="73"/>
      <c r="AG268" s="182">
        <f>YEAR(V268)</f>
        <v>2025</v>
      </c>
      <c r="AH268" s="86" t="str">
        <f>+IF(AG268=$AH$22,MONTH(V268),"")</f>
        <v/>
      </c>
      <c r="AI268" s="86">
        <f>+IF(AG268=$AI$22,MONTH(V268),"")</f>
        <v>7</v>
      </c>
      <c r="AJ268" s="86" t="str">
        <f>+IF(AG268=$AJ$22,MONTH(V268),"")</f>
        <v/>
      </c>
      <c r="AK268" s="86" t="str">
        <f>+IF(AG268=$AK$22,MONTH(V268),"")</f>
        <v/>
      </c>
      <c r="AL268" s="86" t="str">
        <f>+IF(AG268=$AL$22,MONTH(V268),"")</f>
        <v/>
      </c>
      <c r="AM268" s="86" t="str">
        <f>+IF($AG268=$AM$22,MONTH($D268),"")</f>
        <v/>
      </c>
      <c r="AN268" s="89" t="str">
        <f>+IF($AG268=AN$22,MONTH($D268),"")</f>
        <v/>
      </c>
      <c r="AO268" s="184" t="str">
        <f>+IF($AG268=AO$22,MONTH($D268),"")</f>
        <v/>
      </c>
      <c r="AP268" s="184" t="str">
        <f>+IF($AG268=AP$22,MONTH($D268),"")</f>
        <v/>
      </c>
      <c r="AQ268" s="184" t="str">
        <f>+IF($AG268=AQ$22,MONTH($D268),"")</f>
        <v/>
      </c>
      <c r="AR268" s="184" t="str">
        <f>+IF($AG268=AR$22,MONTH($D268),"")</f>
        <v/>
      </c>
      <c r="AS268" s="184" t="str">
        <f>+IF($AG268=AS$22,MONTH($D268),"")</f>
        <v/>
      </c>
      <c r="AT268" s="86" t="str">
        <f>+IF($AG268=AT$22,MONTH($D268),"")</f>
        <v/>
      </c>
      <c r="AU268" s="86" t="str">
        <f>+IF($AG268=AU$22,MONTH($D268),"")</f>
        <v/>
      </c>
      <c r="AV268" s="86" t="str">
        <f>+IF($AG268=AV$22,MONTH($D268),"")</f>
        <v/>
      </c>
      <c r="AW268" s="86" t="str">
        <f>+IF($AG268=AW$22,MONTH($D268),"")</f>
        <v/>
      </c>
      <c r="AX268" s="86" t="str">
        <f>+IF($AG268=AX$22,MONTH($D268),"")</f>
        <v/>
      </c>
      <c r="AY268" s="89"/>
      <c r="AZ268" s="89"/>
      <c r="BA268" s="89"/>
      <c r="BB268" s="89"/>
      <c r="BC268" s="89"/>
      <c r="BD268" s="89"/>
      <c r="BE268" s="89"/>
      <c r="BF268" s="89"/>
      <c r="BG268" s="89"/>
      <c r="BH268" s="89"/>
      <c r="BI268" s="89"/>
      <c r="BJ268" s="89"/>
      <c r="BK268" s="89"/>
      <c r="BL268" s="89"/>
      <c r="BM268" s="89"/>
      <c r="BN268" s="89"/>
      <c r="BO268" s="89"/>
      <c r="BP268" s="89"/>
    </row>
    <row r="269" spans="1:68" s="381" customFormat="1" ht="45.75" hidden="1" customHeight="1">
      <c r="A269" s="204" t="str">
        <f>+IFERROR(VALUE(MID(AB269,4,4)),"")</f>
        <v/>
      </c>
      <c r="B269" s="204">
        <f>VALUE(RIGHT(C269,LEN(C269)-2))</f>
        <v>2453</v>
      </c>
      <c r="C269" s="74" t="s">
        <v>1180</v>
      </c>
      <c r="D269" s="75">
        <v>45603</v>
      </c>
      <c r="E269" s="70" t="s">
        <v>1181</v>
      </c>
      <c r="F269" s="70" t="s">
        <v>1181</v>
      </c>
      <c r="G269" s="68" t="s">
        <v>1182</v>
      </c>
      <c r="H269" s="282" t="s">
        <v>1183</v>
      </c>
      <c r="I269" s="162" t="s">
        <v>1184</v>
      </c>
      <c r="J269" s="162"/>
      <c r="K269" s="68" t="s">
        <v>9</v>
      </c>
      <c r="L269" s="69" t="s">
        <v>120</v>
      </c>
      <c r="M269" s="71" t="s">
        <v>141</v>
      </c>
      <c r="N269" s="69" t="e" vm="1">
        <v>#VALUE!</v>
      </c>
      <c r="O269" s="84">
        <v>45852</v>
      </c>
      <c r="P269" s="72" t="s">
        <v>258</v>
      </c>
      <c r="Q269" s="72" t="s">
        <v>259</v>
      </c>
      <c r="R269" s="162"/>
      <c r="S269" s="146"/>
      <c r="T269" s="68" t="s">
        <v>155</v>
      </c>
      <c r="U269" s="87"/>
      <c r="V269" s="183">
        <v>45846</v>
      </c>
      <c r="W269" s="73"/>
      <c r="X269" s="73"/>
      <c r="Y269" s="83" t="str">
        <f>IF(SUM(W269:W269)&gt;0,X269/SUM(W269:W269)*1000000,"N/A")</f>
        <v>N/A</v>
      </c>
      <c r="Z269" s="183"/>
      <c r="AA269" s="183"/>
      <c r="AB269" s="73"/>
      <c r="AC269" s="153"/>
      <c r="AD269" s="331"/>
      <c r="AE269" s="57"/>
      <c r="AF269" s="88"/>
      <c r="AG269" s="182">
        <f>YEAR(V269)</f>
        <v>2025</v>
      </c>
      <c r="AH269" s="86" t="str">
        <f>+IF(AG269=$AH$22,MONTH(V269),"")</f>
        <v/>
      </c>
      <c r="AI269" s="86">
        <f>+IF(AG269=$AI$22,MONTH(V269),"")</f>
        <v>7</v>
      </c>
      <c r="AJ269" s="86" t="str">
        <f>+IF(AG269=$AJ$22,MONTH(V269),"")</f>
        <v/>
      </c>
      <c r="AK269" s="86" t="str">
        <f>+IF(AG269=$AK$22,MONTH(V269),"")</f>
        <v/>
      </c>
      <c r="AL269" s="86"/>
      <c r="AM269" s="89"/>
      <c r="AN269" s="89"/>
      <c r="AO269" s="89"/>
      <c r="AP269" s="89"/>
      <c r="AQ269" s="89"/>
      <c r="AR269" s="89"/>
      <c r="AS269" s="89"/>
      <c r="AT269" s="89"/>
      <c r="AU269" s="89"/>
      <c r="AV269" s="89"/>
      <c r="AW269" s="86" t="str">
        <f>+IF($AG269=AW$22,MONTH($D269),"")</f>
        <v/>
      </c>
      <c r="AX269" s="86" t="str">
        <f>+IF($AG269=AX$22,MONTH($D269),"")</f>
        <v/>
      </c>
      <c r="AY269" s="89"/>
      <c r="AZ269" s="89"/>
      <c r="BA269" s="89"/>
      <c r="BB269" s="89"/>
      <c r="BC269" s="89"/>
      <c r="BD269" s="89"/>
      <c r="BE269" s="89"/>
      <c r="BF269" s="89"/>
      <c r="BG269" s="89"/>
      <c r="BH269" s="89"/>
      <c r="BI269" s="89"/>
      <c r="BJ269" s="89"/>
      <c r="BK269" s="89"/>
      <c r="BL269" s="89"/>
      <c r="BM269" s="89"/>
      <c r="BN269" s="89"/>
      <c r="BO269" s="89"/>
      <c r="BP269" s="89"/>
    </row>
    <row r="270" spans="1:68" s="320" customFormat="1" ht="45.75" hidden="1" customHeight="1">
      <c r="A270" s="204" t="str">
        <f>+IFERROR(VALUE(MID(AB270,4,4)),"")</f>
        <v/>
      </c>
      <c r="B270" s="204">
        <f>VALUE(RIGHT(C270,LEN(C270)-2))</f>
        <v>2452</v>
      </c>
      <c r="C270" s="74" t="s">
        <v>1185</v>
      </c>
      <c r="D270" s="75">
        <v>45845</v>
      </c>
      <c r="E270" s="68" t="s">
        <v>53</v>
      </c>
      <c r="F270" s="68" t="s">
        <v>313</v>
      </c>
      <c r="G270" s="68" t="s">
        <v>210</v>
      </c>
      <c r="H270" s="304" t="s">
        <v>210</v>
      </c>
      <c r="I270" s="69" t="s">
        <v>1186</v>
      </c>
      <c r="J270" s="69"/>
      <c r="K270" s="68" t="s">
        <v>9</v>
      </c>
      <c r="L270" s="69" t="s">
        <v>123</v>
      </c>
      <c r="M270" s="71" t="s">
        <v>141</v>
      </c>
      <c r="N270" s="69" t="e" vm="1">
        <v>#VALUE!</v>
      </c>
      <c r="O270" s="84">
        <v>45890</v>
      </c>
      <c r="P270" s="69" t="s">
        <v>213</v>
      </c>
      <c r="Q270" s="69" t="s">
        <v>316</v>
      </c>
      <c r="R270" s="69"/>
      <c r="S270" s="146"/>
      <c r="T270" s="68" t="s">
        <v>155</v>
      </c>
      <c r="U270" s="87"/>
      <c r="V270" s="183">
        <v>45848</v>
      </c>
      <c r="W270" s="73"/>
      <c r="X270" s="73"/>
      <c r="Y270" s="83" t="str">
        <f>IF(SUM(W270:W270)&gt;0,X270/SUM(W270:W270)*1000000,"N/A")</f>
        <v>N/A</v>
      </c>
      <c r="Z270" s="80"/>
      <c r="AA270" s="80"/>
      <c r="AB270" s="150"/>
      <c r="AC270" s="75"/>
      <c r="AD270" s="332"/>
      <c r="AE270" s="68"/>
      <c r="AF270" s="73"/>
      <c r="AG270" s="182">
        <f>YEAR(V270)</f>
        <v>2025</v>
      </c>
      <c r="AH270" s="86" t="str">
        <f>+IF(AG270=$AH$22,MONTH(V270),"")</f>
        <v/>
      </c>
      <c r="AI270" s="86">
        <f>+IF(AG270=$AI$22,MONTH(V270),"")</f>
        <v>7</v>
      </c>
      <c r="AJ270" s="86" t="str">
        <f>+IF(AG270=$AJ$22,MONTH(V270),"")</f>
        <v/>
      </c>
      <c r="AK270" s="86" t="str">
        <f>+IF(AG270=$AK$22,MONTH(V270),"")</f>
        <v/>
      </c>
      <c r="AL270" s="86" t="str">
        <f>+IF(AG270=$AL$22,MONTH(V270),"")</f>
        <v/>
      </c>
      <c r="AM270" s="86" t="str">
        <f>+IF($AG270=$AM$22,MONTH($D270),"")</f>
        <v/>
      </c>
      <c r="AN270" s="89" t="str">
        <f>+IF($AG270=AN$22,MONTH($D270),"")</f>
        <v/>
      </c>
      <c r="AO270" s="184" t="str">
        <f>+IF($AG270=AO$22,MONTH($D270),"")</f>
        <v/>
      </c>
      <c r="AP270" s="184" t="str">
        <f>+IF($AG270=AP$22,MONTH($D270),"")</f>
        <v/>
      </c>
      <c r="AQ270" s="184" t="str">
        <f>+IF($AG270=AQ$22,MONTH($D270),"")</f>
        <v/>
      </c>
      <c r="AR270" s="184" t="str">
        <f>+IF($AG270=AR$22,MONTH($D270),"")</f>
        <v/>
      </c>
      <c r="AS270" s="184" t="str">
        <f>+IF($AG270=AS$22,MONTH($D270),"")</f>
        <v/>
      </c>
      <c r="AT270" s="86" t="str">
        <f>+IF($AG270=AT$22,MONTH($D270),"")</f>
        <v/>
      </c>
      <c r="AU270" s="86" t="str">
        <f>+IF($AG270=AU$22,MONTH($D270),"")</f>
        <v/>
      </c>
      <c r="AV270" s="86" t="str">
        <f>+IF($AG270=AV$22,MONTH($D270),"")</f>
        <v/>
      </c>
      <c r="AW270" s="86" t="str">
        <f>+IF($AG270=AW$22,MONTH($D270),"")</f>
        <v/>
      </c>
      <c r="AX270" s="86" t="str">
        <f>+IF($AG270=AX$22,MONTH($D270),"")</f>
        <v/>
      </c>
      <c r="AY270" s="89"/>
      <c r="AZ270" s="89"/>
      <c r="BA270" s="89"/>
      <c r="BB270" s="89"/>
      <c r="BC270" s="89"/>
      <c r="BD270" s="89"/>
      <c r="BE270" s="89"/>
      <c r="BF270" s="89"/>
      <c r="BG270" s="89"/>
      <c r="BH270" s="89"/>
      <c r="BI270" s="89"/>
      <c r="BJ270" s="89"/>
      <c r="BK270" s="89"/>
      <c r="BL270" s="89"/>
      <c r="BM270" s="89"/>
      <c r="BN270" s="89"/>
      <c r="BO270" s="89"/>
      <c r="BP270" s="89"/>
    </row>
    <row r="271" spans="1:68" s="381" customFormat="1" ht="45.75" hidden="1" customHeight="1">
      <c r="A271" s="204" t="str">
        <f>+IFERROR(VALUE(MID(AB271,4,4)),"")</f>
        <v/>
      </c>
      <c r="B271" s="204">
        <f>VALUE(RIGHT(C271,LEN(C271)-2))</f>
        <v>2451</v>
      </c>
      <c r="C271" s="74" t="s">
        <v>1187</v>
      </c>
      <c r="D271" s="75">
        <v>45845</v>
      </c>
      <c r="E271" s="68" t="s">
        <v>53</v>
      </c>
      <c r="F271" s="68" t="s">
        <v>209</v>
      </c>
      <c r="G271" s="68" t="s">
        <v>210</v>
      </c>
      <c r="H271" s="304" t="s">
        <v>210</v>
      </c>
      <c r="I271" s="69" t="s">
        <v>1188</v>
      </c>
      <c r="J271" s="69"/>
      <c r="K271" s="68" t="s">
        <v>944</v>
      </c>
      <c r="L271" s="69" t="s">
        <v>123</v>
      </c>
      <c r="M271" s="71" t="s">
        <v>141</v>
      </c>
      <c r="N271" s="69" t="e" vm="1">
        <v>#VALUE!</v>
      </c>
      <c r="O271" s="84">
        <v>45889</v>
      </c>
      <c r="P271" s="69" t="s">
        <v>1018</v>
      </c>
      <c r="Q271" s="69" t="s">
        <v>316</v>
      </c>
      <c r="R271" s="69"/>
      <c r="S271" s="146"/>
      <c r="T271" s="68" t="s">
        <v>165</v>
      </c>
      <c r="U271" s="87"/>
      <c r="V271" s="183">
        <v>45957</v>
      </c>
      <c r="W271" s="73">
        <v>44776</v>
      </c>
      <c r="X271" s="73">
        <v>2004</v>
      </c>
      <c r="Y271" s="83">
        <f>IF(SUM(W271:W271)&gt;0,X271/SUM(W271:W271)*1000000,"N/A")</f>
        <v>44756.119349651599</v>
      </c>
      <c r="Z271" s="80"/>
      <c r="AA271" s="80"/>
      <c r="AB271" s="150"/>
      <c r="AC271" s="75"/>
      <c r="AD271" s="332"/>
      <c r="AE271" s="68"/>
      <c r="AF271" s="73"/>
      <c r="AG271" s="182">
        <f>YEAR(V271)</f>
        <v>2025</v>
      </c>
      <c r="AH271" s="86" t="str">
        <f>+IF(AG271=$AH$22,MONTH(V271),"")</f>
        <v/>
      </c>
      <c r="AI271" s="86">
        <f>+IF(AG271=$AI$22,MONTH(V271),"")</f>
        <v>10</v>
      </c>
      <c r="AJ271" s="86" t="str">
        <f>+IF(AG271=$AJ$22,MONTH(V271),"")</f>
        <v/>
      </c>
      <c r="AK271" s="86" t="str">
        <f>+IF(AG271=$AK$22,MONTH(V271),"")</f>
        <v/>
      </c>
      <c r="AL271" s="86" t="str">
        <f>+IF(AG271=$AL$22,MONTH(V271),"")</f>
        <v/>
      </c>
      <c r="AM271" s="86" t="str">
        <f>+IF($AG271=$AM$22,MONTH($D271),"")</f>
        <v/>
      </c>
      <c r="AN271" s="89" t="str">
        <f>+IF($AG271=AN$22,MONTH($D271),"")</f>
        <v/>
      </c>
      <c r="AO271" s="184" t="str">
        <f>+IF($AG271=AO$22,MONTH($D271),"")</f>
        <v/>
      </c>
      <c r="AP271" s="184" t="str">
        <f>+IF($AG271=AP$22,MONTH($D271),"")</f>
        <v/>
      </c>
      <c r="AQ271" s="184" t="str">
        <f>+IF($AG271=AQ$22,MONTH($D271),"")</f>
        <v/>
      </c>
      <c r="AR271" s="184" t="str">
        <f>+IF($AG271=AR$22,MONTH($D271),"")</f>
        <v/>
      </c>
      <c r="AS271" s="184" t="str">
        <f>+IF($AG271=AS$22,MONTH($D271),"")</f>
        <v/>
      </c>
      <c r="AT271" s="86" t="str">
        <f>+IF($AG271=AT$22,MONTH($D271),"")</f>
        <v/>
      </c>
      <c r="AU271" s="86" t="str">
        <f>+IF($AG271=AU$22,MONTH($D271),"")</f>
        <v/>
      </c>
      <c r="AV271" s="86" t="str">
        <f>+IF($AG271=AV$22,MONTH($D271),"")</f>
        <v/>
      </c>
      <c r="AW271" s="86" t="str">
        <f>+IF($AG271=AW$22,MONTH($D271),"")</f>
        <v/>
      </c>
      <c r="AX271" s="86" t="str">
        <f>+IF($AG271=AX$22,MONTH($D271),"")</f>
        <v/>
      </c>
      <c r="AY271" s="89"/>
      <c r="AZ271" s="89"/>
      <c r="BA271" s="89"/>
      <c r="BB271" s="89"/>
      <c r="BC271" s="89"/>
      <c r="BD271" s="89"/>
      <c r="BE271" s="89"/>
      <c r="BF271" s="89"/>
      <c r="BG271" s="89"/>
      <c r="BH271" s="89"/>
      <c r="BI271" s="89"/>
      <c r="BJ271" s="89"/>
      <c r="BK271" s="89"/>
      <c r="BL271" s="89"/>
      <c r="BM271" s="89"/>
      <c r="BN271" s="89"/>
      <c r="BO271" s="89"/>
      <c r="BP271" s="89"/>
    </row>
    <row r="272" spans="1:68" s="381" customFormat="1" ht="45.75" hidden="1" customHeight="1">
      <c r="A272" s="204" t="str">
        <f>+IFERROR(VALUE(MID(AB272,4,4)),"")</f>
        <v/>
      </c>
      <c r="B272" s="204">
        <f>VALUE(RIGHT(C272,LEN(C272)-2))</f>
        <v>2450</v>
      </c>
      <c r="C272" s="74" t="s">
        <v>1189</v>
      </c>
      <c r="D272" s="75">
        <v>45846</v>
      </c>
      <c r="E272" s="70" t="s">
        <v>262</v>
      </c>
      <c r="F272" s="70" t="s">
        <v>263</v>
      </c>
      <c r="G272" s="68" t="s">
        <v>1190</v>
      </c>
      <c r="H272" s="307" t="s">
        <v>1191</v>
      </c>
      <c r="I272" s="69" t="s">
        <v>1192</v>
      </c>
      <c r="J272" s="69"/>
      <c r="K272" s="68" t="s">
        <v>212</v>
      </c>
      <c r="L272" s="69" t="s">
        <v>123</v>
      </c>
      <c r="M272" s="71" t="s">
        <v>141</v>
      </c>
      <c r="N272" s="69" t="e" vm="1">
        <v>#VALUE!</v>
      </c>
      <c r="O272" s="84">
        <v>45902</v>
      </c>
      <c r="P272" s="72" t="s">
        <v>412</v>
      </c>
      <c r="Q272" s="72" t="s">
        <v>652</v>
      </c>
      <c r="R272" s="162"/>
      <c r="S272" s="146" t="s">
        <v>1193</v>
      </c>
      <c r="T272" s="68" t="s">
        <v>158</v>
      </c>
      <c r="U272" s="87">
        <v>0.01</v>
      </c>
      <c r="V272" s="80">
        <v>45902</v>
      </c>
      <c r="W272" s="73"/>
      <c r="X272" s="73"/>
      <c r="Y272" s="169" t="str">
        <f>IF(SUM(W272:W272)&gt;0,X272/SUM(W272:W272)*1000000,"N/A")</f>
        <v>N/A</v>
      </c>
      <c r="Z272" s="80"/>
      <c r="AA272" s="80"/>
      <c r="AB272" s="73"/>
      <c r="AC272" s="153"/>
      <c r="AD272" s="330"/>
      <c r="AE272" s="305"/>
      <c r="AF272" s="88"/>
      <c r="AG272" s="182">
        <f>YEAR(V272)</f>
        <v>2025</v>
      </c>
      <c r="AH272" s="86" t="str">
        <f>+IF(AG272=$AH$22,MONTH(V272),"")</f>
        <v/>
      </c>
      <c r="AI272" s="86">
        <f>+IF(AG272=$AI$22,MONTH(V272),"")</f>
        <v>9</v>
      </c>
      <c r="AJ272" s="86" t="str">
        <f>+IF(AG272=$AJ$22,MONTH(V272),"")</f>
        <v/>
      </c>
      <c r="AK272" s="86" t="str">
        <f>+IF(AG272=$AK$22,MONTH(V272),"")</f>
        <v/>
      </c>
      <c r="AL272" s="86" t="str">
        <f>+IF(AG272=$AL$22,MONTH(V272),"")</f>
        <v/>
      </c>
      <c r="AM272" s="86" t="str">
        <f>+IF($AG272=$AM$22,MONTH($D272),"")</f>
        <v/>
      </c>
      <c r="AN272" s="89" t="str">
        <f>+IF($AG272=AN$22,MONTH($D272),"")</f>
        <v/>
      </c>
      <c r="AO272" s="89" t="str">
        <f>+IF($AG272=AO$22,MONTH($D272),"")</f>
        <v/>
      </c>
      <c r="AP272" s="89" t="str">
        <f>+IF($AG272=AP$22,MONTH($D272),"")</f>
        <v/>
      </c>
      <c r="AQ272" s="89" t="str">
        <f>+IF($AG272=AQ$22,MONTH($D272),"")</f>
        <v/>
      </c>
      <c r="AR272" s="89" t="str">
        <f>+IF($AG272=AR$22,MONTH($D272),"")</f>
        <v/>
      </c>
      <c r="AS272" s="89" t="str">
        <f>+IF($AG272=AS$22,MONTH($D272),"")</f>
        <v/>
      </c>
      <c r="AT272" s="89" t="str">
        <f>+IF($AG272=AT$22,MONTH($D272),"")</f>
        <v/>
      </c>
      <c r="AU272" s="89" t="str">
        <f>+IF($AG272=AU$22,MONTH($D272),"")</f>
        <v/>
      </c>
      <c r="AV272" s="89" t="str">
        <f>+IF($AG272=AV$22,MONTH($D272),"")</f>
        <v/>
      </c>
      <c r="AW272" s="86" t="str">
        <f>+IF($AG272=AW$22,MONTH($D272),"")</f>
        <v/>
      </c>
      <c r="AX272" s="86" t="str">
        <f>+IF($AG272=AX$22,MONTH($D272),"")</f>
        <v/>
      </c>
      <c r="AY272" s="89"/>
      <c r="AZ272" s="89"/>
      <c r="BA272" s="89"/>
      <c r="BB272" s="89"/>
      <c r="BC272" s="89"/>
      <c r="BD272" s="89"/>
      <c r="BE272" s="89"/>
      <c r="BF272" s="89"/>
      <c r="BG272" s="89"/>
      <c r="BH272" s="89"/>
      <c r="BI272" s="89"/>
      <c r="BJ272" s="89"/>
      <c r="BK272" s="89"/>
      <c r="BL272" s="89"/>
      <c r="BM272" s="89"/>
      <c r="BN272" s="89"/>
      <c r="BO272" s="89"/>
      <c r="BP272" s="89"/>
    </row>
    <row r="273" spans="1:68" s="56" customFormat="1" ht="51" hidden="1" customHeight="1">
      <c r="A273" s="204" t="str">
        <f>+IFERROR(VALUE(MID(AB273,4,4)),"")</f>
        <v/>
      </c>
      <c r="B273" s="204">
        <f>VALUE(RIGHT(C273,LEN(C273)-2))</f>
        <v>2449</v>
      </c>
      <c r="C273" s="74" t="s">
        <v>1194</v>
      </c>
      <c r="D273" s="75">
        <v>45603</v>
      </c>
      <c r="E273" s="70" t="s">
        <v>1195</v>
      </c>
      <c r="F273" s="70" t="s">
        <v>34</v>
      </c>
      <c r="G273" s="68" t="s">
        <v>1196</v>
      </c>
      <c r="H273" s="282" t="s">
        <v>1197</v>
      </c>
      <c r="I273" s="162" t="s">
        <v>1198</v>
      </c>
      <c r="J273" s="162"/>
      <c r="K273" s="68" t="s">
        <v>9</v>
      </c>
      <c r="L273" s="69" t="s">
        <v>120</v>
      </c>
      <c r="M273" s="71" t="s">
        <v>141</v>
      </c>
      <c r="N273" s="69" t="e" vm="1">
        <v>#VALUE!</v>
      </c>
      <c r="O273" s="84">
        <v>45868</v>
      </c>
      <c r="P273" s="72" t="s">
        <v>289</v>
      </c>
      <c r="Q273" s="72" t="s">
        <v>259</v>
      </c>
      <c r="R273" s="162"/>
      <c r="S273" s="146"/>
      <c r="T273" s="68" t="s">
        <v>168</v>
      </c>
      <c r="U273" s="87"/>
      <c r="V273" s="183">
        <v>45845</v>
      </c>
      <c r="W273" s="73"/>
      <c r="X273" s="73"/>
      <c r="Y273" s="83" t="str">
        <f>IF(SUM(W273:W273)&gt;0,X273/SUM(W273:W273)*1000000,"N/A")</f>
        <v>N/A</v>
      </c>
      <c r="Z273" s="183"/>
      <c r="AA273" s="183"/>
      <c r="AB273" s="73"/>
      <c r="AC273" s="153"/>
      <c r="AD273" s="331"/>
      <c r="AE273" s="57"/>
      <c r="AF273" s="88"/>
      <c r="AG273" s="182">
        <f>YEAR(V273)</f>
        <v>2025</v>
      </c>
      <c r="AH273" s="86" t="str">
        <f>+IF(AG273=$AH$22,MONTH(V273),"")</f>
        <v/>
      </c>
      <c r="AI273" s="86">
        <f>+IF(AG273=$AI$22,MONTH(V273),"")</f>
        <v>7</v>
      </c>
      <c r="AJ273" s="86" t="str">
        <f>+IF(AG273=$AJ$22,MONTH(V273),"")</f>
        <v/>
      </c>
      <c r="AK273" s="86" t="str">
        <f>+IF(AG273=$AK$22,MONTH(V273),"")</f>
        <v/>
      </c>
      <c r="AL273" s="86"/>
      <c r="AM273" s="89"/>
      <c r="AN273" s="89"/>
      <c r="AO273" s="89"/>
      <c r="AP273" s="89"/>
      <c r="AQ273" s="89"/>
      <c r="AR273" s="89"/>
      <c r="AS273" s="89"/>
      <c r="AT273" s="89"/>
      <c r="AU273" s="89"/>
      <c r="AV273" s="89"/>
      <c r="AW273" s="86" t="str">
        <f>+IF($AG273=AW$22,MONTH($D273),"")</f>
        <v/>
      </c>
      <c r="AX273" s="86" t="str">
        <f>+IF($AG273=AX$22,MONTH($D273),"")</f>
        <v/>
      </c>
      <c r="AY273" s="89"/>
      <c r="AZ273" s="89"/>
      <c r="BA273" s="89"/>
      <c r="BB273" s="89"/>
      <c r="BC273" s="89"/>
      <c r="BD273" s="89"/>
      <c r="BE273" s="89"/>
      <c r="BF273" s="89"/>
      <c r="BG273" s="89"/>
      <c r="BH273" s="89"/>
      <c r="BI273" s="89"/>
      <c r="BJ273" s="89"/>
      <c r="BK273" s="89"/>
      <c r="BL273" s="89"/>
      <c r="BM273" s="89"/>
      <c r="BN273" s="89"/>
      <c r="BO273" s="89"/>
      <c r="BP273" s="89"/>
    </row>
    <row r="274" spans="1:68" s="320" customFormat="1" ht="45.75" hidden="1" customHeight="1">
      <c r="A274" s="204">
        <f>+IFERROR(VALUE(MID(AB274,4,4)),"")</f>
        <v>449</v>
      </c>
      <c r="B274" s="204">
        <f>VALUE(RIGHT(C274,LEN(C274)-2))</f>
        <v>2448</v>
      </c>
      <c r="C274" s="74" t="s">
        <v>1199</v>
      </c>
      <c r="D274" s="75">
        <v>45838</v>
      </c>
      <c r="E274" s="70" t="s">
        <v>53</v>
      </c>
      <c r="F274" s="70" t="s">
        <v>460</v>
      </c>
      <c r="G274" s="68" t="s">
        <v>915</v>
      </c>
      <c r="H274" s="282" t="s">
        <v>916</v>
      </c>
      <c r="I274" s="162" t="s">
        <v>1200</v>
      </c>
      <c r="J274" s="162"/>
      <c r="K274" s="68" t="s">
        <v>9</v>
      </c>
      <c r="L274" s="69" t="s">
        <v>120</v>
      </c>
      <c r="M274" s="71" t="s">
        <v>141</v>
      </c>
      <c r="N274" s="69" t="e" vm="1">
        <v>#VALUE!</v>
      </c>
      <c r="O274" s="164">
        <v>45861</v>
      </c>
      <c r="P274" s="72" t="s">
        <v>258</v>
      </c>
      <c r="Q274" s="72" t="s">
        <v>259</v>
      </c>
      <c r="R274" s="162"/>
      <c r="S274" s="146"/>
      <c r="T274" s="68" t="s">
        <v>3</v>
      </c>
      <c r="U274" s="87">
        <v>0</v>
      </c>
      <c r="V274" s="183">
        <v>45874</v>
      </c>
      <c r="W274" s="73">
        <v>4692</v>
      </c>
      <c r="X274" s="73">
        <v>248.27500000000001</v>
      </c>
      <c r="Y274" s="83">
        <f>IF(SUM(W274:W274)&gt;0,X274/SUM(W274:W274)*1000000,"N/A")</f>
        <v>52914.535379369139</v>
      </c>
      <c r="Z274" s="183"/>
      <c r="AA274" s="183"/>
      <c r="AB274" s="73" t="s">
        <v>1201</v>
      </c>
      <c r="AC274" s="153"/>
      <c r="AD274" s="331"/>
      <c r="AE274" s="57"/>
      <c r="AF274" s="88"/>
      <c r="AG274" s="182">
        <f>YEAR(V274)</f>
        <v>2025</v>
      </c>
      <c r="AH274" s="86" t="str">
        <f>+IF(AG274=$AH$22,MONTH(V274),"")</f>
        <v/>
      </c>
      <c r="AI274" s="86">
        <f>+IF(AG274=$AI$22,MONTH(V274),"")</f>
        <v>8</v>
      </c>
      <c r="AJ274" s="86" t="str">
        <f>+IF(AG274=$AJ$22,MONTH(V274),"")</f>
        <v/>
      </c>
      <c r="AK274" s="86" t="str">
        <f>+IF(AG274=$AK$22,MONTH(V274),"")</f>
        <v/>
      </c>
      <c r="AL274" s="86"/>
      <c r="AM274" s="89"/>
      <c r="AN274" s="89"/>
      <c r="AO274" s="89"/>
      <c r="AP274" s="89"/>
      <c r="AQ274" s="89"/>
      <c r="AR274" s="89"/>
      <c r="AS274" s="89"/>
      <c r="AT274" s="89"/>
      <c r="AU274" s="89"/>
      <c r="AV274" s="89"/>
      <c r="AW274" s="86" t="str">
        <f>+IF($AG274=AW$22,MONTH($D274),"")</f>
        <v/>
      </c>
      <c r="AX274" s="86" t="str">
        <f>+IF($AG274=AX$22,MONTH($D274),"")</f>
        <v/>
      </c>
      <c r="AY274" s="89"/>
      <c r="AZ274" s="89"/>
      <c r="BA274" s="89"/>
      <c r="BB274" s="89"/>
      <c r="BC274" s="89"/>
      <c r="BD274" s="89"/>
      <c r="BE274" s="89"/>
      <c r="BF274" s="89"/>
      <c r="BG274" s="89"/>
      <c r="BH274" s="89"/>
      <c r="BI274" s="89"/>
      <c r="BJ274" s="89"/>
      <c r="BK274" s="89"/>
      <c r="BL274" s="89"/>
      <c r="BM274" s="89"/>
      <c r="BN274" s="89"/>
      <c r="BO274" s="89"/>
      <c r="BP274" s="89"/>
    </row>
    <row r="275" spans="1:68" s="56" customFormat="1" ht="31.5" hidden="1" customHeight="1">
      <c r="A275" s="204" t="str">
        <f>+IFERROR(VALUE(MID(AB275,4,4)),"")</f>
        <v/>
      </c>
      <c r="B275" s="204">
        <f>VALUE(RIGHT(C275,LEN(C275)-2))</f>
        <v>2447</v>
      </c>
      <c r="C275" s="74" t="s">
        <v>1202</v>
      </c>
      <c r="D275" s="75">
        <v>45835</v>
      </c>
      <c r="E275" s="70" t="s">
        <v>1203</v>
      </c>
      <c r="F275" s="70" t="s">
        <v>940</v>
      </c>
      <c r="G275" s="68" t="s">
        <v>1204</v>
      </c>
      <c r="H275" s="282" t="s">
        <v>1205</v>
      </c>
      <c r="I275" s="69" t="s">
        <v>1206</v>
      </c>
      <c r="J275" s="69"/>
      <c r="K275" s="68" t="s">
        <v>11</v>
      </c>
      <c r="L275" s="69" t="s">
        <v>123</v>
      </c>
      <c r="M275" s="71" t="s">
        <v>141</v>
      </c>
      <c r="N275" s="69" t="e" vm="1">
        <v>#VALUE!</v>
      </c>
      <c r="O275" s="84">
        <v>45937</v>
      </c>
      <c r="P275" s="72" t="s">
        <v>451</v>
      </c>
      <c r="Q275" s="72" t="s">
        <v>704</v>
      </c>
      <c r="R275" s="162"/>
      <c r="S275" s="146" t="s">
        <v>1207</v>
      </c>
      <c r="T275" s="68" t="s">
        <v>168</v>
      </c>
      <c r="U275" s="87"/>
      <c r="V275" s="183">
        <v>45931</v>
      </c>
      <c r="W275" s="150"/>
      <c r="X275" s="150"/>
      <c r="Y275" s="83" t="str">
        <f>IF(SUM(W275:W275)&gt;0,X275/SUM(W275:W275)*1000000,"N/A")</f>
        <v>N/A</v>
      </c>
      <c r="Z275" s="183"/>
      <c r="AA275" s="183"/>
      <c r="AB275" s="73"/>
      <c r="AC275" s="153"/>
      <c r="AD275" s="331"/>
      <c r="AE275" s="57"/>
      <c r="AF275" s="88"/>
      <c r="AG275" s="182">
        <f>YEAR(V275)</f>
        <v>2025</v>
      </c>
      <c r="AH275" s="86" t="str">
        <f>+IF(AG275=$AH$22,MONTH(V275),"")</f>
        <v/>
      </c>
      <c r="AI275" s="86">
        <f>+IF(AG275=$AI$22,MONTH(V275),"")</f>
        <v>10</v>
      </c>
      <c r="AJ275" s="86" t="str">
        <f>+IF(AG275=$AJ$22,MONTH(V275),"")</f>
        <v/>
      </c>
      <c r="AK275" s="86" t="str">
        <f>+IF(AG275=$AK$22,MONTH(V275),"")</f>
        <v/>
      </c>
      <c r="AL275" s="86" t="str">
        <f>+IF(AG275=$AL$22,MONTH(V275),"")</f>
        <v/>
      </c>
      <c r="AM275" s="86" t="str">
        <f>+IF($AG275=$AM$22,MONTH($D275),"")</f>
        <v/>
      </c>
      <c r="AN275" s="89" t="str">
        <f>+IF($AG275=AN$22,MONTH($D275),"")</f>
        <v/>
      </c>
      <c r="AO275" s="89" t="str">
        <f>+IF($AG275=AO$22,MONTH($D275),"")</f>
        <v/>
      </c>
      <c r="AP275" s="89" t="str">
        <f>+IF($AG275=AP$22,MONTH($D275),"")</f>
        <v/>
      </c>
      <c r="AQ275" s="89" t="str">
        <f>+IF($AG275=AQ$22,MONTH($D275),"")</f>
        <v/>
      </c>
      <c r="AR275" s="89" t="str">
        <f>+IF($AG275=AR$22,MONTH($D275),"")</f>
        <v/>
      </c>
      <c r="AS275" s="89" t="str">
        <f>+IF($AG275=AS$22,MONTH($D275),"")</f>
        <v/>
      </c>
      <c r="AT275" s="89" t="str">
        <f>+IF($AG275=AT$22,MONTH($D275),"")</f>
        <v/>
      </c>
      <c r="AU275" s="89" t="str">
        <f>+IF($AG275=AU$22,MONTH($D275),"")</f>
        <v/>
      </c>
      <c r="AV275" s="89" t="str">
        <f>+IF($AG275=AV$22,MONTH($D275),"")</f>
        <v/>
      </c>
      <c r="AW275" s="86" t="str">
        <f>+IF($AG275=AW$22,MONTH($D275),"")</f>
        <v/>
      </c>
      <c r="AX275" s="86" t="str">
        <f>+IF($AG275=AX$22,MONTH($D275),"")</f>
        <v/>
      </c>
      <c r="AY275" s="89"/>
      <c r="AZ275" s="89"/>
      <c r="BA275" s="89"/>
      <c r="BB275" s="89"/>
      <c r="BC275" s="89"/>
      <c r="BD275" s="89"/>
      <c r="BE275" s="89"/>
      <c r="BF275" s="89"/>
      <c r="BG275" s="89"/>
      <c r="BH275" s="89"/>
      <c r="BI275" s="89"/>
      <c r="BJ275" s="89"/>
      <c r="BK275" s="89"/>
      <c r="BL275" s="89"/>
      <c r="BM275" s="89"/>
      <c r="BN275" s="89"/>
      <c r="BO275" s="89"/>
      <c r="BP275" s="89"/>
    </row>
    <row r="276" spans="1:68" s="56" customFormat="1" ht="33.75" hidden="1" customHeight="1">
      <c r="A276" s="204" t="str">
        <f>+IFERROR(VALUE(MID(AB276,4,4)),"")</f>
        <v/>
      </c>
      <c r="B276" s="204">
        <f>VALUE(RIGHT(C276,LEN(C276)-2))</f>
        <v>2446</v>
      </c>
      <c r="C276" s="74" t="s">
        <v>1208</v>
      </c>
      <c r="D276" s="75">
        <v>45827</v>
      </c>
      <c r="E276" s="70" t="s">
        <v>939</v>
      </c>
      <c r="F276" s="70" t="s">
        <v>940</v>
      </c>
      <c r="G276" s="68" t="s">
        <v>941</v>
      </c>
      <c r="H276" s="282" t="s">
        <v>942</v>
      </c>
      <c r="I276" s="69" t="s">
        <v>1209</v>
      </c>
      <c r="J276" s="69"/>
      <c r="K276" s="68" t="s">
        <v>90</v>
      </c>
      <c r="L276" s="69" t="s">
        <v>120</v>
      </c>
      <c r="M276" s="71" t="s">
        <v>141</v>
      </c>
      <c r="N276" s="69" t="e" vm="1">
        <v>#VALUE!</v>
      </c>
      <c r="O276" s="84">
        <v>45838</v>
      </c>
      <c r="P276" s="72" t="s">
        <v>369</v>
      </c>
      <c r="Q276" s="72" t="s">
        <v>1210</v>
      </c>
      <c r="R276" s="162"/>
      <c r="S276" s="146" t="s">
        <v>1207</v>
      </c>
      <c r="T276" s="68" t="s">
        <v>165</v>
      </c>
      <c r="U276" s="87"/>
      <c r="V276" s="183">
        <v>45960</v>
      </c>
      <c r="W276" s="150">
        <v>124</v>
      </c>
      <c r="X276" s="150">
        <v>8.6999999999999993</v>
      </c>
      <c r="Y276" s="83">
        <f>IF(SUM(W276:W276)&gt;0,X276/SUM(W276:W276)*1000000,"N/A")</f>
        <v>70161.290322580637</v>
      </c>
      <c r="Z276" s="183"/>
      <c r="AA276" s="183"/>
      <c r="AB276" s="73"/>
      <c r="AC276" s="153"/>
      <c r="AD276" s="331"/>
      <c r="AE276" s="57"/>
      <c r="AF276" s="88"/>
      <c r="AG276" s="182">
        <f>YEAR(V276)</f>
        <v>2025</v>
      </c>
      <c r="AH276" s="86" t="str">
        <f>+IF(AG276=$AH$22,MONTH(V276),"")</f>
        <v/>
      </c>
      <c r="AI276" s="86">
        <f>+IF(AG276=$AI$22,MONTH(V276),"")</f>
        <v>10</v>
      </c>
      <c r="AJ276" s="86" t="str">
        <f>+IF(AG276=$AJ$22,MONTH(V276),"")</f>
        <v/>
      </c>
      <c r="AK276" s="86" t="str">
        <f>+IF(AG276=$AK$22,MONTH(V276),"")</f>
        <v/>
      </c>
      <c r="AL276" s="86" t="str">
        <f>+IF(AG276=$AL$22,MONTH(V276),"")</f>
        <v/>
      </c>
      <c r="AM276" s="86" t="str">
        <f>+IF($AG276=$AM$22,MONTH($D276),"")</f>
        <v/>
      </c>
      <c r="AN276" s="89" t="str">
        <f>+IF($AG276=AN$22,MONTH($D276),"")</f>
        <v/>
      </c>
      <c r="AO276" s="89" t="str">
        <f>+IF($AG276=AO$22,MONTH($D276),"")</f>
        <v/>
      </c>
      <c r="AP276" s="89" t="str">
        <f>+IF($AG276=AP$22,MONTH($D276),"")</f>
        <v/>
      </c>
      <c r="AQ276" s="89" t="str">
        <f>+IF($AG276=AQ$22,MONTH($D276),"")</f>
        <v/>
      </c>
      <c r="AR276" s="89" t="str">
        <f>+IF($AG276=AR$22,MONTH($D276),"")</f>
        <v/>
      </c>
      <c r="AS276" s="89" t="str">
        <f>+IF($AG276=AS$22,MONTH($D276),"")</f>
        <v/>
      </c>
      <c r="AT276" s="89" t="str">
        <f>+IF($AG276=AT$22,MONTH($D276),"")</f>
        <v/>
      </c>
      <c r="AU276" s="89" t="str">
        <f>+IF($AG276=AU$22,MONTH($D276),"")</f>
        <v/>
      </c>
      <c r="AV276" s="89" t="str">
        <f>+IF($AG276=AV$22,MONTH($D276),"")</f>
        <v/>
      </c>
      <c r="AW276" s="86" t="str">
        <f>+IF($AG276=AW$22,MONTH($D276),"")</f>
        <v/>
      </c>
      <c r="AX276" s="86" t="str">
        <f>+IF($AG276=AX$22,MONTH($D276),"")</f>
        <v/>
      </c>
      <c r="AY276" s="89"/>
      <c r="AZ276" s="89"/>
      <c r="BA276" s="89"/>
      <c r="BB276" s="89"/>
      <c r="BC276" s="89"/>
      <c r="BD276" s="89"/>
      <c r="BE276" s="89"/>
      <c r="BF276" s="89"/>
      <c r="BG276" s="89"/>
      <c r="BH276" s="89"/>
      <c r="BI276" s="89"/>
      <c r="BJ276" s="89"/>
      <c r="BK276" s="89"/>
      <c r="BL276" s="89"/>
      <c r="BM276" s="89"/>
      <c r="BN276" s="89"/>
      <c r="BO276" s="89"/>
      <c r="BP276" s="89"/>
    </row>
    <row r="277" spans="1:68" s="56" customFormat="1" ht="33.75" hidden="1" customHeight="1">
      <c r="A277" s="204" t="str">
        <f>+IFERROR(VALUE(MID(AB277,4,4)),"")</f>
        <v/>
      </c>
      <c r="B277" s="204">
        <f>VALUE(RIGHT(C277,LEN(C277)-2))</f>
        <v>2445</v>
      </c>
      <c r="C277" s="74" t="s">
        <v>1211</v>
      </c>
      <c r="D277" s="75">
        <v>45826</v>
      </c>
      <c r="E277" s="70" t="s">
        <v>1212</v>
      </c>
      <c r="F277" s="70" t="s">
        <v>1212</v>
      </c>
      <c r="G277" s="68" t="s">
        <v>1213</v>
      </c>
      <c r="H277" s="282" t="s">
        <v>1214</v>
      </c>
      <c r="I277" s="69" t="s">
        <v>1215</v>
      </c>
      <c r="J277" s="69"/>
      <c r="K277" s="68" t="s">
        <v>9</v>
      </c>
      <c r="L277" s="69" t="s">
        <v>120</v>
      </c>
      <c r="M277" s="71" t="s">
        <v>141</v>
      </c>
      <c r="N277" s="69" t="e" vm="1">
        <v>#VALUE!</v>
      </c>
      <c r="O277" s="84">
        <v>45838</v>
      </c>
      <c r="P277" s="72" t="s">
        <v>1058</v>
      </c>
      <c r="Q277" s="82" t="s">
        <v>259</v>
      </c>
      <c r="R277" s="69"/>
      <c r="S277" s="146" t="s">
        <v>1216</v>
      </c>
      <c r="T277" s="68" t="s">
        <v>168</v>
      </c>
      <c r="U277" s="87"/>
      <c r="V277" s="80">
        <v>45832</v>
      </c>
      <c r="W277" s="73"/>
      <c r="X277" s="73"/>
      <c r="Y277" s="83" t="str">
        <f>IF(SUM(W277:W277)&gt;0,X277/SUM(W277:W277)*1000000,"N/A")</f>
        <v>N/A</v>
      </c>
      <c r="Z277" s="80"/>
      <c r="AA277" s="80"/>
      <c r="AB277" s="73"/>
      <c r="AC277" s="153"/>
      <c r="AD277" s="331"/>
      <c r="AE277" s="57"/>
      <c r="AF277" s="88"/>
      <c r="AG277" s="182">
        <f>YEAR(V277)</f>
        <v>2025</v>
      </c>
      <c r="AH277" s="86" t="str">
        <f>+IF(AG277=$AH$22,MONTH(V277),"")</f>
        <v/>
      </c>
      <c r="AI277" s="86">
        <f>+IF(AG277=$AI$22,MONTH(V277),"")</f>
        <v>6</v>
      </c>
      <c r="AJ277" s="86" t="str">
        <f>+IF(AG277=$AJ$22,MONTH(V277),"")</f>
        <v/>
      </c>
      <c r="AK277" s="86" t="str">
        <f>+IF(AG277=$AK$22,MONTH(V277),"")</f>
        <v/>
      </c>
      <c r="AL277" s="86" t="str">
        <f>+IF(AG277=$AL$22,MONTH(V277),"")</f>
        <v/>
      </c>
      <c r="AM277" s="86" t="str">
        <f>+IF($AG277=$AM$22,MONTH($D277),"")</f>
        <v/>
      </c>
      <c r="AN277" s="89" t="str">
        <f>+IF($AG277=AN$22,MONTH($D277),"")</f>
        <v/>
      </c>
      <c r="AO277" s="89" t="str">
        <f>+IF($AG277=AO$22,MONTH($D277),"")</f>
        <v/>
      </c>
      <c r="AP277" s="89" t="str">
        <f>+IF($AG277=AP$22,MONTH($D277),"")</f>
        <v/>
      </c>
      <c r="AQ277" s="89" t="str">
        <f>+IF($AG277=AQ$22,MONTH($D277),"")</f>
        <v/>
      </c>
      <c r="AR277" s="89" t="str">
        <f>+IF($AG277=AR$22,MONTH($D277),"")</f>
        <v/>
      </c>
      <c r="AS277" s="89" t="str">
        <f>+IF($AG277=AS$22,MONTH($D277),"")</f>
        <v/>
      </c>
      <c r="AT277" s="89" t="str">
        <f>+IF($AG277=AT$22,MONTH($D277),"")</f>
        <v/>
      </c>
      <c r="AU277" s="89" t="str">
        <f>+IF($AG277=AU$22,MONTH($D277),"")</f>
        <v/>
      </c>
      <c r="AV277" s="89" t="str">
        <f>+IF($AG277=AV$22,MONTH($D277),"")</f>
        <v/>
      </c>
      <c r="AW277" s="86" t="str">
        <f>+IF($AG277=AW$22,MONTH($D277),"")</f>
        <v/>
      </c>
      <c r="AX277" s="86" t="str">
        <f>+IF($AG277=AX$22,MONTH($D277),"")</f>
        <v/>
      </c>
      <c r="AY277" s="89"/>
      <c r="AZ277" s="89"/>
      <c r="BA277" s="89"/>
      <c r="BB277" s="89"/>
      <c r="BC277" s="89"/>
      <c r="BD277" s="89"/>
      <c r="BE277" s="89"/>
      <c r="BF277" s="89"/>
      <c r="BG277" s="89"/>
      <c r="BH277" s="89"/>
      <c r="BI277" s="89"/>
      <c r="BJ277" s="182"/>
      <c r="BK277" s="182"/>
      <c r="BL277" s="182"/>
      <c r="BM277" s="182"/>
      <c r="BN277" s="89"/>
      <c r="BO277" s="89"/>
      <c r="BP277" s="89"/>
    </row>
    <row r="278" spans="1:68" s="51" customFormat="1" ht="21.75" hidden="1" customHeight="1">
      <c r="A278" s="204">
        <f>+IFERROR(VALUE(MID(AB278,4,4)),"")</f>
        <v>454</v>
      </c>
      <c r="B278" s="204">
        <f>VALUE(RIGHT(C278,LEN(C278)-2))</f>
        <v>2444</v>
      </c>
      <c r="C278" s="74" t="s">
        <v>1217</v>
      </c>
      <c r="D278" s="75">
        <v>45827</v>
      </c>
      <c r="E278" s="70" t="s">
        <v>332</v>
      </c>
      <c r="F278" s="70" t="s">
        <v>332</v>
      </c>
      <c r="G278" s="68" t="s">
        <v>210</v>
      </c>
      <c r="H278" s="304" t="s">
        <v>256</v>
      </c>
      <c r="I278" s="162" t="s">
        <v>1218</v>
      </c>
      <c r="J278" s="162"/>
      <c r="K278" s="68" t="s">
        <v>13</v>
      </c>
      <c r="L278" s="69" t="s">
        <v>123</v>
      </c>
      <c r="M278" s="71" t="s">
        <v>141</v>
      </c>
      <c r="N278" s="69" t="e" vm="1">
        <v>#VALUE!</v>
      </c>
      <c r="O278" s="164">
        <v>45873</v>
      </c>
      <c r="P278" s="72" t="s">
        <v>737</v>
      </c>
      <c r="Q278" s="72" t="s">
        <v>259</v>
      </c>
      <c r="R278" s="162"/>
      <c r="S278" s="146"/>
      <c r="T278" s="68" t="s">
        <v>3</v>
      </c>
      <c r="U278" s="87"/>
      <c r="V278" s="183">
        <v>45903</v>
      </c>
      <c r="W278" s="73">
        <v>2195</v>
      </c>
      <c r="X278" s="73">
        <v>89</v>
      </c>
      <c r="Y278" s="83">
        <f>IF(SUM(W278:W278)&gt;0,X278/SUM(W278:W278)*1000000,"N/A")</f>
        <v>40546.697038724371</v>
      </c>
      <c r="Z278" s="183"/>
      <c r="AA278" s="183"/>
      <c r="AB278" s="73" t="s">
        <v>1219</v>
      </c>
      <c r="AC278" s="153"/>
      <c r="AD278" s="330"/>
      <c r="AE278" s="305"/>
      <c r="AF278" s="88"/>
      <c r="AG278" s="182">
        <f>YEAR(V278)</f>
        <v>2025</v>
      </c>
      <c r="AH278" s="86" t="str">
        <f>+IF(AG278=$AH$22,MONTH(V278),"")</f>
        <v/>
      </c>
      <c r="AI278" s="86">
        <f>+IF(AG278=$AI$22,MONTH(V278),"")</f>
        <v>9</v>
      </c>
      <c r="AJ278" s="86" t="str">
        <f>+IF(AG278=$AJ$22,MONTH(V278),"")</f>
        <v/>
      </c>
      <c r="AK278" s="86" t="str">
        <f>+IF(AG278=$AK$22,MONTH(V278),"")</f>
        <v/>
      </c>
      <c r="AL278" s="86"/>
      <c r="AM278" s="89"/>
      <c r="AN278" s="89"/>
      <c r="AO278" s="89"/>
      <c r="AP278" s="89"/>
      <c r="AQ278" s="89"/>
      <c r="AR278" s="89"/>
      <c r="AS278" s="89"/>
      <c r="AT278" s="89"/>
      <c r="AU278" s="89"/>
      <c r="AV278" s="89"/>
      <c r="AW278" s="86" t="str">
        <f>+IF($AG278=AW$22,MONTH($D278),"")</f>
        <v/>
      </c>
      <c r="AX278" s="86" t="str">
        <f>+IF($AG278=AX$22,MONTH($D278),"")</f>
        <v/>
      </c>
      <c r="AY278" s="89"/>
      <c r="AZ278" s="89"/>
      <c r="BA278" s="89"/>
      <c r="BB278" s="89"/>
      <c r="BC278" s="89"/>
      <c r="BD278" s="89"/>
      <c r="BE278" s="89"/>
      <c r="BF278" s="89"/>
      <c r="BG278" s="89"/>
      <c r="BH278" s="89"/>
      <c r="BI278" s="89"/>
      <c r="BJ278" s="89"/>
      <c r="BK278" s="89"/>
      <c r="BL278" s="89"/>
      <c r="BM278" s="89"/>
      <c r="BN278" s="182"/>
      <c r="BO278" s="182"/>
      <c r="BP278" s="182"/>
    </row>
    <row r="279" spans="1:68" s="89" customFormat="1" ht="28.5" hidden="1" customHeight="1">
      <c r="A279" s="204" t="str">
        <f>+IFERROR(VALUE(MID(AB279,4,4)),"")</f>
        <v/>
      </c>
      <c r="B279" s="204">
        <f>VALUE(RIGHT(C279,LEN(C279)-2))</f>
        <v>2443</v>
      </c>
      <c r="C279" s="74" t="s">
        <v>1220</v>
      </c>
      <c r="D279" s="75">
        <v>45831</v>
      </c>
      <c r="E279" s="70" t="s">
        <v>1221</v>
      </c>
      <c r="F279" s="70" t="s">
        <v>1222</v>
      </c>
      <c r="G279" s="68" t="s">
        <v>1223</v>
      </c>
      <c r="H279" s="282" t="s">
        <v>1224</v>
      </c>
      <c r="I279" s="162" t="s">
        <v>1225</v>
      </c>
      <c r="J279" s="162"/>
      <c r="K279" s="68" t="s">
        <v>14</v>
      </c>
      <c r="L279" s="68" t="s">
        <v>120</v>
      </c>
      <c r="M279" s="68" t="s">
        <v>141</v>
      </c>
      <c r="N279" s="69" t="e" vm="1">
        <v>#VALUE!</v>
      </c>
      <c r="O279" s="164">
        <v>45841</v>
      </c>
      <c r="P279" s="72" t="s">
        <v>239</v>
      </c>
      <c r="Q279" s="72" t="s">
        <v>240</v>
      </c>
      <c r="R279" s="162"/>
      <c r="S279" s="146"/>
      <c r="T279" s="68" t="s">
        <v>165</v>
      </c>
      <c r="U279" s="87"/>
      <c r="V279" s="183">
        <v>45841</v>
      </c>
      <c r="W279" s="73">
        <v>2669</v>
      </c>
      <c r="X279" s="73">
        <f>3254*39252/1000000</f>
        <v>127.72600799999999</v>
      </c>
      <c r="Y279" s="83">
        <f>IF(SUM(W279:W279)&gt;0,X279/SUM(W279:W279)*1000000,"N/A")</f>
        <v>47855.379542899958</v>
      </c>
      <c r="Z279" s="183"/>
      <c r="AA279" s="183"/>
      <c r="AB279" s="73"/>
      <c r="AC279" s="153"/>
      <c r="AD279" s="331"/>
      <c r="AE279" s="57"/>
      <c r="AF279" s="88"/>
      <c r="AG279" s="182">
        <f>YEAR(V279)</f>
        <v>2025</v>
      </c>
      <c r="AH279" s="86" t="str">
        <f>+IF(AG279=$AH$22,MONTH(V279),"")</f>
        <v/>
      </c>
      <c r="AI279" s="86">
        <f>+IF(AG279=$AI$22,MONTH(V279),"")</f>
        <v>7</v>
      </c>
      <c r="AJ279" s="86" t="str">
        <f>+IF(AG279=$AJ$22,MONTH(V279),"")</f>
        <v/>
      </c>
      <c r="AK279" s="86" t="str">
        <f>+IF(AG279=$AK$22,MONTH(V279),"")</f>
        <v/>
      </c>
      <c r="AL279" s="86"/>
      <c r="AW279" s="86" t="str">
        <f>+IF($AG279=AW$22,MONTH($D279),"")</f>
        <v/>
      </c>
      <c r="AX279" s="86" t="str">
        <f>+IF($AG279=AX$22,MONTH($D279),"")</f>
        <v/>
      </c>
    </row>
    <row r="280" spans="1:68" s="89" customFormat="1" ht="29.25" hidden="1" customHeight="1">
      <c r="A280" s="204" t="str">
        <f>+IFERROR(VALUE(MID(AB280,4,4)),"")</f>
        <v/>
      </c>
      <c r="B280" s="204">
        <f>VALUE(RIGHT(C280,LEN(C280)-2))</f>
        <v>2442</v>
      </c>
      <c r="C280" s="74" t="s">
        <v>1226</v>
      </c>
      <c r="D280" s="75">
        <v>45831</v>
      </c>
      <c r="E280" s="70" t="s">
        <v>277</v>
      </c>
      <c r="F280" s="70" t="s">
        <v>277</v>
      </c>
      <c r="G280" s="68" t="s">
        <v>278</v>
      </c>
      <c r="H280" s="307" t="s">
        <v>279</v>
      </c>
      <c r="I280" s="69" t="s">
        <v>1227</v>
      </c>
      <c r="J280" s="69"/>
      <c r="K280" s="68" t="s">
        <v>13</v>
      </c>
      <c r="L280" s="68" t="s">
        <v>129</v>
      </c>
      <c r="M280" s="68" t="s">
        <v>141</v>
      </c>
      <c r="N280" s="69" t="e" vm="1">
        <v>#VALUE!</v>
      </c>
      <c r="O280" s="84">
        <v>45838</v>
      </c>
      <c r="P280" s="72" t="s">
        <v>912</v>
      </c>
      <c r="Q280" s="72" t="s">
        <v>623</v>
      </c>
      <c r="R280" s="162"/>
      <c r="S280" s="146"/>
      <c r="T280" s="68" t="s">
        <v>168</v>
      </c>
      <c r="U280" s="87"/>
      <c r="V280" s="183">
        <v>45832</v>
      </c>
      <c r="W280" s="73"/>
      <c r="X280" s="150"/>
      <c r="Y280" s="83" t="str">
        <f>IF(SUM(W280:W280)&gt;0,X280/SUM(W280:W280)*1000000,"N/A")</f>
        <v>N/A</v>
      </c>
      <c r="Z280" s="183"/>
      <c r="AA280" s="183"/>
      <c r="AB280" s="150"/>
      <c r="AC280" s="153"/>
      <c r="AD280" s="330"/>
      <c r="AE280" s="305"/>
      <c r="AF280" s="88"/>
      <c r="AG280" s="182">
        <f>YEAR(V280)</f>
        <v>2025</v>
      </c>
      <c r="AH280" s="86" t="str">
        <f>+IF(AG280=$AH$22,MONTH(V280),"")</f>
        <v/>
      </c>
      <c r="AI280" s="86">
        <f>+IF(AG280=$AI$22,MONTH(V280),"")</f>
        <v>6</v>
      </c>
      <c r="AJ280" s="86" t="str">
        <f>+IF(AG280=$AJ$22,MONTH(V280),"")</f>
        <v/>
      </c>
      <c r="AK280" s="86" t="str">
        <f>+IF(AG280=$AK$22,MONTH(V280),"")</f>
        <v/>
      </c>
      <c r="AL280" s="86"/>
      <c r="AW280" s="86" t="str">
        <f>+IF($AG280=AW$22,MONTH($D280),"")</f>
        <v/>
      </c>
      <c r="AX280" s="86" t="str">
        <f>+IF($AG280=AX$22,MONTH($D280),"")</f>
        <v/>
      </c>
    </row>
    <row r="281" spans="1:68" s="381" customFormat="1" ht="45.75" hidden="1" customHeight="1">
      <c r="A281" s="204">
        <f>+IFERROR(VALUE(MID(AB281,4,4)),"")</f>
        <v>271</v>
      </c>
      <c r="B281" s="204">
        <f>VALUE(RIGHT(C281,LEN(C281)-2))</f>
        <v>2441</v>
      </c>
      <c r="C281" s="74" t="s">
        <v>1228</v>
      </c>
      <c r="D281" s="75">
        <v>45831</v>
      </c>
      <c r="E281" s="70" t="s">
        <v>277</v>
      </c>
      <c r="F281" s="70" t="s">
        <v>277</v>
      </c>
      <c r="G281" s="68" t="s">
        <v>278</v>
      </c>
      <c r="H281" s="307" t="s">
        <v>279</v>
      </c>
      <c r="I281" s="69" t="s">
        <v>1229</v>
      </c>
      <c r="J281" s="69"/>
      <c r="K281" s="68" t="s">
        <v>13</v>
      </c>
      <c r="L281" s="69" t="s">
        <v>129</v>
      </c>
      <c r="M281" s="71" t="s">
        <v>141</v>
      </c>
      <c r="N281" s="69" t="e" vm="1">
        <v>#VALUE!</v>
      </c>
      <c r="O281" s="84">
        <v>45862</v>
      </c>
      <c r="P281" s="72" t="s">
        <v>912</v>
      </c>
      <c r="Q281" s="72" t="s">
        <v>623</v>
      </c>
      <c r="R281" s="162"/>
      <c r="S281" s="146"/>
      <c r="T281" s="68" t="s">
        <v>3</v>
      </c>
      <c r="U281" s="87"/>
      <c r="V281" s="183">
        <v>45868</v>
      </c>
      <c r="W281" s="73">
        <v>1483</v>
      </c>
      <c r="X281" s="150">
        <v>62.8</v>
      </c>
      <c r="Y281" s="83">
        <f>IF(SUM(W281:W281)&gt;0,X281/SUM(W281:W281)*1000000,"N/A")</f>
        <v>42346.594740391098</v>
      </c>
      <c r="Z281" s="183"/>
      <c r="AA281" s="183"/>
      <c r="AB281" s="73" t="s">
        <v>1230</v>
      </c>
      <c r="AC281" s="153"/>
      <c r="AD281" s="330"/>
      <c r="AE281" s="305"/>
      <c r="AF281" s="88"/>
      <c r="AG281" s="182">
        <f>YEAR(V281)</f>
        <v>2025</v>
      </c>
      <c r="AH281" s="86" t="str">
        <f>+IF(AG281=$AH$22,MONTH(V281),"")</f>
        <v/>
      </c>
      <c r="AI281" s="86">
        <f>+IF(AG281=$AI$22,MONTH(V281),"")</f>
        <v>7</v>
      </c>
      <c r="AJ281" s="86" t="str">
        <f>+IF(AG281=$AJ$22,MONTH(V281),"")</f>
        <v/>
      </c>
      <c r="AK281" s="86" t="str">
        <f>+IF(AG281=$AK$22,MONTH(V281),"")</f>
        <v/>
      </c>
      <c r="AL281" s="86"/>
      <c r="AM281" s="89"/>
      <c r="AN281" s="89"/>
      <c r="AO281" s="89"/>
      <c r="AP281" s="89"/>
      <c r="AQ281" s="89"/>
      <c r="AR281" s="89"/>
      <c r="AS281" s="89"/>
      <c r="AT281" s="89"/>
      <c r="AU281" s="89"/>
      <c r="AV281" s="89"/>
      <c r="AW281" s="86" t="str">
        <f>+IF($AG281=AW$22,MONTH($D281),"")</f>
        <v/>
      </c>
      <c r="AX281" s="86" t="str">
        <f>+IF($AG281=AX$22,MONTH($D281),"")</f>
        <v/>
      </c>
      <c r="AY281" s="89"/>
      <c r="AZ281" s="89"/>
      <c r="BA281" s="89"/>
      <c r="BB281" s="89"/>
      <c r="BC281" s="89"/>
      <c r="BD281" s="89"/>
      <c r="BE281" s="89"/>
      <c r="BF281" s="89"/>
      <c r="BG281" s="89"/>
      <c r="BH281" s="89"/>
      <c r="BI281" s="89"/>
      <c r="BJ281" s="89"/>
      <c r="BK281" s="89"/>
      <c r="BL281" s="89"/>
      <c r="BM281" s="89"/>
      <c r="BN281" s="89"/>
      <c r="BO281" s="89"/>
      <c r="BP281" s="89"/>
    </row>
    <row r="282" spans="1:68" s="381" customFormat="1" ht="45.75" hidden="1" customHeight="1">
      <c r="A282" s="204" t="str">
        <f>+IFERROR(VALUE(MID(AB282,4,4)),"")</f>
        <v/>
      </c>
      <c r="B282" s="204">
        <f>VALUE(RIGHT(C282,LEN(C282)-2))</f>
        <v>2440</v>
      </c>
      <c r="C282" s="74" t="s">
        <v>1231</v>
      </c>
      <c r="D282" s="75">
        <v>45827</v>
      </c>
      <c r="E282" s="70" t="s">
        <v>394</v>
      </c>
      <c r="F282" s="70" t="s">
        <v>65</v>
      </c>
      <c r="G282" s="68" t="s">
        <v>1232</v>
      </c>
      <c r="H282" s="282" t="s">
        <v>1233</v>
      </c>
      <c r="I282" s="69" t="s">
        <v>1234</v>
      </c>
      <c r="J282" s="69"/>
      <c r="K282" s="68" t="s">
        <v>9</v>
      </c>
      <c r="L282" s="69" t="s">
        <v>120</v>
      </c>
      <c r="M282" s="71" t="s">
        <v>141</v>
      </c>
      <c r="N282" s="69" t="e" vm="1">
        <v>#VALUE!</v>
      </c>
      <c r="O282" s="84">
        <v>45835</v>
      </c>
      <c r="P282" s="72" t="s">
        <v>1058</v>
      </c>
      <c r="Q282" s="72" t="s">
        <v>623</v>
      </c>
      <c r="R282" s="162"/>
      <c r="S282" s="146"/>
      <c r="T282" s="68" t="s">
        <v>165</v>
      </c>
      <c r="U282" s="87"/>
      <c r="V282" s="80">
        <v>45904</v>
      </c>
      <c r="W282" s="73">
        <v>1670</v>
      </c>
      <c r="X282" s="73">
        <v>77</v>
      </c>
      <c r="Y282" s="83">
        <f>IF(SUM(W282:W282)&gt;0,X282/SUM(W282:W282)*1000000,"N/A")</f>
        <v>46107.784431137719</v>
      </c>
      <c r="Z282" s="80"/>
      <c r="AA282" s="80"/>
      <c r="AB282" s="73"/>
      <c r="AC282" s="153"/>
      <c r="AD282" s="331"/>
      <c r="AE282" s="57"/>
      <c r="AF282" s="88"/>
      <c r="AG282" s="182">
        <f>YEAR(V282)</f>
        <v>2025</v>
      </c>
      <c r="AH282" s="86" t="str">
        <f>+IF(AG282=$AH$22,MONTH(V282),"")</f>
        <v/>
      </c>
      <c r="AI282" s="86">
        <f>+IF(AG282=$AI$22,MONTH(V282),"")</f>
        <v>9</v>
      </c>
      <c r="AJ282" s="86" t="str">
        <f>+IF(AG282=$AJ$22,MONTH(V282),"")</f>
        <v/>
      </c>
      <c r="AK282" s="86" t="str">
        <f>+IF(AG282=$AK$22,MONTH(V282),"")</f>
        <v/>
      </c>
      <c r="AL282" s="86" t="str">
        <f>+IF(AG282=$AL$22,MONTH(V282),"")</f>
        <v/>
      </c>
      <c r="AM282" s="86" t="str">
        <f>+IF($AG282=$AM$22,MONTH($D282),"")</f>
        <v/>
      </c>
      <c r="AN282" s="89" t="str">
        <f>+IF($AG282=AN$22,MONTH($D282),"")</f>
        <v/>
      </c>
      <c r="AO282" s="89" t="str">
        <f>+IF($AG282=AO$22,MONTH($D282),"")</f>
        <v/>
      </c>
      <c r="AP282" s="89" t="str">
        <f>+IF($AG282=AP$22,MONTH($D282),"")</f>
        <v/>
      </c>
      <c r="AQ282" s="89" t="str">
        <f>+IF($AG282=AQ$22,MONTH($D282),"")</f>
        <v/>
      </c>
      <c r="AR282" s="89" t="str">
        <f>+IF($AG282=AR$22,MONTH($D282),"")</f>
        <v/>
      </c>
      <c r="AS282" s="89" t="str">
        <f>+IF($AG282=AS$22,MONTH($D282),"")</f>
        <v/>
      </c>
      <c r="AT282" s="89" t="str">
        <f>+IF($AG282=AT$22,MONTH($D282),"")</f>
        <v/>
      </c>
      <c r="AU282" s="89" t="str">
        <f>+IF($AG282=AU$22,MONTH($D282),"")</f>
        <v/>
      </c>
      <c r="AV282" s="89" t="str">
        <f>+IF($AG282=AV$22,MONTH($D282),"")</f>
        <v/>
      </c>
      <c r="AW282" s="86" t="str">
        <f>+IF($AG282=AW$22,MONTH($D282),"")</f>
        <v/>
      </c>
      <c r="AX282" s="86" t="str">
        <f>+IF($AG282=AX$22,MONTH($D282),"")</f>
        <v/>
      </c>
      <c r="AY282" s="89"/>
      <c r="AZ282" s="89"/>
      <c r="BA282" s="89"/>
      <c r="BB282" s="89"/>
      <c r="BC282" s="89"/>
      <c r="BD282" s="89"/>
      <c r="BE282" s="89"/>
      <c r="BF282" s="89"/>
      <c r="BG282" s="89"/>
      <c r="BH282" s="89"/>
      <c r="BI282" s="89"/>
      <c r="BJ282" s="89"/>
      <c r="BK282" s="89"/>
      <c r="BL282" s="89"/>
      <c r="BM282" s="89"/>
      <c r="BN282" s="89"/>
      <c r="BO282" s="89"/>
      <c r="BP282" s="89"/>
    </row>
    <row r="283" spans="1:68" s="56" customFormat="1" ht="36" hidden="1" customHeight="1">
      <c r="A283" s="204" t="str">
        <f>+IFERROR(VALUE(MID(AB283,4,4)),"")</f>
        <v/>
      </c>
      <c r="B283" s="204">
        <f>VALUE(RIGHT(C283,LEN(C283)-2))</f>
        <v>2439</v>
      </c>
      <c r="C283" s="74" t="s">
        <v>1235</v>
      </c>
      <c r="D283" s="75">
        <v>45826</v>
      </c>
      <c r="E283" s="70" t="s">
        <v>479</v>
      </c>
      <c r="F283" s="70" t="s">
        <v>479</v>
      </c>
      <c r="G283" s="68" t="s">
        <v>1094</v>
      </c>
      <c r="H283" s="282" t="s">
        <v>1236</v>
      </c>
      <c r="I283" s="162" t="s">
        <v>1237</v>
      </c>
      <c r="J283" s="162"/>
      <c r="K283" s="68" t="s">
        <v>30</v>
      </c>
      <c r="L283" s="69" t="s">
        <v>129</v>
      </c>
      <c r="M283" s="71" t="s">
        <v>113</v>
      </c>
      <c r="N283" s="69" t="e" vm="2">
        <v>#VALUE!</v>
      </c>
      <c r="O283" s="84">
        <v>45840</v>
      </c>
      <c r="P283" s="82" t="s">
        <v>219</v>
      </c>
      <c r="Q283" s="72" t="s">
        <v>220</v>
      </c>
      <c r="R283" s="162"/>
      <c r="S283" s="146"/>
      <c r="T283" s="68" t="s">
        <v>165</v>
      </c>
      <c r="U283" s="87"/>
      <c r="V283" s="183">
        <v>45904</v>
      </c>
      <c r="W283" s="73">
        <v>3986</v>
      </c>
      <c r="X283" s="73">
        <v>123.86799999999999</v>
      </c>
      <c r="Y283" s="83">
        <f>IF(SUM(W283:W283)&gt;0,X283/SUM(W283:W283)*1000000,"N/A")</f>
        <v>31075.765178123431</v>
      </c>
      <c r="Z283" s="183"/>
      <c r="AA283" s="183"/>
      <c r="AB283" s="73"/>
      <c r="AC283" s="153"/>
      <c r="AD283" s="331"/>
      <c r="AE283" s="57"/>
      <c r="AF283" s="88"/>
      <c r="AG283" s="182">
        <f>YEAR(V283)</f>
        <v>2025</v>
      </c>
      <c r="AH283" s="86" t="str">
        <f>+IF(AG283=$AH$22,MONTH(V283),"")</f>
        <v/>
      </c>
      <c r="AI283" s="86">
        <f>+IF(AG283=$AI$22,MONTH(V283),"")</f>
        <v>9</v>
      </c>
      <c r="AJ283" s="86" t="str">
        <f>+IF(AG283=$AJ$22,MONTH(V283),"")</f>
        <v/>
      </c>
      <c r="AK283" s="86" t="str">
        <f>+IF(AG283=$AK$22,MONTH(V283),"")</f>
        <v/>
      </c>
      <c r="AL283" s="86"/>
      <c r="AM283" s="89"/>
      <c r="AN283" s="89"/>
      <c r="AO283" s="89"/>
      <c r="AP283" s="89"/>
      <c r="AQ283" s="89"/>
      <c r="AR283" s="89"/>
      <c r="AS283" s="89"/>
      <c r="AT283" s="89"/>
      <c r="AU283" s="89"/>
      <c r="AV283" s="89"/>
      <c r="AW283" s="86" t="str">
        <f>+IF($AG283=AW$22,MONTH($D283),"")</f>
        <v/>
      </c>
      <c r="AX283" s="86" t="str">
        <f>+IF($AG283=AX$22,MONTH($D283),"")</f>
        <v/>
      </c>
      <c r="AY283" s="89"/>
      <c r="AZ283" s="89"/>
      <c r="BA283" s="89"/>
      <c r="BB283" s="89"/>
      <c r="BC283" s="89"/>
      <c r="BD283" s="89"/>
      <c r="BE283" s="89"/>
      <c r="BF283" s="89"/>
      <c r="BG283" s="89"/>
      <c r="BH283" s="89"/>
      <c r="BI283" s="89"/>
      <c r="BJ283" s="89"/>
      <c r="BK283" s="89"/>
      <c r="BL283" s="89"/>
      <c r="BM283" s="89"/>
      <c r="BN283" s="89"/>
      <c r="BO283" s="89"/>
      <c r="BP283" s="89"/>
    </row>
    <row r="284" spans="1:68" s="56" customFormat="1" ht="33.75" hidden="1" customHeight="1">
      <c r="A284" s="204">
        <f>+IFERROR(VALUE(MID(AB284,4,4)),"")</f>
        <v>419</v>
      </c>
      <c r="B284" s="204">
        <f>VALUE(RIGHT(C284,LEN(C284)-2))</f>
        <v>2438</v>
      </c>
      <c r="C284" s="74" t="s">
        <v>1238</v>
      </c>
      <c r="D284" s="75">
        <v>45825</v>
      </c>
      <c r="E284" s="70" t="s">
        <v>739</v>
      </c>
      <c r="F284" s="70" t="s">
        <v>739</v>
      </c>
      <c r="G284" s="68" t="s">
        <v>740</v>
      </c>
      <c r="H284" s="59" t="s">
        <v>741</v>
      </c>
      <c r="I284" s="69" t="s">
        <v>1239</v>
      </c>
      <c r="J284" s="69"/>
      <c r="K284" s="68" t="s">
        <v>13</v>
      </c>
      <c r="L284" s="69" t="s">
        <v>120</v>
      </c>
      <c r="M284" s="71" t="s">
        <v>141</v>
      </c>
      <c r="N284" s="69" t="e" vm="1">
        <v>#VALUE!</v>
      </c>
      <c r="O284" s="164">
        <v>45828</v>
      </c>
      <c r="P284" s="72" t="s">
        <v>737</v>
      </c>
      <c r="Q284" s="72" t="s">
        <v>316</v>
      </c>
      <c r="R284" s="162"/>
      <c r="S284" s="146"/>
      <c r="T284" s="68" t="s">
        <v>3</v>
      </c>
      <c r="U284" s="87"/>
      <c r="V284" s="183">
        <v>45847</v>
      </c>
      <c r="W284" s="73">
        <v>911</v>
      </c>
      <c r="X284" s="73">
        <v>44.488</v>
      </c>
      <c r="Y284" s="83">
        <f>IF(SUM(W284:W284)&gt;0,X284/SUM(W284:W284)*1000000,"N/A")</f>
        <v>48834.248079034027</v>
      </c>
      <c r="Z284" s="183"/>
      <c r="AA284" s="183"/>
      <c r="AB284" s="73" t="s">
        <v>1240</v>
      </c>
      <c r="AC284" s="153"/>
      <c r="AD284" s="331"/>
      <c r="AE284" s="57"/>
      <c r="AF284" s="88"/>
      <c r="AG284" s="182">
        <f>YEAR(V284)</f>
        <v>2025</v>
      </c>
      <c r="AH284" s="86" t="str">
        <f>+IF(AG284=$AH$22,MONTH(V284),"")</f>
        <v/>
      </c>
      <c r="AI284" s="86">
        <f>+IF(AG284=$AI$22,MONTH(V284),"")</f>
        <v>7</v>
      </c>
      <c r="AJ284" s="86" t="str">
        <f>+IF(AG284=$AJ$22,MONTH(V284),"")</f>
        <v/>
      </c>
      <c r="AK284" s="86" t="str">
        <f>+IF(AG284=$AK$22,MONTH(V284),"")</f>
        <v/>
      </c>
      <c r="AL284" s="86" t="str">
        <f>+IF(AG284=$AL$22,MONTH(V284),"")</f>
        <v/>
      </c>
      <c r="AM284" s="86" t="str">
        <f>+IF($AG284=$AM$22,MONTH($D284),"")</f>
        <v/>
      </c>
      <c r="AN284" s="89" t="str">
        <f>+IF($AG284=AN$22,MONTH($D284),"")</f>
        <v/>
      </c>
      <c r="AO284" s="86" t="str">
        <f>+IF($AG284=AO$22,MONTH($D284),"")</f>
        <v/>
      </c>
      <c r="AP284" s="86" t="str">
        <f>+IF($AG284=AP$22,MONTH($D284),"")</f>
        <v/>
      </c>
      <c r="AQ284" s="86" t="str">
        <f>+IF($AG284=AQ$22,MONTH($D284),"")</f>
        <v/>
      </c>
      <c r="AR284" s="86" t="str">
        <f>+IF($AG284=AR$22,MONTH($D284),"")</f>
        <v/>
      </c>
      <c r="AS284" s="86" t="str">
        <f>+IF($AG284=AS$22,MONTH($D284),"")</f>
        <v/>
      </c>
      <c r="AT284" s="86" t="str">
        <f>+IF($AG284=AT$22,MONTH($D284),"")</f>
        <v/>
      </c>
      <c r="AU284" s="86" t="str">
        <f>+IF($AG284=AU$22,MONTH($D284),"")</f>
        <v/>
      </c>
      <c r="AV284" s="86" t="str">
        <f>+IF($AG284=AV$22,MONTH($D284),"")</f>
        <v/>
      </c>
      <c r="AW284" s="86" t="str">
        <f>+IF($AG284=AW$22,MONTH($D284),"")</f>
        <v/>
      </c>
      <c r="AX284" s="86" t="str">
        <f>+IF($AG284=AX$22,MONTH($D284),"")</f>
        <v/>
      </c>
      <c r="AY284" s="89"/>
      <c r="AZ284" s="89"/>
      <c r="BA284" s="89"/>
      <c r="BB284" s="89"/>
      <c r="BC284" s="89"/>
      <c r="BD284" s="89"/>
      <c r="BE284" s="89"/>
      <c r="BF284" s="89"/>
      <c r="BG284" s="89"/>
      <c r="BH284" s="89"/>
      <c r="BI284" s="89"/>
      <c r="BJ284" s="89"/>
      <c r="BK284" s="89"/>
      <c r="BL284" s="89"/>
      <c r="BM284" s="89"/>
      <c r="BN284" s="89"/>
      <c r="BO284" s="89"/>
      <c r="BP284" s="89"/>
    </row>
    <row r="285" spans="1:68" s="374" customFormat="1" ht="27" hidden="1">
      <c r="A285" s="204">
        <f>+IFERROR(VALUE(MID(AB285,4,4)),"")</f>
        <v>419</v>
      </c>
      <c r="B285" s="204">
        <f>VALUE(RIGHT(C285,LEN(C285)-2))</f>
        <v>2437</v>
      </c>
      <c r="C285" s="74" t="s">
        <v>1241</v>
      </c>
      <c r="D285" s="75">
        <v>45825</v>
      </c>
      <c r="E285" s="70" t="s">
        <v>739</v>
      </c>
      <c r="F285" s="70" t="s">
        <v>739</v>
      </c>
      <c r="G285" s="68" t="s">
        <v>740</v>
      </c>
      <c r="H285" s="59" t="s">
        <v>741</v>
      </c>
      <c r="I285" s="162" t="s">
        <v>1242</v>
      </c>
      <c r="J285" s="162"/>
      <c r="K285" s="68" t="s">
        <v>13</v>
      </c>
      <c r="L285" s="69" t="s">
        <v>120</v>
      </c>
      <c r="M285" s="71" t="s">
        <v>141</v>
      </c>
      <c r="N285" s="69" t="e" vm="1">
        <v>#VALUE!</v>
      </c>
      <c r="O285" s="164">
        <v>45838</v>
      </c>
      <c r="P285" s="72" t="s">
        <v>737</v>
      </c>
      <c r="Q285" s="72" t="s">
        <v>158</v>
      </c>
      <c r="R285" s="162"/>
      <c r="S285" s="146"/>
      <c r="T285" s="68" t="s">
        <v>158</v>
      </c>
      <c r="U285" s="87">
        <v>0.05</v>
      </c>
      <c r="V285" s="183">
        <v>45826</v>
      </c>
      <c r="W285" s="73"/>
      <c r="X285" s="73"/>
      <c r="Y285" s="83" t="str">
        <f>IF(SUM(W285:W285)&gt;0,X285/SUM(W285:W285)*1000000,"N/A")</f>
        <v>N/A</v>
      </c>
      <c r="Z285" s="183"/>
      <c r="AA285" s="183"/>
      <c r="AB285" s="73" t="s">
        <v>1243</v>
      </c>
      <c r="AC285" s="153"/>
      <c r="AD285" s="331"/>
      <c r="AE285" s="57"/>
      <c r="AF285" s="88"/>
      <c r="AG285" s="182">
        <f>YEAR(V285)</f>
        <v>2025</v>
      </c>
      <c r="AH285" s="86" t="str">
        <f>+IF(AG285=$AH$22,MONTH(V285),"")</f>
        <v/>
      </c>
      <c r="AI285" s="86">
        <f>+IF(AG285=$AI$22,MONTH(V285),"")</f>
        <v>6</v>
      </c>
      <c r="AJ285" s="86" t="str">
        <f>+IF(AG285=$AJ$22,MONTH(V285),"")</f>
        <v/>
      </c>
      <c r="AK285" s="86" t="str">
        <f>+IF(AG285=$AK$22,MONTH(V285),"")</f>
        <v/>
      </c>
      <c r="AL285" s="86" t="str">
        <f>+IF(AG285=$AL$22,MONTH(V285),"")</f>
        <v/>
      </c>
      <c r="AM285" s="86" t="str">
        <f>+IF($AG285=$AM$22,MONTH($D285),"")</f>
        <v/>
      </c>
      <c r="AN285" s="89" t="str">
        <f>+IF($AG285=AN$22,MONTH($D285),"")</f>
        <v/>
      </c>
      <c r="AO285" s="86" t="str">
        <f>+IF($AG285=AO$22,MONTH($D285),"")</f>
        <v/>
      </c>
      <c r="AP285" s="86" t="str">
        <f>+IF($AG285=AP$22,MONTH($D285),"")</f>
        <v/>
      </c>
      <c r="AQ285" s="86" t="str">
        <f>+IF($AG285=AQ$22,MONTH($D285),"")</f>
        <v/>
      </c>
      <c r="AR285" s="86" t="str">
        <f>+IF($AG285=AR$22,MONTH($D285),"")</f>
        <v/>
      </c>
      <c r="AS285" s="86" t="str">
        <f>+IF($AG285=AS$22,MONTH($D285),"")</f>
        <v/>
      </c>
      <c r="AT285" s="86" t="str">
        <f>+IF($AG285=AT$22,MONTH($D285),"")</f>
        <v/>
      </c>
      <c r="AU285" s="86" t="str">
        <f>+IF($AG285=AU$22,MONTH($D285),"")</f>
        <v/>
      </c>
      <c r="AV285" s="86" t="str">
        <f>+IF($AG285=AV$22,MONTH($D285),"")</f>
        <v/>
      </c>
      <c r="AW285" s="86" t="str">
        <f>+IF($AG285=AW$22,MONTH($D285),"")</f>
        <v/>
      </c>
      <c r="AX285" s="86" t="str">
        <f>+IF($AG285=AX$22,MONTH($D285),"")</f>
        <v/>
      </c>
      <c r="AY285" s="89"/>
      <c r="AZ285" s="89"/>
      <c r="BA285" s="89"/>
      <c r="BB285" s="89"/>
      <c r="BC285" s="89"/>
      <c r="BD285" s="89"/>
      <c r="BE285" s="89"/>
      <c r="BF285" s="89"/>
      <c r="BG285" s="89"/>
      <c r="BH285" s="89"/>
      <c r="BI285" s="89"/>
      <c r="BJ285" s="89"/>
      <c r="BK285" s="89"/>
      <c r="BL285" s="89"/>
      <c r="BM285" s="89"/>
      <c r="BN285" s="89"/>
      <c r="BO285" s="89"/>
      <c r="BP285" s="89"/>
    </row>
    <row r="286" spans="1:68" s="374" customFormat="1" ht="24" hidden="1" customHeight="1">
      <c r="A286" s="204" t="str">
        <f>+IFERROR(VALUE(MID(AB286,4,4)),"")</f>
        <v/>
      </c>
      <c r="B286" s="204">
        <f>VALUE(RIGHT(C286,LEN(C286)-2))</f>
        <v>2436</v>
      </c>
      <c r="C286" s="74" t="s">
        <v>1244</v>
      </c>
      <c r="D286" s="75">
        <v>45825</v>
      </c>
      <c r="E286" s="70" t="s">
        <v>332</v>
      </c>
      <c r="F286" s="70" t="s">
        <v>332</v>
      </c>
      <c r="G286" s="68" t="s">
        <v>333</v>
      </c>
      <c r="H286" s="304" t="s">
        <v>334</v>
      </c>
      <c r="I286" s="162" t="s">
        <v>1245</v>
      </c>
      <c r="J286" s="162"/>
      <c r="K286" s="68" t="s">
        <v>13</v>
      </c>
      <c r="L286" s="69" t="s">
        <v>129</v>
      </c>
      <c r="M286" s="71" t="s">
        <v>141</v>
      </c>
      <c r="N286" s="69" t="e" vm="1">
        <v>#VALUE!</v>
      </c>
      <c r="O286" s="164">
        <v>45852</v>
      </c>
      <c r="P286" s="72" t="s">
        <v>737</v>
      </c>
      <c r="Q286" s="69" t="s">
        <v>652</v>
      </c>
      <c r="R286" s="69"/>
      <c r="S286" s="146"/>
      <c r="T286" s="68" t="s">
        <v>155</v>
      </c>
      <c r="U286" s="87"/>
      <c r="V286" s="183">
        <v>45825</v>
      </c>
      <c r="W286" s="73"/>
      <c r="X286" s="216"/>
      <c r="Y286" s="83" t="str">
        <f>IF(SUM(W286:W286)&gt;0,X286/SUM(W286:W286)*1000000,"N/A")</f>
        <v>N/A</v>
      </c>
      <c r="Z286" s="183"/>
      <c r="AA286" s="183"/>
      <c r="AB286" s="73"/>
      <c r="AC286" s="153"/>
      <c r="AD286" s="330"/>
      <c r="AE286" s="305"/>
      <c r="AF286" s="88"/>
      <c r="AG286" s="182">
        <f>YEAR(V286)</f>
        <v>2025</v>
      </c>
      <c r="AH286" s="86" t="str">
        <f>+IF(AG286=$AH$22,MONTH(V286),"")</f>
        <v/>
      </c>
      <c r="AI286" s="86">
        <f>+IF(AG286=$AI$22,MONTH(V286),"")</f>
        <v>6</v>
      </c>
      <c r="AJ286" s="86" t="str">
        <f>+IF(AG286=$AJ$22,MONTH(V286),"")</f>
        <v/>
      </c>
      <c r="AK286" s="86" t="str">
        <f>+IF(AG286=$AK$22,MONTH(V286),"")</f>
        <v/>
      </c>
      <c r="AL286" s="86"/>
      <c r="AM286" s="89"/>
      <c r="AN286" s="89"/>
      <c r="AO286" s="89"/>
      <c r="AP286" s="89"/>
      <c r="AQ286" s="89"/>
      <c r="AR286" s="89"/>
      <c r="AS286" s="89"/>
      <c r="AT286" s="89"/>
      <c r="AU286" s="89"/>
      <c r="AV286" s="89"/>
      <c r="AW286" s="86" t="str">
        <f>+IF($AG286=AW$22,MONTH($D286),"")</f>
        <v/>
      </c>
      <c r="AX286" s="86" t="str">
        <f>+IF($AG286=AX$22,MONTH($D286),"")</f>
        <v/>
      </c>
      <c r="AY286" s="89"/>
      <c r="AZ286" s="89"/>
      <c r="BA286" s="89"/>
      <c r="BB286" s="89"/>
      <c r="BC286" s="89"/>
      <c r="BD286" s="89"/>
      <c r="BE286" s="89"/>
      <c r="BF286" s="89"/>
      <c r="BG286" s="89"/>
      <c r="BH286" s="89"/>
      <c r="BI286" s="89"/>
      <c r="BJ286" s="89"/>
      <c r="BK286" s="89"/>
      <c r="BL286" s="89"/>
      <c r="BM286" s="89"/>
      <c r="BN286" s="89"/>
      <c r="BO286" s="89"/>
      <c r="BP286" s="89"/>
    </row>
    <row r="287" spans="1:68" s="89" customFormat="1" ht="45.75" hidden="1" customHeight="1">
      <c r="A287" s="204">
        <f>+IFERROR(VALUE(MID(AB287,4,4)),"")</f>
        <v>461</v>
      </c>
      <c r="B287" s="204">
        <f>VALUE(RIGHT(C287,LEN(C287)-2))</f>
        <v>2435</v>
      </c>
      <c r="C287" s="74" t="s">
        <v>1246</v>
      </c>
      <c r="D287" s="75">
        <v>45824</v>
      </c>
      <c r="E287" s="68" t="s">
        <v>277</v>
      </c>
      <c r="F287" s="68" t="s">
        <v>277</v>
      </c>
      <c r="G287" s="68" t="s">
        <v>1247</v>
      </c>
      <c r="H287" s="379" t="s">
        <v>1248</v>
      </c>
      <c r="I287" s="69" t="s">
        <v>1249</v>
      </c>
      <c r="J287" s="69"/>
      <c r="K287" s="68" t="s">
        <v>1250</v>
      </c>
      <c r="L287" s="68" t="s">
        <v>123</v>
      </c>
      <c r="M287" s="68" t="s">
        <v>141</v>
      </c>
      <c r="N287" s="69" t="e" vm="1">
        <v>#VALUE!</v>
      </c>
      <c r="O287" s="84">
        <v>45882</v>
      </c>
      <c r="P287" s="69" t="s">
        <v>640</v>
      </c>
      <c r="Q287" s="69" t="s">
        <v>704</v>
      </c>
      <c r="R287" s="69"/>
      <c r="S287" s="146"/>
      <c r="T287" s="68" t="s">
        <v>3</v>
      </c>
      <c r="U287" s="87"/>
      <c r="V287" s="183">
        <v>45972</v>
      </c>
      <c r="W287" s="73">
        <v>9062</v>
      </c>
      <c r="X287" s="73">
        <v>456</v>
      </c>
      <c r="Y287" s="83">
        <f>IF(SUM(W287:W287)&gt;0,X287/SUM(W287:W287)*1000000,"N/A")</f>
        <v>50320.017656146549</v>
      </c>
      <c r="Z287" s="80"/>
      <c r="AA287" s="80"/>
      <c r="AB287" s="73" t="s">
        <v>1251</v>
      </c>
      <c r="AC287" s="75"/>
      <c r="AD287" s="332"/>
      <c r="AE287" s="68"/>
      <c r="AF287" s="73"/>
      <c r="AG287" s="182">
        <f>YEAR(V287)</f>
        <v>2025</v>
      </c>
      <c r="AH287" s="86" t="str">
        <f>+IF(AG287=$AH$22,MONTH(V287),"")</f>
        <v/>
      </c>
      <c r="AI287" s="86">
        <f>+IF(AG287=$AI$22,MONTH(V287),"")</f>
        <v>11</v>
      </c>
      <c r="AJ287" s="86" t="str">
        <f>+IF(AG287=$AJ$22,MONTH(V287),"")</f>
        <v/>
      </c>
      <c r="AK287" s="86" t="str">
        <f>+IF(AG287=$AK$22,MONTH(V287),"")</f>
        <v/>
      </c>
      <c r="AL287" s="86" t="str">
        <f>+IF(AG287=$AL$22,MONTH(V287),"")</f>
        <v/>
      </c>
      <c r="AM287" s="86" t="str">
        <f>+IF($AG287=$AM$22,MONTH($D287),"")</f>
        <v/>
      </c>
      <c r="AN287" s="89" t="str">
        <f>+IF($AG287=AN$22,MONTH($D287),"")</f>
        <v/>
      </c>
      <c r="AO287" s="184" t="str">
        <f>+IF($AG287=AO$22,MONTH($D287),"")</f>
        <v/>
      </c>
      <c r="AP287" s="184" t="str">
        <f>+IF($AG287=AP$22,MONTH($D287),"")</f>
        <v/>
      </c>
      <c r="AQ287" s="184" t="str">
        <f>+IF($AG287=AQ$22,MONTH($D287),"")</f>
        <v/>
      </c>
      <c r="AR287" s="184" t="str">
        <f>+IF($AG287=AR$22,MONTH($D287),"")</f>
        <v/>
      </c>
      <c r="AS287" s="184" t="str">
        <f>+IF($AG287=AS$22,MONTH($D287),"")</f>
        <v/>
      </c>
      <c r="AT287" s="86" t="str">
        <f>+IF($AG287=AT$22,MONTH($D287),"")</f>
        <v/>
      </c>
      <c r="AU287" s="86" t="str">
        <f>+IF($AG287=AU$22,MONTH($D287),"")</f>
        <v/>
      </c>
      <c r="AV287" s="86" t="str">
        <f>+IF($AG287=AV$22,MONTH($D287),"")</f>
        <v/>
      </c>
      <c r="AW287" s="86" t="str">
        <f>+IF($AG287=AW$22,MONTH($D287),"")</f>
        <v/>
      </c>
      <c r="AX287" s="86" t="str">
        <f>+IF($AG287=AX$22,MONTH($D287),"")</f>
        <v/>
      </c>
    </row>
    <row r="288" spans="1:68" s="378" customFormat="1" ht="45.75" hidden="1" customHeight="1">
      <c r="A288" s="204">
        <f>+IFERROR(VALUE(MID(AB288,4,4)),"")</f>
        <v>402</v>
      </c>
      <c r="B288" s="204">
        <f>VALUE(RIGHT(C288,LEN(C288)-2))</f>
        <v>2434</v>
      </c>
      <c r="C288" s="74" t="s">
        <v>1252</v>
      </c>
      <c r="D288" s="75">
        <v>45766</v>
      </c>
      <c r="E288" s="70" t="s">
        <v>685</v>
      </c>
      <c r="F288" s="70" t="s">
        <v>685</v>
      </c>
      <c r="G288" s="68" t="s">
        <v>1253</v>
      </c>
      <c r="H288" s="282" t="s">
        <v>1254</v>
      </c>
      <c r="I288" s="69" t="s">
        <v>1255</v>
      </c>
      <c r="J288" s="69"/>
      <c r="K288" s="68" t="s">
        <v>13</v>
      </c>
      <c r="L288" s="69" t="s">
        <v>120</v>
      </c>
      <c r="M288" s="71" t="s">
        <v>141</v>
      </c>
      <c r="N288" s="69" t="e" vm="1">
        <v>#VALUE!</v>
      </c>
      <c r="O288" s="84">
        <v>45782</v>
      </c>
      <c r="P288" s="72" t="s">
        <v>364</v>
      </c>
      <c r="Q288" s="72" t="s">
        <v>229</v>
      </c>
      <c r="R288" s="162"/>
      <c r="S288" s="146" t="s">
        <v>1256</v>
      </c>
      <c r="T288" s="68" t="s">
        <v>3</v>
      </c>
      <c r="U288" s="87"/>
      <c r="V288" s="80">
        <v>45793</v>
      </c>
      <c r="W288" s="73">
        <v>2790</v>
      </c>
      <c r="X288" s="73">
        <v>114.3</v>
      </c>
      <c r="Y288" s="169">
        <f>IF(SUM(W288:W288)&gt;0,X288/SUM(W288:W288)*1000000,"N/A")</f>
        <v>40967.741935483871</v>
      </c>
      <c r="Z288" s="80"/>
      <c r="AA288" s="80"/>
      <c r="AB288" s="73" t="s">
        <v>1257</v>
      </c>
      <c r="AC288" s="153"/>
      <c r="AD288" s="331"/>
      <c r="AE288" s="57"/>
      <c r="AF288" s="88"/>
      <c r="AG288" s="182">
        <f>YEAR(V288)</f>
        <v>2025</v>
      </c>
      <c r="AH288" s="86" t="str">
        <f>+IF(AG288=$AH$22,MONTH(V288),"")</f>
        <v/>
      </c>
      <c r="AI288" s="86">
        <f>+IF(AG288=$AI$22,MONTH(V288),"")</f>
        <v>5</v>
      </c>
      <c r="AJ288" s="86" t="str">
        <f>+IF(AG288=$AJ$22,MONTH(V288),"")</f>
        <v/>
      </c>
      <c r="AK288" s="86" t="str">
        <f>+IF(AG288=$AK$22,MONTH(V288),"")</f>
        <v/>
      </c>
      <c r="AL288" s="86" t="str">
        <f>+IF(AG288=$AL$22,MONTH(V288),"")</f>
        <v/>
      </c>
      <c r="AM288" s="86" t="str">
        <f>+IF($AG288=$AM$22,MONTH($D288),"")</f>
        <v/>
      </c>
      <c r="AN288" s="89" t="str">
        <f>+IF($AG288=AN$22,MONTH($D288),"")</f>
        <v/>
      </c>
      <c r="AO288" s="89" t="str">
        <f>+IF($AG288=AO$22,MONTH($D288),"")</f>
        <v/>
      </c>
      <c r="AP288" s="89" t="str">
        <f>+IF($AG288=AP$22,MONTH($D288),"")</f>
        <v/>
      </c>
      <c r="AQ288" s="89" t="str">
        <f>+IF($AG288=AQ$22,MONTH($D288),"")</f>
        <v/>
      </c>
      <c r="AR288" s="89" t="str">
        <f>+IF($AG288=AR$22,MONTH($D288),"")</f>
        <v/>
      </c>
      <c r="AS288" s="89" t="str">
        <f>+IF($AG288=AS$22,MONTH($D288),"")</f>
        <v/>
      </c>
      <c r="AT288" s="89" t="str">
        <f>+IF($AG288=AT$22,MONTH($D288),"")</f>
        <v/>
      </c>
      <c r="AU288" s="89" t="str">
        <f>+IF($AG288=AU$22,MONTH($D288),"")</f>
        <v/>
      </c>
      <c r="AV288" s="89" t="str">
        <f>+IF($AG288=AV$22,MONTH($D288),"")</f>
        <v/>
      </c>
      <c r="AW288" s="86" t="str">
        <f>+IF($AG288=AW$22,MONTH($D288),"")</f>
        <v/>
      </c>
      <c r="AX288" s="86" t="str">
        <f>+IF($AG288=AX$22,MONTH($D288),"")</f>
        <v/>
      </c>
      <c r="AY288" s="89"/>
      <c r="AZ288" s="89"/>
      <c r="BA288" s="89"/>
      <c r="BB288" s="89"/>
      <c r="BC288" s="89"/>
      <c r="BD288" s="89"/>
      <c r="BE288" s="89"/>
      <c r="BF288" s="89"/>
      <c r="BG288" s="89"/>
      <c r="BH288" s="89"/>
      <c r="BI288" s="89"/>
      <c r="BJ288" s="89"/>
      <c r="BK288" s="89"/>
      <c r="BL288" s="89"/>
      <c r="BM288" s="89"/>
      <c r="BN288" s="89"/>
      <c r="BO288" s="89"/>
      <c r="BP288" s="89"/>
    </row>
    <row r="289" spans="1:68" s="56" customFormat="1" ht="31.5" hidden="1" customHeight="1">
      <c r="A289" s="204" t="str">
        <f>+IFERROR(VALUE(MID(AB289,4,4)),"")</f>
        <v/>
      </c>
      <c r="B289" s="204">
        <f>VALUE(RIGHT(C289,LEN(C289)-2))</f>
        <v>2433</v>
      </c>
      <c r="C289" s="74" t="s">
        <v>1258</v>
      </c>
      <c r="D289" s="75">
        <v>45824</v>
      </c>
      <c r="E289" s="70" t="s">
        <v>1259</v>
      </c>
      <c r="F289" s="70" t="s">
        <v>460</v>
      </c>
      <c r="G289" s="68" t="s">
        <v>1260</v>
      </c>
      <c r="H289" s="282" t="s">
        <v>1261</v>
      </c>
      <c r="I289" s="162" t="s">
        <v>1262</v>
      </c>
      <c r="J289" s="162"/>
      <c r="K289" s="68" t="s">
        <v>33</v>
      </c>
      <c r="L289" s="69" t="s">
        <v>120</v>
      </c>
      <c r="M289" s="71" t="s">
        <v>141</v>
      </c>
      <c r="N289" s="69" t="e" vm="1">
        <v>#VALUE!</v>
      </c>
      <c r="O289" s="164">
        <v>45838</v>
      </c>
      <c r="P289" s="72" t="s">
        <v>258</v>
      </c>
      <c r="Q289" s="72" t="s">
        <v>389</v>
      </c>
      <c r="R289" s="162"/>
      <c r="S289" s="146"/>
      <c r="T289" s="68" t="s">
        <v>165</v>
      </c>
      <c r="U289" s="87"/>
      <c r="V289" s="183">
        <v>45940</v>
      </c>
      <c r="W289" s="73">
        <v>1554</v>
      </c>
      <c r="X289" s="73">
        <v>78.2</v>
      </c>
      <c r="Y289" s="83">
        <f>IF(SUM(W289:W289)&gt;0,X289/SUM(W289:W289)*1000000,"N/A")</f>
        <v>50321.750321750325</v>
      </c>
      <c r="Z289" s="183"/>
      <c r="AA289" s="183"/>
      <c r="AB289" s="73"/>
      <c r="AC289" s="153"/>
      <c r="AD289" s="331"/>
      <c r="AE289" s="57"/>
      <c r="AF289" s="88"/>
      <c r="AG289" s="182">
        <f>YEAR(V289)</f>
        <v>2025</v>
      </c>
      <c r="AH289" s="86" t="str">
        <f>+IF(AG289=$AH$22,MONTH(V289),"")</f>
        <v/>
      </c>
      <c r="AI289" s="86">
        <f>+IF(AG289=$AI$22,MONTH(V289),"")</f>
        <v>10</v>
      </c>
      <c r="AJ289" s="86" t="str">
        <f>+IF(AG289=$AJ$22,MONTH(V289),"")</f>
        <v/>
      </c>
      <c r="AK289" s="86" t="str">
        <f>+IF(AG289=$AK$22,MONTH(V289),"")</f>
        <v/>
      </c>
      <c r="AL289" s="86" t="str">
        <f>+IF(AG289=$AL$22,MONTH(V289),"")</f>
        <v/>
      </c>
      <c r="AM289" s="86" t="str">
        <f>+IF($AG289=$AM$22,MONTH($D289),"")</f>
        <v/>
      </c>
      <c r="AN289" s="89" t="str">
        <f>+IF($AG289=AN$22,MONTH($D289),"")</f>
        <v/>
      </c>
      <c r="AO289" s="89" t="str">
        <f>+IF($AG289=AO$22,MONTH($D289),"")</f>
        <v/>
      </c>
      <c r="AP289" s="89" t="str">
        <f>+IF($AG289=AP$22,MONTH($D289),"")</f>
        <v/>
      </c>
      <c r="AQ289" s="89" t="str">
        <f>+IF($AG289=AQ$22,MONTH($D289),"")</f>
        <v/>
      </c>
      <c r="AR289" s="89" t="str">
        <f>+IF($AG289=AR$22,MONTH($D289),"")</f>
        <v/>
      </c>
      <c r="AS289" s="89" t="str">
        <f>+IF($AG289=AS$22,MONTH($D289),"")</f>
        <v/>
      </c>
      <c r="AT289" s="89" t="str">
        <f>+IF($AG289=AT$22,MONTH($D289),"")</f>
        <v/>
      </c>
      <c r="AU289" s="89" t="str">
        <f>+IF($AG289=AU$22,MONTH($D289),"")</f>
        <v/>
      </c>
      <c r="AV289" s="89" t="str">
        <f>+IF($AG289=AV$22,MONTH($D289),"")</f>
        <v/>
      </c>
      <c r="AW289" s="86" t="str">
        <f>+IF($AG289=AW$22,MONTH($D289),"")</f>
        <v/>
      </c>
      <c r="AX289" s="86" t="str">
        <f>+IF($AG289=AX$22,MONTH($D289),"")</f>
        <v/>
      </c>
      <c r="AY289" s="89"/>
      <c r="AZ289" s="89"/>
      <c r="BA289" s="89"/>
      <c r="BB289" s="89"/>
      <c r="BC289" s="89"/>
      <c r="BD289" s="89"/>
      <c r="BE289" s="89"/>
      <c r="BF289" s="89"/>
      <c r="BG289" s="89"/>
      <c r="BH289" s="89"/>
      <c r="BI289" s="89"/>
      <c r="BJ289" s="182"/>
      <c r="BK289" s="182"/>
      <c r="BL289" s="182"/>
      <c r="BM289" s="182"/>
      <c r="BN289" s="89"/>
      <c r="BO289" s="89"/>
      <c r="BP289" s="89"/>
    </row>
    <row r="290" spans="1:68" s="89" customFormat="1" ht="29.25" hidden="1" customHeight="1">
      <c r="A290" s="204" t="str">
        <f>+IFERROR(VALUE(MID(AB290,4,4)),"")</f>
        <v/>
      </c>
      <c r="B290" s="204">
        <f>VALUE(RIGHT(C290,LEN(C290)-2))</f>
        <v>2432</v>
      </c>
      <c r="C290" s="74" t="s">
        <v>1263</v>
      </c>
      <c r="D290" s="75">
        <v>45824</v>
      </c>
      <c r="E290" s="68" t="s">
        <v>685</v>
      </c>
      <c r="F290" s="68" t="s">
        <v>685</v>
      </c>
      <c r="G290" s="68" t="s">
        <v>210</v>
      </c>
      <c r="H290" s="304" t="s">
        <v>210</v>
      </c>
      <c r="I290" s="69" t="s">
        <v>1264</v>
      </c>
      <c r="J290" s="69"/>
      <c r="K290" s="68" t="s">
        <v>13</v>
      </c>
      <c r="L290" s="68" t="s">
        <v>123</v>
      </c>
      <c r="M290" s="68" t="s">
        <v>141</v>
      </c>
      <c r="N290" s="69" t="e" vm="1">
        <v>#VALUE!</v>
      </c>
      <c r="O290" s="84">
        <v>45827</v>
      </c>
      <c r="P290" s="69" t="s">
        <v>412</v>
      </c>
      <c r="Q290" s="69" t="s">
        <v>220</v>
      </c>
      <c r="R290" s="69"/>
      <c r="S290" s="146"/>
      <c r="T290" s="68" t="s">
        <v>3</v>
      </c>
      <c r="U290" s="87"/>
      <c r="V290" s="183">
        <v>45827</v>
      </c>
      <c r="W290" s="73"/>
      <c r="X290" s="73"/>
      <c r="Y290" s="83" t="str">
        <f>IF(SUM(W290:W290)&gt;0,X290/SUM(W290:W290)*1000000,"N/A")</f>
        <v>N/A</v>
      </c>
      <c r="Z290" s="80"/>
      <c r="AA290" s="80"/>
      <c r="AB290" s="150"/>
      <c r="AC290" s="75"/>
      <c r="AD290" s="332"/>
      <c r="AE290" s="68"/>
      <c r="AF290" s="73"/>
      <c r="AG290" s="182">
        <f>YEAR(V290)</f>
        <v>2025</v>
      </c>
      <c r="AH290" s="86" t="str">
        <f>+IF(AG290=$AH$22,MONTH(V290),"")</f>
        <v/>
      </c>
      <c r="AI290" s="86">
        <f>+IF(AG290=$AI$22,MONTH(V290),"")</f>
        <v>6</v>
      </c>
      <c r="AJ290" s="86" t="str">
        <f>+IF(AG290=$AJ$22,MONTH(V290),"")</f>
        <v/>
      </c>
      <c r="AK290" s="86" t="str">
        <f>+IF(AG290=$AK$22,MONTH(V290),"")</f>
        <v/>
      </c>
      <c r="AL290" s="86" t="str">
        <f>+IF(AG290=$AL$22,MONTH(V290),"")</f>
        <v/>
      </c>
      <c r="AM290" s="86" t="str">
        <f>+IF($AG290=$AM$22,MONTH($D290),"")</f>
        <v/>
      </c>
      <c r="AN290" s="89" t="str">
        <f>+IF($AG290=AN$22,MONTH($D290),"")</f>
        <v/>
      </c>
      <c r="AO290" s="184" t="str">
        <f>+IF($AG290=AO$22,MONTH($D290),"")</f>
        <v/>
      </c>
      <c r="AP290" s="184" t="str">
        <f>+IF($AG290=AP$22,MONTH($D290),"")</f>
        <v/>
      </c>
      <c r="AQ290" s="184" t="str">
        <f>+IF($AG290=AQ$22,MONTH($D290),"")</f>
        <v/>
      </c>
      <c r="AR290" s="184" t="str">
        <f>+IF($AG290=AR$22,MONTH($D290),"")</f>
        <v/>
      </c>
      <c r="AS290" s="184" t="str">
        <f>+IF($AG290=AS$22,MONTH($D290),"")</f>
        <v/>
      </c>
      <c r="AT290" s="86" t="str">
        <f>+IF($AG290=AT$22,MONTH($D290),"")</f>
        <v/>
      </c>
      <c r="AU290" s="86" t="str">
        <f>+IF($AG290=AU$22,MONTH($D290),"")</f>
        <v/>
      </c>
      <c r="AV290" s="86" t="str">
        <f>+IF($AG290=AV$22,MONTH($D290),"")</f>
        <v/>
      </c>
      <c r="AW290" s="86" t="str">
        <f>+IF($AG290=AW$22,MONTH($D290),"")</f>
        <v/>
      </c>
      <c r="AX290" s="86" t="str">
        <f>+IF($AG290=AX$22,MONTH($D290),"")</f>
        <v/>
      </c>
    </row>
    <row r="291" spans="1:68" s="381" customFormat="1" ht="45.75" hidden="1" customHeight="1">
      <c r="A291" s="204" t="str">
        <f>+IFERROR(VALUE(MID(AB291,4,4)),"")</f>
        <v/>
      </c>
      <c r="B291" s="204">
        <f>VALUE(RIGHT(C291,LEN(C291)-2))</f>
        <v>2431</v>
      </c>
      <c r="C291" s="74" t="s">
        <v>1265</v>
      </c>
      <c r="D291" s="75">
        <v>45824</v>
      </c>
      <c r="E291" s="68" t="s">
        <v>53</v>
      </c>
      <c r="F291" s="68" t="s">
        <v>313</v>
      </c>
      <c r="G291" s="68" t="s">
        <v>210</v>
      </c>
      <c r="H291" s="304" t="s">
        <v>210</v>
      </c>
      <c r="I291" s="69" t="s">
        <v>1266</v>
      </c>
      <c r="J291" s="69"/>
      <c r="K291" s="68" t="s">
        <v>13</v>
      </c>
      <c r="L291" s="69" t="s">
        <v>123</v>
      </c>
      <c r="M291" s="71" t="s">
        <v>141</v>
      </c>
      <c r="N291" s="69" t="e" vm="1">
        <v>#VALUE!</v>
      </c>
      <c r="O291" s="84">
        <v>45835</v>
      </c>
      <c r="P291" s="69" t="s">
        <v>239</v>
      </c>
      <c r="Q291" s="69" t="s">
        <v>240</v>
      </c>
      <c r="R291" s="69"/>
      <c r="S291" s="146"/>
      <c r="T291" s="68" t="s">
        <v>165</v>
      </c>
      <c r="U291" s="87"/>
      <c r="V291" s="183">
        <v>45950</v>
      </c>
      <c r="W291" s="73" t="s">
        <v>134</v>
      </c>
      <c r="X291" s="73" t="s">
        <v>134</v>
      </c>
      <c r="Y291" s="83" t="str">
        <f>IF(SUM(W291:W291)&gt;0,X291/SUM(W291:W291)*1000000,"N/A")</f>
        <v>N/A</v>
      </c>
      <c r="Z291" s="80"/>
      <c r="AA291" s="80"/>
      <c r="AB291" s="150"/>
      <c r="AC291" s="75"/>
      <c r="AD291" s="332"/>
      <c r="AE291" s="68"/>
      <c r="AF291" s="73"/>
      <c r="AG291" s="182">
        <f>YEAR(V291)</f>
        <v>2025</v>
      </c>
      <c r="AH291" s="86" t="str">
        <f>+IF(AG291=$AH$22,MONTH(V291),"")</f>
        <v/>
      </c>
      <c r="AI291" s="86">
        <f>+IF(AG291=$AI$22,MONTH(V291),"")</f>
        <v>10</v>
      </c>
      <c r="AJ291" s="86" t="str">
        <f>+IF(AG291=$AJ$22,MONTH(V291),"")</f>
        <v/>
      </c>
      <c r="AK291" s="86" t="str">
        <f>+IF(AG291=$AK$22,MONTH(V291),"")</f>
        <v/>
      </c>
      <c r="AL291" s="86" t="str">
        <f>+IF(AG291=$AL$22,MONTH(V291),"")</f>
        <v/>
      </c>
      <c r="AM291" s="86" t="str">
        <f>+IF($AG291=$AM$22,MONTH($D291),"")</f>
        <v/>
      </c>
      <c r="AN291" s="89" t="str">
        <f>+IF($AG291=AN$22,MONTH($D291),"")</f>
        <v/>
      </c>
      <c r="AO291" s="184" t="str">
        <f>+IF($AG291=AO$22,MONTH($D291),"")</f>
        <v/>
      </c>
      <c r="AP291" s="184" t="str">
        <f>+IF($AG291=AP$22,MONTH($D291),"")</f>
        <v/>
      </c>
      <c r="AQ291" s="184" t="str">
        <f>+IF($AG291=AQ$22,MONTH($D291),"")</f>
        <v/>
      </c>
      <c r="AR291" s="184" t="str">
        <f>+IF($AG291=AR$22,MONTH($D291),"")</f>
        <v/>
      </c>
      <c r="AS291" s="184" t="str">
        <f>+IF($AG291=AS$22,MONTH($D291),"")</f>
        <v/>
      </c>
      <c r="AT291" s="86" t="str">
        <f>+IF($AG291=AT$22,MONTH($D291),"")</f>
        <v/>
      </c>
      <c r="AU291" s="86" t="str">
        <f>+IF($AG291=AU$22,MONTH($D291),"")</f>
        <v/>
      </c>
      <c r="AV291" s="86" t="str">
        <f>+IF($AG291=AV$22,MONTH($D291),"")</f>
        <v/>
      </c>
      <c r="AW291" s="86" t="str">
        <f>+IF($AG291=AW$22,MONTH($D291),"")</f>
        <v/>
      </c>
      <c r="AX291" s="86" t="str">
        <f>+IF($AG291=AX$22,MONTH($D291),"")</f>
        <v/>
      </c>
      <c r="AY291" s="89"/>
      <c r="AZ291" s="89"/>
      <c r="BA291" s="89"/>
      <c r="BB291" s="89"/>
      <c r="BC291" s="89"/>
      <c r="BD291" s="89"/>
      <c r="BE291" s="89"/>
      <c r="BF291" s="89"/>
      <c r="BG291" s="89"/>
      <c r="BH291" s="89"/>
      <c r="BI291" s="89"/>
      <c r="BJ291" s="89"/>
      <c r="BK291" s="89"/>
      <c r="BL291" s="89"/>
      <c r="BM291" s="89"/>
      <c r="BN291" s="89"/>
      <c r="BO291" s="89"/>
      <c r="BP291" s="89"/>
    </row>
    <row r="292" spans="1:68" s="381" customFormat="1" ht="45.75" hidden="1" customHeight="1">
      <c r="A292" s="204" t="str">
        <f>+IFERROR(VALUE(MID(AB292,4,4)),"")</f>
        <v/>
      </c>
      <c r="B292" s="204">
        <f>VALUE(RIGHT(C292,LEN(C292)-2))</f>
        <v>2430</v>
      </c>
      <c r="C292" s="74" t="s">
        <v>1267</v>
      </c>
      <c r="D292" s="75">
        <v>45820</v>
      </c>
      <c r="E292" s="70" t="s">
        <v>332</v>
      </c>
      <c r="F292" s="70" t="s">
        <v>332</v>
      </c>
      <c r="G292" s="68" t="s">
        <v>333</v>
      </c>
      <c r="H292" s="304" t="s">
        <v>334</v>
      </c>
      <c r="I292" s="162" t="s">
        <v>1268</v>
      </c>
      <c r="J292" s="162"/>
      <c r="K292" s="68" t="s">
        <v>13</v>
      </c>
      <c r="L292" s="69" t="s">
        <v>129</v>
      </c>
      <c r="M292" s="71" t="s">
        <v>141</v>
      </c>
      <c r="N292" s="69" t="e" vm="1">
        <v>#VALUE!</v>
      </c>
      <c r="O292" s="164">
        <v>45845</v>
      </c>
      <c r="P292" s="72" t="s">
        <v>737</v>
      </c>
      <c r="Q292" s="72" t="s">
        <v>259</v>
      </c>
      <c r="R292" s="162"/>
      <c r="S292" s="146"/>
      <c r="T292" s="68" t="s">
        <v>165</v>
      </c>
      <c r="U292" s="87"/>
      <c r="V292" s="183">
        <v>45913</v>
      </c>
      <c r="W292" s="73">
        <v>824</v>
      </c>
      <c r="X292" s="216">
        <v>33.82</v>
      </c>
      <c r="Y292" s="83">
        <f>IF(SUM(W292:W292)&gt;0,X292/SUM(W292:W292)*1000000,"N/A")</f>
        <v>41043.689320388352</v>
      </c>
      <c r="Z292" s="183"/>
      <c r="AA292" s="183"/>
      <c r="AB292" s="73"/>
      <c r="AC292" s="153"/>
      <c r="AD292" s="330"/>
      <c r="AE292" s="305"/>
      <c r="AF292" s="88"/>
      <c r="AG292" s="182">
        <f>YEAR(V292)</f>
        <v>2025</v>
      </c>
      <c r="AH292" s="86" t="str">
        <f>+IF(AG292=$AH$22,MONTH(V292),"")</f>
        <v/>
      </c>
      <c r="AI292" s="86">
        <f>+IF(AG292=$AI$22,MONTH(V292),"")</f>
        <v>9</v>
      </c>
      <c r="AJ292" s="86" t="str">
        <f>+IF(AG292=$AJ$22,MONTH(V292),"")</f>
        <v/>
      </c>
      <c r="AK292" s="86" t="str">
        <f>+IF(AG292=$AK$22,MONTH(V292),"")</f>
        <v/>
      </c>
      <c r="AL292" s="86"/>
      <c r="AM292" s="89"/>
      <c r="AN292" s="89"/>
      <c r="AO292" s="89"/>
      <c r="AP292" s="89"/>
      <c r="AQ292" s="89"/>
      <c r="AR292" s="89"/>
      <c r="AS292" s="89"/>
      <c r="AT292" s="89"/>
      <c r="AU292" s="89"/>
      <c r="AV292" s="89"/>
      <c r="AW292" s="86" t="str">
        <f>+IF($AG292=AW$22,MONTH($D292),"")</f>
        <v/>
      </c>
      <c r="AX292" s="86" t="str">
        <f>+IF($AG292=AX$22,MONTH($D292),"")</f>
        <v/>
      </c>
      <c r="AY292" s="89"/>
      <c r="AZ292" s="89"/>
      <c r="BA292" s="89"/>
      <c r="BB292" s="89"/>
      <c r="BC292" s="89"/>
      <c r="BD292" s="89"/>
      <c r="BE292" s="89"/>
      <c r="BF292" s="89"/>
      <c r="BG292" s="89"/>
      <c r="BH292" s="89"/>
      <c r="BI292" s="89"/>
      <c r="BJ292" s="89"/>
      <c r="BK292" s="89"/>
      <c r="BL292" s="89"/>
      <c r="BM292" s="89"/>
      <c r="BN292" s="89"/>
      <c r="BO292" s="89"/>
      <c r="BP292" s="89"/>
    </row>
    <row r="293" spans="1:68" s="89" customFormat="1" ht="45.75" hidden="1" customHeight="1">
      <c r="A293" s="204">
        <f>+IFERROR(VALUE(MID(AB293,4,4)),"")</f>
        <v>384</v>
      </c>
      <c r="B293" s="204">
        <f>VALUE(RIGHT(C293,LEN(C293)-2))</f>
        <v>2429</v>
      </c>
      <c r="C293" s="74" t="s">
        <v>1269</v>
      </c>
      <c r="D293" s="75">
        <v>45820</v>
      </c>
      <c r="E293" s="70" t="s">
        <v>332</v>
      </c>
      <c r="F293" s="70" t="s">
        <v>332</v>
      </c>
      <c r="G293" s="68" t="s">
        <v>333</v>
      </c>
      <c r="H293" s="304" t="s">
        <v>334</v>
      </c>
      <c r="I293" s="162" t="s">
        <v>1270</v>
      </c>
      <c r="J293" s="162"/>
      <c r="K293" s="68" t="s">
        <v>13</v>
      </c>
      <c r="L293" s="68" t="s">
        <v>129</v>
      </c>
      <c r="M293" s="68" t="s">
        <v>141</v>
      </c>
      <c r="N293" s="69" t="e" vm="1">
        <v>#VALUE!</v>
      </c>
      <c r="O293" s="164">
        <v>45842</v>
      </c>
      <c r="P293" s="72" t="s">
        <v>737</v>
      </c>
      <c r="Q293" s="72" t="s">
        <v>229</v>
      </c>
      <c r="R293" s="162"/>
      <c r="S293" s="146"/>
      <c r="T293" s="68" t="s">
        <v>3</v>
      </c>
      <c r="U293" s="87"/>
      <c r="V293" s="183">
        <v>45980</v>
      </c>
      <c r="W293" s="73">
        <v>1957</v>
      </c>
      <c r="X293" s="73">
        <f>1996*39643.59/1000000</f>
        <v>79.128605639999989</v>
      </c>
      <c r="Y293" s="83">
        <f>IF(SUM(W293:W293)&gt;0,X293/SUM(W293:W293)*1000000,"N/A")</f>
        <v>40433.625774144093</v>
      </c>
      <c r="Z293" s="183"/>
      <c r="AA293" s="183"/>
      <c r="AB293" s="73" t="s">
        <v>1271</v>
      </c>
      <c r="AC293" s="153"/>
      <c r="AD293" s="330"/>
      <c r="AE293" s="305"/>
      <c r="AF293" s="88"/>
      <c r="AG293" s="182">
        <f>YEAR(V293)</f>
        <v>2025</v>
      </c>
      <c r="AH293" s="86" t="str">
        <f>+IF(AG293=$AH$22,MONTH(V293),"")</f>
        <v/>
      </c>
      <c r="AI293" s="86">
        <f>+IF(AG293=$AI$22,MONTH(V293),"")</f>
        <v>11</v>
      </c>
      <c r="AJ293" s="86" t="str">
        <f>+IF(AG293=$AJ$22,MONTH(V293),"")</f>
        <v/>
      </c>
      <c r="AK293" s="86" t="str">
        <f>+IF(AG293=$AK$22,MONTH(V293),"")</f>
        <v/>
      </c>
      <c r="AL293" s="86"/>
      <c r="AW293" s="86" t="str">
        <f>+IF($AG293=AW$22,MONTH($D293),"")</f>
        <v/>
      </c>
      <c r="AX293" s="86" t="str">
        <f>+IF($AG293=AX$22,MONTH($D293),"")</f>
        <v/>
      </c>
    </row>
    <row r="294" spans="1:68" s="89" customFormat="1" ht="45.75" hidden="1" customHeight="1">
      <c r="A294" s="204">
        <f>+IFERROR(VALUE(MID(AB294,4,4)),"")</f>
        <v>445</v>
      </c>
      <c r="B294" s="204">
        <f>VALUE(RIGHT(C294,LEN(C294)-2))</f>
        <v>2428</v>
      </c>
      <c r="C294" s="74" t="s">
        <v>1272</v>
      </c>
      <c r="D294" s="75">
        <v>45818</v>
      </c>
      <c r="E294" s="70" t="s">
        <v>1273</v>
      </c>
      <c r="F294" s="70" t="s">
        <v>1273</v>
      </c>
      <c r="G294" s="68" t="s">
        <v>1274</v>
      </c>
      <c r="H294" s="282" t="s">
        <v>1275</v>
      </c>
      <c r="I294" s="69" t="s">
        <v>1276</v>
      </c>
      <c r="J294" s="69"/>
      <c r="K294" s="68" t="s">
        <v>42</v>
      </c>
      <c r="L294" s="68" t="s">
        <v>120</v>
      </c>
      <c r="M294" s="68" t="s">
        <v>141</v>
      </c>
      <c r="N294" s="69" t="e" vm="1">
        <v>#VALUE!</v>
      </c>
      <c r="O294" s="84">
        <v>45821</v>
      </c>
      <c r="P294" s="72" t="s">
        <v>1154</v>
      </c>
      <c r="Q294" s="82" t="s">
        <v>259</v>
      </c>
      <c r="R294" s="69"/>
      <c r="S294" s="146" t="s">
        <v>1216</v>
      </c>
      <c r="T294" s="68" t="s">
        <v>3</v>
      </c>
      <c r="U294" s="87"/>
      <c r="V294" s="80">
        <v>45862</v>
      </c>
      <c r="W294" s="73">
        <v>398</v>
      </c>
      <c r="X294" s="73">
        <v>18</v>
      </c>
      <c r="Y294" s="83">
        <f>IF(SUM(W294:W294)&gt;0,X294/SUM(W294:W294)*1000000,"N/A")</f>
        <v>45226.130653266337</v>
      </c>
      <c r="Z294" s="80"/>
      <c r="AA294" s="80"/>
      <c r="AB294" s="73" t="s">
        <v>1277</v>
      </c>
      <c r="AC294" s="153"/>
      <c r="AD294" s="331"/>
      <c r="AE294" s="57"/>
      <c r="AF294" s="88"/>
      <c r="AG294" s="182">
        <f>YEAR(V294)</f>
        <v>2025</v>
      </c>
      <c r="AH294" s="86" t="str">
        <f>+IF(AG294=$AH$22,MONTH(V294),"")</f>
        <v/>
      </c>
      <c r="AI294" s="86">
        <f>+IF(AG294=$AI$22,MONTH(V294),"")</f>
        <v>7</v>
      </c>
      <c r="AJ294" s="86" t="str">
        <f>+IF(AG294=$AJ$22,MONTH(V294),"")</f>
        <v/>
      </c>
      <c r="AK294" s="86" t="str">
        <f>+IF(AG294=$AK$22,MONTH(V294),"")</f>
        <v/>
      </c>
      <c r="AL294" s="86" t="str">
        <f>+IF(AG294=$AL$22,MONTH(V294),"")</f>
        <v/>
      </c>
      <c r="AM294" s="86" t="str">
        <f>+IF($AG294=$AM$22,MONTH($D294),"")</f>
        <v/>
      </c>
      <c r="AN294" s="89" t="str">
        <f>+IF($AG294=AN$22,MONTH($D294),"")</f>
        <v/>
      </c>
      <c r="AO294" s="89" t="str">
        <f>+IF($AG294=AO$22,MONTH($D294),"")</f>
        <v/>
      </c>
      <c r="AP294" s="89" t="str">
        <f>+IF($AG294=AP$22,MONTH($D294),"")</f>
        <v/>
      </c>
      <c r="AQ294" s="89" t="str">
        <f>+IF($AG294=AQ$22,MONTH($D294),"")</f>
        <v/>
      </c>
      <c r="AR294" s="89" t="str">
        <f>+IF($AG294=AR$22,MONTH($D294),"")</f>
        <v/>
      </c>
      <c r="AS294" s="89" t="str">
        <f>+IF($AG294=AS$22,MONTH($D294),"")</f>
        <v/>
      </c>
      <c r="AT294" s="89" t="str">
        <f>+IF($AG294=AT$22,MONTH($D294),"")</f>
        <v/>
      </c>
      <c r="AU294" s="89" t="str">
        <f>+IF($AG294=AU$22,MONTH($D294),"")</f>
        <v/>
      </c>
      <c r="AV294" s="89" t="str">
        <f>+IF($AG294=AV$22,MONTH($D294),"")</f>
        <v/>
      </c>
      <c r="AW294" s="86" t="str">
        <f>+IF($AG294=AW$22,MONTH($D294),"")</f>
        <v/>
      </c>
      <c r="AX294" s="86" t="str">
        <f>+IF($AG294=AX$22,MONTH($D294),"")</f>
        <v/>
      </c>
      <c r="BJ294" s="182"/>
      <c r="BK294" s="182"/>
      <c r="BL294" s="182"/>
      <c r="BM294" s="182"/>
    </row>
    <row r="295" spans="1:68" s="51" customFormat="1" ht="27" hidden="1">
      <c r="A295" s="204" t="str">
        <f>+IFERROR(VALUE(MID(AB295,4,4)),"")</f>
        <v/>
      </c>
      <c r="B295" s="204">
        <f>VALUE(RIGHT(C295,LEN(C295)-2))</f>
        <v>2427</v>
      </c>
      <c r="C295" s="74" t="s">
        <v>1278</v>
      </c>
      <c r="D295" s="75">
        <v>45818</v>
      </c>
      <c r="E295" s="68" t="s">
        <v>53</v>
      </c>
      <c r="F295" s="68" t="s">
        <v>1279</v>
      </c>
      <c r="G295" s="68" t="s">
        <v>210</v>
      </c>
      <c r="H295" s="304" t="s">
        <v>210</v>
      </c>
      <c r="I295" s="69" t="s">
        <v>1280</v>
      </c>
      <c r="J295" s="69"/>
      <c r="K295" s="68" t="s">
        <v>1281</v>
      </c>
      <c r="L295" s="69" t="s">
        <v>123</v>
      </c>
      <c r="M295" s="71" t="s">
        <v>141</v>
      </c>
      <c r="N295" s="69" t="e" vm="1">
        <v>#VALUE!</v>
      </c>
      <c r="O295" s="84">
        <v>45889</v>
      </c>
      <c r="P295" s="69" t="s">
        <v>289</v>
      </c>
      <c r="Q295" s="69" t="s">
        <v>1008</v>
      </c>
      <c r="R295" s="69"/>
      <c r="S295" s="146"/>
      <c r="T295" s="68" t="s">
        <v>165</v>
      </c>
      <c r="U295" s="87">
        <v>0.01</v>
      </c>
      <c r="V295" s="183">
        <v>45889</v>
      </c>
      <c r="W295" s="73">
        <v>25960</v>
      </c>
      <c r="X295" s="73">
        <v>2037</v>
      </c>
      <c r="Y295" s="83">
        <f>IF(SUM(W295:W295)&gt;0,X295/SUM(W295:W295)*1000000,"N/A")</f>
        <v>78466.872110939905</v>
      </c>
      <c r="Z295" s="80"/>
      <c r="AA295" s="80"/>
      <c r="AB295" s="150"/>
      <c r="AC295" s="75"/>
      <c r="AD295" s="332"/>
      <c r="AE295" s="68"/>
      <c r="AF295" s="73"/>
      <c r="AG295" s="182">
        <f>YEAR(V295)</f>
        <v>2025</v>
      </c>
      <c r="AH295" s="86" t="str">
        <f>+IF(AG295=$AH$22,MONTH(V295),"")</f>
        <v/>
      </c>
      <c r="AI295" s="86">
        <f>+IF(AG295=$AI$22,MONTH(V295),"")</f>
        <v>8</v>
      </c>
      <c r="AJ295" s="86" t="str">
        <f>+IF(AG295=$AJ$22,MONTH(V295),"")</f>
        <v/>
      </c>
      <c r="AK295" s="86" t="str">
        <f>+IF(AG295=$AK$22,MONTH(V295),"")</f>
        <v/>
      </c>
      <c r="AL295" s="86" t="str">
        <f>+IF(AG295=$AL$22,MONTH(V295),"")</f>
        <v/>
      </c>
      <c r="AM295" s="86" t="str">
        <f>+IF($AG295=$AM$22,MONTH($D295),"")</f>
        <v/>
      </c>
      <c r="AN295" s="89" t="str">
        <f>+IF($AG295=AN$22,MONTH($D295),"")</f>
        <v/>
      </c>
      <c r="AO295" s="184" t="str">
        <f>+IF($AG295=AO$22,MONTH($D295),"")</f>
        <v/>
      </c>
      <c r="AP295" s="184" t="str">
        <f>+IF($AG295=AP$22,MONTH($D295),"")</f>
        <v/>
      </c>
      <c r="AQ295" s="184" t="str">
        <f>+IF($AG295=AQ$22,MONTH($D295),"")</f>
        <v/>
      </c>
      <c r="AR295" s="184" t="str">
        <f>+IF($AG295=AR$22,MONTH($D295),"")</f>
        <v/>
      </c>
      <c r="AS295" s="184" t="str">
        <f>+IF($AG295=AS$22,MONTH($D295),"")</f>
        <v/>
      </c>
      <c r="AT295" s="86" t="str">
        <f>+IF($AG295=AT$22,MONTH($D295),"")</f>
        <v/>
      </c>
      <c r="AU295" s="86" t="str">
        <f>+IF($AG295=AU$22,MONTH($D295),"")</f>
        <v/>
      </c>
      <c r="AV295" s="86" t="str">
        <f>+IF($AG295=AV$22,MONTH($D295),"")</f>
        <v/>
      </c>
      <c r="AW295" s="86" t="str">
        <f>+IF($AG295=AW$22,MONTH($D295),"")</f>
        <v/>
      </c>
      <c r="AX295" s="86" t="str">
        <f>+IF($AG295=AX$22,MONTH($D295),"")</f>
        <v/>
      </c>
      <c r="AY295" s="89"/>
      <c r="AZ295" s="89"/>
      <c r="BA295" s="89"/>
      <c r="BB295" s="89"/>
      <c r="BC295" s="89"/>
      <c r="BD295" s="89"/>
      <c r="BE295" s="89"/>
      <c r="BF295" s="89"/>
      <c r="BG295" s="89"/>
      <c r="BH295" s="89"/>
      <c r="BI295" s="89"/>
      <c r="BJ295" s="89"/>
      <c r="BK295" s="89"/>
      <c r="BL295" s="89"/>
      <c r="BM295" s="89"/>
      <c r="BN295" s="182"/>
      <c r="BO295" s="182"/>
      <c r="BP295" s="182"/>
    </row>
    <row r="296" spans="1:68" s="381" customFormat="1" ht="45.75" hidden="1" customHeight="1">
      <c r="A296" s="204">
        <f>+IFERROR(VALUE(MID(AB296,4,4)),"")</f>
        <v>450</v>
      </c>
      <c r="B296" s="204">
        <f>VALUE(RIGHT(C296,LEN(C296)-2))</f>
        <v>2426</v>
      </c>
      <c r="C296" s="74" t="s">
        <v>1282</v>
      </c>
      <c r="D296" s="75">
        <v>45818</v>
      </c>
      <c r="E296" s="70" t="s">
        <v>479</v>
      </c>
      <c r="F296" s="70" t="s">
        <v>479</v>
      </c>
      <c r="G296" s="68" t="s">
        <v>1283</v>
      </c>
      <c r="H296" s="282" t="s">
        <v>1284</v>
      </c>
      <c r="I296" s="162" t="s">
        <v>1285</v>
      </c>
      <c r="J296" s="162"/>
      <c r="K296" s="68" t="s">
        <v>1286</v>
      </c>
      <c r="L296" s="69" t="s">
        <v>129</v>
      </c>
      <c r="M296" s="71" t="s">
        <v>113</v>
      </c>
      <c r="N296" s="69" t="e" vm="2">
        <v>#VALUE!</v>
      </c>
      <c r="O296" s="84">
        <v>45831</v>
      </c>
      <c r="P296" s="82" t="s">
        <v>294</v>
      </c>
      <c r="Q296" s="72" t="s">
        <v>220</v>
      </c>
      <c r="R296" s="162"/>
      <c r="S296" s="146"/>
      <c r="T296" s="68" t="s">
        <v>3</v>
      </c>
      <c r="U296" s="87"/>
      <c r="V296" s="183">
        <v>45887</v>
      </c>
      <c r="W296" s="73">
        <v>2519</v>
      </c>
      <c r="X296" s="73">
        <v>79.819999999999993</v>
      </c>
      <c r="Y296" s="83">
        <f>IF(SUM(W296:W296)&gt;0,X296/SUM(W296:W296)*1000000,"N/A")</f>
        <v>31687.177451369593</v>
      </c>
      <c r="Z296" s="183"/>
      <c r="AA296" s="183"/>
      <c r="AB296" s="73" t="s">
        <v>1287</v>
      </c>
      <c r="AC296" s="153"/>
      <c r="AD296" s="331"/>
      <c r="AE296" s="57"/>
      <c r="AF296" s="88"/>
      <c r="AG296" s="182">
        <f>YEAR(V296)</f>
        <v>2025</v>
      </c>
      <c r="AH296" s="86" t="str">
        <f>+IF(AG296=$AH$22,MONTH(V296),"")</f>
        <v/>
      </c>
      <c r="AI296" s="86">
        <f>+IF(AG296=$AI$22,MONTH(V296),"")</f>
        <v>8</v>
      </c>
      <c r="AJ296" s="86" t="str">
        <f>+IF(AG296=$AJ$22,MONTH(V296),"")</f>
        <v/>
      </c>
      <c r="AK296" s="86" t="str">
        <f>+IF(AG296=$AK$22,MONTH(V296),"")</f>
        <v/>
      </c>
      <c r="AL296" s="86"/>
      <c r="AM296" s="89"/>
      <c r="AN296" s="89"/>
      <c r="AO296" s="89"/>
      <c r="AP296" s="89"/>
      <c r="AQ296" s="89"/>
      <c r="AR296" s="89"/>
      <c r="AS296" s="89"/>
      <c r="AT296" s="89"/>
      <c r="AU296" s="89"/>
      <c r="AV296" s="89"/>
      <c r="AW296" s="86" t="str">
        <f>+IF($AG296=AW$22,MONTH($D296),"")</f>
        <v/>
      </c>
      <c r="AX296" s="86" t="str">
        <f>+IF($AG296=AX$22,MONTH($D296),"")</f>
        <v/>
      </c>
      <c r="AY296" s="89"/>
      <c r="AZ296" s="89"/>
      <c r="BA296" s="89"/>
      <c r="BB296" s="89"/>
      <c r="BC296" s="89"/>
      <c r="BD296" s="89"/>
      <c r="BE296" s="89"/>
      <c r="BF296" s="89"/>
      <c r="BG296" s="89"/>
      <c r="BH296" s="89"/>
      <c r="BI296" s="89"/>
      <c r="BJ296" s="89"/>
      <c r="BK296" s="89"/>
      <c r="BL296" s="89"/>
      <c r="BM296" s="89"/>
      <c r="BN296" s="89"/>
      <c r="BO296" s="89"/>
      <c r="BP296" s="89"/>
    </row>
    <row r="297" spans="1:68" s="56" customFormat="1" ht="33.75" hidden="1" customHeight="1">
      <c r="A297" s="204" t="str">
        <f>+IFERROR(VALUE(MID(AB297,4,4)),"")</f>
        <v/>
      </c>
      <c r="B297" s="204">
        <f>VALUE(RIGHT(C297,LEN(C297)-2))</f>
        <v>2425</v>
      </c>
      <c r="C297" s="74" t="s">
        <v>1288</v>
      </c>
      <c r="D297" s="75">
        <v>45818</v>
      </c>
      <c r="E297" s="70" t="s">
        <v>745</v>
      </c>
      <c r="F297" s="70" t="s">
        <v>1289</v>
      </c>
      <c r="G297" s="68" t="s">
        <v>1290</v>
      </c>
      <c r="H297" s="282" t="s">
        <v>1291</v>
      </c>
      <c r="I297" s="162" t="s">
        <v>1292</v>
      </c>
      <c r="J297" s="162"/>
      <c r="K297" s="68" t="s">
        <v>315</v>
      </c>
      <c r="L297" s="69" t="s">
        <v>123</v>
      </c>
      <c r="M297" s="71" t="s">
        <v>141</v>
      </c>
      <c r="N297" s="69" t="e" vm="1">
        <v>#VALUE!</v>
      </c>
      <c r="O297" s="164">
        <v>45827</v>
      </c>
      <c r="P297" s="72" t="s">
        <v>1154</v>
      </c>
      <c r="Q297" s="72" t="s">
        <v>259</v>
      </c>
      <c r="R297" s="162"/>
      <c r="S297" s="146"/>
      <c r="T297" s="68" t="s">
        <v>155</v>
      </c>
      <c r="U297" s="87"/>
      <c r="V297" s="183">
        <v>45819</v>
      </c>
      <c r="W297" s="73"/>
      <c r="X297" s="73"/>
      <c r="Y297" s="83" t="str">
        <f>IF(SUM(W297:W297)&gt;0,X297/SUM(W297:W297)*1000000,"N/A")</f>
        <v>N/A</v>
      </c>
      <c r="Z297" s="183"/>
      <c r="AA297" s="183"/>
      <c r="AB297" s="73"/>
      <c r="AC297" s="153"/>
      <c r="AD297" s="331"/>
      <c r="AE297" s="57"/>
      <c r="AF297" s="88"/>
      <c r="AG297" s="182">
        <f>YEAR(V297)</f>
        <v>2025</v>
      </c>
      <c r="AH297" s="86" t="str">
        <f>+IF(AG297=$AH$22,MONTH(V297),"")</f>
        <v/>
      </c>
      <c r="AI297" s="86">
        <f>+IF(AG297=$AI$22,MONTH(V297),"")</f>
        <v>6</v>
      </c>
      <c r="AJ297" s="86" t="str">
        <f>+IF(AG297=$AJ$22,MONTH(V297),"")</f>
        <v/>
      </c>
      <c r="AK297" s="86" t="str">
        <f>+IF(AG297=$AK$22,MONTH(V297),"")</f>
        <v/>
      </c>
      <c r="AL297" s="86" t="str">
        <f>+IF(AG297=$AL$22,MONTH(V297),"")</f>
        <v/>
      </c>
      <c r="AM297" s="86" t="str">
        <f>+IF($AG297=$AM$22,MONTH($D297),"")</f>
        <v/>
      </c>
      <c r="AN297" s="89" t="str">
        <f>+IF($AG297=AN$22,MONTH($D297),"")</f>
        <v/>
      </c>
      <c r="AO297" s="89" t="str">
        <f>+IF($AG297=AO$22,MONTH($D297),"")</f>
        <v/>
      </c>
      <c r="AP297" s="89" t="str">
        <f>+IF($AG297=AP$22,MONTH($D297),"")</f>
        <v/>
      </c>
      <c r="AQ297" s="89" t="str">
        <f>+IF($AG297=AQ$22,MONTH($D297),"")</f>
        <v/>
      </c>
      <c r="AR297" s="89" t="str">
        <f>+IF($AG297=AR$22,MONTH($D297),"")</f>
        <v/>
      </c>
      <c r="AS297" s="89" t="str">
        <f>+IF($AG297=AS$22,MONTH($D297),"")</f>
        <v/>
      </c>
      <c r="AT297" s="89" t="str">
        <f>+IF($AG297=AT$22,MONTH($D297),"")</f>
        <v/>
      </c>
      <c r="AU297" s="89" t="str">
        <f>+IF($AG297=AU$22,MONTH($D297),"")</f>
        <v/>
      </c>
      <c r="AV297" s="89" t="str">
        <f>+IF($AG297=AV$22,MONTH($D297),"")</f>
        <v/>
      </c>
      <c r="AW297" s="86" t="str">
        <f>+IF($AG297=AW$22,MONTH($D297),"")</f>
        <v/>
      </c>
      <c r="AX297" s="86" t="str">
        <f>+IF($AG297=AX$22,MONTH($D297),"")</f>
        <v/>
      </c>
      <c r="AY297" s="89"/>
      <c r="AZ297" s="89"/>
      <c r="BA297" s="89"/>
      <c r="BB297" s="89"/>
      <c r="BC297" s="89"/>
      <c r="BD297" s="89"/>
      <c r="BE297" s="89"/>
      <c r="BF297" s="89"/>
      <c r="BG297" s="89"/>
      <c r="BH297" s="89"/>
      <c r="BI297" s="89"/>
      <c r="BJ297" s="182"/>
      <c r="BK297" s="182"/>
      <c r="BL297" s="182"/>
      <c r="BM297" s="182"/>
      <c r="BN297" s="89"/>
      <c r="BO297" s="89"/>
      <c r="BP297" s="89"/>
    </row>
    <row r="298" spans="1:68" s="89" customFormat="1" ht="29.25" hidden="1" customHeight="1">
      <c r="A298" s="204">
        <f>+IFERROR(VALUE(MID(AB298,4,4)),"")</f>
        <v>443</v>
      </c>
      <c r="B298" s="204">
        <f>VALUE(RIGHT(C298,LEN(C298)-2))</f>
        <v>2424</v>
      </c>
      <c r="C298" s="74" t="s">
        <v>1293</v>
      </c>
      <c r="D298" s="75">
        <v>45817</v>
      </c>
      <c r="E298" s="70" t="s">
        <v>353</v>
      </c>
      <c r="F298" s="70" t="s">
        <v>354</v>
      </c>
      <c r="G298" s="68" t="s">
        <v>1294</v>
      </c>
      <c r="H298" s="307" t="s">
        <v>1295</v>
      </c>
      <c r="I298" s="69" t="s">
        <v>1296</v>
      </c>
      <c r="J298" s="69"/>
      <c r="K298" s="68" t="s">
        <v>401</v>
      </c>
      <c r="L298" s="68" t="s">
        <v>120</v>
      </c>
      <c r="M298" s="68" t="s">
        <v>141</v>
      </c>
      <c r="N298" s="69" t="e" vm="1">
        <v>#VALUE!</v>
      </c>
      <c r="O298" s="164">
        <v>45855</v>
      </c>
      <c r="P298" s="72" t="s">
        <v>274</v>
      </c>
      <c r="Q298" s="72" t="s">
        <v>220</v>
      </c>
      <c r="R298" s="162"/>
      <c r="S298" s="146"/>
      <c r="T298" s="68" t="s">
        <v>3</v>
      </c>
      <c r="U298" s="87"/>
      <c r="V298" s="183">
        <v>45860</v>
      </c>
      <c r="W298" s="73">
        <v>1165</v>
      </c>
      <c r="X298" s="73">
        <v>60.85</v>
      </c>
      <c r="Y298" s="83">
        <f>IF(SUM(W298:W298)&gt;0,X298/SUM(W298:W298)*1000000,"N/A")</f>
        <v>52231.759656652357</v>
      </c>
      <c r="Z298" s="183"/>
      <c r="AA298" s="183"/>
      <c r="AB298" s="73" t="s">
        <v>1297</v>
      </c>
      <c r="AC298" s="153"/>
      <c r="AD298" s="330"/>
      <c r="AE298" s="305"/>
      <c r="AF298" s="88"/>
      <c r="AG298" s="182">
        <f>YEAR(V298)</f>
        <v>2025</v>
      </c>
      <c r="AH298" s="86" t="str">
        <f>+IF(AG298=$AH$22,MONTH(V298),"")</f>
        <v/>
      </c>
      <c r="AI298" s="86">
        <f>+IF(AG298=$AI$22,MONTH(V298),"")</f>
        <v>7</v>
      </c>
      <c r="AJ298" s="86" t="str">
        <f>+IF(AG298=$AJ$22,MONTH(V298),"")</f>
        <v/>
      </c>
      <c r="AK298" s="86" t="str">
        <f>+IF(AG298=$AK$22,MONTH(V298),"")</f>
        <v/>
      </c>
      <c r="AL298" s="86"/>
      <c r="AW298" s="86" t="str">
        <f>+IF($AG298=AW$22,MONTH($D298),"")</f>
        <v/>
      </c>
      <c r="AX298" s="86" t="str">
        <f>+IF($AG298=AX$22,MONTH($D298),"")</f>
        <v/>
      </c>
    </row>
    <row r="299" spans="1:68" s="381" customFormat="1" ht="27" hidden="1" customHeight="1">
      <c r="A299" s="204">
        <f>+IFERROR(VALUE(MID(AB299,4,4)),"")</f>
        <v>446</v>
      </c>
      <c r="B299" s="204">
        <f>VALUE(RIGHT(C299,LEN(C299)-2))</f>
        <v>2423</v>
      </c>
      <c r="C299" s="74" t="s">
        <v>1298</v>
      </c>
      <c r="D299" s="75">
        <v>45803</v>
      </c>
      <c r="E299" s="70" t="s">
        <v>332</v>
      </c>
      <c r="F299" s="70" t="s">
        <v>332</v>
      </c>
      <c r="G299" s="68" t="s">
        <v>1299</v>
      </c>
      <c r="H299" s="282" t="s">
        <v>1300</v>
      </c>
      <c r="I299" s="69" t="s">
        <v>1301</v>
      </c>
      <c r="J299" s="69"/>
      <c r="K299" s="68" t="s">
        <v>13</v>
      </c>
      <c r="L299" s="69" t="s">
        <v>123</v>
      </c>
      <c r="M299" s="71" t="s">
        <v>141</v>
      </c>
      <c r="N299" s="69" t="e" vm="1">
        <v>#VALUE!</v>
      </c>
      <c r="O299" s="84">
        <v>45845</v>
      </c>
      <c r="P299" s="72" t="s">
        <v>382</v>
      </c>
      <c r="Q299" s="72" t="s">
        <v>259</v>
      </c>
      <c r="R299" s="162"/>
      <c r="S299" s="146"/>
      <c r="T299" s="68" t="s">
        <v>3</v>
      </c>
      <c r="U299" s="87"/>
      <c r="V299" s="80">
        <v>45874</v>
      </c>
      <c r="W299" s="73">
        <v>1404</v>
      </c>
      <c r="X299" s="73">
        <v>68</v>
      </c>
      <c r="Y299" s="83">
        <f>IF(SUM(W299:W299)&gt;0,X299/SUM(W299:W299)*1000000,"N/A")</f>
        <v>48433.048433048432</v>
      </c>
      <c r="Z299" s="80"/>
      <c r="AA299" s="80"/>
      <c r="AB299" s="73" t="s">
        <v>1302</v>
      </c>
      <c r="AC299" s="153"/>
      <c r="AD299" s="331"/>
      <c r="AE299" s="57"/>
      <c r="AF299" s="88"/>
      <c r="AG299" s="182">
        <f>YEAR(V299)</f>
        <v>2025</v>
      </c>
      <c r="AH299" s="86" t="str">
        <f>+IF(AG299=$AH$22,MONTH(V299),"")</f>
        <v/>
      </c>
      <c r="AI299" s="86">
        <f>+IF(AG299=$AI$22,MONTH(V299),"")</f>
        <v>8</v>
      </c>
      <c r="AJ299" s="86" t="str">
        <f>+IF(AG299=$AJ$22,MONTH(V299),"")</f>
        <v/>
      </c>
      <c r="AK299" s="86" t="str">
        <f>+IF(AG299=$AK$22,MONTH(V299),"")</f>
        <v/>
      </c>
      <c r="AL299" s="86" t="str">
        <f>+IF(AG299=$AL$22,MONTH(V299),"")</f>
        <v/>
      </c>
      <c r="AM299" s="86" t="str">
        <f>+IF($AG299=$AM$22,MONTH($D299),"")</f>
        <v/>
      </c>
      <c r="AN299" s="89" t="str">
        <f>+IF($AG299=AN$22,MONTH($D299),"")</f>
        <v/>
      </c>
      <c r="AO299" s="89" t="str">
        <f>+IF($AG299=AO$22,MONTH($D299),"")</f>
        <v/>
      </c>
      <c r="AP299" s="89" t="str">
        <f>+IF($AG299=AP$22,MONTH($D299),"")</f>
        <v/>
      </c>
      <c r="AQ299" s="89" t="str">
        <f>+IF($AG299=AQ$22,MONTH($D299),"")</f>
        <v/>
      </c>
      <c r="AR299" s="89" t="str">
        <f>+IF($AG299=AR$22,MONTH($D299),"")</f>
        <v/>
      </c>
      <c r="AS299" s="89" t="str">
        <f>+IF($AG299=AS$22,MONTH($D299),"")</f>
        <v/>
      </c>
      <c r="AT299" s="89" t="str">
        <f>+IF($AG299=AT$22,MONTH($D299),"")</f>
        <v/>
      </c>
      <c r="AU299" s="89" t="str">
        <f>+IF($AG299=AU$22,MONTH($D299),"")</f>
        <v/>
      </c>
      <c r="AV299" s="89" t="str">
        <f>+IF($AG299=AV$22,MONTH($D299),"")</f>
        <v/>
      </c>
      <c r="AW299" s="86" t="str">
        <f>+IF($AG299=AW$22,MONTH($D299),"")</f>
        <v/>
      </c>
      <c r="AX299" s="86" t="str">
        <f>+IF($AG299=AX$22,MONTH($D299),"")</f>
        <v/>
      </c>
      <c r="AY299" s="89"/>
      <c r="AZ299" s="89"/>
      <c r="BA299" s="89"/>
      <c r="BB299" s="89"/>
      <c r="BC299" s="89"/>
      <c r="BD299" s="89"/>
      <c r="BE299" s="89"/>
      <c r="BF299" s="89"/>
      <c r="BG299" s="89"/>
      <c r="BH299" s="89"/>
      <c r="BI299" s="89"/>
      <c r="BJ299" s="89"/>
      <c r="BK299" s="89"/>
      <c r="BL299" s="89"/>
      <c r="BM299" s="89"/>
      <c r="BN299" s="89"/>
      <c r="BO299" s="89"/>
      <c r="BP299" s="89"/>
    </row>
    <row r="300" spans="1:68" s="56" customFormat="1" ht="36" hidden="1" customHeight="1">
      <c r="A300" s="204">
        <f>+IFERROR(VALUE(MID(AB300,4,4)),"")</f>
        <v>399</v>
      </c>
      <c r="B300" s="204">
        <f>VALUE(RIGHT(C300,LEN(C300)-2))</f>
        <v>2422</v>
      </c>
      <c r="C300" s="74" t="s">
        <v>1303</v>
      </c>
      <c r="D300" s="75">
        <v>45811</v>
      </c>
      <c r="E300" s="70" t="s">
        <v>473</v>
      </c>
      <c r="F300" s="70" t="s">
        <v>473</v>
      </c>
      <c r="G300" s="68" t="s">
        <v>1040</v>
      </c>
      <c r="H300" s="307" t="s">
        <v>1041</v>
      </c>
      <c r="I300" s="69" t="s">
        <v>1304</v>
      </c>
      <c r="J300" s="69"/>
      <c r="K300" s="68" t="s">
        <v>9</v>
      </c>
      <c r="L300" s="69" t="s">
        <v>129</v>
      </c>
      <c r="M300" s="71" t="s">
        <v>141</v>
      </c>
      <c r="N300" s="69" t="e" vm="1">
        <v>#VALUE!</v>
      </c>
      <c r="O300" s="164">
        <v>45817</v>
      </c>
      <c r="P300" s="72" t="s">
        <v>451</v>
      </c>
      <c r="Q300" s="72" t="s">
        <v>316</v>
      </c>
      <c r="R300" s="162"/>
      <c r="S300" s="146"/>
      <c r="T300" s="68" t="s">
        <v>165</v>
      </c>
      <c r="U300" s="87"/>
      <c r="V300" s="183">
        <v>45874</v>
      </c>
      <c r="W300" s="73">
        <v>51</v>
      </c>
      <c r="X300" s="73">
        <v>2.5</v>
      </c>
      <c r="Y300" s="83">
        <f>IF(SUM(W300:W300)&gt;0,X300/SUM(W300:W300)*1000000,"N/A")</f>
        <v>49019.607843137252</v>
      </c>
      <c r="Z300" s="183"/>
      <c r="AA300" s="183"/>
      <c r="AB300" s="73" t="s">
        <v>1305</v>
      </c>
      <c r="AC300" s="153"/>
      <c r="AD300" s="331"/>
      <c r="AE300" s="57"/>
      <c r="AF300" s="88"/>
      <c r="AG300" s="182">
        <f>YEAR(V300)</f>
        <v>2025</v>
      </c>
      <c r="AH300" s="86" t="str">
        <f>+IF(AG300=$AH$22,MONTH(V300),"")</f>
        <v/>
      </c>
      <c r="AI300" s="86">
        <f>+IF(AG300=$AI$22,MONTH(V300),"")</f>
        <v>8</v>
      </c>
      <c r="AJ300" s="86" t="str">
        <f>+IF(AG300=$AJ$22,MONTH(V300),"")</f>
        <v/>
      </c>
      <c r="AK300" s="86" t="str">
        <f>+IF(AG300=$AK$22,MONTH(V300),"")</f>
        <v/>
      </c>
      <c r="AL300" s="86"/>
      <c r="AM300" s="89"/>
      <c r="AN300" s="89"/>
      <c r="AO300" s="89"/>
      <c r="AP300" s="89"/>
      <c r="AQ300" s="89"/>
      <c r="AR300" s="89"/>
      <c r="AS300" s="89"/>
      <c r="AT300" s="89"/>
      <c r="AU300" s="89"/>
      <c r="AV300" s="89"/>
      <c r="AW300" s="86" t="str">
        <f>+IF($AG300=AW$22,MONTH($D300),"")</f>
        <v/>
      </c>
      <c r="AX300" s="86" t="str">
        <f>+IF($AG300=AX$22,MONTH($D300),"")</f>
        <v/>
      </c>
      <c r="AY300" s="89"/>
      <c r="AZ300" s="89"/>
      <c r="BA300" s="89"/>
      <c r="BB300" s="89"/>
      <c r="BC300" s="89"/>
      <c r="BD300" s="89"/>
      <c r="BE300" s="89"/>
      <c r="BF300" s="89"/>
      <c r="BG300" s="89"/>
      <c r="BH300" s="89"/>
      <c r="BI300" s="89"/>
      <c r="BJ300" s="89"/>
      <c r="BK300" s="89"/>
      <c r="BL300" s="89"/>
      <c r="BM300" s="89"/>
      <c r="BN300" s="89"/>
      <c r="BO300" s="89"/>
      <c r="BP300" s="89"/>
    </row>
    <row r="301" spans="1:68" s="56" customFormat="1" ht="51" hidden="1" customHeight="1">
      <c r="A301" s="204">
        <f>+IFERROR(VALUE(MID(AB301,4,4)),"")</f>
        <v>274</v>
      </c>
      <c r="B301" s="204">
        <f>VALUE(RIGHT(C301,LEN(C301)-2))</f>
        <v>2421</v>
      </c>
      <c r="C301" s="74" t="s">
        <v>1306</v>
      </c>
      <c r="D301" s="75">
        <v>45810</v>
      </c>
      <c r="E301" s="70" t="s">
        <v>1054</v>
      </c>
      <c r="F301" s="70" t="s">
        <v>252</v>
      </c>
      <c r="G301" s="68" t="s">
        <v>1055</v>
      </c>
      <c r="H301" s="59" t="s">
        <v>1056</v>
      </c>
      <c r="I301" s="69" t="s">
        <v>1307</v>
      </c>
      <c r="J301" s="69"/>
      <c r="K301" s="68" t="s">
        <v>13</v>
      </c>
      <c r="L301" s="69" t="s">
        <v>129</v>
      </c>
      <c r="M301" s="71" t="s">
        <v>141</v>
      </c>
      <c r="N301" s="69" t="e" vm="1">
        <v>#VALUE!</v>
      </c>
      <c r="O301" s="164">
        <v>45838</v>
      </c>
      <c r="P301" s="72" t="s">
        <v>364</v>
      </c>
      <c r="Q301" s="72" t="s">
        <v>220</v>
      </c>
      <c r="R301" s="162"/>
      <c r="S301" s="146"/>
      <c r="T301" s="68" t="s">
        <v>3</v>
      </c>
      <c r="U301" s="87"/>
      <c r="V301" s="183">
        <v>45856</v>
      </c>
      <c r="W301" s="73">
        <v>2225</v>
      </c>
      <c r="X301" s="73">
        <v>57.319000000000003</v>
      </c>
      <c r="Y301" s="83">
        <f>IF(SUM(W301:W301)&gt;0,X301/SUM(W301:W301)*1000000,"N/A")</f>
        <v>25761.348314606745</v>
      </c>
      <c r="Z301" s="183"/>
      <c r="AA301" s="183"/>
      <c r="AB301" s="73" t="s">
        <v>1308</v>
      </c>
      <c r="AC301" s="153"/>
      <c r="AD301" s="331"/>
      <c r="AE301" s="57"/>
      <c r="AF301" s="88"/>
      <c r="AG301" s="182">
        <f>YEAR(V301)</f>
        <v>2025</v>
      </c>
      <c r="AH301" s="86" t="str">
        <f>+IF(AG301=$AH$22,MONTH(V301),"")</f>
        <v/>
      </c>
      <c r="AI301" s="86">
        <f>+IF(AG301=$AI$22,MONTH(V301),"")</f>
        <v>7</v>
      </c>
      <c r="AJ301" s="86" t="str">
        <f>+IF(AG301=$AJ$22,MONTH(V301),"")</f>
        <v/>
      </c>
      <c r="AK301" s="86" t="str">
        <f>+IF(AG301=$AK$22,MONTH(V301),"")</f>
        <v/>
      </c>
      <c r="AL301" s="86" t="str">
        <f>+IF(AG301=$AL$22,MONTH(V301),"")</f>
        <v/>
      </c>
      <c r="AM301" s="86" t="str">
        <f>+IF($AG301=$AM$22,MONTH($D301),"")</f>
        <v/>
      </c>
      <c r="AN301" s="89" t="str">
        <f>+IF($AG301=AN$22,MONTH($D301),"")</f>
        <v/>
      </c>
      <c r="AO301" s="89" t="str">
        <f>+IF($AG301=AO$22,MONTH($D301),"")</f>
        <v/>
      </c>
      <c r="AP301" s="89" t="str">
        <f>+IF($AG301=AP$22,MONTH($D301),"")</f>
        <v/>
      </c>
      <c r="AQ301" s="89" t="str">
        <f>+IF($AG301=AQ$22,MONTH($D301),"")</f>
        <v/>
      </c>
      <c r="AR301" s="89" t="str">
        <f>+IF($AG301=AR$22,MONTH($D301),"")</f>
        <v/>
      </c>
      <c r="AS301" s="89" t="str">
        <f>+IF($AG301=AS$22,MONTH($D301),"")</f>
        <v/>
      </c>
      <c r="AT301" s="89" t="str">
        <f>+IF($AG301=AT$22,MONTH($D301),"")</f>
        <v/>
      </c>
      <c r="AU301" s="89" t="str">
        <f>+IF($AG301=AU$22,MONTH($D301),"")</f>
        <v/>
      </c>
      <c r="AV301" s="89" t="str">
        <f>+IF($AG301=AV$22,MONTH($D301),"")</f>
        <v/>
      </c>
      <c r="AW301" s="86" t="str">
        <f>+IF($AG301=AW$22,MONTH($D301),"")</f>
        <v/>
      </c>
      <c r="AX301" s="86" t="str">
        <f>+IF($AG301=AX$22,MONTH($D301),"")</f>
        <v/>
      </c>
      <c r="AY301" s="89"/>
      <c r="AZ301" s="89"/>
      <c r="BA301" s="89"/>
      <c r="BB301" s="89"/>
      <c r="BC301" s="89"/>
      <c r="BD301" s="89"/>
      <c r="BE301" s="89"/>
      <c r="BF301" s="89"/>
      <c r="BG301" s="89"/>
      <c r="BH301" s="89"/>
      <c r="BI301" s="89"/>
      <c r="BJ301" s="89"/>
      <c r="BK301" s="89"/>
      <c r="BL301" s="89"/>
      <c r="BM301" s="89"/>
      <c r="BN301" s="89"/>
      <c r="BO301" s="89"/>
      <c r="BP301" s="89"/>
    </row>
    <row r="302" spans="1:68" s="56" customFormat="1" ht="30" hidden="1" customHeight="1">
      <c r="A302" s="204">
        <f>+IFERROR(VALUE(MID(AB302,4,4)),"")</f>
        <v>274</v>
      </c>
      <c r="B302" s="204">
        <f>VALUE(RIGHT(C302,LEN(C302)-2))</f>
        <v>2420</v>
      </c>
      <c r="C302" s="74" t="s">
        <v>1309</v>
      </c>
      <c r="D302" s="75">
        <v>45810</v>
      </c>
      <c r="E302" s="70" t="s">
        <v>1054</v>
      </c>
      <c r="F302" s="70" t="s">
        <v>252</v>
      </c>
      <c r="G302" s="68" t="s">
        <v>1055</v>
      </c>
      <c r="H302" s="59" t="s">
        <v>1056</v>
      </c>
      <c r="I302" s="162" t="s">
        <v>1310</v>
      </c>
      <c r="J302" s="162"/>
      <c r="K302" s="68" t="s">
        <v>13</v>
      </c>
      <c r="L302" s="69" t="s">
        <v>129</v>
      </c>
      <c r="M302" s="71" t="s">
        <v>141</v>
      </c>
      <c r="N302" s="69" t="e" vm="1">
        <v>#VALUE!</v>
      </c>
      <c r="O302" s="164">
        <v>45833</v>
      </c>
      <c r="P302" s="72" t="s">
        <v>364</v>
      </c>
      <c r="Q302" s="72" t="s">
        <v>220</v>
      </c>
      <c r="R302" s="162"/>
      <c r="S302" s="146"/>
      <c r="T302" s="68" t="s">
        <v>3</v>
      </c>
      <c r="U302" s="87"/>
      <c r="V302" s="183">
        <v>45863</v>
      </c>
      <c r="W302" s="73">
        <v>525</v>
      </c>
      <c r="X302" s="73">
        <v>15.164999999999999</v>
      </c>
      <c r="Y302" s="83">
        <f>IF(SUM(W302:W302)&gt;0,X302/SUM(W302:W302)*1000000,"N/A")</f>
        <v>28885.714285714286</v>
      </c>
      <c r="Z302" s="183"/>
      <c r="AA302" s="183"/>
      <c r="AB302" s="73" t="s">
        <v>1311</v>
      </c>
      <c r="AC302" s="153"/>
      <c r="AD302" s="331"/>
      <c r="AE302" s="57"/>
      <c r="AF302" s="88"/>
      <c r="AG302" s="182">
        <f>YEAR(V302)</f>
        <v>2025</v>
      </c>
      <c r="AH302" s="86" t="str">
        <f>+IF(AG302=$AH$22,MONTH(V302),"")</f>
        <v/>
      </c>
      <c r="AI302" s="86">
        <f>+IF(AG302=$AI$22,MONTH(V302),"")</f>
        <v>7</v>
      </c>
      <c r="AJ302" s="86" t="str">
        <f>+IF(AG302=$AJ$22,MONTH(V302),"")</f>
        <v/>
      </c>
      <c r="AK302" s="86" t="str">
        <f>+IF(AG302=$AK$22,MONTH(V302),"")</f>
        <v/>
      </c>
      <c r="AL302" s="86" t="str">
        <f>+IF(AG302=$AL$22,MONTH(V302),"")</f>
        <v/>
      </c>
      <c r="AM302" s="86" t="str">
        <f>+IF($AG302=$AM$22,MONTH($D302),"")</f>
        <v/>
      </c>
      <c r="AN302" s="89" t="str">
        <f>+IF($AG302=AN$22,MONTH($D302),"")</f>
        <v/>
      </c>
      <c r="AO302" s="89" t="str">
        <f>+IF($AG302=AO$22,MONTH($D302),"")</f>
        <v/>
      </c>
      <c r="AP302" s="89" t="str">
        <f>+IF($AG302=AP$22,MONTH($D302),"")</f>
        <v/>
      </c>
      <c r="AQ302" s="89" t="str">
        <f>+IF($AG302=AQ$22,MONTH($D302),"")</f>
        <v/>
      </c>
      <c r="AR302" s="89" t="str">
        <f>+IF($AG302=AR$22,MONTH($D302),"")</f>
        <v/>
      </c>
      <c r="AS302" s="89" t="str">
        <f>+IF($AG302=AS$22,MONTH($D302),"")</f>
        <v/>
      </c>
      <c r="AT302" s="89" t="str">
        <f>+IF($AG302=AT$22,MONTH($D302),"")</f>
        <v/>
      </c>
      <c r="AU302" s="89" t="str">
        <f>+IF($AG302=AU$22,MONTH($D302),"")</f>
        <v/>
      </c>
      <c r="AV302" s="89" t="str">
        <f>+IF($AG302=AV$22,MONTH($D302),"")</f>
        <v/>
      </c>
      <c r="AW302" s="86" t="str">
        <f>+IF($AG302=AW$22,MONTH($D302),"")</f>
        <v/>
      </c>
      <c r="AX302" s="86" t="str">
        <f>+IF($AG302=AX$22,MONTH($D302),"")</f>
        <v/>
      </c>
      <c r="AY302" s="89"/>
      <c r="AZ302" s="89"/>
      <c r="BA302" s="89"/>
      <c r="BB302" s="89"/>
      <c r="BC302" s="89"/>
      <c r="BD302" s="89"/>
      <c r="BE302" s="89"/>
      <c r="BF302" s="89"/>
      <c r="BG302" s="89"/>
      <c r="BH302" s="89"/>
      <c r="BI302" s="89"/>
      <c r="BJ302" s="89"/>
      <c r="BK302" s="89"/>
      <c r="BL302" s="89"/>
      <c r="BM302" s="89"/>
      <c r="BN302" s="89"/>
      <c r="BO302" s="89"/>
      <c r="BP302" s="89"/>
    </row>
    <row r="303" spans="1:68" s="56" customFormat="1" ht="30" hidden="1" customHeight="1">
      <c r="A303" s="204">
        <f>+IFERROR(VALUE(MID(AB303,4,4)),"")</f>
        <v>399</v>
      </c>
      <c r="B303" s="204">
        <f>VALUE(RIGHT(C303,LEN(C303)-2))</f>
        <v>2419</v>
      </c>
      <c r="C303" s="74" t="s">
        <v>1312</v>
      </c>
      <c r="D303" s="75">
        <v>45811</v>
      </c>
      <c r="E303" s="70" t="s">
        <v>473</v>
      </c>
      <c r="F303" s="70" t="s">
        <v>473</v>
      </c>
      <c r="G303" s="68" t="s">
        <v>1040</v>
      </c>
      <c r="H303" s="307" t="s">
        <v>1041</v>
      </c>
      <c r="I303" s="69" t="s">
        <v>1313</v>
      </c>
      <c r="J303" s="69"/>
      <c r="K303" s="68" t="s">
        <v>13</v>
      </c>
      <c r="L303" s="69" t="s">
        <v>129</v>
      </c>
      <c r="M303" s="71" t="s">
        <v>141</v>
      </c>
      <c r="N303" s="69" t="e" vm="1">
        <v>#VALUE!</v>
      </c>
      <c r="O303" s="164">
        <v>45817</v>
      </c>
      <c r="P303" s="72" t="s">
        <v>377</v>
      </c>
      <c r="Q303" s="72" t="s">
        <v>316</v>
      </c>
      <c r="R303" s="162"/>
      <c r="S303" s="146"/>
      <c r="T303" s="68" t="s">
        <v>165</v>
      </c>
      <c r="U303" s="87"/>
      <c r="V303" s="183">
        <v>45935</v>
      </c>
      <c r="W303" s="73">
        <v>1059</v>
      </c>
      <c r="X303" s="73">
        <v>43</v>
      </c>
      <c r="Y303" s="83">
        <f>IF(SUM(W303:W303)&gt;0,X303/SUM(W303:W303)*1000000,"N/A")</f>
        <v>40604.34372049103</v>
      </c>
      <c r="Z303" s="183"/>
      <c r="AA303" s="183"/>
      <c r="AB303" s="73" t="s">
        <v>1314</v>
      </c>
      <c r="AC303" s="153"/>
      <c r="AD303" s="331"/>
      <c r="AE303" s="57"/>
      <c r="AF303" s="88"/>
      <c r="AG303" s="182">
        <f>YEAR(V303)</f>
        <v>2025</v>
      </c>
      <c r="AH303" s="86" t="str">
        <f>+IF(AG303=$AH$22,MONTH(V303),"")</f>
        <v/>
      </c>
      <c r="AI303" s="86">
        <f>+IF(AG303=$AI$22,MONTH(V303),"")</f>
        <v>10</v>
      </c>
      <c r="AJ303" s="86" t="str">
        <f>+IF(AG303=$AJ$22,MONTH(V303),"")</f>
        <v/>
      </c>
      <c r="AK303" s="86" t="str">
        <f>+IF(AG303=$AK$22,MONTH(V303),"")</f>
        <v/>
      </c>
      <c r="AL303" s="86"/>
      <c r="AM303" s="89"/>
      <c r="AN303" s="89"/>
      <c r="AO303" s="89"/>
      <c r="AP303" s="89"/>
      <c r="AQ303" s="89"/>
      <c r="AR303" s="89"/>
      <c r="AS303" s="89"/>
      <c r="AT303" s="89"/>
      <c r="AU303" s="89"/>
      <c r="AV303" s="89"/>
      <c r="AW303" s="86" t="str">
        <f>+IF($AG303=AW$22,MONTH($D303),"")</f>
        <v/>
      </c>
      <c r="AX303" s="86" t="str">
        <f>+IF($AG303=AX$22,MONTH($D303),"")</f>
        <v/>
      </c>
      <c r="AY303" s="89"/>
      <c r="AZ303" s="89"/>
      <c r="BA303" s="89"/>
      <c r="BB303" s="89"/>
      <c r="BC303" s="89"/>
      <c r="BD303" s="89"/>
      <c r="BE303" s="89"/>
      <c r="BF303" s="89"/>
      <c r="BG303" s="89"/>
      <c r="BH303" s="89"/>
      <c r="BI303" s="89"/>
      <c r="BJ303" s="89"/>
      <c r="BK303" s="89"/>
      <c r="BL303" s="89"/>
      <c r="BM303" s="89"/>
      <c r="BN303" s="89"/>
      <c r="BO303" s="89"/>
      <c r="BP303" s="89"/>
    </row>
    <row r="304" spans="1:68" s="56" customFormat="1" ht="51" hidden="1" customHeight="1">
      <c r="A304" s="204">
        <f>+IFERROR(VALUE(MID(AB304,4,4)),"")</f>
        <v>441</v>
      </c>
      <c r="B304" s="204">
        <f>VALUE(RIGHT(C304,LEN(C304)-2))</f>
        <v>2418</v>
      </c>
      <c r="C304" s="74" t="s">
        <v>1315</v>
      </c>
      <c r="D304" s="75">
        <v>45811</v>
      </c>
      <c r="E304" s="70" t="s">
        <v>479</v>
      </c>
      <c r="F304" s="70" t="s">
        <v>479</v>
      </c>
      <c r="G304" s="68" t="s">
        <v>1316</v>
      </c>
      <c r="H304" s="282" t="s">
        <v>1317</v>
      </c>
      <c r="I304" s="69" t="s">
        <v>1318</v>
      </c>
      <c r="J304" s="69"/>
      <c r="K304" s="68" t="s">
        <v>1172</v>
      </c>
      <c r="L304" s="69" t="s">
        <v>129</v>
      </c>
      <c r="M304" s="71" t="s">
        <v>113</v>
      </c>
      <c r="N304" s="69" t="e" vm="2">
        <v>#VALUE!</v>
      </c>
      <c r="O304" s="84">
        <v>45819</v>
      </c>
      <c r="P304" s="82" t="s">
        <v>219</v>
      </c>
      <c r="Q304" s="72" t="s">
        <v>220</v>
      </c>
      <c r="R304" s="162"/>
      <c r="S304" s="146"/>
      <c r="T304" s="68" t="s">
        <v>3</v>
      </c>
      <c r="U304" s="87"/>
      <c r="V304" s="183">
        <v>45846</v>
      </c>
      <c r="W304" s="73">
        <v>1192</v>
      </c>
      <c r="X304" s="73">
        <v>44</v>
      </c>
      <c r="Y304" s="83">
        <f>IF(SUM(W304:W304)&gt;0,X304/SUM(W304:W304)*1000000,"N/A")</f>
        <v>36912.75167785235</v>
      </c>
      <c r="Z304" s="183"/>
      <c r="AA304" s="183"/>
      <c r="AB304" s="73" t="s">
        <v>1319</v>
      </c>
      <c r="AC304" s="153"/>
      <c r="AD304" s="331"/>
      <c r="AE304" s="57"/>
      <c r="AF304" s="88"/>
      <c r="AG304" s="182">
        <f>YEAR(V304)</f>
        <v>2025</v>
      </c>
      <c r="AH304" s="86" t="str">
        <f>+IF(AG304=$AH$22,MONTH(V304),"")</f>
        <v/>
      </c>
      <c r="AI304" s="86">
        <f>+IF(AG304=$AI$22,MONTH(V304),"")</f>
        <v>7</v>
      </c>
      <c r="AJ304" s="86" t="str">
        <f>+IF(AG304=$AJ$22,MONTH(V304),"")</f>
        <v/>
      </c>
      <c r="AK304" s="86" t="str">
        <f>+IF(AG304=$AK$22,MONTH(V304),"")</f>
        <v/>
      </c>
      <c r="AL304" s="86"/>
      <c r="AM304" s="89"/>
      <c r="AN304" s="89"/>
      <c r="AO304" s="89"/>
      <c r="AP304" s="89"/>
      <c r="AQ304" s="89"/>
      <c r="AR304" s="89"/>
      <c r="AS304" s="89"/>
      <c r="AT304" s="89"/>
      <c r="AU304" s="89"/>
      <c r="AV304" s="89"/>
      <c r="AW304" s="86" t="str">
        <f>+IF($AG304=AW$22,MONTH($D304),"")</f>
        <v/>
      </c>
      <c r="AX304" s="86" t="str">
        <f>+IF($AG304=AX$22,MONTH($D304),"")</f>
        <v/>
      </c>
      <c r="AY304" s="89"/>
      <c r="AZ304" s="89"/>
      <c r="BA304" s="89"/>
      <c r="BB304" s="89"/>
      <c r="BC304" s="89"/>
      <c r="BD304" s="89"/>
      <c r="BE304" s="89"/>
      <c r="BF304" s="89"/>
      <c r="BG304" s="89"/>
      <c r="BH304" s="89"/>
      <c r="BI304" s="89"/>
      <c r="BJ304" s="89"/>
      <c r="BK304" s="89"/>
      <c r="BL304" s="89"/>
      <c r="BM304" s="89"/>
      <c r="BN304" s="89"/>
      <c r="BO304" s="89"/>
      <c r="BP304" s="89"/>
    </row>
    <row r="305" spans="1:68" s="56" customFormat="1" ht="33.75" hidden="1" customHeight="1">
      <c r="A305" s="204" t="str">
        <f>+IFERROR(VALUE(MID(AB305,4,4)),"")</f>
        <v/>
      </c>
      <c r="B305" s="204">
        <f>VALUE(RIGHT(C305,LEN(C305)-2))</f>
        <v>2417</v>
      </c>
      <c r="C305" s="74" t="s">
        <v>1320</v>
      </c>
      <c r="D305" s="75">
        <v>45811</v>
      </c>
      <c r="E305" s="70" t="s">
        <v>1321</v>
      </c>
      <c r="F305" s="70" t="s">
        <v>263</v>
      </c>
      <c r="G305" s="68" t="s">
        <v>1322</v>
      </c>
      <c r="H305" s="282" t="s">
        <v>1323</v>
      </c>
      <c r="I305" s="69" t="s">
        <v>1324</v>
      </c>
      <c r="J305" s="69"/>
      <c r="K305" s="68" t="s">
        <v>13</v>
      </c>
      <c r="L305" s="69" t="s">
        <v>123</v>
      </c>
      <c r="M305" s="71" t="s">
        <v>141</v>
      </c>
      <c r="N305" s="69" t="e" vm="1">
        <v>#VALUE!</v>
      </c>
      <c r="O305" s="84">
        <v>45817</v>
      </c>
      <c r="P305" s="72" t="s">
        <v>239</v>
      </c>
      <c r="Q305" s="72" t="s">
        <v>229</v>
      </c>
      <c r="R305" s="162"/>
      <c r="S305" s="146"/>
      <c r="T305" s="68" t="s">
        <v>165</v>
      </c>
      <c r="U305" s="87">
        <v>0.05</v>
      </c>
      <c r="V305" s="80">
        <v>45821</v>
      </c>
      <c r="W305" s="73">
        <v>8242</v>
      </c>
      <c r="X305" s="73">
        <v>303</v>
      </c>
      <c r="Y305" s="169">
        <f>IF(SUM(W305:W305)&gt;0,X305/SUM(W305:W305)*1000000,"N/A")</f>
        <v>36762.921620965782</v>
      </c>
      <c r="Z305" s="80"/>
      <c r="AA305" s="80"/>
      <c r="AB305" s="73"/>
      <c r="AC305" s="153"/>
      <c r="AD305" s="331"/>
      <c r="AE305" s="57"/>
      <c r="AF305" s="88"/>
      <c r="AG305" s="182">
        <f>YEAR(V305)</f>
        <v>2025</v>
      </c>
      <c r="AH305" s="86" t="str">
        <f>+IF(AG305=$AH$22,MONTH(V305),"")</f>
        <v/>
      </c>
      <c r="AI305" s="86">
        <f>+IF(AG305=$AI$22,MONTH(V305),"")</f>
        <v>6</v>
      </c>
      <c r="AJ305" s="86" t="str">
        <f>+IF(AG305=$AJ$22,MONTH(V305),"")</f>
        <v/>
      </c>
      <c r="AK305" s="86" t="str">
        <f>+IF(AG305=$AK$22,MONTH(V305),"")</f>
        <v/>
      </c>
      <c r="AL305" s="86" t="str">
        <f>+IF(AG305=$AL$22,MONTH(V305),"")</f>
        <v/>
      </c>
      <c r="AM305" s="86" t="str">
        <f>+IF($AG305=$AM$22,MONTH($D305),"")</f>
        <v/>
      </c>
      <c r="AN305" s="89" t="str">
        <f>+IF($AG305=AN$22,MONTH($D305),"")</f>
        <v/>
      </c>
      <c r="AO305" s="89" t="str">
        <f>+IF($AG305=AO$22,MONTH($D305),"")</f>
        <v/>
      </c>
      <c r="AP305" s="89" t="str">
        <f>+IF($AG305=AP$22,MONTH($D305),"")</f>
        <v/>
      </c>
      <c r="AQ305" s="89" t="str">
        <f>+IF($AG305=AQ$22,MONTH($D305),"")</f>
        <v/>
      </c>
      <c r="AR305" s="89" t="str">
        <f>+IF($AG305=AR$22,MONTH($D305),"")</f>
        <v/>
      </c>
      <c r="AS305" s="89" t="str">
        <f>+IF($AG305=AS$22,MONTH($D305),"")</f>
        <v/>
      </c>
      <c r="AT305" s="89" t="str">
        <f>+IF($AG305=AT$22,MONTH($D305),"")</f>
        <v/>
      </c>
      <c r="AU305" s="89" t="str">
        <f>+IF($AG305=AU$22,MONTH($D305),"")</f>
        <v/>
      </c>
      <c r="AV305" s="89" t="str">
        <f>+IF($AG305=AV$22,MONTH($D305),"")</f>
        <v/>
      </c>
      <c r="AW305" s="86" t="str">
        <f>+IF($AG305=AW$22,MONTH($D305),"")</f>
        <v/>
      </c>
      <c r="AX305" s="86" t="str">
        <f>+IF($AG305=AX$22,MONTH($D305),"")</f>
        <v/>
      </c>
      <c r="AY305" s="89"/>
      <c r="AZ305" s="89"/>
      <c r="BA305" s="89"/>
      <c r="BB305" s="89"/>
      <c r="BC305" s="89"/>
      <c r="BD305" s="89"/>
      <c r="BE305" s="89"/>
      <c r="BF305" s="89"/>
      <c r="BG305" s="89"/>
      <c r="BH305" s="89"/>
      <c r="BI305" s="89"/>
      <c r="BJ305" s="89"/>
      <c r="BK305" s="89"/>
      <c r="BL305" s="89"/>
      <c r="BM305" s="89"/>
      <c r="BN305" s="89"/>
      <c r="BO305" s="89"/>
      <c r="BP305" s="89"/>
    </row>
    <row r="306" spans="1:68" s="320" customFormat="1" ht="45.75" hidden="1" customHeight="1">
      <c r="A306" s="204">
        <f>+IFERROR(VALUE(MID(AB306,4,4)),"")</f>
        <v>419</v>
      </c>
      <c r="B306" s="204">
        <f>VALUE(RIGHT(C306,LEN(C306)-2))</f>
        <v>2416</v>
      </c>
      <c r="C306" s="74" t="s">
        <v>1325</v>
      </c>
      <c r="D306" s="75">
        <v>45807</v>
      </c>
      <c r="E306" s="70" t="s">
        <v>739</v>
      </c>
      <c r="F306" s="70" t="s">
        <v>739</v>
      </c>
      <c r="G306" s="68" t="s">
        <v>740</v>
      </c>
      <c r="H306" s="59" t="s">
        <v>741</v>
      </c>
      <c r="I306" s="162" t="s">
        <v>1326</v>
      </c>
      <c r="J306" s="162"/>
      <c r="K306" s="68" t="s">
        <v>13</v>
      </c>
      <c r="L306" s="69" t="s">
        <v>120</v>
      </c>
      <c r="M306" s="71" t="s">
        <v>141</v>
      </c>
      <c r="N306" s="69" t="e" vm="1">
        <v>#VALUE!</v>
      </c>
      <c r="O306" s="164">
        <v>45811</v>
      </c>
      <c r="P306" s="72" t="s">
        <v>737</v>
      </c>
      <c r="Q306" s="72" t="s">
        <v>316</v>
      </c>
      <c r="R306" s="162"/>
      <c r="S306" s="146"/>
      <c r="T306" s="68" t="s">
        <v>158</v>
      </c>
      <c r="U306" s="87">
        <v>0.01</v>
      </c>
      <c r="V306" s="183">
        <v>45811</v>
      </c>
      <c r="W306" s="73"/>
      <c r="X306" s="73"/>
      <c r="Y306" s="83" t="str">
        <f>IF(SUM(W306:W306)&gt;0,X306/SUM(W306:W306)*1000000,"N/A")</f>
        <v>N/A</v>
      </c>
      <c r="Z306" s="183"/>
      <c r="AA306" s="183"/>
      <c r="AB306" s="73" t="s">
        <v>1327</v>
      </c>
      <c r="AC306" s="153"/>
      <c r="AD306" s="331"/>
      <c r="AE306" s="57"/>
      <c r="AF306" s="88"/>
      <c r="AG306" s="182">
        <f>YEAR(V306)</f>
        <v>2025</v>
      </c>
      <c r="AH306" s="86" t="str">
        <f>+IF(AG306=$AH$22,MONTH(V306),"")</f>
        <v/>
      </c>
      <c r="AI306" s="86">
        <f>+IF(AG306=$AI$22,MONTH(V306),"")</f>
        <v>6</v>
      </c>
      <c r="AJ306" s="86" t="str">
        <f>+IF(AG306=$AJ$22,MONTH(V306),"")</f>
        <v/>
      </c>
      <c r="AK306" s="86" t="str">
        <f>+IF(AG306=$AK$22,MONTH(V306),"")</f>
        <v/>
      </c>
      <c r="AL306" s="86" t="str">
        <f>+IF(AG306=$AL$22,MONTH(V306),"")</f>
        <v/>
      </c>
      <c r="AM306" s="86" t="str">
        <f>+IF($AG306=$AM$22,MONTH($D306),"")</f>
        <v/>
      </c>
      <c r="AN306" s="89" t="str">
        <f>+IF($AG306=AN$22,MONTH($D306),"")</f>
        <v/>
      </c>
      <c r="AO306" s="86" t="str">
        <f>+IF($AG306=AO$22,MONTH($D306),"")</f>
        <v/>
      </c>
      <c r="AP306" s="86" t="str">
        <f>+IF($AG306=AP$22,MONTH($D306),"")</f>
        <v/>
      </c>
      <c r="AQ306" s="86" t="str">
        <f>+IF($AG306=AQ$22,MONTH($D306),"")</f>
        <v/>
      </c>
      <c r="AR306" s="86" t="str">
        <f>+IF($AG306=AR$22,MONTH($D306),"")</f>
        <v/>
      </c>
      <c r="AS306" s="86" t="str">
        <f>+IF($AG306=AS$22,MONTH($D306),"")</f>
        <v/>
      </c>
      <c r="AT306" s="86" t="str">
        <f>+IF($AG306=AT$22,MONTH($D306),"")</f>
        <v/>
      </c>
      <c r="AU306" s="86" t="str">
        <f>+IF($AG306=AU$22,MONTH($D306),"")</f>
        <v/>
      </c>
      <c r="AV306" s="86" t="str">
        <f>+IF($AG306=AV$22,MONTH($D306),"")</f>
        <v/>
      </c>
      <c r="AW306" s="86" t="str">
        <f>+IF($AG306=AW$22,MONTH($D306),"")</f>
        <v/>
      </c>
      <c r="AX306" s="86" t="str">
        <f>+IF($AG306=AX$22,MONTH($D306),"")</f>
        <v/>
      </c>
      <c r="AY306" s="89"/>
      <c r="AZ306" s="89"/>
      <c r="BA306" s="89"/>
      <c r="BB306" s="89"/>
      <c r="BC306" s="89"/>
      <c r="BD306" s="89"/>
      <c r="BE306" s="89"/>
      <c r="BF306" s="89"/>
      <c r="BG306" s="89"/>
      <c r="BH306" s="89"/>
      <c r="BI306" s="89"/>
      <c r="BJ306" s="89"/>
      <c r="BK306" s="89"/>
      <c r="BL306" s="89"/>
      <c r="BM306" s="89"/>
      <c r="BN306" s="89"/>
      <c r="BO306" s="89"/>
      <c r="BP306" s="89"/>
    </row>
    <row r="307" spans="1:68" s="374" customFormat="1" ht="27.75" hidden="1" customHeight="1">
      <c r="A307" s="204" t="str">
        <f>+IFERROR(VALUE(MID(AB307,4,4)),"")</f>
        <v/>
      </c>
      <c r="B307" s="204">
        <f>VALUE(RIGHT(C307,LEN(C307)-2))</f>
        <v>2415</v>
      </c>
      <c r="C307" s="74" t="s">
        <v>1328</v>
      </c>
      <c r="D307" s="75">
        <v>45806</v>
      </c>
      <c r="E307" s="70" t="s">
        <v>479</v>
      </c>
      <c r="F307" s="70" t="s">
        <v>479</v>
      </c>
      <c r="G307" s="68" t="s">
        <v>1329</v>
      </c>
      <c r="H307" s="282" t="s">
        <v>699</v>
      </c>
      <c r="I307" s="162" t="s">
        <v>1330</v>
      </c>
      <c r="J307" s="162"/>
      <c r="K307" s="68" t="s">
        <v>9</v>
      </c>
      <c r="L307" s="69" t="s">
        <v>129</v>
      </c>
      <c r="M307" s="71" t="s">
        <v>113</v>
      </c>
      <c r="N307" s="69" t="e" vm="2">
        <v>#VALUE!</v>
      </c>
      <c r="O307" s="84">
        <v>45814</v>
      </c>
      <c r="P307" s="82" t="s">
        <v>483</v>
      </c>
      <c r="Q307" s="72" t="s">
        <v>240</v>
      </c>
      <c r="R307" s="162"/>
      <c r="S307" s="146"/>
      <c r="T307" s="68" t="s">
        <v>165</v>
      </c>
      <c r="U307" s="87">
        <v>0.01</v>
      </c>
      <c r="V307" s="183">
        <v>45806</v>
      </c>
      <c r="W307" s="73">
        <v>3118</v>
      </c>
      <c r="X307" s="73">
        <v>138.99700000000001</v>
      </c>
      <c r="Y307" s="83">
        <f>IF(SUM(W307:W307)&gt;0,X307/SUM(W307:W307)*1000000,"N/A")</f>
        <v>44578.896728672233</v>
      </c>
      <c r="Z307" s="183"/>
      <c r="AA307" s="183"/>
      <c r="AB307" s="73"/>
      <c r="AC307" s="153"/>
      <c r="AD307" s="331"/>
      <c r="AE307" s="57"/>
      <c r="AF307" s="88"/>
      <c r="AG307" s="182">
        <f>YEAR(V307)</f>
        <v>2025</v>
      </c>
      <c r="AH307" s="86" t="str">
        <f>+IF(AG307=$AH$22,MONTH(V307),"")</f>
        <v/>
      </c>
      <c r="AI307" s="86">
        <f>+IF(AG307=$AI$22,MONTH(V307),"")</f>
        <v>5</v>
      </c>
      <c r="AJ307" s="86" t="str">
        <f>+IF(AG307=$AJ$22,MONTH(V307),"")</f>
        <v/>
      </c>
      <c r="AK307" s="86" t="str">
        <f>+IF(AG307=$AK$22,MONTH(V307),"")</f>
        <v/>
      </c>
      <c r="AL307" s="86"/>
      <c r="AM307" s="89"/>
      <c r="AN307" s="89"/>
      <c r="AO307" s="89"/>
      <c r="AP307" s="89"/>
      <c r="AQ307" s="89"/>
      <c r="AR307" s="89"/>
      <c r="AS307" s="89"/>
      <c r="AT307" s="89"/>
      <c r="AU307" s="89"/>
      <c r="AV307" s="89"/>
      <c r="AW307" s="86" t="str">
        <f>+IF($AG307=AW$22,MONTH($D307),"")</f>
        <v/>
      </c>
      <c r="AX307" s="86" t="str">
        <f>+IF($AG307=AX$22,MONTH($D307),"")</f>
        <v/>
      </c>
      <c r="AY307" s="89"/>
      <c r="AZ307" s="89"/>
      <c r="BA307" s="89"/>
      <c r="BB307" s="89"/>
      <c r="BC307" s="89"/>
      <c r="BD307" s="89"/>
      <c r="BE307" s="89"/>
      <c r="BF307" s="89"/>
      <c r="BG307" s="89"/>
      <c r="BH307" s="89"/>
      <c r="BI307" s="89"/>
      <c r="BJ307" s="89"/>
      <c r="BK307" s="89"/>
      <c r="BL307" s="89"/>
      <c r="BM307" s="89"/>
      <c r="BN307" s="89"/>
      <c r="BO307" s="89"/>
      <c r="BP307" s="89"/>
    </row>
    <row r="308" spans="1:68" s="374" customFormat="1" ht="48.75" hidden="1" customHeight="1">
      <c r="A308" s="204">
        <f>+IFERROR(VALUE(MID(AB308,4,4)),"")</f>
        <v>419</v>
      </c>
      <c r="B308" s="204">
        <f>VALUE(RIGHT(C308,LEN(C308)-2))</f>
        <v>2414</v>
      </c>
      <c r="C308" s="74" t="s">
        <v>1331</v>
      </c>
      <c r="D308" s="75">
        <v>45807</v>
      </c>
      <c r="E308" s="70" t="s">
        <v>739</v>
      </c>
      <c r="F308" s="70" t="s">
        <v>739</v>
      </c>
      <c r="G308" s="68" t="s">
        <v>740</v>
      </c>
      <c r="H308" s="59" t="s">
        <v>741</v>
      </c>
      <c r="I308" s="162" t="s">
        <v>1332</v>
      </c>
      <c r="J308" s="162"/>
      <c r="K308" s="68" t="s">
        <v>13</v>
      </c>
      <c r="L308" s="69" t="s">
        <v>120</v>
      </c>
      <c r="M308" s="71" t="s">
        <v>141</v>
      </c>
      <c r="N308" s="69" t="e" vm="1">
        <v>#VALUE!</v>
      </c>
      <c r="O308" s="164">
        <v>45811</v>
      </c>
      <c r="P308" s="72" t="s">
        <v>737</v>
      </c>
      <c r="Q308" s="72" t="s">
        <v>316</v>
      </c>
      <c r="R308" s="162"/>
      <c r="S308" s="146"/>
      <c r="T308" s="68" t="s">
        <v>158</v>
      </c>
      <c r="U308" s="87">
        <v>0.01</v>
      </c>
      <c r="V308" s="183">
        <v>45811</v>
      </c>
      <c r="W308" s="73"/>
      <c r="X308" s="73"/>
      <c r="Y308" s="83" t="str">
        <f>IF(SUM(W308:W308)&gt;0,X308/SUM(W308:W308)*1000000,"N/A")</f>
        <v>N/A</v>
      </c>
      <c r="Z308" s="183"/>
      <c r="AA308" s="183"/>
      <c r="AB308" s="73" t="s">
        <v>1333</v>
      </c>
      <c r="AC308" s="153"/>
      <c r="AD308" s="331"/>
      <c r="AE308" s="57"/>
      <c r="AF308" s="88"/>
      <c r="AG308" s="182">
        <f>YEAR(V308)</f>
        <v>2025</v>
      </c>
      <c r="AH308" s="86" t="str">
        <f>+IF(AG308=$AH$22,MONTH(V308),"")</f>
        <v/>
      </c>
      <c r="AI308" s="86">
        <f>+IF(AG308=$AI$22,MONTH(V308),"")</f>
        <v>6</v>
      </c>
      <c r="AJ308" s="86" t="str">
        <f>+IF(AG308=$AJ$22,MONTH(V308),"")</f>
        <v/>
      </c>
      <c r="AK308" s="86" t="str">
        <f>+IF(AG308=$AK$22,MONTH(V308),"")</f>
        <v/>
      </c>
      <c r="AL308" s="86" t="str">
        <f>+IF(AG308=$AL$22,MONTH(V308),"")</f>
        <v/>
      </c>
      <c r="AM308" s="86" t="str">
        <f>+IF($AG308=$AM$22,MONTH($D308),"")</f>
        <v/>
      </c>
      <c r="AN308" s="89" t="str">
        <f>+IF($AG308=AN$22,MONTH($D308),"")</f>
        <v/>
      </c>
      <c r="AO308" s="86" t="str">
        <f>+IF($AG308=AO$22,MONTH($D308),"")</f>
        <v/>
      </c>
      <c r="AP308" s="86" t="str">
        <f>+IF($AG308=AP$22,MONTH($D308),"")</f>
        <v/>
      </c>
      <c r="AQ308" s="86" t="str">
        <f>+IF($AG308=AQ$22,MONTH($D308),"")</f>
        <v/>
      </c>
      <c r="AR308" s="86" t="str">
        <f>+IF($AG308=AR$22,MONTH($D308),"")</f>
        <v/>
      </c>
      <c r="AS308" s="86" t="str">
        <f>+IF($AG308=AS$22,MONTH($D308),"")</f>
        <v/>
      </c>
      <c r="AT308" s="86" t="str">
        <f>+IF($AG308=AT$22,MONTH($D308),"")</f>
        <v/>
      </c>
      <c r="AU308" s="86" t="str">
        <f>+IF($AG308=AU$22,MONTH($D308),"")</f>
        <v/>
      </c>
      <c r="AV308" s="86" t="str">
        <f>+IF($AG308=AV$22,MONTH($D308),"")</f>
        <v/>
      </c>
      <c r="AW308" s="86" t="str">
        <f>+IF($AG308=AW$22,MONTH($D308),"")</f>
        <v/>
      </c>
      <c r="AX308" s="86" t="str">
        <f>+IF($AG308=AX$22,MONTH($D308),"")</f>
        <v/>
      </c>
      <c r="AY308" s="89"/>
      <c r="AZ308" s="89"/>
      <c r="BA308" s="89"/>
      <c r="BB308" s="89"/>
      <c r="BC308" s="89"/>
      <c r="BD308" s="89"/>
      <c r="BE308" s="89"/>
      <c r="BF308" s="89"/>
      <c r="BG308" s="89"/>
      <c r="BH308" s="89"/>
      <c r="BI308" s="89"/>
      <c r="BJ308" s="89"/>
      <c r="BK308" s="89"/>
      <c r="BL308" s="89"/>
      <c r="BM308" s="89"/>
      <c r="BN308" s="89"/>
      <c r="BO308" s="89"/>
      <c r="BP308" s="89"/>
    </row>
    <row r="309" spans="1:68" s="56" customFormat="1" ht="33.75" hidden="1" customHeight="1">
      <c r="A309" s="204" t="str">
        <f>+IFERROR(VALUE(MID(AB309,4,4)),"")</f>
        <v/>
      </c>
      <c r="B309" s="204">
        <f>VALUE(RIGHT(C309,LEN(C309)-2))</f>
        <v>2413</v>
      </c>
      <c r="C309" s="74" t="s">
        <v>1334</v>
      </c>
      <c r="D309" s="75">
        <v>45806</v>
      </c>
      <c r="E309" s="70" t="s">
        <v>479</v>
      </c>
      <c r="F309" s="70" t="s">
        <v>479</v>
      </c>
      <c r="G309" s="68" t="s">
        <v>1335</v>
      </c>
      <c r="H309" s="282" t="s">
        <v>1336</v>
      </c>
      <c r="I309" s="162" t="s">
        <v>1337</v>
      </c>
      <c r="J309" s="162"/>
      <c r="K309" s="68" t="s">
        <v>9</v>
      </c>
      <c r="L309" s="69" t="s">
        <v>129</v>
      </c>
      <c r="M309" s="71" t="s">
        <v>113</v>
      </c>
      <c r="N309" s="69" t="e" vm="2">
        <v>#VALUE!</v>
      </c>
      <c r="O309" s="84">
        <v>45807</v>
      </c>
      <c r="P309" s="82" t="s">
        <v>483</v>
      </c>
      <c r="Q309" s="72" t="s">
        <v>259</v>
      </c>
      <c r="R309" s="162"/>
      <c r="S309" s="146"/>
      <c r="T309" s="68" t="s">
        <v>165</v>
      </c>
      <c r="U309" s="87"/>
      <c r="V309" s="183">
        <v>46066</v>
      </c>
      <c r="W309" s="226"/>
      <c r="X309" s="226"/>
      <c r="Y309" s="83" t="str">
        <f>IF(SUM(W309:W309)&gt;0,X309/SUM(W309:W309)*1000000,"N/A")</f>
        <v>N/A</v>
      </c>
      <c r="Z309" s="183"/>
      <c r="AA309" s="183"/>
      <c r="AB309" s="73"/>
      <c r="AC309" s="153"/>
      <c r="AD309" s="331"/>
      <c r="AE309" s="57"/>
      <c r="AF309" s="88"/>
      <c r="AG309" s="182">
        <f>YEAR(V309)</f>
        <v>2026</v>
      </c>
      <c r="AH309" s="86">
        <f>+IF(AG309=$AH$22,MONTH(V309),"")</f>
        <v>2</v>
      </c>
      <c r="AI309" s="86" t="str">
        <f>+IF(AG309=$AI$22,MONTH(V309),"")</f>
        <v/>
      </c>
      <c r="AJ309" s="86" t="str">
        <f>+IF(AG309=$AJ$22,MONTH(V309),"")</f>
        <v/>
      </c>
      <c r="AK309" s="86" t="str">
        <f>+IF(AG309=$AK$22,MONTH(V309),"")</f>
        <v/>
      </c>
      <c r="AL309" s="86"/>
      <c r="AM309" s="89"/>
      <c r="AN309" s="89"/>
      <c r="AO309" s="89"/>
      <c r="AP309" s="89"/>
      <c r="AQ309" s="89"/>
      <c r="AR309" s="89"/>
      <c r="AS309" s="89"/>
      <c r="AT309" s="89"/>
      <c r="AU309" s="89"/>
      <c r="AV309" s="89"/>
      <c r="AW309" s="86" t="str">
        <f>+IF($AG309=AW$22,MONTH($D309),"")</f>
        <v/>
      </c>
      <c r="AX309" s="86" t="str">
        <f>+IF($AG309=AX$22,MONTH($D309),"")</f>
        <v/>
      </c>
      <c r="AY309" s="89"/>
      <c r="AZ309" s="89"/>
      <c r="BA309" s="89"/>
      <c r="BB309" s="89"/>
      <c r="BC309" s="89"/>
      <c r="BD309" s="89"/>
      <c r="BE309" s="89"/>
      <c r="BF309" s="89"/>
      <c r="BG309" s="89"/>
      <c r="BH309" s="89"/>
      <c r="BI309" s="89"/>
      <c r="BJ309" s="89"/>
      <c r="BK309" s="89"/>
      <c r="BL309" s="89"/>
      <c r="BM309" s="89"/>
      <c r="BN309" s="89"/>
      <c r="BO309" s="89"/>
      <c r="BP309" s="89"/>
    </row>
    <row r="310" spans="1:68" s="56" customFormat="1" ht="42.75" hidden="1" customHeight="1">
      <c r="A310" s="204">
        <f>+IFERROR(VALUE(MID(AB310,4,4)),"")</f>
        <v>357</v>
      </c>
      <c r="B310" s="204">
        <f>VALUE(RIGHT(C310,LEN(C310)-2))</f>
        <v>2412</v>
      </c>
      <c r="C310" s="74" t="s">
        <v>1338</v>
      </c>
      <c r="D310" s="75">
        <v>45805</v>
      </c>
      <c r="E310" s="70" t="s">
        <v>262</v>
      </c>
      <c r="F310" s="70" t="s">
        <v>263</v>
      </c>
      <c r="G310" s="68" t="s">
        <v>1339</v>
      </c>
      <c r="H310" s="307" t="s">
        <v>1340</v>
      </c>
      <c r="I310" s="69" t="s">
        <v>1341</v>
      </c>
      <c r="J310" s="69"/>
      <c r="K310" s="68" t="s">
        <v>389</v>
      </c>
      <c r="L310" s="69" t="s">
        <v>129</v>
      </c>
      <c r="M310" s="71" t="s">
        <v>141</v>
      </c>
      <c r="N310" s="69" t="e" vm="1">
        <v>#VALUE!</v>
      </c>
      <c r="O310" s="84">
        <v>45807</v>
      </c>
      <c r="P310" s="72" t="s">
        <v>364</v>
      </c>
      <c r="Q310" s="72" t="s">
        <v>389</v>
      </c>
      <c r="R310" s="162"/>
      <c r="S310" s="146" t="s">
        <v>899</v>
      </c>
      <c r="T310" s="68" t="s">
        <v>168</v>
      </c>
      <c r="U310" s="87"/>
      <c r="V310" s="80">
        <v>45905</v>
      </c>
      <c r="W310" s="73">
        <v>2208</v>
      </c>
      <c r="X310" s="73">
        <v>110</v>
      </c>
      <c r="Y310" s="169">
        <f>IF(SUM(W310:W310)&gt;0,X310/SUM(W310:W310)*1000000,"N/A")</f>
        <v>49818.840579710144</v>
      </c>
      <c r="Z310" s="80"/>
      <c r="AA310" s="80"/>
      <c r="AB310" s="73" t="s">
        <v>1342</v>
      </c>
      <c r="AC310" s="153"/>
      <c r="AD310" s="330"/>
      <c r="AE310" s="305"/>
      <c r="AF310" s="88"/>
      <c r="AG310" s="182">
        <f>YEAR(V310)</f>
        <v>2025</v>
      </c>
      <c r="AH310" s="86" t="str">
        <f>+IF(AG310=$AH$22,MONTH(V310),"")</f>
        <v/>
      </c>
      <c r="AI310" s="86">
        <f>+IF(AG310=$AI$22,MONTH(V310),"")</f>
        <v>9</v>
      </c>
      <c r="AJ310" s="86" t="str">
        <f>+IF(AG310=$AJ$22,MONTH(V310),"")</f>
        <v/>
      </c>
      <c r="AK310" s="86" t="str">
        <f>+IF(AG310=$AK$22,MONTH(V310),"")</f>
        <v/>
      </c>
      <c r="AL310" s="86" t="str">
        <f>+IF(AG310=$AL$22,MONTH(V310),"")</f>
        <v/>
      </c>
      <c r="AM310" s="86" t="str">
        <f>+IF($AG310=$AM$22,MONTH($D310),"")</f>
        <v/>
      </c>
      <c r="AN310" s="89" t="str">
        <f>+IF($AG310=AN$22,MONTH($D310),"")</f>
        <v/>
      </c>
      <c r="AO310" s="89" t="str">
        <f>+IF($AG310=AO$22,MONTH($D310),"")</f>
        <v/>
      </c>
      <c r="AP310" s="89" t="str">
        <f>+IF($AG310=AP$22,MONTH($D310),"")</f>
        <v/>
      </c>
      <c r="AQ310" s="89" t="str">
        <f>+IF($AG310=AQ$22,MONTH($D310),"")</f>
        <v/>
      </c>
      <c r="AR310" s="89" t="str">
        <f>+IF($AG310=AR$22,MONTH($D310),"")</f>
        <v/>
      </c>
      <c r="AS310" s="89" t="str">
        <f>+IF($AG310=AS$22,MONTH($D310),"")</f>
        <v/>
      </c>
      <c r="AT310" s="89" t="str">
        <f>+IF($AG310=AT$22,MONTH($D310),"")</f>
        <v/>
      </c>
      <c r="AU310" s="89" t="str">
        <f>+IF($AG310=AU$22,MONTH($D310),"")</f>
        <v/>
      </c>
      <c r="AV310" s="89" t="str">
        <f>+IF($AG310=AV$22,MONTH($D310),"")</f>
        <v/>
      </c>
      <c r="AW310" s="86" t="str">
        <f>+IF($AG310=AW$22,MONTH($D310),"")</f>
        <v/>
      </c>
      <c r="AX310" s="86" t="str">
        <f>+IF($AG310=AX$22,MONTH($D310),"")</f>
        <v/>
      </c>
      <c r="AY310" s="89"/>
      <c r="AZ310" s="89"/>
      <c r="BA310" s="89"/>
      <c r="BB310" s="89"/>
      <c r="BC310" s="89"/>
      <c r="BD310" s="89"/>
      <c r="BE310" s="89"/>
      <c r="BF310" s="89"/>
      <c r="BG310" s="89"/>
      <c r="BH310" s="89"/>
      <c r="BI310" s="89"/>
      <c r="BJ310" s="89"/>
      <c r="BK310" s="89"/>
      <c r="BL310" s="89"/>
      <c r="BM310" s="89"/>
      <c r="BN310" s="89"/>
      <c r="BO310" s="89"/>
      <c r="BP310" s="89"/>
    </row>
    <row r="311" spans="1:68" s="347" customFormat="1" ht="45.75" hidden="1" customHeight="1">
      <c r="A311" s="204">
        <f>+IFERROR(VALUE(MID(AB311,4,4)),"")</f>
        <v>399</v>
      </c>
      <c r="B311" s="204">
        <f>VALUE(RIGHT(C311,LEN(C311)-2))</f>
        <v>2411</v>
      </c>
      <c r="C311" s="74" t="s">
        <v>1343</v>
      </c>
      <c r="D311" s="75">
        <v>45805</v>
      </c>
      <c r="E311" s="70" t="s">
        <v>473</v>
      </c>
      <c r="F311" s="70" t="s">
        <v>473</v>
      </c>
      <c r="G311" s="68" t="s">
        <v>1040</v>
      </c>
      <c r="H311" s="307" t="s">
        <v>1041</v>
      </c>
      <c r="I311" s="69" t="s">
        <v>1344</v>
      </c>
      <c r="J311" s="69"/>
      <c r="K311" s="68" t="s">
        <v>13</v>
      </c>
      <c r="L311" s="69" t="s">
        <v>129</v>
      </c>
      <c r="M311" s="71" t="s">
        <v>141</v>
      </c>
      <c r="N311" s="69" t="e" vm="1">
        <v>#VALUE!</v>
      </c>
      <c r="O311" s="164">
        <v>45811</v>
      </c>
      <c r="P311" s="72" t="s">
        <v>377</v>
      </c>
      <c r="Q311" s="72" t="s">
        <v>316</v>
      </c>
      <c r="R311" s="162"/>
      <c r="S311" s="146"/>
      <c r="T311" s="68" t="s">
        <v>3</v>
      </c>
      <c r="U311" s="87"/>
      <c r="V311" s="183">
        <v>45827</v>
      </c>
      <c r="W311" s="73">
        <v>5303</v>
      </c>
      <c r="X311" s="73">
        <v>234.6</v>
      </c>
      <c r="Y311" s="83">
        <f>IF(SUM(W311:W311)&gt;0,X311/SUM(W311:W311)*1000000,"N/A")</f>
        <v>44239.109937771078</v>
      </c>
      <c r="Z311" s="183"/>
      <c r="AA311" s="183"/>
      <c r="AB311" s="73" t="s">
        <v>1345</v>
      </c>
      <c r="AC311" s="153"/>
      <c r="AD311" s="331"/>
      <c r="AE311" s="57"/>
      <c r="AF311" s="88"/>
      <c r="AG311" s="182">
        <f>YEAR(V311)</f>
        <v>2025</v>
      </c>
      <c r="AH311" s="86" t="str">
        <f>+IF(AG311=$AH$22,MONTH(V311),"")</f>
        <v/>
      </c>
      <c r="AI311" s="86">
        <f>+IF(AG311=$AI$22,MONTH(V311),"")</f>
        <v>6</v>
      </c>
      <c r="AJ311" s="86" t="str">
        <f>+IF(AG311=$AJ$22,MONTH(V311),"")</f>
        <v/>
      </c>
      <c r="AK311" s="86" t="str">
        <f>+IF(AG311=$AK$22,MONTH(V311),"")</f>
        <v/>
      </c>
      <c r="AL311" s="86"/>
      <c r="AM311" s="89"/>
      <c r="AN311" s="89"/>
      <c r="AO311" s="89"/>
      <c r="AP311" s="89"/>
      <c r="AQ311" s="89"/>
      <c r="AR311" s="89"/>
      <c r="AS311" s="89"/>
      <c r="AT311" s="89"/>
      <c r="AU311" s="89"/>
      <c r="AV311" s="89"/>
      <c r="AW311" s="86" t="str">
        <f>+IF($AG311=AW$22,MONTH($D311),"")</f>
        <v/>
      </c>
      <c r="AX311" s="86" t="str">
        <f>+IF($AG311=AX$22,MONTH($D311),"")</f>
        <v/>
      </c>
      <c r="AY311" s="89"/>
      <c r="AZ311" s="89"/>
      <c r="BA311" s="89"/>
      <c r="BB311" s="89"/>
      <c r="BC311" s="89"/>
      <c r="BD311" s="89"/>
      <c r="BE311" s="89"/>
      <c r="BF311" s="89"/>
      <c r="BG311" s="89"/>
      <c r="BH311" s="89"/>
      <c r="BI311" s="89"/>
      <c r="BJ311" s="89"/>
      <c r="BK311" s="89"/>
      <c r="BL311" s="89"/>
      <c r="BM311" s="89"/>
      <c r="BN311" s="89"/>
      <c r="BO311" s="89"/>
      <c r="BP311" s="89"/>
    </row>
    <row r="312" spans="1:68" s="56" customFormat="1" ht="51" hidden="1" customHeight="1">
      <c r="A312" s="204">
        <f>+IFERROR(VALUE(MID(AB312,4,4)),"")</f>
        <v>399</v>
      </c>
      <c r="B312" s="204">
        <f>VALUE(RIGHT(C312,LEN(C312)-2))</f>
        <v>2410</v>
      </c>
      <c r="C312" s="74" t="s">
        <v>1346</v>
      </c>
      <c r="D312" s="75">
        <v>45805</v>
      </c>
      <c r="E312" s="70" t="s">
        <v>473</v>
      </c>
      <c r="F312" s="70" t="s">
        <v>473</v>
      </c>
      <c r="G312" s="68" t="s">
        <v>1040</v>
      </c>
      <c r="H312" s="307" t="s">
        <v>1041</v>
      </c>
      <c r="I312" s="69" t="s">
        <v>1347</v>
      </c>
      <c r="J312" s="69"/>
      <c r="K312" s="68" t="s">
        <v>18</v>
      </c>
      <c r="L312" s="69" t="s">
        <v>129</v>
      </c>
      <c r="M312" s="71" t="s">
        <v>141</v>
      </c>
      <c r="N312" s="69" t="e" vm="1">
        <v>#VALUE!</v>
      </c>
      <c r="O312" s="164">
        <v>45810</v>
      </c>
      <c r="P312" s="72" t="s">
        <v>377</v>
      </c>
      <c r="Q312" s="72" t="s">
        <v>316</v>
      </c>
      <c r="R312" s="162"/>
      <c r="S312" s="146"/>
      <c r="T312" s="68" t="s">
        <v>3</v>
      </c>
      <c r="U312" s="87"/>
      <c r="V312" s="183">
        <v>45813</v>
      </c>
      <c r="W312" s="73">
        <v>934</v>
      </c>
      <c r="X312" s="73">
        <v>45</v>
      </c>
      <c r="Y312" s="83">
        <f>IF(SUM(W312:W312)&gt;0,X312/SUM(W312:W312)*1000000,"N/A")</f>
        <v>48179.871520342618</v>
      </c>
      <c r="Z312" s="183"/>
      <c r="AA312" s="183"/>
      <c r="AB312" s="73" t="s">
        <v>1348</v>
      </c>
      <c r="AC312" s="153"/>
      <c r="AD312" s="331"/>
      <c r="AE312" s="57"/>
      <c r="AF312" s="88"/>
      <c r="AG312" s="182">
        <f>YEAR(V312)</f>
        <v>2025</v>
      </c>
      <c r="AH312" s="86" t="str">
        <f>+IF(AG312=$AH$22,MONTH(V312),"")</f>
        <v/>
      </c>
      <c r="AI312" s="86">
        <f>+IF(AG312=$AI$22,MONTH(V312),"")</f>
        <v>6</v>
      </c>
      <c r="AJ312" s="86" t="str">
        <f>+IF(AG312=$AJ$22,MONTH(V312),"")</f>
        <v/>
      </c>
      <c r="AK312" s="86" t="str">
        <f>+IF(AG312=$AK$22,MONTH(V312),"")</f>
        <v/>
      </c>
      <c r="AL312" s="86"/>
      <c r="AM312" s="89"/>
      <c r="AN312" s="89"/>
      <c r="AO312" s="89"/>
      <c r="AP312" s="89"/>
      <c r="AQ312" s="89"/>
      <c r="AR312" s="89"/>
      <c r="AS312" s="89"/>
      <c r="AT312" s="89"/>
      <c r="AU312" s="89"/>
      <c r="AV312" s="89"/>
      <c r="AW312" s="86" t="str">
        <f>+IF($AG312=AW$22,MONTH($D312),"")</f>
        <v/>
      </c>
      <c r="AX312" s="86" t="str">
        <f>+IF($AG312=AX$22,MONTH($D312),"")</f>
        <v/>
      </c>
      <c r="AY312" s="89"/>
      <c r="AZ312" s="89"/>
      <c r="BA312" s="89"/>
      <c r="BB312" s="89"/>
      <c r="BC312" s="89"/>
      <c r="BD312" s="89"/>
      <c r="BE312" s="89"/>
      <c r="BF312" s="89"/>
      <c r="BG312" s="89"/>
      <c r="BH312" s="89"/>
      <c r="BI312" s="89"/>
      <c r="BJ312" s="89"/>
      <c r="BK312" s="89"/>
      <c r="BL312" s="89"/>
      <c r="BM312" s="89"/>
      <c r="BN312" s="89"/>
      <c r="BO312" s="89"/>
      <c r="BP312" s="89"/>
    </row>
    <row r="313" spans="1:68" s="56" customFormat="1" ht="51" hidden="1" customHeight="1">
      <c r="A313" s="204" t="str">
        <f>+IFERROR(VALUE(MID(AB313,4,4)),"")</f>
        <v/>
      </c>
      <c r="B313" s="204">
        <f>VALUE(RIGHT(C313,LEN(C313)-2))</f>
        <v>2409</v>
      </c>
      <c r="C313" s="74" t="s">
        <v>1349</v>
      </c>
      <c r="D313" s="75">
        <v>45805</v>
      </c>
      <c r="E313" s="70" t="s">
        <v>277</v>
      </c>
      <c r="F313" s="70" t="s">
        <v>277</v>
      </c>
      <c r="G313" s="68" t="s">
        <v>1350</v>
      </c>
      <c r="H313" s="307"/>
      <c r="I313" s="69" t="s">
        <v>1351</v>
      </c>
      <c r="J313" s="69"/>
      <c r="K313" s="68" t="s">
        <v>9</v>
      </c>
      <c r="L313" s="69" t="s">
        <v>120</v>
      </c>
      <c r="M313" s="71" t="s">
        <v>141</v>
      </c>
      <c r="N313" s="69" t="e" vm="1">
        <v>#VALUE!</v>
      </c>
      <c r="O313" s="84">
        <v>45818</v>
      </c>
      <c r="P313" s="72" t="s">
        <v>402</v>
      </c>
      <c r="Q313" s="72" t="s">
        <v>623</v>
      </c>
      <c r="R313" s="162"/>
      <c r="S313" s="146"/>
      <c r="T313" s="68" t="s">
        <v>165</v>
      </c>
      <c r="U313" s="87"/>
      <c r="V313" s="183">
        <v>45959</v>
      </c>
      <c r="W313" s="73">
        <v>240</v>
      </c>
      <c r="X313" s="150">
        <v>10.6</v>
      </c>
      <c r="Y313" s="83">
        <f>IF(SUM(W313:W313)&gt;0,X313/SUM(W313:W313)*1000000,"N/A")</f>
        <v>44166.666666666664</v>
      </c>
      <c r="Z313" s="183"/>
      <c r="AA313" s="183"/>
      <c r="AB313" s="150"/>
      <c r="AC313" s="153"/>
      <c r="AD313" s="330"/>
      <c r="AE313" s="305"/>
      <c r="AF313" s="88"/>
      <c r="AG313" s="182">
        <f>YEAR(V313)</f>
        <v>2025</v>
      </c>
      <c r="AH313" s="86" t="str">
        <f>+IF(AG313=$AH$22,MONTH(V313),"")</f>
        <v/>
      </c>
      <c r="AI313" s="86">
        <f>+IF(AG313=$AI$22,MONTH(V313),"")</f>
        <v>10</v>
      </c>
      <c r="AJ313" s="86" t="str">
        <f>+IF(AG313=$AJ$22,MONTH(V313),"")</f>
        <v/>
      </c>
      <c r="AK313" s="86" t="str">
        <f>+IF(AG313=$AK$22,MONTH(V313),"")</f>
        <v/>
      </c>
      <c r="AL313" s="86"/>
      <c r="AM313" s="89"/>
      <c r="AN313" s="89"/>
      <c r="AO313" s="89"/>
      <c r="AP313" s="89"/>
      <c r="AQ313" s="89"/>
      <c r="AR313" s="89"/>
      <c r="AS313" s="89"/>
      <c r="AT313" s="89"/>
      <c r="AU313" s="89"/>
      <c r="AV313" s="89"/>
      <c r="AW313" s="86" t="str">
        <f>+IF($AG313=AW$22,MONTH($D313),"")</f>
        <v/>
      </c>
      <c r="AX313" s="86" t="str">
        <f>+IF($AG313=AX$22,MONTH($D313),"")</f>
        <v/>
      </c>
      <c r="AY313" s="89"/>
      <c r="AZ313" s="89"/>
      <c r="BA313" s="89"/>
      <c r="BB313" s="89"/>
      <c r="BC313" s="89"/>
      <c r="BD313" s="89"/>
      <c r="BE313" s="89"/>
      <c r="BF313" s="89"/>
      <c r="BG313" s="89"/>
      <c r="BH313" s="89"/>
      <c r="BI313" s="89"/>
      <c r="BJ313" s="89"/>
      <c r="BK313" s="89"/>
      <c r="BL313" s="89"/>
      <c r="BM313" s="89"/>
      <c r="BN313" s="89"/>
      <c r="BO313" s="89"/>
      <c r="BP313" s="89"/>
    </row>
    <row r="314" spans="1:68" s="381" customFormat="1" ht="45.75" hidden="1" customHeight="1">
      <c r="A314" s="204" t="str">
        <f>+IFERROR(VALUE(MID(AB314,4,4)),"")</f>
        <v/>
      </c>
      <c r="B314" s="204">
        <f>VALUE(RIGHT(C314,LEN(C314)-2))</f>
        <v>2408</v>
      </c>
      <c r="C314" s="74" t="s">
        <v>1352</v>
      </c>
      <c r="D314" s="75">
        <v>45805</v>
      </c>
      <c r="E314" s="70" t="s">
        <v>1321</v>
      </c>
      <c r="F314" s="70" t="s">
        <v>263</v>
      </c>
      <c r="G314" s="68" t="s">
        <v>1322</v>
      </c>
      <c r="H314" s="282" t="s">
        <v>1323</v>
      </c>
      <c r="I314" s="69" t="s">
        <v>1353</v>
      </c>
      <c r="J314" s="69"/>
      <c r="K314" s="68" t="s">
        <v>13</v>
      </c>
      <c r="L314" s="69" t="s">
        <v>123</v>
      </c>
      <c r="M314" s="71" t="s">
        <v>141</v>
      </c>
      <c r="N314" s="69" t="e" vm="1">
        <v>#VALUE!</v>
      </c>
      <c r="O314" s="84">
        <v>45847</v>
      </c>
      <c r="P314" s="72" t="s">
        <v>402</v>
      </c>
      <c r="Q314" s="72" t="s">
        <v>229</v>
      </c>
      <c r="R314" s="162"/>
      <c r="S314" s="146"/>
      <c r="T314" s="68" t="s">
        <v>165</v>
      </c>
      <c r="U314" s="87"/>
      <c r="V314" s="80">
        <v>45946</v>
      </c>
      <c r="W314" s="73">
        <v>8648</v>
      </c>
      <c r="X314" s="73">
        <v>486.9</v>
      </c>
      <c r="Y314" s="169">
        <f>IF(SUM(W314:W314)&gt;0,X314/SUM(W314:W314)*1000000,"N/A")</f>
        <v>56302.035152636447</v>
      </c>
      <c r="Z314" s="80"/>
      <c r="AA314" s="80"/>
      <c r="AB314" s="73"/>
      <c r="AC314" s="153"/>
      <c r="AD314" s="331"/>
      <c r="AE314" s="57"/>
      <c r="AF314" s="88"/>
      <c r="AG314" s="182">
        <f>YEAR(V314)</f>
        <v>2025</v>
      </c>
      <c r="AH314" s="86" t="str">
        <f>+IF(AG314=$AH$22,MONTH(V314),"")</f>
        <v/>
      </c>
      <c r="AI314" s="86">
        <f>+IF(AG314=$AI$22,MONTH(V314),"")</f>
        <v>10</v>
      </c>
      <c r="AJ314" s="86" t="str">
        <f>+IF(AG314=$AJ$22,MONTH(V314),"")</f>
        <v/>
      </c>
      <c r="AK314" s="86" t="str">
        <f>+IF(AG314=$AK$22,MONTH(V314),"")</f>
        <v/>
      </c>
      <c r="AL314" s="86" t="str">
        <f>+IF(AG314=$AL$22,MONTH(V314),"")</f>
        <v/>
      </c>
      <c r="AM314" s="86" t="str">
        <f>+IF($AG314=$AM$22,MONTH($D314),"")</f>
        <v/>
      </c>
      <c r="AN314" s="89" t="str">
        <f>+IF($AG314=AN$22,MONTH($D314),"")</f>
        <v/>
      </c>
      <c r="AO314" s="89" t="str">
        <f>+IF($AG314=AO$22,MONTH($D314),"")</f>
        <v/>
      </c>
      <c r="AP314" s="89" t="str">
        <f>+IF($AG314=AP$22,MONTH($D314),"")</f>
        <v/>
      </c>
      <c r="AQ314" s="89" t="str">
        <f>+IF($AG314=AQ$22,MONTH($D314),"")</f>
        <v/>
      </c>
      <c r="AR314" s="89" t="str">
        <f>+IF($AG314=AR$22,MONTH($D314),"")</f>
        <v/>
      </c>
      <c r="AS314" s="89" t="str">
        <f>+IF($AG314=AS$22,MONTH($D314),"")</f>
        <v/>
      </c>
      <c r="AT314" s="89" t="str">
        <f>+IF($AG314=AT$22,MONTH($D314),"")</f>
        <v/>
      </c>
      <c r="AU314" s="89" t="str">
        <f>+IF($AG314=AU$22,MONTH($D314),"")</f>
        <v/>
      </c>
      <c r="AV314" s="89" t="str">
        <f>+IF($AG314=AV$22,MONTH($D314),"")</f>
        <v/>
      </c>
      <c r="AW314" s="86" t="str">
        <f>+IF($AG314=AW$22,MONTH($D314),"")</f>
        <v/>
      </c>
      <c r="AX314" s="86" t="str">
        <f>+IF($AG314=AX$22,MONTH($D314),"")</f>
        <v/>
      </c>
      <c r="AY314" s="89"/>
      <c r="AZ314" s="89"/>
      <c r="BA314" s="89"/>
      <c r="BB314" s="89"/>
      <c r="BC314" s="89"/>
      <c r="BD314" s="89"/>
      <c r="BE314" s="89"/>
      <c r="BF314" s="89"/>
      <c r="BG314" s="89"/>
      <c r="BH314" s="89"/>
      <c r="BI314" s="89"/>
      <c r="BJ314" s="89"/>
      <c r="BK314" s="89"/>
      <c r="BL314" s="89"/>
      <c r="BM314" s="89"/>
      <c r="BN314" s="89"/>
      <c r="BO314" s="89"/>
      <c r="BP314" s="89"/>
    </row>
    <row r="315" spans="1:68" s="320" customFormat="1" ht="45.75" hidden="1" customHeight="1">
      <c r="A315" s="204" t="str">
        <f>+IFERROR(VALUE(MID(AB315,4,4)),"")</f>
        <v/>
      </c>
      <c r="B315" s="204">
        <f>VALUE(RIGHT(C315,LEN(C315)-2))</f>
        <v>2407</v>
      </c>
      <c r="C315" s="74" t="s">
        <v>1354</v>
      </c>
      <c r="D315" s="75">
        <v>45805</v>
      </c>
      <c r="E315" s="70" t="s">
        <v>1321</v>
      </c>
      <c r="F315" s="70" t="s">
        <v>263</v>
      </c>
      <c r="G315" s="68" t="s">
        <v>1322</v>
      </c>
      <c r="H315" s="282" t="s">
        <v>1323</v>
      </c>
      <c r="I315" s="69" t="s">
        <v>1355</v>
      </c>
      <c r="J315" s="69"/>
      <c r="K315" s="68" t="s">
        <v>13</v>
      </c>
      <c r="L315" s="69" t="s">
        <v>123</v>
      </c>
      <c r="M315" s="71" t="s">
        <v>141</v>
      </c>
      <c r="N315" s="69" t="e" vm="1">
        <v>#VALUE!</v>
      </c>
      <c r="O315" s="84">
        <v>45847</v>
      </c>
      <c r="P315" s="72" t="s">
        <v>689</v>
      </c>
      <c r="Q315" s="72" t="s">
        <v>229</v>
      </c>
      <c r="R315" s="162"/>
      <c r="S315" s="146"/>
      <c r="T315" s="68" t="s">
        <v>165</v>
      </c>
      <c r="U315" s="87"/>
      <c r="V315" s="80">
        <v>45929</v>
      </c>
      <c r="W315" s="73">
        <v>46116</v>
      </c>
      <c r="X315" s="73">
        <v>2541</v>
      </c>
      <c r="Y315" s="169">
        <f>IF(SUM(W315:W315)&gt;0,X315/SUM(W315:W315)*1000000,"N/A")</f>
        <v>55100.182149362481</v>
      </c>
      <c r="Z315" s="80"/>
      <c r="AA315" s="80"/>
      <c r="AB315" s="73"/>
      <c r="AC315" s="153"/>
      <c r="AD315" s="331"/>
      <c r="AE315" s="57"/>
      <c r="AF315" s="88"/>
      <c r="AG315" s="182">
        <f>YEAR(V315)</f>
        <v>2025</v>
      </c>
      <c r="AH315" s="86" t="str">
        <f>+IF(AG315=$AH$22,MONTH(V315),"")</f>
        <v/>
      </c>
      <c r="AI315" s="86">
        <f>+IF(AG315=$AI$22,MONTH(V315),"")</f>
        <v>9</v>
      </c>
      <c r="AJ315" s="86" t="str">
        <f>+IF(AG315=$AJ$22,MONTH(V315),"")</f>
        <v/>
      </c>
      <c r="AK315" s="86" t="str">
        <f>+IF(AG315=$AK$22,MONTH(V315),"")</f>
        <v/>
      </c>
      <c r="AL315" s="86" t="str">
        <f>+IF(AG315=$AL$22,MONTH(V315),"")</f>
        <v/>
      </c>
      <c r="AM315" s="86" t="str">
        <f>+IF($AG315=$AM$22,MONTH($D315),"")</f>
        <v/>
      </c>
      <c r="AN315" s="89" t="str">
        <f>+IF($AG315=AN$22,MONTH($D315),"")</f>
        <v/>
      </c>
      <c r="AO315" s="89" t="str">
        <f>+IF($AG315=AO$22,MONTH($D315),"")</f>
        <v/>
      </c>
      <c r="AP315" s="89" t="str">
        <f>+IF($AG315=AP$22,MONTH($D315),"")</f>
        <v/>
      </c>
      <c r="AQ315" s="89" t="str">
        <f>+IF($AG315=AQ$22,MONTH($D315),"")</f>
        <v/>
      </c>
      <c r="AR315" s="89" t="str">
        <f>+IF($AG315=AR$22,MONTH($D315),"")</f>
        <v/>
      </c>
      <c r="AS315" s="89" t="str">
        <f>+IF($AG315=AS$22,MONTH($D315),"")</f>
        <v/>
      </c>
      <c r="AT315" s="89" t="str">
        <f>+IF($AG315=AT$22,MONTH($D315),"")</f>
        <v/>
      </c>
      <c r="AU315" s="89" t="str">
        <f>+IF($AG315=AU$22,MONTH($D315),"")</f>
        <v/>
      </c>
      <c r="AV315" s="89" t="str">
        <f>+IF($AG315=AV$22,MONTH($D315),"")</f>
        <v/>
      </c>
      <c r="AW315" s="86" t="str">
        <f>+IF($AG315=AW$22,MONTH($D315),"")</f>
        <v/>
      </c>
      <c r="AX315" s="86" t="str">
        <f>+IF($AG315=AX$22,MONTH($D315),"")</f>
        <v/>
      </c>
      <c r="AY315" s="89"/>
      <c r="AZ315" s="89"/>
      <c r="BA315" s="89"/>
      <c r="BB315" s="89"/>
      <c r="BC315" s="89"/>
      <c r="BD315" s="89"/>
      <c r="BE315" s="89"/>
      <c r="BF315" s="89"/>
      <c r="BG315" s="89"/>
      <c r="BH315" s="89"/>
      <c r="BI315" s="89"/>
      <c r="BJ315" s="89"/>
      <c r="BK315" s="89"/>
      <c r="BL315" s="89"/>
      <c r="BM315" s="89"/>
      <c r="BN315" s="89"/>
      <c r="BO315" s="89"/>
      <c r="BP315" s="89"/>
    </row>
    <row r="316" spans="1:68" s="320" customFormat="1" ht="45.75" hidden="1" customHeight="1">
      <c r="A316" s="204">
        <f>+IFERROR(VALUE(MID(AB316,4,4)),"")</f>
        <v>447</v>
      </c>
      <c r="B316" s="204">
        <f>VALUE(RIGHT(C316,LEN(C316)-2))</f>
        <v>2406</v>
      </c>
      <c r="C316" s="74" t="s">
        <v>1356</v>
      </c>
      <c r="D316" s="75">
        <v>45803</v>
      </c>
      <c r="E316" s="70" t="s">
        <v>332</v>
      </c>
      <c r="F316" s="70" t="s">
        <v>332</v>
      </c>
      <c r="G316" s="68" t="s">
        <v>1299</v>
      </c>
      <c r="H316" s="282" t="s">
        <v>1300</v>
      </c>
      <c r="I316" s="69" t="s">
        <v>1357</v>
      </c>
      <c r="J316" s="69"/>
      <c r="K316" s="68" t="s">
        <v>13</v>
      </c>
      <c r="L316" s="69" t="s">
        <v>123</v>
      </c>
      <c r="M316" s="71" t="s">
        <v>141</v>
      </c>
      <c r="N316" s="69" t="e" vm="1">
        <v>#VALUE!</v>
      </c>
      <c r="O316" s="84">
        <v>45846</v>
      </c>
      <c r="P316" s="72" t="s">
        <v>382</v>
      </c>
      <c r="Q316" s="72" t="s">
        <v>259</v>
      </c>
      <c r="R316" s="162"/>
      <c r="S316" s="146"/>
      <c r="T316" s="68" t="s">
        <v>3</v>
      </c>
      <c r="U316" s="87"/>
      <c r="V316" s="80">
        <v>45874</v>
      </c>
      <c r="W316" s="73">
        <v>1133</v>
      </c>
      <c r="X316" s="73">
        <v>55</v>
      </c>
      <c r="Y316" s="83">
        <f>IF(SUM(W316:W316)&gt;0,X316/SUM(W316:W316)*1000000,"N/A")</f>
        <v>48543.689320388352</v>
      </c>
      <c r="Z316" s="80"/>
      <c r="AA316" s="80"/>
      <c r="AB316" s="73" t="s">
        <v>1358</v>
      </c>
      <c r="AC316" s="153"/>
      <c r="AD316" s="331"/>
      <c r="AE316" s="57"/>
      <c r="AF316" s="88"/>
      <c r="AG316" s="182">
        <f>YEAR(V316)</f>
        <v>2025</v>
      </c>
      <c r="AH316" s="86" t="str">
        <f>+IF(AG316=$AH$22,MONTH(V316),"")</f>
        <v/>
      </c>
      <c r="AI316" s="86">
        <f>+IF(AG316=$AI$22,MONTH(V316),"")</f>
        <v>8</v>
      </c>
      <c r="AJ316" s="86" t="str">
        <f>+IF(AG316=$AJ$22,MONTH(V316),"")</f>
        <v/>
      </c>
      <c r="AK316" s="86" t="str">
        <f>+IF(AG316=$AK$22,MONTH(V316),"")</f>
        <v/>
      </c>
      <c r="AL316" s="86" t="str">
        <f>+IF(AG316=$AL$22,MONTH(V316),"")</f>
        <v/>
      </c>
      <c r="AM316" s="86" t="str">
        <f>+IF($AG316=$AM$22,MONTH($D316),"")</f>
        <v/>
      </c>
      <c r="AN316" s="89" t="str">
        <f>+IF($AG316=AN$22,MONTH($D316),"")</f>
        <v/>
      </c>
      <c r="AO316" s="89" t="str">
        <f>+IF($AG316=AO$22,MONTH($D316),"")</f>
        <v/>
      </c>
      <c r="AP316" s="89" t="str">
        <f>+IF($AG316=AP$22,MONTH($D316),"")</f>
        <v/>
      </c>
      <c r="AQ316" s="89" t="str">
        <f>+IF($AG316=AQ$22,MONTH($D316),"")</f>
        <v/>
      </c>
      <c r="AR316" s="89" t="str">
        <f>+IF($AG316=AR$22,MONTH($D316),"")</f>
        <v/>
      </c>
      <c r="AS316" s="89" t="str">
        <f>+IF($AG316=AS$22,MONTH($D316),"")</f>
        <v/>
      </c>
      <c r="AT316" s="89" t="str">
        <f>+IF($AG316=AT$22,MONTH($D316),"")</f>
        <v/>
      </c>
      <c r="AU316" s="89" t="str">
        <f>+IF($AG316=AU$22,MONTH($D316),"")</f>
        <v/>
      </c>
      <c r="AV316" s="89" t="str">
        <f>+IF($AG316=AV$22,MONTH($D316),"")</f>
        <v/>
      </c>
      <c r="AW316" s="86" t="str">
        <f>+IF($AG316=AW$22,MONTH($D316),"")</f>
        <v/>
      </c>
      <c r="AX316" s="86" t="str">
        <f>+IF($AG316=AX$22,MONTH($D316),"")</f>
        <v/>
      </c>
      <c r="AY316" s="89"/>
      <c r="AZ316" s="89"/>
      <c r="BA316" s="89"/>
      <c r="BB316" s="89"/>
      <c r="BC316" s="89"/>
      <c r="BD316" s="89"/>
      <c r="BE316" s="89"/>
      <c r="BF316" s="89"/>
      <c r="BG316" s="89"/>
      <c r="BH316" s="89"/>
      <c r="BI316" s="89"/>
      <c r="BJ316" s="89"/>
      <c r="BK316" s="89"/>
      <c r="BL316" s="89"/>
      <c r="BM316" s="89"/>
      <c r="BN316" s="89"/>
      <c r="BO316" s="89"/>
      <c r="BP316" s="89"/>
    </row>
    <row r="317" spans="1:68" s="56" customFormat="1" ht="36" hidden="1" customHeight="1">
      <c r="A317" s="204" t="str">
        <f>+IFERROR(VALUE(MID(AB317,4,4)),"")</f>
        <v/>
      </c>
      <c r="B317" s="204">
        <f>VALUE(RIGHT(C317,LEN(C317)-2))</f>
        <v>2405</v>
      </c>
      <c r="C317" s="74" t="s">
        <v>1359</v>
      </c>
      <c r="D317" s="75">
        <v>45802</v>
      </c>
      <c r="E317" s="70" t="s">
        <v>1360</v>
      </c>
      <c r="F317" s="70" t="s">
        <v>1360</v>
      </c>
      <c r="G317" s="68" t="s">
        <v>1361</v>
      </c>
      <c r="H317" s="282" t="s">
        <v>1362</v>
      </c>
      <c r="I317" s="162" t="s">
        <v>1363</v>
      </c>
      <c r="J317" s="162"/>
      <c r="K317" s="68" t="s">
        <v>944</v>
      </c>
      <c r="L317" s="69" t="s">
        <v>120</v>
      </c>
      <c r="M317" s="71" t="s">
        <v>141</v>
      </c>
      <c r="N317" s="69" t="e" vm="1">
        <v>#VALUE!</v>
      </c>
      <c r="O317" s="164">
        <v>45805</v>
      </c>
      <c r="P317" s="72" t="s">
        <v>228</v>
      </c>
      <c r="Q317" s="72" t="s">
        <v>389</v>
      </c>
      <c r="R317" s="162"/>
      <c r="S317" s="146"/>
      <c r="T317" s="68" t="s">
        <v>165</v>
      </c>
      <c r="U317" s="87"/>
      <c r="V317" s="183">
        <v>45806</v>
      </c>
      <c r="W317" s="73">
        <v>18432</v>
      </c>
      <c r="X317" s="216">
        <f>28639*39140/1000000</f>
        <v>1120.93046</v>
      </c>
      <c r="Y317" s="83">
        <f>IF(SUM(W317:W317)&gt;0,X317/SUM(W317:W317)*1000000,"N/A")</f>
        <v>60814.369574652774</v>
      </c>
      <c r="Z317" s="183"/>
      <c r="AA317" s="183"/>
      <c r="AB317" s="73"/>
      <c r="AC317" s="153"/>
      <c r="AD317" s="331"/>
      <c r="AE317" s="57"/>
      <c r="AF317" s="88"/>
      <c r="AG317" s="182">
        <f>YEAR(V317)</f>
        <v>2025</v>
      </c>
      <c r="AH317" s="86" t="str">
        <f>+IF(AG317=$AH$22,MONTH(V317),"")</f>
        <v/>
      </c>
      <c r="AI317" s="86">
        <f>+IF(AG317=$AI$22,MONTH(V317),"")</f>
        <v>5</v>
      </c>
      <c r="AJ317" s="86" t="str">
        <f>+IF(AG317=$AJ$22,MONTH(V317),"")</f>
        <v/>
      </c>
      <c r="AK317" s="86" t="str">
        <f>+IF(AG317=$AK$22,MONTH(V317),"")</f>
        <v/>
      </c>
      <c r="AL317" s="86"/>
      <c r="AM317" s="89"/>
      <c r="AN317" s="89"/>
      <c r="AO317" s="89"/>
      <c r="AP317" s="89"/>
      <c r="AQ317" s="89"/>
      <c r="AR317" s="89"/>
      <c r="AS317" s="89"/>
      <c r="AT317" s="89"/>
      <c r="AU317" s="89"/>
      <c r="AV317" s="89"/>
      <c r="AW317" s="86" t="str">
        <f>+IF($AG317=AW$22,MONTH($D317),"")</f>
        <v/>
      </c>
      <c r="AX317" s="86" t="str">
        <f>+IF($AG317=AX$22,MONTH($D317),"")</f>
        <v/>
      </c>
      <c r="AY317" s="89"/>
      <c r="AZ317" s="89"/>
      <c r="BA317" s="89"/>
      <c r="BB317" s="89"/>
      <c r="BC317" s="89"/>
      <c r="BD317" s="89"/>
      <c r="BE317" s="89"/>
      <c r="BF317" s="89"/>
      <c r="BG317" s="89"/>
      <c r="BH317" s="89"/>
      <c r="BI317" s="89"/>
      <c r="BJ317" s="89"/>
      <c r="BK317" s="89"/>
      <c r="BL317" s="89"/>
      <c r="BM317" s="89"/>
      <c r="BN317" s="89"/>
      <c r="BO317" s="89"/>
      <c r="BP317" s="89"/>
    </row>
    <row r="318" spans="1:68" s="56" customFormat="1" ht="33.75" hidden="1" customHeight="1">
      <c r="A318" s="204" t="str">
        <f>+IFERROR(VALUE(MID(AB318,4,4)),"")</f>
        <v/>
      </c>
      <c r="B318" s="204">
        <f>VALUE(RIGHT(C318,LEN(C318)-2))</f>
        <v>2404</v>
      </c>
      <c r="C318" s="74" t="s">
        <v>1364</v>
      </c>
      <c r="D318" s="75">
        <v>45799</v>
      </c>
      <c r="E318" s="68" t="s">
        <v>53</v>
      </c>
      <c r="F318" s="68" t="s">
        <v>252</v>
      </c>
      <c r="G318" s="68" t="s">
        <v>210</v>
      </c>
      <c r="H318" s="304" t="s">
        <v>210</v>
      </c>
      <c r="I318" s="69" t="s">
        <v>1365</v>
      </c>
      <c r="J318" s="69"/>
      <c r="K318" s="68" t="s">
        <v>607</v>
      </c>
      <c r="L318" s="69" t="s">
        <v>123</v>
      </c>
      <c r="M318" s="71" t="s">
        <v>141</v>
      </c>
      <c r="N318" s="69" t="e" vm="1">
        <v>#VALUE!</v>
      </c>
      <c r="O318" s="84">
        <v>45873</v>
      </c>
      <c r="P318" s="69" t="s">
        <v>1366</v>
      </c>
      <c r="Q318" s="69" t="s">
        <v>220</v>
      </c>
      <c r="R318" s="69"/>
      <c r="S318" s="146"/>
      <c r="T318" s="68" t="s">
        <v>165</v>
      </c>
      <c r="U318" s="87"/>
      <c r="V318" s="183">
        <v>46010</v>
      </c>
      <c r="W318" s="73">
        <v>31079</v>
      </c>
      <c r="X318" s="73">
        <v>1545</v>
      </c>
      <c r="Y318" s="83">
        <f>IF(SUM(W318:W318)&gt;0,X318/SUM(W318:W318)*1000000,"N/A")</f>
        <v>49712.024196402715</v>
      </c>
      <c r="Z318" s="80"/>
      <c r="AA318" s="80"/>
      <c r="AB318" s="150"/>
      <c r="AC318" s="75"/>
      <c r="AD318" s="332"/>
      <c r="AE318" s="68"/>
      <c r="AF318" s="73"/>
      <c r="AG318" s="182">
        <f>YEAR(V318)</f>
        <v>2025</v>
      </c>
      <c r="AH318" s="86" t="str">
        <f>+IF(AG318=$AH$22,MONTH(V318),"")</f>
        <v/>
      </c>
      <c r="AI318" s="86">
        <f>+IF(AG318=$AI$22,MONTH(V318),"")</f>
        <v>12</v>
      </c>
      <c r="AJ318" s="86" t="str">
        <f>+IF(AG318=$AJ$22,MONTH(V318),"")</f>
        <v/>
      </c>
      <c r="AK318" s="86" t="str">
        <f>+IF(AG318=$AK$22,MONTH(V318),"")</f>
        <v/>
      </c>
      <c r="AL318" s="86" t="str">
        <f>+IF(AG318=$AL$22,MONTH(V318),"")</f>
        <v/>
      </c>
      <c r="AM318" s="86" t="str">
        <f>+IF($AG318=$AM$22,MONTH($D318),"")</f>
        <v/>
      </c>
      <c r="AN318" s="89" t="str">
        <f>+IF($AG318=AN$22,MONTH($D318),"")</f>
        <v/>
      </c>
      <c r="AO318" s="184" t="str">
        <f>+IF($AG318=AO$22,MONTH($D318),"")</f>
        <v/>
      </c>
      <c r="AP318" s="184" t="str">
        <f>+IF($AG318=AP$22,MONTH($D318),"")</f>
        <v/>
      </c>
      <c r="AQ318" s="184" t="str">
        <f>+IF($AG318=AQ$22,MONTH($D318),"")</f>
        <v/>
      </c>
      <c r="AR318" s="184" t="str">
        <f>+IF($AG318=AR$22,MONTH($D318),"")</f>
        <v/>
      </c>
      <c r="AS318" s="184" t="str">
        <f>+IF($AG318=AS$22,MONTH($D318),"")</f>
        <v/>
      </c>
      <c r="AT318" s="86" t="str">
        <f>+IF($AG318=AT$22,MONTH($D318),"")</f>
        <v/>
      </c>
      <c r="AU318" s="86" t="str">
        <f>+IF($AG318=AU$22,MONTH($D318),"")</f>
        <v/>
      </c>
      <c r="AV318" s="86" t="str">
        <f>+IF($AG318=AV$22,MONTH($D318),"")</f>
        <v/>
      </c>
      <c r="AW318" s="86" t="str">
        <f>+IF($AG318=AW$22,MONTH($D318),"")</f>
        <v/>
      </c>
      <c r="AX318" s="86" t="str">
        <f>+IF($AG318=AX$22,MONTH($D318),"")</f>
        <v/>
      </c>
      <c r="AY318" s="89"/>
      <c r="AZ318" s="89"/>
      <c r="BA318" s="89"/>
      <c r="BB318" s="89"/>
      <c r="BC318" s="89"/>
      <c r="BD318" s="89"/>
      <c r="BE318" s="89"/>
      <c r="BF318" s="89"/>
      <c r="BG318" s="89"/>
      <c r="BH318" s="89"/>
      <c r="BI318" s="89"/>
      <c r="BJ318" s="89"/>
      <c r="BK318" s="89"/>
      <c r="BL318" s="89"/>
      <c r="BM318" s="89"/>
      <c r="BN318" s="89"/>
      <c r="BO318" s="89"/>
      <c r="BP318" s="89"/>
    </row>
    <row r="319" spans="1:68" s="381" customFormat="1" ht="45.75" hidden="1" customHeight="1">
      <c r="A319" s="204">
        <f>+IFERROR(VALUE(MID(AB319,4,4)),"")</f>
        <v>352</v>
      </c>
      <c r="B319" s="204">
        <f>VALUE(RIGHT(C319,LEN(C319)-2))</f>
        <v>2403</v>
      </c>
      <c r="C319" s="74" t="s">
        <v>1367</v>
      </c>
      <c r="D319" s="75">
        <v>45799</v>
      </c>
      <c r="E319" s="68" t="s">
        <v>53</v>
      </c>
      <c r="F319" s="68" t="s">
        <v>642</v>
      </c>
      <c r="G319" s="68" t="s">
        <v>210</v>
      </c>
      <c r="H319" s="304" t="s">
        <v>210</v>
      </c>
      <c r="I319" s="69" t="s">
        <v>1368</v>
      </c>
      <c r="J319" s="69"/>
      <c r="K319" s="68" t="s">
        <v>9</v>
      </c>
      <c r="L319" s="69" t="s">
        <v>129</v>
      </c>
      <c r="M319" s="71" t="s">
        <v>141</v>
      </c>
      <c r="N319" s="69" t="e" vm="1">
        <v>#VALUE!</v>
      </c>
      <c r="O319" s="84">
        <v>45818</v>
      </c>
      <c r="P319" s="69" t="s">
        <v>258</v>
      </c>
      <c r="Q319" s="69" t="s">
        <v>259</v>
      </c>
      <c r="R319" s="69"/>
      <c r="S319" s="146"/>
      <c r="T319" s="68" t="s">
        <v>155</v>
      </c>
      <c r="U319" s="87"/>
      <c r="V319" s="183">
        <v>45806</v>
      </c>
      <c r="W319" s="73"/>
      <c r="X319" s="73"/>
      <c r="Y319" s="83" t="str">
        <f>IF(SUM(W319:W319)&gt;0,X319/SUM(W319:W319)*1000000,"N/A")</f>
        <v>N/A</v>
      </c>
      <c r="Z319" s="80"/>
      <c r="AA319" s="80"/>
      <c r="AB319" s="150" t="s">
        <v>1369</v>
      </c>
      <c r="AC319" s="75"/>
      <c r="AD319" s="332"/>
      <c r="AE319" s="68"/>
      <c r="AF319" s="73"/>
      <c r="AG319" s="182">
        <f>YEAR(V319)</f>
        <v>2025</v>
      </c>
      <c r="AH319" s="86" t="str">
        <f>+IF(AG319=$AH$22,MONTH(V319),"")</f>
        <v/>
      </c>
      <c r="AI319" s="86">
        <f>+IF(AG319=$AI$22,MONTH(V319),"")</f>
        <v>5</v>
      </c>
      <c r="AJ319" s="86" t="str">
        <f>+IF(AG319=$AJ$22,MONTH(V319),"")</f>
        <v/>
      </c>
      <c r="AK319" s="86" t="str">
        <f>+IF(AG319=$AK$22,MONTH(V319),"")</f>
        <v/>
      </c>
      <c r="AL319" s="86" t="str">
        <f>+IF(AG319=$AL$22,MONTH(V319),"")</f>
        <v/>
      </c>
      <c r="AM319" s="86" t="str">
        <f>+IF($AG319=$AM$22,MONTH($D319),"")</f>
        <v/>
      </c>
      <c r="AN319" s="89" t="str">
        <f>+IF($AG319=AN$22,MONTH($D319),"")</f>
        <v/>
      </c>
      <c r="AO319" s="184" t="str">
        <f>+IF($AG319=AO$22,MONTH($D319),"")</f>
        <v/>
      </c>
      <c r="AP319" s="184" t="str">
        <f>+IF($AG319=AP$22,MONTH($D319),"")</f>
        <v/>
      </c>
      <c r="AQ319" s="184" t="str">
        <f>+IF($AG319=AQ$22,MONTH($D319),"")</f>
        <v/>
      </c>
      <c r="AR319" s="184" t="str">
        <f>+IF($AG319=AR$22,MONTH($D319),"")</f>
        <v/>
      </c>
      <c r="AS319" s="184" t="str">
        <f>+IF($AG319=AS$22,MONTH($D319),"")</f>
        <v/>
      </c>
      <c r="AT319" s="86" t="str">
        <f>+IF($AG319=AT$22,MONTH($D319),"")</f>
        <v/>
      </c>
      <c r="AU319" s="86" t="str">
        <f>+IF($AG319=AU$22,MONTH($D319),"")</f>
        <v/>
      </c>
      <c r="AV319" s="86" t="str">
        <f>+IF($AG319=AV$22,MONTH($D319),"")</f>
        <v/>
      </c>
      <c r="AW319" s="86" t="str">
        <f>+IF($AG319=AW$22,MONTH($D319),"")</f>
        <v/>
      </c>
      <c r="AX319" s="86" t="str">
        <f>+IF($AG319=AX$22,MONTH($D319),"")</f>
        <v/>
      </c>
      <c r="AY319" s="89"/>
      <c r="AZ319" s="89"/>
      <c r="BA319" s="89"/>
      <c r="BB319" s="89"/>
      <c r="BC319" s="89"/>
      <c r="BD319" s="89"/>
      <c r="BE319" s="89"/>
      <c r="BF319" s="89"/>
      <c r="BG319" s="89"/>
      <c r="BH319" s="89"/>
      <c r="BI319" s="89"/>
      <c r="BJ319" s="89"/>
      <c r="BK319" s="89"/>
      <c r="BL319" s="89"/>
      <c r="BM319" s="89"/>
      <c r="BN319" s="89"/>
      <c r="BO319" s="89"/>
      <c r="BP319" s="89"/>
    </row>
    <row r="320" spans="1:68" s="381" customFormat="1" ht="45.75" hidden="1" customHeight="1">
      <c r="A320" s="204" t="str">
        <f>+IFERROR(VALUE(MID(AB320,4,4)),"")</f>
        <v/>
      </c>
      <c r="B320" s="204">
        <f>VALUE(RIGHT(C320,LEN(C320)-2))</f>
        <v>2402</v>
      </c>
      <c r="C320" s="74" t="s">
        <v>1370</v>
      </c>
      <c r="D320" s="75">
        <v>45800</v>
      </c>
      <c r="E320" s="70" t="s">
        <v>1371</v>
      </c>
      <c r="F320" s="70" t="s">
        <v>758</v>
      </c>
      <c r="G320" s="68" t="s">
        <v>1372</v>
      </c>
      <c r="H320" s="59" t="s">
        <v>1373</v>
      </c>
      <c r="I320" s="69" t="s">
        <v>1374</v>
      </c>
      <c r="J320" s="69"/>
      <c r="K320" s="68" t="s">
        <v>227</v>
      </c>
      <c r="L320" s="69" t="s">
        <v>123</v>
      </c>
      <c r="M320" s="71" t="s">
        <v>141</v>
      </c>
      <c r="N320" s="69" t="e" vm="1">
        <v>#VALUE!</v>
      </c>
      <c r="O320" s="84">
        <v>45805</v>
      </c>
      <c r="P320" s="72" t="s">
        <v>228</v>
      </c>
      <c r="Q320" s="72" t="s">
        <v>259</v>
      </c>
      <c r="R320" s="162"/>
      <c r="S320" s="146"/>
      <c r="T320" s="68" t="s">
        <v>165</v>
      </c>
      <c r="U320" s="87">
        <v>0.01</v>
      </c>
      <c r="V320" s="80">
        <v>45806</v>
      </c>
      <c r="W320" s="73"/>
      <c r="X320" s="214"/>
      <c r="Y320" s="83" t="str">
        <f>IF(SUM(W320:W320)&gt;0,X320/SUM(W320:W320)*1000000,"N/A")</f>
        <v>N/A</v>
      </c>
      <c r="Z320" s="80"/>
      <c r="AA320" s="80"/>
      <c r="AB320" s="73"/>
      <c r="AC320" s="153"/>
      <c r="AD320" s="331"/>
      <c r="AE320" s="57"/>
      <c r="AF320" s="88"/>
      <c r="AG320" s="182">
        <f>YEAR(V320)</f>
        <v>2025</v>
      </c>
      <c r="AH320" s="86" t="str">
        <f>+IF(AG320=$AH$22,MONTH(V320),"")</f>
        <v/>
      </c>
      <c r="AI320" s="86">
        <f>+IF(AG320=$AI$22,MONTH(V320),"")</f>
        <v>5</v>
      </c>
      <c r="AJ320" s="86" t="str">
        <f>+IF(AG320=$AJ$22,MONTH(V320),"")</f>
        <v/>
      </c>
      <c r="AK320" s="86" t="str">
        <f>+IF(AG320=$AK$22,MONTH(V320),"")</f>
        <v/>
      </c>
      <c r="AL320" s="86" t="str">
        <f>+IF(AG320=$AL$22,MONTH(V320),"")</f>
        <v/>
      </c>
      <c r="AM320" s="86" t="str">
        <f>+IF($AG320=$AM$22,MONTH($D320),"")</f>
        <v/>
      </c>
      <c r="AN320" s="89" t="str">
        <f>+IF($AG320=AN$22,MONTH($D320),"")</f>
        <v/>
      </c>
      <c r="AO320" s="89" t="str">
        <f>+IF($AG320=AO$22,MONTH($D320),"")</f>
        <v/>
      </c>
      <c r="AP320" s="89" t="str">
        <f>+IF($AG320=AP$22,MONTH($D320),"")</f>
        <v/>
      </c>
      <c r="AQ320" s="89" t="str">
        <f>+IF($AG320=AQ$22,MONTH($D320),"")</f>
        <v/>
      </c>
      <c r="AR320" s="89" t="str">
        <f>+IF($AG320=AR$22,MONTH($D320),"")</f>
        <v/>
      </c>
      <c r="AS320" s="89" t="str">
        <f>+IF($AG320=AS$22,MONTH($D320),"")</f>
        <v/>
      </c>
      <c r="AT320" s="89" t="str">
        <f>+IF($AG320=AT$22,MONTH($D320),"")</f>
        <v/>
      </c>
      <c r="AU320" s="89" t="str">
        <f>+IF($AG320=AU$22,MONTH($D320),"")</f>
        <v/>
      </c>
      <c r="AV320" s="89" t="str">
        <f>+IF($AG320=AV$22,MONTH($D320),"")</f>
        <v/>
      </c>
      <c r="AW320" s="86" t="str">
        <f>+IF($AG320=AW$22,MONTH($D320),"")</f>
        <v/>
      </c>
      <c r="AX320" s="86" t="str">
        <f>+IF($AG320=AX$22,MONTH($D320),"")</f>
        <v/>
      </c>
      <c r="AY320" s="89"/>
      <c r="AZ320" s="89"/>
      <c r="BA320" s="89"/>
      <c r="BB320" s="89"/>
      <c r="BC320" s="89"/>
      <c r="BD320" s="89"/>
      <c r="BE320" s="89"/>
      <c r="BF320" s="89"/>
      <c r="BG320" s="89"/>
      <c r="BH320" s="89"/>
      <c r="BI320" s="89"/>
      <c r="BJ320" s="89"/>
      <c r="BK320" s="89"/>
      <c r="BL320" s="89"/>
      <c r="BM320" s="89"/>
      <c r="BN320" s="89"/>
      <c r="BO320" s="89"/>
      <c r="BP320" s="89"/>
    </row>
    <row r="321" spans="1:68" s="56" customFormat="1" ht="30.75" hidden="1" customHeight="1">
      <c r="A321" s="204">
        <f>+IFERROR(VALUE(MID(AB321,4,4)),"")</f>
        <v>357</v>
      </c>
      <c r="B321" s="204">
        <f>VALUE(RIGHT(C321,LEN(C321)-2))</f>
        <v>2401</v>
      </c>
      <c r="C321" s="74" t="s">
        <v>1375</v>
      </c>
      <c r="D321" s="75">
        <v>45800</v>
      </c>
      <c r="E321" s="70" t="s">
        <v>262</v>
      </c>
      <c r="F321" s="70" t="s">
        <v>270</v>
      </c>
      <c r="G321" s="68" t="s">
        <v>786</v>
      </c>
      <c r="H321" s="307" t="s">
        <v>494</v>
      </c>
      <c r="I321" s="69" t="s">
        <v>1376</v>
      </c>
      <c r="J321" s="69"/>
      <c r="K321" s="68" t="s">
        <v>13</v>
      </c>
      <c r="L321" s="69" t="s">
        <v>120</v>
      </c>
      <c r="M321" s="71" t="s">
        <v>141</v>
      </c>
      <c r="N321" s="69" t="e" vm="1">
        <v>#VALUE!</v>
      </c>
      <c r="O321" s="84">
        <v>45818</v>
      </c>
      <c r="P321" s="72" t="s">
        <v>402</v>
      </c>
      <c r="Q321" s="72" t="s">
        <v>220</v>
      </c>
      <c r="R321" s="162"/>
      <c r="S321" s="146"/>
      <c r="T321" s="68" t="s">
        <v>3</v>
      </c>
      <c r="U321" s="87"/>
      <c r="V321" s="80">
        <v>45741</v>
      </c>
      <c r="W321" s="73">
        <v>-716</v>
      </c>
      <c r="X321" s="214">
        <v>-26.56</v>
      </c>
      <c r="Y321" s="169" t="str">
        <f>IF(SUM(W321:W321)&gt;0,X321/SUM(W321:W321)*1000000,"N/A")</f>
        <v>N/A</v>
      </c>
      <c r="Z321" s="80"/>
      <c r="AA321" s="80"/>
      <c r="AB321" s="73" t="s">
        <v>1377</v>
      </c>
      <c r="AC321" s="153"/>
      <c r="AD321" s="330"/>
      <c r="AE321" s="305"/>
      <c r="AF321" s="88"/>
      <c r="AG321" s="182">
        <f>YEAR(V321)</f>
        <v>2025</v>
      </c>
      <c r="AH321" s="86" t="str">
        <f>+IF(AG321=$AH$22,MONTH(V321),"")</f>
        <v/>
      </c>
      <c r="AI321" s="86">
        <f>+IF(AG321=$AI$22,MONTH(V321),"")</f>
        <v>3</v>
      </c>
      <c r="AJ321" s="86" t="str">
        <f>+IF(AG321=$AJ$22,MONTH(V321),"")</f>
        <v/>
      </c>
      <c r="AK321" s="86" t="str">
        <f>+IF(AG321=$AK$22,MONTH(V321),"")</f>
        <v/>
      </c>
      <c r="AL321" s="86" t="str">
        <f>+IF(AG321=$AL$22,MONTH(V321),"")</f>
        <v/>
      </c>
      <c r="AM321" s="86" t="str">
        <f>+IF($AG321=$AM$22,MONTH($D321),"")</f>
        <v/>
      </c>
      <c r="AN321" s="89" t="str">
        <f>+IF($AG321=AN$22,MONTH($D321),"")</f>
        <v/>
      </c>
      <c r="AO321" s="89" t="str">
        <f>+IF($AG321=AO$22,MONTH($D321),"")</f>
        <v/>
      </c>
      <c r="AP321" s="89" t="str">
        <f>+IF($AG321=AP$22,MONTH($D321),"")</f>
        <v/>
      </c>
      <c r="AQ321" s="89" t="str">
        <f>+IF($AG321=AQ$22,MONTH($D321),"")</f>
        <v/>
      </c>
      <c r="AR321" s="89" t="str">
        <f>+IF($AG321=AR$22,MONTH($D321),"")</f>
        <v/>
      </c>
      <c r="AS321" s="89" t="str">
        <f>+IF($AG321=AS$22,MONTH($D321),"")</f>
        <v/>
      </c>
      <c r="AT321" s="89" t="str">
        <f>+IF($AG321=AT$22,MONTH($D321),"")</f>
        <v/>
      </c>
      <c r="AU321" s="89" t="str">
        <f>+IF($AG321=AU$22,MONTH($D321),"")</f>
        <v/>
      </c>
      <c r="AV321" s="89" t="str">
        <f>+IF($AG321=AV$22,MONTH($D321),"")</f>
        <v/>
      </c>
      <c r="AW321" s="86" t="str">
        <f>+IF($AG321=AW$22,MONTH($D321),"")</f>
        <v/>
      </c>
      <c r="AX321" s="86" t="str">
        <f>+IF($AG321=AX$22,MONTH($D321),"")</f>
        <v/>
      </c>
      <c r="AY321" s="89"/>
      <c r="AZ321" s="89"/>
      <c r="BA321" s="89"/>
      <c r="BB321" s="89"/>
      <c r="BC321" s="89"/>
      <c r="BD321" s="89"/>
      <c r="BE321" s="89"/>
      <c r="BF321" s="89"/>
      <c r="BG321" s="89"/>
      <c r="BH321" s="89"/>
      <c r="BI321" s="89"/>
      <c r="BJ321" s="89"/>
      <c r="BK321" s="89"/>
      <c r="BL321" s="89"/>
      <c r="BM321" s="89"/>
      <c r="BN321" s="89"/>
      <c r="BO321" s="89"/>
      <c r="BP321" s="89"/>
    </row>
    <row r="322" spans="1:68" s="320" customFormat="1" ht="45.75" hidden="1" customHeight="1">
      <c r="A322" s="204">
        <f>+IFERROR(VALUE(MID(AB322,4,4)),"")</f>
        <v>333</v>
      </c>
      <c r="B322" s="204">
        <f>VALUE(RIGHT(C322,LEN(C322)-2))</f>
        <v>2400</v>
      </c>
      <c r="C322" s="74" t="s">
        <v>1378</v>
      </c>
      <c r="D322" s="75">
        <v>45799</v>
      </c>
      <c r="E322" s="70" t="s">
        <v>53</v>
      </c>
      <c r="F322" s="70" t="s">
        <v>1379</v>
      </c>
      <c r="G322" s="68" t="s">
        <v>1109</v>
      </c>
      <c r="H322" s="307" t="s">
        <v>1380</v>
      </c>
      <c r="I322" s="162" t="s">
        <v>1381</v>
      </c>
      <c r="J322" s="162"/>
      <c r="K322" s="68" t="s">
        <v>607</v>
      </c>
      <c r="L322" s="69" t="s">
        <v>129</v>
      </c>
      <c r="M322" s="71" t="s">
        <v>141</v>
      </c>
      <c r="N322" s="69" t="e" vm="1">
        <v>#VALUE!</v>
      </c>
      <c r="O322" s="164" t="s">
        <v>213</v>
      </c>
      <c r="P322" s="72" t="s">
        <v>1382</v>
      </c>
      <c r="Q322" s="72" t="s">
        <v>316</v>
      </c>
      <c r="R322" s="162"/>
      <c r="S322" s="146" t="s">
        <v>1383</v>
      </c>
      <c r="T322" s="68" t="s">
        <v>168</v>
      </c>
      <c r="U322" s="87"/>
      <c r="V322" s="183">
        <v>45813</v>
      </c>
      <c r="W322" s="73"/>
      <c r="X322" s="73"/>
      <c r="Y322" s="83" t="str">
        <f>IF(SUM(W322:W322)&gt;0,X322/SUM(W322:W322)*1000000,"N/A")</f>
        <v>N/A</v>
      </c>
      <c r="Z322" s="183"/>
      <c r="AA322" s="183"/>
      <c r="AB322" s="73" t="s">
        <v>1384</v>
      </c>
      <c r="AC322" s="153"/>
      <c r="AD322" s="330"/>
      <c r="AE322" s="305"/>
      <c r="AF322" s="88"/>
      <c r="AG322" s="182">
        <f>YEAR(V322)</f>
        <v>2025</v>
      </c>
      <c r="AH322" s="86" t="str">
        <f>+IF(AG322=$AH$22,MONTH(V322),"")</f>
        <v/>
      </c>
      <c r="AI322" s="86">
        <f>+IF(AG322=$AI$22,MONTH(V322),"")</f>
        <v>6</v>
      </c>
      <c r="AJ322" s="86" t="str">
        <f>+IF(AG322=$AJ$22,MONTH(V322),"")</f>
        <v/>
      </c>
      <c r="AK322" s="86" t="str">
        <f>+IF(AG322=$AK$22,MONTH(V322),"")</f>
        <v/>
      </c>
      <c r="AL322" s="86"/>
      <c r="AM322" s="89"/>
      <c r="AN322" s="89"/>
      <c r="AO322" s="89"/>
      <c r="AP322" s="89"/>
      <c r="AQ322" s="89"/>
      <c r="AR322" s="89"/>
      <c r="AS322" s="89"/>
      <c r="AT322" s="89"/>
      <c r="AU322" s="89"/>
      <c r="AV322" s="89"/>
      <c r="AW322" s="86" t="str">
        <f>+IF($AG322=AW$22,MONTH($D322),"")</f>
        <v/>
      </c>
      <c r="AX322" s="86" t="str">
        <f>+IF($AG322=AX$22,MONTH($D322),"")</f>
        <v/>
      </c>
      <c r="AY322" s="89"/>
      <c r="AZ322" s="89"/>
      <c r="BA322" s="89"/>
      <c r="BB322" s="89"/>
      <c r="BC322" s="89"/>
      <c r="BD322" s="89"/>
      <c r="BE322" s="89"/>
      <c r="BF322" s="89"/>
      <c r="BG322" s="89"/>
      <c r="BH322" s="89"/>
      <c r="BI322" s="89"/>
      <c r="BJ322" s="89"/>
      <c r="BK322" s="89"/>
      <c r="BL322" s="89"/>
      <c r="BM322" s="89"/>
      <c r="BN322" s="89"/>
      <c r="BO322" s="89"/>
      <c r="BP322" s="89"/>
    </row>
    <row r="323" spans="1:68" s="351" customFormat="1" ht="36" hidden="1">
      <c r="A323" s="204" t="str">
        <f>+IFERROR(VALUE(MID(AB323,4,4)),"")</f>
        <v/>
      </c>
      <c r="B323" s="204">
        <f>VALUE(RIGHT(C323,LEN(C323)-2))</f>
        <v>2399</v>
      </c>
      <c r="C323" s="74" t="s">
        <v>1385</v>
      </c>
      <c r="D323" s="75">
        <v>45799</v>
      </c>
      <c r="E323" s="68" t="s">
        <v>757</v>
      </c>
      <c r="F323" s="68" t="s">
        <v>758</v>
      </c>
      <c r="G323" s="68" t="s">
        <v>1386</v>
      </c>
      <c r="H323" s="282" t="s">
        <v>760</v>
      </c>
      <c r="I323" s="69" t="s">
        <v>1387</v>
      </c>
      <c r="J323" s="69"/>
      <c r="K323" s="68" t="s">
        <v>607</v>
      </c>
      <c r="L323" s="69" t="s">
        <v>123</v>
      </c>
      <c r="M323" s="71" t="s">
        <v>113</v>
      </c>
      <c r="N323" s="69" t="e" vm="4">
        <v>#VALUE!</v>
      </c>
      <c r="O323" s="84">
        <v>45827</v>
      </c>
      <c r="P323" s="69" t="s">
        <v>289</v>
      </c>
      <c r="Q323" s="69" t="s">
        <v>220</v>
      </c>
      <c r="R323" s="69"/>
      <c r="S323" s="146"/>
      <c r="T323" s="68" t="s">
        <v>168</v>
      </c>
      <c r="U323" s="87"/>
      <c r="V323" s="80">
        <v>45800</v>
      </c>
      <c r="W323" s="73"/>
      <c r="X323" s="73"/>
      <c r="Y323" s="83" t="str">
        <f>IF(SUM(W323:W323)&gt;0,X323/SUM(W323:W323)*1000000,"N/A")</f>
        <v>N/A</v>
      </c>
      <c r="Z323" s="80"/>
      <c r="AA323" s="80"/>
      <c r="AB323" s="73"/>
      <c r="AC323" s="75"/>
      <c r="AD323" s="332"/>
      <c r="AE323" s="68"/>
      <c r="AF323" s="88"/>
      <c r="AG323" s="182">
        <f>YEAR(V323)</f>
        <v>2025</v>
      </c>
      <c r="AH323" s="86" t="str">
        <f>+IF(AG323=$AH$22,MONTH(V323),"")</f>
        <v/>
      </c>
      <c r="AI323" s="86">
        <f>+IF(AG323=$AI$22,MONTH(V323),"")</f>
        <v>5</v>
      </c>
      <c r="AJ323" s="86" t="str">
        <f>+IF(AG323=$AJ$22,MONTH(V323),"")</f>
        <v/>
      </c>
      <c r="AK323" s="86" t="str">
        <f>+IF(AG323=$AK$22,MONTH(V323),"")</f>
        <v/>
      </c>
      <c r="AL323" s="86" t="str">
        <f>+IF(AG323=$AL$22,MONTH(V323),"")</f>
        <v/>
      </c>
      <c r="AM323" s="86" t="str">
        <f>+IF($AG323=$AM$22,MONTH($D323),"")</f>
        <v/>
      </c>
      <c r="AN323" s="89" t="str">
        <f>+IF($AG323=AN$22,MONTH($D323),"")</f>
        <v/>
      </c>
      <c r="AO323" s="184" t="str">
        <f>+IF($AG323=AO$22,MONTH($D323),"")</f>
        <v/>
      </c>
      <c r="AP323" s="184" t="str">
        <f>+IF($AG323=AP$22,MONTH($D323),"")</f>
        <v/>
      </c>
      <c r="AQ323" s="184" t="str">
        <f>+IF($AG323=AQ$22,MONTH($D323),"")</f>
        <v/>
      </c>
      <c r="AR323" s="184" t="str">
        <f>+IF($AG323=AR$22,MONTH($D323),"")</f>
        <v/>
      </c>
      <c r="AS323" s="184" t="str">
        <f>+IF($AG323=AS$22,MONTH($D323),"")</f>
        <v/>
      </c>
      <c r="AT323" s="86" t="str">
        <f>+IF($AG323=AT$22,MONTH($D323),"")</f>
        <v/>
      </c>
      <c r="AU323" s="86" t="str">
        <f>+IF($AG323=AU$22,MONTH($D323),"")</f>
        <v/>
      </c>
      <c r="AV323" s="86" t="str">
        <f>+IF($AG323=AV$22,MONTH($D323),"")</f>
        <v/>
      </c>
      <c r="AW323" s="86" t="str">
        <f>+IF($AG323=AW$22,MONTH($D323),"")</f>
        <v/>
      </c>
      <c r="AX323" s="86" t="str">
        <f>+IF($AG323=AX$22,MONTH($D323),"")</f>
        <v/>
      </c>
      <c r="AY323" s="89"/>
      <c r="AZ323" s="89"/>
      <c r="BA323" s="89"/>
      <c r="BB323" s="89"/>
      <c r="BC323" s="89"/>
      <c r="BD323" s="89"/>
      <c r="BE323" s="89"/>
      <c r="BF323" s="89"/>
      <c r="BG323" s="89"/>
      <c r="BH323" s="89"/>
      <c r="BI323" s="89"/>
      <c r="BJ323" s="89"/>
      <c r="BK323" s="89"/>
      <c r="BL323" s="89"/>
      <c r="BM323" s="89"/>
      <c r="BN323" s="89"/>
      <c r="BO323" s="89"/>
      <c r="BP323" s="89"/>
    </row>
    <row r="324" spans="1:68" s="56" customFormat="1" ht="32.25" hidden="1" customHeight="1">
      <c r="A324" s="204" t="str">
        <f>+IFERROR(VALUE(MID(AB324,4,4)),"")</f>
        <v/>
      </c>
      <c r="B324" s="204">
        <f>VALUE(RIGHT(C324,LEN(C324)-2))</f>
        <v>2398</v>
      </c>
      <c r="C324" s="74" t="s">
        <v>1388</v>
      </c>
      <c r="D324" s="75">
        <v>45797</v>
      </c>
      <c r="E324" s="70" t="s">
        <v>853</v>
      </c>
      <c r="F324" s="70" t="s">
        <v>685</v>
      </c>
      <c r="G324" s="68" t="s">
        <v>1389</v>
      </c>
      <c r="H324" s="282" t="s">
        <v>1390</v>
      </c>
      <c r="I324" s="69" t="s">
        <v>1391</v>
      </c>
      <c r="J324" s="69"/>
      <c r="K324" s="68" t="s">
        <v>9</v>
      </c>
      <c r="L324" s="69" t="s">
        <v>120</v>
      </c>
      <c r="M324" s="71" t="s">
        <v>141</v>
      </c>
      <c r="N324" s="69" t="e" vm="1">
        <v>#VALUE!</v>
      </c>
      <c r="O324" s="84">
        <v>45810</v>
      </c>
      <c r="P324" s="72" t="s">
        <v>258</v>
      </c>
      <c r="Q324" s="72" t="s">
        <v>623</v>
      </c>
      <c r="R324" s="162"/>
      <c r="S324" s="146"/>
      <c r="T324" s="68" t="s">
        <v>165</v>
      </c>
      <c r="U324" s="87"/>
      <c r="V324" s="80">
        <v>45933</v>
      </c>
      <c r="W324" s="73">
        <v>1882</v>
      </c>
      <c r="X324" s="73">
        <v>102</v>
      </c>
      <c r="Y324" s="83">
        <f>IF(SUM(W324:W324)&gt;0,X324/SUM(W324:W324)*1000000,"N/A")</f>
        <v>54197.662061636554</v>
      </c>
      <c r="Z324" s="80"/>
      <c r="AA324" s="80"/>
      <c r="AB324" s="73"/>
      <c r="AC324" s="153"/>
      <c r="AD324" s="331"/>
      <c r="AE324" s="57"/>
      <c r="AF324" s="88"/>
      <c r="AG324" s="182">
        <f>YEAR(V324)</f>
        <v>2025</v>
      </c>
      <c r="AH324" s="86" t="str">
        <f>+IF(AG324=$AH$22,MONTH(V324),"")</f>
        <v/>
      </c>
      <c r="AI324" s="86">
        <f>+IF(AG324=$AI$22,MONTH(V324),"")</f>
        <v>10</v>
      </c>
      <c r="AJ324" s="86" t="str">
        <f>+IF(AG324=$AJ$22,MONTH(V324),"")</f>
        <v/>
      </c>
      <c r="AK324" s="86" t="str">
        <f>+IF(AG324=$AK$22,MONTH(V324),"")</f>
        <v/>
      </c>
      <c r="AL324" s="86" t="str">
        <f>+IF(AG324=$AL$22,MONTH(V324),"")</f>
        <v/>
      </c>
      <c r="AM324" s="86" t="str">
        <f>+IF($AG324=$AM$22,MONTH($D324),"")</f>
        <v/>
      </c>
      <c r="AN324" s="89" t="str">
        <f>+IF($AG324=AN$22,MONTH($D324),"")</f>
        <v/>
      </c>
      <c r="AO324" s="89" t="str">
        <f>+IF($AG324=AO$22,MONTH($D324),"")</f>
        <v/>
      </c>
      <c r="AP324" s="89" t="str">
        <f>+IF($AG324=AP$22,MONTH($D324),"")</f>
        <v/>
      </c>
      <c r="AQ324" s="89" t="str">
        <f>+IF($AG324=AQ$22,MONTH($D324),"")</f>
        <v/>
      </c>
      <c r="AR324" s="89" t="str">
        <f>+IF($AG324=AR$22,MONTH($D324),"")</f>
        <v/>
      </c>
      <c r="AS324" s="89" t="str">
        <f>+IF($AG324=AS$22,MONTH($D324),"")</f>
        <v/>
      </c>
      <c r="AT324" s="89" t="str">
        <f>+IF($AG324=AT$22,MONTH($D324),"")</f>
        <v/>
      </c>
      <c r="AU324" s="89" t="str">
        <f>+IF($AG324=AU$22,MONTH($D324),"")</f>
        <v/>
      </c>
      <c r="AV324" s="89" t="str">
        <f>+IF($AG324=AV$22,MONTH($D324),"")</f>
        <v/>
      </c>
      <c r="AW324" s="86" t="str">
        <f>+IF($AG324=AW$22,MONTH($D324),"")</f>
        <v/>
      </c>
      <c r="AX324" s="86" t="str">
        <f>+IF($AG324=AX$22,MONTH($D324),"")</f>
        <v/>
      </c>
      <c r="AY324" s="89"/>
      <c r="AZ324" s="89"/>
      <c r="BA324" s="89"/>
      <c r="BB324" s="89"/>
      <c r="BC324" s="89"/>
      <c r="BD324" s="89"/>
      <c r="BE324" s="89"/>
      <c r="BF324" s="89"/>
      <c r="BG324" s="89"/>
      <c r="BH324" s="89"/>
      <c r="BI324" s="89"/>
      <c r="BJ324" s="89"/>
      <c r="BK324" s="89"/>
      <c r="BL324" s="89"/>
      <c r="BM324" s="89"/>
      <c r="BN324" s="89"/>
      <c r="BO324" s="89"/>
      <c r="BP324" s="89"/>
    </row>
    <row r="325" spans="1:68" s="56" customFormat="1" ht="36" hidden="1" customHeight="1">
      <c r="A325" s="204" t="str">
        <f>+IFERROR(VALUE(MID(AB325,4,4)),"")</f>
        <v/>
      </c>
      <c r="B325" s="204">
        <f>VALUE(RIGHT(C325,LEN(C325)-2))</f>
        <v>2397</v>
      </c>
      <c r="C325" s="74" t="s">
        <v>1392</v>
      </c>
      <c r="D325" s="75">
        <v>45792</v>
      </c>
      <c r="E325" s="70" t="s">
        <v>277</v>
      </c>
      <c r="F325" s="70" t="s">
        <v>277</v>
      </c>
      <c r="G325" s="68" t="s">
        <v>278</v>
      </c>
      <c r="H325" s="307" t="s">
        <v>279</v>
      </c>
      <c r="I325" s="69" t="s">
        <v>1393</v>
      </c>
      <c r="J325" s="69"/>
      <c r="K325" s="68" t="s">
        <v>13</v>
      </c>
      <c r="L325" s="69" t="s">
        <v>129</v>
      </c>
      <c r="M325" s="71" t="s">
        <v>141</v>
      </c>
      <c r="N325" s="69" t="e" vm="1">
        <v>#VALUE!</v>
      </c>
      <c r="O325" s="84">
        <v>45800</v>
      </c>
      <c r="P325" s="72" t="s">
        <v>912</v>
      </c>
      <c r="Q325" s="72" t="s">
        <v>623</v>
      </c>
      <c r="R325" s="162"/>
      <c r="S325" s="146"/>
      <c r="T325" s="68" t="s">
        <v>165</v>
      </c>
      <c r="U325" s="87"/>
      <c r="V325" s="183">
        <v>45797</v>
      </c>
      <c r="W325" s="73"/>
      <c r="X325" s="150"/>
      <c r="Y325" s="83" t="str">
        <f>IF(SUM(W325:W325)&gt;0,X325/SUM(W325:W325)*1000000,"N/A")</f>
        <v>N/A</v>
      </c>
      <c r="Z325" s="183"/>
      <c r="AA325" s="183"/>
      <c r="AB325" s="150"/>
      <c r="AC325" s="153"/>
      <c r="AD325" s="330"/>
      <c r="AE325" s="305"/>
      <c r="AF325" s="88"/>
      <c r="AG325" s="182">
        <f>YEAR(V325)</f>
        <v>2025</v>
      </c>
      <c r="AH325" s="86" t="str">
        <f>+IF(AG325=$AH$22,MONTH(V325),"")</f>
        <v/>
      </c>
      <c r="AI325" s="86">
        <f>+IF(AG325=$AI$22,MONTH(V325),"")</f>
        <v>5</v>
      </c>
      <c r="AJ325" s="86" t="str">
        <f>+IF(AG325=$AJ$22,MONTH(V325),"")</f>
        <v/>
      </c>
      <c r="AK325" s="86" t="str">
        <f>+IF(AG325=$AK$22,MONTH(V325),"")</f>
        <v/>
      </c>
      <c r="AL325" s="86"/>
      <c r="AM325" s="89"/>
      <c r="AN325" s="89"/>
      <c r="AO325" s="89"/>
      <c r="AP325" s="89"/>
      <c r="AQ325" s="89"/>
      <c r="AR325" s="89"/>
      <c r="AS325" s="89"/>
      <c r="AT325" s="89"/>
      <c r="AU325" s="89"/>
      <c r="AV325" s="89"/>
      <c r="AW325" s="86" t="str">
        <f>+IF($AG325=AW$22,MONTH($D325),"")</f>
        <v/>
      </c>
      <c r="AX325" s="86" t="str">
        <f>+IF($AG325=AX$22,MONTH($D325),"")</f>
        <v/>
      </c>
      <c r="AY325" s="89"/>
      <c r="AZ325" s="89"/>
      <c r="BA325" s="89"/>
      <c r="BB325" s="89"/>
      <c r="BC325" s="89"/>
      <c r="BD325" s="89"/>
      <c r="BE325" s="89"/>
      <c r="BF325" s="89"/>
      <c r="BG325" s="89"/>
      <c r="BH325" s="89"/>
      <c r="BI325" s="89"/>
      <c r="BJ325" s="89"/>
      <c r="BK325" s="89"/>
      <c r="BL325" s="89"/>
      <c r="BM325" s="89"/>
      <c r="BN325" s="89"/>
      <c r="BO325" s="89"/>
      <c r="BP325" s="89"/>
    </row>
    <row r="326" spans="1:68" s="381" customFormat="1" ht="45.75" hidden="1" customHeight="1">
      <c r="A326" s="204">
        <f>+IFERROR(VALUE(MID(AB326,4,4)),"")</f>
        <v>271</v>
      </c>
      <c r="B326" s="204">
        <f>VALUE(RIGHT(C326,LEN(C326)-2))</f>
        <v>2396</v>
      </c>
      <c r="C326" s="74" t="s">
        <v>1394</v>
      </c>
      <c r="D326" s="75">
        <v>45792</v>
      </c>
      <c r="E326" s="70" t="s">
        <v>277</v>
      </c>
      <c r="F326" s="70" t="s">
        <v>277</v>
      </c>
      <c r="G326" s="68" t="s">
        <v>278</v>
      </c>
      <c r="H326" s="307" t="s">
        <v>279</v>
      </c>
      <c r="I326" s="69" t="s">
        <v>1395</v>
      </c>
      <c r="J326" s="69"/>
      <c r="K326" s="68" t="s">
        <v>12</v>
      </c>
      <c r="L326" s="69" t="s">
        <v>129</v>
      </c>
      <c r="M326" s="71" t="s">
        <v>141</v>
      </c>
      <c r="N326" s="69" t="e" vm="1">
        <v>#VALUE!</v>
      </c>
      <c r="O326" s="84">
        <v>45803</v>
      </c>
      <c r="P326" s="72" t="s">
        <v>912</v>
      </c>
      <c r="Q326" s="72" t="s">
        <v>623</v>
      </c>
      <c r="R326" s="162"/>
      <c r="S326" s="146"/>
      <c r="T326" s="68" t="s">
        <v>3</v>
      </c>
      <c r="U326" s="87"/>
      <c r="V326" s="183">
        <v>45804</v>
      </c>
      <c r="W326" s="73">
        <v>963</v>
      </c>
      <c r="X326" s="150">
        <v>43.2</v>
      </c>
      <c r="Y326" s="83">
        <f>IF(SUM(W326:W326)&gt;0,X326/SUM(W326:W326)*1000000,"N/A")</f>
        <v>44859.813084112153</v>
      </c>
      <c r="Z326" s="183"/>
      <c r="AA326" s="183"/>
      <c r="AB326" s="150" t="s">
        <v>1396</v>
      </c>
      <c r="AC326" s="153"/>
      <c r="AD326" s="330"/>
      <c r="AE326" s="305"/>
      <c r="AF326" s="88"/>
      <c r="AG326" s="182">
        <f>YEAR(V326)</f>
        <v>2025</v>
      </c>
      <c r="AH326" s="86" t="str">
        <f>+IF(AG326=$AH$22,MONTH(V326),"")</f>
        <v/>
      </c>
      <c r="AI326" s="86">
        <f>+IF(AG326=$AI$22,MONTH(V326),"")</f>
        <v>5</v>
      </c>
      <c r="AJ326" s="86" t="str">
        <f>+IF(AG326=$AJ$22,MONTH(V326),"")</f>
        <v/>
      </c>
      <c r="AK326" s="86" t="str">
        <f>+IF(AG326=$AK$22,MONTH(V326),"")</f>
        <v/>
      </c>
      <c r="AL326" s="86"/>
      <c r="AM326" s="89"/>
      <c r="AN326" s="89"/>
      <c r="AO326" s="89"/>
      <c r="AP326" s="89"/>
      <c r="AQ326" s="89"/>
      <c r="AR326" s="89"/>
      <c r="AS326" s="89"/>
      <c r="AT326" s="89"/>
      <c r="AU326" s="89"/>
      <c r="AV326" s="89"/>
      <c r="AW326" s="86" t="str">
        <f>+IF($AG326=AW$22,MONTH($D326),"")</f>
        <v/>
      </c>
      <c r="AX326" s="86" t="str">
        <f>+IF($AG326=AX$22,MONTH($D326),"")</f>
        <v/>
      </c>
      <c r="AY326" s="89"/>
      <c r="AZ326" s="89"/>
      <c r="BA326" s="89"/>
      <c r="BB326" s="89"/>
      <c r="BC326" s="89"/>
      <c r="BD326" s="89"/>
      <c r="BE326" s="89"/>
      <c r="BF326" s="89"/>
      <c r="BG326" s="89"/>
      <c r="BH326" s="89"/>
      <c r="BI326" s="89"/>
      <c r="BJ326" s="89"/>
      <c r="BK326" s="89"/>
      <c r="BL326" s="89"/>
      <c r="BM326" s="89"/>
      <c r="BN326" s="89"/>
      <c r="BO326" s="89"/>
      <c r="BP326" s="89"/>
    </row>
    <row r="327" spans="1:68" s="381" customFormat="1" ht="45.75" hidden="1" customHeight="1">
      <c r="A327" s="204">
        <f>+IFERROR(VALUE(MID(AB327,4,4)),"")</f>
        <v>271</v>
      </c>
      <c r="B327" s="204">
        <f>VALUE(RIGHT(C327,LEN(C327)-2))</f>
        <v>2395</v>
      </c>
      <c r="C327" s="74" t="s">
        <v>1397</v>
      </c>
      <c r="D327" s="75">
        <v>45792</v>
      </c>
      <c r="E327" s="70" t="s">
        <v>277</v>
      </c>
      <c r="F327" s="70" t="s">
        <v>277</v>
      </c>
      <c r="G327" s="68" t="s">
        <v>278</v>
      </c>
      <c r="H327" s="307" t="s">
        <v>279</v>
      </c>
      <c r="I327" s="69" t="s">
        <v>1398</v>
      </c>
      <c r="J327" s="69"/>
      <c r="K327" s="68" t="s">
        <v>944</v>
      </c>
      <c r="L327" s="69" t="s">
        <v>129</v>
      </c>
      <c r="M327" s="71" t="s">
        <v>141</v>
      </c>
      <c r="N327" s="69" t="e" vm="1">
        <v>#VALUE!</v>
      </c>
      <c r="O327" s="84">
        <v>45800</v>
      </c>
      <c r="P327" s="72" t="s">
        <v>912</v>
      </c>
      <c r="Q327" s="72" t="s">
        <v>389</v>
      </c>
      <c r="R327" s="162"/>
      <c r="S327" s="146"/>
      <c r="T327" s="68" t="s">
        <v>3</v>
      </c>
      <c r="U327" s="87"/>
      <c r="V327" s="183">
        <v>45804</v>
      </c>
      <c r="W327" s="73">
        <v>1184</v>
      </c>
      <c r="X327" s="150">
        <v>56.5</v>
      </c>
      <c r="Y327" s="83">
        <f>IF(SUM(W327:W327)&gt;0,X327/SUM(W327:W327)*1000000,"N/A")</f>
        <v>47719.594594594593</v>
      </c>
      <c r="Z327" s="183"/>
      <c r="AA327" s="183"/>
      <c r="AB327" s="150" t="s">
        <v>1399</v>
      </c>
      <c r="AC327" s="153"/>
      <c r="AD327" s="330"/>
      <c r="AE327" s="305"/>
      <c r="AF327" s="88"/>
      <c r="AG327" s="182">
        <f>YEAR(V327)</f>
        <v>2025</v>
      </c>
      <c r="AH327" s="86" t="str">
        <f>+IF(AG327=$AH$22,MONTH(V327),"")</f>
        <v/>
      </c>
      <c r="AI327" s="86">
        <f>+IF(AG327=$AI$22,MONTH(V327),"")</f>
        <v>5</v>
      </c>
      <c r="AJ327" s="86" t="str">
        <f>+IF(AG327=$AJ$22,MONTH(V327),"")</f>
        <v/>
      </c>
      <c r="AK327" s="86" t="str">
        <f>+IF(AG327=$AK$22,MONTH(V327),"")</f>
        <v/>
      </c>
      <c r="AL327" s="86"/>
      <c r="AM327" s="89"/>
      <c r="AN327" s="89"/>
      <c r="AO327" s="89"/>
      <c r="AP327" s="89"/>
      <c r="AQ327" s="89"/>
      <c r="AR327" s="89"/>
      <c r="AS327" s="89"/>
      <c r="AT327" s="89"/>
      <c r="AU327" s="89"/>
      <c r="AV327" s="89"/>
      <c r="AW327" s="86" t="str">
        <f>+IF($AG327=AW$22,MONTH($D327),"")</f>
        <v/>
      </c>
      <c r="AX327" s="86" t="str">
        <f>+IF($AG327=AX$22,MONTH($D327),"")</f>
        <v/>
      </c>
      <c r="AY327" s="89"/>
      <c r="AZ327" s="89"/>
      <c r="BA327" s="89"/>
      <c r="BB327" s="89"/>
      <c r="BC327" s="89"/>
      <c r="BD327" s="89"/>
      <c r="BE327" s="89"/>
      <c r="BF327" s="89"/>
      <c r="BG327" s="89"/>
      <c r="BH327" s="89"/>
      <c r="BI327" s="89"/>
      <c r="BJ327" s="89"/>
      <c r="BK327" s="89"/>
      <c r="BL327" s="89"/>
      <c r="BM327" s="89"/>
      <c r="BN327" s="89"/>
      <c r="BO327" s="89"/>
      <c r="BP327" s="89"/>
    </row>
    <row r="328" spans="1:68" s="381" customFormat="1" ht="45.75" hidden="1" customHeight="1">
      <c r="A328" s="204" t="str">
        <f>+IFERROR(VALUE(MID(AB328,4,4)),"")</f>
        <v/>
      </c>
      <c r="B328" s="204">
        <f>VALUE(RIGHT(C328,LEN(C328)-2))</f>
        <v>2394</v>
      </c>
      <c r="C328" s="74" t="s">
        <v>1400</v>
      </c>
      <c r="D328" s="75">
        <v>45793</v>
      </c>
      <c r="E328" s="70" t="s">
        <v>479</v>
      </c>
      <c r="F328" s="70" t="s">
        <v>479</v>
      </c>
      <c r="G328" s="68"/>
      <c r="H328" s="59"/>
      <c r="I328" s="162" t="s">
        <v>1401</v>
      </c>
      <c r="J328" s="162"/>
      <c r="K328" s="68" t="s">
        <v>9</v>
      </c>
      <c r="L328" s="69" t="s">
        <v>129</v>
      </c>
      <c r="M328" s="71" t="s">
        <v>113</v>
      </c>
      <c r="N328" s="69" t="e" vm="2">
        <v>#VALUE!</v>
      </c>
      <c r="O328" s="84">
        <v>45800</v>
      </c>
      <c r="P328" s="82" t="s">
        <v>294</v>
      </c>
      <c r="Q328" s="72" t="s">
        <v>229</v>
      </c>
      <c r="R328" s="162"/>
      <c r="S328" s="146"/>
      <c r="T328" s="68" t="s">
        <v>165</v>
      </c>
      <c r="U328" s="87"/>
      <c r="V328" s="183">
        <v>45831</v>
      </c>
      <c r="W328" s="73">
        <v>3886</v>
      </c>
      <c r="X328" s="73">
        <v>145.9</v>
      </c>
      <c r="Y328" s="83">
        <f>IF(SUM(W328:W328)&gt;0,X328/SUM(W328:W328)*1000000,"N/A")</f>
        <v>37545.03345342254</v>
      </c>
      <c r="Z328" s="183"/>
      <c r="AA328" s="183"/>
      <c r="AB328" s="73"/>
      <c r="AC328" s="153"/>
      <c r="AD328" s="331"/>
      <c r="AE328" s="57"/>
      <c r="AF328" s="88"/>
      <c r="AG328" s="182">
        <f>YEAR(V328)</f>
        <v>2025</v>
      </c>
      <c r="AH328" s="86" t="str">
        <f>+IF(AG328=$AH$22,MONTH(V328),"")</f>
        <v/>
      </c>
      <c r="AI328" s="86">
        <f>+IF(AG328=$AI$22,MONTH(V328),"")</f>
        <v>6</v>
      </c>
      <c r="AJ328" s="86" t="str">
        <f>+IF(AG328=$AJ$22,MONTH(V328),"")</f>
        <v/>
      </c>
      <c r="AK328" s="86" t="str">
        <f>+IF(AG328=$AK$22,MONTH(V328),"")</f>
        <v/>
      </c>
      <c r="AL328" s="86"/>
      <c r="AM328" s="89"/>
      <c r="AN328" s="89"/>
      <c r="AO328" s="89"/>
      <c r="AP328" s="89"/>
      <c r="AQ328" s="89"/>
      <c r="AR328" s="89"/>
      <c r="AS328" s="89"/>
      <c r="AT328" s="89"/>
      <c r="AU328" s="89"/>
      <c r="AV328" s="89" t="s">
        <v>1402</v>
      </c>
      <c r="AW328" s="86" t="str">
        <f>+IF($AG328=AW$22,MONTH($D328),"")</f>
        <v/>
      </c>
      <c r="AX328" s="86" t="str">
        <f>+IF($AG328=AX$22,MONTH($D328),"")</f>
        <v/>
      </c>
      <c r="AY328" s="89"/>
      <c r="AZ328" s="89"/>
      <c r="BA328" s="89"/>
      <c r="BB328" s="89"/>
      <c r="BC328" s="89"/>
      <c r="BD328" s="89"/>
      <c r="BE328" s="89"/>
      <c r="BF328" s="89"/>
      <c r="BG328" s="89"/>
      <c r="BH328" s="89"/>
      <c r="BI328" s="89"/>
      <c r="BJ328" s="89"/>
      <c r="BK328" s="89"/>
      <c r="BL328" s="89"/>
      <c r="BM328" s="89"/>
      <c r="BN328" s="89"/>
      <c r="BO328" s="89"/>
      <c r="BP328" s="89"/>
    </row>
    <row r="329" spans="1:68" s="56" customFormat="1" ht="33.75" hidden="1" customHeight="1">
      <c r="A329" s="204" t="str">
        <f>+IFERROR(VALUE(MID(AB329,4,4)),"")</f>
        <v/>
      </c>
      <c r="B329" s="204">
        <f>VALUE(RIGHT(C329,LEN(C329)-2))</f>
        <v>2393</v>
      </c>
      <c r="C329" s="74" t="s">
        <v>1403</v>
      </c>
      <c r="D329" s="75">
        <v>45782</v>
      </c>
      <c r="E329" s="70" t="s">
        <v>1404</v>
      </c>
      <c r="F329" s="70" t="s">
        <v>1404</v>
      </c>
      <c r="G329" s="68"/>
      <c r="H329" s="304" t="s">
        <v>334</v>
      </c>
      <c r="I329" s="162" t="s">
        <v>1405</v>
      </c>
      <c r="J329" s="162"/>
      <c r="K329" s="68" t="s">
        <v>9</v>
      </c>
      <c r="L329" s="69" t="s">
        <v>123</v>
      </c>
      <c r="M329" s="71" t="s">
        <v>141</v>
      </c>
      <c r="N329" s="69" t="e" vm="1">
        <v>#VALUE!</v>
      </c>
      <c r="O329" s="164">
        <v>45852</v>
      </c>
      <c r="P329" s="72" t="s">
        <v>701</v>
      </c>
      <c r="Q329" s="72" t="s">
        <v>259</v>
      </c>
      <c r="R329" s="162"/>
      <c r="S329" s="146"/>
      <c r="T329" s="68" t="s">
        <v>155</v>
      </c>
      <c r="U329" s="87"/>
      <c r="V329" s="183">
        <v>45793</v>
      </c>
      <c r="W329" s="73"/>
      <c r="X329" s="216"/>
      <c r="Y329" s="83" t="str">
        <f>IF(SUM(W329:W329)&gt;0,X329/SUM(W329:W329)*1000000,"N/A")</f>
        <v>N/A</v>
      </c>
      <c r="Z329" s="183"/>
      <c r="AA329" s="183"/>
      <c r="AB329" s="73"/>
      <c r="AC329" s="153"/>
      <c r="AD329" s="330"/>
      <c r="AE329" s="305"/>
      <c r="AF329" s="88"/>
      <c r="AG329" s="182">
        <f>YEAR(V329)</f>
        <v>2025</v>
      </c>
      <c r="AH329" s="86" t="str">
        <f>+IF(AG329=$AH$22,MONTH(V329),"")</f>
        <v/>
      </c>
      <c r="AI329" s="86">
        <f>+IF(AG329=$AI$22,MONTH(V329),"")</f>
        <v>5</v>
      </c>
      <c r="AJ329" s="86" t="str">
        <f>+IF(AG329=$AJ$22,MONTH(V329),"")</f>
        <v/>
      </c>
      <c r="AK329" s="86" t="str">
        <f>+IF(AG329=$AK$22,MONTH(V329),"")</f>
        <v/>
      </c>
      <c r="AL329" s="86"/>
      <c r="AM329" s="89"/>
      <c r="AN329" s="89"/>
      <c r="AO329" s="89"/>
      <c r="AP329" s="89"/>
      <c r="AQ329" s="89"/>
      <c r="AR329" s="89"/>
      <c r="AS329" s="89"/>
      <c r="AT329" s="89"/>
      <c r="AU329" s="89"/>
      <c r="AV329" s="89"/>
      <c r="AW329" s="86" t="str">
        <f>+IF($AG329=AW$22,MONTH($D329),"")</f>
        <v/>
      </c>
      <c r="AX329" s="86" t="str">
        <f>+IF($AG329=AX$22,MONTH($D329),"")</f>
        <v/>
      </c>
      <c r="AY329" s="89"/>
      <c r="AZ329" s="89"/>
      <c r="BA329" s="89"/>
      <c r="BB329" s="89"/>
      <c r="BC329" s="89"/>
      <c r="BD329" s="89"/>
      <c r="BE329" s="89"/>
      <c r="BF329" s="89"/>
      <c r="BG329" s="89"/>
      <c r="BH329" s="89"/>
      <c r="BI329" s="89"/>
      <c r="BJ329" s="89"/>
      <c r="BK329" s="89"/>
      <c r="BL329" s="89"/>
      <c r="BM329" s="89"/>
      <c r="BN329" s="89"/>
      <c r="BO329" s="89"/>
      <c r="BP329" s="89"/>
    </row>
    <row r="330" spans="1:68" s="89" customFormat="1" ht="45.75" hidden="1" customHeight="1">
      <c r="A330" s="204" t="str">
        <f>+IFERROR(VALUE(MID(AB330,4,4)),"")</f>
        <v/>
      </c>
      <c r="B330" s="204">
        <f>VALUE(RIGHT(C330,LEN(C330)-2))</f>
        <v>2392</v>
      </c>
      <c r="C330" s="74" t="s">
        <v>1406</v>
      </c>
      <c r="D330" s="75">
        <v>45792</v>
      </c>
      <c r="E330" s="70" t="s">
        <v>1407</v>
      </c>
      <c r="F330" s="70" t="s">
        <v>806</v>
      </c>
      <c r="G330" s="68" t="s">
        <v>1408</v>
      </c>
      <c r="H330" s="282" t="s">
        <v>1409</v>
      </c>
      <c r="I330" s="162" t="s">
        <v>1410</v>
      </c>
      <c r="J330" s="162"/>
      <c r="K330" s="68" t="s">
        <v>13</v>
      </c>
      <c r="L330" s="68" t="s">
        <v>120</v>
      </c>
      <c r="M330" s="68" t="s">
        <v>141</v>
      </c>
      <c r="N330" s="69" t="e" vm="1">
        <v>#VALUE!</v>
      </c>
      <c r="O330" s="164">
        <v>45807</v>
      </c>
      <c r="P330" s="72" t="s">
        <v>666</v>
      </c>
      <c r="Q330" s="72" t="s">
        <v>240</v>
      </c>
      <c r="R330" s="162"/>
      <c r="S330" s="146"/>
      <c r="T330" s="68" t="s">
        <v>165</v>
      </c>
      <c r="U330" s="87"/>
      <c r="V330" s="183">
        <v>45792</v>
      </c>
      <c r="W330" s="73">
        <v>24500</v>
      </c>
      <c r="X330" s="216">
        <f>29400*39140/1000000</f>
        <v>1150.7159999999999</v>
      </c>
      <c r="Y330" s="83">
        <f>IF(SUM(W330:W330)&gt;0,X330/SUM(W330:W330)*1000000,"N/A")</f>
        <v>46967.999999999993</v>
      </c>
      <c r="Z330" s="183"/>
      <c r="AA330" s="183"/>
      <c r="AB330" s="73"/>
      <c r="AC330" s="153"/>
      <c r="AD330" s="331"/>
      <c r="AE330" s="57"/>
      <c r="AF330" s="88"/>
      <c r="AG330" s="182">
        <f>YEAR(V330)</f>
        <v>2025</v>
      </c>
      <c r="AH330" s="86" t="str">
        <f>+IF(AG330=$AH$22,MONTH(V330),"")</f>
        <v/>
      </c>
      <c r="AI330" s="86">
        <f>+IF(AG330=$AI$22,MONTH(V330),"")</f>
        <v>5</v>
      </c>
      <c r="AJ330" s="86" t="str">
        <f>+IF(AG330=$AJ$22,MONTH(V330),"")</f>
        <v/>
      </c>
      <c r="AK330" s="86" t="str">
        <f>+IF(AG330=$AK$22,MONTH(V330),"")</f>
        <v/>
      </c>
      <c r="AL330" s="86"/>
      <c r="AW330" s="86" t="str">
        <f>+IF($AG330=AW$22,MONTH($D330),"")</f>
        <v/>
      </c>
      <c r="AX330" s="86" t="str">
        <f>+IF($AG330=AX$22,MONTH($D330),"")</f>
        <v/>
      </c>
    </row>
    <row r="331" spans="1:68" s="56" customFormat="1" ht="26.25" hidden="1" customHeight="1">
      <c r="A331" s="204">
        <f>+IFERROR(VALUE(MID(AB331,4,4)),"")</f>
        <v>392</v>
      </c>
      <c r="B331" s="204">
        <f>VALUE(RIGHT(C331,LEN(C331)-2))</f>
        <v>2391</v>
      </c>
      <c r="C331" s="74" t="s">
        <v>1411</v>
      </c>
      <c r="D331" s="75">
        <v>45792</v>
      </c>
      <c r="E331" s="70" t="s">
        <v>332</v>
      </c>
      <c r="F331" s="70" t="s">
        <v>332</v>
      </c>
      <c r="G331" s="68" t="s">
        <v>333</v>
      </c>
      <c r="H331" s="304" t="s">
        <v>334</v>
      </c>
      <c r="I331" s="162" t="s">
        <v>1412</v>
      </c>
      <c r="J331" s="162"/>
      <c r="K331" s="68" t="s">
        <v>12</v>
      </c>
      <c r="L331" s="69" t="s">
        <v>129</v>
      </c>
      <c r="M331" s="71" t="s">
        <v>141</v>
      </c>
      <c r="N331" s="69" t="e" vm="1">
        <v>#VALUE!</v>
      </c>
      <c r="O331" s="164">
        <v>45835</v>
      </c>
      <c r="P331" s="72" t="s">
        <v>382</v>
      </c>
      <c r="Q331" s="72" t="s">
        <v>259</v>
      </c>
      <c r="R331" s="162"/>
      <c r="S331" s="146"/>
      <c r="T331" s="68" t="s">
        <v>3</v>
      </c>
      <c r="U331" s="87"/>
      <c r="V331" s="183">
        <v>45883</v>
      </c>
      <c r="W331" s="73">
        <v>618</v>
      </c>
      <c r="X331" s="73">
        <f>665*39200/1000000</f>
        <v>26.068000000000001</v>
      </c>
      <c r="Y331" s="83">
        <f>IF(SUM(W331:W331)&gt;0,X331/SUM(W331:W331)*1000000,"N/A")</f>
        <v>42181.229773462786</v>
      </c>
      <c r="Z331" s="183"/>
      <c r="AA331" s="183"/>
      <c r="AB331" s="73" t="s">
        <v>1413</v>
      </c>
      <c r="AC331" s="153"/>
      <c r="AD331" s="330"/>
      <c r="AE331" s="305"/>
      <c r="AF331" s="88"/>
      <c r="AG331" s="182">
        <f>YEAR(V331)</f>
        <v>2025</v>
      </c>
      <c r="AH331" s="86" t="str">
        <f>+IF(AG331=$AH$22,MONTH(V331),"")</f>
        <v/>
      </c>
      <c r="AI331" s="86">
        <f>+IF(AG331=$AI$22,MONTH(V331),"")</f>
        <v>8</v>
      </c>
      <c r="AJ331" s="86" t="str">
        <f>+IF(AG331=$AJ$22,MONTH(V331),"")</f>
        <v/>
      </c>
      <c r="AK331" s="86" t="str">
        <f>+IF(AG331=$AK$22,MONTH(V331),"")</f>
        <v/>
      </c>
      <c r="AL331" s="86"/>
      <c r="AM331" s="89"/>
      <c r="AN331" s="89"/>
      <c r="AO331" s="89"/>
      <c r="AP331" s="89"/>
      <c r="AQ331" s="89"/>
      <c r="AR331" s="89"/>
      <c r="AS331" s="89"/>
      <c r="AT331" s="89"/>
      <c r="AU331" s="89"/>
      <c r="AV331" s="89"/>
      <c r="AW331" s="86" t="str">
        <f>+IF($AG331=AW$22,MONTH($D331),"")</f>
        <v/>
      </c>
      <c r="AX331" s="86" t="str">
        <f>+IF($AG331=AX$22,MONTH($D331),"")</f>
        <v/>
      </c>
      <c r="AY331" s="89"/>
      <c r="AZ331" s="89"/>
      <c r="BA331" s="89"/>
      <c r="BB331" s="89"/>
      <c r="BC331" s="89"/>
      <c r="BD331" s="89"/>
      <c r="BE331" s="89"/>
      <c r="BF331" s="89"/>
      <c r="BG331" s="89"/>
      <c r="BH331" s="89"/>
      <c r="BI331" s="89"/>
      <c r="BJ331" s="89"/>
      <c r="BK331" s="89"/>
      <c r="BL331" s="89"/>
      <c r="BM331" s="89"/>
      <c r="BN331" s="89"/>
      <c r="BO331" s="89"/>
      <c r="BP331" s="89"/>
    </row>
    <row r="332" spans="1:68" s="89" customFormat="1" ht="45.75" hidden="1" customHeight="1">
      <c r="A332" s="204">
        <f>+IFERROR(VALUE(MID(AB332,4,4)),"")</f>
        <v>357</v>
      </c>
      <c r="B332" s="204">
        <f>VALUE(RIGHT(C332,LEN(C332)-2))</f>
        <v>2390</v>
      </c>
      <c r="C332" s="74" t="s">
        <v>1414</v>
      </c>
      <c r="D332" s="75">
        <v>45791</v>
      </c>
      <c r="E332" s="70" t="s">
        <v>262</v>
      </c>
      <c r="F332" s="70" t="s">
        <v>270</v>
      </c>
      <c r="G332" s="68" t="s">
        <v>1415</v>
      </c>
      <c r="H332" s="307" t="s">
        <v>494</v>
      </c>
      <c r="I332" s="69" t="s">
        <v>1416</v>
      </c>
      <c r="J332" s="69"/>
      <c r="K332" s="68" t="s">
        <v>13</v>
      </c>
      <c r="L332" s="68" t="s">
        <v>120</v>
      </c>
      <c r="M332" s="68" t="s">
        <v>141</v>
      </c>
      <c r="N332" s="69" t="e" vm="1">
        <v>#VALUE!</v>
      </c>
      <c r="O332" s="84">
        <v>45807</v>
      </c>
      <c r="P332" s="72" t="s">
        <v>402</v>
      </c>
      <c r="Q332" s="72" t="s">
        <v>220</v>
      </c>
      <c r="R332" s="162"/>
      <c r="S332" s="146"/>
      <c r="T332" s="68" t="s">
        <v>3</v>
      </c>
      <c r="U332" s="87"/>
      <c r="V332" s="80">
        <v>45693</v>
      </c>
      <c r="W332" s="73">
        <v>143</v>
      </c>
      <c r="X332" s="73">
        <v>5.851</v>
      </c>
      <c r="Y332" s="169">
        <f>IF(SUM(W332:W332)&gt;0,X332/SUM(W332:W332)*1000000,"N/A")</f>
        <v>40916.083916083917</v>
      </c>
      <c r="Z332" s="80"/>
      <c r="AA332" s="80"/>
      <c r="AB332" s="73" t="s">
        <v>1417</v>
      </c>
      <c r="AC332" s="153"/>
      <c r="AD332" s="330"/>
      <c r="AE332" s="305"/>
      <c r="AF332" s="88"/>
      <c r="AG332" s="182">
        <f>YEAR(V332)</f>
        <v>2025</v>
      </c>
      <c r="AH332" s="86" t="str">
        <f>+IF(AG332=$AH$22,MONTH(V332),"")</f>
        <v/>
      </c>
      <c r="AI332" s="86">
        <f>+IF(AG332=$AI$22,MONTH(V332),"")</f>
        <v>2</v>
      </c>
      <c r="AJ332" s="86" t="str">
        <f>+IF(AG332=$AJ$22,MONTH(V332),"")</f>
        <v/>
      </c>
      <c r="AK332" s="86" t="str">
        <f>+IF(AG332=$AK$22,MONTH(V332),"")</f>
        <v/>
      </c>
      <c r="AL332" s="86" t="str">
        <f>+IF(AG332=$AL$22,MONTH(V332),"")</f>
        <v/>
      </c>
      <c r="AM332" s="86" t="str">
        <f>+IF($AG332=$AM$22,MONTH($D332),"")</f>
        <v/>
      </c>
      <c r="AN332" s="89" t="str">
        <f>+IF($AG332=AN$22,MONTH($D332),"")</f>
        <v/>
      </c>
      <c r="AO332" s="89" t="str">
        <f>+IF($AG332=AO$22,MONTH($D332),"")</f>
        <v/>
      </c>
      <c r="AP332" s="89" t="str">
        <f>+IF($AG332=AP$22,MONTH($D332),"")</f>
        <v/>
      </c>
      <c r="AQ332" s="89" t="str">
        <f>+IF($AG332=AQ$22,MONTH($D332),"")</f>
        <v/>
      </c>
      <c r="AR332" s="89" t="str">
        <f>+IF($AG332=AR$22,MONTH($D332),"")</f>
        <v/>
      </c>
      <c r="AS332" s="89" t="str">
        <f>+IF($AG332=AS$22,MONTH($D332),"")</f>
        <v/>
      </c>
      <c r="AT332" s="89" t="str">
        <f>+IF($AG332=AT$22,MONTH($D332),"")</f>
        <v/>
      </c>
      <c r="AU332" s="89" t="str">
        <f>+IF($AG332=AU$22,MONTH($D332),"")</f>
        <v/>
      </c>
      <c r="AV332" s="89" t="str">
        <f>+IF($AG332=AV$22,MONTH($D332),"")</f>
        <v/>
      </c>
      <c r="AW332" s="86" t="str">
        <f>+IF($AG332=AW$22,MONTH($D332),"")</f>
        <v/>
      </c>
      <c r="AX332" s="86" t="str">
        <f>+IF($AG332=AX$22,MONTH($D332),"")</f>
        <v/>
      </c>
    </row>
    <row r="333" spans="1:68" s="320" customFormat="1" ht="45.75" hidden="1" customHeight="1">
      <c r="A333" s="204" t="str">
        <f>+IFERROR(VALUE(MID(AB333,4,4)),"")</f>
        <v/>
      </c>
      <c r="B333" s="204">
        <f>VALUE(RIGHT(C333,LEN(C333)-2))</f>
        <v>2389</v>
      </c>
      <c r="C333" s="74" t="s">
        <v>1418</v>
      </c>
      <c r="D333" s="75">
        <v>45790</v>
      </c>
      <c r="E333" s="68" t="s">
        <v>215</v>
      </c>
      <c r="F333" s="68" t="s">
        <v>215</v>
      </c>
      <c r="G333" s="68" t="s">
        <v>1419</v>
      </c>
      <c r="H333" s="307" t="s">
        <v>1420</v>
      </c>
      <c r="I333" s="69" t="s">
        <v>1421</v>
      </c>
      <c r="J333" s="69"/>
      <c r="K333" s="68" t="s">
        <v>1172</v>
      </c>
      <c r="L333" s="69" t="s">
        <v>129</v>
      </c>
      <c r="M333" s="71" t="s">
        <v>113</v>
      </c>
      <c r="N333" s="69" t="e" vm="2">
        <v>#VALUE!</v>
      </c>
      <c r="O333" s="84">
        <v>45798</v>
      </c>
      <c r="P333" s="69" t="s">
        <v>219</v>
      </c>
      <c r="Q333" s="69" t="s">
        <v>220</v>
      </c>
      <c r="R333" s="69"/>
      <c r="S333" s="146"/>
      <c r="T333" s="68" t="s">
        <v>165</v>
      </c>
      <c r="U333" s="87"/>
      <c r="V333" s="183">
        <v>45954</v>
      </c>
      <c r="W333" s="73">
        <v>1903</v>
      </c>
      <c r="X333" s="73">
        <v>64.3</v>
      </c>
      <c r="Y333" s="83">
        <f>IF(SUM(W333:W333)&gt;0,X333/SUM(W333:W333)*1000000,"N/A")</f>
        <v>33788.75459800315</v>
      </c>
      <c r="Z333" s="80"/>
      <c r="AA333" s="80"/>
      <c r="AB333" s="73"/>
      <c r="AC333" s="75"/>
      <c r="AD333" s="332"/>
      <c r="AE333" s="68"/>
      <c r="AF333" s="73"/>
      <c r="AG333" s="182">
        <f>YEAR(V333)</f>
        <v>2025</v>
      </c>
      <c r="AH333" s="86" t="str">
        <f>+IF(AG333=$AH$22,MONTH(V333),"")</f>
        <v/>
      </c>
      <c r="AI333" s="86">
        <f>+IF(AG333=$AI$22,MONTH(V333),"")</f>
        <v>10</v>
      </c>
      <c r="AJ333" s="86" t="str">
        <f>+IF(AG333=$AJ$22,MONTH(V333),"")</f>
        <v/>
      </c>
      <c r="AK333" s="86" t="str">
        <f>+IF(AG333=$AK$22,MONTH(V333),"")</f>
        <v/>
      </c>
      <c r="AL333" s="86" t="str">
        <f>+IF(AG333=$AL$22,MONTH(V333),"")</f>
        <v/>
      </c>
      <c r="AM333" s="86" t="str">
        <f>+IF($AG333=$AM$22,MONTH($D333),"")</f>
        <v/>
      </c>
      <c r="AN333" s="89" t="str">
        <f>+IF($AG333=AN$22,MONTH($D333),"")</f>
        <v/>
      </c>
      <c r="AO333" s="184" t="str">
        <f>+IF($AG333=AO$22,MONTH($D333),"")</f>
        <v/>
      </c>
      <c r="AP333" s="184" t="str">
        <f>+IF($AG333=AP$22,MONTH($D333),"")</f>
        <v/>
      </c>
      <c r="AQ333" s="184" t="str">
        <f>+IF($AG333=AQ$22,MONTH($D333),"")</f>
        <v/>
      </c>
      <c r="AR333" s="184" t="str">
        <f>+IF($AG333=AR$22,MONTH($D333),"")</f>
        <v/>
      </c>
      <c r="AS333" s="184" t="str">
        <f>+IF($AG333=AS$22,MONTH($D333),"")</f>
        <v/>
      </c>
      <c r="AT333" s="86" t="str">
        <f>+IF($AG333=AT$22,MONTH($D333),"")</f>
        <v/>
      </c>
      <c r="AU333" s="86" t="str">
        <f>+IF($AG333=AU$22,MONTH($D333),"")</f>
        <v/>
      </c>
      <c r="AV333" s="86" t="str">
        <f>+IF($AG333=AV$22,MONTH($D333),"")</f>
        <v/>
      </c>
      <c r="AW333" s="86" t="str">
        <f>+IF($AG333=AW$22,MONTH($D333),"")</f>
        <v/>
      </c>
      <c r="AX333" s="86" t="str">
        <f>+IF($AG333=AX$22,MONTH($D333),"")</f>
        <v/>
      </c>
      <c r="AY333" s="89"/>
      <c r="AZ333" s="89"/>
      <c r="BA333" s="89"/>
      <c r="BB333" s="89"/>
      <c r="BC333" s="89"/>
      <c r="BD333" s="89"/>
      <c r="BE333" s="89"/>
      <c r="BF333" s="89"/>
      <c r="BG333" s="89"/>
      <c r="BH333" s="89"/>
      <c r="BI333" s="89"/>
      <c r="BJ333" s="89"/>
      <c r="BK333" s="89"/>
      <c r="BL333" s="89"/>
      <c r="BM333" s="89"/>
      <c r="BN333" s="89"/>
      <c r="BO333" s="89"/>
      <c r="BP333" s="89"/>
    </row>
    <row r="334" spans="1:68" s="381" customFormat="1" ht="45.75" hidden="1" customHeight="1">
      <c r="A334" s="204" t="str">
        <f>+IFERROR(VALUE(MID(AB334,4,4)),"")</f>
        <v/>
      </c>
      <c r="B334" s="204">
        <f>VALUE(RIGHT(C334,LEN(C334)-2))</f>
        <v>2388</v>
      </c>
      <c r="C334" s="74" t="s">
        <v>1422</v>
      </c>
      <c r="D334" s="75">
        <v>45789</v>
      </c>
      <c r="E334" s="68" t="s">
        <v>53</v>
      </c>
      <c r="F334" s="68" t="s">
        <v>642</v>
      </c>
      <c r="G334" s="68" t="s">
        <v>210</v>
      </c>
      <c r="H334" s="304" t="s">
        <v>210</v>
      </c>
      <c r="I334" s="69" t="s">
        <v>1423</v>
      </c>
      <c r="J334" s="69"/>
      <c r="K334" s="68" t="s">
        <v>9</v>
      </c>
      <c r="L334" s="69" t="s">
        <v>123</v>
      </c>
      <c r="M334" s="71" t="s">
        <v>141</v>
      </c>
      <c r="N334" s="69" t="e" vm="1">
        <v>#VALUE!</v>
      </c>
      <c r="O334" s="84">
        <v>45807</v>
      </c>
      <c r="P334" s="69" t="s">
        <v>213</v>
      </c>
      <c r="Q334" s="69" t="s">
        <v>259</v>
      </c>
      <c r="R334" s="69"/>
      <c r="S334" s="146"/>
      <c r="T334" s="68" t="s">
        <v>155</v>
      </c>
      <c r="U334" s="87"/>
      <c r="V334" s="183">
        <v>45782</v>
      </c>
      <c r="W334" s="73"/>
      <c r="X334" s="73"/>
      <c r="Y334" s="83" t="str">
        <f>IF(SUM(W334:W334)&gt;0,X334/SUM(W334:W334)*1000000,"N/A")</f>
        <v>N/A</v>
      </c>
      <c r="Z334" s="80"/>
      <c r="AA334" s="80"/>
      <c r="AB334" s="150"/>
      <c r="AC334" s="75"/>
      <c r="AD334" s="332"/>
      <c r="AE334" s="68"/>
      <c r="AF334" s="73"/>
      <c r="AG334" s="182">
        <f>YEAR(V334)</f>
        <v>2025</v>
      </c>
      <c r="AH334" s="86" t="str">
        <f>+IF(AG334=$AH$22,MONTH(V334),"")</f>
        <v/>
      </c>
      <c r="AI334" s="86">
        <f>+IF(AG334=$AI$22,MONTH(V334),"")</f>
        <v>5</v>
      </c>
      <c r="AJ334" s="86" t="str">
        <f>+IF(AG334=$AJ$22,MONTH(V334),"")</f>
        <v/>
      </c>
      <c r="AK334" s="86" t="str">
        <f>+IF(AG334=$AK$22,MONTH(V334),"")</f>
        <v/>
      </c>
      <c r="AL334" s="86" t="str">
        <f>+IF(AG334=$AL$22,MONTH(V334),"")</f>
        <v/>
      </c>
      <c r="AM334" s="86" t="str">
        <f>+IF($AG334=$AM$22,MONTH($D334),"")</f>
        <v/>
      </c>
      <c r="AN334" s="89" t="str">
        <f>+IF($AG334=AN$22,MONTH($D334),"")</f>
        <v/>
      </c>
      <c r="AO334" s="184" t="str">
        <f>+IF($AG334=AO$22,MONTH($D334),"")</f>
        <v/>
      </c>
      <c r="AP334" s="184" t="str">
        <f>+IF($AG334=AP$22,MONTH($D334),"")</f>
        <v/>
      </c>
      <c r="AQ334" s="184" t="str">
        <f>+IF($AG334=AQ$22,MONTH($D334),"")</f>
        <v/>
      </c>
      <c r="AR334" s="184" t="str">
        <f>+IF($AG334=AR$22,MONTH($D334),"")</f>
        <v/>
      </c>
      <c r="AS334" s="184" t="str">
        <f>+IF($AG334=AS$22,MONTH($D334),"")</f>
        <v/>
      </c>
      <c r="AT334" s="86" t="str">
        <f>+IF($AG334=AT$22,MONTH($D334),"")</f>
        <v/>
      </c>
      <c r="AU334" s="86" t="str">
        <f>+IF($AG334=AU$22,MONTH($D334),"")</f>
        <v/>
      </c>
      <c r="AV334" s="86" t="str">
        <f>+IF($AG334=AV$22,MONTH($D334),"")</f>
        <v/>
      </c>
      <c r="AW334" s="86" t="str">
        <f>+IF($AG334=AW$22,MONTH($D334),"")</f>
        <v/>
      </c>
      <c r="AX334" s="86" t="str">
        <f>+IF($AG334=AX$22,MONTH($D334),"")</f>
        <v/>
      </c>
      <c r="AY334" s="89"/>
      <c r="AZ334" s="89"/>
      <c r="BA334" s="89"/>
      <c r="BB334" s="89"/>
      <c r="BC334" s="89"/>
      <c r="BD334" s="89"/>
      <c r="BE334" s="89"/>
      <c r="BF334" s="89"/>
      <c r="BG334" s="89"/>
      <c r="BH334" s="89"/>
      <c r="BI334" s="89"/>
      <c r="BJ334" s="89"/>
      <c r="BK334" s="89"/>
      <c r="BL334" s="89"/>
      <c r="BM334" s="89"/>
      <c r="BN334" s="89"/>
      <c r="BO334" s="89"/>
      <c r="BP334" s="89"/>
    </row>
    <row r="335" spans="1:68" s="381" customFormat="1" ht="45.75" hidden="1" customHeight="1">
      <c r="A335" s="204" t="str">
        <f>+IFERROR(VALUE(MID(AB335,4,4)),"")</f>
        <v/>
      </c>
      <c r="B335" s="204">
        <f>VALUE(RIGHT(C335,LEN(C335)-2))</f>
        <v>2387</v>
      </c>
      <c r="C335" s="74" t="s">
        <v>1424</v>
      </c>
      <c r="D335" s="75">
        <v>45790</v>
      </c>
      <c r="E335" s="68" t="s">
        <v>215</v>
      </c>
      <c r="F335" s="68" t="s">
        <v>215</v>
      </c>
      <c r="G335" s="68" t="s">
        <v>1425</v>
      </c>
      <c r="H335" s="307" t="s">
        <v>1426</v>
      </c>
      <c r="I335" s="69" t="s">
        <v>1427</v>
      </c>
      <c r="J335" s="69"/>
      <c r="K335" s="68" t="s">
        <v>1172</v>
      </c>
      <c r="L335" s="69" t="s">
        <v>129</v>
      </c>
      <c r="M335" s="71" t="s">
        <v>113</v>
      </c>
      <c r="N335" s="69" t="e" vm="2">
        <v>#VALUE!</v>
      </c>
      <c r="O335" s="84">
        <v>45798</v>
      </c>
      <c r="P335" s="69" t="s">
        <v>219</v>
      </c>
      <c r="Q335" s="69" t="s">
        <v>220</v>
      </c>
      <c r="R335" s="69"/>
      <c r="S335" s="146"/>
      <c r="T335" s="68" t="s">
        <v>165</v>
      </c>
      <c r="U335" s="87"/>
      <c r="V335" s="183">
        <v>45831</v>
      </c>
      <c r="W335" s="73">
        <v>19023</v>
      </c>
      <c r="X335" s="73">
        <v>737.8</v>
      </c>
      <c r="Y335" s="83">
        <f>IF(SUM(W335:W335)&gt;0,X335/SUM(W335:W335)*1000000,"N/A")</f>
        <v>38784.629133154602</v>
      </c>
      <c r="Z335" s="80"/>
      <c r="AA335" s="80"/>
      <c r="AB335" s="73"/>
      <c r="AC335" s="75"/>
      <c r="AD335" s="332"/>
      <c r="AE335" s="68"/>
      <c r="AF335" s="73"/>
      <c r="AG335" s="182">
        <f>YEAR(V335)</f>
        <v>2025</v>
      </c>
      <c r="AH335" s="86" t="str">
        <f>+IF(AG335=$AH$22,MONTH(V335),"")</f>
        <v/>
      </c>
      <c r="AI335" s="86">
        <f>+IF(AG335=$AI$22,MONTH(V335),"")</f>
        <v>6</v>
      </c>
      <c r="AJ335" s="86" t="str">
        <f>+IF(AG335=$AJ$22,MONTH(V335),"")</f>
        <v/>
      </c>
      <c r="AK335" s="86" t="str">
        <f>+IF(AG335=$AK$22,MONTH(V335),"")</f>
        <v/>
      </c>
      <c r="AL335" s="86" t="str">
        <f>+IF(AG335=$AL$22,MONTH(V335),"")</f>
        <v/>
      </c>
      <c r="AM335" s="86" t="str">
        <f>+IF($AG335=$AM$22,MONTH($D335),"")</f>
        <v/>
      </c>
      <c r="AN335" s="89" t="str">
        <f>+IF($AG335=AN$22,MONTH($D335),"")</f>
        <v/>
      </c>
      <c r="AO335" s="184" t="str">
        <f>+IF($AG335=AO$22,MONTH($D335),"")</f>
        <v/>
      </c>
      <c r="AP335" s="184" t="str">
        <f>+IF($AG335=AP$22,MONTH($D335),"")</f>
        <v/>
      </c>
      <c r="AQ335" s="184" t="str">
        <f>+IF($AG335=AQ$22,MONTH($D335),"")</f>
        <v/>
      </c>
      <c r="AR335" s="184" t="str">
        <f>+IF($AG335=AR$22,MONTH($D335),"")</f>
        <v/>
      </c>
      <c r="AS335" s="184" t="str">
        <f>+IF($AG335=AS$22,MONTH($D335),"")</f>
        <v/>
      </c>
      <c r="AT335" s="86" t="str">
        <f>+IF($AG335=AT$22,MONTH($D335),"")</f>
        <v/>
      </c>
      <c r="AU335" s="86" t="str">
        <f>+IF($AG335=AU$22,MONTH($D335),"")</f>
        <v/>
      </c>
      <c r="AV335" s="86" t="str">
        <f>+IF($AG335=AV$22,MONTH($D335),"")</f>
        <v/>
      </c>
      <c r="AW335" s="86" t="str">
        <f>+IF($AG335=AW$22,MONTH($D335),"")</f>
        <v/>
      </c>
      <c r="AX335" s="86" t="str">
        <f>+IF($AG335=AX$22,MONTH($D335),"")</f>
        <v/>
      </c>
      <c r="AY335" s="89"/>
      <c r="AZ335" s="89"/>
      <c r="BA335" s="89"/>
      <c r="BB335" s="89"/>
      <c r="BC335" s="89"/>
      <c r="BD335" s="89"/>
      <c r="BE335" s="89"/>
      <c r="BF335" s="89"/>
      <c r="BG335" s="89"/>
      <c r="BH335" s="89"/>
      <c r="BI335" s="89"/>
      <c r="BJ335" s="89"/>
      <c r="BK335" s="89"/>
      <c r="BL335" s="89"/>
      <c r="BM335" s="89"/>
      <c r="BN335" s="89"/>
      <c r="BO335" s="89"/>
      <c r="BP335" s="89"/>
    </row>
    <row r="336" spans="1:68" s="381" customFormat="1" ht="45.75" hidden="1" customHeight="1">
      <c r="A336" s="204">
        <f>+IFERROR(VALUE(MID(AB336,4,4)),"")</f>
        <v>399</v>
      </c>
      <c r="B336" s="204">
        <f>VALUE(RIGHT(C336,LEN(C336)-2))</f>
        <v>2386</v>
      </c>
      <c r="C336" s="74" t="s">
        <v>1428</v>
      </c>
      <c r="D336" s="75">
        <v>45789</v>
      </c>
      <c r="E336" s="70" t="s">
        <v>473</v>
      </c>
      <c r="F336" s="70" t="s">
        <v>473</v>
      </c>
      <c r="G336" s="68" t="s">
        <v>1040</v>
      </c>
      <c r="H336" s="307" t="s">
        <v>1041</v>
      </c>
      <c r="I336" s="69" t="s">
        <v>1429</v>
      </c>
      <c r="J336" s="69"/>
      <c r="K336" s="68" t="s">
        <v>9</v>
      </c>
      <c r="L336" s="69" t="s">
        <v>129</v>
      </c>
      <c r="M336" s="71" t="s">
        <v>141</v>
      </c>
      <c r="N336" s="69" t="e" vm="1">
        <v>#VALUE!</v>
      </c>
      <c r="O336" s="164">
        <v>45797</v>
      </c>
      <c r="P336" s="72" t="s">
        <v>377</v>
      </c>
      <c r="Q336" s="72" t="s">
        <v>316</v>
      </c>
      <c r="R336" s="162"/>
      <c r="S336" s="146" t="s">
        <v>1430</v>
      </c>
      <c r="T336" s="68" t="s">
        <v>165</v>
      </c>
      <c r="U336" s="87"/>
      <c r="V336" s="183">
        <v>45923</v>
      </c>
      <c r="W336" s="73">
        <v>619</v>
      </c>
      <c r="X336" s="73">
        <v>28.2</v>
      </c>
      <c r="Y336" s="83">
        <f>IF(SUM(W336:W336)&gt;0,X336/SUM(W336:W336)*1000000,"N/A")</f>
        <v>45557.350565428111</v>
      </c>
      <c r="Z336" s="183"/>
      <c r="AA336" s="183"/>
      <c r="AB336" s="73" t="s">
        <v>1431</v>
      </c>
      <c r="AC336" s="153"/>
      <c r="AD336" s="330"/>
      <c r="AE336" s="305"/>
      <c r="AF336" s="88"/>
      <c r="AG336" s="182">
        <f>YEAR(V336)</f>
        <v>2025</v>
      </c>
      <c r="AH336" s="86" t="str">
        <f>+IF(AG336=$AH$22,MONTH(V336),"")</f>
        <v/>
      </c>
      <c r="AI336" s="86">
        <f>+IF(AG336=$AI$22,MONTH(V336),"")</f>
        <v>9</v>
      </c>
      <c r="AJ336" s="86" t="str">
        <f>+IF(AG336=$AJ$22,MONTH(V336),"")</f>
        <v/>
      </c>
      <c r="AK336" s="86" t="str">
        <f>+IF(AG336=$AK$22,MONTH(V336),"")</f>
        <v/>
      </c>
      <c r="AL336" s="86"/>
      <c r="AM336" s="89"/>
      <c r="AN336" s="89"/>
      <c r="AO336" s="89"/>
      <c r="AP336" s="89"/>
      <c r="AQ336" s="89"/>
      <c r="AR336" s="89"/>
      <c r="AS336" s="89"/>
      <c r="AT336" s="89"/>
      <c r="AU336" s="89"/>
      <c r="AV336" s="89"/>
      <c r="AW336" s="86" t="str">
        <f>+IF($AG336=AW$22,MONTH($D336),"")</f>
        <v/>
      </c>
      <c r="AX336" s="86" t="str">
        <f>+IF($AG336=AX$22,MONTH($D336),"")</f>
        <v/>
      </c>
      <c r="AY336" s="89"/>
      <c r="AZ336" s="89"/>
      <c r="BA336" s="89"/>
      <c r="BB336" s="89"/>
      <c r="BC336" s="89"/>
      <c r="BD336" s="89"/>
      <c r="BE336" s="89"/>
      <c r="BF336" s="89"/>
      <c r="BG336" s="89"/>
      <c r="BH336" s="89"/>
      <c r="BI336" s="89"/>
      <c r="BJ336" s="89"/>
      <c r="BK336" s="89"/>
      <c r="BL336" s="89"/>
      <c r="BM336" s="89"/>
      <c r="BN336" s="89"/>
      <c r="BO336" s="89"/>
      <c r="BP336" s="89"/>
    </row>
    <row r="337" spans="1:68" s="381" customFormat="1" ht="45.75" hidden="1" customHeight="1">
      <c r="A337" s="204">
        <f>+IFERROR(VALUE(MID(AB337,4,4)),"")</f>
        <v>437</v>
      </c>
      <c r="B337" s="204">
        <f>VALUE(RIGHT(C337,LEN(C337)-2))</f>
        <v>2385</v>
      </c>
      <c r="C337" s="74" t="s">
        <v>1432</v>
      </c>
      <c r="D337" s="75">
        <v>45789</v>
      </c>
      <c r="E337" s="70" t="s">
        <v>96</v>
      </c>
      <c r="F337" s="70" t="s">
        <v>96</v>
      </c>
      <c r="G337" s="68" t="s">
        <v>1433</v>
      </c>
      <c r="H337" s="307" t="s">
        <v>902</v>
      </c>
      <c r="I337" s="162" t="s">
        <v>1434</v>
      </c>
      <c r="J337" s="162"/>
      <c r="K337" s="68" t="s">
        <v>9</v>
      </c>
      <c r="L337" s="69" t="s">
        <v>120</v>
      </c>
      <c r="M337" s="71" t="s">
        <v>141</v>
      </c>
      <c r="N337" s="69" t="e" vm="1">
        <v>#VALUE!</v>
      </c>
      <c r="O337" s="164">
        <v>45803</v>
      </c>
      <c r="P337" s="72" t="s">
        <v>451</v>
      </c>
      <c r="Q337" s="72" t="s">
        <v>316</v>
      </c>
      <c r="R337" s="162"/>
      <c r="S337" s="146"/>
      <c r="T337" s="68" t="s">
        <v>3</v>
      </c>
      <c r="U337" s="87"/>
      <c r="V337" s="183">
        <v>45807</v>
      </c>
      <c r="W337" s="73">
        <v>2318</v>
      </c>
      <c r="X337" s="73">
        <f>2878*39145/1000000</f>
        <v>112.65931</v>
      </c>
      <c r="Y337" s="83">
        <f>IF(SUM(W337:W337)&gt;0,X337/SUM(W337:W337)*1000000,"N/A")</f>
        <v>48601.945642795516</v>
      </c>
      <c r="Z337" s="183"/>
      <c r="AA337" s="183"/>
      <c r="AB337" s="73" t="s">
        <v>1435</v>
      </c>
      <c r="AC337" s="153"/>
      <c r="AD337" s="330"/>
      <c r="AE337" s="305"/>
      <c r="AF337" s="88"/>
      <c r="AG337" s="182">
        <f>YEAR(V337)</f>
        <v>2025</v>
      </c>
      <c r="AH337" s="86" t="str">
        <f>+IF(AG337=$AH$22,MONTH(V337),"")</f>
        <v/>
      </c>
      <c r="AI337" s="86">
        <f>+IF(AG337=$AI$22,MONTH(V337),"")</f>
        <v>5</v>
      </c>
      <c r="AJ337" s="86" t="str">
        <f>+IF(AG337=$AJ$22,MONTH(V337),"")</f>
        <v/>
      </c>
      <c r="AK337" s="86" t="str">
        <f>+IF(AG337=$AK$22,MONTH(V337),"")</f>
        <v/>
      </c>
      <c r="AL337" s="86"/>
      <c r="AM337" s="89"/>
      <c r="AN337" s="89"/>
      <c r="AO337" s="89"/>
      <c r="AP337" s="89"/>
      <c r="AQ337" s="89"/>
      <c r="AR337" s="89"/>
      <c r="AS337" s="89"/>
      <c r="AT337" s="89"/>
      <c r="AU337" s="89"/>
      <c r="AV337" s="89"/>
      <c r="AW337" s="86" t="str">
        <f>+IF($AG337=AW$22,MONTH($D337),"")</f>
        <v/>
      </c>
      <c r="AX337" s="86" t="str">
        <f>+IF($AG337=AX$22,MONTH($D337),"")</f>
        <v/>
      </c>
      <c r="AY337" s="89"/>
      <c r="AZ337" s="89"/>
      <c r="BA337" s="89"/>
      <c r="BB337" s="89"/>
      <c r="BC337" s="89"/>
      <c r="BD337" s="89"/>
      <c r="BE337" s="89"/>
      <c r="BF337" s="89"/>
      <c r="BG337" s="89"/>
      <c r="BH337" s="89"/>
      <c r="BI337" s="89"/>
      <c r="BJ337" s="89"/>
      <c r="BK337" s="89"/>
      <c r="BL337" s="89"/>
      <c r="BM337" s="89"/>
      <c r="BN337" s="89"/>
      <c r="BO337" s="89"/>
      <c r="BP337" s="89"/>
    </row>
    <row r="338" spans="1:68" s="381" customFormat="1" ht="24" hidden="1" customHeight="1">
      <c r="A338" s="204">
        <f>+IFERROR(VALUE(MID(AB338,4,4)),"")</f>
        <v>453</v>
      </c>
      <c r="B338" s="204">
        <f>VALUE(RIGHT(C338,LEN(C338)-2))</f>
        <v>2384</v>
      </c>
      <c r="C338" s="74" t="s">
        <v>1436</v>
      </c>
      <c r="D338" s="75">
        <v>45789</v>
      </c>
      <c r="E338" s="70" t="s">
        <v>633</v>
      </c>
      <c r="F338" s="70" t="s">
        <v>633</v>
      </c>
      <c r="G338" s="68" t="s">
        <v>1437</v>
      </c>
      <c r="H338" s="307" t="s">
        <v>1438</v>
      </c>
      <c r="I338" s="69" t="s">
        <v>1439</v>
      </c>
      <c r="J338" s="69"/>
      <c r="K338" s="68" t="s">
        <v>13</v>
      </c>
      <c r="L338" s="69" t="s">
        <v>123</v>
      </c>
      <c r="M338" s="71" t="s">
        <v>141</v>
      </c>
      <c r="N338" s="69" t="e" vm="1">
        <v>#VALUE!</v>
      </c>
      <c r="O338" s="84">
        <v>45821</v>
      </c>
      <c r="P338" s="72" t="s">
        <v>451</v>
      </c>
      <c r="Q338" s="72" t="s">
        <v>316</v>
      </c>
      <c r="R338" s="162"/>
      <c r="S338" s="146" t="s">
        <v>1440</v>
      </c>
      <c r="T338" s="68" t="s">
        <v>3</v>
      </c>
      <c r="U338" s="87"/>
      <c r="V338" s="183">
        <v>45896</v>
      </c>
      <c r="W338" s="73">
        <v>15511</v>
      </c>
      <c r="X338" s="73">
        <v>728.4</v>
      </c>
      <c r="Y338" s="83">
        <f>IF(SUM(W338:W338)&gt;0,X338/SUM(W338:W338)*1000000,"N/A")</f>
        <v>46960.221778092964</v>
      </c>
      <c r="Z338" s="183"/>
      <c r="AA338" s="183"/>
      <c r="AB338" s="150" t="s">
        <v>1441</v>
      </c>
      <c r="AC338" s="153"/>
      <c r="AD338" s="330"/>
      <c r="AE338" s="305"/>
      <c r="AF338" s="88"/>
      <c r="AG338" s="182">
        <f>YEAR(V338)</f>
        <v>2025</v>
      </c>
      <c r="AH338" s="86" t="str">
        <f>+IF(AG338=$AH$22,MONTH(V338),"")</f>
        <v/>
      </c>
      <c r="AI338" s="86">
        <f>+IF(AG338=$AI$22,MONTH(V338),"")</f>
        <v>8</v>
      </c>
      <c r="AJ338" s="86" t="str">
        <f>+IF(AG338=$AJ$22,MONTH(V338),"")</f>
        <v/>
      </c>
      <c r="AK338" s="86" t="str">
        <f>+IF(AG338=$AK$22,MONTH(V338),"")</f>
        <v/>
      </c>
      <c r="AL338" s="86"/>
      <c r="AM338" s="89"/>
      <c r="AN338" s="89"/>
      <c r="AO338" s="89"/>
      <c r="AP338" s="89"/>
      <c r="AQ338" s="89"/>
      <c r="AR338" s="89"/>
      <c r="AS338" s="89"/>
      <c r="AT338" s="89"/>
      <c r="AU338" s="89"/>
      <c r="AV338" s="89"/>
      <c r="AW338" s="86" t="str">
        <f>+IF($AG338=AW$22,MONTH($D338),"")</f>
        <v/>
      </c>
      <c r="AX338" s="86" t="str">
        <f>+IF($AG338=AX$22,MONTH($D338),"")</f>
        <v/>
      </c>
      <c r="AY338" s="89"/>
      <c r="AZ338" s="89"/>
      <c r="BA338" s="89"/>
      <c r="BB338" s="89"/>
      <c r="BC338" s="89"/>
      <c r="BD338" s="89"/>
      <c r="BE338" s="89"/>
      <c r="BF338" s="89"/>
      <c r="BG338" s="89"/>
      <c r="BH338" s="89"/>
      <c r="BI338" s="89"/>
      <c r="BJ338" s="89"/>
      <c r="BK338" s="89"/>
      <c r="BL338" s="89"/>
      <c r="BM338" s="89"/>
      <c r="BN338" s="89"/>
      <c r="BO338" s="89"/>
      <c r="BP338" s="89"/>
    </row>
    <row r="339" spans="1:68" s="381" customFormat="1" ht="32.25" hidden="1" customHeight="1">
      <c r="A339" s="204" t="str">
        <f>+IFERROR(VALUE(MID(AB339,4,4)),"")</f>
        <v/>
      </c>
      <c r="B339" s="204">
        <f>VALUE(RIGHT(C339,LEN(C339)-2))</f>
        <v>2383</v>
      </c>
      <c r="C339" s="74" t="s">
        <v>1442</v>
      </c>
      <c r="D339" s="75">
        <v>45789</v>
      </c>
      <c r="E339" s="70" t="s">
        <v>262</v>
      </c>
      <c r="F339" s="70" t="s">
        <v>270</v>
      </c>
      <c r="G339" s="68" t="s">
        <v>1415</v>
      </c>
      <c r="H339" s="307" t="s">
        <v>494</v>
      </c>
      <c r="I339" s="69" t="s">
        <v>1443</v>
      </c>
      <c r="J339" s="69"/>
      <c r="K339" s="68" t="s">
        <v>13</v>
      </c>
      <c r="L339" s="69" t="s">
        <v>120</v>
      </c>
      <c r="M339" s="71" t="s">
        <v>141</v>
      </c>
      <c r="N339" s="69" t="e" vm="1">
        <v>#VALUE!</v>
      </c>
      <c r="O339" s="84">
        <v>45793</v>
      </c>
      <c r="P339" s="72" t="s">
        <v>402</v>
      </c>
      <c r="Q339" s="72" t="s">
        <v>220</v>
      </c>
      <c r="R339" s="162"/>
      <c r="S339" s="146" t="s">
        <v>695</v>
      </c>
      <c r="T339" s="68" t="s">
        <v>165</v>
      </c>
      <c r="U339" s="87"/>
      <c r="V339" s="80">
        <v>45790</v>
      </c>
      <c r="W339" s="73"/>
      <c r="X339" s="73"/>
      <c r="Y339" s="169" t="str">
        <f>IF(SUM(W339:W339)&gt;0,X339/SUM(W339:W339)*1000000,"N/A")</f>
        <v>N/A</v>
      </c>
      <c r="Z339" s="80"/>
      <c r="AA339" s="80"/>
      <c r="AB339" s="73"/>
      <c r="AC339" s="153"/>
      <c r="AD339" s="330"/>
      <c r="AE339" s="305"/>
      <c r="AF339" s="88"/>
      <c r="AG339" s="182">
        <f>YEAR(D339)</f>
        <v>2025</v>
      </c>
      <c r="AH339" s="86" t="str">
        <f>+IF(AG339=$AH$22,MONTH(V339),"")</f>
        <v/>
      </c>
      <c r="AI339" s="86">
        <f>+IF(AG339=$AI$22,MONTH(V339),"")</f>
        <v>5</v>
      </c>
      <c r="AJ339" s="86" t="str">
        <f>+IF(AG339=$AJ$22,MONTH(V339),"")</f>
        <v/>
      </c>
      <c r="AK339" s="86" t="str">
        <f>+IF(AG339=$AK$22,MONTH(V339),"")</f>
        <v/>
      </c>
      <c r="AL339" s="86" t="str">
        <f>+IF(AG339=$AL$22,MONTH(V339),"")</f>
        <v/>
      </c>
      <c r="AM339" s="86" t="str">
        <f>+IF($AG339=$AM$22,MONTH($D339),"")</f>
        <v/>
      </c>
      <c r="AN339" s="89" t="str">
        <f>+IF($AG339=AN$22,MONTH($D339),"")</f>
        <v/>
      </c>
      <c r="AO339" s="89" t="str">
        <f>+IF($AG339=AO$22,MONTH($D339),"")</f>
        <v/>
      </c>
      <c r="AP339" s="89" t="str">
        <f>+IF($AG339=AP$22,MONTH($D339),"")</f>
        <v/>
      </c>
      <c r="AQ339" s="89" t="str">
        <f>+IF($AG339=AQ$22,MONTH($D339),"")</f>
        <v/>
      </c>
      <c r="AR339" s="89" t="str">
        <f>+IF($AG339=AR$22,MONTH($D339),"")</f>
        <v/>
      </c>
      <c r="AS339" s="89" t="str">
        <f>+IF($AG339=AS$22,MONTH($D339),"")</f>
        <v/>
      </c>
      <c r="AT339" s="89" t="str">
        <f>+IF($AG339=AT$22,MONTH($D339),"")</f>
        <v/>
      </c>
      <c r="AU339" s="89" t="str">
        <f>+IF($AG339=AU$22,MONTH($D339),"")</f>
        <v/>
      </c>
      <c r="AV339" s="89" t="str">
        <f>+IF($AG339=AV$22,MONTH($D339),"")</f>
        <v/>
      </c>
      <c r="AW339" s="86" t="str">
        <f>+IF($AG339=AW$22,MONTH($D339),"")</f>
        <v/>
      </c>
      <c r="AX339" s="86" t="str">
        <f>+IF($AG339=AX$22,MONTH($D339),"")</f>
        <v/>
      </c>
      <c r="AY339" s="89"/>
      <c r="AZ339" s="89"/>
      <c r="BA339" s="89"/>
      <c r="BB339" s="89"/>
      <c r="BC339" s="89"/>
      <c r="BD339" s="89"/>
      <c r="BE339" s="89"/>
      <c r="BF339" s="89"/>
      <c r="BG339" s="89"/>
      <c r="BH339" s="89"/>
      <c r="BI339" s="89"/>
      <c r="BJ339" s="89"/>
      <c r="BK339" s="89"/>
      <c r="BL339" s="89"/>
      <c r="BM339" s="89"/>
      <c r="BN339" s="89"/>
      <c r="BO339" s="89"/>
      <c r="BP339" s="89"/>
    </row>
    <row r="340" spans="1:68" s="320" customFormat="1" ht="45.75" hidden="1" customHeight="1">
      <c r="A340" s="204" t="str">
        <f>+IFERROR(VALUE(MID(AB340,4,4)),"")</f>
        <v/>
      </c>
      <c r="B340" s="204">
        <f>VALUE(RIGHT(C340,LEN(C340)-2))</f>
        <v>2382</v>
      </c>
      <c r="C340" s="74" t="s">
        <v>1444</v>
      </c>
      <c r="D340" s="75">
        <v>45789</v>
      </c>
      <c r="E340" s="70" t="s">
        <v>614</v>
      </c>
      <c r="F340" s="70" t="s">
        <v>615</v>
      </c>
      <c r="G340" s="68" t="s">
        <v>616</v>
      </c>
      <c r="H340" s="282" t="s">
        <v>617</v>
      </c>
      <c r="I340" s="69" t="s">
        <v>1445</v>
      </c>
      <c r="J340" s="69"/>
      <c r="K340" s="68" t="s">
        <v>11</v>
      </c>
      <c r="L340" s="69" t="s">
        <v>123</v>
      </c>
      <c r="M340" s="71" t="s">
        <v>113</v>
      </c>
      <c r="N340" s="69" t="e" vm="3">
        <v>#VALUE!</v>
      </c>
      <c r="O340" s="84">
        <v>45814</v>
      </c>
      <c r="P340" s="72" t="s">
        <v>1154</v>
      </c>
      <c r="Q340" s="72" t="s">
        <v>259</v>
      </c>
      <c r="R340" s="162"/>
      <c r="S340" s="146"/>
      <c r="T340" s="68" t="s">
        <v>168</v>
      </c>
      <c r="U340" s="87">
        <v>0.01</v>
      </c>
      <c r="V340" s="80">
        <v>45791</v>
      </c>
      <c r="W340" s="73">
        <v>19409</v>
      </c>
      <c r="X340" s="73">
        <v>1044</v>
      </c>
      <c r="Y340" s="83">
        <f>IF(SUM(W340:W340)&gt;0,X340/SUM(W340:W340)*1000000,"N/A")</f>
        <v>53789.479107630483</v>
      </c>
      <c r="Z340" s="80"/>
      <c r="AA340" s="80"/>
      <c r="AB340" s="73"/>
      <c r="AC340" s="153"/>
      <c r="AD340" s="331"/>
      <c r="AE340" s="57"/>
      <c r="AF340" s="88"/>
      <c r="AG340" s="182">
        <f>YEAR(V340)</f>
        <v>2025</v>
      </c>
      <c r="AH340" s="86" t="str">
        <f>+IF(AG340=$AH$22,MONTH(V340),"")</f>
        <v/>
      </c>
      <c r="AI340" s="86">
        <f>+IF(AG340=$AI$22,MONTH(V340),"")</f>
        <v>5</v>
      </c>
      <c r="AJ340" s="86" t="str">
        <f>+IF(AG340=$AJ$22,MONTH(V340),"")</f>
        <v/>
      </c>
      <c r="AK340" s="86" t="str">
        <f>+IF(AG340=$AK$22,MONTH(V340),"")</f>
        <v/>
      </c>
      <c r="AL340" s="86" t="str">
        <f>+IF(AG340=$AL$22,MONTH(V340),"")</f>
        <v/>
      </c>
      <c r="AM340" s="86" t="str">
        <f>+IF($AG340=$AM$22,MONTH($D340),"")</f>
        <v/>
      </c>
      <c r="AN340" s="89" t="str">
        <f>+IF($AG340=AN$22,MONTH($D340),"")</f>
        <v/>
      </c>
      <c r="AO340" s="89" t="str">
        <f>+IF($AG340=AO$22,MONTH($D340),"")</f>
        <v/>
      </c>
      <c r="AP340" s="89" t="str">
        <f>+IF($AG340=AP$22,MONTH($D340),"")</f>
        <v/>
      </c>
      <c r="AQ340" s="89" t="str">
        <f>+IF($AG340=AQ$22,MONTH($D340),"")</f>
        <v/>
      </c>
      <c r="AR340" s="89" t="str">
        <f>+IF($AG340=AR$22,MONTH($D340),"")</f>
        <v/>
      </c>
      <c r="AS340" s="89" t="str">
        <f>+IF($AG340=AS$22,MONTH($D340),"")</f>
        <v/>
      </c>
      <c r="AT340" s="89" t="str">
        <f>+IF($AG340=AT$22,MONTH($D340),"")</f>
        <v/>
      </c>
      <c r="AU340" s="89" t="str">
        <f>+IF($AG340=AU$22,MONTH($D340),"")</f>
        <v/>
      </c>
      <c r="AV340" s="89" t="str">
        <f>+IF($AG340=AV$22,MONTH($D340),"")</f>
        <v/>
      </c>
      <c r="AW340" s="86" t="str">
        <f>+IF($AG340=AW$22,MONTH($D340),"")</f>
        <v/>
      </c>
      <c r="AX340" s="86" t="str">
        <f>+IF($AG340=AX$22,MONTH($D340),"")</f>
        <v/>
      </c>
      <c r="AY340" s="89"/>
      <c r="AZ340" s="89"/>
      <c r="BA340" s="89"/>
      <c r="BB340" s="89"/>
      <c r="BC340" s="89"/>
      <c r="BD340" s="89"/>
      <c r="BE340" s="89"/>
      <c r="BF340" s="89"/>
      <c r="BG340" s="89"/>
      <c r="BH340" s="89"/>
      <c r="BI340" s="89"/>
      <c r="BJ340" s="89"/>
      <c r="BK340" s="89"/>
      <c r="BL340" s="89"/>
      <c r="BM340" s="89"/>
      <c r="BN340" s="89"/>
      <c r="BO340" s="89"/>
      <c r="BP340" s="89"/>
    </row>
    <row r="341" spans="1:68" s="56" customFormat="1" ht="36" hidden="1" customHeight="1">
      <c r="A341" s="204" t="str">
        <f>+IFERROR(VALUE(MID(AB341,4,4)),"")</f>
        <v/>
      </c>
      <c r="B341" s="204">
        <f>VALUE(RIGHT(C341,LEN(C341)-2))</f>
        <v>2381</v>
      </c>
      <c r="C341" s="74" t="s">
        <v>1446</v>
      </c>
      <c r="D341" s="75">
        <v>45783</v>
      </c>
      <c r="E341" s="68" t="s">
        <v>53</v>
      </c>
      <c r="F341" s="68" t="s">
        <v>1279</v>
      </c>
      <c r="G341" s="68" t="s">
        <v>210</v>
      </c>
      <c r="H341" s="304" t="s">
        <v>210</v>
      </c>
      <c r="I341" s="69" t="s">
        <v>1447</v>
      </c>
      <c r="J341" s="69"/>
      <c r="K341" s="68" t="s">
        <v>12</v>
      </c>
      <c r="L341" s="69" t="s">
        <v>123</v>
      </c>
      <c r="M341" s="71" t="s">
        <v>141</v>
      </c>
      <c r="N341" s="69" t="e" vm="1">
        <v>#VALUE!</v>
      </c>
      <c r="O341" s="84">
        <v>45807</v>
      </c>
      <c r="P341" s="69" t="s">
        <v>213</v>
      </c>
      <c r="Q341" s="69" t="s">
        <v>259</v>
      </c>
      <c r="R341" s="69"/>
      <c r="S341" s="146"/>
      <c r="T341" s="68" t="s">
        <v>155</v>
      </c>
      <c r="U341" s="87"/>
      <c r="V341" s="183">
        <v>45769</v>
      </c>
      <c r="W341" s="73"/>
      <c r="X341" s="73"/>
      <c r="Y341" s="83" t="str">
        <f>IF(SUM(W341:W341)&gt;0,X341/SUM(W341:W341)*1000000,"N/A")</f>
        <v>N/A</v>
      </c>
      <c r="Z341" s="80"/>
      <c r="AA341" s="80"/>
      <c r="AB341" s="150"/>
      <c r="AC341" s="75"/>
      <c r="AD341" s="332"/>
      <c r="AE341" s="68"/>
      <c r="AF341" s="73"/>
      <c r="AG341" s="182">
        <f>YEAR(V341)</f>
        <v>2025</v>
      </c>
      <c r="AH341" s="86" t="str">
        <f>+IF(AG341=$AH$22,MONTH(V341),"")</f>
        <v/>
      </c>
      <c r="AI341" s="86">
        <f>+IF(AG341=$AI$22,MONTH(V341),"")</f>
        <v>4</v>
      </c>
      <c r="AJ341" s="86" t="str">
        <f>+IF(AG341=$AJ$22,MONTH(V341),"")</f>
        <v/>
      </c>
      <c r="AK341" s="86" t="str">
        <f>+IF(AG341=$AK$22,MONTH(V341),"")</f>
        <v/>
      </c>
      <c r="AL341" s="86" t="str">
        <f>+IF(AG341=$AL$22,MONTH(V341),"")</f>
        <v/>
      </c>
      <c r="AM341" s="86" t="str">
        <f>+IF($AG341=$AM$22,MONTH($D341),"")</f>
        <v/>
      </c>
      <c r="AN341" s="89" t="str">
        <f>+IF($AG341=AN$22,MONTH($D341),"")</f>
        <v/>
      </c>
      <c r="AO341" s="184" t="str">
        <f>+IF($AG341=AO$22,MONTH($D341),"")</f>
        <v/>
      </c>
      <c r="AP341" s="184" t="str">
        <f>+IF($AG341=AP$22,MONTH($D341),"")</f>
        <v/>
      </c>
      <c r="AQ341" s="184" t="str">
        <f>+IF($AG341=AQ$22,MONTH($D341),"")</f>
        <v/>
      </c>
      <c r="AR341" s="184" t="str">
        <f>+IF($AG341=AR$22,MONTH($D341),"")</f>
        <v/>
      </c>
      <c r="AS341" s="184" t="str">
        <f>+IF($AG341=AS$22,MONTH($D341),"")</f>
        <v/>
      </c>
      <c r="AT341" s="86" t="str">
        <f>+IF($AG341=AT$22,MONTH($D341),"")</f>
        <v/>
      </c>
      <c r="AU341" s="86" t="str">
        <f>+IF($AG341=AU$22,MONTH($D341),"")</f>
        <v/>
      </c>
      <c r="AV341" s="86" t="str">
        <f>+IF($AG341=AV$22,MONTH($D341),"")</f>
        <v/>
      </c>
      <c r="AW341" s="86" t="str">
        <f>+IF($AG341=AW$22,MONTH($D341),"")</f>
        <v/>
      </c>
      <c r="AX341" s="86" t="str">
        <f>+IF($AG341=AX$22,MONTH($D341),"")</f>
        <v/>
      </c>
      <c r="AY341" s="89"/>
      <c r="AZ341" s="89"/>
      <c r="BA341" s="89"/>
      <c r="BB341" s="89"/>
      <c r="BC341" s="89"/>
      <c r="BD341" s="89"/>
      <c r="BE341" s="89"/>
      <c r="BF341" s="89"/>
      <c r="BG341" s="89"/>
      <c r="BH341" s="89"/>
      <c r="BI341" s="89"/>
      <c r="BJ341" s="89"/>
      <c r="BK341" s="89"/>
      <c r="BL341" s="89"/>
      <c r="BM341" s="89"/>
      <c r="BN341" s="89"/>
      <c r="BO341" s="89"/>
      <c r="BP341" s="89"/>
    </row>
    <row r="342" spans="1:68" s="381" customFormat="1" ht="45.75" hidden="1" customHeight="1">
      <c r="A342" s="204" t="str">
        <f>+IFERROR(VALUE(MID(AB342,4,4)),"")</f>
        <v/>
      </c>
      <c r="B342" s="204">
        <f>VALUE(RIGHT(C342,LEN(C342)-2))</f>
        <v>2380</v>
      </c>
      <c r="C342" s="74" t="s">
        <v>1448</v>
      </c>
      <c r="D342" s="75">
        <v>45772</v>
      </c>
      <c r="E342" s="68" t="s">
        <v>215</v>
      </c>
      <c r="F342" s="68" t="s">
        <v>215</v>
      </c>
      <c r="G342" s="68" t="s">
        <v>1425</v>
      </c>
      <c r="H342" s="307" t="s">
        <v>1426</v>
      </c>
      <c r="I342" s="69" t="s">
        <v>1449</v>
      </c>
      <c r="J342" s="69"/>
      <c r="K342" s="68" t="s">
        <v>212</v>
      </c>
      <c r="L342" s="69" t="s">
        <v>123</v>
      </c>
      <c r="M342" s="71" t="s">
        <v>113</v>
      </c>
      <c r="N342" s="69" t="e" vm="2">
        <v>#VALUE!</v>
      </c>
      <c r="O342" s="84">
        <v>45784</v>
      </c>
      <c r="P342" s="69" t="s">
        <v>483</v>
      </c>
      <c r="Q342" s="69" t="s">
        <v>405</v>
      </c>
      <c r="R342" s="69"/>
      <c r="S342" s="146"/>
      <c r="T342" s="68" t="s">
        <v>3</v>
      </c>
      <c r="U342" s="87"/>
      <c r="V342" s="183">
        <v>45856</v>
      </c>
      <c r="W342" s="73">
        <v>8703</v>
      </c>
      <c r="X342" s="73">
        <v>375.8</v>
      </c>
      <c r="Y342" s="83">
        <f>IF(SUM(W342:W342)&gt;0,X342/SUM(W342:W342)*1000000,"N/A")</f>
        <v>43180.512466965418</v>
      </c>
      <c r="Z342" s="80"/>
      <c r="AA342" s="80"/>
      <c r="AB342" s="73"/>
      <c r="AC342" s="75"/>
      <c r="AD342" s="332"/>
      <c r="AE342" s="68"/>
      <c r="AF342" s="73"/>
      <c r="AG342" s="182">
        <f>YEAR(V342)</f>
        <v>2025</v>
      </c>
      <c r="AH342" s="86" t="str">
        <f>+IF(AG342=$AH$22,MONTH(V342),"")</f>
        <v/>
      </c>
      <c r="AI342" s="86">
        <f>+IF(AG342=$AI$22,MONTH(V342),"")</f>
        <v>7</v>
      </c>
      <c r="AJ342" s="86" t="str">
        <f>+IF(AG342=$AJ$22,MONTH(V342),"")</f>
        <v/>
      </c>
      <c r="AK342" s="86" t="str">
        <f>+IF(AG342=$AK$22,MONTH(V342),"")</f>
        <v/>
      </c>
      <c r="AL342" s="86" t="str">
        <f>+IF(AG342=$AL$22,MONTH(V342),"")</f>
        <v/>
      </c>
      <c r="AM342" s="86" t="str">
        <f>+IF($AG342=$AM$22,MONTH($D342),"")</f>
        <v/>
      </c>
      <c r="AN342" s="89" t="str">
        <f>+IF($AG342=AN$22,MONTH($D342),"")</f>
        <v/>
      </c>
      <c r="AO342" s="184" t="str">
        <f>+IF($AG342=AO$22,MONTH($D342),"")</f>
        <v/>
      </c>
      <c r="AP342" s="184" t="str">
        <f>+IF($AG342=AP$22,MONTH($D342),"")</f>
        <v/>
      </c>
      <c r="AQ342" s="184" t="str">
        <f>+IF($AG342=AQ$22,MONTH($D342),"")</f>
        <v/>
      </c>
      <c r="AR342" s="184" t="str">
        <f>+IF($AG342=AR$22,MONTH($D342),"")</f>
        <v/>
      </c>
      <c r="AS342" s="184" t="str">
        <f>+IF($AG342=AS$22,MONTH($D342),"")</f>
        <v/>
      </c>
      <c r="AT342" s="86" t="str">
        <f>+IF($AG342=AT$22,MONTH($D342),"")</f>
        <v/>
      </c>
      <c r="AU342" s="86" t="str">
        <f>+IF($AG342=AU$22,MONTH($D342),"")</f>
        <v/>
      </c>
      <c r="AV342" s="86" t="str">
        <f>+IF($AG342=AV$22,MONTH($D342),"")</f>
        <v/>
      </c>
      <c r="AW342" s="86" t="str">
        <f>+IF($AG342=AW$22,MONTH($D342),"")</f>
        <v/>
      </c>
      <c r="AX342" s="86" t="str">
        <f>+IF($AG342=AX$22,MONTH($D342),"")</f>
        <v/>
      </c>
      <c r="AY342" s="89"/>
      <c r="AZ342" s="89"/>
      <c r="BA342" s="89"/>
      <c r="BB342" s="89"/>
      <c r="BC342" s="89"/>
      <c r="BD342" s="89"/>
      <c r="BE342" s="89"/>
      <c r="BF342" s="89"/>
      <c r="BG342" s="89"/>
      <c r="BH342" s="89"/>
      <c r="BI342" s="89"/>
      <c r="BJ342" s="89"/>
      <c r="BK342" s="89"/>
      <c r="BL342" s="89"/>
      <c r="BM342" s="89"/>
      <c r="BN342" s="89"/>
      <c r="BO342" s="89"/>
      <c r="BP342" s="89"/>
    </row>
    <row r="343" spans="1:68" s="378" customFormat="1" ht="45.75" hidden="1" customHeight="1">
      <c r="A343" s="204" t="str">
        <f>+IFERROR(VALUE(MID(AB343,4,4)),"")</f>
        <v/>
      </c>
      <c r="B343" s="204">
        <f>VALUE(RIGHT(C343,LEN(C343)-2))</f>
        <v>2379</v>
      </c>
      <c r="C343" s="74" t="s">
        <v>1450</v>
      </c>
      <c r="D343" s="75">
        <v>45783</v>
      </c>
      <c r="E343" s="68" t="s">
        <v>53</v>
      </c>
      <c r="F343" s="68" t="s">
        <v>642</v>
      </c>
      <c r="G343" s="68" t="s">
        <v>210</v>
      </c>
      <c r="H343" s="304" t="s">
        <v>210</v>
      </c>
      <c r="I343" s="69" t="s">
        <v>1451</v>
      </c>
      <c r="J343" s="69"/>
      <c r="K343" s="68" t="s">
        <v>9</v>
      </c>
      <c r="L343" s="69" t="s">
        <v>123</v>
      </c>
      <c r="M343" s="71" t="s">
        <v>141</v>
      </c>
      <c r="N343" s="69" t="e" vm="1">
        <v>#VALUE!</v>
      </c>
      <c r="O343" s="84">
        <v>45797</v>
      </c>
      <c r="P343" s="69" t="s">
        <v>213</v>
      </c>
      <c r="Q343" s="69" t="s">
        <v>259</v>
      </c>
      <c r="R343" s="69"/>
      <c r="S343" s="146"/>
      <c r="T343" s="68" t="s">
        <v>155</v>
      </c>
      <c r="U343" s="87"/>
      <c r="V343" s="183">
        <v>45769</v>
      </c>
      <c r="W343" s="73"/>
      <c r="X343" s="73"/>
      <c r="Y343" s="83" t="str">
        <f>IF(SUM(W343:W343)&gt;0,X343/SUM(W343:W343)*1000000,"N/A")</f>
        <v>N/A</v>
      </c>
      <c r="Z343" s="80"/>
      <c r="AA343" s="80"/>
      <c r="AB343" s="150"/>
      <c r="AC343" s="75"/>
      <c r="AD343" s="332"/>
      <c r="AE343" s="68"/>
      <c r="AF343" s="73"/>
      <c r="AG343" s="182">
        <f>YEAR(V343)</f>
        <v>2025</v>
      </c>
      <c r="AH343" s="86" t="str">
        <f>+IF(AG343=$AH$22,MONTH(V343),"")</f>
        <v/>
      </c>
      <c r="AI343" s="86">
        <f>+IF(AG343=$AI$22,MONTH(V343),"")</f>
        <v>4</v>
      </c>
      <c r="AJ343" s="86" t="str">
        <f>+IF(AG343=$AJ$22,MONTH(V343),"")</f>
        <v/>
      </c>
      <c r="AK343" s="86" t="str">
        <f>+IF(AG343=$AK$22,MONTH(V343),"")</f>
        <v/>
      </c>
      <c r="AL343" s="86" t="str">
        <f>+IF(AG343=$AL$22,MONTH(V343),"")</f>
        <v/>
      </c>
      <c r="AM343" s="86" t="str">
        <f>+IF($AG343=$AM$22,MONTH($D343),"")</f>
        <v/>
      </c>
      <c r="AN343" s="89" t="str">
        <f>+IF($AG343=AN$22,MONTH($D343),"")</f>
        <v/>
      </c>
      <c r="AO343" s="184" t="str">
        <f>+IF($AG343=AO$22,MONTH($D343),"")</f>
        <v/>
      </c>
      <c r="AP343" s="184" t="str">
        <f>+IF($AG343=AP$22,MONTH($D343),"")</f>
        <v/>
      </c>
      <c r="AQ343" s="184" t="str">
        <f>+IF($AG343=AQ$22,MONTH($D343),"")</f>
        <v/>
      </c>
      <c r="AR343" s="184" t="str">
        <f>+IF($AG343=AR$22,MONTH($D343),"")</f>
        <v/>
      </c>
      <c r="AS343" s="184" t="str">
        <f>+IF($AG343=AS$22,MONTH($D343),"")</f>
        <v/>
      </c>
      <c r="AT343" s="86" t="str">
        <f>+IF($AG343=AT$22,MONTH($D343),"")</f>
        <v/>
      </c>
      <c r="AU343" s="86" t="str">
        <f>+IF($AG343=AU$22,MONTH($D343),"")</f>
        <v/>
      </c>
      <c r="AV343" s="86" t="str">
        <f>+IF($AG343=AV$22,MONTH($D343),"")</f>
        <v/>
      </c>
      <c r="AW343" s="86" t="str">
        <f>+IF($AG343=AW$22,MONTH($D343),"")</f>
        <v/>
      </c>
      <c r="AX343" s="86" t="str">
        <f>+IF($AG343=AX$22,MONTH($D343),"")</f>
        <v/>
      </c>
      <c r="AY343" s="89"/>
      <c r="AZ343" s="89"/>
      <c r="BA343" s="89"/>
      <c r="BB343" s="89"/>
      <c r="BC343" s="89"/>
      <c r="BD343" s="89"/>
      <c r="BE343" s="89"/>
      <c r="BF343" s="89"/>
      <c r="BG343" s="89"/>
      <c r="BH343" s="89"/>
      <c r="BI343" s="89"/>
      <c r="BJ343" s="89"/>
      <c r="BK343" s="89"/>
      <c r="BL343" s="89"/>
      <c r="BM343" s="89"/>
      <c r="BN343" s="89"/>
      <c r="BO343" s="89"/>
      <c r="BP343" s="89"/>
    </row>
    <row r="344" spans="1:68" s="381" customFormat="1" ht="45.75" hidden="1" customHeight="1">
      <c r="A344" s="204">
        <f>+IFERROR(VALUE(MID(AB344,4,4)),"")</f>
        <v>436</v>
      </c>
      <c r="B344" s="204">
        <f>VALUE(RIGHT(C344,LEN(C344)-2))</f>
        <v>2378</v>
      </c>
      <c r="C344" s="74" t="s">
        <v>1452</v>
      </c>
      <c r="D344" s="75">
        <v>45769</v>
      </c>
      <c r="E344" s="70" t="s">
        <v>853</v>
      </c>
      <c r="F344" s="70" t="s">
        <v>685</v>
      </c>
      <c r="G344" s="68" t="s">
        <v>1453</v>
      </c>
      <c r="H344" s="282" t="s">
        <v>1390</v>
      </c>
      <c r="I344" s="69" t="s">
        <v>1454</v>
      </c>
      <c r="J344" s="69"/>
      <c r="K344" s="68" t="s">
        <v>9</v>
      </c>
      <c r="L344" s="69" t="s">
        <v>120</v>
      </c>
      <c r="M344" s="71" t="s">
        <v>141</v>
      </c>
      <c r="N344" s="69" t="e" vm="1">
        <v>#VALUE!</v>
      </c>
      <c r="O344" s="84">
        <v>45784</v>
      </c>
      <c r="P344" s="72" t="s">
        <v>258</v>
      </c>
      <c r="Q344" s="72" t="s">
        <v>623</v>
      </c>
      <c r="R344" s="162"/>
      <c r="S344" s="146"/>
      <c r="T344" s="68" t="s">
        <v>3</v>
      </c>
      <c r="U344" s="87"/>
      <c r="V344" s="80">
        <v>45790</v>
      </c>
      <c r="W344" s="73">
        <v>1053</v>
      </c>
      <c r="X344" s="73">
        <v>65.5</v>
      </c>
      <c r="Y344" s="83">
        <f>IF(SUM(W344:W344)&gt;0,X344/SUM(W344:W344)*1000000,"N/A")</f>
        <v>62203.228869895538</v>
      </c>
      <c r="Z344" s="80"/>
      <c r="AA344" s="80"/>
      <c r="AB344" s="73" t="s">
        <v>1455</v>
      </c>
      <c r="AC344" s="153"/>
      <c r="AD344" s="331"/>
      <c r="AE344" s="57"/>
      <c r="AF344" s="88"/>
      <c r="AG344" s="182">
        <f>YEAR(V344)</f>
        <v>2025</v>
      </c>
      <c r="AH344" s="86" t="str">
        <f>+IF(AG344=$AH$22,MONTH(V344),"")</f>
        <v/>
      </c>
      <c r="AI344" s="86">
        <f>+IF(AG344=$AI$22,MONTH(V344),"")</f>
        <v>5</v>
      </c>
      <c r="AJ344" s="86" t="str">
        <f>+IF(AG344=$AJ$22,MONTH(V344),"")</f>
        <v/>
      </c>
      <c r="AK344" s="86" t="str">
        <f>+IF(AG344=$AK$22,MONTH(V344),"")</f>
        <v/>
      </c>
      <c r="AL344" s="86" t="str">
        <f>+IF(AG344=$AL$22,MONTH(V344),"")</f>
        <v/>
      </c>
      <c r="AM344" s="86" t="str">
        <f>+IF($AG344=$AM$22,MONTH($D344),"")</f>
        <v/>
      </c>
      <c r="AN344" s="89" t="str">
        <f>+IF($AG344=AN$22,MONTH($D344),"")</f>
        <v/>
      </c>
      <c r="AO344" s="89" t="str">
        <f>+IF($AG344=AO$22,MONTH($D344),"")</f>
        <v/>
      </c>
      <c r="AP344" s="89" t="str">
        <f>+IF($AG344=AP$22,MONTH($D344),"")</f>
        <v/>
      </c>
      <c r="AQ344" s="89" t="str">
        <f>+IF($AG344=AQ$22,MONTH($D344),"")</f>
        <v/>
      </c>
      <c r="AR344" s="89" t="str">
        <f>+IF($AG344=AR$22,MONTH($D344),"")</f>
        <v/>
      </c>
      <c r="AS344" s="89" t="str">
        <f>+IF($AG344=AS$22,MONTH($D344),"")</f>
        <v/>
      </c>
      <c r="AT344" s="89" t="str">
        <f>+IF($AG344=AT$22,MONTH($D344),"")</f>
        <v/>
      </c>
      <c r="AU344" s="89" t="str">
        <f>+IF($AG344=AU$22,MONTH($D344),"")</f>
        <v/>
      </c>
      <c r="AV344" s="89" t="str">
        <f>+IF($AG344=AV$22,MONTH($D344),"")</f>
        <v/>
      </c>
      <c r="AW344" s="86" t="str">
        <f>+IF($AG344=AW$22,MONTH($D344),"")</f>
        <v/>
      </c>
      <c r="AX344" s="86" t="str">
        <f>+IF($AG344=AX$22,MONTH($D344),"")</f>
        <v/>
      </c>
      <c r="AY344" s="89"/>
      <c r="AZ344" s="89"/>
      <c r="BA344" s="89"/>
      <c r="BB344" s="89"/>
      <c r="BC344" s="89"/>
      <c r="BD344" s="89"/>
      <c r="BE344" s="89"/>
      <c r="BF344" s="89"/>
      <c r="BG344" s="89"/>
      <c r="BH344" s="89"/>
      <c r="BI344" s="89"/>
      <c r="BJ344" s="89"/>
      <c r="BK344" s="89"/>
      <c r="BL344" s="89"/>
      <c r="BM344" s="89"/>
      <c r="BN344" s="89"/>
      <c r="BO344" s="89"/>
      <c r="BP344" s="89"/>
    </row>
    <row r="345" spans="1:68" s="56" customFormat="1" ht="36" hidden="1" customHeight="1">
      <c r="A345" s="204" t="str">
        <f>+IFERROR(VALUE(MID(AB345,4,4)),"")</f>
        <v/>
      </c>
      <c r="B345" s="204">
        <f>VALUE(RIGHT(C345,LEN(C345)-2))</f>
        <v>2377</v>
      </c>
      <c r="C345" s="74" t="s">
        <v>1456</v>
      </c>
      <c r="D345" s="75">
        <v>45779</v>
      </c>
      <c r="E345" s="70" t="s">
        <v>332</v>
      </c>
      <c r="F345" s="70" t="s">
        <v>332</v>
      </c>
      <c r="G345" s="68" t="s">
        <v>333</v>
      </c>
      <c r="H345" s="282" t="s">
        <v>334</v>
      </c>
      <c r="I345" s="69" t="s">
        <v>1457</v>
      </c>
      <c r="J345" s="69"/>
      <c r="K345" s="68" t="s">
        <v>9</v>
      </c>
      <c r="L345" s="69" t="s">
        <v>129</v>
      </c>
      <c r="M345" s="71" t="s">
        <v>141</v>
      </c>
      <c r="N345" s="69" t="e" vm="1">
        <v>#VALUE!</v>
      </c>
      <c r="O345" s="84">
        <v>45797</v>
      </c>
      <c r="P345" s="72" t="s">
        <v>377</v>
      </c>
      <c r="Q345" s="72" t="s">
        <v>694</v>
      </c>
      <c r="R345" s="162"/>
      <c r="S345" s="146"/>
      <c r="T345" s="68" t="s">
        <v>165</v>
      </c>
      <c r="U345" s="87"/>
      <c r="V345" s="80">
        <v>45785</v>
      </c>
      <c r="W345" s="73">
        <v>1655</v>
      </c>
      <c r="X345" s="73">
        <f>1746*39120/1000000</f>
        <v>68.303520000000006</v>
      </c>
      <c r="Y345" s="83">
        <f>IF(SUM(W345:W345)&gt;0,X345/SUM(W345:W345)*1000000,"N/A")</f>
        <v>41271.009063444115</v>
      </c>
      <c r="Z345" s="80"/>
      <c r="AA345" s="80"/>
      <c r="AB345" s="73"/>
      <c r="AC345" s="153"/>
      <c r="AD345" s="331"/>
      <c r="AE345" s="57"/>
      <c r="AF345" s="88"/>
      <c r="AG345" s="182">
        <f>YEAR(V345)</f>
        <v>2025</v>
      </c>
      <c r="AH345" s="86" t="str">
        <f>+IF(AG345=$AH$22,MONTH(V345),"")</f>
        <v/>
      </c>
      <c r="AI345" s="86">
        <f>+IF(AG345=$AI$22,MONTH(V345),"")</f>
        <v>5</v>
      </c>
      <c r="AJ345" s="86" t="str">
        <f>+IF(AG345=$AJ$22,MONTH(V345),"")</f>
        <v/>
      </c>
      <c r="AK345" s="86" t="str">
        <f>+IF(AG345=$AK$22,MONTH(V345),"")</f>
        <v/>
      </c>
      <c r="AL345" s="86" t="str">
        <f>+IF(AG345=$AL$22,MONTH(V345),"")</f>
        <v/>
      </c>
      <c r="AM345" s="86" t="str">
        <f>+IF($AG345=$AM$22,MONTH($D345),"")</f>
        <v/>
      </c>
      <c r="AN345" s="89" t="str">
        <f>+IF($AG345=AN$22,MONTH($D345),"")</f>
        <v/>
      </c>
      <c r="AO345" s="89" t="str">
        <f>+IF($AG345=AO$22,MONTH($D345),"")</f>
        <v/>
      </c>
      <c r="AP345" s="89" t="str">
        <f>+IF($AG345=AP$22,MONTH($D345),"")</f>
        <v/>
      </c>
      <c r="AQ345" s="89" t="str">
        <f>+IF($AG345=AQ$22,MONTH($D345),"")</f>
        <v/>
      </c>
      <c r="AR345" s="89" t="str">
        <f>+IF($AG345=AR$22,MONTH($D345),"")</f>
        <v/>
      </c>
      <c r="AS345" s="89" t="str">
        <f>+IF($AG345=AS$22,MONTH($D345),"")</f>
        <v/>
      </c>
      <c r="AT345" s="89" t="str">
        <f>+IF($AG345=AT$22,MONTH($D345),"")</f>
        <v/>
      </c>
      <c r="AU345" s="89" t="str">
        <f>+IF($AG345=AU$22,MONTH($D345),"")</f>
        <v/>
      </c>
      <c r="AV345" s="89" t="str">
        <f>+IF($AG345=AV$22,MONTH($D345),"")</f>
        <v/>
      </c>
      <c r="AW345" s="86" t="str">
        <f>+IF($AG345=AW$22,MONTH($D345),"")</f>
        <v/>
      </c>
      <c r="AX345" s="86" t="str">
        <f>+IF($AG345=AX$22,MONTH($D345),"")</f>
        <v/>
      </c>
      <c r="AY345" s="89"/>
      <c r="AZ345" s="89"/>
      <c r="BA345" s="89"/>
      <c r="BB345" s="89"/>
      <c r="BC345" s="89"/>
      <c r="BD345" s="89"/>
      <c r="BE345" s="89"/>
      <c r="BF345" s="89"/>
      <c r="BG345" s="89"/>
      <c r="BH345" s="89"/>
      <c r="BI345" s="89"/>
      <c r="BJ345" s="89"/>
      <c r="BK345" s="89"/>
      <c r="BL345" s="89"/>
      <c r="BM345" s="89"/>
      <c r="BN345" s="89"/>
      <c r="BO345" s="89"/>
      <c r="BP345" s="89"/>
    </row>
    <row r="346" spans="1:68" s="56" customFormat="1" ht="46.5" hidden="1" customHeight="1">
      <c r="A346" s="204" t="str">
        <f>+IFERROR(VALUE(MID(AB346,4,4)),"")</f>
        <v/>
      </c>
      <c r="B346" s="204">
        <f>VALUE(RIGHT(C346,LEN(C346)-2))</f>
        <v>2376</v>
      </c>
      <c r="C346" s="74" t="s">
        <v>1458</v>
      </c>
      <c r="D346" s="75">
        <v>45779</v>
      </c>
      <c r="E346" s="70" t="s">
        <v>394</v>
      </c>
      <c r="F346" s="70" t="s">
        <v>65</v>
      </c>
      <c r="G346" s="68" t="s">
        <v>1232</v>
      </c>
      <c r="H346" s="282" t="s">
        <v>1233</v>
      </c>
      <c r="I346" s="69" t="s">
        <v>1459</v>
      </c>
      <c r="J346" s="69"/>
      <c r="K346" s="68" t="s">
        <v>9</v>
      </c>
      <c r="L346" s="69" t="s">
        <v>120</v>
      </c>
      <c r="M346" s="71" t="s">
        <v>141</v>
      </c>
      <c r="N346" s="69" t="e" vm="1">
        <v>#VALUE!</v>
      </c>
      <c r="O346" s="84">
        <v>45786</v>
      </c>
      <c r="P346" s="72" t="s">
        <v>402</v>
      </c>
      <c r="Q346" s="72" t="s">
        <v>259</v>
      </c>
      <c r="R346" s="162"/>
      <c r="S346" s="146"/>
      <c r="T346" s="68" t="s">
        <v>165</v>
      </c>
      <c r="U346" s="87"/>
      <c r="V346" s="80">
        <v>45786</v>
      </c>
      <c r="W346" s="73">
        <v>475</v>
      </c>
      <c r="X346" s="73">
        <v>23</v>
      </c>
      <c r="Y346" s="83">
        <f>IF(SUM(W346:W346)&gt;0,X346/SUM(W346:W346)*1000000,"N/A")</f>
        <v>48421.052631578947</v>
      </c>
      <c r="Z346" s="80"/>
      <c r="AA346" s="80"/>
      <c r="AB346" s="73"/>
      <c r="AC346" s="153"/>
      <c r="AD346" s="331"/>
      <c r="AE346" s="57"/>
      <c r="AF346" s="88"/>
      <c r="AG346" s="182">
        <f>YEAR(V346)</f>
        <v>2025</v>
      </c>
      <c r="AH346" s="86" t="str">
        <f>+IF(AG346=$AH$22,MONTH(V346),"")</f>
        <v/>
      </c>
      <c r="AI346" s="86">
        <f>+IF(AG346=$AI$22,MONTH(V346),"")</f>
        <v>5</v>
      </c>
      <c r="AJ346" s="86" t="str">
        <f>+IF(AG346=$AJ$22,MONTH(V346),"")</f>
        <v/>
      </c>
      <c r="AK346" s="86" t="str">
        <f>+IF(AG346=$AK$22,MONTH(V346),"")</f>
        <v/>
      </c>
      <c r="AL346" s="86" t="str">
        <f>+IF(AG346=$AL$22,MONTH(V346),"")</f>
        <v/>
      </c>
      <c r="AM346" s="86" t="str">
        <f>+IF($AG346=$AM$22,MONTH($D346),"")</f>
        <v/>
      </c>
      <c r="AN346" s="89" t="str">
        <f>+IF($AG346=AN$22,MONTH($D346),"")</f>
        <v/>
      </c>
      <c r="AO346" s="89" t="str">
        <f>+IF($AG346=AO$22,MONTH($D346),"")</f>
        <v/>
      </c>
      <c r="AP346" s="89" t="str">
        <f>+IF($AG346=AP$22,MONTH($D346),"")</f>
        <v/>
      </c>
      <c r="AQ346" s="89" t="str">
        <f>+IF($AG346=AQ$22,MONTH($D346),"")</f>
        <v/>
      </c>
      <c r="AR346" s="89" t="str">
        <f>+IF($AG346=AR$22,MONTH($D346),"")</f>
        <v/>
      </c>
      <c r="AS346" s="89" t="str">
        <f>+IF($AG346=AS$22,MONTH($D346),"")</f>
        <v/>
      </c>
      <c r="AT346" s="89" t="str">
        <f>+IF($AG346=AT$22,MONTH($D346),"")</f>
        <v/>
      </c>
      <c r="AU346" s="89" t="str">
        <f>+IF($AG346=AU$22,MONTH($D346),"")</f>
        <v/>
      </c>
      <c r="AV346" s="89" t="str">
        <f>+IF($AG346=AV$22,MONTH($D346),"")</f>
        <v/>
      </c>
      <c r="AW346" s="86" t="str">
        <f>+IF($AG346=AW$22,MONTH($D346),"")</f>
        <v/>
      </c>
      <c r="AX346" s="86" t="str">
        <f>+IF($AG346=AX$22,MONTH($D346),"")</f>
        <v/>
      </c>
      <c r="AY346" s="89"/>
      <c r="AZ346" s="89"/>
      <c r="BA346" s="89"/>
      <c r="BB346" s="89"/>
      <c r="BC346" s="89"/>
      <c r="BD346" s="89"/>
      <c r="BE346" s="89"/>
      <c r="BF346" s="89"/>
      <c r="BG346" s="89"/>
      <c r="BH346" s="89"/>
      <c r="BI346" s="89"/>
      <c r="BJ346" s="89"/>
      <c r="BK346" s="89"/>
      <c r="BL346" s="89"/>
      <c r="BM346" s="89"/>
      <c r="BN346" s="89"/>
      <c r="BO346" s="89"/>
      <c r="BP346" s="89"/>
    </row>
    <row r="347" spans="1:68" s="56" customFormat="1" ht="36" hidden="1" customHeight="1">
      <c r="A347" s="204" t="str">
        <f>+IFERROR(VALUE(MID(AB347,4,4)),"")</f>
        <v/>
      </c>
      <c r="B347" s="204">
        <f>VALUE(RIGHT(C347,LEN(C347)-2))</f>
        <v>2375</v>
      </c>
      <c r="C347" s="74" t="s">
        <v>1460</v>
      </c>
      <c r="D347" s="75">
        <v>45769</v>
      </c>
      <c r="E347" s="70" t="s">
        <v>1461</v>
      </c>
      <c r="F347" s="70"/>
      <c r="G347" s="68" t="s">
        <v>1462</v>
      </c>
      <c r="H347" s="282" t="s">
        <v>1463</v>
      </c>
      <c r="I347" s="69" t="s">
        <v>1464</v>
      </c>
      <c r="J347" s="69"/>
      <c r="K347" s="68" t="s">
        <v>9</v>
      </c>
      <c r="L347" s="69" t="s">
        <v>120</v>
      </c>
      <c r="M347" s="71" t="s">
        <v>141</v>
      </c>
      <c r="N347" s="69" t="e" vm="1">
        <v>#VALUE!</v>
      </c>
      <c r="O347" s="84">
        <v>45779</v>
      </c>
      <c r="P347" s="72" t="s">
        <v>402</v>
      </c>
      <c r="Q347" s="72" t="s">
        <v>240</v>
      </c>
      <c r="R347" s="162"/>
      <c r="S347" s="146"/>
      <c r="T347" s="68" t="s">
        <v>165</v>
      </c>
      <c r="U347" s="87"/>
      <c r="V347" s="80">
        <v>45779</v>
      </c>
      <c r="W347" s="73">
        <v>900</v>
      </c>
      <c r="X347" s="73">
        <v>41.4</v>
      </c>
      <c r="Y347" s="83">
        <f>IF(SUM(W347:W347)&gt;0,X347/SUM(W347:W347)*1000000,"N/A")</f>
        <v>46000</v>
      </c>
      <c r="Z347" s="80"/>
      <c r="AA347" s="80"/>
      <c r="AB347" s="73"/>
      <c r="AC347" s="153"/>
      <c r="AD347" s="331"/>
      <c r="AE347" s="57"/>
      <c r="AF347" s="88"/>
      <c r="AG347" s="182">
        <f>YEAR(V347)</f>
        <v>2025</v>
      </c>
      <c r="AH347" s="86" t="str">
        <f>+IF(AG347=$AH$22,MONTH(V347),"")</f>
        <v/>
      </c>
      <c r="AI347" s="86">
        <f>+IF(AG347=$AI$22,MONTH(V347),"")</f>
        <v>5</v>
      </c>
      <c r="AJ347" s="86" t="str">
        <f>+IF(AG347=$AJ$22,MONTH(V347),"")</f>
        <v/>
      </c>
      <c r="AK347" s="86" t="str">
        <f>+IF(AG347=$AK$22,MONTH(V347),"")</f>
        <v/>
      </c>
      <c r="AL347" s="86" t="str">
        <f>+IF(AG347=$AL$22,MONTH(V347),"")</f>
        <v/>
      </c>
      <c r="AM347" s="86" t="str">
        <f>+IF($AG347=$AM$22,MONTH($D347),"")</f>
        <v/>
      </c>
      <c r="AN347" s="89" t="str">
        <f>+IF($AG347=AN$22,MONTH($D347),"")</f>
        <v/>
      </c>
      <c r="AO347" s="89" t="str">
        <f>+IF($AG347=AO$22,MONTH($D347),"")</f>
        <v/>
      </c>
      <c r="AP347" s="89" t="str">
        <f>+IF($AG347=AP$22,MONTH($D347),"")</f>
        <v/>
      </c>
      <c r="AQ347" s="89" t="str">
        <f>+IF($AG347=AQ$22,MONTH($D347),"")</f>
        <v/>
      </c>
      <c r="AR347" s="89" t="str">
        <f>+IF($AG347=AR$22,MONTH($D347),"")</f>
        <v/>
      </c>
      <c r="AS347" s="89" t="str">
        <f>+IF($AG347=AS$22,MONTH($D347),"")</f>
        <v/>
      </c>
      <c r="AT347" s="89" t="str">
        <f>+IF($AG347=AT$22,MONTH($D347),"")</f>
        <v/>
      </c>
      <c r="AU347" s="89" t="str">
        <f>+IF($AG347=AU$22,MONTH($D347),"")</f>
        <v/>
      </c>
      <c r="AV347" s="89" t="str">
        <f>+IF($AG347=AV$22,MONTH($D347),"")</f>
        <v/>
      </c>
      <c r="AW347" s="86" t="str">
        <f>+IF($AG347=AW$22,MONTH($D347),"")</f>
        <v/>
      </c>
      <c r="AX347" s="86" t="str">
        <f>+IF($AG347=AX$22,MONTH($D347),"")</f>
        <v/>
      </c>
      <c r="AY347" s="89"/>
      <c r="AZ347" s="89"/>
      <c r="BA347" s="89"/>
      <c r="BB347" s="89"/>
      <c r="BC347" s="89"/>
      <c r="BD347" s="89"/>
      <c r="BE347" s="89"/>
      <c r="BF347" s="89"/>
      <c r="BG347" s="89"/>
      <c r="BH347" s="89"/>
      <c r="BI347" s="89"/>
      <c r="BJ347" s="89"/>
      <c r="BK347" s="89"/>
      <c r="BL347" s="89"/>
      <c r="BM347" s="89"/>
      <c r="BN347" s="89"/>
      <c r="BO347" s="89"/>
      <c r="BP347" s="89"/>
    </row>
    <row r="348" spans="1:68" s="56" customFormat="1" ht="42" hidden="1" customHeight="1">
      <c r="A348" s="204" t="str">
        <f>+IFERROR(VALUE(MID(AB348,4,4)),"")</f>
        <v/>
      </c>
      <c r="B348" s="204">
        <f>VALUE(RIGHT(C348,LEN(C348)-2))</f>
        <v>2374</v>
      </c>
      <c r="C348" s="74" t="s">
        <v>1465</v>
      </c>
      <c r="D348" s="75">
        <v>45770</v>
      </c>
      <c r="E348" s="68" t="s">
        <v>53</v>
      </c>
      <c r="F348" s="68" t="s">
        <v>630</v>
      </c>
      <c r="G348" s="68" t="s">
        <v>210</v>
      </c>
      <c r="H348" s="304" t="s">
        <v>210</v>
      </c>
      <c r="I348" s="69" t="s">
        <v>1466</v>
      </c>
      <c r="J348" s="69"/>
      <c r="K348" s="68" t="s">
        <v>9</v>
      </c>
      <c r="L348" s="69" t="s">
        <v>123</v>
      </c>
      <c r="M348" s="71" t="s">
        <v>141</v>
      </c>
      <c r="N348" s="69" t="e" vm="1">
        <v>#VALUE!</v>
      </c>
      <c r="O348" s="84">
        <v>45785</v>
      </c>
      <c r="P348" s="69" t="s">
        <v>213</v>
      </c>
      <c r="Q348" s="69" t="s">
        <v>259</v>
      </c>
      <c r="R348" s="69"/>
      <c r="S348" s="146"/>
      <c r="T348" s="68" t="s">
        <v>155</v>
      </c>
      <c r="U348" s="87"/>
      <c r="V348" s="183">
        <v>45779</v>
      </c>
      <c r="W348" s="73"/>
      <c r="X348" s="73"/>
      <c r="Y348" s="83" t="str">
        <f>IF(SUM(W348:W348)&gt;0,X348/SUM(W348:W348)*1000000,"N/A")</f>
        <v>N/A</v>
      </c>
      <c r="Z348" s="80"/>
      <c r="AA348" s="80"/>
      <c r="AB348" s="150"/>
      <c r="AC348" s="75"/>
      <c r="AD348" s="332"/>
      <c r="AE348" s="68"/>
      <c r="AF348" s="73"/>
      <c r="AG348" s="182">
        <f>YEAR(V348)</f>
        <v>2025</v>
      </c>
      <c r="AH348" s="86" t="str">
        <f>+IF(AG348=$AH$22,MONTH(V348),"")</f>
        <v/>
      </c>
      <c r="AI348" s="86">
        <f>+IF(AG348=$AI$22,MONTH(V348),"")</f>
        <v>5</v>
      </c>
      <c r="AJ348" s="86" t="str">
        <f>+IF(AG348=$AJ$22,MONTH(V348),"")</f>
        <v/>
      </c>
      <c r="AK348" s="86" t="str">
        <f>+IF(AG348=$AK$22,MONTH(V348),"")</f>
        <v/>
      </c>
      <c r="AL348" s="86" t="str">
        <f>+IF(AG348=$AL$22,MONTH(V348),"")</f>
        <v/>
      </c>
      <c r="AM348" s="86" t="str">
        <f>+IF($AG348=$AM$22,MONTH($D348),"")</f>
        <v/>
      </c>
      <c r="AN348" s="89" t="str">
        <f>+IF($AG348=AN$22,MONTH($D348),"")</f>
        <v/>
      </c>
      <c r="AO348" s="184" t="str">
        <f>+IF($AG348=AO$22,MONTH($D348),"")</f>
        <v/>
      </c>
      <c r="AP348" s="184" t="str">
        <f>+IF($AG348=AP$22,MONTH($D348),"")</f>
        <v/>
      </c>
      <c r="AQ348" s="184" t="str">
        <f>+IF($AG348=AQ$22,MONTH($D348),"")</f>
        <v/>
      </c>
      <c r="AR348" s="184" t="str">
        <f>+IF($AG348=AR$22,MONTH($D348),"")</f>
        <v/>
      </c>
      <c r="AS348" s="184" t="str">
        <f>+IF($AG348=AS$22,MONTH($D348),"")</f>
        <v/>
      </c>
      <c r="AT348" s="86" t="str">
        <f>+IF($AG348=AT$22,MONTH($D348),"")</f>
        <v/>
      </c>
      <c r="AU348" s="86" t="str">
        <f>+IF($AG348=AU$22,MONTH($D348),"")</f>
        <v/>
      </c>
      <c r="AV348" s="86" t="str">
        <f>+IF($AG348=AV$22,MONTH($D348),"")</f>
        <v/>
      </c>
      <c r="AW348" s="86" t="str">
        <f>+IF($AG348=AW$22,MONTH($D348),"")</f>
        <v/>
      </c>
      <c r="AX348" s="86" t="str">
        <f>+IF($AG348=AX$22,MONTH($D348),"")</f>
        <v/>
      </c>
      <c r="AY348" s="89"/>
      <c r="AZ348" s="89"/>
      <c r="BA348" s="89"/>
      <c r="BB348" s="89"/>
      <c r="BC348" s="89"/>
      <c r="BD348" s="89"/>
      <c r="BE348" s="89"/>
      <c r="BF348" s="89"/>
      <c r="BG348" s="89"/>
      <c r="BH348" s="89"/>
      <c r="BI348" s="89"/>
      <c r="BJ348" s="89"/>
      <c r="BK348" s="89"/>
      <c r="BL348" s="89"/>
      <c r="BM348" s="89"/>
      <c r="BN348" s="89"/>
      <c r="BO348" s="89"/>
      <c r="BP348" s="89"/>
    </row>
    <row r="349" spans="1:68" s="381" customFormat="1" ht="45.75" hidden="1" customHeight="1">
      <c r="A349" s="204">
        <f>+IFERROR(VALUE(MID(AB349,4,4)),"")</f>
        <v>438</v>
      </c>
      <c r="B349" s="204">
        <f>VALUE(RIGHT(C349,LEN(C349)-2))</f>
        <v>2373</v>
      </c>
      <c r="C349" s="74" t="s">
        <v>1467</v>
      </c>
      <c r="D349" s="75">
        <v>45772</v>
      </c>
      <c r="E349" s="68" t="s">
        <v>215</v>
      </c>
      <c r="F349" s="68" t="s">
        <v>215</v>
      </c>
      <c r="G349" s="68" t="s">
        <v>1468</v>
      </c>
      <c r="H349" s="307" t="s">
        <v>1115</v>
      </c>
      <c r="I349" s="69" t="s">
        <v>1469</v>
      </c>
      <c r="J349" s="69"/>
      <c r="K349" s="68" t="s">
        <v>9</v>
      </c>
      <c r="L349" s="69" t="s">
        <v>129</v>
      </c>
      <c r="M349" s="71" t="s">
        <v>113</v>
      </c>
      <c r="N349" s="69" t="e" vm="2">
        <v>#VALUE!</v>
      </c>
      <c r="O349" s="84">
        <v>45779</v>
      </c>
      <c r="P349" s="69" t="s">
        <v>483</v>
      </c>
      <c r="Q349" s="69" t="s">
        <v>623</v>
      </c>
      <c r="R349" s="69"/>
      <c r="S349" s="146"/>
      <c r="T349" s="68" t="s">
        <v>3</v>
      </c>
      <c r="U349" s="87"/>
      <c r="V349" s="183">
        <v>45812</v>
      </c>
      <c r="W349" s="73">
        <v>1593</v>
      </c>
      <c r="X349" s="73">
        <v>51.3</v>
      </c>
      <c r="Y349" s="83">
        <f>IF(SUM(W349:W349)&gt;0,X349/SUM(W349:W349)*1000000,"N/A")</f>
        <v>32203.389830508473</v>
      </c>
      <c r="Z349" s="80"/>
      <c r="AA349" s="80"/>
      <c r="AB349" s="73" t="s">
        <v>1470</v>
      </c>
      <c r="AC349" s="75"/>
      <c r="AD349" s="332"/>
      <c r="AE349" s="68"/>
      <c r="AF349" s="73"/>
      <c r="AG349" s="182">
        <f>YEAR(V349)</f>
        <v>2025</v>
      </c>
      <c r="AH349" s="86" t="str">
        <f>+IF(AG349=$AH$22,MONTH(V349),"")</f>
        <v/>
      </c>
      <c r="AI349" s="86">
        <f>+IF(AG349=$AI$22,MONTH(V349),"")</f>
        <v>6</v>
      </c>
      <c r="AJ349" s="86" t="str">
        <f>+IF(AG349=$AJ$22,MONTH(V349),"")</f>
        <v/>
      </c>
      <c r="AK349" s="86" t="str">
        <f>+IF(AG349=$AK$22,MONTH(V349),"")</f>
        <v/>
      </c>
      <c r="AL349" s="86" t="str">
        <f>+IF(AG349=$AL$22,MONTH(V349),"")</f>
        <v/>
      </c>
      <c r="AM349" s="86" t="str">
        <f>+IF($AG349=$AM$22,MONTH($D349),"")</f>
        <v/>
      </c>
      <c r="AN349" s="89" t="str">
        <f>+IF($AG349=AN$22,MONTH($D349),"")</f>
        <v/>
      </c>
      <c r="AO349" s="184" t="str">
        <f>+IF($AG349=AO$22,MONTH($D349),"")</f>
        <v/>
      </c>
      <c r="AP349" s="184" t="str">
        <f>+IF($AG349=AP$22,MONTH($D349),"")</f>
        <v/>
      </c>
      <c r="AQ349" s="184" t="str">
        <f>+IF($AG349=AQ$22,MONTH($D349),"")</f>
        <v/>
      </c>
      <c r="AR349" s="184" t="str">
        <f>+IF($AG349=AR$22,MONTH($D349),"")</f>
        <v/>
      </c>
      <c r="AS349" s="184" t="str">
        <f>+IF($AG349=AS$22,MONTH($D349),"")</f>
        <v/>
      </c>
      <c r="AT349" s="86" t="str">
        <f>+IF($AG349=AT$22,MONTH($D349),"")</f>
        <v/>
      </c>
      <c r="AU349" s="86" t="str">
        <f>+IF($AG349=AU$22,MONTH($D349),"")</f>
        <v/>
      </c>
      <c r="AV349" s="86" t="str">
        <f>+IF($AG349=AV$22,MONTH($D349),"")</f>
        <v/>
      </c>
      <c r="AW349" s="86" t="str">
        <f>+IF($AG349=AW$22,MONTH($D349),"")</f>
        <v/>
      </c>
      <c r="AX349" s="86" t="str">
        <f>+IF($AG349=AX$22,MONTH($D349),"")</f>
        <v/>
      </c>
      <c r="AY349" s="89"/>
      <c r="AZ349" s="89"/>
      <c r="BA349" s="89"/>
      <c r="BB349" s="89"/>
      <c r="BC349" s="89"/>
      <c r="BD349" s="89"/>
      <c r="BE349" s="89"/>
      <c r="BF349" s="89"/>
      <c r="BG349" s="89"/>
      <c r="BH349" s="89"/>
      <c r="BI349" s="89"/>
      <c r="BJ349" s="89"/>
      <c r="BK349" s="89"/>
      <c r="BL349" s="89"/>
      <c r="BM349" s="89"/>
      <c r="BN349" s="89"/>
      <c r="BO349" s="89"/>
      <c r="BP349" s="89"/>
    </row>
    <row r="350" spans="1:68" s="378" customFormat="1" ht="45.75" hidden="1" customHeight="1">
      <c r="A350" s="204" t="str">
        <f>+IFERROR(VALUE(MID(AB350,4,4)),"")</f>
        <v/>
      </c>
      <c r="B350" s="204">
        <f>VALUE(RIGHT(C350,LEN(C350)-2))</f>
        <v>2372</v>
      </c>
      <c r="C350" s="74" t="s">
        <v>1471</v>
      </c>
      <c r="D350" s="75">
        <v>45769</v>
      </c>
      <c r="E350" s="70" t="s">
        <v>853</v>
      </c>
      <c r="F350" s="70" t="s">
        <v>685</v>
      </c>
      <c r="G350" s="68" t="s">
        <v>1453</v>
      </c>
      <c r="H350" s="282" t="s">
        <v>1390</v>
      </c>
      <c r="I350" s="69" t="s">
        <v>1472</v>
      </c>
      <c r="J350" s="69"/>
      <c r="K350" s="68" t="s">
        <v>9</v>
      </c>
      <c r="L350" s="69" t="s">
        <v>120</v>
      </c>
      <c r="M350" s="71" t="s">
        <v>141</v>
      </c>
      <c r="N350" s="69" t="e" vm="1">
        <v>#VALUE!</v>
      </c>
      <c r="O350" s="84">
        <v>45772</v>
      </c>
      <c r="P350" s="72" t="s">
        <v>258</v>
      </c>
      <c r="Q350" s="72" t="s">
        <v>259</v>
      </c>
      <c r="R350" s="162"/>
      <c r="S350" s="146"/>
      <c r="T350" s="68" t="s">
        <v>165</v>
      </c>
      <c r="U350" s="87"/>
      <c r="V350" s="80">
        <v>45782</v>
      </c>
      <c r="W350" s="73">
        <v>683</v>
      </c>
      <c r="X350" s="73">
        <v>50.7</v>
      </c>
      <c r="Y350" s="83">
        <f>IF(SUM(W350:W350)&gt;0,X350/SUM(W350:W350)*1000000,"N/A")</f>
        <v>74231.332357247433</v>
      </c>
      <c r="Z350" s="80"/>
      <c r="AA350" s="80"/>
      <c r="AB350" s="73"/>
      <c r="AC350" s="153"/>
      <c r="AD350" s="331"/>
      <c r="AE350" s="57"/>
      <c r="AF350" s="88"/>
      <c r="AG350" s="182">
        <f>YEAR(V350)</f>
        <v>2025</v>
      </c>
      <c r="AH350" s="86" t="str">
        <f>+IF(AG350=$AH$22,MONTH(V350),"")</f>
        <v/>
      </c>
      <c r="AI350" s="86">
        <f>+IF(AG350=$AI$22,MONTH(V350),"")</f>
        <v>5</v>
      </c>
      <c r="AJ350" s="86" t="str">
        <f>+IF(AG350=$AJ$22,MONTH(V350),"")</f>
        <v/>
      </c>
      <c r="AK350" s="86" t="str">
        <f>+IF(AG350=$AK$22,MONTH(V350),"")</f>
        <v/>
      </c>
      <c r="AL350" s="86" t="str">
        <f>+IF(AG350=$AL$22,MONTH(V350),"")</f>
        <v/>
      </c>
      <c r="AM350" s="86" t="str">
        <f>+IF($AG350=$AM$22,MONTH($D350),"")</f>
        <v/>
      </c>
      <c r="AN350" s="89" t="str">
        <f>+IF($AG350=AN$22,MONTH($D350),"")</f>
        <v/>
      </c>
      <c r="AO350" s="89" t="str">
        <f>+IF($AG350=AO$22,MONTH($D350),"")</f>
        <v/>
      </c>
      <c r="AP350" s="89" t="str">
        <f>+IF($AG350=AP$22,MONTH($D350),"")</f>
        <v/>
      </c>
      <c r="AQ350" s="89" t="str">
        <f>+IF($AG350=AQ$22,MONTH($D350),"")</f>
        <v/>
      </c>
      <c r="AR350" s="89" t="str">
        <f>+IF($AG350=AR$22,MONTH($D350),"")</f>
        <v/>
      </c>
      <c r="AS350" s="89" t="str">
        <f>+IF($AG350=AS$22,MONTH($D350),"")</f>
        <v/>
      </c>
      <c r="AT350" s="89" t="str">
        <f>+IF($AG350=AT$22,MONTH($D350),"")</f>
        <v/>
      </c>
      <c r="AU350" s="89" t="str">
        <f>+IF($AG350=AU$22,MONTH($D350),"")</f>
        <v/>
      </c>
      <c r="AV350" s="89" t="str">
        <f>+IF($AG350=AV$22,MONTH($D350),"")</f>
        <v/>
      </c>
      <c r="AW350" s="86" t="str">
        <f>+IF($AG350=AW$22,MONTH($D350),"")</f>
        <v/>
      </c>
      <c r="AX350" s="86" t="str">
        <f>+IF($AG350=AX$22,MONTH($D350),"")</f>
        <v/>
      </c>
      <c r="AY350" s="89"/>
      <c r="AZ350" s="89"/>
      <c r="BA350" s="89"/>
      <c r="BB350" s="89"/>
      <c r="BC350" s="89"/>
      <c r="BD350" s="89"/>
      <c r="BE350" s="89"/>
      <c r="BF350" s="89"/>
      <c r="BG350" s="89"/>
      <c r="BH350" s="89"/>
      <c r="BI350" s="89"/>
      <c r="BJ350" s="89"/>
      <c r="BK350" s="89"/>
      <c r="BL350" s="89"/>
      <c r="BM350" s="89"/>
      <c r="BN350" s="89"/>
      <c r="BO350" s="89"/>
      <c r="BP350" s="89"/>
    </row>
    <row r="351" spans="1:68" s="56" customFormat="1" ht="36" hidden="1" customHeight="1">
      <c r="A351" s="204">
        <f>+IFERROR(VALUE(MID(AB351,4,4)),"")</f>
        <v>352</v>
      </c>
      <c r="B351" s="204">
        <f>VALUE(RIGHT(C351,LEN(C351)-2))</f>
        <v>2371</v>
      </c>
      <c r="C351" s="74" t="s">
        <v>1473</v>
      </c>
      <c r="D351" s="75">
        <v>45770</v>
      </c>
      <c r="E351" s="68" t="s">
        <v>53</v>
      </c>
      <c r="F351" s="68" t="s">
        <v>642</v>
      </c>
      <c r="G351" s="68" t="s">
        <v>210</v>
      </c>
      <c r="H351" s="304" t="s">
        <v>210</v>
      </c>
      <c r="I351" s="69" t="s">
        <v>1474</v>
      </c>
      <c r="J351" s="69"/>
      <c r="K351" s="68" t="s">
        <v>9</v>
      </c>
      <c r="L351" s="69" t="s">
        <v>123</v>
      </c>
      <c r="M351" s="71" t="s">
        <v>141</v>
      </c>
      <c r="N351" s="69" t="e" vm="1">
        <v>#VALUE!</v>
      </c>
      <c r="O351" s="84">
        <v>45785</v>
      </c>
      <c r="P351" s="69" t="s">
        <v>289</v>
      </c>
      <c r="Q351" s="69" t="s">
        <v>259</v>
      </c>
      <c r="R351" s="69"/>
      <c r="S351" s="146"/>
      <c r="T351" s="68" t="s">
        <v>165</v>
      </c>
      <c r="U351" s="87"/>
      <c r="V351" s="183">
        <v>45769</v>
      </c>
      <c r="W351" s="73">
        <v>1506</v>
      </c>
      <c r="X351" s="73">
        <f>2186*39140/1000000</f>
        <v>85.560040000000001</v>
      </c>
      <c r="Y351" s="83">
        <f>IF(SUM(W351:W351)&gt;0,X351/SUM(W351:W351)*1000000,"N/A")</f>
        <v>56812.775564409028</v>
      </c>
      <c r="Z351" s="80"/>
      <c r="AA351" s="80"/>
      <c r="AB351" s="150" t="s">
        <v>1475</v>
      </c>
      <c r="AC351" s="75"/>
      <c r="AD351" s="332"/>
      <c r="AE351" s="68"/>
      <c r="AF351" s="73"/>
      <c r="AG351" s="182">
        <f>YEAR(V351)</f>
        <v>2025</v>
      </c>
      <c r="AH351" s="86" t="str">
        <f>+IF(AG351=$AH$22,MONTH(V351),"")</f>
        <v/>
      </c>
      <c r="AI351" s="86">
        <f>+IF(AG351=$AI$22,MONTH(V351),"")</f>
        <v>4</v>
      </c>
      <c r="AJ351" s="86" t="str">
        <f>+IF(AG351=$AJ$22,MONTH(V351),"")</f>
        <v/>
      </c>
      <c r="AK351" s="86" t="str">
        <f>+IF(AG351=$AK$22,MONTH(V351),"")</f>
        <v/>
      </c>
      <c r="AL351" s="86" t="str">
        <f>+IF(AG351=$AL$22,MONTH(V351),"")</f>
        <v/>
      </c>
      <c r="AM351" s="86" t="str">
        <f>+IF($AG351=$AM$22,MONTH($D351),"")</f>
        <v/>
      </c>
      <c r="AN351" s="89" t="str">
        <f>+IF($AG351=AN$22,MONTH($D351),"")</f>
        <v/>
      </c>
      <c r="AO351" s="184" t="str">
        <f>+IF($AG351=AO$22,MONTH($D351),"")</f>
        <v/>
      </c>
      <c r="AP351" s="184" t="str">
        <f>+IF($AG351=AP$22,MONTH($D351),"")</f>
        <v/>
      </c>
      <c r="AQ351" s="184" t="str">
        <f>+IF($AG351=AQ$22,MONTH($D351),"")</f>
        <v/>
      </c>
      <c r="AR351" s="184" t="str">
        <f>+IF($AG351=AR$22,MONTH($D351),"")</f>
        <v/>
      </c>
      <c r="AS351" s="184" t="str">
        <f>+IF($AG351=AS$22,MONTH($D351),"")</f>
        <v/>
      </c>
      <c r="AT351" s="86" t="str">
        <f>+IF($AG351=AT$22,MONTH($D351),"")</f>
        <v/>
      </c>
      <c r="AU351" s="86" t="str">
        <f>+IF($AG351=AU$22,MONTH($D351),"")</f>
        <v/>
      </c>
      <c r="AV351" s="86" t="str">
        <f>+IF($AG351=AV$22,MONTH($D351),"")</f>
        <v/>
      </c>
      <c r="AW351" s="86" t="str">
        <f>+IF($AG351=AW$22,MONTH($D351),"")</f>
        <v/>
      </c>
      <c r="AX351" s="86" t="str">
        <f>+IF($AG351=AX$22,MONTH($D351),"")</f>
        <v/>
      </c>
      <c r="AY351" s="89"/>
      <c r="AZ351" s="89"/>
      <c r="BA351" s="89"/>
      <c r="BB351" s="89"/>
      <c r="BC351" s="89"/>
      <c r="BD351" s="89"/>
      <c r="BE351" s="89"/>
      <c r="BF351" s="89"/>
      <c r="BG351" s="89"/>
      <c r="BH351" s="89"/>
      <c r="BI351" s="89"/>
      <c r="BJ351" s="89"/>
      <c r="BK351" s="89"/>
      <c r="BL351" s="89"/>
      <c r="BM351" s="89"/>
      <c r="BN351" s="89"/>
      <c r="BO351" s="89"/>
      <c r="BP351" s="89"/>
    </row>
    <row r="352" spans="1:68" s="381" customFormat="1" ht="45.75" hidden="1" customHeight="1">
      <c r="A352" s="204">
        <f>+IFERROR(VALUE(MID(AB352,4,4)),"")</f>
        <v>439</v>
      </c>
      <c r="B352" s="204">
        <f>VALUE(RIGHT(C352,LEN(C352)-2))</f>
        <v>2370</v>
      </c>
      <c r="C352" s="74" t="s">
        <v>1476</v>
      </c>
      <c r="D352" s="75">
        <v>45770</v>
      </c>
      <c r="E352" s="68" t="s">
        <v>51</v>
      </c>
      <c r="F352" s="68" t="s">
        <v>51</v>
      </c>
      <c r="G352" s="68" t="s">
        <v>210</v>
      </c>
      <c r="H352" s="304" t="s">
        <v>210</v>
      </c>
      <c r="I352" s="69" t="s">
        <v>1477</v>
      </c>
      <c r="J352" s="69"/>
      <c r="K352" s="68" t="s">
        <v>11</v>
      </c>
      <c r="L352" s="69" t="s">
        <v>123</v>
      </c>
      <c r="M352" s="71" t="s">
        <v>141</v>
      </c>
      <c r="N352" s="69" t="e" vm="1">
        <v>#VALUE!</v>
      </c>
      <c r="O352" s="84">
        <v>45800</v>
      </c>
      <c r="P352" s="69" t="s">
        <v>274</v>
      </c>
      <c r="Q352" s="69" t="s">
        <v>220</v>
      </c>
      <c r="R352" s="69"/>
      <c r="S352" s="146"/>
      <c r="T352" s="68" t="s">
        <v>3</v>
      </c>
      <c r="U352" s="87"/>
      <c r="V352" s="183">
        <v>45838</v>
      </c>
      <c r="W352" s="73">
        <v>19382</v>
      </c>
      <c r="X352" s="73">
        <f>21184*39250/1000000</f>
        <v>831.47199999999998</v>
      </c>
      <c r="Y352" s="83">
        <f>IF(SUM(W352:W352)&gt;0,X352/SUM(W352:W352)*1000000,"N/A")</f>
        <v>42899.184810649058</v>
      </c>
      <c r="Z352" s="80"/>
      <c r="AA352" s="80"/>
      <c r="AB352" s="73" t="s">
        <v>1478</v>
      </c>
      <c r="AC352" s="75"/>
      <c r="AD352" s="332"/>
      <c r="AE352" s="68"/>
      <c r="AF352" s="73"/>
      <c r="AG352" s="182">
        <f>YEAR(V352)</f>
        <v>2025</v>
      </c>
      <c r="AH352" s="86" t="str">
        <f>+IF(AG352=$AH$22,MONTH(V352),"")</f>
        <v/>
      </c>
      <c r="AI352" s="86">
        <f>+IF(AG352=$AI$22,MONTH(V352),"")</f>
        <v>6</v>
      </c>
      <c r="AJ352" s="86" t="str">
        <f>+IF(AG352=$AJ$22,MONTH(V352),"")</f>
        <v/>
      </c>
      <c r="AK352" s="86" t="str">
        <f>+IF(AG352=$AK$22,MONTH(V352),"")</f>
        <v/>
      </c>
      <c r="AL352" s="86" t="str">
        <f>+IF(AG352=$AL$22,MONTH(V352),"")</f>
        <v/>
      </c>
      <c r="AM352" s="86" t="str">
        <f>+IF($AG352=$AM$22,MONTH($D352),"")</f>
        <v/>
      </c>
      <c r="AN352" s="89" t="str">
        <f>+IF($AG352=AN$22,MONTH($D352),"")</f>
        <v/>
      </c>
      <c r="AO352" s="184" t="str">
        <f>+IF($AG352=AO$22,MONTH($D352),"")</f>
        <v/>
      </c>
      <c r="AP352" s="184" t="str">
        <f>+IF($AG352=AP$22,MONTH($D352),"")</f>
        <v/>
      </c>
      <c r="AQ352" s="184" t="str">
        <f>+IF($AG352=AQ$22,MONTH($D352),"")</f>
        <v/>
      </c>
      <c r="AR352" s="184" t="str">
        <f>+IF($AG352=AR$22,MONTH($D352),"")</f>
        <v/>
      </c>
      <c r="AS352" s="184" t="str">
        <f>+IF($AG352=AS$22,MONTH($D352),"")</f>
        <v/>
      </c>
      <c r="AT352" s="86" t="str">
        <f>+IF($AG352=AT$22,MONTH($D352),"")</f>
        <v/>
      </c>
      <c r="AU352" s="86" t="str">
        <f>+IF($AG352=AU$22,MONTH($D352),"")</f>
        <v/>
      </c>
      <c r="AV352" s="86" t="str">
        <f>+IF($AG352=AV$22,MONTH($D352),"")</f>
        <v/>
      </c>
      <c r="AW352" s="86" t="str">
        <f>+IF($AG352=AW$22,MONTH($D352),"")</f>
        <v/>
      </c>
      <c r="AX352" s="86" t="str">
        <f>+IF($AG352=AX$22,MONTH($D352),"")</f>
        <v/>
      </c>
      <c r="AY352" s="89"/>
      <c r="AZ352" s="89"/>
      <c r="BA352" s="89"/>
      <c r="BB352" s="89"/>
      <c r="BC352" s="89"/>
      <c r="BD352" s="89"/>
      <c r="BE352" s="89"/>
      <c r="BF352" s="89"/>
      <c r="BG352" s="89"/>
      <c r="BH352" s="89"/>
      <c r="BI352" s="89"/>
      <c r="BJ352" s="89"/>
      <c r="BK352" s="89"/>
      <c r="BL352" s="89"/>
      <c r="BM352" s="89"/>
      <c r="BN352" s="89"/>
      <c r="BO352" s="89"/>
      <c r="BP352" s="89"/>
    </row>
    <row r="353" spans="1:68" s="378" customFormat="1" ht="45.75" hidden="1" customHeight="1">
      <c r="A353" s="204" t="str">
        <f>+IFERROR(VALUE(MID(AB353,4,4)),"")</f>
        <v/>
      </c>
      <c r="B353" s="204">
        <f>VALUE(RIGHT(C353,LEN(C353)-2))</f>
        <v>2369</v>
      </c>
      <c r="C353" s="74" t="s">
        <v>1479</v>
      </c>
      <c r="D353" s="75">
        <v>45769</v>
      </c>
      <c r="E353" s="70" t="s">
        <v>1480</v>
      </c>
      <c r="F353" s="70" t="s">
        <v>685</v>
      </c>
      <c r="G353" s="68"/>
      <c r="H353" s="59"/>
      <c r="I353" s="69" t="s">
        <v>1481</v>
      </c>
      <c r="J353" s="69"/>
      <c r="K353" s="68" t="s">
        <v>14</v>
      </c>
      <c r="L353" s="69" t="s">
        <v>120</v>
      </c>
      <c r="M353" s="71" t="s">
        <v>141</v>
      </c>
      <c r="N353" s="69" t="e" vm="1">
        <v>#VALUE!</v>
      </c>
      <c r="O353" s="84">
        <v>45782</v>
      </c>
      <c r="P353" s="72" t="s">
        <v>377</v>
      </c>
      <c r="Q353" s="72" t="s">
        <v>694</v>
      </c>
      <c r="R353" s="162"/>
      <c r="S353" s="146"/>
      <c r="T353" s="68" t="s">
        <v>165</v>
      </c>
      <c r="U353" s="87"/>
      <c r="V353" s="80">
        <v>45892</v>
      </c>
      <c r="W353" s="73">
        <v>1581</v>
      </c>
      <c r="X353" s="73">
        <f>2660*39140/1000000</f>
        <v>104.11239999999999</v>
      </c>
      <c r="Y353" s="83">
        <f>IF(SUM(W353:W353)&gt;0,X353/SUM(W353:W353)*1000000,"N/A")</f>
        <v>65852.245414294739</v>
      </c>
      <c r="Z353" s="80"/>
      <c r="AA353" s="80"/>
      <c r="AB353" s="73"/>
      <c r="AC353" s="153"/>
      <c r="AD353" s="331"/>
      <c r="AE353" s="57"/>
      <c r="AF353" s="88"/>
      <c r="AG353" s="182">
        <f>YEAR(V353)</f>
        <v>2025</v>
      </c>
      <c r="AH353" s="86" t="str">
        <f>+IF(AG353=$AH$22,MONTH(V353),"")</f>
        <v/>
      </c>
      <c r="AI353" s="86">
        <f>+IF(AG353=$AI$22,MONTH(V353),"")</f>
        <v>8</v>
      </c>
      <c r="AJ353" s="86" t="str">
        <f>+IF(AG353=$AJ$22,MONTH(V353),"")</f>
        <v/>
      </c>
      <c r="AK353" s="86" t="str">
        <f>+IF(AG353=$AK$22,MONTH(V353),"")</f>
        <v/>
      </c>
      <c r="AL353" s="86" t="str">
        <f>+IF(AG353=$AL$22,MONTH(V353),"")</f>
        <v/>
      </c>
      <c r="AM353" s="86" t="str">
        <f>+IF($AG353=$AM$22,MONTH($D353),"")</f>
        <v/>
      </c>
      <c r="AN353" s="89" t="str">
        <f>+IF($AG353=AN$22,MONTH($D353),"")</f>
        <v/>
      </c>
      <c r="AO353" s="89" t="str">
        <f>+IF($AG353=AO$22,MONTH($D353),"")</f>
        <v/>
      </c>
      <c r="AP353" s="89" t="str">
        <f>+IF($AG353=AP$22,MONTH($D353),"")</f>
        <v/>
      </c>
      <c r="AQ353" s="89" t="str">
        <f>+IF($AG353=AQ$22,MONTH($D353),"")</f>
        <v/>
      </c>
      <c r="AR353" s="89" t="str">
        <f>+IF($AG353=AR$22,MONTH($D353),"")</f>
        <v/>
      </c>
      <c r="AS353" s="89" t="str">
        <f>+IF($AG353=AS$22,MONTH($D353),"")</f>
        <v/>
      </c>
      <c r="AT353" s="89" t="str">
        <f>+IF($AG353=AT$22,MONTH($D353),"")</f>
        <v/>
      </c>
      <c r="AU353" s="89" t="str">
        <f>+IF($AG353=AU$22,MONTH($D353),"")</f>
        <v/>
      </c>
      <c r="AV353" s="89" t="str">
        <f>+IF($AG353=AV$22,MONTH($D353),"")</f>
        <v/>
      </c>
      <c r="AW353" s="86" t="str">
        <f>+IF($AG353=AW$22,MONTH($D353),"")</f>
        <v/>
      </c>
      <c r="AX353" s="86" t="str">
        <f>+IF($AG353=AX$22,MONTH($D353),"")</f>
        <v/>
      </c>
      <c r="AY353" s="89"/>
      <c r="AZ353" s="89"/>
      <c r="BA353" s="89"/>
      <c r="BB353" s="89"/>
      <c r="BC353" s="89"/>
      <c r="BD353" s="89"/>
      <c r="BE353" s="89"/>
      <c r="BF353" s="89"/>
      <c r="BG353" s="89"/>
      <c r="BH353" s="89"/>
      <c r="BI353" s="89"/>
      <c r="BJ353" s="89"/>
      <c r="BK353" s="89"/>
      <c r="BL353" s="89"/>
      <c r="BM353" s="89"/>
      <c r="BN353" s="89"/>
      <c r="BO353" s="89"/>
      <c r="BP353" s="89"/>
    </row>
    <row r="354" spans="1:68" s="56" customFormat="1" ht="36" hidden="1" customHeight="1">
      <c r="A354" s="204" t="str">
        <f>+IFERROR(VALUE(MID(AB354,4,4)),"")</f>
        <v/>
      </c>
      <c r="B354" s="204">
        <f>VALUE(RIGHT(C354,LEN(C354)-2))</f>
        <v>2368</v>
      </c>
      <c r="C354" s="74" t="s">
        <v>1482</v>
      </c>
      <c r="D354" s="75">
        <v>45768</v>
      </c>
      <c r="E354" s="68" t="s">
        <v>53</v>
      </c>
      <c r="F354" s="68" t="s">
        <v>252</v>
      </c>
      <c r="G354" s="68" t="s">
        <v>210</v>
      </c>
      <c r="H354" s="304" t="s">
        <v>210</v>
      </c>
      <c r="I354" s="69" t="s">
        <v>1483</v>
      </c>
      <c r="J354" s="69"/>
      <c r="K354" s="68" t="s">
        <v>9</v>
      </c>
      <c r="L354" s="69" t="s">
        <v>123</v>
      </c>
      <c r="M354" s="71" t="s">
        <v>141</v>
      </c>
      <c r="N354" s="69" t="e" vm="1">
        <v>#VALUE!</v>
      </c>
      <c r="O354" s="84">
        <v>45805</v>
      </c>
      <c r="P354" s="69" t="s">
        <v>213</v>
      </c>
      <c r="Q354" s="69" t="s">
        <v>259</v>
      </c>
      <c r="R354" s="69"/>
      <c r="S354" s="146"/>
      <c r="T354" s="68" t="s">
        <v>168</v>
      </c>
      <c r="U354" s="87"/>
      <c r="V354" s="183">
        <v>45875</v>
      </c>
      <c r="W354" s="73"/>
      <c r="X354" s="73"/>
      <c r="Y354" s="83" t="str">
        <f>IF(SUM(W354:W354)&gt;0,X354/SUM(W354:W354)*1000000,"N/A")</f>
        <v>N/A</v>
      </c>
      <c r="Z354" s="80"/>
      <c r="AA354" s="80"/>
      <c r="AB354" s="73"/>
      <c r="AC354" s="75"/>
      <c r="AD354" s="332"/>
      <c r="AE354" s="68"/>
      <c r="AF354" s="73"/>
      <c r="AG354" s="182">
        <f>YEAR(V354)</f>
        <v>2025</v>
      </c>
      <c r="AH354" s="86" t="str">
        <f>+IF(AG354=$AH$22,MONTH(V354),"")</f>
        <v/>
      </c>
      <c r="AI354" s="86">
        <f>+IF(AG354=$AI$22,MONTH(V354),"")</f>
        <v>8</v>
      </c>
      <c r="AJ354" s="86" t="str">
        <f>+IF(AG354=$AJ$22,MONTH(V354),"")</f>
        <v/>
      </c>
      <c r="AK354" s="86" t="str">
        <f>+IF(AG354=$AK$22,MONTH(V354),"")</f>
        <v/>
      </c>
      <c r="AL354" s="86" t="str">
        <f>+IF(AG354=$AL$22,MONTH(V354),"")</f>
        <v/>
      </c>
      <c r="AM354" s="86" t="str">
        <f>+IF($AG354=$AM$22,MONTH($D354),"")</f>
        <v/>
      </c>
      <c r="AN354" s="89" t="str">
        <f>+IF($AG354=AN$22,MONTH($D354),"")</f>
        <v/>
      </c>
      <c r="AO354" s="184" t="str">
        <f>+IF($AG354=AO$22,MONTH($D354),"")</f>
        <v/>
      </c>
      <c r="AP354" s="184" t="str">
        <f>+IF($AG354=AP$22,MONTH($D354),"")</f>
        <v/>
      </c>
      <c r="AQ354" s="184" t="str">
        <f>+IF($AG354=AQ$22,MONTH($D354),"")</f>
        <v/>
      </c>
      <c r="AR354" s="184" t="str">
        <f>+IF($AG354=AR$22,MONTH($D354),"")</f>
        <v/>
      </c>
      <c r="AS354" s="184" t="str">
        <f>+IF($AG354=AS$22,MONTH($D354),"")</f>
        <v/>
      </c>
      <c r="AT354" s="86" t="str">
        <f>+IF($AG354=AT$22,MONTH($D354),"")</f>
        <v/>
      </c>
      <c r="AU354" s="86" t="str">
        <f>+IF($AG354=AU$22,MONTH($D354),"")</f>
        <v/>
      </c>
      <c r="AV354" s="86" t="str">
        <f>+IF($AG354=AV$22,MONTH($D354),"")</f>
        <v/>
      </c>
      <c r="AW354" s="86" t="str">
        <f>+IF($AG354=AW$22,MONTH($D354),"")</f>
        <v/>
      </c>
      <c r="AX354" s="86" t="str">
        <f>+IF($AG354=AX$22,MONTH($D354),"")</f>
        <v/>
      </c>
      <c r="AY354" s="89"/>
      <c r="AZ354" s="89"/>
      <c r="BA354" s="89"/>
      <c r="BB354" s="89"/>
      <c r="BC354" s="89"/>
      <c r="BD354" s="89"/>
      <c r="BE354" s="89"/>
      <c r="BF354" s="89"/>
      <c r="BG354" s="89"/>
      <c r="BH354" s="89"/>
      <c r="BI354" s="89"/>
      <c r="BJ354" s="89"/>
      <c r="BK354" s="89"/>
      <c r="BL354" s="89"/>
      <c r="BM354" s="89"/>
      <c r="BN354" s="89"/>
      <c r="BO354" s="89"/>
      <c r="BP354" s="89"/>
    </row>
    <row r="355" spans="1:68" s="378" customFormat="1" ht="45.75" hidden="1" customHeight="1">
      <c r="A355" s="204">
        <f>+IFERROR(VALUE(MID(AB355,4,4)),"")</f>
        <v>399</v>
      </c>
      <c r="B355" s="204">
        <f>VALUE(RIGHT(C355,LEN(C355)-2))</f>
        <v>2367</v>
      </c>
      <c r="C355" s="74" t="s">
        <v>1484</v>
      </c>
      <c r="D355" s="75">
        <v>45764</v>
      </c>
      <c r="E355" s="70" t="s">
        <v>473</v>
      </c>
      <c r="F355" s="70" t="s">
        <v>473</v>
      </c>
      <c r="G355" s="68" t="s">
        <v>1040</v>
      </c>
      <c r="H355" s="307" t="s">
        <v>1041</v>
      </c>
      <c r="I355" s="69" t="s">
        <v>1485</v>
      </c>
      <c r="J355" s="69"/>
      <c r="K355" s="68" t="s">
        <v>9</v>
      </c>
      <c r="L355" s="69" t="s">
        <v>129</v>
      </c>
      <c r="M355" s="71" t="s">
        <v>141</v>
      </c>
      <c r="N355" s="69" t="e" vm="1">
        <v>#VALUE!</v>
      </c>
      <c r="O355" s="164">
        <v>45978</v>
      </c>
      <c r="P355" s="72" t="s">
        <v>377</v>
      </c>
      <c r="Q355" s="72" t="s">
        <v>316</v>
      </c>
      <c r="R355" s="162"/>
      <c r="S355" s="146" t="s">
        <v>1430</v>
      </c>
      <c r="T355" s="68" t="s">
        <v>3</v>
      </c>
      <c r="U355" s="87"/>
      <c r="V355" s="80">
        <v>46000</v>
      </c>
      <c r="W355" s="73">
        <v>1935</v>
      </c>
      <c r="X355" s="214">
        <v>105</v>
      </c>
      <c r="Y355" s="83">
        <f>IF(SUM(W355:W355)&gt;0,X355/SUM(W355:W355)*1000000,"N/A")</f>
        <v>54263.56589147287</v>
      </c>
      <c r="Z355" s="183"/>
      <c r="AA355" s="183"/>
      <c r="AB355" s="73" t="s">
        <v>1486</v>
      </c>
      <c r="AC355" s="153"/>
      <c r="AD355" s="331"/>
      <c r="AE355" s="57"/>
      <c r="AF355" s="88"/>
      <c r="AG355" s="182">
        <f>YEAR(V355)</f>
        <v>2025</v>
      </c>
      <c r="AH355" s="86" t="str">
        <f>+IF(AG355=$AH$22,MONTH(V355),"")</f>
        <v/>
      </c>
      <c r="AI355" s="86">
        <f>+IF(AG355=$AI$22,MONTH(V355),"")</f>
        <v>12</v>
      </c>
      <c r="AJ355" s="86" t="str">
        <f>+IF(AG355=$AJ$22,MONTH(V355),"")</f>
        <v/>
      </c>
      <c r="AK355" s="86" t="str">
        <f>+IF(AG355=$AK$22,MONTH(V355),"")</f>
        <v/>
      </c>
      <c r="AL355" s="86"/>
      <c r="AM355" s="89"/>
      <c r="AN355" s="89"/>
      <c r="AO355" s="89"/>
      <c r="AP355" s="89"/>
      <c r="AQ355" s="89"/>
      <c r="AR355" s="89"/>
      <c r="AS355" s="89"/>
      <c r="AT355" s="89"/>
      <c r="AU355" s="89"/>
      <c r="AV355" s="89"/>
      <c r="AW355" s="86" t="str">
        <f>+IF($AG355=AW$22,MONTH($D355),"")</f>
        <v/>
      </c>
      <c r="AX355" s="86" t="str">
        <f>+IF($AG355=AX$22,MONTH($D355),"")</f>
        <v/>
      </c>
      <c r="AY355" s="89"/>
      <c r="AZ355" s="89"/>
      <c r="BA355" s="89"/>
      <c r="BB355" s="89"/>
      <c r="BC355" s="89"/>
      <c r="BD355" s="89"/>
      <c r="BE355" s="89"/>
      <c r="BF355" s="89"/>
      <c r="BG355" s="89"/>
      <c r="BH355" s="89"/>
      <c r="BI355" s="89"/>
      <c r="BJ355" s="89"/>
      <c r="BK355" s="89"/>
      <c r="BL355" s="89"/>
      <c r="BM355" s="89"/>
      <c r="BN355" s="89"/>
      <c r="BO355" s="89"/>
      <c r="BP355" s="89"/>
    </row>
    <row r="356" spans="1:68" s="56" customFormat="1" ht="42.75" hidden="1" customHeight="1">
      <c r="A356" s="204">
        <f>+IFERROR(VALUE(MID(AB356,4,4)),"")</f>
        <v>434</v>
      </c>
      <c r="B356" s="204">
        <f>VALUE(RIGHT(C356,LEN(C356)-2))</f>
        <v>2366</v>
      </c>
      <c r="C356" s="74" t="s">
        <v>1487</v>
      </c>
      <c r="D356" s="75">
        <v>45768</v>
      </c>
      <c r="E356" s="70" t="s">
        <v>685</v>
      </c>
      <c r="F356" s="70" t="s">
        <v>685</v>
      </c>
      <c r="G356" s="68" t="s">
        <v>1488</v>
      </c>
      <c r="H356" s="282" t="s">
        <v>1489</v>
      </c>
      <c r="I356" s="162" t="s">
        <v>1490</v>
      </c>
      <c r="J356" s="162"/>
      <c r="K356" s="68" t="s">
        <v>13</v>
      </c>
      <c r="L356" s="69" t="s">
        <v>120</v>
      </c>
      <c r="M356" s="71" t="s">
        <v>141</v>
      </c>
      <c r="N356" s="69" t="e" vm="1">
        <v>#VALUE!</v>
      </c>
      <c r="O356" s="164">
        <v>45769</v>
      </c>
      <c r="P356" s="72" t="s">
        <v>689</v>
      </c>
      <c r="Q356" s="72" t="s">
        <v>240</v>
      </c>
      <c r="R356" s="162"/>
      <c r="S356" s="146"/>
      <c r="T356" s="68" t="s">
        <v>3</v>
      </c>
      <c r="U356" s="87"/>
      <c r="V356" s="183">
        <v>45782</v>
      </c>
      <c r="W356" s="73">
        <v>120</v>
      </c>
      <c r="X356" s="73">
        <v>6.33</v>
      </c>
      <c r="Y356" s="83">
        <f>IF(SUM(W356:W356)&gt;0,X356/SUM(W356:W356)*1000000,"N/A")</f>
        <v>52750</v>
      </c>
      <c r="Z356" s="183"/>
      <c r="AA356" s="183"/>
      <c r="AB356" s="73" t="s">
        <v>1491</v>
      </c>
      <c r="AC356" s="153"/>
      <c r="AD356" s="331"/>
      <c r="AE356" s="57"/>
      <c r="AF356" s="88"/>
      <c r="AG356" s="182">
        <f>YEAR(V356)</f>
        <v>2025</v>
      </c>
      <c r="AH356" s="86" t="str">
        <f>+IF(AG356=$AH$22,MONTH(V356),"")</f>
        <v/>
      </c>
      <c r="AI356" s="86">
        <f>+IF(AG356=$AI$22,MONTH(V356),"")</f>
        <v>5</v>
      </c>
      <c r="AJ356" s="86" t="str">
        <f>+IF(AG356=$AJ$22,MONTH(V356),"")</f>
        <v/>
      </c>
      <c r="AK356" s="86" t="str">
        <f>+IF(AG356=$AK$22,MONTH(V356),"")</f>
        <v/>
      </c>
      <c r="AL356" s="86"/>
      <c r="AM356" s="89"/>
      <c r="AN356" s="89"/>
      <c r="AO356" s="89"/>
      <c r="AP356" s="89"/>
      <c r="AQ356" s="89"/>
      <c r="AR356" s="89"/>
      <c r="AS356" s="89"/>
      <c r="AT356" s="89"/>
      <c r="AU356" s="89"/>
      <c r="AV356" s="89"/>
      <c r="AW356" s="86" t="str">
        <f>+IF($AG356=AW$22,MONTH($D356),"")</f>
        <v/>
      </c>
      <c r="AX356" s="86" t="str">
        <f>+IF($AG356=AX$22,MONTH($D356),"")</f>
        <v/>
      </c>
      <c r="AY356" s="89"/>
      <c r="AZ356" s="89"/>
      <c r="BA356" s="89"/>
      <c r="BB356" s="89"/>
      <c r="BC356" s="89"/>
      <c r="BD356" s="89"/>
      <c r="BE356" s="89"/>
      <c r="BF356" s="89"/>
      <c r="BG356" s="89"/>
      <c r="BH356" s="89"/>
      <c r="BI356" s="89"/>
      <c r="BJ356" s="89"/>
      <c r="BK356" s="89"/>
      <c r="BL356" s="89"/>
      <c r="BM356" s="89"/>
      <c r="BN356" s="89"/>
      <c r="BO356" s="89"/>
      <c r="BP356" s="89"/>
    </row>
    <row r="357" spans="1:68" s="56" customFormat="1" ht="30" hidden="1" customHeight="1">
      <c r="A357" s="204">
        <f>+IFERROR(VALUE(MID(AB357,4,4)),"")</f>
        <v>368</v>
      </c>
      <c r="B357" s="204">
        <f>VALUE(RIGHT(C357,LEN(C357)-2))</f>
        <v>2365</v>
      </c>
      <c r="C357" s="74" t="s">
        <v>1492</v>
      </c>
      <c r="D357" s="75">
        <v>45763</v>
      </c>
      <c r="E357" s="70" t="s">
        <v>262</v>
      </c>
      <c r="F357" s="70" t="s">
        <v>270</v>
      </c>
      <c r="G357" s="68" t="s">
        <v>1493</v>
      </c>
      <c r="H357" s="307" t="s">
        <v>1494</v>
      </c>
      <c r="I357" s="69" t="s">
        <v>1495</v>
      </c>
      <c r="J357" s="69"/>
      <c r="K357" s="68" t="s">
        <v>9</v>
      </c>
      <c r="L357" s="69" t="s">
        <v>120</v>
      </c>
      <c r="M357" s="71" t="s">
        <v>141</v>
      </c>
      <c r="N357" s="69" t="e" vm="1">
        <v>#VALUE!</v>
      </c>
      <c r="O357" s="84">
        <v>45764</v>
      </c>
      <c r="P357" s="72" t="s">
        <v>369</v>
      </c>
      <c r="Q357" s="72" t="s">
        <v>316</v>
      </c>
      <c r="R357" s="162"/>
      <c r="S357" s="146" t="s">
        <v>899</v>
      </c>
      <c r="T357" s="68" t="s">
        <v>3</v>
      </c>
      <c r="U357" s="87"/>
      <c r="V357" s="80">
        <v>45810</v>
      </c>
      <c r="W357" s="73">
        <v>614.5</v>
      </c>
      <c r="X357" s="73">
        <v>25.1</v>
      </c>
      <c r="Y357" s="169">
        <f>IF(SUM(W357:W357)&gt;0,X357/SUM(W357:W357)*1000000,"N/A")</f>
        <v>40846.216436126939</v>
      </c>
      <c r="Z357" s="80"/>
      <c r="AA357" s="80"/>
      <c r="AB357" s="73" t="s">
        <v>1496</v>
      </c>
      <c r="AC357" s="153"/>
      <c r="AD357" s="330" t="s">
        <v>134</v>
      </c>
      <c r="AE357" s="305"/>
      <c r="AF357" s="88"/>
      <c r="AG357" s="182">
        <f>YEAR(D357)</f>
        <v>2025</v>
      </c>
      <c r="AH357" s="86" t="str">
        <f>+IF(AG357=$AH$22,MONTH(V357),"")</f>
        <v/>
      </c>
      <c r="AI357" s="86">
        <f>+IF(AG357=$AI$22,MONTH(V357),"")</f>
        <v>6</v>
      </c>
      <c r="AJ357" s="86" t="str">
        <f>+IF(AG357=$AJ$22,MONTH(V357),"")</f>
        <v/>
      </c>
      <c r="AK357" s="86" t="str">
        <f>+IF(AG357=$AK$22,MONTH(V357),"")</f>
        <v/>
      </c>
      <c r="AL357" s="86" t="str">
        <f>+IF(AG357=$AL$22,MONTH(V357),"")</f>
        <v/>
      </c>
      <c r="AM357" s="86" t="str">
        <f>+IF($AG357=$AM$22,MONTH($D357),"")</f>
        <v/>
      </c>
      <c r="AN357" s="89" t="str">
        <f>+IF($AG357=AN$22,MONTH($D357),"")</f>
        <v/>
      </c>
      <c r="AO357" s="89" t="str">
        <f>+IF($AG357=AO$22,MONTH($D357),"")</f>
        <v/>
      </c>
      <c r="AP357" s="89" t="str">
        <f>+IF($AG357=AP$22,MONTH($D357),"")</f>
        <v/>
      </c>
      <c r="AQ357" s="89" t="str">
        <f>+IF($AG357=AQ$22,MONTH($D357),"")</f>
        <v/>
      </c>
      <c r="AR357" s="89" t="str">
        <f>+IF($AG357=AR$22,MONTH($D357),"")</f>
        <v/>
      </c>
      <c r="AS357" s="89" t="str">
        <f>+IF($AG357=AS$22,MONTH($D357),"")</f>
        <v/>
      </c>
      <c r="AT357" s="89" t="str">
        <f>+IF($AG357=AT$22,MONTH($D357),"")</f>
        <v/>
      </c>
      <c r="AU357" s="89" t="str">
        <f>+IF($AG357=AU$22,MONTH($D357),"")</f>
        <v/>
      </c>
      <c r="AV357" s="89" t="str">
        <f>+IF($AG357=AV$22,MONTH($D357),"")</f>
        <v/>
      </c>
      <c r="AW357" s="86" t="str">
        <f>+IF($AG357=AW$22,MONTH($D357),"")</f>
        <v/>
      </c>
      <c r="AX357" s="86" t="str">
        <f>+IF($AG357=AX$22,MONTH($D357),"")</f>
        <v/>
      </c>
      <c r="AY357" s="89"/>
      <c r="AZ357" s="89"/>
      <c r="BA357" s="89"/>
      <c r="BB357" s="89"/>
      <c r="BC357" s="89"/>
      <c r="BD357" s="89"/>
      <c r="BE357" s="89"/>
      <c r="BF357" s="89"/>
      <c r="BG357" s="89"/>
      <c r="BH357" s="89"/>
      <c r="BI357" s="89"/>
      <c r="BJ357" s="89"/>
      <c r="BK357" s="89"/>
      <c r="BL357" s="89"/>
      <c r="BM357" s="89"/>
      <c r="BN357" s="89"/>
      <c r="BO357" s="89"/>
      <c r="BP357" s="89"/>
    </row>
    <row r="358" spans="1:68" s="347" customFormat="1" ht="42.75" hidden="1" customHeight="1">
      <c r="A358" s="204" t="str">
        <f>+IFERROR(VALUE(MID(AB358,4,4)),"")</f>
        <v/>
      </c>
      <c r="B358" s="204">
        <f>VALUE(RIGHT(C358,LEN(C358)-2))</f>
        <v>2364</v>
      </c>
      <c r="C358" s="74" t="s">
        <v>1497</v>
      </c>
      <c r="D358" s="75">
        <v>45764</v>
      </c>
      <c r="E358" s="68" t="s">
        <v>53</v>
      </c>
      <c r="F358" s="68" t="s">
        <v>252</v>
      </c>
      <c r="G358" s="68" t="s">
        <v>210</v>
      </c>
      <c r="H358" s="304" t="s">
        <v>210</v>
      </c>
      <c r="I358" s="69" t="s">
        <v>1498</v>
      </c>
      <c r="J358" s="69"/>
      <c r="K358" s="68" t="s">
        <v>275</v>
      </c>
      <c r="L358" s="69" t="s">
        <v>123</v>
      </c>
      <c r="M358" s="71" t="s">
        <v>141</v>
      </c>
      <c r="N358" s="69" t="e" vm="1">
        <v>#VALUE!</v>
      </c>
      <c r="O358" s="84">
        <v>45805</v>
      </c>
      <c r="P358" s="69" t="s">
        <v>213</v>
      </c>
      <c r="Q358" s="69" t="s">
        <v>259</v>
      </c>
      <c r="R358" s="69"/>
      <c r="S358" s="146"/>
      <c r="T358" s="68" t="s">
        <v>155</v>
      </c>
      <c r="U358" s="87"/>
      <c r="V358" s="183">
        <v>45768</v>
      </c>
      <c r="W358" s="73"/>
      <c r="X358" s="73"/>
      <c r="Y358" s="83" t="str">
        <f>IF(SUM(W358:W358)&gt;0,X358/SUM(W358:W358)*1000000,"N/A")</f>
        <v>N/A</v>
      </c>
      <c r="Z358" s="80"/>
      <c r="AA358" s="80"/>
      <c r="AB358" s="73"/>
      <c r="AC358" s="75"/>
      <c r="AD358" s="332"/>
      <c r="AE358" s="68"/>
      <c r="AF358" s="73"/>
      <c r="AG358" s="182">
        <f>YEAR(V358)</f>
        <v>2025</v>
      </c>
      <c r="AH358" s="86" t="str">
        <f>+IF(AG358=$AH$22,MONTH(V358),"")</f>
        <v/>
      </c>
      <c r="AI358" s="86">
        <f>+IF(AG358=$AI$22,MONTH(V358),"")</f>
        <v>4</v>
      </c>
      <c r="AJ358" s="86" t="str">
        <f>+IF(AG358=$AJ$22,MONTH(V358),"")</f>
        <v/>
      </c>
      <c r="AK358" s="86" t="str">
        <f>+IF(AG358=$AK$22,MONTH(V358),"")</f>
        <v/>
      </c>
      <c r="AL358" s="86" t="str">
        <f>+IF(AG358=$AL$22,MONTH(V358),"")</f>
        <v/>
      </c>
      <c r="AM358" s="86" t="str">
        <f>+IF($AG358=$AM$22,MONTH($D358),"")</f>
        <v/>
      </c>
      <c r="AN358" s="89" t="str">
        <f>+IF($AG358=AN$22,MONTH($D358),"")</f>
        <v/>
      </c>
      <c r="AO358" s="184" t="str">
        <f>+IF($AG358=AO$22,MONTH($D358),"")</f>
        <v/>
      </c>
      <c r="AP358" s="184" t="str">
        <f>+IF($AG358=AP$22,MONTH($D358),"")</f>
        <v/>
      </c>
      <c r="AQ358" s="184" t="str">
        <f>+IF($AG358=AQ$22,MONTH($D358),"")</f>
        <v/>
      </c>
      <c r="AR358" s="184" t="str">
        <f>+IF($AG358=AR$22,MONTH($D358),"")</f>
        <v/>
      </c>
      <c r="AS358" s="184" t="str">
        <f>+IF($AG358=AS$22,MONTH($D358),"")</f>
        <v/>
      </c>
      <c r="AT358" s="86" t="str">
        <f>+IF($AG358=AT$22,MONTH($D358),"")</f>
        <v/>
      </c>
      <c r="AU358" s="86" t="str">
        <f>+IF($AG358=AU$22,MONTH($D358),"")</f>
        <v/>
      </c>
      <c r="AV358" s="86" t="str">
        <f>+IF($AG358=AV$22,MONTH($D358),"")</f>
        <v/>
      </c>
      <c r="AW358" s="86" t="str">
        <f>+IF($AG358=AW$22,MONTH($D358),"")</f>
        <v/>
      </c>
      <c r="AX358" s="86" t="str">
        <f>+IF($AG358=AX$22,MONTH($D358),"")</f>
        <v/>
      </c>
      <c r="AY358" s="89"/>
      <c r="AZ358" s="89"/>
      <c r="BA358" s="89"/>
      <c r="BB358" s="89"/>
      <c r="BC358" s="89"/>
      <c r="BD358" s="89"/>
      <c r="BE358" s="89"/>
      <c r="BF358" s="89"/>
      <c r="BG358" s="89"/>
      <c r="BH358" s="89"/>
      <c r="BI358" s="89"/>
      <c r="BJ358" s="89"/>
      <c r="BK358" s="89"/>
      <c r="BL358" s="89"/>
      <c r="BM358" s="89"/>
      <c r="BN358" s="89"/>
      <c r="BO358" s="89"/>
      <c r="BP358" s="89"/>
    </row>
    <row r="359" spans="1:68" s="378" customFormat="1" ht="45.75" hidden="1" customHeight="1">
      <c r="A359" s="204">
        <f>+IFERROR(VALUE(MID(AB359,4,4)),"")</f>
        <v>402</v>
      </c>
      <c r="B359" s="204">
        <f>VALUE(RIGHT(C359,LEN(C359)-2))</f>
        <v>2363</v>
      </c>
      <c r="C359" s="74" t="s">
        <v>1499</v>
      </c>
      <c r="D359" s="75">
        <v>45758</v>
      </c>
      <c r="E359" s="70" t="s">
        <v>685</v>
      </c>
      <c r="F359" s="70" t="s">
        <v>685</v>
      </c>
      <c r="G359" s="68" t="s">
        <v>1253</v>
      </c>
      <c r="H359" s="282" t="s">
        <v>1254</v>
      </c>
      <c r="I359" s="69" t="s">
        <v>1500</v>
      </c>
      <c r="J359" s="69"/>
      <c r="K359" s="68" t="s">
        <v>13</v>
      </c>
      <c r="L359" s="69" t="s">
        <v>120</v>
      </c>
      <c r="M359" s="71" t="s">
        <v>141</v>
      </c>
      <c r="N359" s="69" t="e" vm="1">
        <v>#VALUE!</v>
      </c>
      <c r="O359" s="84">
        <v>45758</v>
      </c>
      <c r="P359" s="72" t="s">
        <v>364</v>
      </c>
      <c r="Q359" s="72" t="s">
        <v>229</v>
      </c>
      <c r="R359" s="162"/>
      <c r="S359" s="146" t="s">
        <v>1256</v>
      </c>
      <c r="T359" s="68" t="s">
        <v>3</v>
      </c>
      <c r="U359" s="87"/>
      <c r="V359" s="80">
        <v>45763</v>
      </c>
      <c r="W359" s="73">
        <v>1435.5</v>
      </c>
      <c r="X359" s="73">
        <v>60.8</v>
      </c>
      <c r="Y359" s="169">
        <f>IF(SUM(W359:W359)&gt;0,X359/SUM(W359:W359)*1000000,"N/A")</f>
        <v>42354.580285614764</v>
      </c>
      <c r="Z359" s="80"/>
      <c r="AA359" s="80"/>
      <c r="AB359" s="73" t="s">
        <v>1501</v>
      </c>
      <c r="AC359" s="153"/>
      <c r="AD359" s="331"/>
      <c r="AE359" s="57"/>
      <c r="AF359" s="88"/>
      <c r="AG359" s="182">
        <f>YEAR(V359)</f>
        <v>2025</v>
      </c>
      <c r="AH359" s="86" t="str">
        <f>+IF(AG359=$AH$22,MONTH(V359),"")</f>
        <v/>
      </c>
      <c r="AI359" s="86">
        <f>+IF(AG359=$AI$22,MONTH(V359),"")</f>
        <v>4</v>
      </c>
      <c r="AJ359" s="86" t="str">
        <f>+IF(AG359=$AJ$22,MONTH(V359),"")</f>
        <v/>
      </c>
      <c r="AK359" s="86" t="str">
        <f>+IF(AG359=$AK$22,MONTH(V359),"")</f>
        <v/>
      </c>
      <c r="AL359" s="86" t="str">
        <f>+IF(AG359=$AL$22,MONTH(V359),"")</f>
        <v/>
      </c>
      <c r="AM359" s="86" t="str">
        <f>+IF($AG359=$AM$22,MONTH($D359),"")</f>
        <v/>
      </c>
      <c r="AN359" s="89" t="str">
        <f>+IF($AG359=AN$22,MONTH($D359),"")</f>
        <v/>
      </c>
      <c r="AO359" s="89" t="str">
        <f>+IF($AG359=AO$22,MONTH($D359),"")</f>
        <v/>
      </c>
      <c r="AP359" s="89" t="str">
        <f>+IF($AG359=AP$22,MONTH($D359),"")</f>
        <v/>
      </c>
      <c r="AQ359" s="89" t="str">
        <f>+IF($AG359=AQ$22,MONTH($D359),"")</f>
        <v/>
      </c>
      <c r="AR359" s="89" t="str">
        <f>+IF($AG359=AR$22,MONTH($D359),"")</f>
        <v/>
      </c>
      <c r="AS359" s="89" t="str">
        <f>+IF($AG359=AS$22,MONTH($D359),"")</f>
        <v/>
      </c>
      <c r="AT359" s="89" t="str">
        <f>+IF($AG359=AT$22,MONTH($D359),"")</f>
        <v/>
      </c>
      <c r="AU359" s="89" t="str">
        <f>+IF($AG359=AU$22,MONTH($D359),"")</f>
        <v/>
      </c>
      <c r="AV359" s="89" t="str">
        <f>+IF($AG359=AV$22,MONTH($D359),"")</f>
        <v/>
      </c>
      <c r="AW359" s="86" t="str">
        <f>+IF($AG359=AW$22,MONTH($D359),"")</f>
        <v/>
      </c>
      <c r="AX359" s="86" t="str">
        <f>+IF($AG359=AX$22,MONTH($D359),"")</f>
        <v/>
      </c>
      <c r="AY359" s="89"/>
      <c r="AZ359" s="89"/>
      <c r="BA359" s="89"/>
      <c r="BB359" s="89"/>
      <c r="BC359" s="89"/>
      <c r="BD359" s="89"/>
      <c r="BE359" s="89"/>
      <c r="BF359" s="89"/>
      <c r="BG359" s="89"/>
      <c r="BH359" s="89"/>
      <c r="BI359" s="89"/>
      <c r="BJ359" s="89"/>
      <c r="BK359" s="89"/>
      <c r="BL359" s="89"/>
      <c r="BM359" s="89"/>
      <c r="BN359" s="89"/>
      <c r="BO359" s="89"/>
      <c r="BP359" s="89"/>
    </row>
    <row r="360" spans="1:68" s="56" customFormat="1" ht="31.5" hidden="1" customHeight="1">
      <c r="A360" s="204">
        <f>+IFERROR(VALUE(MID(AB360,4,4)),"")</f>
        <v>442</v>
      </c>
      <c r="B360" s="204">
        <f>VALUE(RIGHT(C360,LEN(C360)-2))</f>
        <v>2362</v>
      </c>
      <c r="C360" s="74" t="s">
        <v>1502</v>
      </c>
      <c r="D360" s="75">
        <v>45762</v>
      </c>
      <c r="E360" s="68" t="s">
        <v>1503</v>
      </c>
      <c r="F360" s="68" t="s">
        <v>930</v>
      </c>
      <c r="G360" s="68" t="s">
        <v>1504</v>
      </c>
      <c r="H360" s="282" t="s">
        <v>1505</v>
      </c>
      <c r="I360" s="69" t="s">
        <v>1506</v>
      </c>
      <c r="J360" s="69"/>
      <c r="K360" s="68" t="s">
        <v>18</v>
      </c>
      <c r="L360" s="69" t="s">
        <v>123</v>
      </c>
      <c r="M360" s="71" t="s">
        <v>141</v>
      </c>
      <c r="N360" s="69" t="e" vm="1">
        <v>#VALUE!</v>
      </c>
      <c r="O360" s="84">
        <v>45800</v>
      </c>
      <c r="P360" s="69" t="s">
        <v>274</v>
      </c>
      <c r="Q360" s="69" t="s">
        <v>220</v>
      </c>
      <c r="R360" s="69"/>
      <c r="S360" s="146"/>
      <c r="T360" s="68" t="s">
        <v>3</v>
      </c>
      <c r="U360" s="87"/>
      <c r="V360" s="183">
        <v>45859</v>
      </c>
      <c r="W360" s="73">
        <v>1007</v>
      </c>
      <c r="X360" s="73">
        <v>57.7</v>
      </c>
      <c r="Y360" s="83">
        <f>IF(SUM(W360:W360)&gt;0,X360/SUM(W360:W360)*1000000,"N/A")</f>
        <v>57298.907646474683</v>
      </c>
      <c r="Z360" s="80"/>
      <c r="AA360" s="80"/>
      <c r="AB360" s="73" t="s">
        <v>1507</v>
      </c>
      <c r="AC360" s="75"/>
      <c r="AD360" s="332"/>
      <c r="AE360" s="68"/>
      <c r="AF360" s="73"/>
      <c r="AG360" s="182">
        <f>YEAR(V360)</f>
        <v>2025</v>
      </c>
      <c r="AH360" s="86" t="str">
        <f>+IF(AG360=$AH$22,MONTH(V360),"")</f>
        <v/>
      </c>
      <c r="AI360" s="86">
        <f>+IF(AG360=$AI$22,MONTH(V360),"")</f>
        <v>7</v>
      </c>
      <c r="AJ360" s="86" t="str">
        <f>+IF(AG360=$AJ$22,MONTH(V360),"")</f>
        <v/>
      </c>
      <c r="AK360" s="86" t="str">
        <f>+IF(AG360=$AK$22,MONTH(V360),"")</f>
        <v/>
      </c>
      <c r="AL360" s="86" t="str">
        <f>+IF(AG360=$AL$22,MONTH(V360),"")</f>
        <v/>
      </c>
      <c r="AM360" s="86" t="str">
        <f>+IF($AG360=$AM$22,MONTH($D360),"")</f>
        <v/>
      </c>
      <c r="AN360" s="89" t="str">
        <f>+IF($AG360=AN$22,MONTH($D360),"")</f>
        <v/>
      </c>
      <c r="AO360" s="184" t="str">
        <f>+IF($AG360=AO$22,MONTH($D360),"")</f>
        <v/>
      </c>
      <c r="AP360" s="184" t="str">
        <f>+IF($AG360=AP$22,MONTH($D360),"")</f>
        <v/>
      </c>
      <c r="AQ360" s="184" t="str">
        <f>+IF($AG360=AQ$22,MONTH($D360),"")</f>
        <v/>
      </c>
      <c r="AR360" s="184" t="str">
        <f>+IF($AG360=AR$22,MONTH($D360),"")</f>
        <v/>
      </c>
      <c r="AS360" s="184" t="str">
        <f>+IF($AG360=AS$22,MONTH($D360),"")</f>
        <v/>
      </c>
      <c r="AT360" s="86" t="str">
        <f>+IF($AG360=AT$22,MONTH($D360),"")</f>
        <v/>
      </c>
      <c r="AU360" s="86" t="str">
        <f>+IF($AG360=AU$22,MONTH($D360),"")</f>
        <v/>
      </c>
      <c r="AV360" s="86" t="str">
        <f>+IF($AG360=AV$22,MONTH($D360),"")</f>
        <v/>
      </c>
      <c r="AW360" s="86" t="str">
        <f>+IF($AG360=AW$22,MONTH($D360),"")</f>
        <v/>
      </c>
      <c r="AX360" s="86" t="str">
        <f>+IF($AG360=AX$22,MONTH($D360),"")</f>
        <v/>
      </c>
      <c r="AY360" s="89"/>
      <c r="AZ360" s="89"/>
      <c r="BA360" s="89"/>
      <c r="BB360" s="89"/>
      <c r="BC360" s="89"/>
      <c r="BD360" s="89"/>
      <c r="BE360" s="89"/>
      <c r="BF360" s="89"/>
      <c r="BG360" s="89"/>
      <c r="BH360" s="89"/>
      <c r="BI360" s="89"/>
      <c r="BJ360" s="89"/>
      <c r="BK360" s="89"/>
      <c r="BL360" s="89"/>
      <c r="BM360" s="89"/>
      <c r="BN360" s="89"/>
      <c r="BO360" s="89"/>
      <c r="BP360" s="89"/>
    </row>
    <row r="361" spans="1:68" s="378" customFormat="1" ht="45.75" hidden="1" customHeight="1">
      <c r="A361" s="204">
        <f>+IFERROR(VALUE(MID(AB361,4,4)),"")</f>
        <v>452</v>
      </c>
      <c r="B361" s="204">
        <f>VALUE(RIGHT(C361,LEN(C361)-2))</f>
        <v>2361</v>
      </c>
      <c r="C361" s="74" t="s">
        <v>1508</v>
      </c>
      <c r="D361" s="75">
        <v>45762</v>
      </c>
      <c r="E361" s="70" t="s">
        <v>353</v>
      </c>
      <c r="F361" s="70" t="s">
        <v>354</v>
      </c>
      <c r="G361" s="68" t="s">
        <v>1294</v>
      </c>
      <c r="H361" s="282" t="s">
        <v>1295</v>
      </c>
      <c r="I361" s="162" t="s">
        <v>1509</v>
      </c>
      <c r="J361" s="162"/>
      <c r="K361" s="68" t="s">
        <v>401</v>
      </c>
      <c r="L361" s="69" t="s">
        <v>120</v>
      </c>
      <c r="M361" s="71" t="s">
        <v>141</v>
      </c>
      <c r="N361" s="69" t="e" vm="1">
        <v>#VALUE!</v>
      </c>
      <c r="O361" s="164">
        <v>45854</v>
      </c>
      <c r="P361" s="72" t="s">
        <v>274</v>
      </c>
      <c r="Q361" s="72" t="s">
        <v>220</v>
      </c>
      <c r="R361" s="162"/>
      <c r="S361" s="146"/>
      <c r="T361" s="68" t="s">
        <v>3</v>
      </c>
      <c r="U361" s="87">
        <v>0</v>
      </c>
      <c r="V361" s="183">
        <v>45884</v>
      </c>
      <c r="W361" s="73">
        <v>172</v>
      </c>
      <c r="X361" s="73">
        <v>9.0220000000000002</v>
      </c>
      <c r="Y361" s="83">
        <f>IF(SUM(W361:W361)&gt;0,X361/SUM(W361:W361)*1000000,"N/A")</f>
        <v>52453.488372093023</v>
      </c>
      <c r="Z361" s="183"/>
      <c r="AA361" s="183"/>
      <c r="AB361" s="73" t="s">
        <v>1510</v>
      </c>
      <c r="AC361" s="153"/>
      <c r="AD361" s="331"/>
      <c r="AE361" s="57"/>
      <c r="AF361" s="88"/>
      <c r="AG361" s="182">
        <f>YEAR(V361)</f>
        <v>2025</v>
      </c>
      <c r="AH361" s="86" t="str">
        <f>+IF(AG361=$AH$22,MONTH(V361),"")</f>
        <v/>
      </c>
      <c r="AI361" s="86">
        <f>+IF(AG361=$AI$22,MONTH(V361),"")</f>
        <v>8</v>
      </c>
      <c r="AJ361" s="86" t="str">
        <f>+IF(AG361=$AJ$22,MONTH(V361),"")</f>
        <v/>
      </c>
      <c r="AK361" s="86" t="str">
        <f>+IF(AG361=$AK$22,MONTH(V361),"")</f>
        <v/>
      </c>
      <c r="AL361" s="86"/>
      <c r="AM361" s="89"/>
      <c r="AN361" s="89"/>
      <c r="AO361" s="89"/>
      <c r="AP361" s="89"/>
      <c r="AQ361" s="89"/>
      <c r="AR361" s="89"/>
      <c r="AS361" s="89"/>
      <c r="AT361" s="89"/>
      <c r="AU361" s="89"/>
      <c r="AV361" s="89"/>
      <c r="AW361" s="86" t="str">
        <f>+IF($AG361=AW$22,MONTH($D361),"")</f>
        <v/>
      </c>
      <c r="AX361" s="86" t="str">
        <f>+IF($AG361=AX$22,MONTH($D361),"")</f>
        <v/>
      </c>
      <c r="AY361" s="89"/>
      <c r="AZ361" s="89"/>
      <c r="BA361" s="89"/>
      <c r="BB361" s="89"/>
      <c r="BC361" s="89"/>
      <c r="BD361" s="89"/>
      <c r="BE361" s="89"/>
      <c r="BF361" s="89"/>
      <c r="BG361" s="89"/>
      <c r="BH361" s="89"/>
      <c r="BI361" s="89"/>
      <c r="BJ361" s="89"/>
      <c r="BK361" s="89"/>
      <c r="BL361" s="89"/>
      <c r="BM361" s="89"/>
      <c r="BN361" s="89"/>
      <c r="BO361" s="89"/>
      <c r="BP361" s="89"/>
    </row>
    <row r="362" spans="1:68" s="356" customFormat="1" ht="27" hidden="1" customHeight="1">
      <c r="A362" s="204" t="str">
        <f>+IFERROR(VALUE(MID(AB362,4,4)),"")</f>
        <v/>
      </c>
      <c r="B362" s="204">
        <f>VALUE(RIGHT(C362,LEN(C362)-2))</f>
        <v>2360</v>
      </c>
      <c r="C362" s="74" t="s">
        <v>1511</v>
      </c>
      <c r="D362" s="75">
        <v>45762</v>
      </c>
      <c r="E362" s="70" t="s">
        <v>420</v>
      </c>
      <c r="F362" s="70" t="s">
        <v>685</v>
      </c>
      <c r="G362" s="68" t="s">
        <v>1512</v>
      </c>
      <c r="H362" s="282" t="s">
        <v>1513</v>
      </c>
      <c r="I362" s="69" t="s">
        <v>1514</v>
      </c>
      <c r="J362" s="69"/>
      <c r="K362" s="68" t="s">
        <v>9</v>
      </c>
      <c r="L362" s="69" t="s">
        <v>120</v>
      </c>
      <c r="M362" s="71" t="s">
        <v>141</v>
      </c>
      <c r="N362" s="69" t="e" vm="1">
        <v>#VALUE!</v>
      </c>
      <c r="O362" s="84">
        <v>45775</v>
      </c>
      <c r="P362" s="72" t="s">
        <v>258</v>
      </c>
      <c r="Q362" s="72" t="s">
        <v>623</v>
      </c>
      <c r="R362" s="162"/>
      <c r="S362" s="146"/>
      <c r="T362" s="68" t="s">
        <v>165</v>
      </c>
      <c r="U362" s="87"/>
      <c r="V362" s="80">
        <v>45763</v>
      </c>
      <c r="W362" s="73">
        <v>237</v>
      </c>
      <c r="X362" s="73">
        <f>310*39100/1000000</f>
        <v>12.121</v>
      </c>
      <c r="Y362" s="83">
        <f>IF(SUM(W362:W362)&gt;0,X362/SUM(W362:W362)*1000000,"N/A")</f>
        <v>51143.45991561182</v>
      </c>
      <c r="Z362" s="80"/>
      <c r="AA362" s="80"/>
      <c r="AB362" s="73"/>
      <c r="AC362" s="153"/>
      <c r="AD362" s="331"/>
      <c r="AE362" s="57"/>
      <c r="AF362" s="88"/>
      <c r="AG362" s="182">
        <f>YEAR(V362)</f>
        <v>2025</v>
      </c>
      <c r="AH362" s="86" t="str">
        <f>+IF(AG362=$AH$22,MONTH(V362),"")</f>
        <v/>
      </c>
      <c r="AI362" s="86">
        <f>+IF(AG362=$AI$22,MONTH(V362),"")</f>
        <v>4</v>
      </c>
      <c r="AJ362" s="86" t="str">
        <f>+IF(AG362=$AJ$22,MONTH(V362),"")</f>
        <v/>
      </c>
      <c r="AK362" s="86" t="str">
        <f>+IF(AG362=$AK$22,MONTH(V362),"")</f>
        <v/>
      </c>
      <c r="AL362" s="86" t="str">
        <f>+IF(AG362=$AL$22,MONTH(V362),"")</f>
        <v/>
      </c>
      <c r="AM362" s="86" t="str">
        <f>+IF($AG362=$AM$22,MONTH($D362),"")</f>
        <v/>
      </c>
      <c r="AN362" s="89" t="str">
        <f>+IF($AG362=AN$22,MONTH($D362),"")</f>
        <v/>
      </c>
      <c r="AO362" s="89" t="str">
        <f>+IF($AG362=AO$22,MONTH($D362),"")</f>
        <v/>
      </c>
      <c r="AP362" s="89" t="str">
        <f>+IF($AG362=AP$22,MONTH($D362),"")</f>
        <v/>
      </c>
      <c r="AQ362" s="89" t="str">
        <f>+IF($AG362=AQ$22,MONTH($D362),"")</f>
        <v/>
      </c>
      <c r="AR362" s="89" t="str">
        <f>+IF($AG362=AR$22,MONTH($D362),"")</f>
        <v/>
      </c>
      <c r="AS362" s="89" t="str">
        <f>+IF($AG362=AS$22,MONTH($D362),"")</f>
        <v/>
      </c>
      <c r="AT362" s="89" t="str">
        <f>+IF($AG362=AT$22,MONTH($D362),"")</f>
        <v/>
      </c>
      <c r="AU362" s="89" t="str">
        <f>+IF($AG362=AU$22,MONTH($D362),"")</f>
        <v/>
      </c>
      <c r="AV362" s="89" t="str">
        <f>+IF($AG362=AV$22,MONTH($D362),"")</f>
        <v/>
      </c>
      <c r="AW362" s="86" t="str">
        <f>+IF($AG362=AW$22,MONTH($D362),"")</f>
        <v/>
      </c>
      <c r="AX362" s="86" t="str">
        <f>+IF($AG362=AX$22,MONTH($D362),"")</f>
        <v/>
      </c>
      <c r="AY362" s="89"/>
      <c r="AZ362" s="89"/>
      <c r="BA362" s="89"/>
      <c r="BB362" s="89"/>
      <c r="BC362" s="89"/>
      <c r="BD362" s="89"/>
      <c r="BE362" s="89"/>
      <c r="BF362" s="89"/>
      <c r="BG362" s="89"/>
      <c r="BH362" s="89"/>
      <c r="BI362" s="89"/>
      <c r="BJ362" s="89"/>
      <c r="BK362" s="89"/>
      <c r="BL362" s="89"/>
      <c r="BM362" s="89"/>
      <c r="BN362" s="89"/>
      <c r="BO362" s="89"/>
      <c r="BP362" s="89"/>
    </row>
    <row r="363" spans="1:68" s="56" customFormat="1" ht="36" hidden="1" customHeight="1">
      <c r="A363" s="204" t="str">
        <f>+IFERROR(VALUE(MID(AB363,4,4)),"")</f>
        <v/>
      </c>
      <c r="B363" s="204">
        <f>VALUE(RIGHT(C363,LEN(C363)-2))</f>
        <v>2359</v>
      </c>
      <c r="C363" s="74" t="s">
        <v>1515</v>
      </c>
      <c r="D363" s="75">
        <v>45762</v>
      </c>
      <c r="E363" s="68" t="s">
        <v>53</v>
      </c>
      <c r="F363" s="68" t="s">
        <v>252</v>
      </c>
      <c r="G363" s="68" t="s">
        <v>210</v>
      </c>
      <c r="H363" s="304" t="s">
        <v>210</v>
      </c>
      <c r="I363" s="69" t="s">
        <v>1516</v>
      </c>
      <c r="J363" s="69"/>
      <c r="K363" s="68" t="s">
        <v>9</v>
      </c>
      <c r="L363" s="69" t="s">
        <v>123</v>
      </c>
      <c r="M363" s="71" t="s">
        <v>141</v>
      </c>
      <c r="N363" s="69" t="e" vm="1">
        <v>#VALUE!</v>
      </c>
      <c r="O363" s="84">
        <v>45805</v>
      </c>
      <c r="P363" s="69" t="s">
        <v>213</v>
      </c>
      <c r="Q363" s="69" t="s">
        <v>259</v>
      </c>
      <c r="R363" s="69"/>
      <c r="S363" s="146"/>
      <c r="T363" s="68" t="s">
        <v>155</v>
      </c>
      <c r="U363" s="87"/>
      <c r="V363" s="183">
        <v>45763</v>
      </c>
      <c r="W363" s="73"/>
      <c r="X363" s="73"/>
      <c r="Y363" s="83" t="str">
        <f>IF(SUM(W363:W363)&gt;0,X363/SUM(W363:W363)*1000000,"N/A")</f>
        <v>N/A</v>
      </c>
      <c r="Z363" s="80"/>
      <c r="AA363" s="80"/>
      <c r="AB363" s="73"/>
      <c r="AC363" s="75"/>
      <c r="AD363" s="332"/>
      <c r="AE363" s="68"/>
      <c r="AF363" s="73"/>
      <c r="AG363" s="182">
        <f>YEAR(V363)</f>
        <v>2025</v>
      </c>
      <c r="AH363" s="86" t="str">
        <f>+IF(AG363=$AH$22,MONTH(V363),"")</f>
        <v/>
      </c>
      <c r="AI363" s="86">
        <f>+IF(AG363=$AI$22,MONTH(V363),"")</f>
        <v>4</v>
      </c>
      <c r="AJ363" s="86" t="str">
        <f>+IF(AG363=$AJ$22,MONTH(V363),"")</f>
        <v/>
      </c>
      <c r="AK363" s="86" t="str">
        <f>+IF(AG363=$AK$22,MONTH(V363),"")</f>
        <v/>
      </c>
      <c r="AL363" s="86" t="str">
        <f>+IF(AG363=$AL$22,MONTH(V363),"")</f>
        <v/>
      </c>
      <c r="AM363" s="86" t="str">
        <f>+IF($AG363=$AM$22,MONTH($D363),"")</f>
        <v/>
      </c>
      <c r="AN363" s="89" t="str">
        <f>+IF($AG363=AN$22,MONTH($D363),"")</f>
        <v/>
      </c>
      <c r="AO363" s="184" t="str">
        <f>+IF($AG363=AO$22,MONTH($D363),"")</f>
        <v/>
      </c>
      <c r="AP363" s="184" t="str">
        <f>+IF($AG363=AP$22,MONTH($D363),"")</f>
        <v/>
      </c>
      <c r="AQ363" s="184" t="str">
        <f>+IF($AG363=AQ$22,MONTH($D363),"")</f>
        <v/>
      </c>
      <c r="AR363" s="184" t="str">
        <f>+IF($AG363=AR$22,MONTH($D363),"")</f>
        <v/>
      </c>
      <c r="AS363" s="184" t="str">
        <f>+IF($AG363=AS$22,MONTH($D363),"")</f>
        <v/>
      </c>
      <c r="AT363" s="86" t="str">
        <f>+IF($AG363=AT$22,MONTH($D363),"")</f>
        <v/>
      </c>
      <c r="AU363" s="86" t="str">
        <f>+IF($AG363=AU$22,MONTH($D363),"")</f>
        <v/>
      </c>
      <c r="AV363" s="86" t="str">
        <f>+IF($AG363=AV$22,MONTH($D363),"")</f>
        <v/>
      </c>
      <c r="AW363" s="86" t="str">
        <f>+IF($AG363=AW$22,MONTH($D363),"")</f>
        <v/>
      </c>
      <c r="AX363" s="86" t="str">
        <f>+IF($AG363=AX$22,MONTH($D363),"")</f>
        <v/>
      </c>
      <c r="AY363" s="89"/>
      <c r="AZ363" s="89"/>
      <c r="BA363" s="89"/>
      <c r="BB363" s="89"/>
      <c r="BC363" s="89"/>
      <c r="BD363" s="89"/>
      <c r="BE363" s="89"/>
      <c r="BF363" s="89"/>
      <c r="BG363" s="89"/>
      <c r="BH363" s="89"/>
      <c r="BI363" s="89"/>
      <c r="BJ363" s="89"/>
      <c r="BK363" s="89"/>
      <c r="BL363" s="89"/>
      <c r="BM363" s="89"/>
      <c r="BN363" s="89"/>
      <c r="BO363" s="89"/>
      <c r="BP363" s="89"/>
    </row>
    <row r="364" spans="1:68" s="378" customFormat="1" ht="45.75" hidden="1" customHeight="1">
      <c r="A364" s="204" t="str">
        <f>+IFERROR(VALUE(MID(AB364,4,4)),"")</f>
        <v/>
      </c>
      <c r="B364" s="204">
        <f>VALUE(RIGHT(C364,LEN(C364)-2))</f>
        <v>2358</v>
      </c>
      <c r="C364" s="74" t="s">
        <v>1517</v>
      </c>
      <c r="D364" s="75">
        <v>45761</v>
      </c>
      <c r="E364" s="70" t="s">
        <v>1518</v>
      </c>
      <c r="F364" s="70" t="s">
        <v>1518</v>
      </c>
      <c r="G364" s="68" t="s">
        <v>1519</v>
      </c>
      <c r="H364" s="282" t="s">
        <v>1520</v>
      </c>
      <c r="I364" s="69" t="s">
        <v>1521</v>
      </c>
      <c r="J364" s="69"/>
      <c r="K364" s="68" t="s">
        <v>30</v>
      </c>
      <c r="L364" s="69" t="s">
        <v>120</v>
      </c>
      <c r="M364" s="71" t="s">
        <v>141</v>
      </c>
      <c r="N364" s="69" t="e" vm="1">
        <v>#VALUE!</v>
      </c>
      <c r="O364" s="84">
        <v>45769</v>
      </c>
      <c r="P364" s="72" t="s">
        <v>281</v>
      </c>
      <c r="Q364" s="72" t="s">
        <v>220</v>
      </c>
      <c r="R364" s="162"/>
      <c r="S364" s="146"/>
      <c r="T364" s="68" t="s">
        <v>165</v>
      </c>
      <c r="U364" s="87"/>
      <c r="V364" s="80">
        <v>45928</v>
      </c>
      <c r="W364" s="73">
        <v>60</v>
      </c>
      <c r="X364" s="73">
        <v>4.7</v>
      </c>
      <c r="Y364" s="83">
        <f>IF(SUM(W364:W364)&gt;0,X364/SUM(W364:W364)*1000000,"N/A")</f>
        <v>78333.333333333343</v>
      </c>
      <c r="Z364" s="80"/>
      <c r="AA364" s="80"/>
      <c r="AB364" s="73"/>
      <c r="AC364" s="153"/>
      <c r="AD364" s="331"/>
      <c r="AE364" s="57"/>
      <c r="AF364" s="88"/>
      <c r="AG364" s="182">
        <f>YEAR(V364)</f>
        <v>2025</v>
      </c>
      <c r="AH364" s="86" t="str">
        <f>+IF(AG364=$AH$22,MONTH(V364),"")</f>
        <v/>
      </c>
      <c r="AI364" s="86">
        <f>+IF(AG364=$AI$22,MONTH(V364),"")</f>
        <v>9</v>
      </c>
      <c r="AJ364" s="86" t="str">
        <f>+IF(AG364=$AJ$22,MONTH(V364),"")</f>
        <v/>
      </c>
      <c r="AK364" s="86" t="str">
        <f>+IF(AG364=$AK$22,MONTH(V364),"")</f>
        <v/>
      </c>
      <c r="AL364" s="86" t="str">
        <f>+IF(AG364=$AL$22,MONTH(V364),"")</f>
        <v/>
      </c>
      <c r="AM364" s="86" t="str">
        <f>+IF($AG364=$AM$22,MONTH($D364),"")</f>
        <v/>
      </c>
      <c r="AN364" s="89" t="str">
        <f>+IF($AG364=AN$22,MONTH($D364),"")</f>
        <v/>
      </c>
      <c r="AO364" s="89" t="str">
        <f>+IF($AG364=AO$22,MONTH($D364),"")</f>
        <v/>
      </c>
      <c r="AP364" s="89" t="str">
        <f>+IF($AG364=AP$22,MONTH($D364),"")</f>
        <v/>
      </c>
      <c r="AQ364" s="89" t="str">
        <f>+IF($AG364=AQ$22,MONTH($D364),"")</f>
        <v/>
      </c>
      <c r="AR364" s="89" t="str">
        <f>+IF($AG364=AR$22,MONTH($D364),"")</f>
        <v/>
      </c>
      <c r="AS364" s="89" t="str">
        <f>+IF($AG364=AS$22,MONTH($D364),"")</f>
        <v/>
      </c>
      <c r="AT364" s="89" t="str">
        <f>+IF($AG364=AT$22,MONTH($D364),"")</f>
        <v/>
      </c>
      <c r="AU364" s="89" t="str">
        <f>+IF($AG364=AU$22,MONTH($D364),"")</f>
        <v/>
      </c>
      <c r="AV364" s="89" t="str">
        <f>+IF($AG364=AV$22,MONTH($D364),"")</f>
        <v/>
      </c>
      <c r="AW364" s="86" t="str">
        <f>+IF($AG364=AW$22,MONTH($D364),"")</f>
        <v/>
      </c>
      <c r="AX364" s="86" t="str">
        <f>+IF($AG364=AX$22,MONTH($D364),"")</f>
        <v/>
      </c>
      <c r="AY364" s="89"/>
      <c r="AZ364" s="89"/>
      <c r="BA364" s="89"/>
      <c r="BB364" s="89"/>
      <c r="BC364" s="89"/>
      <c r="BD364" s="89"/>
      <c r="BE364" s="89"/>
      <c r="BF364" s="89"/>
      <c r="BG364" s="89"/>
      <c r="BH364" s="89"/>
      <c r="BI364" s="89"/>
      <c r="BJ364" s="89"/>
      <c r="BK364" s="89"/>
      <c r="BL364" s="89"/>
      <c r="BM364" s="89"/>
      <c r="BN364" s="89"/>
      <c r="BO364" s="89"/>
      <c r="BP364" s="89"/>
    </row>
    <row r="365" spans="1:68" s="56" customFormat="1" ht="36" hidden="1" customHeight="1">
      <c r="A365" s="204">
        <f>+IFERROR(VALUE(MID(AB365,4,4)),"")</f>
        <v>357</v>
      </c>
      <c r="B365" s="204">
        <f>VALUE(RIGHT(C365,LEN(C365)-2))</f>
        <v>2357</v>
      </c>
      <c r="C365" s="74" t="s">
        <v>1522</v>
      </c>
      <c r="D365" s="75">
        <v>45758</v>
      </c>
      <c r="E365" s="70" t="s">
        <v>262</v>
      </c>
      <c r="F365" s="70" t="s">
        <v>263</v>
      </c>
      <c r="G365" s="68" t="s">
        <v>1523</v>
      </c>
      <c r="H365" s="307" t="s">
        <v>1524</v>
      </c>
      <c r="I365" s="69" t="s">
        <v>1525</v>
      </c>
      <c r="J365" s="69"/>
      <c r="K365" s="68" t="s">
        <v>389</v>
      </c>
      <c r="L365" s="69" t="s">
        <v>129</v>
      </c>
      <c r="M365" s="71" t="s">
        <v>141</v>
      </c>
      <c r="N365" s="69" t="e" vm="1">
        <v>#VALUE!</v>
      </c>
      <c r="O365" s="84">
        <v>45761</v>
      </c>
      <c r="P365" s="72" t="s">
        <v>364</v>
      </c>
      <c r="Q365" s="72" t="s">
        <v>389</v>
      </c>
      <c r="R365" s="162"/>
      <c r="S365" s="146" t="s">
        <v>899</v>
      </c>
      <c r="T365" s="68" t="s">
        <v>168</v>
      </c>
      <c r="U365" s="87"/>
      <c r="V365" s="80">
        <v>45905</v>
      </c>
      <c r="W365" s="73">
        <v>2988</v>
      </c>
      <c r="X365" s="73">
        <v>141.69999999999999</v>
      </c>
      <c r="Y365" s="169">
        <f>IF(SUM(W365:W365)&gt;0,X365/SUM(W365:W365)*1000000,"N/A")</f>
        <v>47423.025435073621</v>
      </c>
      <c r="Z365" s="80"/>
      <c r="AA365" s="80"/>
      <c r="AB365" s="73" t="s">
        <v>1526</v>
      </c>
      <c r="AC365" s="153"/>
      <c r="AD365" s="330" t="s">
        <v>134</v>
      </c>
      <c r="AE365" s="305"/>
      <c r="AF365" s="88"/>
      <c r="AG365" s="182">
        <f>YEAR(D365)</f>
        <v>2025</v>
      </c>
      <c r="AH365" s="86" t="str">
        <f>+IF(AG365=$AH$22,MONTH(V365),"")</f>
        <v/>
      </c>
      <c r="AI365" s="86">
        <f>+IF(AG365=$AI$22,MONTH(V365),"")</f>
        <v>9</v>
      </c>
      <c r="AJ365" s="86" t="str">
        <f>+IF(AG365=$AJ$22,MONTH(V365),"")</f>
        <v/>
      </c>
      <c r="AK365" s="86" t="str">
        <f>+IF(AG365=$AK$22,MONTH(V365),"")</f>
        <v/>
      </c>
      <c r="AL365" s="86" t="str">
        <f>+IF(AG365=$AL$22,MONTH(V365),"")</f>
        <v/>
      </c>
      <c r="AM365" s="86" t="str">
        <f>+IF($AG365=$AM$22,MONTH($D365),"")</f>
        <v/>
      </c>
      <c r="AN365" s="89" t="str">
        <f>+IF($AG365=AN$22,MONTH($D365),"")</f>
        <v/>
      </c>
      <c r="AO365" s="89" t="str">
        <f>+IF($AG365=AO$22,MONTH($D365),"")</f>
        <v/>
      </c>
      <c r="AP365" s="89" t="str">
        <f>+IF($AG365=AP$22,MONTH($D365),"")</f>
        <v/>
      </c>
      <c r="AQ365" s="89" t="str">
        <f>+IF($AG365=AQ$22,MONTH($D365),"")</f>
        <v/>
      </c>
      <c r="AR365" s="89" t="str">
        <f>+IF($AG365=AR$22,MONTH($D365),"")</f>
        <v/>
      </c>
      <c r="AS365" s="89" t="str">
        <f>+IF($AG365=AS$22,MONTH($D365),"")</f>
        <v/>
      </c>
      <c r="AT365" s="89" t="str">
        <f>+IF($AG365=AT$22,MONTH($D365),"")</f>
        <v/>
      </c>
      <c r="AU365" s="89" t="str">
        <f>+IF($AG365=AU$22,MONTH($D365),"")</f>
        <v/>
      </c>
      <c r="AV365" s="89" t="str">
        <f>+IF($AG365=AV$22,MONTH($D365),"")</f>
        <v/>
      </c>
      <c r="AW365" s="86" t="str">
        <f>+IF($AG365=AW$22,MONTH($D365),"")</f>
        <v/>
      </c>
      <c r="AX365" s="86" t="str">
        <f>+IF($AG365=AX$22,MONTH($D365),"")</f>
        <v/>
      </c>
      <c r="AY365" s="89"/>
      <c r="AZ365" s="89"/>
      <c r="BA365" s="89"/>
      <c r="BB365" s="89"/>
      <c r="BC365" s="89"/>
      <c r="BD365" s="89"/>
      <c r="BE365" s="89"/>
      <c r="BF365" s="89"/>
      <c r="BG365" s="89"/>
      <c r="BH365" s="89"/>
      <c r="BI365" s="89"/>
      <c r="BJ365" s="89"/>
      <c r="BK365" s="89"/>
      <c r="BL365" s="89"/>
      <c r="BM365" s="89"/>
      <c r="BN365" s="89"/>
      <c r="BO365" s="89"/>
      <c r="BP365" s="89"/>
    </row>
    <row r="366" spans="1:68" s="347" customFormat="1" ht="29.25" hidden="1" customHeight="1">
      <c r="A366" s="204" t="str">
        <f>+IFERROR(VALUE(MID(AB366,4,4)),"")</f>
        <v/>
      </c>
      <c r="B366" s="204">
        <f>VALUE(RIGHT(C366,LEN(C366)-2))</f>
        <v>2356</v>
      </c>
      <c r="C366" s="74" t="s">
        <v>1527</v>
      </c>
      <c r="D366" s="75">
        <v>45761</v>
      </c>
      <c r="E366" s="68" t="s">
        <v>53</v>
      </c>
      <c r="F366" s="68" t="s">
        <v>252</v>
      </c>
      <c r="G366" s="68" t="s">
        <v>210</v>
      </c>
      <c r="H366" s="304" t="s">
        <v>210</v>
      </c>
      <c r="I366" s="69" t="s">
        <v>1528</v>
      </c>
      <c r="J366" s="69"/>
      <c r="K366" s="68" t="s">
        <v>9</v>
      </c>
      <c r="L366" s="69" t="s">
        <v>123</v>
      </c>
      <c r="M366" s="71" t="s">
        <v>141</v>
      </c>
      <c r="N366" s="69" t="e" vm="1">
        <v>#VALUE!</v>
      </c>
      <c r="O366" s="84">
        <v>45779</v>
      </c>
      <c r="P366" s="69" t="s">
        <v>213</v>
      </c>
      <c r="Q366" s="69" t="s">
        <v>259</v>
      </c>
      <c r="R366" s="69"/>
      <c r="S366" s="146"/>
      <c r="T366" s="68" t="s">
        <v>155</v>
      </c>
      <c r="U366" s="87"/>
      <c r="V366" s="183">
        <v>45761</v>
      </c>
      <c r="W366" s="73"/>
      <c r="X366" s="73"/>
      <c r="Y366" s="83" t="str">
        <f>IF(SUM(W366:W366)&gt;0,X366/SUM(W366:W366)*1000000,"N/A")</f>
        <v>N/A</v>
      </c>
      <c r="Z366" s="80"/>
      <c r="AA366" s="80"/>
      <c r="AB366" s="73"/>
      <c r="AC366" s="75"/>
      <c r="AD366" s="332"/>
      <c r="AE366" s="68"/>
      <c r="AF366" s="73"/>
      <c r="AG366" s="182">
        <f>YEAR(V366)</f>
        <v>2025</v>
      </c>
      <c r="AH366" s="86" t="str">
        <f>+IF(AG366=$AH$22,MONTH(V366),"")</f>
        <v/>
      </c>
      <c r="AI366" s="86">
        <f>+IF(AG366=$AI$22,MONTH(V366),"")</f>
        <v>4</v>
      </c>
      <c r="AJ366" s="86" t="str">
        <f>+IF(AG366=$AJ$22,MONTH(V366),"")</f>
        <v/>
      </c>
      <c r="AK366" s="86" t="str">
        <f>+IF(AG366=$AK$22,MONTH(V366),"")</f>
        <v/>
      </c>
      <c r="AL366" s="86" t="str">
        <f>+IF(AG366=$AL$22,MONTH(V366),"")</f>
        <v/>
      </c>
      <c r="AM366" s="86" t="str">
        <f>+IF($AG366=$AM$22,MONTH($D366),"")</f>
        <v/>
      </c>
      <c r="AN366" s="89" t="str">
        <f>+IF($AG366=AN$22,MONTH($D366),"")</f>
        <v/>
      </c>
      <c r="AO366" s="184" t="str">
        <f>+IF($AG366=AO$22,MONTH($D366),"")</f>
        <v/>
      </c>
      <c r="AP366" s="184" t="str">
        <f>+IF($AG366=AP$22,MONTH($D366),"")</f>
        <v/>
      </c>
      <c r="AQ366" s="184" t="str">
        <f>+IF($AG366=AQ$22,MONTH($D366),"")</f>
        <v/>
      </c>
      <c r="AR366" s="184" t="str">
        <f>+IF($AG366=AR$22,MONTH($D366),"")</f>
        <v/>
      </c>
      <c r="AS366" s="184" t="str">
        <f>+IF($AG366=AS$22,MONTH($D366),"")</f>
        <v/>
      </c>
      <c r="AT366" s="86" t="str">
        <f>+IF($AG366=AT$22,MONTH($D366),"")</f>
        <v/>
      </c>
      <c r="AU366" s="86" t="str">
        <f>+IF($AG366=AU$22,MONTH($D366),"")</f>
        <v/>
      </c>
      <c r="AV366" s="86" t="str">
        <f>+IF($AG366=AV$22,MONTH($D366),"")</f>
        <v/>
      </c>
      <c r="AW366" s="86" t="str">
        <f>+IF($AG366=AW$22,MONTH($D366),"")</f>
        <v/>
      </c>
      <c r="AX366" s="86" t="str">
        <f>+IF($AG366=AX$22,MONTH($D366),"")</f>
        <v/>
      </c>
      <c r="AY366" s="89"/>
      <c r="AZ366" s="89"/>
      <c r="BA366" s="89"/>
      <c r="BB366" s="89"/>
      <c r="BC366" s="89"/>
      <c r="BD366" s="89"/>
      <c r="BE366" s="89"/>
      <c r="BF366" s="89"/>
      <c r="BG366" s="89"/>
      <c r="BH366" s="89"/>
      <c r="BI366" s="89"/>
      <c r="BJ366" s="89"/>
      <c r="BK366" s="89"/>
      <c r="BL366" s="89"/>
      <c r="BM366" s="89"/>
      <c r="BN366" s="89"/>
      <c r="BO366" s="89"/>
      <c r="BP366" s="89"/>
    </row>
    <row r="367" spans="1:68" s="378" customFormat="1" ht="45.75" hidden="1" customHeight="1">
      <c r="A367" s="204">
        <f>+IFERROR(VALUE(MID(AB367,4,4)),"")</f>
        <v>390</v>
      </c>
      <c r="B367" s="204">
        <f>VALUE(RIGHT(C367,LEN(C367)-2))</f>
        <v>2355</v>
      </c>
      <c r="C367" s="74" t="s">
        <v>1529</v>
      </c>
      <c r="D367" s="75">
        <v>45761</v>
      </c>
      <c r="E367" s="70" t="s">
        <v>262</v>
      </c>
      <c r="F367" s="70" t="s">
        <v>270</v>
      </c>
      <c r="G367" s="68" t="s">
        <v>786</v>
      </c>
      <c r="H367" s="307"/>
      <c r="I367" s="69" t="s">
        <v>1530</v>
      </c>
      <c r="J367" s="69"/>
      <c r="K367" s="68" t="s">
        <v>13</v>
      </c>
      <c r="L367" s="69" t="s">
        <v>120</v>
      </c>
      <c r="M367" s="71" t="s">
        <v>141</v>
      </c>
      <c r="N367" s="69" t="e" vm="1">
        <v>#VALUE!</v>
      </c>
      <c r="O367" s="84">
        <v>45764</v>
      </c>
      <c r="P367" s="72" t="s">
        <v>402</v>
      </c>
      <c r="Q367" s="72" t="s">
        <v>220</v>
      </c>
      <c r="R367" s="162"/>
      <c r="S367" s="146" t="s">
        <v>899</v>
      </c>
      <c r="T367" s="68" t="s">
        <v>3</v>
      </c>
      <c r="U367" s="87"/>
      <c r="V367" s="80">
        <v>46162</v>
      </c>
      <c r="W367" s="73">
        <v>6108</v>
      </c>
      <c r="X367" s="73">
        <v>246.23400000000001</v>
      </c>
      <c r="Y367" s="169">
        <f>IF(SUM(W367:W367)&gt;0,X367/SUM(W367:W367)*1000000,"N/A")</f>
        <v>40313.359528487235</v>
      </c>
      <c r="Z367" s="80"/>
      <c r="AA367" s="80"/>
      <c r="AB367" s="73" t="s">
        <v>1531</v>
      </c>
      <c r="AC367" s="153"/>
      <c r="AD367" s="330"/>
      <c r="AE367" s="305"/>
      <c r="AF367" s="88"/>
      <c r="AG367" s="182">
        <f>YEAR(D367)</f>
        <v>2025</v>
      </c>
      <c r="AH367" s="86" t="str">
        <f>+IF(AG367=$AH$22,MONTH(V367),"")</f>
        <v/>
      </c>
      <c r="AI367" s="86">
        <f>+IF(AG367=$AI$22,MONTH(V367),"")</f>
        <v>5</v>
      </c>
      <c r="AJ367" s="86" t="str">
        <f>+IF(AG367=$AJ$22,MONTH(V367),"")</f>
        <v/>
      </c>
      <c r="AK367" s="86" t="str">
        <f>+IF(AG367=$AK$22,MONTH(V367),"")</f>
        <v/>
      </c>
      <c r="AL367" s="86" t="str">
        <f>+IF(AG367=$AL$22,MONTH(V367),"")</f>
        <v/>
      </c>
      <c r="AM367" s="86" t="str">
        <f>+IF($AG367=$AM$22,MONTH($D367),"")</f>
        <v/>
      </c>
      <c r="AN367" s="89" t="str">
        <f>+IF($AG367=AN$22,MONTH($D367),"")</f>
        <v/>
      </c>
      <c r="AO367" s="89" t="str">
        <f>+IF($AG367=AO$22,MONTH($D367),"")</f>
        <v/>
      </c>
      <c r="AP367" s="89" t="str">
        <f>+IF($AG367=AP$22,MONTH($D367),"")</f>
        <v/>
      </c>
      <c r="AQ367" s="89" t="str">
        <f>+IF($AG367=AQ$22,MONTH($D367),"")</f>
        <v/>
      </c>
      <c r="AR367" s="89" t="str">
        <f>+IF($AG367=AR$22,MONTH($D367),"")</f>
        <v/>
      </c>
      <c r="AS367" s="89" t="str">
        <f>+IF($AG367=AS$22,MONTH($D367),"")</f>
        <v/>
      </c>
      <c r="AT367" s="89" t="str">
        <f>+IF($AG367=AT$22,MONTH($D367),"")</f>
        <v/>
      </c>
      <c r="AU367" s="89" t="str">
        <f>+IF($AG367=AU$22,MONTH($D367),"")</f>
        <v/>
      </c>
      <c r="AV367" s="89" t="str">
        <f>+IF($AG367=AV$22,MONTH($D367),"")</f>
        <v/>
      </c>
      <c r="AW367" s="86" t="str">
        <f>+IF($AG367=AW$22,MONTH($D367),"")</f>
        <v/>
      </c>
      <c r="AX367" s="86" t="str">
        <f>+IF($AG367=AX$22,MONTH($D367),"")</f>
        <v/>
      </c>
      <c r="AY367" s="89"/>
      <c r="AZ367" s="89"/>
      <c r="BA367" s="89"/>
      <c r="BB367" s="89"/>
      <c r="BC367" s="89"/>
      <c r="BD367" s="89"/>
      <c r="BE367" s="89"/>
      <c r="BF367" s="89"/>
      <c r="BG367" s="89"/>
      <c r="BH367" s="89"/>
      <c r="BI367" s="89"/>
      <c r="BJ367" s="89"/>
      <c r="BK367" s="89"/>
      <c r="BL367" s="89"/>
      <c r="BM367" s="89"/>
      <c r="BN367" s="89"/>
      <c r="BO367" s="89"/>
      <c r="BP367" s="89"/>
    </row>
    <row r="368" spans="1:68" s="378" customFormat="1" ht="38.25" hidden="1" customHeight="1">
      <c r="A368" s="204" t="str">
        <f>+IFERROR(VALUE(MID(AB368,4,4)),"")</f>
        <v/>
      </c>
      <c r="B368" s="204">
        <f>VALUE(RIGHT(C368,LEN(C368)-2))</f>
        <v>2354</v>
      </c>
      <c r="C368" s="74" t="s">
        <v>1532</v>
      </c>
      <c r="D368" s="75">
        <v>45757</v>
      </c>
      <c r="E368" s="68" t="s">
        <v>215</v>
      </c>
      <c r="F368" s="68" t="s">
        <v>215</v>
      </c>
      <c r="G368" s="68" t="s">
        <v>1533</v>
      </c>
      <c r="H368" s="307" t="s">
        <v>1534</v>
      </c>
      <c r="I368" s="69" t="s">
        <v>1535</v>
      </c>
      <c r="J368" s="69"/>
      <c r="K368" s="68" t="s">
        <v>9</v>
      </c>
      <c r="L368" s="69" t="s">
        <v>129</v>
      </c>
      <c r="M368" s="71" t="s">
        <v>113</v>
      </c>
      <c r="N368" s="69" t="e" vm="2">
        <v>#VALUE!</v>
      </c>
      <c r="O368" s="84">
        <v>45772</v>
      </c>
      <c r="P368" s="69" t="s">
        <v>483</v>
      </c>
      <c r="Q368" s="69" t="s">
        <v>623</v>
      </c>
      <c r="R368" s="69"/>
      <c r="S368" s="146"/>
      <c r="T368" s="68" t="s">
        <v>165</v>
      </c>
      <c r="U368" s="87"/>
      <c r="V368" s="183">
        <v>45772</v>
      </c>
      <c r="W368" s="73">
        <v>12460</v>
      </c>
      <c r="X368" s="73">
        <v>425.1</v>
      </c>
      <c r="Y368" s="83">
        <f>IF(SUM(W368:W368)&gt;0,X368/SUM(W368:W368)*1000000,"N/A")</f>
        <v>34117.174959871591</v>
      </c>
      <c r="Z368" s="80"/>
      <c r="AA368" s="80"/>
      <c r="AB368" s="73"/>
      <c r="AC368" s="75"/>
      <c r="AD368" s="332"/>
      <c r="AE368" s="68"/>
      <c r="AF368" s="73"/>
      <c r="AG368" s="182">
        <f>YEAR(V368)</f>
        <v>2025</v>
      </c>
      <c r="AH368" s="86" t="str">
        <f>+IF(AG368=$AH$22,MONTH(V368),"")</f>
        <v/>
      </c>
      <c r="AI368" s="86">
        <f>+IF(AG368=$AI$22,MONTH(V368),"")</f>
        <v>4</v>
      </c>
      <c r="AJ368" s="86" t="str">
        <f>+IF(AG368=$AJ$22,MONTH(V368),"")</f>
        <v/>
      </c>
      <c r="AK368" s="86" t="str">
        <f>+IF(AG368=$AK$22,MONTH(V368),"")</f>
        <v/>
      </c>
      <c r="AL368" s="86" t="str">
        <f>+IF(AG368=$AL$22,MONTH(V368),"")</f>
        <v/>
      </c>
      <c r="AM368" s="86" t="str">
        <f>+IF($AG368=$AM$22,MONTH($D368),"")</f>
        <v/>
      </c>
      <c r="AN368" s="89" t="str">
        <f>+IF($AG368=AN$22,MONTH($D368),"")</f>
        <v/>
      </c>
      <c r="AO368" s="184" t="str">
        <f>+IF($AG368=AO$22,MONTH($D368),"")</f>
        <v/>
      </c>
      <c r="AP368" s="184" t="str">
        <f>+IF($AG368=AP$22,MONTH($D368),"")</f>
        <v/>
      </c>
      <c r="AQ368" s="184" t="str">
        <f>+IF($AG368=AQ$22,MONTH($D368),"")</f>
        <v/>
      </c>
      <c r="AR368" s="184" t="str">
        <f>+IF($AG368=AR$22,MONTH($D368),"")</f>
        <v/>
      </c>
      <c r="AS368" s="184" t="str">
        <f>+IF($AG368=AS$22,MONTH($D368),"")</f>
        <v/>
      </c>
      <c r="AT368" s="86" t="str">
        <f>+IF($AG368=AT$22,MONTH($D368),"")</f>
        <v/>
      </c>
      <c r="AU368" s="86" t="str">
        <f>+IF($AG368=AU$22,MONTH($D368),"")</f>
        <v/>
      </c>
      <c r="AV368" s="86" t="str">
        <f>+IF($AG368=AV$22,MONTH($D368),"")</f>
        <v/>
      </c>
      <c r="AW368" s="86" t="str">
        <f>+IF($AG368=AW$22,MONTH($D368),"")</f>
        <v/>
      </c>
      <c r="AX368" s="86" t="str">
        <f>+IF($AG368=AX$22,MONTH($D368),"")</f>
        <v/>
      </c>
      <c r="AY368" s="89"/>
      <c r="AZ368" s="89"/>
      <c r="BA368" s="89"/>
      <c r="BB368" s="89"/>
      <c r="BC368" s="89"/>
      <c r="BD368" s="89"/>
      <c r="BE368" s="89"/>
      <c r="BF368" s="89"/>
      <c r="BG368" s="89"/>
      <c r="BH368" s="89"/>
      <c r="BI368" s="89"/>
      <c r="BJ368" s="89"/>
      <c r="BK368" s="89"/>
      <c r="BL368" s="89"/>
      <c r="BM368" s="89"/>
      <c r="BN368" s="89"/>
      <c r="BO368" s="89"/>
      <c r="BP368" s="89"/>
    </row>
    <row r="369" spans="1:68" s="378" customFormat="1" ht="45.75" hidden="1" customHeight="1">
      <c r="A369" s="204" t="str">
        <f>+IFERROR(VALUE(MID(AB369,4,4)),"")</f>
        <v/>
      </c>
      <c r="B369" s="204">
        <f>VALUE(RIGHT(C369,LEN(C369)-2))</f>
        <v>2353</v>
      </c>
      <c r="C369" s="74" t="s">
        <v>1536</v>
      </c>
      <c r="D369" s="75">
        <v>45757</v>
      </c>
      <c r="E369" s="68" t="s">
        <v>215</v>
      </c>
      <c r="F369" s="68" t="s">
        <v>215</v>
      </c>
      <c r="G369" s="68" t="s">
        <v>1537</v>
      </c>
      <c r="H369" s="307" t="s">
        <v>1534</v>
      </c>
      <c r="I369" s="69" t="s">
        <v>1538</v>
      </c>
      <c r="J369" s="69"/>
      <c r="K369" s="68" t="s">
        <v>212</v>
      </c>
      <c r="L369" s="69" t="s">
        <v>129</v>
      </c>
      <c r="M369" s="71" t="s">
        <v>113</v>
      </c>
      <c r="N369" s="69" t="e" vm="2">
        <v>#VALUE!</v>
      </c>
      <c r="O369" s="84">
        <v>45803</v>
      </c>
      <c r="P369" s="69" t="s">
        <v>483</v>
      </c>
      <c r="Q369" s="69" t="s">
        <v>229</v>
      </c>
      <c r="R369" s="69"/>
      <c r="S369" s="146"/>
      <c r="T369" s="68" t="s">
        <v>3</v>
      </c>
      <c r="U369" s="87"/>
      <c r="V369" s="183">
        <v>46073</v>
      </c>
      <c r="W369" s="73">
        <v>1000</v>
      </c>
      <c r="X369" s="73">
        <v>27</v>
      </c>
      <c r="Y369" s="83">
        <f>IF(SUM(W369:W369)&gt;0,X369/SUM(W369:W369)*1000000,"N/A")</f>
        <v>27000</v>
      </c>
      <c r="Z369" s="80"/>
      <c r="AA369" s="80"/>
      <c r="AB369" s="73"/>
      <c r="AC369" s="75"/>
      <c r="AD369" s="332"/>
      <c r="AE369" s="68"/>
      <c r="AF369" s="73"/>
      <c r="AG369" s="182">
        <f>YEAR(V369)</f>
        <v>2026</v>
      </c>
      <c r="AH369" s="86">
        <f>+IF(AG369=$AH$22,MONTH(V369),"")</f>
        <v>2</v>
      </c>
      <c r="AI369" s="86" t="str">
        <f>+IF(AG369=$AI$22,MONTH(V369),"")</f>
        <v/>
      </c>
      <c r="AJ369" s="86" t="str">
        <f>+IF(AG369=$AJ$22,MONTH(V369),"")</f>
        <v/>
      </c>
      <c r="AK369" s="86" t="str">
        <f>+IF(AG369=$AK$22,MONTH(V369),"")</f>
        <v/>
      </c>
      <c r="AL369" s="86" t="str">
        <f>+IF(AG369=$AL$22,MONTH(V369),"")</f>
        <v/>
      </c>
      <c r="AM369" s="86" t="str">
        <f>+IF($AG369=$AM$22,MONTH($D369),"")</f>
        <v/>
      </c>
      <c r="AN369" s="89" t="str">
        <f>+IF($AG369=AN$22,MONTH($D369),"")</f>
        <v/>
      </c>
      <c r="AO369" s="184" t="str">
        <f>+IF($AG369=AO$22,MONTH($D369),"")</f>
        <v/>
      </c>
      <c r="AP369" s="184" t="str">
        <f>+IF($AG369=AP$22,MONTH($D369),"")</f>
        <v/>
      </c>
      <c r="AQ369" s="184" t="str">
        <f>+IF($AG369=AQ$22,MONTH($D369),"")</f>
        <v/>
      </c>
      <c r="AR369" s="184" t="str">
        <f>+IF($AG369=AR$22,MONTH($D369),"")</f>
        <v/>
      </c>
      <c r="AS369" s="184" t="str">
        <f>+IF($AG369=AS$22,MONTH($D369),"")</f>
        <v/>
      </c>
      <c r="AT369" s="86" t="str">
        <f>+IF($AG369=AT$22,MONTH($D369),"")</f>
        <v/>
      </c>
      <c r="AU369" s="86" t="str">
        <f>+IF($AG369=AU$22,MONTH($D369),"")</f>
        <v/>
      </c>
      <c r="AV369" s="86" t="str">
        <f>+IF($AG369=AV$22,MONTH($D369),"")</f>
        <v/>
      </c>
      <c r="AW369" s="86" t="str">
        <f>+IF($AG369=AW$22,MONTH($D369),"")</f>
        <v/>
      </c>
      <c r="AX369" s="86" t="str">
        <f>+IF($AG369=AX$22,MONTH($D369),"")</f>
        <v/>
      </c>
      <c r="AY369" s="89"/>
      <c r="AZ369" s="89"/>
      <c r="BA369" s="89"/>
      <c r="BB369" s="89"/>
      <c r="BC369" s="89"/>
      <c r="BD369" s="89"/>
      <c r="BE369" s="89"/>
      <c r="BF369" s="89"/>
      <c r="BG369" s="89"/>
      <c r="BH369" s="89"/>
      <c r="BI369" s="89"/>
      <c r="BJ369" s="89"/>
      <c r="BK369" s="89"/>
      <c r="BL369" s="89"/>
      <c r="BM369" s="89"/>
      <c r="BN369" s="89"/>
      <c r="BO369" s="89"/>
      <c r="BP369" s="89"/>
    </row>
    <row r="370" spans="1:68" s="378" customFormat="1" ht="45.75" hidden="1" customHeight="1">
      <c r="A370" s="204" t="str">
        <f>+IFERROR(VALUE(MID(AB370,4,4)),"")</f>
        <v/>
      </c>
      <c r="B370" s="204">
        <f>VALUE(RIGHT(C370,LEN(C370)-2))</f>
        <v>2352</v>
      </c>
      <c r="C370" s="74" t="s">
        <v>1539</v>
      </c>
      <c r="D370" s="75">
        <v>45756</v>
      </c>
      <c r="E370" s="68" t="s">
        <v>394</v>
      </c>
      <c r="F370" s="68" t="s">
        <v>394</v>
      </c>
      <c r="G370" s="68" t="s">
        <v>210</v>
      </c>
      <c r="H370" s="304" t="s">
        <v>210</v>
      </c>
      <c r="I370" s="69" t="s">
        <v>1540</v>
      </c>
      <c r="J370" s="69"/>
      <c r="K370" s="68" t="s">
        <v>33</v>
      </c>
      <c r="L370" s="69" t="s">
        <v>123</v>
      </c>
      <c r="M370" s="71" t="s">
        <v>141</v>
      </c>
      <c r="N370" s="69" t="e" vm="1">
        <v>#VALUE!</v>
      </c>
      <c r="O370" s="84">
        <v>45777</v>
      </c>
      <c r="P370" s="69" t="s">
        <v>213</v>
      </c>
      <c r="Q370" s="69" t="s">
        <v>259</v>
      </c>
      <c r="R370" s="69"/>
      <c r="S370" s="146"/>
      <c r="T370" s="68" t="s">
        <v>155</v>
      </c>
      <c r="U370" s="87"/>
      <c r="V370" s="183">
        <v>45757</v>
      </c>
      <c r="W370" s="73"/>
      <c r="X370" s="73"/>
      <c r="Y370" s="83" t="str">
        <f>IF(SUM(W370:W370)&gt;0,X370/SUM(W370:W370)*1000000,"N/A")</f>
        <v>N/A</v>
      </c>
      <c r="Z370" s="80"/>
      <c r="AA370" s="80"/>
      <c r="AB370" s="73"/>
      <c r="AC370" s="75"/>
      <c r="AD370" s="332"/>
      <c r="AE370" s="68"/>
      <c r="AF370" s="73"/>
      <c r="AG370" s="182">
        <f>YEAR(V370)</f>
        <v>2025</v>
      </c>
      <c r="AH370" s="86" t="str">
        <f>+IF(AG370=$AH$22,MONTH(V370),"")</f>
        <v/>
      </c>
      <c r="AI370" s="86">
        <f>+IF(AG370=$AI$22,MONTH(V370),"")</f>
        <v>4</v>
      </c>
      <c r="AJ370" s="86" t="str">
        <f>+IF(AG370=$AJ$22,MONTH(V370),"")</f>
        <v/>
      </c>
      <c r="AK370" s="86" t="str">
        <f>+IF(AG370=$AK$22,MONTH(V370),"")</f>
        <v/>
      </c>
      <c r="AL370" s="86" t="str">
        <f>+IF(AG370=$AL$22,MONTH(V370),"")</f>
        <v/>
      </c>
      <c r="AM370" s="86" t="str">
        <f>+IF($AG370=$AM$22,MONTH($D370),"")</f>
        <v/>
      </c>
      <c r="AN370" s="89" t="str">
        <f>+IF($AG370=AN$22,MONTH($D370),"")</f>
        <v/>
      </c>
      <c r="AO370" s="184" t="str">
        <f>+IF($AG370=AO$22,MONTH($D370),"")</f>
        <v/>
      </c>
      <c r="AP370" s="184" t="str">
        <f>+IF($AG370=AP$22,MONTH($D370),"")</f>
        <v/>
      </c>
      <c r="AQ370" s="184" t="str">
        <f>+IF($AG370=AQ$22,MONTH($D370),"")</f>
        <v/>
      </c>
      <c r="AR370" s="184" t="str">
        <f>+IF($AG370=AR$22,MONTH($D370),"")</f>
        <v/>
      </c>
      <c r="AS370" s="184" t="str">
        <f>+IF($AG370=AS$22,MONTH($D370),"")</f>
        <v/>
      </c>
      <c r="AT370" s="86" t="str">
        <f>+IF($AG370=AT$22,MONTH($D370),"")</f>
        <v/>
      </c>
      <c r="AU370" s="86" t="str">
        <f>+IF($AG370=AU$22,MONTH($D370),"")</f>
        <v/>
      </c>
      <c r="AV370" s="86" t="str">
        <f>+IF($AG370=AV$22,MONTH($D370),"")</f>
        <v/>
      </c>
      <c r="AW370" s="86" t="str">
        <f>+IF($AG370=AW$22,MONTH($D370),"")</f>
        <v/>
      </c>
      <c r="AX370" s="86" t="str">
        <f>+IF($AG370=AX$22,MONTH($D370),"")</f>
        <v/>
      </c>
      <c r="AY370" s="89"/>
      <c r="AZ370" s="89"/>
      <c r="BA370" s="89"/>
      <c r="BB370" s="89"/>
      <c r="BC370" s="89"/>
      <c r="BD370" s="89"/>
      <c r="BE370" s="89"/>
      <c r="BF370" s="89"/>
      <c r="BG370" s="89"/>
      <c r="BH370" s="89"/>
      <c r="BI370" s="89"/>
      <c r="BJ370" s="89"/>
      <c r="BK370" s="89"/>
      <c r="BL370" s="89"/>
      <c r="BM370" s="89"/>
      <c r="BN370" s="89"/>
      <c r="BO370" s="89"/>
      <c r="BP370" s="89"/>
    </row>
    <row r="371" spans="1:68" s="378" customFormat="1" ht="45.75" hidden="1" customHeight="1">
      <c r="A371" s="204" t="str">
        <f>+IFERROR(VALUE(MID(AB371,4,4)),"")</f>
        <v/>
      </c>
      <c r="B371" s="204">
        <f>VALUE(RIGHT(C371,LEN(C371)-2))</f>
        <v>2351</v>
      </c>
      <c r="C371" s="74" t="s">
        <v>1541</v>
      </c>
      <c r="D371" s="75">
        <v>45756</v>
      </c>
      <c r="E371" s="68" t="s">
        <v>394</v>
      </c>
      <c r="F371" s="68" t="s">
        <v>394</v>
      </c>
      <c r="G371" s="68" t="s">
        <v>210</v>
      </c>
      <c r="H371" s="304" t="s">
        <v>210</v>
      </c>
      <c r="I371" s="69" t="s">
        <v>1542</v>
      </c>
      <c r="J371" s="69"/>
      <c r="K371" s="68" t="s">
        <v>33</v>
      </c>
      <c r="L371" s="69" t="s">
        <v>123</v>
      </c>
      <c r="M371" s="71" t="s">
        <v>141</v>
      </c>
      <c r="N371" s="69" t="e" vm="1">
        <v>#VALUE!</v>
      </c>
      <c r="O371" s="84">
        <v>45777</v>
      </c>
      <c r="P371" s="69" t="s">
        <v>213</v>
      </c>
      <c r="Q371" s="69" t="s">
        <v>259</v>
      </c>
      <c r="R371" s="69"/>
      <c r="S371" s="146"/>
      <c r="T371" s="68" t="s">
        <v>155</v>
      </c>
      <c r="U371" s="87"/>
      <c r="V371" s="183">
        <v>45757</v>
      </c>
      <c r="W371" s="73"/>
      <c r="X371" s="73"/>
      <c r="Y371" s="83" t="str">
        <f>IF(SUM(W371:W371)&gt;0,X371/SUM(W371:W371)*1000000,"N/A")</f>
        <v>N/A</v>
      </c>
      <c r="Z371" s="80"/>
      <c r="AA371" s="80"/>
      <c r="AB371" s="73"/>
      <c r="AC371" s="75"/>
      <c r="AD371" s="332"/>
      <c r="AE371" s="68"/>
      <c r="AF371" s="73"/>
      <c r="AG371" s="182">
        <f>YEAR(V371)</f>
        <v>2025</v>
      </c>
      <c r="AH371" s="86" t="str">
        <f>+IF(AG371=$AH$22,MONTH(V371),"")</f>
        <v/>
      </c>
      <c r="AI371" s="86">
        <f>+IF(AG371=$AI$22,MONTH(V371),"")</f>
        <v>4</v>
      </c>
      <c r="AJ371" s="86" t="str">
        <f>+IF(AG371=$AJ$22,MONTH(V371),"")</f>
        <v/>
      </c>
      <c r="AK371" s="86" t="str">
        <f>+IF(AG371=$AK$22,MONTH(V371),"")</f>
        <v/>
      </c>
      <c r="AL371" s="86" t="str">
        <f>+IF(AG371=$AL$22,MONTH(V371),"")</f>
        <v/>
      </c>
      <c r="AM371" s="86" t="str">
        <f>+IF($AG371=$AM$22,MONTH($D371),"")</f>
        <v/>
      </c>
      <c r="AN371" s="89" t="str">
        <f>+IF($AG371=AN$22,MONTH($D371),"")</f>
        <v/>
      </c>
      <c r="AO371" s="184" t="str">
        <f>+IF($AG371=AO$22,MONTH($D371),"")</f>
        <v/>
      </c>
      <c r="AP371" s="184" t="str">
        <f>+IF($AG371=AP$22,MONTH($D371),"")</f>
        <v/>
      </c>
      <c r="AQ371" s="184" t="str">
        <f>+IF($AG371=AQ$22,MONTH($D371),"")</f>
        <v/>
      </c>
      <c r="AR371" s="184" t="str">
        <f>+IF($AG371=AR$22,MONTH($D371),"")</f>
        <v/>
      </c>
      <c r="AS371" s="184" t="str">
        <f>+IF($AG371=AS$22,MONTH($D371),"")</f>
        <v/>
      </c>
      <c r="AT371" s="86" t="str">
        <f>+IF($AG371=AT$22,MONTH($D371),"")</f>
        <v/>
      </c>
      <c r="AU371" s="86" t="str">
        <f>+IF($AG371=AU$22,MONTH($D371),"")</f>
        <v/>
      </c>
      <c r="AV371" s="86" t="str">
        <f>+IF($AG371=AV$22,MONTH($D371),"")</f>
        <v/>
      </c>
      <c r="AW371" s="86" t="str">
        <f>+IF($AG371=AW$22,MONTH($D371),"")</f>
        <v/>
      </c>
      <c r="AX371" s="86" t="str">
        <f>+IF($AG371=AX$22,MONTH($D371),"")</f>
        <v/>
      </c>
      <c r="AY371" s="89"/>
      <c r="AZ371" s="89"/>
      <c r="BA371" s="89"/>
      <c r="BB371" s="89"/>
      <c r="BC371" s="89"/>
      <c r="BD371" s="89"/>
      <c r="BE371" s="89"/>
      <c r="BF371" s="89"/>
      <c r="BG371" s="89"/>
      <c r="BH371" s="89"/>
      <c r="BI371" s="89"/>
      <c r="BJ371" s="89"/>
      <c r="BK371" s="89"/>
      <c r="BL371" s="89"/>
      <c r="BM371" s="89"/>
      <c r="BN371" s="89"/>
      <c r="BO371" s="89"/>
      <c r="BP371" s="89"/>
    </row>
    <row r="372" spans="1:68" s="378" customFormat="1" ht="45.75" hidden="1" customHeight="1">
      <c r="A372" s="204" t="str">
        <f>+IFERROR(VALUE(MID(AB372,4,4)),"")</f>
        <v/>
      </c>
      <c r="B372" s="204">
        <f>VALUE(RIGHT(C372,LEN(C372)-2))</f>
        <v>2350</v>
      </c>
      <c r="C372" s="74" t="s">
        <v>1543</v>
      </c>
      <c r="D372" s="75">
        <v>45756</v>
      </c>
      <c r="E372" s="68" t="s">
        <v>53</v>
      </c>
      <c r="F372" s="68" t="s">
        <v>209</v>
      </c>
      <c r="G372" s="68" t="s">
        <v>210</v>
      </c>
      <c r="H372" s="304" t="s">
        <v>210</v>
      </c>
      <c r="I372" s="69" t="s">
        <v>1544</v>
      </c>
      <c r="J372" s="69"/>
      <c r="K372" s="68" t="s">
        <v>33</v>
      </c>
      <c r="L372" s="69" t="s">
        <v>123</v>
      </c>
      <c r="M372" s="71" t="s">
        <v>141</v>
      </c>
      <c r="N372" s="69" t="e" vm="1">
        <v>#VALUE!</v>
      </c>
      <c r="O372" s="84">
        <v>45762</v>
      </c>
      <c r="P372" s="69" t="s">
        <v>213</v>
      </c>
      <c r="Q372" s="69" t="s">
        <v>694</v>
      </c>
      <c r="R372" s="69"/>
      <c r="S372" s="146"/>
      <c r="T372" s="68" t="s">
        <v>155</v>
      </c>
      <c r="U372" s="87"/>
      <c r="V372" s="183">
        <v>45757</v>
      </c>
      <c r="W372" s="73"/>
      <c r="X372" s="73"/>
      <c r="Y372" s="83" t="str">
        <f>IF(SUM(W372:W372)&gt;0,X372/SUM(W372:W372)*1000000,"N/A")</f>
        <v>N/A</v>
      </c>
      <c r="Z372" s="80"/>
      <c r="AA372" s="80"/>
      <c r="AB372" s="73"/>
      <c r="AC372" s="75"/>
      <c r="AD372" s="332"/>
      <c r="AE372" s="68"/>
      <c r="AF372" s="73"/>
      <c r="AG372" s="182">
        <f>YEAR(V372)</f>
        <v>2025</v>
      </c>
      <c r="AH372" s="86" t="str">
        <f>+IF(AG372=$AH$22,MONTH(V372),"")</f>
        <v/>
      </c>
      <c r="AI372" s="86">
        <f>+IF(AG372=$AI$22,MONTH(V372),"")</f>
        <v>4</v>
      </c>
      <c r="AJ372" s="86" t="str">
        <f>+IF(AG372=$AJ$22,MONTH(V372),"")</f>
        <v/>
      </c>
      <c r="AK372" s="86" t="str">
        <f>+IF(AG372=$AK$22,MONTH(V372),"")</f>
        <v/>
      </c>
      <c r="AL372" s="86" t="str">
        <f>+IF(AG372=$AL$22,MONTH(V372),"")</f>
        <v/>
      </c>
      <c r="AM372" s="86" t="str">
        <f>+IF($AG372=$AM$22,MONTH($D372),"")</f>
        <v/>
      </c>
      <c r="AN372" s="89" t="str">
        <f>+IF($AG372=AN$22,MONTH($D372),"")</f>
        <v/>
      </c>
      <c r="AO372" s="184" t="str">
        <f>+IF($AG372=AO$22,MONTH($D372),"")</f>
        <v/>
      </c>
      <c r="AP372" s="184" t="str">
        <f>+IF($AG372=AP$22,MONTH($D372),"")</f>
        <v/>
      </c>
      <c r="AQ372" s="184" t="str">
        <f>+IF($AG372=AQ$22,MONTH($D372),"")</f>
        <v/>
      </c>
      <c r="AR372" s="184" t="str">
        <f>+IF($AG372=AR$22,MONTH($D372),"")</f>
        <v/>
      </c>
      <c r="AS372" s="184" t="str">
        <f>+IF($AG372=AS$22,MONTH($D372),"")</f>
        <v/>
      </c>
      <c r="AT372" s="86" t="str">
        <f>+IF($AG372=AT$22,MONTH($D372),"")</f>
        <v/>
      </c>
      <c r="AU372" s="86" t="str">
        <f>+IF($AG372=AU$22,MONTH($D372),"")</f>
        <v/>
      </c>
      <c r="AV372" s="86" t="str">
        <f>+IF($AG372=AV$22,MONTH($D372),"")</f>
        <v/>
      </c>
      <c r="AW372" s="86" t="str">
        <f>+IF($AG372=AW$22,MONTH($D372),"")</f>
        <v/>
      </c>
      <c r="AX372" s="86" t="str">
        <f>+IF($AG372=AX$22,MONTH($D372),"")</f>
        <v/>
      </c>
      <c r="AY372" s="89"/>
      <c r="AZ372" s="89"/>
      <c r="BA372" s="89"/>
      <c r="BB372" s="89"/>
      <c r="BC372" s="89"/>
      <c r="BD372" s="89"/>
      <c r="BE372" s="89"/>
      <c r="BF372" s="89"/>
      <c r="BG372" s="89"/>
      <c r="BH372" s="89"/>
      <c r="BI372" s="89"/>
      <c r="BJ372" s="89"/>
      <c r="BK372" s="89"/>
      <c r="BL372" s="89"/>
      <c r="BM372" s="89"/>
      <c r="BN372" s="89"/>
      <c r="BO372" s="89"/>
      <c r="BP372" s="89"/>
    </row>
    <row r="373" spans="1:68" s="378" customFormat="1" ht="45.75" hidden="1" customHeight="1">
      <c r="A373" s="204" t="str">
        <f>+IFERROR(VALUE(MID(AB373,4,4)),"")</f>
        <v/>
      </c>
      <c r="B373" s="204">
        <f>VALUE(RIGHT(C373,LEN(C373)-2))</f>
        <v>2349</v>
      </c>
      <c r="C373" s="74" t="s">
        <v>1545</v>
      </c>
      <c r="D373" s="75">
        <v>45755</v>
      </c>
      <c r="E373" s="70" t="s">
        <v>1546</v>
      </c>
      <c r="F373" s="70" t="s">
        <v>685</v>
      </c>
      <c r="G373" s="68" t="s">
        <v>1547</v>
      </c>
      <c r="H373" s="59" t="s">
        <v>1548</v>
      </c>
      <c r="I373" s="69" t="s">
        <v>1549</v>
      </c>
      <c r="J373" s="69"/>
      <c r="K373" s="68" t="s">
        <v>11</v>
      </c>
      <c r="L373" s="69" t="s">
        <v>120</v>
      </c>
      <c r="M373" s="71" t="s">
        <v>141</v>
      </c>
      <c r="N373" s="69" t="e" vm="1">
        <v>#VALUE!</v>
      </c>
      <c r="O373" s="84">
        <v>45775</v>
      </c>
      <c r="P373" s="72" t="s">
        <v>239</v>
      </c>
      <c r="Q373" s="72" t="s">
        <v>240</v>
      </c>
      <c r="R373" s="162"/>
      <c r="S373" s="146"/>
      <c r="T373" s="68" t="s">
        <v>165</v>
      </c>
      <c r="U373" s="87">
        <v>0</v>
      </c>
      <c r="V373" s="80">
        <v>45757</v>
      </c>
      <c r="W373" s="73">
        <v>25158</v>
      </c>
      <c r="X373" s="73">
        <f>32345*39140/1000000</f>
        <v>1265.9833000000001</v>
      </c>
      <c r="Y373" s="83">
        <f>IF(SUM(W373:W373)&gt;0,X373/SUM(W373:W373)*1000000,"N/A")</f>
        <v>50321.301375308052</v>
      </c>
      <c r="Z373" s="80"/>
      <c r="AA373" s="80"/>
      <c r="AB373" s="73"/>
      <c r="AC373" s="153"/>
      <c r="AD373" s="331"/>
      <c r="AE373" s="57"/>
      <c r="AF373" s="88"/>
      <c r="AG373" s="182">
        <f>YEAR(V373)</f>
        <v>2025</v>
      </c>
      <c r="AH373" s="86" t="str">
        <f>+IF(AG373=$AH$22,MONTH(V373),"")</f>
        <v/>
      </c>
      <c r="AI373" s="86">
        <f>+IF(AG373=$AI$22,MONTH(V373),"")</f>
        <v>4</v>
      </c>
      <c r="AJ373" s="86" t="str">
        <f>+IF(AG373=$AJ$22,MONTH(V373),"")</f>
        <v/>
      </c>
      <c r="AK373" s="86" t="str">
        <f>+IF(AG373=$AK$22,MONTH(V373),"")</f>
        <v/>
      </c>
      <c r="AL373" s="86" t="str">
        <f>+IF(AG373=$AL$22,MONTH(V373),"")</f>
        <v/>
      </c>
      <c r="AM373" s="86" t="str">
        <f>+IF($AG373=$AM$22,MONTH($D373),"")</f>
        <v/>
      </c>
      <c r="AN373" s="89" t="str">
        <f>+IF($AG373=AN$22,MONTH($D373),"")</f>
        <v/>
      </c>
      <c r="AO373" s="89" t="str">
        <f>+IF($AG373=AO$22,MONTH($D373),"")</f>
        <v/>
      </c>
      <c r="AP373" s="89" t="str">
        <f>+IF($AG373=AP$22,MONTH($D373),"")</f>
        <v/>
      </c>
      <c r="AQ373" s="89" t="str">
        <f>+IF($AG373=AQ$22,MONTH($D373),"")</f>
        <v/>
      </c>
      <c r="AR373" s="89" t="str">
        <f>+IF($AG373=AR$22,MONTH($D373),"")</f>
        <v/>
      </c>
      <c r="AS373" s="89" t="str">
        <f>+IF($AG373=AS$22,MONTH($D373),"")</f>
        <v/>
      </c>
      <c r="AT373" s="89" t="str">
        <f>+IF($AG373=AT$22,MONTH($D373),"")</f>
        <v/>
      </c>
      <c r="AU373" s="89" t="str">
        <f>+IF($AG373=AU$22,MONTH($D373),"")</f>
        <v/>
      </c>
      <c r="AV373" s="89" t="str">
        <f>+IF($AG373=AV$22,MONTH($D373),"")</f>
        <v/>
      </c>
      <c r="AW373" s="86" t="str">
        <f>+IF($AG373=AW$22,MONTH($D373),"")</f>
        <v/>
      </c>
      <c r="AX373" s="86" t="str">
        <f>+IF($AG373=AX$22,MONTH($D373),"")</f>
        <v/>
      </c>
      <c r="AY373" s="89"/>
      <c r="AZ373" s="89"/>
      <c r="BA373" s="89"/>
      <c r="BB373" s="89"/>
      <c r="BC373" s="89"/>
      <c r="BD373" s="89"/>
      <c r="BE373" s="89"/>
      <c r="BF373" s="89"/>
      <c r="BG373" s="89"/>
      <c r="BH373" s="89"/>
      <c r="BI373" s="89"/>
      <c r="BJ373" s="89"/>
      <c r="BK373" s="89"/>
      <c r="BL373" s="89"/>
      <c r="BM373" s="89"/>
      <c r="BN373" s="89"/>
      <c r="BO373" s="89"/>
      <c r="BP373" s="89"/>
    </row>
    <row r="374" spans="1:68" s="56" customFormat="1" ht="36" hidden="1" customHeight="1">
      <c r="A374" s="204" t="str">
        <f>+IFERROR(VALUE(MID(AB374,4,4)),"")</f>
        <v/>
      </c>
      <c r="B374" s="204">
        <f>VALUE(RIGHT(C374,LEN(C374)-2))</f>
        <v>2348</v>
      </c>
      <c r="C374" s="74" t="s">
        <v>1550</v>
      </c>
      <c r="D374" s="75">
        <v>45756</v>
      </c>
      <c r="E374" s="68" t="s">
        <v>53</v>
      </c>
      <c r="F374" s="68" t="s">
        <v>252</v>
      </c>
      <c r="G374" s="68" t="s">
        <v>210</v>
      </c>
      <c r="H374" s="304" t="s">
        <v>210</v>
      </c>
      <c r="I374" s="69" t="s">
        <v>1551</v>
      </c>
      <c r="J374" s="69"/>
      <c r="K374" s="68" t="s">
        <v>33</v>
      </c>
      <c r="L374" s="69" t="s">
        <v>123</v>
      </c>
      <c r="M374" s="71" t="s">
        <v>141</v>
      </c>
      <c r="N374" s="69" t="e" vm="1">
        <v>#VALUE!</v>
      </c>
      <c r="O374" s="84">
        <v>45790</v>
      </c>
      <c r="P374" s="69" t="s">
        <v>213</v>
      </c>
      <c r="Q374" s="69" t="s">
        <v>259</v>
      </c>
      <c r="R374" s="69"/>
      <c r="S374" s="146"/>
      <c r="T374" s="68" t="s">
        <v>155</v>
      </c>
      <c r="U374" s="87"/>
      <c r="V374" s="183">
        <v>45757</v>
      </c>
      <c r="W374" s="73"/>
      <c r="X374" s="73"/>
      <c r="Y374" s="83" t="str">
        <f>IF(SUM(W374:W374)&gt;0,X374/SUM(W374:W374)*1000000,"N/A")</f>
        <v>N/A</v>
      </c>
      <c r="Z374" s="80"/>
      <c r="AA374" s="80"/>
      <c r="AB374" s="73"/>
      <c r="AC374" s="75"/>
      <c r="AD374" s="332"/>
      <c r="AE374" s="68"/>
      <c r="AF374" s="73"/>
      <c r="AG374" s="182">
        <f>YEAR(V374)</f>
        <v>2025</v>
      </c>
      <c r="AH374" s="86" t="str">
        <f>+IF(AG374=$AH$22,MONTH(V374),"")</f>
        <v/>
      </c>
      <c r="AI374" s="86">
        <f>+IF(AG374=$AI$22,MONTH(V374),"")</f>
        <v>4</v>
      </c>
      <c r="AJ374" s="86" t="str">
        <f>+IF(AG374=$AJ$22,MONTH(V374),"")</f>
        <v/>
      </c>
      <c r="AK374" s="86" t="str">
        <f>+IF(AG374=$AK$22,MONTH(V374),"")</f>
        <v/>
      </c>
      <c r="AL374" s="86" t="str">
        <f>+IF(AG374=$AL$22,MONTH(V374),"")</f>
        <v/>
      </c>
      <c r="AM374" s="86" t="str">
        <f>+IF($AG374=$AM$22,MONTH($D374),"")</f>
        <v/>
      </c>
      <c r="AN374" s="89" t="str">
        <f>+IF($AG374=AN$22,MONTH($D374),"")</f>
        <v/>
      </c>
      <c r="AO374" s="184" t="str">
        <f>+IF($AG374=AO$22,MONTH($D374),"")</f>
        <v/>
      </c>
      <c r="AP374" s="184" t="str">
        <f>+IF($AG374=AP$22,MONTH($D374),"")</f>
        <v/>
      </c>
      <c r="AQ374" s="184" t="str">
        <f>+IF($AG374=AQ$22,MONTH($D374),"")</f>
        <v/>
      </c>
      <c r="AR374" s="184" t="str">
        <f>+IF($AG374=AR$22,MONTH($D374),"")</f>
        <v/>
      </c>
      <c r="AS374" s="184" t="str">
        <f>+IF($AG374=AS$22,MONTH($D374),"")</f>
        <v/>
      </c>
      <c r="AT374" s="86" t="str">
        <f>+IF($AG374=AT$22,MONTH($D374),"")</f>
        <v/>
      </c>
      <c r="AU374" s="86" t="str">
        <f>+IF($AG374=AU$22,MONTH($D374),"")</f>
        <v/>
      </c>
      <c r="AV374" s="86" t="str">
        <f>+IF($AG374=AV$22,MONTH($D374),"")</f>
        <v/>
      </c>
      <c r="AW374" s="86" t="str">
        <f>+IF($AG374=AW$22,MONTH($D374),"")</f>
        <v/>
      </c>
      <c r="AX374" s="86" t="str">
        <f>+IF($AG374=AX$22,MONTH($D374),"")</f>
        <v/>
      </c>
      <c r="AY374" s="89"/>
      <c r="AZ374" s="89"/>
      <c r="BA374" s="89"/>
      <c r="BB374" s="89"/>
      <c r="BC374" s="89"/>
      <c r="BD374" s="89"/>
      <c r="BE374" s="89"/>
      <c r="BF374" s="89"/>
      <c r="BG374" s="89"/>
      <c r="BH374" s="89"/>
      <c r="BI374" s="89"/>
      <c r="BJ374" s="89"/>
      <c r="BK374" s="89"/>
      <c r="BL374" s="89"/>
      <c r="BM374" s="89"/>
      <c r="BN374" s="89"/>
      <c r="BO374" s="89"/>
      <c r="BP374" s="89"/>
    </row>
    <row r="375" spans="1:68" s="378" customFormat="1" ht="45.75" hidden="1" customHeight="1">
      <c r="A375" s="204">
        <f>+IFERROR(VALUE(MID(AB375,4,4)),"")</f>
        <v>440</v>
      </c>
      <c r="B375" s="204">
        <f>VALUE(RIGHT(C375,LEN(C375)-2))</f>
        <v>2347</v>
      </c>
      <c r="C375" s="74" t="s">
        <v>1552</v>
      </c>
      <c r="D375" s="75">
        <v>45749</v>
      </c>
      <c r="E375" s="70" t="s">
        <v>353</v>
      </c>
      <c r="F375" s="70" t="s">
        <v>354</v>
      </c>
      <c r="G375" s="68" t="s">
        <v>1294</v>
      </c>
      <c r="H375" s="282" t="s">
        <v>1295</v>
      </c>
      <c r="I375" s="69" t="s">
        <v>1553</v>
      </c>
      <c r="J375" s="69"/>
      <c r="K375" s="68" t="s">
        <v>13</v>
      </c>
      <c r="L375" s="69" t="s">
        <v>120</v>
      </c>
      <c r="M375" s="71" t="s">
        <v>141</v>
      </c>
      <c r="N375" s="69" t="e" vm="1">
        <v>#VALUE!</v>
      </c>
      <c r="O375" s="164">
        <v>45782</v>
      </c>
      <c r="P375" s="72" t="s">
        <v>649</v>
      </c>
      <c r="Q375" s="72" t="s">
        <v>220</v>
      </c>
      <c r="R375" s="162"/>
      <c r="S375" s="146"/>
      <c r="T375" s="68" t="s">
        <v>3</v>
      </c>
      <c r="U375" s="87"/>
      <c r="V375" s="183">
        <v>45841</v>
      </c>
      <c r="W375" s="73">
        <v>1244</v>
      </c>
      <c r="X375" s="73">
        <v>59.89</v>
      </c>
      <c r="Y375" s="83">
        <f>IF(SUM(W375:W375)&gt;0,X375/SUM(W375:W375)*1000000,"N/A")</f>
        <v>48143.086816720257</v>
      </c>
      <c r="Z375" s="183"/>
      <c r="AA375" s="183"/>
      <c r="AB375" s="73" t="s">
        <v>1554</v>
      </c>
      <c r="AC375" s="153"/>
      <c r="AD375" s="331"/>
      <c r="AE375" s="57"/>
      <c r="AF375" s="88"/>
      <c r="AG375" s="182">
        <f>YEAR(V375)</f>
        <v>2025</v>
      </c>
      <c r="AH375" s="86" t="str">
        <f>+IF(AG375=$AH$22,MONTH(V375),"")</f>
        <v/>
      </c>
      <c r="AI375" s="86">
        <f>+IF(AG375=$AI$22,MONTH(V375),"")</f>
        <v>7</v>
      </c>
      <c r="AJ375" s="86" t="str">
        <f>+IF(AG375=$AJ$22,MONTH(V375),"")</f>
        <v/>
      </c>
      <c r="AK375" s="86" t="str">
        <f>+IF(AG375=$AK$22,MONTH(V375),"")</f>
        <v/>
      </c>
      <c r="AL375" s="86"/>
      <c r="AM375" s="89"/>
      <c r="AN375" s="89"/>
      <c r="AO375" s="89"/>
      <c r="AP375" s="89"/>
      <c r="AQ375" s="89"/>
      <c r="AR375" s="89"/>
      <c r="AS375" s="89"/>
      <c r="AT375" s="89"/>
      <c r="AU375" s="89"/>
      <c r="AV375" s="89"/>
      <c r="AW375" s="86" t="str">
        <f>+IF($AG375=AW$22,MONTH($D375),"")</f>
        <v/>
      </c>
      <c r="AX375" s="86" t="str">
        <f>+IF($AG375=AX$22,MONTH($D375),"")</f>
        <v/>
      </c>
      <c r="AY375" s="89"/>
      <c r="AZ375" s="89"/>
      <c r="BA375" s="89"/>
      <c r="BB375" s="89"/>
      <c r="BC375" s="89"/>
      <c r="BD375" s="89"/>
      <c r="BE375" s="89"/>
      <c r="BF375" s="89"/>
      <c r="BG375" s="89"/>
      <c r="BH375" s="89"/>
      <c r="BI375" s="89"/>
      <c r="BJ375" s="89"/>
      <c r="BK375" s="89"/>
      <c r="BL375" s="89"/>
      <c r="BM375" s="89"/>
      <c r="BN375" s="89"/>
      <c r="BO375" s="89"/>
      <c r="BP375" s="89"/>
    </row>
    <row r="376" spans="1:68" s="356" customFormat="1" ht="33" hidden="1" customHeight="1">
      <c r="A376" s="204" t="str">
        <f>+IFERROR(VALUE(MID(AB376,4,4)),"")</f>
        <v/>
      </c>
      <c r="B376" s="204">
        <f>VALUE(RIGHT(C376,LEN(C376)-2))</f>
        <v>2346</v>
      </c>
      <c r="C376" s="74" t="s">
        <v>1555</v>
      </c>
      <c r="D376" s="75">
        <v>45747</v>
      </c>
      <c r="E376" s="70" t="s">
        <v>853</v>
      </c>
      <c r="F376" s="70" t="s">
        <v>1556</v>
      </c>
      <c r="G376" s="68" t="s">
        <v>1557</v>
      </c>
      <c r="H376" s="59" t="s">
        <v>1558</v>
      </c>
      <c r="I376" s="69" t="s">
        <v>1559</v>
      </c>
      <c r="J376" s="69"/>
      <c r="K376" s="68" t="s">
        <v>18</v>
      </c>
      <c r="L376" s="69" t="s">
        <v>120</v>
      </c>
      <c r="M376" s="71" t="s">
        <v>141</v>
      </c>
      <c r="N376" s="69" t="e" vm="1">
        <v>#VALUE!</v>
      </c>
      <c r="O376" s="84">
        <v>45749</v>
      </c>
      <c r="P376" s="72" t="s">
        <v>377</v>
      </c>
      <c r="Q376" s="72" t="s">
        <v>694</v>
      </c>
      <c r="R376" s="162"/>
      <c r="S376" s="146"/>
      <c r="T376" s="68" t="s">
        <v>165</v>
      </c>
      <c r="U376" s="87"/>
      <c r="V376" s="80">
        <v>45748</v>
      </c>
      <c r="W376" s="73">
        <v>301</v>
      </c>
      <c r="X376" s="73">
        <f>616*38900/1000000</f>
        <v>23.962399999999999</v>
      </c>
      <c r="Y376" s="83">
        <f>IF(SUM(W376:W376)&gt;0,X376/SUM(W376:W376)*1000000,"N/A")</f>
        <v>79609.30232558139</v>
      </c>
      <c r="Z376" s="80"/>
      <c r="AA376" s="80"/>
      <c r="AB376" s="73"/>
      <c r="AC376" s="153"/>
      <c r="AD376" s="331"/>
      <c r="AE376" s="57"/>
      <c r="AF376" s="88"/>
      <c r="AG376" s="182">
        <f>YEAR(V376)</f>
        <v>2025</v>
      </c>
      <c r="AH376" s="86" t="str">
        <f>+IF(AG376=$AH$22,MONTH(V376),"")</f>
        <v/>
      </c>
      <c r="AI376" s="86">
        <f>+IF(AG376=$AI$22,MONTH(V376),"")</f>
        <v>4</v>
      </c>
      <c r="AJ376" s="86" t="str">
        <f>+IF(AG376=$AJ$22,MONTH(V376),"")</f>
        <v/>
      </c>
      <c r="AK376" s="86" t="str">
        <f>+IF(AG376=$AK$22,MONTH(V376),"")</f>
        <v/>
      </c>
      <c r="AL376" s="86" t="str">
        <f>+IF(AG376=$AL$22,MONTH(V376),"")</f>
        <v/>
      </c>
      <c r="AM376" s="86" t="str">
        <f>+IF($AG376=$AM$22,MONTH($D376),"")</f>
        <v/>
      </c>
      <c r="AN376" s="89" t="str">
        <f>+IF($AG376=AN$22,MONTH($D376),"")</f>
        <v/>
      </c>
      <c r="AO376" s="89" t="str">
        <f>+IF($AG376=AO$22,MONTH($D376),"")</f>
        <v/>
      </c>
      <c r="AP376" s="89" t="str">
        <f>+IF($AG376=AP$22,MONTH($D376),"")</f>
        <v/>
      </c>
      <c r="AQ376" s="89" t="str">
        <f>+IF($AG376=AQ$22,MONTH($D376),"")</f>
        <v/>
      </c>
      <c r="AR376" s="89" t="str">
        <f>+IF($AG376=AR$22,MONTH($D376),"")</f>
        <v/>
      </c>
      <c r="AS376" s="89" t="str">
        <f>+IF($AG376=AS$22,MONTH($D376),"")</f>
        <v/>
      </c>
      <c r="AT376" s="89" t="str">
        <f>+IF($AG376=AT$22,MONTH($D376),"")</f>
        <v/>
      </c>
      <c r="AU376" s="89" t="str">
        <f>+IF($AG376=AU$22,MONTH($D376),"")</f>
        <v/>
      </c>
      <c r="AV376" s="89" t="str">
        <f>+IF($AG376=AV$22,MONTH($D376),"")</f>
        <v/>
      </c>
      <c r="AW376" s="86" t="str">
        <f>+IF($AG376=AW$22,MONTH($D376),"")</f>
        <v/>
      </c>
      <c r="AX376" s="86" t="str">
        <f>+IF($AG376=AX$22,MONTH($D376),"")</f>
        <v/>
      </c>
      <c r="AY376" s="89"/>
      <c r="AZ376" s="89"/>
      <c r="BA376" s="89"/>
      <c r="BB376" s="89"/>
      <c r="BC376" s="89"/>
      <c r="BD376" s="89"/>
      <c r="BE376" s="89"/>
      <c r="BF376" s="89"/>
      <c r="BG376" s="89"/>
      <c r="BH376" s="89"/>
      <c r="BI376" s="89"/>
      <c r="BJ376" s="89"/>
      <c r="BK376" s="89"/>
      <c r="BL376" s="89"/>
      <c r="BM376" s="89"/>
      <c r="BN376" s="89"/>
      <c r="BO376" s="89"/>
      <c r="BP376" s="89"/>
    </row>
    <row r="377" spans="1:68" s="56" customFormat="1" ht="36" hidden="1" customHeight="1">
      <c r="A377" s="204" t="str">
        <f>+IFERROR(VALUE(MID(AB377,4,4)),"")</f>
        <v/>
      </c>
      <c r="B377" s="204">
        <f>VALUE(RIGHT(C377,LEN(C377)-2))</f>
        <v>2345</v>
      </c>
      <c r="C377" s="74" t="s">
        <v>1560</v>
      </c>
      <c r="D377" s="75">
        <v>45740</v>
      </c>
      <c r="E377" s="70" t="s">
        <v>353</v>
      </c>
      <c r="F377" s="70"/>
      <c r="G377" s="68" t="s">
        <v>1561</v>
      </c>
      <c r="H377" s="282"/>
      <c r="I377" s="69" t="s">
        <v>1562</v>
      </c>
      <c r="J377" s="69"/>
      <c r="K377" s="68" t="s">
        <v>9</v>
      </c>
      <c r="L377" s="69" t="s">
        <v>123</v>
      </c>
      <c r="M377" s="71" t="s">
        <v>141</v>
      </c>
      <c r="N377" s="69" t="e" vm="1">
        <v>#VALUE!</v>
      </c>
      <c r="O377" s="84">
        <v>45758</v>
      </c>
      <c r="P377" s="72" t="s">
        <v>213</v>
      </c>
      <c r="Q377" s="72" t="s">
        <v>229</v>
      </c>
      <c r="R377" s="162"/>
      <c r="S377" s="146" t="s">
        <v>1563</v>
      </c>
      <c r="T377" s="68" t="s">
        <v>155</v>
      </c>
      <c r="U377" s="87"/>
      <c r="V377" s="183">
        <v>45748</v>
      </c>
      <c r="W377" s="73"/>
      <c r="X377" s="73"/>
      <c r="Y377" s="83" t="str">
        <f>IF(SUM(W377:W377)&gt;0,X377/SUM(W377:W377)*1000000,"N/A")</f>
        <v>N/A</v>
      </c>
      <c r="Z377" s="183"/>
      <c r="AA377" s="183"/>
      <c r="AB377" s="73"/>
      <c r="AC377" s="153"/>
      <c r="AD377" s="331"/>
      <c r="AE377" s="57"/>
      <c r="AF377" s="88"/>
      <c r="AG377" s="182">
        <f>YEAR(V377)</f>
        <v>2025</v>
      </c>
      <c r="AH377" s="86" t="str">
        <f>+IF(AG377=$AH$22,MONTH(V377),"")</f>
        <v/>
      </c>
      <c r="AI377" s="86">
        <f>+IF(AG377=$AI$22,MONTH(V377),"")</f>
        <v>4</v>
      </c>
      <c r="AJ377" s="86" t="str">
        <f>+IF(AG377=$AJ$22,MONTH(V377),"")</f>
        <v/>
      </c>
      <c r="AK377" s="86" t="str">
        <f>+IF(AG377=$AK$22,MONTH(V377),"")</f>
        <v/>
      </c>
      <c r="AL377" s="86" t="str">
        <f>+IF(AG377=$AL$22,MONTH(V377),"")</f>
        <v/>
      </c>
      <c r="AM377" s="86" t="str">
        <f>+IF($AG377=$AM$22,MONTH($D377),"")</f>
        <v/>
      </c>
      <c r="AN377" s="89"/>
      <c r="AO377" s="89"/>
      <c r="AP377" s="89"/>
      <c r="AQ377" s="89"/>
      <c r="AR377" s="89"/>
      <c r="AS377" s="89"/>
      <c r="AT377" s="89"/>
      <c r="AU377" s="89"/>
      <c r="AV377" s="89"/>
      <c r="AW377" s="86" t="str">
        <f>+IF($AG377=AW$22,MONTH($D377),"")</f>
        <v/>
      </c>
      <c r="AX377" s="86" t="str">
        <f>+IF($AG377=AX$22,MONTH($D377),"")</f>
        <v/>
      </c>
      <c r="AY377" s="89"/>
      <c r="AZ377" s="89"/>
      <c r="BA377" s="89"/>
      <c r="BB377" s="89"/>
      <c r="BC377" s="89"/>
      <c r="BD377" s="89"/>
      <c r="BE377" s="89"/>
      <c r="BF377" s="89"/>
      <c r="BG377" s="89"/>
      <c r="BH377" s="89"/>
      <c r="BI377" s="89"/>
      <c r="BJ377" s="89"/>
      <c r="BK377" s="89"/>
      <c r="BL377" s="89"/>
      <c r="BM377" s="89"/>
      <c r="BN377" s="89"/>
      <c r="BO377" s="89"/>
      <c r="BP377" s="89"/>
    </row>
    <row r="378" spans="1:68" s="378" customFormat="1" ht="45.75" hidden="1" customHeight="1">
      <c r="A378" s="204">
        <f>+IFERROR(VALUE(MID(AB378,4,4)),"")</f>
        <v>428</v>
      </c>
      <c r="B378" s="204">
        <f>VALUE(RIGHT(C378,LEN(C378)-2))</f>
        <v>2344</v>
      </c>
      <c r="C378" s="74" t="s">
        <v>1564</v>
      </c>
      <c r="D378" s="75">
        <v>45743</v>
      </c>
      <c r="E378" s="70" t="s">
        <v>745</v>
      </c>
      <c r="F378" s="70" t="s">
        <v>1289</v>
      </c>
      <c r="G378" s="68" t="s">
        <v>746</v>
      </c>
      <c r="H378" s="282" t="s">
        <v>747</v>
      </c>
      <c r="I378" s="162" t="s">
        <v>1565</v>
      </c>
      <c r="J378" s="162"/>
      <c r="K378" s="68" t="s">
        <v>9</v>
      </c>
      <c r="L378" s="69" t="s">
        <v>120</v>
      </c>
      <c r="M378" s="71" t="s">
        <v>141</v>
      </c>
      <c r="N378" s="69" t="e" vm="1">
        <v>#VALUE!</v>
      </c>
      <c r="O378" s="164">
        <v>45777</v>
      </c>
      <c r="P378" s="72" t="s">
        <v>749</v>
      </c>
      <c r="Q378" s="72" t="s">
        <v>623</v>
      </c>
      <c r="R378" s="162"/>
      <c r="S378" s="146"/>
      <c r="T378" s="68" t="s">
        <v>3</v>
      </c>
      <c r="U378" s="87"/>
      <c r="V378" s="183">
        <v>45776</v>
      </c>
      <c r="W378" s="73">
        <v>4745</v>
      </c>
      <c r="X378" s="73">
        <f>6045*39140/1000000</f>
        <v>236.60130000000001</v>
      </c>
      <c r="Y378" s="83">
        <f>IF(SUM(W378:W378)&gt;0,X378/SUM(W378:W378)*1000000,"N/A")</f>
        <v>49863.28767123288</v>
      </c>
      <c r="Z378" s="183"/>
      <c r="AA378" s="183"/>
      <c r="AB378" s="73" t="s">
        <v>1566</v>
      </c>
      <c r="AC378" s="153"/>
      <c r="AD378" s="331"/>
      <c r="AE378" s="57"/>
      <c r="AF378" s="88"/>
      <c r="AG378" s="182">
        <f>YEAR(V378)</f>
        <v>2025</v>
      </c>
      <c r="AH378" s="86" t="str">
        <f>+IF(AG378=$AH$22,MONTH(V378),"")</f>
        <v/>
      </c>
      <c r="AI378" s="86">
        <f>+IF(AG378=$AI$22,MONTH(V378),"")</f>
        <v>4</v>
      </c>
      <c r="AJ378" s="86" t="str">
        <f>+IF(AG378=$AJ$22,MONTH(V378),"")</f>
        <v/>
      </c>
      <c r="AK378" s="86" t="str">
        <f>+IF(AG378=$AK$22,MONTH(V378),"")</f>
        <v/>
      </c>
      <c r="AL378" s="86" t="str">
        <f>+IF(AG378=$AL$22,MONTH(V378),"")</f>
        <v/>
      </c>
      <c r="AM378" s="86" t="str">
        <f>+IF($AG378=$AM$22,MONTH($D378),"")</f>
        <v/>
      </c>
      <c r="AN378" s="89" t="str">
        <f>+IF($AG378=AN$22,MONTH($D378),"")</f>
        <v/>
      </c>
      <c r="AO378" s="89" t="str">
        <f>+IF($AG378=AO$22,MONTH($D378),"")</f>
        <v/>
      </c>
      <c r="AP378" s="89" t="str">
        <f>+IF($AG378=AP$22,MONTH($D378),"")</f>
        <v/>
      </c>
      <c r="AQ378" s="89" t="str">
        <f>+IF($AG378=AQ$22,MONTH($D378),"")</f>
        <v/>
      </c>
      <c r="AR378" s="89" t="str">
        <f>+IF($AG378=AR$22,MONTH($D378),"")</f>
        <v/>
      </c>
      <c r="AS378" s="89" t="str">
        <f>+IF($AG378=AS$22,MONTH($D378),"")</f>
        <v/>
      </c>
      <c r="AT378" s="89" t="str">
        <f>+IF($AG378=AT$22,MONTH($D378),"")</f>
        <v/>
      </c>
      <c r="AU378" s="89" t="str">
        <f>+IF($AG378=AU$22,MONTH($D378),"")</f>
        <v/>
      </c>
      <c r="AV378" s="89" t="str">
        <f>+IF($AG378=AV$22,MONTH($D378),"")</f>
        <v/>
      </c>
      <c r="AW378" s="86" t="str">
        <f>+IF($AG378=AW$22,MONTH($D378),"")</f>
        <v/>
      </c>
      <c r="AX378" s="86" t="str">
        <f>+IF($AG378=AX$22,MONTH($D378),"")</f>
        <v/>
      </c>
      <c r="AY378" s="89"/>
      <c r="AZ378" s="89"/>
      <c r="BA378" s="89"/>
      <c r="BB378" s="89"/>
      <c r="BC378" s="89"/>
      <c r="BD378" s="89"/>
      <c r="BE378" s="89"/>
      <c r="BF378" s="89"/>
      <c r="BG378" s="89"/>
      <c r="BH378" s="89"/>
      <c r="BI378" s="89"/>
      <c r="BJ378" s="182"/>
      <c r="BK378" s="182"/>
      <c r="BL378" s="182"/>
      <c r="BM378" s="182"/>
      <c r="BN378" s="89"/>
      <c r="BO378" s="89"/>
      <c r="BP378" s="89"/>
    </row>
    <row r="379" spans="1:68" s="89" customFormat="1" ht="29.25" hidden="1" customHeight="1">
      <c r="A379" s="204" t="str">
        <f>+IFERROR(VALUE(MID(AB379,4,4)),"")</f>
        <v/>
      </c>
      <c r="B379" s="204">
        <f>VALUE(RIGHT(C379,LEN(C379)-2))</f>
        <v>2343</v>
      </c>
      <c r="C379" s="74" t="s">
        <v>1567</v>
      </c>
      <c r="D379" s="75">
        <v>45743</v>
      </c>
      <c r="E379" s="70" t="s">
        <v>332</v>
      </c>
      <c r="F379" s="70" t="s">
        <v>332</v>
      </c>
      <c r="G379" s="68" t="s">
        <v>333</v>
      </c>
      <c r="H379" s="304" t="s">
        <v>334</v>
      </c>
      <c r="I379" s="162" t="s">
        <v>1568</v>
      </c>
      <c r="J379" s="162"/>
      <c r="K379" s="68" t="s">
        <v>798</v>
      </c>
      <c r="L379" s="68" t="s">
        <v>129</v>
      </c>
      <c r="M379" s="68" t="s">
        <v>141</v>
      </c>
      <c r="N379" s="69" t="e" vm="1">
        <v>#VALUE!</v>
      </c>
      <c r="O379" s="164">
        <v>45744</v>
      </c>
      <c r="P379" s="72" t="s">
        <v>737</v>
      </c>
      <c r="Q379" s="72" t="s">
        <v>229</v>
      </c>
      <c r="R379" s="162"/>
      <c r="S379" s="146"/>
      <c r="T379" s="68" t="s">
        <v>165</v>
      </c>
      <c r="U379" s="87"/>
      <c r="V379" s="183">
        <v>45743</v>
      </c>
      <c r="W379" s="73">
        <v>129</v>
      </c>
      <c r="X379" s="73">
        <f>168*39110/1000000</f>
        <v>6.5704799999999999</v>
      </c>
      <c r="Y379" s="83">
        <f>IF(SUM(W379:W379)&gt;0,X379/SUM(W379:W379)*1000000,"N/A")</f>
        <v>50933.953488372092</v>
      </c>
      <c r="Z379" s="183"/>
      <c r="AA379" s="183"/>
      <c r="AB379" s="73"/>
      <c r="AC379" s="153"/>
      <c r="AD379" s="330"/>
      <c r="AE379" s="305"/>
      <c r="AF379" s="88"/>
      <c r="AG379" s="182">
        <f>YEAR(V379)</f>
        <v>2025</v>
      </c>
      <c r="AH379" s="86" t="str">
        <f>+IF(AG379=$AH$22,MONTH(V379),"")</f>
        <v/>
      </c>
      <c r="AI379" s="86">
        <f>+IF(AG379=$AI$22,MONTH(V379),"")</f>
        <v>3</v>
      </c>
      <c r="AJ379" s="86" t="str">
        <f>+IF(AG379=$AJ$22,MONTH(V379),"")</f>
        <v/>
      </c>
      <c r="AK379" s="86" t="str">
        <f>+IF(AG379=$AK$22,MONTH(V379),"")</f>
        <v/>
      </c>
      <c r="AL379" s="86"/>
      <c r="AW379" s="86" t="str">
        <f>+IF($AG379=AW$22,MONTH($D379),"")</f>
        <v/>
      </c>
      <c r="AX379" s="86" t="str">
        <f>+IF($AG379=AX$22,MONTH($D379),"")</f>
        <v/>
      </c>
    </row>
    <row r="380" spans="1:68" s="56" customFormat="1" ht="30" hidden="1" customHeight="1">
      <c r="A380" s="204">
        <f>+IFERROR(VALUE(MID(AB380,4,4)),"")</f>
        <v>433</v>
      </c>
      <c r="B380" s="204">
        <f>VALUE(RIGHT(C380,LEN(C380)-2))</f>
        <v>2342</v>
      </c>
      <c r="C380" s="74" t="s">
        <v>1569</v>
      </c>
      <c r="D380" s="75">
        <v>45742</v>
      </c>
      <c r="E380" s="70" t="s">
        <v>262</v>
      </c>
      <c r="F380" s="70" t="s">
        <v>270</v>
      </c>
      <c r="G380" s="68" t="s">
        <v>1570</v>
      </c>
      <c r="H380" s="307" t="s">
        <v>1571</v>
      </c>
      <c r="I380" s="69" t="s">
        <v>1572</v>
      </c>
      <c r="J380" s="69"/>
      <c r="K380" s="68" t="s">
        <v>18</v>
      </c>
      <c r="L380" s="69" t="s">
        <v>120</v>
      </c>
      <c r="M380" s="71" t="s">
        <v>141</v>
      </c>
      <c r="N380" s="69" t="e" vm="1">
        <v>#VALUE!</v>
      </c>
      <c r="O380" s="84">
        <v>45750</v>
      </c>
      <c r="P380" s="72" t="s">
        <v>666</v>
      </c>
      <c r="Q380" s="72" t="s">
        <v>694</v>
      </c>
      <c r="R380" s="162"/>
      <c r="S380" s="146" t="s">
        <v>695</v>
      </c>
      <c r="T380" s="68" t="s">
        <v>3</v>
      </c>
      <c r="U380" s="87"/>
      <c r="V380" s="80">
        <v>45790</v>
      </c>
      <c r="W380" s="73">
        <v>540</v>
      </c>
      <c r="X380" s="73">
        <v>32.799999999999997</v>
      </c>
      <c r="Y380" s="169">
        <f>IF(SUM(W380:W380)&gt;0,X380/SUM(W380:W380)*1000000,"N/A")</f>
        <v>60740.740740740737</v>
      </c>
      <c r="Z380" s="80"/>
      <c r="AA380" s="80"/>
      <c r="AB380" s="73" t="s">
        <v>1573</v>
      </c>
      <c r="AC380" s="153"/>
      <c r="AD380" s="330"/>
      <c r="AE380" s="305"/>
      <c r="AF380" s="88"/>
      <c r="AG380" s="182">
        <f>YEAR(D380)</f>
        <v>2025</v>
      </c>
      <c r="AH380" s="86" t="str">
        <f>+IF(AG380=$AH$22,MONTH(V380),"")</f>
        <v/>
      </c>
      <c r="AI380" s="86">
        <f>+IF(AG380=$AI$22,MONTH(V380),"")</f>
        <v>5</v>
      </c>
      <c r="AJ380" s="86" t="str">
        <f>+IF(AG380=$AJ$22,MONTH(V380),"")</f>
        <v/>
      </c>
      <c r="AK380" s="86" t="str">
        <f>+IF(AG380=$AK$22,MONTH(V380),"")</f>
        <v/>
      </c>
      <c r="AL380" s="86" t="str">
        <f>+IF(AG380=$AL$22,MONTH(V380),"")</f>
        <v/>
      </c>
      <c r="AM380" s="86" t="str">
        <f>+IF($AG380=$AM$22,MONTH($D380),"")</f>
        <v/>
      </c>
      <c r="AN380" s="89" t="str">
        <f>+IF($AG380=AN$22,MONTH($D380),"")</f>
        <v/>
      </c>
      <c r="AO380" s="89" t="str">
        <f>+IF($AG380=AO$22,MONTH($D380),"")</f>
        <v/>
      </c>
      <c r="AP380" s="89" t="str">
        <f>+IF($AG380=AP$22,MONTH($D380),"")</f>
        <v/>
      </c>
      <c r="AQ380" s="89" t="str">
        <f>+IF($AG380=AQ$22,MONTH($D380),"")</f>
        <v/>
      </c>
      <c r="AR380" s="89" t="str">
        <f>+IF($AG380=AR$22,MONTH($D380),"")</f>
        <v/>
      </c>
      <c r="AS380" s="89" t="str">
        <f>+IF($AG380=AS$22,MONTH($D380),"")</f>
        <v/>
      </c>
      <c r="AT380" s="89" t="str">
        <f>+IF($AG380=AT$22,MONTH($D380),"")</f>
        <v/>
      </c>
      <c r="AU380" s="89" t="str">
        <f>+IF($AG380=AU$22,MONTH($D380),"")</f>
        <v/>
      </c>
      <c r="AV380" s="89" t="str">
        <f>+IF($AG380=AV$22,MONTH($D380),"")</f>
        <v/>
      </c>
      <c r="AW380" s="86" t="str">
        <f>+IF($AG380=AW$22,MONTH($D380),"")</f>
        <v/>
      </c>
      <c r="AX380" s="86" t="str">
        <f>+IF($AG380=AX$22,MONTH($D380),"")</f>
        <v/>
      </c>
      <c r="AY380" s="89"/>
      <c r="AZ380" s="89"/>
      <c r="BA380" s="89"/>
      <c r="BB380" s="89"/>
      <c r="BC380" s="89"/>
      <c r="BD380" s="89"/>
      <c r="BE380" s="89"/>
      <c r="BF380" s="89"/>
      <c r="BG380" s="89"/>
      <c r="BH380" s="89"/>
      <c r="BI380" s="89"/>
      <c r="BJ380" s="89"/>
      <c r="BK380" s="89"/>
      <c r="BL380" s="89"/>
      <c r="BM380" s="89"/>
      <c r="BN380" s="89"/>
      <c r="BO380" s="89"/>
      <c r="BP380" s="89"/>
    </row>
    <row r="381" spans="1:68" s="320" customFormat="1" ht="45.75" hidden="1" customHeight="1">
      <c r="A381" s="204" t="str">
        <f>+IFERROR(VALUE(MID(AB381,4,4)),"")</f>
        <v/>
      </c>
      <c r="B381" s="204">
        <f>VALUE(RIGHT(C381,LEN(C381)-2))</f>
        <v>2341</v>
      </c>
      <c r="C381" s="74" t="s">
        <v>1574</v>
      </c>
      <c r="D381" s="75">
        <v>45742</v>
      </c>
      <c r="E381" s="68" t="s">
        <v>53</v>
      </c>
      <c r="F381" s="68" t="s">
        <v>630</v>
      </c>
      <c r="G381" s="68" t="s">
        <v>210</v>
      </c>
      <c r="H381" s="304" t="s">
        <v>210</v>
      </c>
      <c r="I381" s="69" t="s">
        <v>1575</v>
      </c>
      <c r="J381" s="69"/>
      <c r="K381" s="68" t="s">
        <v>33</v>
      </c>
      <c r="L381" s="69" t="s">
        <v>123</v>
      </c>
      <c r="M381" s="71" t="s">
        <v>141</v>
      </c>
      <c r="N381" s="69" t="e" vm="1">
        <v>#VALUE!</v>
      </c>
      <c r="O381" s="84">
        <v>45777</v>
      </c>
      <c r="P381" s="69" t="s">
        <v>213</v>
      </c>
      <c r="Q381" s="69" t="s">
        <v>259</v>
      </c>
      <c r="R381" s="69"/>
      <c r="S381" s="146"/>
      <c r="T381" s="68" t="s">
        <v>155</v>
      </c>
      <c r="U381" s="87"/>
      <c r="V381" s="183">
        <v>45743</v>
      </c>
      <c r="W381" s="73"/>
      <c r="X381" s="73"/>
      <c r="Y381" s="83" t="str">
        <f>IF(SUM(W381:W381)&gt;0,X381/SUM(W381:W381)*1000000,"N/A")</f>
        <v>N/A</v>
      </c>
      <c r="Z381" s="80"/>
      <c r="AA381" s="80"/>
      <c r="AB381" s="73"/>
      <c r="AC381" s="75"/>
      <c r="AD381" s="332"/>
      <c r="AE381" s="68"/>
      <c r="AF381" s="73"/>
      <c r="AG381" s="182">
        <f>YEAR(V381)</f>
        <v>2025</v>
      </c>
      <c r="AH381" s="86" t="str">
        <f>+IF(AG381=$AH$22,MONTH(V381),"")</f>
        <v/>
      </c>
      <c r="AI381" s="86">
        <f>+IF(AG381=$AI$22,MONTH(V381),"")</f>
        <v>3</v>
      </c>
      <c r="AJ381" s="86" t="str">
        <f>+IF(AG381=$AJ$22,MONTH(V381),"")</f>
        <v/>
      </c>
      <c r="AK381" s="86" t="str">
        <f>+IF(AG381=$AK$22,MONTH(V381),"")</f>
        <v/>
      </c>
      <c r="AL381" s="86" t="str">
        <f>+IF(AG381=$AL$22,MONTH(V381),"")</f>
        <v/>
      </c>
      <c r="AM381" s="86" t="str">
        <f>+IF($AG381=$AM$22,MONTH($D381),"")</f>
        <v/>
      </c>
      <c r="AN381" s="89" t="str">
        <f>+IF($AG381=AN$22,MONTH($D381),"")</f>
        <v/>
      </c>
      <c r="AO381" s="184" t="str">
        <f>+IF($AG381=AO$22,MONTH($D381),"")</f>
        <v/>
      </c>
      <c r="AP381" s="184" t="str">
        <f>+IF($AG381=AP$22,MONTH($D381),"")</f>
        <v/>
      </c>
      <c r="AQ381" s="184" t="str">
        <f>+IF($AG381=AQ$22,MONTH($D381),"")</f>
        <v/>
      </c>
      <c r="AR381" s="184" t="str">
        <f>+IF($AG381=AR$22,MONTH($D381),"")</f>
        <v/>
      </c>
      <c r="AS381" s="184" t="str">
        <f>+IF($AG381=AS$22,MONTH($D381),"")</f>
        <v/>
      </c>
      <c r="AT381" s="86" t="str">
        <f>+IF($AG381=AT$22,MONTH($D381),"")</f>
        <v/>
      </c>
      <c r="AU381" s="86" t="str">
        <f>+IF($AG381=AU$22,MONTH($D381),"")</f>
        <v/>
      </c>
      <c r="AV381" s="86" t="str">
        <f>+IF($AG381=AV$22,MONTH($D381),"")</f>
        <v/>
      </c>
      <c r="AW381" s="86" t="str">
        <f>+IF($AG381=AW$22,MONTH($D381),"")</f>
        <v/>
      </c>
      <c r="AX381" s="86" t="str">
        <f>+IF($AG381=AX$22,MONTH($D381),"")</f>
        <v/>
      </c>
      <c r="AY381" s="89"/>
      <c r="AZ381" s="89"/>
      <c r="BA381" s="89"/>
      <c r="BB381" s="89"/>
      <c r="BC381" s="89"/>
      <c r="BD381" s="89"/>
      <c r="BE381" s="89"/>
      <c r="BF381" s="89"/>
      <c r="BG381" s="89"/>
      <c r="BH381" s="89"/>
      <c r="BI381" s="89"/>
      <c r="BJ381" s="89"/>
      <c r="BK381" s="89"/>
      <c r="BL381" s="89"/>
      <c r="BM381" s="89"/>
      <c r="BN381" s="89"/>
      <c r="BO381" s="89"/>
      <c r="BP381" s="89"/>
    </row>
    <row r="382" spans="1:68" s="378" customFormat="1" ht="45.75" hidden="1" customHeight="1">
      <c r="A382" s="204">
        <f>+IFERROR(VALUE(MID(AB382,4,4)),"")</f>
        <v>384</v>
      </c>
      <c r="B382" s="204">
        <f>VALUE(RIGHT(C382,LEN(C382)-2))</f>
        <v>2340</v>
      </c>
      <c r="C382" s="74" t="s">
        <v>1576</v>
      </c>
      <c r="D382" s="75">
        <v>45741</v>
      </c>
      <c r="E382" s="70" t="s">
        <v>332</v>
      </c>
      <c r="F382" s="70" t="s">
        <v>332</v>
      </c>
      <c r="G382" s="68" t="s">
        <v>333</v>
      </c>
      <c r="H382" s="304" t="s">
        <v>334</v>
      </c>
      <c r="I382" s="162" t="s">
        <v>1577</v>
      </c>
      <c r="J382" s="162"/>
      <c r="K382" s="68" t="s">
        <v>13</v>
      </c>
      <c r="L382" s="69" t="s">
        <v>129</v>
      </c>
      <c r="M382" s="71" t="s">
        <v>141</v>
      </c>
      <c r="N382" s="69" t="e" vm="1">
        <v>#VALUE!</v>
      </c>
      <c r="O382" s="164">
        <v>45742</v>
      </c>
      <c r="P382" s="72" t="s">
        <v>737</v>
      </c>
      <c r="Q382" s="72" t="s">
        <v>229</v>
      </c>
      <c r="R382" s="162"/>
      <c r="S382" s="146"/>
      <c r="T382" s="68" t="s">
        <v>3</v>
      </c>
      <c r="U382" s="87"/>
      <c r="V382" s="183">
        <v>45819</v>
      </c>
      <c r="W382" s="73">
        <v>374</v>
      </c>
      <c r="X382" s="214">
        <f>381*39110/1000000</f>
        <v>14.90091</v>
      </c>
      <c r="Y382" s="83">
        <f>IF(SUM(W382:W382)&gt;0,X382/SUM(W382:W382)*1000000,"N/A")</f>
        <v>39842.005347593578</v>
      </c>
      <c r="Z382" s="183"/>
      <c r="AA382" s="183"/>
      <c r="AB382" s="73" t="s">
        <v>1578</v>
      </c>
      <c r="AC382" s="153"/>
      <c r="AD382" s="330"/>
      <c r="AE382" s="305"/>
      <c r="AF382" s="88"/>
      <c r="AG382" s="182">
        <f>YEAR(V382)</f>
        <v>2025</v>
      </c>
      <c r="AH382" s="86" t="str">
        <f>+IF(AG382=$AH$22,MONTH(V382),"")</f>
        <v/>
      </c>
      <c r="AI382" s="86">
        <f>+IF(AG382=$AI$22,MONTH(V382),"")</f>
        <v>6</v>
      </c>
      <c r="AJ382" s="86" t="str">
        <f>+IF(AG382=$AJ$22,MONTH(V382),"")</f>
        <v/>
      </c>
      <c r="AK382" s="86" t="str">
        <f>+IF(AG382=$AK$22,MONTH(V382),"")</f>
        <v/>
      </c>
      <c r="AL382" s="86"/>
      <c r="AM382" s="89"/>
      <c r="AN382" s="89"/>
      <c r="AO382" s="89"/>
      <c r="AP382" s="89"/>
      <c r="AQ382" s="89"/>
      <c r="AR382" s="89"/>
      <c r="AS382" s="89"/>
      <c r="AT382" s="89"/>
      <c r="AU382" s="89"/>
      <c r="AV382" s="89"/>
      <c r="AW382" s="86" t="str">
        <f>+IF($AG382=AW$22,MONTH($D382),"")</f>
        <v/>
      </c>
      <c r="AX382" s="86" t="str">
        <f>+IF($AG382=AX$22,MONTH($D382),"")</f>
        <v/>
      </c>
      <c r="AY382" s="89"/>
      <c r="AZ382" s="89"/>
      <c r="BA382" s="89"/>
      <c r="BB382" s="89"/>
      <c r="BC382" s="89"/>
      <c r="BD382" s="89"/>
      <c r="BE382" s="89"/>
      <c r="BF382" s="89"/>
      <c r="BG382" s="89"/>
      <c r="BH382" s="89"/>
      <c r="BI382" s="89"/>
      <c r="BJ382" s="89"/>
      <c r="BK382" s="89"/>
      <c r="BL382" s="89"/>
      <c r="BM382" s="89"/>
      <c r="BN382" s="89"/>
      <c r="BO382" s="89"/>
      <c r="BP382" s="89"/>
    </row>
    <row r="383" spans="1:68" s="56" customFormat="1" ht="30" hidden="1" customHeight="1">
      <c r="A383" s="204" t="str">
        <f>+IFERROR(VALUE(MID(AB383,4,4)),"")</f>
        <v/>
      </c>
      <c r="B383" s="204">
        <f>VALUE(RIGHT(C383,LEN(C383)-2))</f>
        <v>2339</v>
      </c>
      <c r="C383" s="74" t="s">
        <v>1579</v>
      </c>
      <c r="D383" s="75">
        <v>45742</v>
      </c>
      <c r="E383" s="68" t="s">
        <v>215</v>
      </c>
      <c r="F383" s="68" t="s">
        <v>215</v>
      </c>
      <c r="G383" s="68" t="s">
        <v>1580</v>
      </c>
      <c r="H383" s="307" t="s">
        <v>812</v>
      </c>
      <c r="I383" s="69" t="s">
        <v>1581</v>
      </c>
      <c r="J383" s="69"/>
      <c r="K383" s="68" t="s">
        <v>798</v>
      </c>
      <c r="L383" s="69" t="s">
        <v>129</v>
      </c>
      <c r="M383" s="71" t="s">
        <v>113</v>
      </c>
      <c r="N383" s="69" t="e" vm="2">
        <v>#VALUE!</v>
      </c>
      <c r="O383" s="84">
        <v>45742</v>
      </c>
      <c r="P383" s="69" t="s">
        <v>294</v>
      </c>
      <c r="Q383" s="69" t="s">
        <v>694</v>
      </c>
      <c r="R383" s="69"/>
      <c r="S383" s="146"/>
      <c r="T383" s="68" t="s">
        <v>3</v>
      </c>
      <c r="U383" s="87"/>
      <c r="V383" s="183">
        <v>45743</v>
      </c>
      <c r="W383" s="73">
        <v>750</v>
      </c>
      <c r="X383" s="214">
        <v>27.8</v>
      </c>
      <c r="Y383" s="83">
        <f>IF(SUM(W383:W383)&gt;0,X383/SUM(W383:W383)*1000000,"N/A")</f>
        <v>37066.666666666664</v>
      </c>
      <c r="Z383" s="80"/>
      <c r="AA383" s="80"/>
      <c r="AB383" s="73"/>
      <c r="AC383" s="75"/>
      <c r="AD383" s="332"/>
      <c r="AE383" s="68"/>
      <c r="AF383" s="73"/>
      <c r="AG383" s="182">
        <f>YEAR(V383)</f>
        <v>2025</v>
      </c>
      <c r="AH383" s="86" t="str">
        <f>+IF(AG383=$AH$22,MONTH(V383),"")</f>
        <v/>
      </c>
      <c r="AI383" s="86">
        <f>+IF(AG383=$AI$22,MONTH(V383),"")</f>
        <v>3</v>
      </c>
      <c r="AJ383" s="86" t="str">
        <f>+IF(AG383=$AJ$22,MONTH(V383),"")</f>
        <v/>
      </c>
      <c r="AK383" s="86" t="str">
        <f>+IF(AG383=$AK$22,MONTH(V383),"")</f>
        <v/>
      </c>
      <c r="AL383" s="86" t="str">
        <f>+IF(AG383=$AL$22,MONTH(V383),"")</f>
        <v/>
      </c>
      <c r="AM383" s="86" t="str">
        <f>+IF($AG383=$AM$22,MONTH($D383),"")</f>
        <v/>
      </c>
      <c r="AN383" s="89" t="str">
        <f>+IF($AG383=AN$22,MONTH($D383),"")</f>
        <v/>
      </c>
      <c r="AO383" s="184" t="str">
        <f>+IF($AG383=AO$22,MONTH($D383),"")</f>
        <v/>
      </c>
      <c r="AP383" s="184" t="str">
        <f>+IF($AG383=AP$22,MONTH($D383),"")</f>
        <v/>
      </c>
      <c r="AQ383" s="184" t="str">
        <f>+IF($AG383=AQ$22,MONTH($D383),"")</f>
        <v/>
      </c>
      <c r="AR383" s="184" t="str">
        <f>+IF($AG383=AR$22,MONTH($D383),"")</f>
        <v/>
      </c>
      <c r="AS383" s="184" t="str">
        <f>+IF($AG383=AS$22,MONTH($D383),"")</f>
        <v/>
      </c>
      <c r="AT383" s="86" t="str">
        <f>+IF($AG383=AT$22,MONTH($D383),"")</f>
        <v/>
      </c>
      <c r="AU383" s="86" t="str">
        <f>+IF($AG383=AU$22,MONTH($D383),"")</f>
        <v/>
      </c>
      <c r="AV383" s="86" t="str">
        <f>+IF($AG383=AV$22,MONTH($D383),"")</f>
        <v/>
      </c>
      <c r="AW383" s="86" t="str">
        <f>+IF($AG383=AW$22,MONTH($D383),"")</f>
        <v/>
      </c>
      <c r="AX383" s="86" t="str">
        <f>+IF($AG383=AX$22,MONTH($D383),"")</f>
        <v/>
      </c>
      <c r="AY383" s="89"/>
      <c r="AZ383" s="89"/>
      <c r="BA383" s="89"/>
      <c r="BB383" s="89"/>
      <c r="BC383" s="89"/>
      <c r="BD383" s="89"/>
      <c r="BE383" s="89"/>
      <c r="BF383" s="89"/>
      <c r="BG383" s="89"/>
      <c r="BH383" s="89"/>
      <c r="BI383" s="89"/>
      <c r="BJ383" s="89"/>
      <c r="BK383" s="89"/>
      <c r="BL383" s="89"/>
      <c r="BM383" s="89"/>
      <c r="BN383" s="89"/>
      <c r="BO383" s="89"/>
      <c r="BP383" s="89"/>
    </row>
    <row r="384" spans="1:68" s="378" customFormat="1" ht="45.75" hidden="1" customHeight="1">
      <c r="A384" s="204" t="str">
        <f>+IFERROR(VALUE(MID(AB384,4,4)),"")</f>
        <v/>
      </c>
      <c r="B384" s="204">
        <f>VALUE(RIGHT(C384,LEN(C384)-2))</f>
        <v>2338</v>
      </c>
      <c r="C384" s="74" t="s">
        <v>1582</v>
      </c>
      <c r="D384" s="75">
        <v>45742</v>
      </c>
      <c r="E384" s="68" t="s">
        <v>215</v>
      </c>
      <c r="F384" s="68" t="s">
        <v>215</v>
      </c>
      <c r="G384" s="68" t="s">
        <v>1583</v>
      </c>
      <c r="H384" s="307" t="s">
        <v>1584</v>
      </c>
      <c r="I384" s="69" t="s">
        <v>1585</v>
      </c>
      <c r="J384" s="69"/>
      <c r="K384" s="68" t="s">
        <v>798</v>
      </c>
      <c r="L384" s="69" t="s">
        <v>129</v>
      </c>
      <c r="M384" s="71" t="s">
        <v>113</v>
      </c>
      <c r="N384" s="69" t="e" vm="2">
        <v>#VALUE!</v>
      </c>
      <c r="O384" s="84">
        <v>45758</v>
      </c>
      <c r="P384" s="69" t="s">
        <v>294</v>
      </c>
      <c r="Q384" s="69" t="s">
        <v>220</v>
      </c>
      <c r="R384" s="69"/>
      <c r="S384" s="146"/>
      <c r="T384" s="68" t="s">
        <v>165</v>
      </c>
      <c r="U384" s="87"/>
      <c r="V384" s="183">
        <v>45821</v>
      </c>
      <c r="W384" s="73">
        <v>10925</v>
      </c>
      <c r="X384" s="73">
        <v>381.1</v>
      </c>
      <c r="Y384" s="83">
        <f>IF(SUM(W384:W384)&gt;0,X384/SUM(W384:W384)*1000000,"N/A")</f>
        <v>34883.295194508006</v>
      </c>
      <c r="Z384" s="80"/>
      <c r="AA384" s="80"/>
      <c r="AB384" s="73"/>
      <c r="AC384" s="75"/>
      <c r="AD384" s="332"/>
      <c r="AE384" s="68"/>
      <c r="AF384" s="73"/>
      <c r="AG384" s="182">
        <f>YEAR(V384)</f>
        <v>2025</v>
      </c>
      <c r="AH384" s="86" t="str">
        <f>+IF(AG384=$AH$22,MONTH(V384),"")</f>
        <v/>
      </c>
      <c r="AI384" s="86">
        <f>+IF(AG384=$AI$22,MONTH(V384),"")</f>
        <v>6</v>
      </c>
      <c r="AJ384" s="86" t="str">
        <f>+IF(AG384=$AJ$22,MONTH(V384),"")</f>
        <v/>
      </c>
      <c r="AK384" s="86" t="str">
        <f>+IF(AG384=$AK$22,MONTH(V384),"")</f>
        <v/>
      </c>
      <c r="AL384" s="86" t="str">
        <f>+IF(AG384=$AL$22,MONTH(V384),"")</f>
        <v/>
      </c>
      <c r="AM384" s="86" t="str">
        <f>+IF($AG384=$AM$22,MONTH($D384),"")</f>
        <v/>
      </c>
      <c r="AN384" s="89" t="str">
        <f>+IF($AG384=AN$22,MONTH($D384),"")</f>
        <v/>
      </c>
      <c r="AO384" s="184" t="str">
        <f>+IF($AG384=AO$22,MONTH($D384),"")</f>
        <v/>
      </c>
      <c r="AP384" s="184" t="str">
        <f>+IF($AG384=AP$22,MONTH($D384),"")</f>
        <v/>
      </c>
      <c r="AQ384" s="184" t="str">
        <f>+IF($AG384=AQ$22,MONTH($D384),"")</f>
        <v/>
      </c>
      <c r="AR384" s="184" t="str">
        <f>+IF($AG384=AR$22,MONTH($D384),"")</f>
        <v/>
      </c>
      <c r="AS384" s="184" t="str">
        <f>+IF($AG384=AS$22,MONTH($D384),"")</f>
        <v/>
      </c>
      <c r="AT384" s="86" t="str">
        <f>+IF($AG384=AT$22,MONTH($D384),"")</f>
        <v/>
      </c>
      <c r="AU384" s="86" t="str">
        <f>+IF($AG384=AU$22,MONTH($D384),"")</f>
        <v/>
      </c>
      <c r="AV384" s="86" t="str">
        <f>+IF($AG384=AV$22,MONTH($D384),"")</f>
        <v/>
      </c>
      <c r="AW384" s="86" t="str">
        <f>+IF($AG384=AW$22,MONTH($D384),"")</f>
        <v/>
      </c>
      <c r="AX384" s="86" t="str">
        <f>+IF($AG384=AX$22,MONTH($D384),"")</f>
        <v/>
      </c>
      <c r="AY384" s="89"/>
      <c r="AZ384" s="89"/>
      <c r="BA384" s="89"/>
      <c r="BB384" s="89"/>
      <c r="BC384" s="89"/>
      <c r="BD384" s="89"/>
      <c r="BE384" s="89"/>
      <c r="BF384" s="89"/>
      <c r="BG384" s="89"/>
      <c r="BH384" s="89"/>
      <c r="BI384" s="89"/>
      <c r="BJ384" s="89"/>
      <c r="BK384" s="89"/>
      <c r="BL384" s="89"/>
      <c r="BM384" s="89"/>
      <c r="BN384" s="89"/>
      <c r="BO384" s="89"/>
      <c r="BP384" s="89"/>
    </row>
    <row r="385" spans="1:68" s="378" customFormat="1" ht="45.75" hidden="1" customHeight="1">
      <c r="A385" s="204" t="str">
        <f>+IFERROR(VALUE(MID(AB385,4,4)),"")</f>
        <v/>
      </c>
      <c r="B385" s="204">
        <f>VALUE(RIGHT(C385,LEN(C385)-2))</f>
        <v>2337</v>
      </c>
      <c r="C385" s="74" t="s">
        <v>1586</v>
      </c>
      <c r="D385" s="75">
        <v>45741</v>
      </c>
      <c r="E385" s="70" t="s">
        <v>1407</v>
      </c>
      <c r="F385" s="70" t="s">
        <v>615</v>
      </c>
      <c r="G385" s="68" t="s">
        <v>1587</v>
      </c>
      <c r="H385" s="307" t="s">
        <v>1588</v>
      </c>
      <c r="I385" s="69" t="s">
        <v>1589</v>
      </c>
      <c r="J385" s="69"/>
      <c r="K385" s="68" t="s">
        <v>27</v>
      </c>
      <c r="L385" s="69" t="s">
        <v>123</v>
      </c>
      <c r="M385" s="71" t="s">
        <v>141</v>
      </c>
      <c r="N385" s="69" t="e" vm="1">
        <v>#VALUE!</v>
      </c>
      <c r="O385" s="84">
        <v>45742</v>
      </c>
      <c r="P385" s="72" t="s">
        <v>701</v>
      </c>
      <c r="Q385" s="72" t="s">
        <v>229</v>
      </c>
      <c r="R385" s="162"/>
      <c r="S385" s="146"/>
      <c r="T385" s="68" t="s">
        <v>158</v>
      </c>
      <c r="U385" s="87">
        <v>0.01</v>
      </c>
      <c r="V385" s="80">
        <v>45733</v>
      </c>
      <c r="W385" s="73">
        <v>33525</v>
      </c>
      <c r="X385" s="73">
        <f>39460*38900/1000000</f>
        <v>1534.9939999999999</v>
      </c>
      <c r="Y385" s="169">
        <f>IF(SUM(W385:W385)&gt;0,X385/SUM(W385:W385)*1000000,"N/A")</f>
        <v>45786.547352721849</v>
      </c>
      <c r="Z385" s="80"/>
      <c r="AA385" s="80"/>
      <c r="AB385" s="73"/>
      <c r="AC385" s="153"/>
      <c r="AD385" s="330"/>
      <c r="AE385" s="305"/>
      <c r="AF385" s="88"/>
      <c r="AG385" s="182">
        <f>YEAR(V385)</f>
        <v>2025</v>
      </c>
      <c r="AH385" s="86" t="str">
        <f>+IF(AG385=$AH$22,MONTH(V385),"")</f>
        <v/>
      </c>
      <c r="AI385" s="86">
        <f>+IF(AG385=$AI$22,MONTH(V385),"")</f>
        <v>3</v>
      </c>
      <c r="AJ385" s="86" t="str">
        <f>+IF(AG385=$AJ$22,MONTH(V385),"")</f>
        <v/>
      </c>
      <c r="AK385" s="86" t="str">
        <f>+IF(AG385=$AK$22,MONTH(V385),"")</f>
        <v/>
      </c>
      <c r="AL385" s="86" t="str">
        <f>+IF(AG385=$AL$22,MONTH(V385),"")</f>
        <v/>
      </c>
      <c r="AM385" s="86" t="str">
        <f>+IF($AG385=$AM$22,MONTH($D385),"")</f>
        <v/>
      </c>
      <c r="AN385" s="89" t="str">
        <f>+IF($AG385=AN$22,MONTH($D385),"")</f>
        <v/>
      </c>
      <c r="AO385" s="89" t="str">
        <f>+IF($AG385=AO$22,MONTH($D385),"")</f>
        <v/>
      </c>
      <c r="AP385" s="89" t="str">
        <f>+IF($AG385=AP$22,MONTH($D385),"")</f>
        <v/>
      </c>
      <c r="AQ385" s="89" t="str">
        <f>+IF($AG385=AQ$22,MONTH($D385),"")</f>
        <v/>
      </c>
      <c r="AR385" s="89" t="str">
        <f>+IF($AG385=AR$22,MONTH($D385),"")</f>
        <v/>
      </c>
      <c r="AS385" s="89" t="str">
        <f>+IF($AG385=AS$22,MONTH($D385),"")</f>
        <v/>
      </c>
      <c r="AT385" s="89" t="str">
        <f>+IF($AG385=AT$22,MONTH($D385),"")</f>
        <v/>
      </c>
      <c r="AU385" s="89" t="str">
        <f>+IF($AG385=AU$22,MONTH($D385),"")</f>
        <v/>
      </c>
      <c r="AV385" s="89" t="str">
        <f>+IF($AG385=AV$22,MONTH($D385),"")</f>
        <v/>
      </c>
      <c r="AW385" s="86" t="str">
        <f>+IF($AG385=AW$22,MONTH($D385),"")</f>
        <v/>
      </c>
      <c r="AX385" s="86" t="str">
        <f>+IF($AG385=AX$22,MONTH($D385),"")</f>
        <v/>
      </c>
      <c r="AY385" s="89"/>
      <c r="AZ385" s="89"/>
      <c r="BA385" s="89"/>
      <c r="BB385" s="89"/>
      <c r="BC385" s="89"/>
      <c r="BD385" s="89"/>
      <c r="BE385" s="89"/>
      <c r="BF385" s="89"/>
      <c r="BG385" s="89"/>
      <c r="BH385" s="89"/>
      <c r="BI385" s="89"/>
      <c r="BJ385" s="89"/>
      <c r="BK385" s="89"/>
      <c r="BL385" s="89"/>
      <c r="BM385" s="89"/>
      <c r="BN385" s="89"/>
      <c r="BO385" s="89"/>
      <c r="BP385" s="89"/>
    </row>
    <row r="386" spans="1:68" s="306" customFormat="1" ht="37.5" hidden="1" customHeight="1">
      <c r="A386" s="204" t="str">
        <f>+IFERROR(VALUE(MID(AB386,4,4)),"")</f>
        <v/>
      </c>
      <c r="B386" s="204">
        <f>VALUE(RIGHT(C386,LEN(C386)-2))</f>
        <v>2336</v>
      </c>
      <c r="C386" s="74" t="s">
        <v>1590</v>
      </c>
      <c r="D386" s="75">
        <v>45739</v>
      </c>
      <c r="E386" s="70" t="s">
        <v>939</v>
      </c>
      <c r="F386" s="70" t="s">
        <v>939</v>
      </c>
      <c r="G386" s="68" t="s">
        <v>1591</v>
      </c>
      <c r="H386" s="282" t="s">
        <v>1592</v>
      </c>
      <c r="I386" s="162" t="s">
        <v>1593</v>
      </c>
      <c r="J386" s="162"/>
      <c r="K386" s="68" t="s">
        <v>9</v>
      </c>
      <c r="L386" s="69" t="s">
        <v>123</v>
      </c>
      <c r="M386" s="71" t="s">
        <v>141</v>
      </c>
      <c r="N386" s="69" t="e" vm="1">
        <v>#VALUE!</v>
      </c>
      <c r="O386" s="164">
        <v>45768</v>
      </c>
      <c r="P386" s="72" t="s">
        <v>258</v>
      </c>
      <c r="Q386" s="72" t="s">
        <v>259</v>
      </c>
      <c r="R386" s="162"/>
      <c r="S386" s="146" t="s">
        <v>1594</v>
      </c>
      <c r="T386" s="68" t="s">
        <v>165</v>
      </c>
      <c r="U386" s="87"/>
      <c r="V386" s="183">
        <v>45768</v>
      </c>
      <c r="W386" s="73">
        <v>2345</v>
      </c>
      <c r="X386" s="73">
        <v>127</v>
      </c>
      <c r="Y386" s="83">
        <f>IF(SUM(W386:W386)&gt;0,X386/SUM(W386:W386)*1000000,"N/A")</f>
        <v>54157.782515991472</v>
      </c>
      <c r="Z386" s="183"/>
      <c r="AA386" s="183"/>
      <c r="AB386" s="73"/>
      <c r="AC386" s="153"/>
      <c r="AD386" s="331"/>
      <c r="AE386" s="57"/>
      <c r="AF386" s="88"/>
      <c r="AG386" s="182">
        <f>YEAR(V386)</f>
        <v>2025</v>
      </c>
      <c r="AH386" s="86" t="str">
        <f>+IF(AG386=$AH$22,MONTH(V386),"")</f>
        <v/>
      </c>
      <c r="AI386" s="86">
        <f>+IF(AG386=$AI$22,MONTH(V386),"")</f>
        <v>4</v>
      </c>
      <c r="AJ386" s="86" t="str">
        <f>+IF(AG386=$AJ$22,MONTH(V386),"")</f>
        <v/>
      </c>
      <c r="AK386" s="86" t="str">
        <f>+IF(AG386=$AK$22,MONTH(V386),"")</f>
        <v/>
      </c>
      <c r="AL386" s="86"/>
      <c r="AM386" s="89"/>
      <c r="AN386" s="89"/>
      <c r="AO386" s="89"/>
      <c r="AP386" s="89"/>
      <c r="AQ386" s="89"/>
      <c r="AR386" s="89"/>
      <c r="AS386" s="89"/>
      <c r="AT386" s="89"/>
      <c r="AU386" s="89"/>
      <c r="AV386" s="89"/>
      <c r="AW386" s="86" t="str">
        <f>+IF($AG386=AW$22,MONTH($D386),"")</f>
        <v/>
      </c>
      <c r="AX386" s="86" t="str">
        <f>+IF($AG386=AX$22,MONTH($D386),"")</f>
        <v/>
      </c>
      <c r="AY386" s="89"/>
      <c r="AZ386" s="89"/>
      <c r="BA386" s="89"/>
      <c r="BB386" s="89"/>
      <c r="BC386" s="89"/>
      <c r="BD386" s="89"/>
      <c r="BE386" s="89"/>
      <c r="BF386" s="89"/>
      <c r="BG386" s="89"/>
      <c r="BH386" s="89"/>
      <c r="BI386" s="89"/>
      <c r="BJ386" s="89"/>
      <c r="BK386" s="89"/>
      <c r="BL386" s="89"/>
      <c r="BM386" s="89"/>
      <c r="BN386" s="89"/>
      <c r="BO386" s="89"/>
      <c r="BP386" s="89"/>
    </row>
    <row r="387" spans="1:68" s="56" customFormat="1" ht="30" hidden="1" customHeight="1">
      <c r="A387" s="204">
        <f>+IFERROR(VALUE(MID(AB387,4,4)),"")</f>
        <v>427</v>
      </c>
      <c r="B387" s="204">
        <f>VALUE(RIGHT(C387,LEN(C387)-2))</f>
        <v>2335</v>
      </c>
      <c r="C387" s="74" t="s">
        <v>1595</v>
      </c>
      <c r="D387" s="75">
        <v>45739</v>
      </c>
      <c r="E387" s="70" t="s">
        <v>685</v>
      </c>
      <c r="F387" s="70" t="s">
        <v>685</v>
      </c>
      <c r="G387" s="68" t="s">
        <v>1488</v>
      </c>
      <c r="H387" s="282" t="s">
        <v>1489</v>
      </c>
      <c r="I387" s="69" t="s">
        <v>1596</v>
      </c>
      <c r="J387" s="69"/>
      <c r="K387" s="68" t="s">
        <v>13</v>
      </c>
      <c r="L387" s="69" t="s">
        <v>120</v>
      </c>
      <c r="M387" s="71" t="s">
        <v>141</v>
      </c>
      <c r="N387" s="69" t="e" vm="1">
        <v>#VALUE!</v>
      </c>
      <c r="O387" s="164">
        <v>45741</v>
      </c>
      <c r="P387" s="72" t="s">
        <v>689</v>
      </c>
      <c r="Q387" s="72" t="s">
        <v>240</v>
      </c>
      <c r="R387" s="162"/>
      <c r="S387" s="146"/>
      <c r="T387" s="68" t="s">
        <v>3</v>
      </c>
      <c r="U387" s="87"/>
      <c r="V387" s="183">
        <v>45742</v>
      </c>
      <c r="W387" s="73">
        <v>120</v>
      </c>
      <c r="X387" s="214">
        <v>6.3</v>
      </c>
      <c r="Y387" s="83">
        <f>IF(SUM(W387:W387)&gt;0,X387/SUM(W387:W387)*1000000,"N/A")</f>
        <v>52500</v>
      </c>
      <c r="Z387" s="183"/>
      <c r="AA387" s="183"/>
      <c r="AB387" s="73" t="s">
        <v>1597</v>
      </c>
      <c r="AC387" s="153"/>
      <c r="AD387" s="331"/>
      <c r="AE387" s="57"/>
      <c r="AF387" s="88"/>
      <c r="AG387" s="182">
        <f>YEAR(V387)</f>
        <v>2025</v>
      </c>
      <c r="AH387" s="86" t="str">
        <f>+IF(AG387=$AH$22,MONTH(V387),"")</f>
        <v/>
      </c>
      <c r="AI387" s="86">
        <f>+IF(AG387=$AI$22,MONTH(V387),"")</f>
        <v>3</v>
      </c>
      <c r="AJ387" s="86" t="str">
        <f>+IF(AG387=$AJ$22,MONTH(V387),"")</f>
        <v/>
      </c>
      <c r="AK387" s="86" t="str">
        <f>+IF(AG387=$AK$22,MONTH(V387),"")</f>
        <v/>
      </c>
      <c r="AL387" s="86"/>
      <c r="AM387" s="89"/>
      <c r="AN387" s="89"/>
      <c r="AO387" s="89"/>
      <c r="AP387" s="89"/>
      <c r="AQ387" s="89"/>
      <c r="AR387" s="89"/>
      <c r="AS387" s="89"/>
      <c r="AT387" s="89"/>
      <c r="AU387" s="89"/>
      <c r="AV387" s="89"/>
      <c r="AW387" s="86" t="str">
        <f>+IF($AG387=AW$22,MONTH($D387),"")</f>
        <v/>
      </c>
      <c r="AX387" s="86" t="str">
        <f>+IF($AG387=AX$22,MONTH($D387),"")</f>
        <v/>
      </c>
      <c r="AY387" s="89"/>
      <c r="AZ387" s="89"/>
      <c r="BA387" s="89"/>
      <c r="BB387" s="89"/>
      <c r="BC387" s="89"/>
      <c r="BD387" s="89"/>
      <c r="BE387" s="89"/>
      <c r="BF387" s="89"/>
      <c r="BG387" s="89"/>
      <c r="BH387" s="89"/>
      <c r="BI387" s="89"/>
      <c r="BJ387" s="89"/>
      <c r="BK387" s="89"/>
      <c r="BL387" s="89"/>
      <c r="BM387" s="89"/>
      <c r="BN387" s="89"/>
      <c r="BO387" s="89"/>
      <c r="BP387" s="89"/>
    </row>
    <row r="388" spans="1:68" s="56" customFormat="1" ht="26.25" hidden="1" customHeight="1">
      <c r="A388" s="204" t="str">
        <f>+IFERROR(VALUE(MID(AB388,4,4)),"")</f>
        <v/>
      </c>
      <c r="B388" s="204">
        <f>VALUE(RIGHT(C388,LEN(C388)-2))</f>
        <v>2334</v>
      </c>
      <c r="C388" s="74" t="s">
        <v>1598</v>
      </c>
      <c r="D388" s="75">
        <v>45740</v>
      </c>
      <c r="E388" s="70" t="s">
        <v>1599</v>
      </c>
      <c r="F388" s="70" t="s">
        <v>1599</v>
      </c>
      <c r="G388" s="68" t="s">
        <v>1600</v>
      </c>
      <c r="H388" s="59"/>
      <c r="I388" s="69" t="s">
        <v>1601</v>
      </c>
      <c r="J388" s="69"/>
      <c r="K388" s="68" t="s">
        <v>9</v>
      </c>
      <c r="L388" s="69" t="s">
        <v>120</v>
      </c>
      <c r="M388" s="71" t="s">
        <v>141</v>
      </c>
      <c r="N388" s="69" t="e" vm="1">
        <v>#VALUE!</v>
      </c>
      <c r="O388" s="84">
        <v>45747</v>
      </c>
      <c r="P388" s="72" t="s">
        <v>1602</v>
      </c>
      <c r="Q388" s="72" t="s">
        <v>694</v>
      </c>
      <c r="R388" s="162"/>
      <c r="S388" s="146"/>
      <c r="T388" s="68" t="s">
        <v>165</v>
      </c>
      <c r="U388" s="87"/>
      <c r="V388" s="80">
        <v>45747</v>
      </c>
      <c r="W388" s="73">
        <v>522</v>
      </c>
      <c r="X388" s="73">
        <v>36.200000000000003</v>
      </c>
      <c r="Y388" s="83">
        <f>IF(SUM(W388:W388)&gt;0,X388/SUM(W388:W388)*1000000,"N/A")</f>
        <v>69348.659003831432</v>
      </c>
      <c r="Z388" s="80"/>
      <c r="AA388" s="80"/>
      <c r="AB388" s="73"/>
      <c r="AC388" s="153"/>
      <c r="AD388" s="331"/>
      <c r="AE388" s="57"/>
      <c r="AF388" s="88"/>
      <c r="AG388" s="182">
        <f>YEAR(V388)</f>
        <v>2025</v>
      </c>
      <c r="AH388" s="86" t="str">
        <f>+IF(AG388=$AH$22,MONTH(V388),"")</f>
        <v/>
      </c>
      <c r="AI388" s="86">
        <f>+IF(AG388=$AI$22,MONTH(V388),"")</f>
        <v>3</v>
      </c>
      <c r="AJ388" s="86" t="str">
        <f>+IF(AG388=$AJ$22,MONTH(V388),"")</f>
        <v/>
      </c>
      <c r="AK388" s="86" t="str">
        <f>+IF(AG388=$AK$22,MONTH(V388),"")</f>
        <v/>
      </c>
      <c r="AL388" s="86" t="str">
        <f>+IF(AG388=$AL$22,MONTH(V388),"")</f>
        <v/>
      </c>
      <c r="AM388" s="86" t="str">
        <f>+IF($AG388=$AM$22,MONTH($D388),"")</f>
        <v/>
      </c>
      <c r="AN388" s="89" t="str">
        <f>+IF($AG388=AN$22,MONTH($D388),"")</f>
        <v/>
      </c>
      <c r="AO388" s="89" t="str">
        <f>+IF($AG388=AO$22,MONTH($D388),"")</f>
        <v/>
      </c>
      <c r="AP388" s="89" t="str">
        <f>+IF($AG388=AP$22,MONTH($D388),"")</f>
        <v/>
      </c>
      <c r="AQ388" s="89" t="str">
        <f>+IF($AG388=AQ$22,MONTH($D388),"")</f>
        <v/>
      </c>
      <c r="AR388" s="89" t="str">
        <f>+IF($AG388=AR$22,MONTH($D388),"")</f>
        <v/>
      </c>
      <c r="AS388" s="89" t="str">
        <f>+IF($AG388=AS$22,MONTH($D388),"")</f>
        <v/>
      </c>
      <c r="AT388" s="89" t="str">
        <f>+IF($AG388=AT$22,MONTH($D388),"")</f>
        <v/>
      </c>
      <c r="AU388" s="89" t="str">
        <f>+IF($AG388=AU$22,MONTH($D388),"")</f>
        <v/>
      </c>
      <c r="AV388" s="89" t="str">
        <f>+IF($AG388=AV$22,MONTH($D388),"")</f>
        <v/>
      </c>
      <c r="AW388" s="86" t="str">
        <f>+IF($AG388=AW$22,MONTH($D388),"")</f>
        <v/>
      </c>
      <c r="AX388" s="86" t="str">
        <f>+IF($AG388=AX$22,MONTH($D388),"")</f>
        <v/>
      </c>
      <c r="AY388" s="89"/>
      <c r="AZ388" s="89"/>
      <c r="BA388" s="89"/>
      <c r="BB388" s="89"/>
      <c r="BC388" s="89"/>
      <c r="BD388" s="89"/>
      <c r="BE388" s="89"/>
      <c r="BF388" s="89"/>
      <c r="BG388" s="89"/>
      <c r="BH388" s="89"/>
      <c r="BI388" s="89"/>
      <c r="BJ388" s="89"/>
      <c r="BK388" s="89"/>
      <c r="BL388" s="89"/>
      <c r="BM388" s="89"/>
      <c r="BN388" s="89"/>
      <c r="BO388" s="89"/>
      <c r="BP388" s="89"/>
    </row>
    <row r="389" spans="1:68" s="56" customFormat="1" ht="27" hidden="1" customHeight="1">
      <c r="A389" s="204" t="str">
        <f>+IFERROR(VALUE(MID(AB389,4,4)),"")</f>
        <v/>
      </c>
      <c r="B389" s="204">
        <f>VALUE(RIGHT(C389,LEN(C389)-2))</f>
        <v>2333</v>
      </c>
      <c r="C389" s="74" t="s">
        <v>1603</v>
      </c>
      <c r="D389" s="75">
        <v>45737</v>
      </c>
      <c r="E389" s="70" t="s">
        <v>262</v>
      </c>
      <c r="F389" s="70" t="s">
        <v>263</v>
      </c>
      <c r="G389" s="68" t="s">
        <v>1604</v>
      </c>
      <c r="H389" s="307" t="s">
        <v>1605</v>
      </c>
      <c r="I389" s="69" t="s">
        <v>1606</v>
      </c>
      <c r="J389" s="69"/>
      <c r="K389" s="68" t="s">
        <v>389</v>
      </c>
      <c r="L389" s="69" t="s">
        <v>129</v>
      </c>
      <c r="M389" s="71" t="s">
        <v>141</v>
      </c>
      <c r="N389" s="69" t="e" vm="1">
        <v>#VALUE!</v>
      </c>
      <c r="O389" s="84">
        <v>45741</v>
      </c>
      <c r="P389" s="72" t="s">
        <v>364</v>
      </c>
      <c r="Q389" s="72" t="s">
        <v>389</v>
      </c>
      <c r="R389" s="162"/>
      <c r="S389" s="146" t="s">
        <v>899</v>
      </c>
      <c r="T389" s="68" t="s">
        <v>155</v>
      </c>
      <c r="U389" s="87"/>
      <c r="V389" s="80">
        <v>45740</v>
      </c>
      <c r="W389" s="73"/>
      <c r="X389" s="73"/>
      <c r="Y389" s="169" t="str">
        <f>IF(SUM(W389:W389)&gt;0,X389/SUM(W389:W389)*1000000,"N/A")</f>
        <v>N/A</v>
      </c>
      <c r="Z389" s="80"/>
      <c r="AA389" s="80"/>
      <c r="AB389" s="73"/>
      <c r="AC389" s="153"/>
      <c r="AD389" s="330" t="s">
        <v>134</v>
      </c>
      <c r="AE389" s="305"/>
      <c r="AF389" s="88"/>
      <c r="AG389" s="182">
        <f>YEAR(D389)</f>
        <v>2025</v>
      </c>
      <c r="AH389" s="86" t="str">
        <f>+IF(AG389=$AH$22,MONTH(V389),"")</f>
        <v/>
      </c>
      <c r="AI389" s="86">
        <f>+IF(AG389=$AI$22,MONTH(V389),"")</f>
        <v>3</v>
      </c>
      <c r="AJ389" s="86" t="str">
        <f>+IF(AG389=$AJ$22,MONTH(V389),"")</f>
        <v/>
      </c>
      <c r="AK389" s="86" t="str">
        <f>+IF(AG389=$AK$22,MONTH(V389),"")</f>
        <v/>
      </c>
      <c r="AL389" s="86" t="str">
        <f>+IF(AG389=$AL$22,MONTH(V389),"")</f>
        <v/>
      </c>
      <c r="AM389" s="86" t="str">
        <f>+IF($AG389=$AM$22,MONTH($D389),"")</f>
        <v/>
      </c>
      <c r="AN389" s="89" t="str">
        <f>+IF($AG389=AN$22,MONTH($D389),"")</f>
        <v/>
      </c>
      <c r="AO389" s="89" t="str">
        <f>+IF($AG389=AO$22,MONTH($D389),"")</f>
        <v/>
      </c>
      <c r="AP389" s="89" t="str">
        <f>+IF($AG389=AP$22,MONTH($D389),"")</f>
        <v/>
      </c>
      <c r="AQ389" s="89" t="str">
        <f>+IF($AG389=AQ$22,MONTH($D389),"")</f>
        <v/>
      </c>
      <c r="AR389" s="89" t="str">
        <f>+IF($AG389=AR$22,MONTH($D389),"")</f>
        <v/>
      </c>
      <c r="AS389" s="89" t="str">
        <f>+IF($AG389=AS$22,MONTH($D389),"")</f>
        <v/>
      </c>
      <c r="AT389" s="89" t="str">
        <f>+IF($AG389=AT$22,MONTH($D389),"")</f>
        <v/>
      </c>
      <c r="AU389" s="89" t="str">
        <f>+IF($AG389=AU$22,MONTH($D389),"")</f>
        <v/>
      </c>
      <c r="AV389" s="89" t="str">
        <f>+IF($AG389=AV$22,MONTH($D389),"")</f>
        <v/>
      </c>
      <c r="AW389" s="86" t="str">
        <f>+IF($AG389=AW$22,MONTH($D389),"")</f>
        <v/>
      </c>
      <c r="AX389" s="86" t="str">
        <f>+IF($AG389=AX$22,MONTH($D389),"")</f>
        <v/>
      </c>
      <c r="AY389" s="89"/>
      <c r="AZ389" s="89"/>
      <c r="BA389" s="89"/>
      <c r="BB389" s="89"/>
      <c r="BC389" s="89"/>
      <c r="BD389" s="89"/>
      <c r="BE389" s="89"/>
      <c r="BF389" s="89"/>
      <c r="BG389" s="89"/>
      <c r="BH389" s="89"/>
      <c r="BI389" s="89"/>
      <c r="BJ389" s="89"/>
      <c r="BK389" s="89"/>
      <c r="BL389" s="89"/>
      <c r="BM389" s="89"/>
      <c r="BN389" s="89"/>
      <c r="BO389" s="89"/>
      <c r="BP389" s="89"/>
    </row>
    <row r="390" spans="1:68" s="347" customFormat="1" ht="29.25" hidden="1" customHeight="1">
      <c r="A390" s="204" t="str">
        <f>+IFERROR(VALUE(MID(AB390,4,4)),"")</f>
        <v/>
      </c>
      <c r="B390" s="204">
        <f>VALUE(RIGHT(C390,LEN(C390)-2))</f>
        <v>2332</v>
      </c>
      <c r="C390" s="74" t="s">
        <v>1607</v>
      </c>
      <c r="D390" s="75">
        <v>45736</v>
      </c>
      <c r="E390" s="68" t="s">
        <v>53</v>
      </c>
      <c r="F390" s="68" t="s">
        <v>642</v>
      </c>
      <c r="G390" s="68" t="s">
        <v>210</v>
      </c>
      <c r="H390" s="304" t="s">
        <v>210</v>
      </c>
      <c r="I390" s="69" t="s">
        <v>1608</v>
      </c>
      <c r="J390" s="69"/>
      <c r="K390" s="68" t="s">
        <v>9</v>
      </c>
      <c r="L390" s="69" t="s">
        <v>123</v>
      </c>
      <c r="M390" s="71" t="s">
        <v>141</v>
      </c>
      <c r="N390" s="69" t="e" vm="1">
        <v>#VALUE!</v>
      </c>
      <c r="O390" s="84">
        <v>45761</v>
      </c>
      <c r="P390" s="69" t="s">
        <v>649</v>
      </c>
      <c r="Q390" s="69" t="s">
        <v>259</v>
      </c>
      <c r="R390" s="69"/>
      <c r="S390" s="146"/>
      <c r="T390" s="68" t="s">
        <v>155</v>
      </c>
      <c r="U390" s="87"/>
      <c r="V390" s="183">
        <v>45740</v>
      </c>
      <c r="W390" s="73"/>
      <c r="X390" s="73"/>
      <c r="Y390" s="83" t="str">
        <f>IF(SUM(W390:W390)&gt;0,X390/SUM(W390:W390)*1000000,"N/A")</f>
        <v>N/A</v>
      </c>
      <c r="Z390" s="80"/>
      <c r="AA390" s="80"/>
      <c r="AB390" s="73"/>
      <c r="AC390" s="75"/>
      <c r="AD390" s="332"/>
      <c r="AE390" s="68"/>
      <c r="AF390" s="73"/>
      <c r="AG390" s="182">
        <f>YEAR(V390)</f>
        <v>2025</v>
      </c>
      <c r="AH390" s="86" t="str">
        <f>+IF(AG390=$AH$22,MONTH(V390),"")</f>
        <v/>
      </c>
      <c r="AI390" s="86">
        <f>+IF(AG390=$AI$22,MONTH(V390),"")</f>
        <v>3</v>
      </c>
      <c r="AJ390" s="86" t="str">
        <f>+IF(AG390=$AJ$22,MONTH(V390),"")</f>
        <v/>
      </c>
      <c r="AK390" s="86" t="str">
        <f>+IF(AG390=$AK$22,MONTH(V390),"")</f>
        <v/>
      </c>
      <c r="AL390" s="86" t="str">
        <f>+IF(AG390=$AL$22,MONTH(V390),"")</f>
        <v/>
      </c>
      <c r="AM390" s="86" t="str">
        <f>+IF($AG390=$AM$22,MONTH($D390),"")</f>
        <v/>
      </c>
      <c r="AN390" s="89" t="str">
        <f>+IF($AG390=AN$22,MONTH($D390),"")</f>
        <v/>
      </c>
      <c r="AO390" s="184" t="str">
        <f>+IF($AG390=AO$22,MONTH($D390),"")</f>
        <v/>
      </c>
      <c r="AP390" s="184" t="str">
        <f>+IF($AG390=AP$22,MONTH($D390),"")</f>
        <v/>
      </c>
      <c r="AQ390" s="184" t="str">
        <f>+IF($AG390=AQ$22,MONTH($D390),"")</f>
        <v/>
      </c>
      <c r="AR390" s="184" t="str">
        <f>+IF($AG390=AR$22,MONTH($D390),"")</f>
        <v/>
      </c>
      <c r="AS390" s="184" t="str">
        <f>+IF($AG390=AS$22,MONTH($D390),"")</f>
        <v/>
      </c>
      <c r="AT390" s="86" t="str">
        <f>+IF($AG390=AT$22,MONTH($D390),"")</f>
        <v/>
      </c>
      <c r="AU390" s="86" t="str">
        <f>+IF($AG390=AU$22,MONTH($D390),"")</f>
        <v/>
      </c>
      <c r="AV390" s="86" t="str">
        <f>+IF($AG390=AV$22,MONTH($D390),"")</f>
        <v/>
      </c>
      <c r="AW390" s="86" t="str">
        <f>+IF($AG390=AW$22,MONTH($D390),"")</f>
        <v/>
      </c>
      <c r="AX390" s="86" t="str">
        <f>+IF($AG390=AX$22,MONTH($D390),"")</f>
        <v/>
      </c>
      <c r="AY390" s="89"/>
      <c r="AZ390" s="89"/>
      <c r="BA390" s="89"/>
      <c r="BB390" s="89"/>
      <c r="BC390" s="89"/>
      <c r="BD390" s="89"/>
      <c r="BE390" s="89"/>
      <c r="BF390" s="89"/>
      <c r="BG390" s="89"/>
      <c r="BH390" s="89"/>
      <c r="BI390" s="89"/>
      <c r="BJ390" s="89"/>
      <c r="BK390" s="89"/>
      <c r="BL390" s="89"/>
      <c r="BM390" s="89"/>
      <c r="BN390" s="89"/>
      <c r="BO390" s="89"/>
      <c r="BP390" s="89"/>
    </row>
    <row r="391" spans="1:68" s="378" customFormat="1" ht="45.75" hidden="1" customHeight="1">
      <c r="A391" s="204" t="str">
        <f>+IFERROR(VALUE(MID(AB391,4,4)),"")</f>
        <v/>
      </c>
      <c r="B391" s="204">
        <f>VALUE(RIGHT(C391,LEN(C391)-2))</f>
        <v>2331</v>
      </c>
      <c r="C391" s="74" t="s">
        <v>1609</v>
      </c>
      <c r="D391" s="75">
        <v>45735</v>
      </c>
      <c r="E391" s="68" t="s">
        <v>215</v>
      </c>
      <c r="F391" s="68" t="s">
        <v>215</v>
      </c>
      <c r="G391" s="68" t="s">
        <v>1610</v>
      </c>
      <c r="H391" s="307" t="s">
        <v>1611</v>
      </c>
      <c r="I391" s="69" t="s">
        <v>1612</v>
      </c>
      <c r="J391" s="69"/>
      <c r="K391" s="68" t="s">
        <v>13</v>
      </c>
      <c r="L391" s="69" t="s">
        <v>129</v>
      </c>
      <c r="M391" s="71" t="s">
        <v>113</v>
      </c>
      <c r="N391" s="69" t="e" vm="2">
        <v>#VALUE!</v>
      </c>
      <c r="O391" s="84">
        <v>45735</v>
      </c>
      <c r="P391" s="69" t="s">
        <v>294</v>
      </c>
      <c r="Q391" s="69" t="s">
        <v>229</v>
      </c>
      <c r="R391" s="69"/>
      <c r="S391" s="146"/>
      <c r="T391" s="68" t="s">
        <v>165</v>
      </c>
      <c r="U391" s="87"/>
      <c r="V391" s="183">
        <v>45820</v>
      </c>
      <c r="W391" s="73">
        <v>10608</v>
      </c>
      <c r="X391" s="73">
        <v>376</v>
      </c>
      <c r="Y391" s="83">
        <f>IF(SUM(W391:W391)&gt;0,X391/SUM(W391:W391)*1000000,"N/A")</f>
        <v>35444.947209653088</v>
      </c>
      <c r="Z391" s="80"/>
      <c r="AA391" s="80"/>
      <c r="AB391" s="73"/>
      <c r="AC391" s="75"/>
      <c r="AD391" s="332"/>
      <c r="AE391" s="68"/>
      <c r="AF391" s="73"/>
      <c r="AG391" s="182">
        <f>YEAR(V391)</f>
        <v>2025</v>
      </c>
      <c r="AH391" s="86" t="str">
        <f>+IF(AG391=$AH$22,MONTH(V391),"")</f>
        <v/>
      </c>
      <c r="AI391" s="86">
        <f>+IF(AG391=$AI$22,MONTH(V391),"")</f>
        <v>6</v>
      </c>
      <c r="AJ391" s="86" t="str">
        <f>+IF(AG391=$AJ$22,MONTH(V391),"")</f>
        <v/>
      </c>
      <c r="AK391" s="86" t="str">
        <f>+IF(AG391=$AK$22,MONTH(V391),"")</f>
        <v/>
      </c>
      <c r="AL391" s="86" t="str">
        <f>+IF(AG391=$AL$22,MONTH(V391),"")</f>
        <v/>
      </c>
      <c r="AM391" s="86" t="str">
        <f>+IF($AG391=$AM$22,MONTH($D391),"")</f>
        <v/>
      </c>
      <c r="AN391" s="89" t="str">
        <f>+IF($AG391=AN$22,MONTH($D391),"")</f>
        <v/>
      </c>
      <c r="AO391" s="184" t="str">
        <f>+IF($AG391=AO$22,MONTH($D391),"")</f>
        <v/>
      </c>
      <c r="AP391" s="184" t="str">
        <f>+IF($AG391=AP$22,MONTH($D391),"")</f>
        <v/>
      </c>
      <c r="AQ391" s="184" t="str">
        <f>+IF($AG391=AQ$22,MONTH($D391),"")</f>
        <v/>
      </c>
      <c r="AR391" s="184" t="str">
        <f>+IF($AG391=AR$22,MONTH($D391),"")</f>
        <v/>
      </c>
      <c r="AS391" s="184" t="str">
        <f>+IF($AG391=AS$22,MONTH($D391),"")</f>
        <v/>
      </c>
      <c r="AT391" s="86" t="str">
        <f>+IF($AG391=AT$22,MONTH($D391),"")</f>
        <v/>
      </c>
      <c r="AU391" s="86" t="str">
        <f>+IF($AG391=AU$22,MONTH($D391),"")</f>
        <v/>
      </c>
      <c r="AV391" s="86" t="str">
        <f>+IF($AG391=AV$22,MONTH($D391),"")</f>
        <v/>
      </c>
      <c r="AW391" s="86" t="str">
        <f>+IF($AG391=AW$22,MONTH($D391),"")</f>
        <v/>
      </c>
      <c r="AX391" s="86" t="str">
        <f>+IF($AG391=AX$22,MONTH($D391),"")</f>
        <v/>
      </c>
      <c r="AY391" s="89"/>
      <c r="AZ391" s="89"/>
      <c r="BA391" s="89"/>
      <c r="BB391" s="89"/>
      <c r="BC391" s="89"/>
      <c r="BD391" s="89"/>
      <c r="BE391" s="89"/>
      <c r="BF391" s="89"/>
      <c r="BG391" s="89"/>
      <c r="BH391" s="89"/>
      <c r="BI391" s="89"/>
      <c r="BJ391" s="89"/>
      <c r="BK391" s="89"/>
      <c r="BL391" s="89"/>
      <c r="BM391" s="89"/>
      <c r="BN391" s="89"/>
      <c r="BO391" s="89"/>
      <c r="BP391" s="89"/>
    </row>
    <row r="392" spans="1:68" s="378" customFormat="1" ht="45.75" hidden="1" customHeight="1">
      <c r="A392" s="204" t="str">
        <f>+IFERROR(VALUE(MID(AB392,4,4)),"")</f>
        <v/>
      </c>
      <c r="B392" s="204">
        <f>VALUE(RIGHT(C392,LEN(C392)-2))</f>
        <v>2330</v>
      </c>
      <c r="C392" s="74" t="s">
        <v>1613</v>
      </c>
      <c r="D392" s="75">
        <v>45735</v>
      </c>
      <c r="E392" s="68" t="s">
        <v>215</v>
      </c>
      <c r="F392" s="68" t="s">
        <v>215</v>
      </c>
      <c r="G392" s="68" t="s">
        <v>1610</v>
      </c>
      <c r="H392" s="307" t="s">
        <v>1611</v>
      </c>
      <c r="I392" s="69" t="s">
        <v>1614</v>
      </c>
      <c r="J392" s="69"/>
      <c r="K392" s="68" t="s">
        <v>13</v>
      </c>
      <c r="L392" s="69" t="s">
        <v>129</v>
      </c>
      <c r="M392" s="71" t="s">
        <v>113</v>
      </c>
      <c r="N392" s="69" t="e" vm="2">
        <v>#VALUE!</v>
      </c>
      <c r="O392" s="84">
        <v>45735</v>
      </c>
      <c r="P392" s="69" t="s">
        <v>294</v>
      </c>
      <c r="Q392" s="69" t="s">
        <v>229</v>
      </c>
      <c r="R392" s="69"/>
      <c r="S392" s="146"/>
      <c r="T392" s="68" t="s">
        <v>165</v>
      </c>
      <c r="U392" s="87"/>
      <c r="V392" s="183">
        <v>45820</v>
      </c>
      <c r="W392" s="73">
        <v>7155</v>
      </c>
      <c r="X392" s="73">
        <v>306</v>
      </c>
      <c r="Y392" s="83">
        <f>IF(SUM(W392:W392)&gt;0,X392/SUM(W392:W392)*1000000,"N/A")</f>
        <v>42767.295597484277</v>
      </c>
      <c r="Z392" s="80"/>
      <c r="AA392" s="80"/>
      <c r="AB392" s="73"/>
      <c r="AC392" s="75"/>
      <c r="AD392" s="332"/>
      <c r="AE392" s="68"/>
      <c r="AF392" s="73"/>
      <c r="AG392" s="182">
        <f>YEAR(V392)</f>
        <v>2025</v>
      </c>
      <c r="AH392" s="86" t="str">
        <f>+IF(AG392=$AH$22,MONTH(V392),"")</f>
        <v/>
      </c>
      <c r="AI392" s="86">
        <f>+IF(AG392=$AI$22,MONTH(V392),"")</f>
        <v>6</v>
      </c>
      <c r="AJ392" s="86" t="str">
        <f>+IF(AG392=$AJ$22,MONTH(V392),"")</f>
        <v/>
      </c>
      <c r="AK392" s="86" t="str">
        <f>+IF(AG392=$AK$22,MONTH(V392),"")</f>
        <v/>
      </c>
      <c r="AL392" s="86" t="str">
        <f>+IF(AG392=$AL$22,MONTH(V392),"")</f>
        <v/>
      </c>
      <c r="AM392" s="86" t="str">
        <f>+IF($AG392=$AM$22,MONTH($D392),"")</f>
        <v/>
      </c>
      <c r="AN392" s="89" t="str">
        <f>+IF($AG392=AN$22,MONTH($D392),"")</f>
        <v/>
      </c>
      <c r="AO392" s="184" t="str">
        <f>+IF($AG392=AO$22,MONTH($D392),"")</f>
        <v/>
      </c>
      <c r="AP392" s="184" t="str">
        <f>+IF($AG392=AP$22,MONTH($D392),"")</f>
        <v/>
      </c>
      <c r="AQ392" s="184" t="str">
        <f>+IF($AG392=AQ$22,MONTH($D392),"")</f>
        <v/>
      </c>
      <c r="AR392" s="184" t="str">
        <f>+IF($AG392=AR$22,MONTH($D392),"")</f>
        <v/>
      </c>
      <c r="AS392" s="184" t="str">
        <f>+IF($AG392=AS$22,MONTH($D392),"")</f>
        <v/>
      </c>
      <c r="AT392" s="86" t="str">
        <f>+IF($AG392=AT$22,MONTH($D392),"")</f>
        <v/>
      </c>
      <c r="AU392" s="86" t="str">
        <f>+IF($AG392=AU$22,MONTH($D392),"")</f>
        <v/>
      </c>
      <c r="AV392" s="86" t="str">
        <f>+IF($AG392=AV$22,MONTH($D392),"")</f>
        <v/>
      </c>
      <c r="AW392" s="86" t="str">
        <f>+IF($AG392=AW$22,MONTH($D392),"")</f>
        <v/>
      </c>
      <c r="AX392" s="86" t="str">
        <f>+IF($AG392=AX$22,MONTH($D392),"")</f>
        <v/>
      </c>
      <c r="AY392" s="89"/>
      <c r="AZ392" s="89"/>
      <c r="BA392" s="89"/>
      <c r="BB392" s="89"/>
      <c r="BC392" s="89"/>
      <c r="BD392" s="89"/>
      <c r="BE392" s="89"/>
      <c r="BF392" s="89"/>
      <c r="BG392" s="89"/>
      <c r="BH392" s="89"/>
      <c r="BI392" s="89"/>
      <c r="BJ392" s="89"/>
      <c r="BK392" s="89"/>
      <c r="BL392" s="89"/>
      <c r="BM392" s="89"/>
      <c r="BN392" s="89"/>
      <c r="BO392" s="89"/>
      <c r="BP392" s="89"/>
    </row>
    <row r="393" spans="1:68" s="378" customFormat="1" ht="45.75" hidden="1" customHeight="1">
      <c r="A393" s="204">
        <f>+IFERROR(VALUE(MID(AB393,4,4)),"")</f>
        <v>435</v>
      </c>
      <c r="B393" s="204">
        <f>VALUE(RIGHT(C393,LEN(C393)-2))</f>
        <v>2329</v>
      </c>
      <c r="C393" s="74" t="s">
        <v>1615</v>
      </c>
      <c r="D393" s="75">
        <v>45735</v>
      </c>
      <c r="E393" s="70" t="s">
        <v>332</v>
      </c>
      <c r="F393" s="70" t="s">
        <v>332</v>
      </c>
      <c r="G393" s="68" t="s">
        <v>1616</v>
      </c>
      <c r="H393" s="307" t="s">
        <v>1617</v>
      </c>
      <c r="I393" s="69" t="s">
        <v>1618</v>
      </c>
      <c r="J393" s="69"/>
      <c r="K393" s="68" t="s">
        <v>13</v>
      </c>
      <c r="L393" s="69" t="s">
        <v>123</v>
      </c>
      <c r="M393" s="71" t="s">
        <v>141</v>
      </c>
      <c r="N393" s="69" t="e" vm="1">
        <v>#VALUE!</v>
      </c>
      <c r="O393" s="164">
        <v>45735</v>
      </c>
      <c r="P393" s="72" t="s">
        <v>737</v>
      </c>
      <c r="Q393" s="72" t="s">
        <v>220</v>
      </c>
      <c r="R393" s="162"/>
      <c r="S393" s="146"/>
      <c r="T393" s="68" t="s">
        <v>3</v>
      </c>
      <c r="U393" s="87"/>
      <c r="V393" s="183">
        <v>45735</v>
      </c>
      <c r="W393" s="73">
        <v>2194</v>
      </c>
      <c r="X393" s="214">
        <v>87</v>
      </c>
      <c r="Y393" s="83">
        <f>IF(SUM(W393:W393)&gt;0,X393/SUM(W393:W393)*1000000,"N/A")</f>
        <v>39653.60072926162</v>
      </c>
      <c r="Z393" s="183"/>
      <c r="AA393" s="183"/>
      <c r="AB393" s="73" t="s">
        <v>1619</v>
      </c>
      <c r="AC393" s="153"/>
      <c r="AD393" s="330"/>
      <c r="AE393" s="305"/>
      <c r="AF393" s="88"/>
      <c r="AG393" s="182">
        <f>YEAR(V393)</f>
        <v>2025</v>
      </c>
      <c r="AH393" s="86" t="str">
        <f>+IF(AG393=$AH$22,MONTH(V393),"")</f>
        <v/>
      </c>
      <c r="AI393" s="86">
        <f>+IF(AG393=$AI$22,MONTH(V393),"")</f>
        <v>3</v>
      </c>
      <c r="AJ393" s="86" t="str">
        <f>+IF(AG393=$AJ$22,MONTH(V393),"")</f>
        <v/>
      </c>
      <c r="AK393" s="86" t="str">
        <f>+IF(AG393=$AK$22,MONTH(V393),"")</f>
        <v/>
      </c>
      <c r="AL393" s="86"/>
      <c r="AM393" s="89"/>
      <c r="AN393" s="89"/>
      <c r="AO393" s="89"/>
      <c r="AP393" s="89"/>
      <c r="AQ393" s="89"/>
      <c r="AR393" s="89"/>
      <c r="AS393" s="89"/>
      <c r="AT393" s="89"/>
      <c r="AU393" s="89"/>
      <c r="AV393" s="89"/>
      <c r="AW393" s="86" t="str">
        <f>+IF($AG393=AW$22,MONTH($D393),"")</f>
        <v/>
      </c>
      <c r="AX393" s="86" t="str">
        <f>+IF($AG393=AX$22,MONTH($D393),"")</f>
        <v/>
      </c>
      <c r="AY393" s="89"/>
      <c r="AZ393" s="89"/>
      <c r="BA393" s="89"/>
      <c r="BB393" s="89"/>
      <c r="BC393" s="89"/>
      <c r="BD393" s="89"/>
      <c r="BE393" s="89"/>
      <c r="BF393" s="89"/>
      <c r="BG393" s="89"/>
      <c r="BH393" s="89"/>
      <c r="BI393" s="89"/>
      <c r="BJ393" s="89"/>
      <c r="BK393" s="89"/>
      <c r="BL393" s="89"/>
      <c r="BM393" s="89"/>
      <c r="BN393" s="89"/>
      <c r="BO393" s="89"/>
      <c r="BP393" s="89"/>
    </row>
    <row r="394" spans="1:68" s="56" customFormat="1" ht="30" hidden="1" customHeight="1">
      <c r="A394" s="204" t="str">
        <f>+IFERROR(VALUE(MID(AB394,4,4)),"")</f>
        <v/>
      </c>
      <c r="B394" s="204">
        <f>VALUE(RIGHT(C394,LEN(C394)-2))</f>
        <v>2328</v>
      </c>
      <c r="C394" s="74" t="s">
        <v>1620</v>
      </c>
      <c r="D394" s="75">
        <v>45733</v>
      </c>
      <c r="E394" s="70" t="s">
        <v>1621</v>
      </c>
      <c r="F394" s="70" t="s">
        <v>615</v>
      </c>
      <c r="G394" s="68" t="s">
        <v>1622</v>
      </c>
      <c r="H394" s="307" t="s">
        <v>1623</v>
      </c>
      <c r="I394" s="69" t="s">
        <v>1589</v>
      </c>
      <c r="J394" s="69"/>
      <c r="K394" s="68" t="s">
        <v>27</v>
      </c>
      <c r="L394" s="69" t="s">
        <v>123</v>
      </c>
      <c r="M394" s="71" t="s">
        <v>141</v>
      </c>
      <c r="N394" s="69" t="e" vm="1">
        <v>#VALUE!</v>
      </c>
      <c r="O394" s="84">
        <v>45742</v>
      </c>
      <c r="P394" s="72" t="s">
        <v>701</v>
      </c>
      <c r="Q394" s="72" t="s">
        <v>229</v>
      </c>
      <c r="R394" s="162"/>
      <c r="S394" s="146"/>
      <c r="T394" s="68" t="s">
        <v>158</v>
      </c>
      <c r="U394" s="87">
        <v>0.01</v>
      </c>
      <c r="V394" s="80">
        <v>45733</v>
      </c>
      <c r="W394" s="73">
        <v>33525</v>
      </c>
      <c r="X394" s="73">
        <f>39460*38900/1000000</f>
        <v>1534.9939999999999</v>
      </c>
      <c r="Y394" s="169">
        <f>IF(SUM(W394:W394)&gt;0,X394/SUM(W394:W394)*1000000,"N/A")</f>
        <v>45786.547352721849</v>
      </c>
      <c r="Z394" s="80"/>
      <c r="AA394" s="80"/>
      <c r="AB394" s="73"/>
      <c r="AC394" s="153"/>
      <c r="AD394" s="330"/>
      <c r="AE394" s="305"/>
      <c r="AF394" s="88"/>
      <c r="AG394" s="182">
        <f>YEAR(V394)</f>
        <v>2025</v>
      </c>
      <c r="AH394" s="86" t="str">
        <f>+IF(AG394=$AH$22,MONTH(V394),"")</f>
        <v/>
      </c>
      <c r="AI394" s="86">
        <f>+IF(AG394=$AI$22,MONTH(V394),"")</f>
        <v>3</v>
      </c>
      <c r="AJ394" s="86" t="str">
        <f>+IF(AG394=$AJ$22,MONTH(V394),"")</f>
        <v/>
      </c>
      <c r="AK394" s="86" t="str">
        <f>+IF(AG394=$AK$22,MONTH(V394),"")</f>
        <v/>
      </c>
      <c r="AL394" s="86" t="str">
        <f>+IF(AG394=$AL$22,MONTH(V394),"")</f>
        <v/>
      </c>
      <c r="AM394" s="86" t="str">
        <f>+IF($AG394=$AM$22,MONTH($D394),"")</f>
        <v/>
      </c>
      <c r="AN394" s="89" t="str">
        <f>+IF($AG394=AN$22,MONTH($D394),"")</f>
        <v/>
      </c>
      <c r="AO394" s="89" t="str">
        <f>+IF($AG394=AO$22,MONTH($D394),"")</f>
        <v/>
      </c>
      <c r="AP394" s="89" t="str">
        <f>+IF($AG394=AP$22,MONTH($D394),"")</f>
        <v/>
      </c>
      <c r="AQ394" s="89" t="str">
        <f>+IF($AG394=AQ$22,MONTH($D394),"")</f>
        <v/>
      </c>
      <c r="AR394" s="89" t="str">
        <f>+IF($AG394=AR$22,MONTH($D394),"")</f>
        <v/>
      </c>
      <c r="AS394" s="89" t="str">
        <f>+IF($AG394=AS$22,MONTH($D394),"")</f>
        <v/>
      </c>
      <c r="AT394" s="89" t="str">
        <f>+IF($AG394=AT$22,MONTH($D394),"")</f>
        <v/>
      </c>
      <c r="AU394" s="89" t="str">
        <f>+IF($AG394=AU$22,MONTH($D394),"")</f>
        <v/>
      </c>
      <c r="AV394" s="89" t="str">
        <f>+IF($AG394=AV$22,MONTH($D394),"")</f>
        <v/>
      </c>
      <c r="AW394" s="86" t="str">
        <f>+IF($AG394=AW$22,MONTH($D394),"")</f>
        <v/>
      </c>
      <c r="AX394" s="86" t="str">
        <f>+IF($AG394=AX$22,MONTH($D394),"")</f>
        <v/>
      </c>
      <c r="AY394" s="89"/>
      <c r="AZ394" s="89"/>
      <c r="BA394" s="89"/>
      <c r="BB394" s="89"/>
      <c r="BC394" s="89"/>
      <c r="BD394" s="89"/>
      <c r="BE394" s="89"/>
      <c r="BF394" s="89"/>
      <c r="BG394" s="89"/>
      <c r="BH394" s="89"/>
      <c r="BI394" s="89"/>
      <c r="BJ394" s="89"/>
      <c r="BK394" s="89"/>
      <c r="BL394" s="89"/>
      <c r="BM394" s="89"/>
      <c r="BN394" s="89"/>
      <c r="BO394" s="89"/>
      <c r="BP394" s="89"/>
    </row>
    <row r="395" spans="1:68" s="306" customFormat="1" ht="21.75" hidden="1" customHeight="1">
      <c r="A395" s="204" t="str">
        <f>+IFERROR(VALUE(MID(AB395,4,4)),"")</f>
        <v/>
      </c>
      <c r="B395" s="204">
        <f>VALUE(RIGHT(C395,LEN(C395)-2))</f>
        <v>2327</v>
      </c>
      <c r="C395" s="74" t="s">
        <v>1624</v>
      </c>
      <c r="D395" s="75">
        <v>45733</v>
      </c>
      <c r="E395" s="70" t="s">
        <v>1625</v>
      </c>
      <c r="F395" s="70" t="s">
        <v>615</v>
      </c>
      <c r="G395" s="68" t="s">
        <v>1626</v>
      </c>
      <c r="H395" s="282" t="s">
        <v>1627</v>
      </c>
      <c r="I395" s="162" t="s">
        <v>1628</v>
      </c>
      <c r="J395" s="162"/>
      <c r="K395" s="68" t="s">
        <v>275</v>
      </c>
      <c r="L395" s="69" t="s">
        <v>120</v>
      </c>
      <c r="M395" s="71" t="s">
        <v>141</v>
      </c>
      <c r="N395" s="69" t="e" vm="1">
        <v>#VALUE!</v>
      </c>
      <c r="O395" s="164">
        <v>45735</v>
      </c>
      <c r="P395" s="72" t="s">
        <v>1629</v>
      </c>
      <c r="Q395" s="72" t="s">
        <v>229</v>
      </c>
      <c r="R395" s="162"/>
      <c r="S395" s="146" t="s">
        <v>1630</v>
      </c>
      <c r="T395" s="68" t="s">
        <v>165</v>
      </c>
      <c r="U395" s="87"/>
      <c r="V395" s="183">
        <v>45733</v>
      </c>
      <c r="W395" s="73">
        <v>200</v>
      </c>
      <c r="X395" s="73">
        <f>500*38900/1000000</f>
        <v>19.45</v>
      </c>
      <c r="Y395" s="83">
        <f>IF(SUM(W395:W395)&gt;0,X395/SUM(W395:W395)*1000000,"N/A")</f>
        <v>97250</v>
      </c>
      <c r="Z395" s="183"/>
      <c r="AA395" s="183"/>
      <c r="AB395" s="73"/>
      <c r="AC395" s="331"/>
      <c r="AD395" s="331"/>
      <c r="AE395" s="57"/>
      <c r="AF395" s="88"/>
      <c r="AG395" s="182">
        <f>YEAR(V395)</f>
        <v>2025</v>
      </c>
      <c r="AH395" s="86" t="str">
        <f>+IF(AG395=$AH$22,MONTH(V395),"")</f>
        <v/>
      </c>
      <c r="AI395" s="86">
        <f>+IF(AG395=$AI$22,MONTH(V395),"")</f>
        <v>3</v>
      </c>
      <c r="AJ395" s="86" t="str">
        <f>+IF(AG395=$AJ$22,MONTH(V395),"")</f>
        <v/>
      </c>
      <c r="AK395" s="86" t="str">
        <f>+IF(AG395=$AK$22,MONTH(V395),"")</f>
        <v/>
      </c>
      <c r="AL395" s="86"/>
      <c r="AM395" s="89"/>
      <c r="AN395" s="89"/>
      <c r="AO395" s="89"/>
      <c r="AP395" s="89"/>
      <c r="AQ395" s="89"/>
      <c r="AR395" s="89"/>
      <c r="AS395" s="89"/>
      <c r="AT395" s="89"/>
      <c r="AU395" s="89"/>
      <c r="AV395" s="89"/>
      <c r="AW395" s="86" t="str">
        <f>+IF($AG395=AW$22,MONTH($D395),"")</f>
        <v/>
      </c>
      <c r="AX395" s="86" t="str">
        <f>+IF($AG395=AX$22,MONTH($D395),"")</f>
        <v/>
      </c>
      <c r="AY395" s="89"/>
      <c r="AZ395" s="89"/>
      <c r="BA395" s="89"/>
      <c r="BB395" s="89"/>
      <c r="BC395" s="89"/>
      <c r="BD395" s="89"/>
      <c r="BE395" s="89"/>
      <c r="BF395" s="89"/>
      <c r="BG395" s="89"/>
      <c r="BH395" s="89"/>
      <c r="BI395" s="89"/>
      <c r="BJ395" s="89"/>
      <c r="BK395" s="89"/>
      <c r="BL395" s="89"/>
      <c r="BM395" s="89"/>
      <c r="BN395" s="89"/>
      <c r="BO395" s="89"/>
      <c r="BP395" s="89"/>
    </row>
    <row r="396" spans="1:68" s="89" customFormat="1" ht="26.25" hidden="1" customHeight="1">
      <c r="A396" s="204" t="str">
        <f>+IFERROR(VALUE(MID(AB396,4,4)),"")</f>
        <v/>
      </c>
      <c r="B396" s="204">
        <f>VALUE(RIGHT(C396,LEN(C396)-2))</f>
        <v>2326</v>
      </c>
      <c r="C396" s="74" t="s">
        <v>1631</v>
      </c>
      <c r="D396" s="75">
        <v>45733</v>
      </c>
      <c r="E396" s="68" t="s">
        <v>53</v>
      </c>
      <c r="F396" s="68" t="s">
        <v>252</v>
      </c>
      <c r="G396" s="68" t="s">
        <v>210</v>
      </c>
      <c r="H396" s="304" t="s">
        <v>210</v>
      </c>
      <c r="I396" s="69" t="s">
        <v>1632</v>
      </c>
      <c r="J396" s="69"/>
      <c r="K396" s="68" t="s">
        <v>9</v>
      </c>
      <c r="L396" s="68" t="s">
        <v>123</v>
      </c>
      <c r="M396" s="68" t="s">
        <v>141</v>
      </c>
      <c r="N396" s="69" t="e" vm="1">
        <v>#VALUE!</v>
      </c>
      <c r="O396" s="84">
        <v>45761</v>
      </c>
      <c r="P396" s="69" t="s">
        <v>213</v>
      </c>
      <c r="Q396" s="69" t="s">
        <v>259</v>
      </c>
      <c r="R396" s="69"/>
      <c r="S396" s="146"/>
      <c r="T396" s="68" t="s">
        <v>155</v>
      </c>
      <c r="U396" s="87"/>
      <c r="V396" s="183">
        <v>45733</v>
      </c>
      <c r="W396" s="73"/>
      <c r="X396" s="73"/>
      <c r="Y396" s="83" t="str">
        <f>IF(SUM(W396:W396)&gt;0,X396/SUM(W396:W396)*1000000,"N/A")</f>
        <v>N/A</v>
      </c>
      <c r="Z396" s="80"/>
      <c r="AA396" s="80"/>
      <c r="AB396" s="73"/>
      <c r="AC396" s="75"/>
      <c r="AD396" s="332"/>
      <c r="AE396" s="68"/>
      <c r="AF396" s="73"/>
      <c r="AG396" s="182">
        <f>YEAR(V396)</f>
        <v>2025</v>
      </c>
      <c r="AH396" s="86" t="str">
        <f>+IF(AG396=$AH$22,MONTH(V396),"")</f>
        <v/>
      </c>
      <c r="AI396" s="86">
        <f>+IF(AG396=$AI$22,MONTH(V396),"")</f>
        <v>3</v>
      </c>
      <c r="AJ396" s="86" t="str">
        <f>+IF(AG396=$AJ$22,MONTH(V396),"")</f>
        <v/>
      </c>
      <c r="AK396" s="86" t="str">
        <f>+IF(AG396=$AK$22,MONTH(V396),"")</f>
        <v/>
      </c>
      <c r="AL396" s="86" t="str">
        <f>+IF(AG396=$AL$22,MONTH(V396),"")</f>
        <v/>
      </c>
      <c r="AM396" s="86" t="str">
        <f>+IF($AG396=$AM$22,MONTH($D396),"")</f>
        <v/>
      </c>
      <c r="AN396" s="89" t="str">
        <f>+IF($AG396=AN$22,MONTH($D396),"")</f>
        <v/>
      </c>
      <c r="AO396" s="184" t="str">
        <f>+IF($AG396=AO$22,MONTH($D396),"")</f>
        <v/>
      </c>
      <c r="AP396" s="184" t="str">
        <f>+IF($AG396=AP$22,MONTH($D396),"")</f>
        <v/>
      </c>
      <c r="AQ396" s="184" t="str">
        <f>+IF($AG396=AQ$22,MONTH($D396),"")</f>
        <v/>
      </c>
      <c r="AR396" s="184" t="str">
        <f>+IF($AG396=AR$22,MONTH($D396),"")</f>
        <v/>
      </c>
      <c r="AS396" s="184" t="str">
        <f>+IF($AG396=AS$22,MONTH($D396),"")</f>
        <v/>
      </c>
      <c r="AT396" s="86" t="str">
        <f>+IF($AG396=AT$22,MONTH($D396),"")</f>
        <v/>
      </c>
      <c r="AU396" s="86" t="str">
        <f>+IF($AG396=AU$22,MONTH($D396),"")</f>
        <v/>
      </c>
      <c r="AV396" s="86" t="str">
        <f>+IF($AG396=AV$22,MONTH($D396),"")</f>
        <v/>
      </c>
      <c r="AW396" s="86" t="str">
        <f>+IF($AG396=AW$22,MONTH($D396),"")</f>
        <v/>
      </c>
      <c r="AX396" s="86" t="str">
        <f>+IF($AG396=AX$22,MONTH($D396),"")</f>
        <v/>
      </c>
    </row>
    <row r="397" spans="1:68" s="56" customFormat="1" ht="30" hidden="1" customHeight="1">
      <c r="A397" s="204" t="str">
        <f>+IFERROR(VALUE(MID(AB397,4,4)),"")</f>
        <v/>
      </c>
      <c r="B397" s="204">
        <f>VALUE(RIGHT(C397,LEN(C397)-2))</f>
        <v>2325</v>
      </c>
      <c r="C397" s="74" t="s">
        <v>1633</v>
      </c>
      <c r="D397" s="75">
        <v>45729</v>
      </c>
      <c r="E397" s="70" t="s">
        <v>1634</v>
      </c>
      <c r="F397" s="70" t="s">
        <v>1635</v>
      </c>
      <c r="G397" s="68" t="s">
        <v>1636</v>
      </c>
      <c r="H397" s="282" t="s">
        <v>1637</v>
      </c>
      <c r="I397" s="162" t="s">
        <v>1638</v>
      </c>
      <c r="J397" s="162"/>
      <c r="K397" s="68" t="s">
        <v>9</v>
      </c>
      <c r="L397" s="69" t="s">
        <v>120</v>
      </c>
      <c r="M397" s="71" t="s">
        <v>113</v>
      </c>
      <c r="N397" s="69" t="e" vm="4">
        <v>#VALUE!</v>
      </c>
      <c r="O397" s="164">
        <v>45733</v>
      </c>
      <c r="P397" s="72" t="s">
        <v>364</v>
      </c>
      <c r="Q397" s="72" t="s">
        <v>623</v>
      </c>
      <c r="R397" s="162"/>
      <c r="S397" s="146" t="s">
        <v>1630</v>
      </c>
      <c r="T397" s="68" t="s">
        <v>165</v>
      </c>
      <c r="U397" s="87"/>
      <c r="V397" s="183">
        <v>45775</v>
      </c>
      <c r="W397" s="73">
        <v>2312</v>
      </c>
      <c r="X397" s="73">
        <f>3099*38900/1000000</f>
        <v>120.55110000000001</v>
      </c>
      <c r="Y397" s="83">
        <f>IF(SUM(W397:W397)&gt;0,X397/SUM(W397:W397)*1000000,"N/A")</f>
        <v>52141.479238754328</v>
      </c>
      <c r="Z397" s="183"/>
      <c r="AA397" s="183"/>
      <c r="AB397" s="73"/>
      <c r="AC397" s="331"/>
      <c r="AD397" s="331"/>
      <c r="AE397" s="57"/>
      <c r="AF397" s="88"/>
      <c r="AG397" s="182">
        <f>YEAR(V397)</f>
        <v>2025</v>
      </c>
      <c r="AH397" s="86" t="str">
        <f>+IF(AG397=$AH$22,MONTH(V397),"")</f>
        <v/>
      </c>
      <c r="AI397" s="86">
        <f>+IF(AG397=$AI$22,MONTH(V397),"")</f>
        <v>4</v>
      </c>
      <c r="AJ397" s="86" t="str">
        <f>+IF(AG397=$AJ$22,MONTH(V397),"")</f>
        <v/>
      </c>
      <c r="AK397" s="86" t="str">
        <f>+IF(AG397=$AK$22,MONTH(V397),"")</f>
        <v/>
      </c>
      <c r="AL397" s="86"/>
      <c r="AM397" s="89"/>
      <c r="AN397" s="89"/>
      <c r="AO397" s="89"/>
      <c r="AP397" s="89"/>
      <c r="AQ397" s="89"/>
      <c r="AR397" s="89"/>
      <c r="AS397" s="89"/>
      <c r="AT397" s="89"/>
      <c r="AU397" s="89"/>
      <c r="AV397" s="89"/>
      <c r="AW397" s="86" t="str">
        <f>+IF($AG397=AW$22,MONTH($D397),"")</f>
        <v/>
      </c>
      <c r="AX397" s="86" t="str">
        <f>+IF($AG397=AX$22,MONTH($D397),"")</f>
        <v/>
      </c>
      <c r="AY397" s="89"/>
      <c r="AZ397" s="89"/>
      <c r="BA397" s="89"/>
      <c r="BB397" s="89"/>
      <c r="BC397" s="89"/>
      <c r="BD397" s="89"/>
      <c r="BE397" s="89"/>
      <c r="BF397" s="89"/>
      <c r="BG397" s="89"/>
      <c r="BH397" s="89"/>
      <c r="BI397" s="89"/>
      <c r="BJ397" s="89"/>
      <c r="BK397" s="89"/>
      <c r="BL397" s="89"/>
      <c r="BM397" s="89"/>
      <c r="BN397" s="89"/>
      <c r="BO397" s="89"/>
      <c r="BP397" s="89"/>
    </row>
    <row r="398" spans="1:68" s="378" customFormat="1" ht="45.75" hidden="1" customHeight="1">
      <c r="A398" s="204">
        <f>+IFERROR(VALUE(MID(AB398,4,4)),"")</f>
        <v>274</v>
      </c>
      <c r="B398" s="204">
        <f>VALUE(RIGHT(C398,LEN(C398)-2))</f>
        <v>2324</v>
      </c>
      <c r="C398" s="74" t="s">
        <v>1639</v>
      </c>
      <c r="D398" s="75">
        <v>45735</v>
      </c>
      <c r="E398" s="70" t="s">
        <v>1054</v>
      </c>
      <c r="F398" s="70" t="s">
        <v>252</v>
      </c>
      <c r="G398" s="68" t="s">
        <v>1055</v>
      </c>
      <c r="H398" s="59" t="s">
        <v>1056</v>
      </c>
      <c r="I398" s="162" t="s">
        <v>1640</v>
      </c>
      <c r="J398" s="162"/>
      <c r="K398" s="68" t="s">
        <v>13</v>
      </c>
      <c r="L398" s="69" t="s">
        <v>129</v>
      </c>
      <c r="M398" s="71" t="s">
        <v>141</v>
      </c>
      <c r="N398" s="69" t="e" vm="1">
        <v>#VALUE!</v>
      </c>
      <c r="O398" s="164">
        <v>45735</v>
      </c>
      <c r="P398" s="72" t="s">
        <v>1641</v>
      </c>
      <c r="Q398" s="72" t="s">
        <v>220</v>
      </c>
      <c r="R398" s="162"/>
      <c r="S398" s="146"/>
      <c r="T398" s="68" t="s">
        <v>3</v>
      </c>
      <c r="U398" s="87"/>
      <c r="V398" s="183">
        <v>45763</v>
      </c>
      <c r="W398" s="73">
        <v>484</v>
      </c>
      <c r="X398" s="73">
        <v>11.5</v>
      </c>
      <c r="Y398" s="83">
        <f>IF(SUM(W398:W398)&gt;0,X398/SUM(W398:W398)*1000000,"N/A")</f>
        <v>23760.330578512396</v>
      </c>
      <c r="Z398" s="183"/>
      <c r="AA398" s="183"/>
      <c r="AB398" s="73" t="s">
        <v>1642</v>
      </c>
      <c r="AC398" s="153"/>
      <c r="AD398" s="331"/>
      <c r="AE398" s="57"/>
      <c r="AF398" s="88"/>
      <c r="AG398" s="182">
        <f>YEAR(V398)</f>
        <v>2025</v>
      </c>
      <c r="AH398" s="86" t="str">
        <f>+IF(AG398=$AH$22,MONTH(V398),"")</f>
        <v/>
      </c>
      <c r="AI398" s="86">
        <f>+IF(AG398=$AI$22,MONTH(V398),"")</f>
        <v>4</v>
      </c>
      <c r="AJ398" s="86" t="str">
        <f>+IF(AG398=$AJ$22,MONTH(V398),"")</f>
        <v/>
      </c>
      <c r="AK398" s="86" t="str">
        <f>+IF(AG398=$AK$22,MONTH(V398),"")</f>
        <v/>
      </c>
      <c r="AL398" s="86" t="str">
        <f>+IF(AG398=$AL$22,MONTH(V398),"")</f>
        <v/>
      </c>
      <c r="AM398" s="86" t="str">
        <f>+IF($AG398=$AM$22,MONTH($D398),"")</f>
        <v/>
      </c>
      <c r="AN398" s="89" t="str">
        <f>+IF($AG398=AN$22,MONTH($D398),"")</f>
        <v/>
      </c>
      <c r="AO398" s="89" t="str">
        <f>+IF($AG398=AO$22,MONTH($D398),"")</f>
        <v/>
      </c>
      <c r="AP398" s="89" t="str">
        <f>+IF($AG398=AP$22,MONTH($D398),"")</f>
        <v/>
      </c>
      <c r="AQ398" s="89" t="str">
        <f>+IF($AG398=AQ$22,MONTH($D398),"")</f>
        <v/>
      </c>
      <c r="AR398" s="89" t="str">
        <f>+IF($AG398=AR$22,MONTH($D398),"")</f>
        <v/>
      </c>
      <c r="AS398" s="89" t="str">
        <f>+IF($AG398=AS$22,MONTH($D398),"")</f>
        <v/>
      </c>
      <c r="AT398" s="89" t="str">
        <f>+IF($AG398=AT$22,MONTH($D398),"")</f>
        <v/>
      </c>
      <c r="AU398" s="89" t="str">
        <f>+IF($AG398=AU$22,MONTH($D398),"")</f>
        <v/>
      </c>
      <c r="AV398" s="89" t="str">
        <f>+IF($AG398=AV$22,MONTH($D398),"")</f>
        <v/>
      </c>
      <c r="AW398" s="86" t="str">
        <f>+IF($AG398=AW$22,MONTH($D398),"")</f>
        <v/>
      </c>
      <c r="AX398" s="86" t="str">
        <f>+IF($AG398=AX$22,MONTH($D398),"")</f>
        <v/>
      </c>
      <c r="AY398" s="89"/>
      <c r="AZ398" s="89"/>
      <c r="BA398" s="89"/>
      <c r="BB398" s="89"/>
      <c r="BC398" s="89"/>
      <c r="BD398" s="89"/>
      <c r="BE398" s="89"/>
      <c r="BF398" s="89"/>
      <c r="BG398" s="89"/>
      <c r="BH398" s="89"/>
      <c r="BI398" s="89"/>
      <c r="BJ398" s="89"/>
      <c r="BK398" s="89"/>
      <c r="BL398" s="89"/>
      <c r="BM398" s="89"/>
      <c r="BN398" s="89"/>
      <c r="BO398" s="89"/>
      <c r="BP398" s="89"/>
    </row>
    <row r="399" spans="1:68" s="56" customFormat="1" ht="30" hidden="1" customHeight="1">
      <c r="A399" s="204" t="str">
        <f>+IFERROR(VALUE(MID(AB399,4,4)),"")</f>
        <v/>
      </c>
      <c r="B399" s="204">
        <f>VALUE(RIGHT(C399,LEN(C399)-2))</f>
        <v>2323</v>
      </c>
      <c r="C399" s="74" t="s">
        <v>1643</v>
      </c>
      <c r="D399" s="75">
        <v>45727</v>
      </c>
      <c r="E399" s="68" t="s">
        <v>53</v>
      </c>
      <c r="F399" s="68" t="s">
        <v>209</v>
      </c>
      <c r="G399" s="68" t="s">
        <v>210</v>
      </c>
      <c r="H399" s="304" t="s">
        <v>210</v>
      </c>
      <c r="I399" s="69" t="s">
        <v>1644</v>
      </c>
      <c r="J399" s="69"/>
      <c r="K399" s="68" t="s">
        <v>9</v>
      </c>
      <c r="L399" s="69" t="s">
        <v>123</v>
      </c>
      <c r="M399" s="71" t="s">
        <v>141</v>
      </c>
      <c r="N399" s="69" t="e" vm="1">
        <v>#VALUE!</v>
      </c>
      <c r="O399" s="84">
        <v>45761</v>
      </c>
      <c r="P399" s="69" t="s">
        <v>649</v>
      </c>
      <c r="Q399" s="69" t="s">
        <v>259</v>
      </c>
      <c r="R399" s="69"/>
      <c r="S399" s="146"/>
      <c r="T399" s="68" t="s">
        <v>155</v>
      </c>
      <c r="U399" s="87"/>
      <c r="V399" s="183">
        <v>45729</v>
      </c>
      <c r="W399" s="73"/>
      <c r="X399" s="73"/>
      <c r="Y399" s="83" t="str">
        <f>IF(SUM(W399:W399)&gt;0,X399/SUM(W399:W399)*1000000,"N/A")</f>
        <v>N/A</v>
      </c>
      <c r="Z399" s="80"/>
      <c r="AA399" s="80"/>
      <c r="AB399" s="73"/>
      <c r="AC399" s="75"/>
      <c r="AD399" s="332"/>
      <c r="AE399" s="68"/>
      <c r="AF399" s="73"/>
      <c r="AG399" s="182">
        <f>YEAR(V399)</f>
        <v>2025</v>
      </c>
      <c r="AH399" s="86" t="str">
        <f>+IF(AG399=$AH$22,MONTH(V399),"")</f>
        <v/>
      </c>
      <c r="AI399" s="86">
        <f>+IF(AG399=$AI$22,MONTH(V399),"")</f>
        <v>3</v>
      </c>
      <c r="AJ399" s="86" t="str">
        <f>+IF(AG399=$AJ$22,MONTH(V399),"")</f>
        <v/>
      </c>
      <c r="AK399" s="86" t="str">
        <f>+IF(AG399=$AK$22,MONTH(V399),"")</f>
        <v/>
      </c>
      <c r="AL399" s="86" t="str">
        <f>+IF(AG399=$AL$22,MONTH(V399),"")</f>
        <v/>
      </c>
      <c r="AM399" s="86" t="str">
        <f>+IF($AG399=$AM$22,MONTH($D399),"")</f>
        <v/>
      </c>
      <c r="AN399" s="89" t="str">
        <f>+IF($AG399=AN$22,MONTH($D399),"")</f>
        <v/>
      </c>
      <c r="AO399" s="184" t="str">
        <f>+IF($AG399=AO$22,MONTH($D399),"")</f>
        <v/>
      </c>
      <c r="AP399" s="184" t="str">
        <f>+IF($AG399=AP$22,MONTH($D399),"")</f>
        <v/>
      </c>
      <c r="AQ399" s="184" t="str">
        <f>+IF($AG399=AQ$22,MONTH($D399),"")</f>
        <v/>
      </c>
      <c r="AR399" s="184" t="str">
        <f>+IF($AG399=AR$22,MONTH($D399),"")</f>
        <v/>
      </c>
      <c r="AS399" s="184" t="str">
        <f>+IF($AG399=AS$22,MONTH($D399),"")</f>
        <v/>
      </c>
      <c r="AT399" s="86" t="str">
        <f>+IF($AG399=AT$22,MONTH($D399),"")</f>
        <v/>
      </c>
      <c r="AU399" s="86" t="str">
        <f>+IF($AG399=AU$22,MONTH($D399),"")</f>
        <v/>
      </c>
      <c r="AV399" s="86" t="str">
        <f>+IF($AG399=AV$22,MONTH($D399),"")</f>
        <v/>
      </c>
      <c r="AW399" s="86" t="str">
        <f>+IF($AG399=AW$22,MONTH($D399),"")</f>
        <v/>
      </c>
      <c r="AX399" s="86" t="str">
        <f>+IF($AG399=AX$22,MONTH($D399),"")</f>
        <v/>
      </c>
      <c r="AY399" s="89"/>
      <c r="AZ399" s="89"/>
      <c r="BA399" s="89"/>
      <c r="BB399" s="89"/>
      <c r="BC399" s="89"/>
      <c r="BD399" s="89"/>
      <c r="BE399" s="89"/>
      <c r="BF399" s="89"/>
      <c r="BG399" s="89"/>
      <c r="BH399" s="89"/>
      <c r="BI399" s="89"/>
      <c r="BJ399" s="89"/>
      <c r="BK399" s="89"/>
      <c r="BL399" s="89"/>
      <c r="BM399" s="89"/>
      <c r="BN399" s="89"/>
      <c r="BO399" s="89"/>
      <c r="BP399" s="89"/>
    </row>
    <row r="400" spans="1:68" s="378" customFormat="1" ht="45.75" hidden="1" customHeight="1">
      <c r="A400" s="204" t="str">
        <f>+IFERROR(VALUE(MID(AB400,4,4)),"")</f>
        <v/>
      </c>
      <c r="B400" s="204">
        <f>VALUE(RIGHT(C400,LEN(C400)-2))</f>
        <v>2322</v>
      </c>
      <c r="C400" s="74" t="s">
        <v>1645</v>
      </c>
      <c r="D400" s="75">
        <v>45728</v>
      </c>
      <c r="E400" s="68" t="s">
        <v>53</v>
      </c>
      <c r="F400" s="68" t="s">
        <v>1646</v>
      </c>
      <c r="G400" s="68" t="s">
        <v>210</v>
      </c>
      <c r="H400" s="304" t="s">
        <v>210</v>
      </c>
      <c r="I400" s="69" t="s">
        <v>1647</v>
      </c>
      <c r="J400" s="69"/>
      <c r="K400" s="68" t="s">
        <v>212</v>
      </c>
      <c r="L400" s="69" t="s">
        <v>123</v>
      </c>
      <c r="M400" s="71" t="s">
        <v>141</v>
      </c>
      <c r="N400" s="69" t="e" vm="1">
        <v>#VALUE!</v>
      </c>
      <c r="O400" s="84">
        <v>45761</v>
      </c>
      <c r="P400" s="69" t="s">
        <v>228</v>
      </c>
      <c r="Q400" s="69" t="s">
        <v>694</v>
      </c>
      <c r="R400" s="69"/>
      <c r="S400" s="146"/>
      <c r="T400" s="68" t="s">
        <v>155</v>
      </c>
      <c r="U400" s="87"/>
      <c r="V400" s="183">
        <v>45729</v>
      </c>
      <c r="W400" s="73"/>
      <c r="X400" s="73"/>
      <c r="Y400" s="83" t="str">
        <f>IF(SUM(W400:W400)&gt;0,X400/SUM(W400:W400)*1000000,"N/A")</f>
        <v>N/A</v>
      </c>
      <c r="Z400" s="80"/>
      <c r="AA400" s="80"/>
      <c r="AB400" s="73"/>
      <c r="AC400" s="75"/>
      <c r="AD400" s="332"/>
      <c r="AE400" s="68"/>
      <c r="AF400" s="73"/>
      <c r="AG400" s="182">
        <f>YEAR(V400)</f>
        <v>2025</v>
      </c>
      <c r="AH400" s="86" t="str">
        <f>+IF(AG400=$AH$22,MONTH(V400),"")</f>
        <v/>
      </c>
      <c r="AI400" s="86">
        <f>+IF(AG400=$AI$22,MONTH(V400),"")</f>
        <v>3</v>
      </c>
      <c r="AJ400" s="86" t="str">
        <f>+IF(AG400=$AJ$22,MONTH(V400),"")</f>
        <v/>
      </c>
      <c r="AK400" s="86" t="str">
        <f>+IF(AG400=$AK$22,MONTH(V400),"")</f>
        <v/>
      </c>
      <c r="AL400" s="86" t="str">
        <f>+IF(AG400=$AL$22,MONTH(V400),"")</f>
        <v/>
      </c>
      <c r="AM400" s="86" t="str">
        <f>+IF($AG400=$AM$22,MONTH($D400),"")</f>
        <v/>
      </c>
      <c r="AN400" s="89" t="str">
        <f>+IF($AG400=AN$22,MONTH($D400),"")</f>
        <v/>
      </c>
      <c r="AO400" s="184" t="str">
        <f>+IF($AG400=AO$22,MONTH($D400),"")</f>
        <v/>
      </c>
      <c r="AP400" s="184" t="str">
        <f>+IF($AG400=AP$22,MONTH($D400),"")</f>
        <v/>
      </c>
      <c r="AQ400" s="184" t="str">
        <f>+IF($AG400=AQ$22,MONTH($D400),"")</f>
        <v/>
      </c>
      <c r="AR400" s="184" t="str">
        <f>+IF($AG400=AR$22,MONTH($D400),"")</f>
        <v/>
      </c>
      <c r="AS400" s="184" t="str">
        <f>+IF($AG400=AS$22,MONTH($D400),"")</f>
        <v/>
      </c>
      <c r="AT400" s="86" t="str">
        <f>+IF($AG400=AT$22,MONTH($D400),"")</f>
        <v/>
      </c>
      <c r="AU400" s="86" t="str">
        <f>+IF($AG400=AU$22,MONTH($D400),"")</f>
        <v/>
      </c>
      <c r="AV400" s="86" t="str">
        <f>+IF($AG400=AV$22,MONTH($D400),"")</f>
        <v/>
      </c>
      <c r="AW400" s="86" t="str">
        <f>+IF($AG400=AW$22,MONTH($D400),"")</f>
        <v/>
      </c>
      <c r="AX400" s="86" t="str">
        <f>+IF($AG400=AX$22,MONTH($D400),"")</f>
        <v/>
      </c>
      <c r="AY400" s="89"/>
      <c r="AZ400" s="89"/>
      <c r="BA400" s="89"/>
      <c r="BB400" s="89"/>
      <c r="BC400" s="89"/>
      <c r="BD400" s="89"/>
      <c r="BE400" s="89"/>
      <c r="BF400" s="89"/>
      <c r="BG400" s="89"/>
      <c r="BH400" s="89"/>
      <c r="BI400" s="89"/>
      <c r="BJ400" s="89"/>
      <c r="BK400" s="89"/>
      <c r="BL400" s="89"/>
      <c r="BM400" s="89"/>
      <c r="BN400" s="89"/>
      <c r="BO400" s="89"/>
      <c r="BP400" s="89"/>
    </row>
    <row r="401" spans="1:68" s="378" customFormat="1" ht="45.75" hidden="1" customHeight="1">
      <c r="A401" s="204">
        <f>+IFERROR(VALUE(MID(AB401,4,4)),"")</f>
        <v>399</v>
      </c>
      <c r="B401" s="204">
        <f>VALUE(RIGHT(C401,LEN(C401)-2))</f>
        <v>2321</v>
      </c>
      <c r="C401" s="74" t="s">
        <v>1648</v>
      </c>
      <c r="D401" s="75">
        <v>45728</v>
      </c>
      <c r="E401" s="70" t="s">
        <v>473</v>
      </c>
      <c r="F401" s="70" t="s">
        <v>473</v>
      </c>
      <c r="G401" s="76" t="s">
        <v>1040</v>
      </c>
      <c r="H401" s="307" t="s">
        <v>1649</v>
      </c>
      <c r="I401" s="69" t="s">
        <v>1650</v>
      </c>
      <c r="J401" s="69"/>
      <c r="K401" s="68" t="s">
        <v>9</v>
      </c>
      <c r="L401" s="69" t="s">
        <v>129</v>
      </c>
      <c r="M401" s="71" t="s">
        <v>141</v>
      </c>
      <c r="N401" s="69" t="e" vm="1">
        <v>#VALUE!</v>
      </c>
      <c r="O401" s="84">
        <v>45733</v>
      </c>
      <c r="P401" s="69" t="s">
        <v>451</v>
      </c>
      <c r="Q401" s="72" t="s">
        <v>694</v>
      </c>
      <c r="R401" s="162"/>
      <c r="S401" s="146"/>
      <c r="T401" s="68" t="s">
        <v>3</v>
      </c>
      <c r="U401" s="87"/>
      <c r="V401" s="183">
        <v>45735</v>
      </c>
      <c r="W401" s="73">
        <v>394</v>
      </c>
      <c r="X401" s="214">
        <v>17</v>
      </c>
      <c r="Y401" s="83">
        <f>IF(SUM(W401:W401)&gt;0,X401/SUM(W401:W401)*1000000,"N/A")</f>
        <v>43147.208121827411</v>
      </c>
      <c r="Z401" s="183"/>
      <c r="AA401" s="183"/>
      <c r="AB401" s="73" t="s">
        <v>1651</v>
      </c>
      <c r="AC401" s="153"/>
      <c r="AD401" s="331"/>
      <c r="AE401" s="57"/>
      <c r="AF401" s="88"/>
      <c r="AG401" s="182">
        <f>YEAR(V401)</f>
        <v>2025</v>
      </c>
      <c r="AH401" s="86" t="str">
        <f>+IF(AG401=$AH$22,MONTH(V401),"")</f>
        <v/>
      </c>
      <c r="AI401" s="86">
        <f>+IF(AG401=$AI$22,MONTH(V401),"")</f>
        <v>3</v>
      </c>
      <c r="AJ401" s="86" t="str">
        <f>+IF(AG401=$AJ$22,MONTH(V401),"")</f>
        <v/>
      </c>
      <c r="AK401" s="86" t="str">
        <f>+IF(AG401=$AK$22,MONTH(V401),"")</f>
        <v/>
      </c>
      <c r="AL401" s="86"/>
      <c r="AM401" s="89"/>
      <c r="AN401" s="89"/>
      <c r="AO401" s="89"/>
      <c r="AP401" s="89"/>
      <c r="AQ401" s="89"/>
      <c r="AR401" s="89"/>
      <c r="AS401" s="89"/>
      <c r="AT401" s="89"/>
      <c r="AU401" s="89"/>
      <c r="AV401" s="89"/>
      <c r="AW401" s="86" t="str">
        <f>+IF($AG401=AW$22,MONTH($D401),"")</f>
        <v/>
      </c>
      <c r="AX401" s="86" t="str">
        <f>+IF($AG401=AX$22,MONTH($D401),"")</f>
        <v/>
      </c>
      <c r="AY401" s="89"/>
      <c r="AZ401" s="89"/>
      <c r="BA401" s="89"/>
      <c r="BB401" s="89"/>
      <c r="BC401" s="89"/>
      <c r="BD401" s="89"/>
      <c r="BE401" s="89"/>
      <c r="BF401" s="89"/>
      <c r="BG401" s="89"/>
      <c r="BH401" s="89"/>
      <c r="BI401" s="89"/>
      <c r="BJ401" s="89"/>
      <c r="BK401" s="89"/>
      <c r="BL401" s="89"/>
      <c r="BM401" s="89"/>
      <c r="BN401" s="89"/>
      <c r="BO401" s="89"/>
      <c r="BP401" s="89"/>
    </row>
    <row r="402" spans="1:68" s="320" customFormat="1" ht="45.75" hidden="1" customHeight="1">
      <c r="A402" s="204" t="str">
        <f>+IFERROR(VALUE(MID(AB402,4,4)),"")</f>
        <v/>
      </c>
      <c r="B402" s="204">
        <f>VALUE(RIGHT(C402,LEN(C402)-2))</f>
        <v>2320</v>
      </c>
      <c r="C402" s="74" t="s">
        <v>1652</v>
      </c>
      <c r="D402" s="75">
        <v>45728</v>
      </c>
      <c r="E402" s="68" t="s">
        <v>1653</v>
      </c>
      <c r="F402" s="68" t="s">
        <v>1653</v>
      </c>
      <c r="G402" s="68" t="s">
        <v>1654</v>
      </c>
      <c r="H402" s="307" t="s">
        <v>1655</v>
      </c>
      <c r="I402" s="69" t="s">
        <v>1656</v>
      </c>
      <c r="J402" s="69"/>
      <c r="K402" s="68" t="s">
        <v>9</v>
      </c>
      <c r="L402" s="69" t="s">
        <v>123</v>
      </c>
      <c r="M402" s="71" t="s">
        <v>113</v>
      </c>
      <c r="N402" s="69" t="s">
        <v>1153</v>
      </c>
      <c r="O402" s="84">
        <v>45742</v>
      </c>
      <c r="P402" s="69" t="s">
        <v>1018</v>
      </c>
      <c r="Q402" s="69" t="s">
        <v>229</v>
      </c>
      <c r="R402" s="69"/>
      <c r="S402" s="146"/>
      <c r="T402" s="68" t="s">
        <v>155</v>
      </c>
      <c r="U402" s="87"/>
      <c r="V402" s="183">
        <v>45728</v>
      </c>
      <c r="W402" s="73"/>
      <c r="X402" s="73"/>
      <c r="Y402" s="83" t="str">
        <f>IF(SUM(W402:W402)&gt;0,X402/SUM(W402:W402)*1000000,"N/A")</f>
        <v>N/A</v>
      </c>
      <c r="Z402" s="80"/>
      <c r="AA402" s="80"/>
      <c r="AB402" s="73"/>
      <c r="AC402" s="75"/>
      <c r="AD402" s="332"/>
      <c r="AE402" s="68"/>
      <c r="AF402" s="73"/>
      <c r="AG402" s="182">
        <f>YEAR(V402)</f>
        <v>2025</v>
      </c>
      <c r="AH402" s="86" t="str">
        <f>+IF(AG402=$AH$22,MONTH(V402),"")</f>
        <v/>
      </c>
      <c r="AI402" s="86">
        <f>+IF(AG402=$AI$22,MONTH(V402),"")</f>
        <v>3</v>
      </c>
      <c r="AJ402" s="86" t="str">
        <f>+IF(AG402=$AJ$22,MONTH(V402),"")</f>
        <v/>
      </c>
      <c r="AK402" s="86" t="str">
        <f>+IF(AG402=$AK$22,MONTH(V402),"")</f>
        <v/>
      </c>
      <c r="AL402" s="86" t="str">
        <f>+IF(AG402=$AL$22,MONTH(V402),"")</f>
        <v/>
      </c>
      <c r="AM402" s="86" t="str">
        <f>+IF($AG402=$AM$22,MONTH($D402),"")</f>
        <v/>
      </c>
      <c r="AN402" s="89" t="str">
        <f>+IF($AG402=AN$22,MONTH($D402),"")</f>
        <v/>
      </c>
      <c r="AO402" s="184" t="str">
        <f>+IF($AG402=AO$22,MONTH($D402),"")</f>
        <v/>
      </c>
      <c r="AP402" s="184" t="str">
        <f>+IF($AG402=AP$22,MONTH($D402),"")</f>
        <v/>
      </c>
      <c r="AQ402" s="184" t="str">
        <f>+IF($AG402=AQ$22,MONTH($D402),"")</f>
        <v/>
      </c>
      <c r="AR402" s="184" t="str">
        <f>+IF($AG402=AR$22,MONTH($D402),"")</f>
        <v/>
      </c>
      <c r="AS402" s="184" t="str">
        <f>+IF($AG402=AS$22,MONTH($D402),"")</f>
        <v/>
      </c>
      <c r="AT402" s="86" t="str">
        <f>+IF($AG402=AT$22,MONTH($D402),"")</f>
        <v/>
      </c>
      <c r="AU402" s="86" t="str">
        <f>+IF($AG402=AU$22,MONTH($D402),"")</f>
        <v/>
      </c>
      <c r="AV402" s="86" t="str">
        <f>+IF($AG402=AV$22,MONTH($D402),"")</f>
        <v/>
      </c>
      <c r="AW402" s="86" t="str">
        <f>+IF($AG402=AW$22,MONTH($D402),"")</f>
        <v/>
      </c>
      <c r="AX402" s="86" t="str">
        <f>+IF($AG402=AX$22,MONTH($D402),"")</f>
        <v/>
      </c>
      <c r="AY402" s="89"/>
      <c r="AZ402" s="89"/>
      <c r="BA402" s="89"/>
      <c r="BB402" s="89"/>
      <c r="BC402" s="89"/>
      <c r="BD402" s="89"/>
      <c r="BE402" s="89"/>
      <c r="BF402" s="89"/>
      <c r="BG402" s="89"/>
      <c r="BH402" s="89"/>
      <c r="BI402" s="89"/>
      <c r="BJ402" s="89"/>
      <c r="BK402" s="89"/>
      <c r="BL402" s="89"/>
      <c r="BM402" s="89"/>
      <c r="BN402" s="89"/>
      <c r="BO402" s="89"/>
      <c r="BP402" s="89"/>
    </row>
    <row r="403" spans="1:68" s="378" customFormat="1" ht="45.75" hidden="1" customHeight="1">
      <c r="A403" s="204" t="str">
        <f>+IFERROR(VALUE(MID(AB403,4,4)),"")</f>
        <v/>
      </c>
      <c r="B403" s="204">
        <f>VALUE(RIGHT(C403,LEN(C403)-2))</f>
        <v>2319</v>
      </c>
      <c r="C403" s="74" t="s">
        <v>1657</v>
      </c>
      <c r="D403" s="75">
        <v>45728</v>
      </c>
      <c r="E403" s="68" t="s">
        <v>53</v>
      </c>
      <c r="F403" s="68" t="s">
        <v>630</v>
      </c>
      <c r="G403" s="68" t="s">
        <v>210</v>
      </c>
      <c r="H403" s="304" t="s">
        <v>210</v>
      </c>
      <c r="I403" s="69" t="s">
        <v>1658</v>
      </c>
      <c r="J403" s="69"/>
      <c r="K403" s="68" t="s">
        <v>212</v>
      </c>
      <c r="L403" s="69" t="s">
        <v>123</v>
      </c>
      <c r="M403" s="71" t="s">
        <v>141</v>
      </c>
      <c r="N403" s="69" t="e" vm="1">
        <v>#VALUE!</v>
      </c>
      <c r="O403" s="84">
        <v>45769</v>
      </c>
      <c r="P403" s="69" t="s">
        <v>228</v>
      </c>
      <c r="Q403" s="69" t="s">
        <v>694</v>
      </c>
      <c r="R403" s="69"/>
      <c r="S403" s="146"/>
      <c r="T403" s="68" t="s">
        <v>168</v>
      </c>
      <c r="U403" s="87"/>
      <c r="V403" s="183">
        <v>45728</v>
      </c>
      <c r="W403" s="73"/>
      <c r="X403" s="73"/>
      <c r="Y403" s="83" t="str">
        <f>IF(SUM(W403:W403)&gt;0,X403/SUM(W403:W403)*1000000,"N/A")</f>
        <v>N/A</v>
      </c>
      <c r="Z403" s="80"/>
      <c r="AA403" s="80"/>
      <c r="AB403" s="73"/>
      <c r="AC403" s="75"/>
      <c r="AD403" s="332"/>
      <c r="AE403" s="68"/>
      <c r="AF403" s="73"/>
      <c r="AG403" s="182">
        <f>YEAR(V403)</f>
        <v>2025</v>
      </c>
      <c r="AH403" s="86" t="str">
        <f>+IF(AG403=$AH$22,MONTH(V403),"")</f>
        <v/>
      </c>
      <c r="AI403" s="86">
        <f>+IF(AG403=$AI$22,MONTH(V403),"")</f>
        <v>3</v>
      </c>
      <c r="AJ403" s="86" t="str">
        <f>+IF(AG403=$AJ$22,MONTH(V403),"")</f>
        <v/>
      </c>
      <c r="AK403" s="86" t="str">
        <f>+IF(AG403=$AK$22,MONTH(V403),"")</f>
        <v/>
      </c>
      <c r="AL403" s="86" t="str">
        <f>+IF(AG403=$AL$22,MONTH(V403),"")</f>
        <v/>
      </c>
      <c r="AM403" s="86" t="str">
        <f>+IF($AG403=$AM$22,MONTH($D403),"")</f>
        <v/>
      </c>
      <c r="AN403" s="89" t="str">
        <f>+IF($AG403=AN$22,MONTH($D403),"")</f>
        <v/>
      </c>
      <c r="AO403" s="184" t="str">
        <f>+IF($AG403=AO$22,MONTH($D403),"")</f>
        <v/>
      </c>
      <c r="AP403" s="184" t="str">
        <f>+IF($AG403=AP$22,MONTH($D403),"")</f>
        <v/>
      </c>
      <c r="AQ403" s="184" t="str">
        <f>+IF($AG403=AQ$22,MONTH($D403),"")</f>
        <v/>
      </c>
      <c r="AR403" s="184" t="str">
        <f>+IF($AG403=AR$22,MONTH($D403),"")</f>
        <v/>
      </c>
      <c r="AS403" s="184" t="str">
        <f>+IF($AG403=AS$22,MONTH($D403),"")</f>
        <v/>
      </c>
      <c r="AT403" s="86" t="str">
        <f>+IF($AG403=AT$22,MONTH($D403),"")</f>
        <v/>
      </c>
      <c r="AU403" s="86" t="str">
        <f>+IF($AG403=AU$22,MONTH($D403),"")</f>
        <v/>
      </c>
      <c r="AV403" s="86" t="str">
        <f>+IF($AG403=AV$22,MONTH($D403),"")</f>
        <v/>
      </c>
      <c r="AW403" s="86" t="str">
        <f>+IF($AG403=AW$22,MONTH($D403),"")</f>
        <v/>
      </c>
      <c r="AX403" s="86" t="str">
        <f>+IF($AG403=AX$22,MONTH($D403),"")</f>
        <v/>
      </c>
      <c r="AY403" s="89"/>
      <c r="AZ403" s="89"/>
      <c r="BA403" s="89"/>
      <c r="BB403" s="89"/>
      <c r="BC403" s="89"/>
      <c r="BD403" s="89"/>
      <c r="BE403" s="89"/>
      <c r="BF403" s="89"/>
      <c r="BG403" s="89"/>
      <c r="BH403" s="89"/>
      <c r="BI403" s="89"/>
      <c r="BJ403" s="89"/>
      <c r="BK403" s="89"/>
      <c r="BL403" s="89"/>
      <c r="BM403" s="89"/>
      <c r="BN403" s="89"/>
      <c r="BO403" s="89"/>
      <c r="BP403" s="89"/>
    </row>
    <row r="404" spans="1:68" s="378" customFormat="1" ht="45.75" hidden="1" customHeight="1">
      <c r="A404" s="204" t="str">
        <f>+IFERROR(VALUE(MID(AB404,4,4)),"")</f>
        <v/>
      </c>
      <c r="B404" s="204">
        <f>VALUE(RIGHT(C404,LEN(C404)-2))</f>
        <v>2318</v>
      </c>
      <c r="C404" s="74" t="s">
        <v>1659</v>
      </c>
      <c r="D404" s="75">
        <v>45727</v>
      </c>
      <c r="E404" s="68" t="s">
        <v>53</v>
      </c>
      <c r="F404" s="68" t="s">
        <v>209</v>
      </c>
      <c r="G404" s="68" t="s">
        <v>210</v>
      </c>
      <c r="H404" s="304" t="s">
        <v>210</v>
      </c>
      <c r="I404" s="69" t="s">
        <v>1660</v>
      </c>
      <c r="J404" s="69"/>
      <c r="K404" s="68" t="s">
        <v>9</v>
      </c>
      <c r="L404" s="69" t="s">
        <v>123</v>
      </c>
      <c r="M404" s="71" t="s">
        <v>141</v>
      </c>
      <c r="N404" s="69" t="e" vm="1">
        <v>#VALUE!</v>
      </c>
      <c r="O404" s="84">
        <v>45761</v>
      </c>
      <c r="P404" s="69" t="s">
        <v>649</v>
      </c>
      <c r="Q404" s="69" t="s">
        <v>694</v>
      </c>
      <c r="R404" s="69"/>
      <c r="S404" s="146"/>
      <c r="T404" s="68" t="s">
        <v>155</v>
      </c>
      <c r="U404" s="87"/>
      <c r="V404" s="183">
        <v>45728</v>
      </c>
      <c r="W404" s="73"/>
      <c r="X404" s="73"/>
      <c r="Y404" s="83" t="str">
        <f>IF(SUM(W404:W404)&gt;0,X404/SUM(W404:W404)*1000000,"N/A")</f>
        <v>N/A</v>
      </c>
      <c r="Z404" s="80"/>
      <c r="AA404" s="80"/>
      <c r="AB404" s="73"/>
      <c r="AC404" s="75"/>
      <c r="AD404" s="332"/>
      <c r="AE404" s="68"/>
      <c r="AF404" s="73"/>
      <c r="AG404" s="182">
        <f>YEAR(V404)</f>
        <v>2025</v>
      </c>
      <c r="AH404" s="86" t="str">
        <f>+IF(AG404=$AH$22,MONTH(V404),"")</f>
        <v/>
      </c>
      <c r="AI404" s="86">
        <f>+IF(AG404=$AI$22,MONTH(V404),"")</f>
        <v>3</v>
      </c>
      <c r="AJ404" s="86" t="str">
        <f>+IF(AG404=$AJ$22,MONTH(V404),"")</f>
        <v/>
      </c>
      <c r="AK404" s="86" t="str">
        <f>+IF(AG404=$AK$22,MONTH(V404),"")</f>
        <v/>
      </c>
      <c r="AL404" s="86" t="str">
        <f>+IF(AG404=$AL$22,MONTH(V404),"")</f>
        <v/>
      </c>
      <c r="AM404" s="86" t="str">
        <f>+IF($AG404=$AM$22,MONTH($D404),"")</f>
        <v/>
      </c>
      <c r="AN404" s="89" t="str">
        <f>+IF($AG404=AN$22,MONTH($D404),"")</f>
        <v/>
      </c>
      <c r="AO404" s="184" t="str">
        <f>+IF($AG404=AO$22,MONTH($D404),"")</f>
        <v/>
      </c>
      <c r="AP404" s="184" t="str">
        <f>+IF($AG404=AP$22,MONTH($D404),"")</f>
        <v/>
      </c>
      <c r="AQ404" s="184" t="str">
        <f>+IF($AG404=AQ$22,MONTH($D404),"")</f>
        <v/>
      </c>
      <c r="AR404" s="184" t="str">
        <f>+IF($AG404=AR$22,MONTH($D404),"")</f>
        <v/>
      </c>
      <c r="AS404" s="184" t="str">
        <f>+IF($AG404=AS$22,MONTH($D404),"")</f>
        <v/>
      </c>
      <c r="AT404" s="86" t="str">
        <f>+IF($AG404=AT$22,MONTH($D404),"")</f>
        <v/>
      </c>
      <c r="AU404" s="86" t="str">
        <f>+IF($AG404=AU$22,MONTH($D404),"")</f>
        <v/>
      </c>
      <c r="AV404" s="86" t="str">
        <f>+IF($AG404=AV$22,MONTH($D404),"")</f>
        <v/>
      </c>
      <c r="AW404" s="86" t="str">
        <f>+IF($AG404=AW$22,MONTH($D404),"")</f>
        <v/>
      </c>
      <c r="AX404" s="86" t="str">
        <f>+IF($AG404=AX$22,MONTH($D404),"")</f>
        <v/>
      </c>
      <c r="AY404" s="89"/>
      <c r="AZ404" s="89"/>
      <c r="BA404" s="89"/>
      <c r="BB404" s="89"/>
      <c r="BC404" s="89"/>
      <c r="BD404" s="89"/>
      <c r="BE404" s="89"/>
      <c r="BF404" s="89"/>
      <c r="BG404" s="89"/>
      <c r="BH404" s="89"/>
      <c r="BI404" s="89"/>
      <c r="BJ404" s="89"/>
      <c r="BK404" s="89"/>
      <c r="BL404" s="89"/>
      <c r="BM404" s="89"/>
      <c r="BN404" s="89"/>
      <c r="BO404" s="89"/>
      <c r="BP404" s="89"/>
    </row>
    <row r="405" spans="1:68" s="378" customFormat="1" ht="45.75" hidden="1" customHeight="1">
      <c r="A405" s="204" t="str">
        <f>+IFERROR(VALUE(MID(AB405,4,4)),"")</f>
        <v/>
      </c>
      <c r="B405" s="204">
        <f>VALUE(RIGHT(C405,LEN(C405)-2))</f>
        <v>2317</v>
      </c>
      <c r="C405" s="74" t="s">
        <v>1661</v>
      </c>
      <c r="D405" s="75">
        <v>45727</v>
      </c>
      <c r="E405" s="68" t="s">
        <v>215</v>
      </c>
      <c r="F405" s="68" t="s">
        <v>215</v>
      </c>
      <c r="G405" s="68" t="s">
        <v>1662</v>
      </c>
      <c r="H405" s="307" t="s">
        <v>1663</v>
      </c>
      <c r="I405" s="69" t="s">
        <v>1664</v>
      </c>
      <c r="J405" s="69"/>
      <c r="K405" s="68" t="s">
        <v>13</v>
      </c>
      <c r="L405" s="69" t="s">
        <v>129</v>
      </c>
      <c r="M405" s="71" t="s">
        <v>113</v>
      </c>
      <c r="N405" s="69" t="e" vm="2">
        <v>#VALUE!</v>
      </c>
      <c r="O405" s="84">
        <v>45723</v>
      </c>
      <c r="P405" s="69" t="s">
        <v>483</v>
      </c>
      <c r="Q405" s="69" t="s">
        <v>229</v>
      </c>
      <c r="R405" s="69"/>
      <c r="S405" s="146"/>
      <c r="T405" s="68" t="s">
        <v>165</v>
      </c>
      <c r="U405" s="87"/>
      <c r="V405" s="183">
        <v>45820</v>
      </c>
      <c r="W405" s="73"/>
      <c r="X405" s="73"/>
      <c r="Y405" s="83" t="str">
        <f>IF(SUM(W405:W405)&gt;0,X405/SUM(W405:W405)*1000000,"N/A")</f>
        <v>N/A</v>
      </c>
      <c r="Z405" s="80"/>
      <c r="AA405" s="80"/>
      <c r="AB405" s="73"/>
      <c r="AC405" s="75"/>
      <c r="AD405" s="332"/>
      <c r="AE405" s="68"/>
      <c r="AF405" s="73"/>
      <c r="AG405" s="182">
        <f>YEAR(V405)</f>
        <v>2025</v>
      </c>
      <c r="AH405" s="86" t="str">
        <f>+IF(AG405=$AH$22,MONTH(V405),"")</f>
        <v/>
      </c>
      <c r="AI405" s="86">
        <f>+IF(AG405=$AI$22,MONTH(V405),"")</f>
        <v>6</v>
      </c>
      <c r="AJ405" s="86" t="str">
        <f>+IF(AG405=$AJ$22,MONTH(V405),"")</f>
        <v/>
      </c>
      <c r="AK405" s="86" t="str">
        <f>+IF(AG405=$AK$22,MONTH(V405),"")</f>
        <v/>
      </c>
      <c r="AL405" s="86" t="str">
        <f>+IF(AG405=$AL$22,MONTH(V405),"")</f>
        <v/>
      </c>
      <c r="AM405" s="86" t="str">
        <f>+IF($AG405=$AM$22,MONTH($D405),"")</f>
        <v/>
      </c>
      <c r="AN405" s="89" t="str">
        <f>+IF($AG405=AN$22,MONTH($D405),"")</f>
        <v/>
      </c>
      <c r="AO405" s="184" t="str">
        <f>+IF($AG405=AO$22,MONTH($D405),"")</f>
        <v/>
      </c>
      <c r="AP405" s="184" t="str">
        <f>+IF($AG405=AP$22,MONTH($D405),"")</f>
        <v/>
      </c>
      <c r="AQ405" s="184" t="str">
        <f>+IF($AG405=AQ$22,MONTH($D405),"")</f>
        <v/>
      </c>
      <c r="AR405" s="184" t="str">
        <f>+IF($AG405=AR$22,MONTH($D405),"")</f>
        <v/>
      </c>
      <c r="AS405" s="184" t="str">
        <f>+IF($AG405=AS$22,MONTH($D405),"")</f>
        <v/>
      </c>
      <c r="AT405" s="86" t="str">
        <f>+IF($AG405=AT$22,MONTH($D405),"")</f>
        <v/>
      </c>
      <c r="AU405" s="86" t="str">
        <f>+IF($AG405=AU$22,MONTH($D405),"")</f>
        <v/>
      </c>
      <c r="AV405" s="86" t="str">
        <f>+IF($AG405=AV$22,MONTH($D405),"")</f>
        <v/>
      </c>
      <c r="AW405" s="86" t="str">
        <f>+IF($AG405=AW$22,MONTH($D405),"")</f>
        <v/>
      </c>
      <c r="AX405" s="86" t="str">
        <f>+IF($AG405=AX$22,MONTH($D405),"")</f>
        <v/>
      </c>
      <c r="AY405" s="89"/>
      <c r="AZ405" s="89"/>
      <c r="BA405" s="89"/>
      <c r="BB405" s="89"/>
      <c r="BC405" s="89"/>
      <c r="BD405" s="89"/>
      <c r="BE405" s="89"/>
      <c r="BF405" s="89"/>
      <c r="BG405" s="89"/>
      <c r="BH405" s="89"/>
      <c r="BI405" s="89"/>
      <c r="BJ405" s="89"/>
      <c r="BK405" s="89"/>
      <c r="BL405" s="89"/>
      <c r="BM405" s="89"/>
      <c r="BN405" s="89"/>
      <c r="BO405" s="89"/>
      <c r="BP405" s="89"/>
    </row>
    <row r="406" spans="1:68" s="378" customFormat="1" ht="45.75" hidden="1" customHeight="1">
      <c r="A406" s="204" t="str">
        <f>+IFERROR(VALUE(MID(AB406,4,4)),"")</f>
        <v/>
      </c>
      <c r="B406" s="204">
        <f>VALUE(RIGHT(C406,LEN(C406)-2))</f>
        <v>2316</v>
      </c>
      <c r="C406" s="74" t="s">
        <v>1665</v>
      </c>
      <c r="D406" s="75">
        <v>45726</v>
      </c>
      <c r="E406" s="68" t="s">
        <v>277</v>
      </c>
      <c r="F406" s="68" t="s">
        <v>277</v>
      </c>
      <c r="G406" s="68" t="s">
        <v>1247</v>
      </c>
      <c r="H406" s="379" t="s">
        <v>1248</v>
      </c>
      <c r="I406" s="69" t="s">
        <v>1666</v>
      </c>
      <c r="J406" s="69"/>
      <c r="K406" s="68" t="s">
        <v>13</v>
      </c>
      <c r="L406" s="69" t="s">
        <v>123</v>
      </c>
      <c r="M406" s="71" t="s">
        <v>141</v>
      </c>
      <c r="N406" s="69" t="e" vm="1">
        <v>#VALUE!</v>
      </c>
      <c r="O406" s="84">
        <v>45776</v>
      </c>
      <c r="P406" s="69" t="s">
        <v>451</v>
      </c>
      <c r="Q406" s="69" t="s">
        <v>220</v>
      </c>
      <c r="R406" s="69"/>
      <c r="S406" s="146"/>
      <c r="T406" s="68" t="s">
        <v>165</v>
      </c>
      <c r="U406" s="87"/>
      <c r="V406" s="183">
        <v>45845</v>
      </c>
      <c r="W406" s="73">
        <v>5009</v>
      </c>
      <c r="X406" s="73">
        <f>5589*39150/1000000</f>
        <v>218.80934999999999</v>
      </c>
      <c r="Y406" s="83">
        <f>IF(SUM(W406:W406)&gt;0,X406/SUM(W406:W406)*1000000,"N/A")</f>
        <v>43683.240167698146</v>
      </c>
      <c r="Z406" s="80"/>
      <c r="AA406" s="80"/>
      <c r="AB406" s="73"/>
      <c r="AC406" s="75"/>
      <c r="AD406" s="332"/>
      <c r="AE406" s="68"/>
      <c r="AF406" s="73"/>
      <c r="AG406" s="182">
        <f>YEAR(V406)</f>
        <v>2025</v>
      </c>
      <c r="AH406" s="86" t="str">
        <f>+IF(AG406=$AH$22,MONTH(V406),"")</f>
        <v/>
      </c>
      <c r="AI406" s="86">
        <f>+IF(AG406=$AI$22,MONTH(V406),"")</f>
        <v>7</v>
      </c>
      <c r="AJ406" s="86" t="str">
        <f>+IF(AG406=$AJ$22,MONTH(V406),"")</f>
        <v/>
      </c>
      <c r="AK406" s="86" t="str">
        <f>+IF(AG406=$AK$22,MONTH(V406),"")</f>
        <v/>
      </c>
      <c r="AL406" s="86" t="str">
        <f>+IF(AG406=$AL$22,MONTH(V406),"")</f>
        <v/>
      </c>
      <c r="AM406" s="86" t="str">
        <f>+IF($AG406=$AM$22,MONTH($D406),"")</f>
        <v/>
      </c>
      <c r="AN406" s="89" t="str">
        <f>+IF($AG406=AN$22,MONTH($D406),"")</f>
        <v/>
      </c>
      <c r="AO406" s="184" t="str">
        <f>+IF($AG406=AO$22,MONTH($D406),"")</f>
        <v/>
      </c>
      <c r="AP406" s="184" t="str">
        <f>+IF($AG406=AP$22,MONTH($D406),"")</f>
        <v/>
      </c>
      <c r="AQ406" s="184" t="str">
        <f>+IF($AG406=AQ$22,MONTH($D406),"")</f>
        <v/>
      </c>
      <c r="AR406" s="184" t="str">
        <f>+IF($AG406=AR$22,MONTH($D406),"")</f>
        <v/>
      </c>
      <c r="AS406" s="184" t="str">
        <f>+IF($AG406=AS$22,MONTH($D406),"")</f>
        <v/>
      </c>
      <c r="AT406" s="86" t="str">
        <f>+IF($AG406=AT$22,MONTH($D406),"")</f>
        <v/>
      </c>
      <c r="AU406" s="86" t="str">
        <f>+IF($AG406=AU$22,MONTH($D406),"")</f>
        <v/>
      </c>
      <c r="AV406" s="86" t="str">
        <f>+IF($AG406=AV$22,MONTH($D406),"")</f>
        <v/>
      </c>
      <c r="AW406" s="86" t="str">
        <f>+IF($AG406=AW$22,MONTH($D406),"")</f>
        <v/>
      </c>
      <c r="AX406" s="86" t="str">
        <f>+IF($AG406=AX$22,MONTH($D406),"")</f>
        <v/>
      </c>
      <c r="AY406" s="89"/>
      <c r="AZ406" s="89"/>
      <c r="BA406" s="89"/>
      <c r="BB406" s="89"/>
      <c r="BC406" s="89"/>
      <c r="BD406" s="89"/>
      <c r="BE406" s="89"/>
      <c r="BF406" s="89"/>
      <c r="BG406" s="89"/>
      <c r="BH406" s="89"/>
      <c r="BI406" s="89"/>
      <c r="BJ406" s="89"/>
      <c r="BK406" s="89"/>
      <c r="BL406" s="89"/>
      <c r="BM406" s="89"/>
      <c r="BN406" s="89"/>
      <c r="BO406" s="89"/>
      <c r="BP406" s="89"/>
    </row>
    <row r="407" spans="1:68" s="378" customFormat="1" ht="45.75" hidden="1" customHeight="1">
      <c r="A407" s="204" t="str">
        <f>+IFERROR(VALUE(MID(AB407,4,4)),"")</f>
        <v/>
      </c>
      <c r="B407" s="204">
        <f>VALUE(RIGHT(C407,LEN(C407)-2))</f>
        <v>2315</v>
      </c>
      <c r="C407" s="74" t="s">
        <v>1667</v>
      </c>
      <c r="D407" s="75">
        <v>45722</v>
      </c>
      <c r="E407" s="68" t="s">
        <v>1621</v>
      </c>
      <c r="F407" s="68" t="s">
        <v>1668</v>
      </c>
      <c r="G407" s="68" t="s">
        <v>1622</v>
      </c>
      <c r="H407" s="282" t="s">
        <v>1623</v>
      </c>
      <c r="I407" s="69" t="s">
        <v>1669</v>
      </c>
      <c r="J407" s="69"/>
      <c r="K407" s="68" t="s">
        <v>13</v>
      </c>
      <c r="L407" s="69" t="s">
        <v>123</v>
      </c>
      <c r="M407" s="71" t="s">
        <v>113</v>
      </c>
      <c r="N407" s="69" t="e" vm="4">
        <v>#VALUE!</v>
      </c>
      <c r="O407" s="84">
        <v>45737</v>
      </c>
      <c r="P407" s="69" t="s">
        <v>749</v>
      </c>
      <c r="Q407" s="69" t="s">
        <v>623</v>
      </c>
      <c r="R407" s="69"/>
      <c r="S407" s="146"/>
      <c r="T407" s="68" t="s">
        <v>158</v>
      </c>
      <c r="U407" s="87">
        <v>0.01</v>
      </c>
      <c r="V407" s="80">
        <v>45723</v>
      </c>
      <c r="W407" s="73">
        <v>55018</v>
      </c>
      <c r="X407" s="73">
        <f>3090641*900/1000000</f>
        <v>2781.5769</v>
      </c>
      <c r="Y407" s="83">
        <f>IF(SUM(W407:W407)&gt;0,X407/SUM(W407:W407)*1000000,"N/A")</f>
        <v>50557.579337671305</v>
      </c>
      <c r="Z407" s="80"/>
      <c r="AA407" s="80"/>
      <c r="AB407" s="73"/>
      <c r="AC407" s="75"/>
      <c r="AD407" s="332"/>
      <c r="AE407" s="68"/>
      <c r="AF407" s="73"/>
      <c r="AG407" s="182">
        <f>YEAR(V407)</f>
        <v>2025</v>
      </c>
      <c r="AH407" s="86" t="str">
        <f>+IF(AG407=$AH$22,MONTH(V407),"")</f>
        <v/>
      </c>
      <c r="AI407" s="86">
        <f>+IF(AG407=$AI$22,MONTH(V407),"")</f>
        <v>3</v>
      </c>
      <c r="AJ407" s="86" t="str">
        <f>+IF(AG407=$AJ$22,MONTH(V407),"")</f>
        <v/>
      </c>
      <c r="AK407" s="86" t="str">
        <f>+IF(AG407=$AK$22,MONTH(V407),"")</f>
        <v/>
      </c>
      <c r="AL407" s="86" t="str">
        <f>+IF(AG407=$AL$22,MONTH(V407),"")</f>
        <v/>
      </c>
      <c r="AM407" s="86" t="str">
        <f>+IF($AG407=$AM$22,MONTH($D407),"")</f>
        <v/>
      </c>
      <c r="AN407" s="89" t="str">
        <f>+IF($AG407=AN$22,MONTH($D407),"")</f>
        <v/>
      </c>
      <c r="AO407" s="184" t="str">
        <f>+IF($AG407=AO$22,MONTH($D407),"")</f>
        <v/>
      </c>
      <c r="AP407" s="184" t="str">
        <f>+IF($AG407=AP$22,MONTH($D407),"")</f>
        <v/>
      </c>
      <c r="AQ407" s="184" t="str">
        <f>+IF($AG407=AQ$22,MONTH($D407),"")</f>
        <v/>
      </c>
      <c r="AR407" s="184" t="str">
        <f>+IF($AG407=AR$22,MONTH($D407),"")</f>
        <v/>
      </c>
      <c r="AS407" s="184" t="str">
        <f>+IF($AG407=AS$22,MONTH($D407),"")</f>
        <v/>
      </c>
      <c r="AT407" s="86" t="str">
        <f>+IF($AG407=AT$22,MONTH($D407),"")</f>
        <v/>
      </c>
      <c r="AU407" s="86" t="str">
        <f>+IF($AG407=AU$22,MONTH($D407),"")</f>
        <v/>
      </c>
      <c r="AV407" s="86" t="str">
        <f>+IF($AG407=AV$22,MONTH($D407),"")</f>
        <v/>
      </c>
      <c r="AW407" s="86" t="str">
        <f>+IF($AG407=AW$22,MONTH($D407),"")</f>
        <v/>
      </c>
      <c r="AX407" s="86" t="str">
        <f>+IF($AG407=AX$22,MONTH($D407),"")</f>
        <v/>
      </c>
      <c r="AY407" s="89"/>
      <c r="AZ407" s="89"/>
      <c r="BA407" s="89"/>
      <c r="BB407" s="89"/>
      <c r="BC407" s="89"/>
      <c r="BD407" s="89"/>
      <c r="BE407" s="89"/>
      <c r="BF407" s="89"/>
      <c r="BG407" s="89"/>
      <c r="BH407" s="89"/>
      <c r="BI407" s="89"/>
      <c r="BJ407" s="89"/>
      <c r="BK407" s="89"/>
      <c r="BL407" s="89"/>
      <c r="BM407" s="89"/>
      <c r="BN407" s="89"/>
      <c r="BO407" s="89"/>
      <c r="BP407" s="89"/>
    </row>
    <row r="408" spans="1:68" s="56" customFormat="1" ht="26.25" hidden="1" customHeight="1">
      <c r="A408" s="204" t="str">
        <f>+IFERROR(VALUE(MID(AB408,4,4)),"")</f>
        <v/>
      </c>
      <c r="B408" s="204">
        <f>VALUE(RIGHT(C408,LEN(C408)-2))</f>
        <v>2314</v>
      </c>
      <c r="C408" s="74" t="s">
        <v>1670</v>
      </c>
      <c r="D408" s="75">
        <v>45722</v>
      </c>
      <c r="E408" s="70" t="s">
        <v>1621</v>
      </c>
      <c r="F408" s="70" t="s">
        <v>1668</v>
      </c>
      <c r="G408" s="68" t="s">
        <v>1622</v>
      </c>
      <c r="H408" s="307" t="s">
        <v>1623</v>
      </c>
      <c r="I408" s="69" t="s">
        <v>1671</v>
      </c>
      <c r="J408" s="69"/>
      <c r="K408" s="68" t="s">
        <v>13</v>
      </c>
      <c r="L408" s="69" t="s">
        <v>123</v>
      </c>
      <c r="M408" s="71" t="s">
        <v>141</v>
      </c>
      <c r="N408" s="69" t="e" vm="1">
        <v>#VALUE!</v>
      </c>
      <c r="O408" s="84">
        <v>45737</v>
      </c>
      <c r="P408" s="72" t="s">
        <v>749</v>
      </c>
      <c r="Q408" s="72" t="s">
        <v>316</v>
      </c>
      <c r="R408" s="162"/>
      <c r="S408" s="146"/>
      <c r="T408" s="68" t="s">
        <v>158</v>
      </c>
      <c r="U408" s="87">
        <v>0.01</v>
      </c>
      <c r="V408" s="80">
        <v>45723</v>
      </c>
      <c r="W408" s="73">
        <v>64539</v>
      </c>
      <c r="X408" s="73">
        <f>3555854*900/1000000</f>
        <v>3200.2685999999999</v>
      </c>
      <c r="Y408" s="169">
        <f>IF(SUM(W408:W408)&gt;0,X408/SUM(W408:W408)*1000000,"N/A")</f>
        <v>49586.584855668661</v>
      </c>
      <c r="Z408" s="80"/>
      <c r="AA408" s="80"/>
      <c r="AB408" s="73"/>
      <c r="AC408" s="153"/>
      <c r="AD408" s="330"/>
      <c r="AE408" s="305"/>
      <c r="AF408" s="88"/>
      <c r="AG408" s="182">
        <f>YEAR(V408)</f>
        <v>2025</v>
      </c>
      <c r="AH408" s="86" t="str">
        <f>+IF(AG408=$AH$22,MONTH(V408),"")</f>
        <v/>
      </c>
      <c r="AI408" s="86">
        <f>+IF(AG408=$AI$22,MONTH(V408),"")</f>
        <v>3</v>
      </c>
      <c r="AJ408" s="86" t="str">
        <f>+IF(AG408=$AJ$22,MONTH(V408),"")</f>
        <v/>
      </c>
      <c r="AK408" s="86" t="str">
        <f>+IF(AG408=$AK$22,MONTH(V408),"")</f>
        <v/>
      </c>
      <c r="AL408" s="86" t="str">
        <f>+IF(AG408=$AL$22,MONTH(V408),"")</f>
        <v/>
      </c>
      <c r="AM408" s="86" t="str">
        <f>+IF($AG408=$AM$22,MONTH($D408),"")</f>
        <v/>
      </c>
      <c r="AN408" s="89" t="str">
        <f>+IF($AG408=AN$22,MONTH($D408),"")</f>
        <v/>
      </c>
      <c r="AO408" s="89" t="str">
        <f>+IF($AG408=AO$22,MONTH($D408),"")</f>
        <v/>
      </c>
      <c r="AP408" s="89" t="str">
        <f>+IF($AG408=AP$22,MONTH($D408),"")</f>
        <v/>
      </c>
      <c r="AQ408" s="89" t="str">
        <f>+IF($AG408=AQ$22,MONTH($D408),"")</f>
        <v/>
      </c>
      <c r="AR408" s="89" t="str">
        <f>+IF($AG408=AR$22,MONTH($D408),"")</f>
        <v/>
      </c>
      <c r="AS408" s="89" t="str">
        <f>+IF($AG408=AS$22,MONTH($D408),"")</f>
        <v/>
      </c>
      <c r="AT408" s="89" t="str">
        <f>+IF($AG408=AT$22,MONTH($D408),"")</f>
        <v/>
      </c>
      <c r="AU408" s="89" t="str">
        <f>+IF($AG408=AU$22,MONTH($D408),"")</f>
        <v/>
      </c>
      <c r="AV408" s="89" t="str">
        <f>+IF($AG408=AV$22,MONTH($D408),"")</f>
        <v/>
      </c>
      <c r="AW408" s="86" t="str">
        <f>+IF($AG408=AW$22,MONTH($D408),"")</f>
        <v/>
      </c>
      <c r="AX408" s="86" t="str">
        <f>+IF($AG408=AX$22,MONTH($D408),"")</f>
        <v/>
      </c>
      <c r="AY408" s="89"/>
      <c r="AZ408" s="89"/>
      <c r="BA408" s="89"/>
      <c r="BB408" s="89"/>
      <c r="BC408" s="89"/>
      <c r="BD408" s="89"/>
      <c r="BE408" s="89"/>
      <c r="BF408" s="89"/>
      <c r="BG408" s="89"/>
      <c r="BH408" s="89"/>
      <c r="BI408" s="89"/>
      <c r="BJ408" s="89"/>
      <c r="BK408" s="89"/>
      <c r="BL408" s="89"/>
      <c r="BM408" s="89"/>
      <c r="BN408" s="89"/>
      <c r="BO408" s="89"/>
      <c r="BP408" s="89"/>
    </row>
    <row r="409" spans="1:68" s="89" customFormat="1" ht="26.25" hidden="1" customHeight="1">
      <c r="A409" s="204">
        <f>+IFERROR(VALUE(MID(AB409,4,4)),"")</f>
        <v>365</v>
      </c>
      <c r="B409" s="204">
        <f>VALUE(RIGHT(C409,LEN(C409)-2))</f>
        <v>2313</v>
      </c>
      <c r="C409" s="74" t="s">
        <v>1672</v>
      </c>
      <c r="D409" s="75">
        <v>45721</v>
      </c>
      <c r="E409" s="70" t="s">
        <v>939</v>
      </c>
      <c r="F409" s="70" t="s">
        <v>940</v>
      </c>
      <c r="G409" s="68"/>
      <c r="H409" s="59"/>
      <c r="I409" s="69" t="s">
        <v>1673</v>
      </c>
      <c r="J409" s="69"/>
      <c r="K409" s="68" t="s">
        <v>13</v>
      </c>
      <c r="L409" s="68" t="s">
        <v>120</v>
      </c>
      <c r="M409" s="68" t="s">
        <v>141</v>
      </c>
      <c r="N409" s="69" t="e" vm="1">
        <v>#VALUE!</v>
      </c>
      <c r="O409" s="84">
        <v>45723</v>
      </c>
      <c r="P409" s="72" t="s">
        <v>737</v>
      </c>
      <c r="Q409" s="72" t="s">
        <v>259</v>
      </c>
      <c r="R409" s="162"/>
      <c r="S409" s="146"/>
      <c r="T409" s="68" t="s">
        <v>3</v>
      </c>
      <c r="U409" s="177"/>
      <c r="V409" s="80">
        <v>45722</v>
      </c>
      <c r="W409" s="73">
        <v>85</v>
      </c>
      <c r="X409" s="214">
        <f>117*39000/1000000</f>
        <v>4.5629999999999997</v>
      </c>
      <c r="Y409" s="83">
        <f>IF(SUM(W409:W409)&gt;0,X409/SUM(W409:W409)*1000000,"N/A")</f>
        <v>53682.352941176468</v>
      </c>
      <c r="Z409" s="80"/>
      <c r="AA409" s="80"/>
      <c r="AB409" s="73" t="s">
        <v>1674</v>
      </c>
      <c r="AC409" s="153"/>
      <c r="AD409" s="331"/>
      <c r="AE409" s="57"/>
      <c r="AF409" s="88"/>
      <c r="AG409" s="182">
        <f>YEAR(V409)</f>
        <v>2025</v>
      </c>
      <c r="AH409" s="86" t="str">
        <f>+IF(AG409=$AH$22,MONTH(V409),"")</f>
        <v/>
      </c>
      <c r="AI409" s="86">
        <f>+IF(AG409=$AI$22,MONTH(V409),"")</f>
        <v>3</v>
      </c>
      <c r="AJ409" s="86" t="str">
        <f>+IF(AG409=$AJ$22,MONTH(V409),"")</f>
        <v/>
      </c>
      <c r="AK409" s="86" t="str">
        <f>+IF(AG409=$AK$22,MONTH(V409),"")</f>
        <v/>
      </c>
      <c r="AL409" s="86" t="str">
        <f>+IF(AG409=$AL$22,MONTH(V409),"")</f>
        <v/>
      </c>
      <c r="AM409" s="86" t="str">
        <f>+IF($AG409=$AM$22,MONTH($D409),"")</f>
        <v/>
      </c>
      <c r="AN409" s="89" t="str">
        <f>+IF($AG409=AN$22,MONTH($D409),"")</f>
        <v/>
      </c>
      <c r="AO409" s="89" t="str">
        <f>+IF($AG409=AO$22,MONTH($D409),"")</f>
        <v/>
      </c>
      <c r="AP409" s="89" t="str">
        <f>+IF($AG409=AP$22,MONTH($D409),"")</f>
        <v/>
      </c>
      <c r="AQ409" s="89" t="str">
        <f>+IF($AG409=AQ$22,MONTH($D409),"")</f>
        <v/>
      </c>
      <c r="AR409" s="89" t="str">
        <f>+IF($AG409=AR$22,MONTH($D409),"")</f>
        <v/>
      </c>
      <c r="AS409" s="89" t="str">
        <f>+IF($AG409=AS$22,MONTH($D409),"")</f>
        <v/>
      </c>
      <c r="AT409" s="89" t="str">
        <f>+IF($AG409=AT$22,MONTH($D409),"")</f>
        <v/>
      </c>
      <c r="AU409" s="89" t="str">
        <f>+IF($AG409=AU$22,MONTH($D409),"")</f>
        <v/>
      </c>
      <c r="AV409" s="89" t="str">
        <f>+IF($AG409=AV$22,MONTH($D409),"")</f>
        <v/>
      </c>
      <c r="AW409" s="86" t="str">
        <f>+IF($AG409=AW$22,MONTH($D409),"")</f>
        <v/>
      </c>
      <c r="AX409" s="86" t="str">
        <f>+IF($AG409=AX$22,MONTH($D409),"")</f>
        <v/>
      </c>
    </row>
    <row r="410" spans="1:68" s="56" customFormat="1" ht="33" hidden="1" customHeight="1">
      <c r="A410" s="204" t="str">
        <f>+IFERROR(VALUE(MID(AB410,4,4)),"")</f>
        <v/>
      </c>
      <c r="B410" s="204">
        <f>VALUE(RIGHT(C410,LEN(C410)-2))</f>
        <v>2312</v>
      </c>
      <c r="C410" s="74" t="s">
        <v>1675</v>
      </c>
      <c r="D410" s="75">
        <v>45721</v>
      </c>
      <c r="E410" s="70" t="s">
        <v>51</v>
      </c>
      <c r="F410" s="70" t="s">
        <v>51</v>
      </c>
      <c r="G410" s="68" t="s">
        <v>1676</v>
      </c>
      <c r="H410" s="282" t="s">
        <v>1677</v>
      </c>
      <c r="I410" s="69" t="s">
        <v>1678</v>
      </c>
      <c r="J410" s="69"/>
      <c r="K410" s="68" t="s">
        <v>798</v>
      </c>
      <c r="L410" s="69" t="s">
        <v>120</v>
      </c>
      <c r="M410" s="71" t="s">
        <v>141</v>
      </c>
      <c r="N410" s="69" t="e" vm="1">
        <v>#VALUE!</v>
      </c>
      <c r="O410" s="84">
        <v>45730</v>
      </c>
      <c r="P410" s="72" t="s">
        <v>666</v>
      </c>
      <c r="Q410" s="72" t="s">
        <v>623</v>
      </c>
      <c r="R410" s="162"/>
      <c r="S410" s="146"/>
      <c r="T410" s="68" t="s">
        <v>165</v>
      </c>
      <c r="U410" s="87"/>
      <c r="V410" s="183">
        <v>45809</v>
      </c>
      <c r="W410" s="73">
        <v>595</v>
      </c>
      <c r="X410" s="150">
        <f>805*39100/1000000</f>
        <v>31.4755</v>
      </c>
      <c r="Y410" s="83">
        <f>IF(SUM(W410:W410)&gt;0,X410/SUM(W410:W410)*1000000,"N/A")</f>
        <v>52900</v>
      </c>
      <c r="Z410" s="183"/>
      <c r="AA410" s="183"/>
      <c r="AB410" s="73"/>
      <c r="AC410" s="153"/>
      <c r="AD410" s="331"/>
      <c r="AE410" s="57"/>
      <c r="AF410" s="88"/>
      <c r="AG410" s="182">
        <f>YEAR(V410)</f>
        <v>2025</v>
      </c>
      <c r="AH410" s="86" t="str">
        <f>+IF(AG410=$AH$22,MONTH(V410),"")</f>
        <v/>
      </c>
      <c r="AI410" s="86">
        <f>+IF(AG410=$AI$22,MONTH(V410),"")</f>
        <v>6</v>
      </c>
      <c r="AJ410" s="86" t="str">
        <f>+IF(AG410=$AJ$22,MONTH(V410),"")</f>
        <v/>
      </c>
      <c r="AK410" s="86" t="str">
        <f>+IF(AG410=$AK$22,MONTH(V410),"")</f>
        <v/>
      </c>
      <c r="AL410" s="86" t="str">
        <f>+IF(AG410=$AL$22,MONTH(V410),"")</f>
        <v/>
      </c>
      <c r="AM410" s="86" t="str">
        <f>+IF($AG410=$AM$22,MONTH($D410),"")</f>
        <v/>
      </c>
      <c r="AN410" s="89" t="str">
        <f>+IF($AG410=AN$22,MONTH($D410),"")</f>
        <v/>
      </c>
      <c r="AO410" s="89" t="str">
        <f>+IF($AG410=AO$22,MONTH($D410),"")</f>
        <v/>
      </c>
      <c r="AP410" s="89" t="str">
        <f>+IF($AG410=AP$22,MONTH($D410),"")</f>
        <v/>
      </c>
      <c r="AQ410" s="89" t="str">
        <f>+IF($AG410=AQ$22,MONTH($D410),"")</f>
        <v/>
      </c>
      <c r="AR410" s="89" t="str">
        <f>+IF($AG410=AR$22,MONTH($D410),"")</f>
        <v/>
      </c>
      <c r="AS410" s="89" t="str">
        <f>+IF($AG410=AS$22,MONTH($D410),"")</f>
        <v/>
      </c>
      <c r="AT410" s="89" t="str">
        <f>+IF($AG410=AT$22,MONTH($D410),"")</f>
        <v/>
      </c>
      <c r="AU410" s="89" t="str">
        <f>+IF($AG410=AU$22,MONTH($D410),"")</f>
        <v/>
      </c>
      <c r="AV410" s="89" t="str">
        <f>+IF($AG410=AV$22,MONTH($D410),"")</f>
        <v/>
      </c>
      <c r="AW410" s="86" t="str">
        <f>+IF($AG410=AW$22,MONTH($D410),"")</f>
        <v/>
      </c>
      <c r="AX410" s="86" t="str">
        <f>+IF($AG410=AX$22,MONTH($D410),"")</f>
        <v/>
      </c>
      <c r="AY410" s="89"/>
      <c r="AZ410" s="89"/>
      <c r="BA410" s="89"/>
      <c r="BB410" s="89"/>
      <c r="BC410" s="89"/>
      <c r="BD410" s="89"/>
      <c r="BE410" s="89"/>
      <c r="BF410" s="89"/>
      <c r="BG410" s="89"/>
      <c r="BH410" s="89"/>
      <c r="BI410" s="89"/>
      <c r="BJ410" s="89"/>
      <c r="BK410" s="89"/>
      <c r="BL410" s="89"/>
      <c r="BM410" s="89"/>
      <c r="BN410" s="89"/>
      <c r="BO410" s="89"/>
      <c r="BP410" s="89"/>
    </row>
    <row r="411" spans="1:68" s="56" customFormat="1" ht="28.5" hidden="1" customHeight="1">
      <c r="A411" s="204" t="str">
        <f>+IFERROR(VALUE(MID(AB411,4,4)),"")</f>
        <v/>
      </c>
      <c r="B411" s="204">
        <f>VALUE(RIGHT(C411,LEN(C411)-2))</f>
        <v>2311</v>
      </c>
      <c r="C411" s="74" t="s">
        <v>1679</v>
      </c>
      <c r="D411" s="75">
        <v>45719</v>
      </c>
      <c r="E411" s="70" t="s">
        <v>53</v>
      </c>
      <c r="F411" s="70" t="s">
        <v>642</v>
      </c>
      <c r="G411" s="68" t="s">
        <v>210</v>
      </c>
      <c r="H411" s="304" t="s">
        <v>210</v>
      </c>
      <c r="I411" s="162" t="s">
        <v>1680</v>
      </c>
      <c r="J411" s="162"/>
      <c r="K411" s="68" t="s">
        <v>491</v>
      </c>
      <c r="L411" s="69" t="s">
        <v>123</v>
      </c>
      <c r="M411" s="71" t="s">
        <v>141</v>
      </c>
      <c r="N411" s="69" t="e" vm="1">
        <v>#VALUE!</v>
      </c>
      <c r="O411" s="164">
        <v>45785</v>
      </c>
      <c r="P411" s="72" t="s">
        <v>228</v>
      </c>
      <c r="Q411" s="72" t="s">
        <v>316</v>
      </c>
      <c r="R411" s="162"/>
      <c r="S411" s="146"/>
      <c r="T411" s="68" t="s">
        <v>165</v>
      </c>
      <c r="U411" s="87"/>
      <c r="V411" s="183">
        <v>45785</v>
      </c>
      <c r="W411" s="73"/>
      <c r="X411" s="73"/>
      <c r="Y411" s="83" t="str">
        <f>IF(SUM(W411:W411)&gt;0,X411/SUM(W411:W411)*1000000,"N/A")</f>
        <v>N/A</v>
      </c>
      <c r="Z411" s="183"/>
      <c r="AA411" s="183"/>
      <c r="AB411" s="73"/>
      <c r="AC411" s="153"/>
      <c r="AD411" s="330"/>
      <c r="AE411" s="305"/>
      <c r="AF411" s="88"/>
      <c r="AG411" s="182">
        <f>YEAR(V411)</f>
        <v>2025</v>
      </c>
      <c r="AH411" s="86" t="str">
        <f>+IF(AG411=$AH$22,MONTH(V411),"")</f>
        <v/>
      </c>
      <c r="AI411" s="86">
        <f>+IF(AG411=$AI$22,MONTH(V411),"")</f>
        <v>5</v>
      </c>
      <c r="AJ411" s="86" t="str">
        <f>+IF(AG411=$AJ$22,MONTH(V411),"")</f>
        <v/>
      </c>
      <c r="AK411" s="86" t="str">
        <f>+IF(AG411=$AK$22,MONTH(V411),"")</f>
        <v/>
      </c>
      <c r="AL411" s="86"/>
      <c r="AM411" s="89"/>
      <c r="AN411" s="89"/>
      <c r="AO411" s="89"/>
      <c r="AP411" s="89"/>
      <c r="AQ411" s="89"/>
      <c r="AR411" s="89"/>
      <c r="AS411" s="89"/>
      <c r="AT411" s="89"/>
      <c r="AU411" s="89"/>
      <c r="AV411" s="89"/>
      <c r="AW411" s="86" t="str">
        <f>+IF($AG411=AW$22,MONTH($D411),"")</f>
        <v/>
      </c>
      <c r="AX411" s="86" t="str">
        <f>+IF($AG411=AX$22,MONTH($D411),"")</f>
        <v/>
      </c>
      <c r="AY411" s="89"/>
      <c r="AZ411" s="89"/>
      <c r="BA411" s="89"/>
      <c r="BB411" s="89"/>
      <c r="BC411" s="89"/>
      <c r="BD411" s="89"/>
      <c r="BE411" s="89"/>
      <c r="BF411" s="89"/>
      <c r="BG411" s="89"/>
      <c r="BH411" s="89"/>
      <c r="BI411" s="89"/>
      <c r="BJ411" s="89"/>
      <c r="BK411" s="89"/>
      <c r="BL411" s="89"/>
      <c r="BM411" s="89"/>
      <c r="BN411" s="89"/>
      <c r="BO411" s="89"/>
      <c r="BP411" s="89"/>
    </row>
    <row r="412" spans="1:68" s="56" customFormat="1" ht="26.25" hidden="1" customHeight="1">
      <c r="A412" s="204" t="str">
        <f>+IFERROR(VALUE(MID(AB412,4,4)),"")</f>
        <v/>
      </c>
      <c r="B412" s="204">
        <f>VALUE(RIGHT(C412,LEN(C412)-2))</f>
        <v>2310</v>
      </c>
      <c r="C412" s="74" t="s">
        <v>1681</v>
      </c>
      <c r="D412" s="75">
        <v>45698</v>
      </c>
      <c r="E412" s="70" t="s">
        <v>685</v>
      </c>
      <c r="F412" s="70" t="s">
        <v>685</v>
      </c>
      <c r="G412" s="68" t="s">
        <v>1682</v>
      </c>
      <c r="H412" s="282" t="s">
        <v>1683</v>
      </c>
      <c r="I412" s="162" t="s">
        <v>1684</v>
      </c>
      <c r="J412" s="162"/>
      <c r="K412" s="68" t="s">
        <v>13</v>
      </c>
      <c r="L412" s="69" t="s">
        <v>120</v>
      </c>
      <c r="M412" s="71" t="s">
        <v>141</v>
      </c>
      <c r="N412" s="69" t="e" vm="1">
        <v>#VALUE!</v>
      </c>
      <c r="O412" s="164">
        <v>45716</v>
      </c>
      <c r="P412" s="72" t="s">
        <v>285</v>
      </c>
      <c r="Q412" s="72" t="s">
        <v>240</v>
      </c>
      <c r="R412" s="162"/>
      <c r="S412" s="146"/>
      <c r="T412" s="68" t="s">
        <v>165</v>
      </c>
      <c r="U412" s="87"/>
      <c r="V412" s="183">
        <v>45778</v>
      </c>
      <c r="W412" s="73">
        <v>310</v>
      </c>
      <c r="X412" s="73">
        <v>18.5</v>
      </c>
      <c r="Y412" s="83">
        <f>IF(SUM(W412:W412)&gt;0,X412/SUM(W412:W412)*1000000,"N/A")</f>
        <v>59677.419354838712</v>
      </c>
      <c r="Z412" s="183"/>
      <c r="AA412" s="183"/>
      <c r="AB412" s="73"/>
      <c r="AC412" s="153"/>
      <c r="AD412" s="331"/>
      <c r="AE412" s="57"/>
      <c r="AF412" s="88"/>
      <c r="AG412" s="182">
        <f>YEAR(V412)</f>
        <v>2025</v>
      </c>
      <c r="AH412" s="86" t="str">
        <f>+IF(AG412=$AH$22,MONTH(V412),"")</f>
        <v/>
      </c>
      <c r="AI412" s="86">
        <f>+IF(AG412=$AI$22,MONTH(V412),"")</f>
        <v>5</v>
      </c>
      <c r="AJ412" s="86" t="str">
        <f>+IF(AG412=$AJ$22,MONTH(V412),"")</f>
        <v/>
      </c>
      <c r="AK412" s="86" t="str">
        <f>+IF(AG412=$AK$22,MONTH(V412),"")</f>
        <v/>
      </c>
      <c r="AL412" s="86"/>
      <c r="AM412" s="89"/>
      <c r="AN412" s="89"/>
      <c r="AO412" s="89"/>
      <c r="AP412" s="89"/>
      <c r="AQ412" s="89"/>
      <c r="AR412" s="89"/>
      <c r="AS412" s="89"/>
      <c r="AT412" s="89"/>
      <c r="AU412" s="89"/>
      <c r="AV412" s="89"/>
      <c r="AW412" s="86" t="str">
        <f>+IF($AG412=AW$22,MONTH($D412),"")</f>
        <v/>
      </c>
      <c r="AX412" s="86" t="str">
        <f>+IF($AG412=AX$22,MONTH($D412),"")</f>
        <v/>
      </c>
      <c r="AY412" s="89"/>
      <c r="AZ412" s="89"/>
      <c r="BA412" s="89"/>
      <c r="BB412" s="89"/>
      <c r="BC412" s="89"/>
      <c r="BD412" s="89"/>
      <c r="BE412" s="89"/>
      <c r="BF412" s="89"/>
      <c r="BG412" s="89"/>
      <c r="BH412" s="89"/>
      <c r="BI412" s="89"/>
      <c r="BJ412" s="89"/>
      <c r="BK412" s="89"/>
      <c r="BL412" s="89"/>
      <c r="BM412" s="89"/>
      <c r="BN412" s="89"/>
      <c r="BO412" s="89"/>
      <c r="BP412" s="89"/>
    </row>
    <row r="413" spans="1:68" s="56" customFormat="1" ht="30" hidden="1" customHeight="1">
      <c r="A413" s="204" t="str">
        <f>+IFERROR(VALUE(MID(AB413,4,4)),"")</f>
        <v/>
      </c>
      <c r="B413" s="204">
        <f>VALUE(RIGHT(C413,LEN(C413)-2))</f>
        <v>2309</v>
      </c>
      <c r="C413" s="74" t="s">
        <v>1685</v>
      </c>
      <c r="D413" s="75">
        <v>45716</v>
      </c>
      <c r="E413" s="70" t="s">
        <v>51</v>
      </c>
      <c r="F413" s="70" t="s">
        <v>51</v>
      </c>
      <c r="G413" s="68" t="s">
        <v>1686</v>
      </c>
      <c r="H413" s="282"/>
      <c r="I413" s="69" t="s">
        <v>1687</v>
      </c>
      <c r="J413" s="69"/>
      <c r="K413" s="68" t="s">
        <v>11</v>
      </c>
      <c r="L413" s="69" t="s">
        <v>120</v>
      </c>
      <c r="M413" s="71" t="s">
        <v>141</v>
      </c>
      <c r="N413" s="69" t="e" vm="1">
        <v>#VALUE!</v>
      </c>
      <c r="O413" s="84">
        <v>45741</v>
      </c>
      <c r="P413" s="72" t="s">
        <v>402</v>
      </c>
      <c r="Q413" s="72" t="s">
        <v>623</v>
      </c>
      <c r="R413" s="162"/>
      <c r="S413" s="146"/>
      <c r="T413" s="68" t="s">
        <v>165</v>
      </c>
      <c r="U413" s="87"/>
      <c r="V413" s="183">
        <v>45779</v>
      </c>
      <c r="W413" s="73">
        <v>6800</v>
      </c>
      <c r="X413" s="73">
        <f>8860*38900/1000000</f>
        <v>344.654</v>
      </c>
      <c r="Y413" s="83">
        <f>IF(SUM(W413:W413)&gt;0,X413/SUM(W413:W413)*1000000,"N/A")</f>
        <v>50684.411764705881</v>
      </c>
      <c r="Z413" s="183"/>
      <c r="AA413" s="183"/>
      <c r="AB413" s="73"/>
      <c r="AC413" s="153"/>
      <c r="AD413" s="331"/>
      <c r="AE413" s="57"/>
      <c r="AF413" s="88"/>
      <c r="AG413" s="182">
        <f>YEAR(V413)</f>
        <v>2025</v>
      </c>
      <c r="AH413" s="86" t="str">
        <f>+IF(AG413=$AH$22,MONTH(V413),"")</f>
        <v/>
      </c>
      <c r="AI413" s="86">
        <f>+IF(AG413=$AI$22,MONTH(V413),"")</f>
        <v>5</v>
      </c>
      <c r="AJ413" s="86" t="str">
        <f>+IF(AG413=$AJ$22,MONTH(V413),"")</f>
        <v/>
      </c>
      <c r="AK413" s="86" t="str">
        <f>+IF(AG413=$AK$22,MONTH(V413),"")</f>
        <v/>
      </c>
      <c r="AL413" s="86" t="str">
        <f>+IF(AG413=$AL$22,MONTH(V413),"")</f>
        <v/>
      </c>
      <c r="AM413" s="86" t="str">
        <f>+IF($AG413=$AM$22,MONTH($D413),"")</f>
        <v/>
      </c>
      <c r="AN413" s="89" t="str">
        <f>+IF($AG413=AN$22,MONTH($D413),"")</f>
        <v/>
      </c>
      <c r="AO413" s="89" t="str">
        <f>+IF($AG413=AO$22,MONTH($D413),"")</f>
        <v/>
      </c>
      <c r="AP413" s="89" t="str">
        <f>+IF($AG413=AP$22,MONTH($D413),"")</f>
        <v/>
      </c>
      <c r="AQ413" s="89" t="str">
        <f>+IF($AG413=AQ$22,MONTH($D413),"")</f>
        <v/>
      </c>
      <c r="AR413" s="89" t="str">
        <f>+IF($AG413=AR$22,MONTH($D413),"")</f>
        <v/>
      </c>
      <c r="AS413" s="89" t="str">
        <f>+IF($AG413=AS$22,MONTH($D413),"")</f>
        <v/>
      </c>
      <c r="AT413" s="89" t="str">
        <f>+IF($AG413=AT$22,MONTH($D413),"")</f>
        <v/>
      </c>
      <c r="AU413" s="89" t="str">
        <f>+IF($AG413=AU$22,MONTH($D413),"")</f>
        <v/>
      </c>
      <c r="AV413" s="89" t="str">
        <f>+IF($AG413=AV$22,MONTH($D413),"")</f>
        <v/>
      </c>
      <c r="AW413" s="86" t="str">
        <f>+IF($AG413=AW$22,MONTH($D413),"")</f>
        <v/>
      </c>
      <c r="AX413" s="86" t="str">
        <f>+IF($AG413=AX$22,MONTH($D413),"")</f>
        <v/>
      </c>
      <c r="AY413" s="89"/>
      <c r="AZ413" s="89"/>
      <c r="BA413" s="89"/>
      <c r="BB413" s="89"/>
      <c r="BC413" s="89"/>
      <c r="BD413" s="89"/>
      <c r="BE413" s="89"/>
      <c r="BF413" s="89"/>
      <c r="BG413" s="89"/>
      <c r="BH413" s="89"/>
      <c r="BI413" s="89"/>
      <c r="BJ413" s="89"/>
      <c r="BK413" s="89"/>
      <c r="BL413" s="89"/>
      <c r="BM413" s="89"/>
      <c r="BN413" s="89"/>
      <c r="BO413" s="89"/>
      <c r="BP413" s="89"/>
    </row>
    <row r="414" spans="1:68" s="56" customFormat="1" ht="28.5" hidden="1" customHeight="1">
      <c r="A414" s="204" t="str">
        <f>+IFERROR(VALUE(MID(AB414,4,4)),"")</f>
        <v/>
      </c>
      <c r="B414" s="204">
        <f>VALUE(RIGHT(C414,LEN(C414)-2))</f>
        <v>2308</v>
      </c>
      <c r="C414" s="74" t="s">
        <v>1688</v>
      </c>
      <c r="D414" s="75">
        <v>45687</v>
      </c>
      <c r="E414" s="70" t="s">
        <v>262</v>
      </c>
      <c r="F414" s="70" t="s">
        <v>270</v>
      </c>
      <c r="G414" s="68" t="s">
        <v>1035</v>
      </c>
      <c r="H414" s="307" t="s">
        <v>1036</v>
      </c>
      <c r="I414" s="69" t="s">
        <v>1689</v>
      </c>
      <c r="J414" s="69"/>
      <c r="K414" s="68" t="s">
        <v>13</v>
      </c>
      <c r="L414" s="69" t="s">
        <v>120</v>
      </c>
      <c r="M414" s="71" t="s">
        <v>141</v>
      </c>
      <c r="N414" s="69" t="e" vm="1">
        <v>#VALUE!</v>
      </c>
      <c r="O414" s="84">
        <v>45715</v>
      </c>
      <c r="P414" s="72" t="s">
        <v>402</v>
      </c>
      <c r="Q414" s="72" t="s">
        <v>837</v>
      </c>
      <c r="R414" s="162"/>
      <c r="S414" s="146"/>
      <c r="T414" s="68" t="s">
        <v>165</v>
      </c>
      <c r="U414" s="87"/>
      <c r="V414" s="80">
        <v>45804</v>
      </c>
      <c r="W414" s="73">
        <v>4120</v>
      </c>
      <c r="X414" s="73">
        <v>224.6</v>
      </c>
      <c r="Y414" s="169">
        <f>IF(SUM(W414:W414)&gt;0,X414/SUM(W414:W414)*1000000,"N/A")</f>
        <v>54514.563106796115</v>
      </c>
      <c r="Z414" s="80"/>
      <c r="AA414" s="80"/>
      <c r="AB414" s="73"/>
      <c r="AC414" s="153"/>
      <c r="AD414" s="330"/>
      <c r="AE414" s="305"/>
      <c r="AF414" s="88"/>
      <c r="AG414" s="182">
        <f>YEAR(V414)</f>
        <v>2025</v>
      </c>
      <c r="AH414" s="86" t="str">
        <f>+IF(AG414=$AH$22,MONTH(V414),"")</f>
        <v/>
      </c>
      <c r="AI414" s="86">
        <f>+IF(AG414=$AI$22,MONTH(V414),"")</f>
        <v>5</v>
      </c>
      <c r="AJ414" s="86" t="str">
        <f>+IF(AG414=$AJ$22,MONTH(V414),"")</f>
        <v/>
      </c>
      <c r="AK414" s="86" t="str">
        <f>+IF(AG414=$AK$22,MONTH(V414),"")</f>
        <v/>
      </c>
      <c r="AL414" s="86" t="str">
        <f>+IF(AG414=$AL$22,MONTH(V414),"")</f>
        <v/>
      </c>
      <c r="AM414" s="86" t="str">
        <f>+IF($AG414=$AM$22,MONTH($D414),"")</f>
        <v/>
      </c>
      <c r="AN414" s="89" t="str">
        <f>+IF($AG414=AN$22,MONTH($D414),"")</f>
        <v/>
      </c>
      <c r="AO414" s="89" t="str">
        <f>+IF($AG414=AO$22,MONTH($D414),"")</f>
        <v/>
      </c>
      <c r="AP414" s="89" t="str">
        <f>+IF($AG414=AP$22,MONTH($D414),"")</f>
        <v/>
      </c>
      <c r="AQ414" s="89" t="str">
        <f>+IF($AG414=AQ$22,MONTH($D414),"")</f>
        <v/>
      </c>
      <c r="AR414" s="89" t="str">
        <f>+IF($AG414=AR$22,MONTH($D414),"")</f>
        <v/>
      </c>
      <c r="AS414" s="89" t="str">
        <f>+IF($AG414=AS$22,MONTH($D414),"")</f>
        <v/>
      </c>
      <c r="AT414" s="89" t="str">
        <f>+IF($AG414=AT$22,MONTH($D414),"")</f>
        <v/>
      </c>
      <c r="AU414" s="89" t="str">
        <f>+IF($AG414=AU$22,MONTH($D414),"")</f>
        <v/>
      </c>
      <c r="AV414" s="89" t="str">
        <f>+IF($AG414=AV$22,MONTH($D414),"")</f>
        <v/>
      </c>
      <c r="AW414" s="86" t="str">
        <f>+IF($AG414=AW$22,MONTH($D414),"")</f>
        <v/>
      </c>
      <c r="AX414" s="86" t="str">
        <f>+IF($AG414=AX$22,MONTH($D414),"")</f>
        <v/>
      </c>
      <c r="AY414" s="89"/>
      <c r="AZ414" s="89"/>
      <c r="BA414" s="89"/>
      <c r="BB414" s="89"/>
      <c r="BC414" s="89"/>
      <c r="BD414" s="89"/>
      <c r="BE414" s="89"/>
      <c r="BF414" s="89"/>
      <c r="BG414" s="89"/>
      <c r="BH414" s="89"/>
      <c r="BI414" s="89"/>
      <c r="BJ414" s="89"/>
      <c r="BK414" s="89"/>
      <c r="BL414" s="89"/>
      <c r="BM414" s="89"/>
      <c r="BN414" s="89"/>
      <c r="BO414" s="89"/>
      <c r="BP414" s="89"/>
    </row>
    <row r="415" spans="1:68" s="320" customFormat="1" ht="45.75" hidden="1" customHeight="1">
      <c r="A415" s="204">
        <f>+IFERROR(VALUE(MID(AB415,4,4)),"")</f>
        <v>352</v>
      </c>
      <c r="B415" s="204">
        <f>VALUE(RIGHT(C415,LEN(C415)-2))</f>
        <v>2307</v>
      </c>
      <c r="C415" s="74" t="s">
        <v>1690</v>
      </c>
      <c r="D415" s="75">
        <v>45714</v>
      </c>
      <c r="E415" s="70" t="s">
        <v>53</v>
      </c>
      <c r="F415" s="70" t="s">
        <v>642</v>
      </c>
      <c r="G415" s="68" t="s">
        <v>210</v>
      </c>
      <c r="H415" s="307" t="s">
        <v>1691</v>
      </c>
      <c r="I415" s="69" t="s">
        <v>1692</v>
      </c>
      <c r="J415" s="69"/>
      <c r="K415" s="68" t="s">
        <v>9</v>
      </c>
      <c r="L415" s="69" t="s">
        <v>123</v>
      </c>
      <c r="M415" s="71" t="s">
        <v>141</v>
      </c>
      <c r="N415" s="69" t="e" vm="1">
        <v>#VALUE!</v>
      </c>
      <c r="O415" s="84">
        <v>45728</v>
      </c>
      <c r="P415" s="72" t="s">
        <v>289</v>
      </c>
      <c r="Q415" s="72" t="s">
        <v>694</v>
      </c>
      <c r="R415" s="162"/>
      <c r="S415" s="146"/>
      <c r="T415" s="68" t="s">
        <v>165</v>
      </c>
      <c r="U415" s="87"/>
      <c r="V415" s="80">
        <v>45740</v>
      </c>
      <c r="W415" s="73">
        <v>1029</v>
      </c>
      <c r="X415" s="73">
        <f>1500*38900/1000000</f>
        <v>58.35</v>
      </c>
      <c r="Y415" s="83">
        <f>IF(SUM(W415:W415)&gt;0,X415/SUM(W415:W415)*1000000,"N/A")</f>
        <v>56705.539358600588</v>
      </c>
      <c r="Z415" s="80"/>
      <c r="AA415" s="80"/>
      <c r="AB415" s="150" t="s">
        <v>1693</v>
      </c>
      <c r="AC415" s="153"/>
      <c r="AD415" s="330"/>
      <c r="AE415" s="305"/>
      <c r="AF415" s="88"/>
      <c r="AG415" s="182">
        <f>YEAR(V415)</f>
        <v>2025</v>
      </c>
      <c r="AH415" s="86" t="str">
        <f>+IF(AG415=$AH$22,MONTH(V415),"")</f>
        <v/>
      </c>
      <c r="AI415" s="86">
        <f>+IF(AG415=$AI$22,MONTH(V415),"")</f>
        <v>3</v>
      </c>
      <c r="AJ415" s="86" t="str">
        <f>+IF(AG415=$AJ$22,MONTH(V415),"")</f>
        <v/>
      </c>
      <c r="AK415" s="86" t="str">
        <f>+IF(AG415=$AK$22,MONTH(V415),"")</f>
        <v/>
      </c>
      <c r="AL415" s="86"/>
      <c r="AM415" s="89"/>
      <c r="AN415" s="89"/>
      <c r="AO415" s="89"/>
      <c r="AP415" s="89"/>
      <c r="AQ415" s="89"/>
      <c r="AR415" s="89"/>
      <c r="AS415" s="89"/>
      <c r="AT415" s="89"/>
      <c r="AU415" s="89"/>
      <c r="AV415" s="89"/>
      <c r="AW415" s="86" t="str">
        <f>+IF($AG415=AW$22,MONTH($D415),"")</f>
        <v/>
      </c>
      <c r="AX415" s="86" t="str">
        <f>+IF($AG415=AX$22,MONTH($D415),"")</f>
        <v/>
      </c>
      <c r="AY415" s="89"/>
      <c r="AZ415" s="89"/>
      <c r="BA415" s="89"/>
      <c r="BB415" s="89"/>
      <c r="BC415" s="89"/>
      <c r="BD415" s="89"/>
      <c r="BE415" s="89"/>
      <c r="BF415" s="89"/>
      <c r="BG415" s="89"/>
      <c r="BH415" s="89"/>
      <c r="BI415" s="89"/>
      <c r="BJ415" s="89"/>
      <c r="BK415" s="89"/>
      <c r="BL415" s="89"/>
      <c r="BM415" s="89"/>
      <c r="BN415" s="89"/>
      <c r="BO415" s="89"/>
      <c r="BP415" s="89"/>
    </row>
    <row r="416" spans="1:68" s="374" customFormat="1" ht="60" hidden="1" customHeight="1">
      <c r="A416" s="204" t="str">
        <f>+IFERROR(VALUE(MID(AB416,4,4)),"")</f>
        <v/>
      </c>
      <c r="B416" s="204">
        <f>VALUE(RIGHT(C416,LEN(C416)-2))</f>
        <v>2306</v>
      </c>
      <c r="C416" s="74" t="s">
        <v>1694</v>
      </c>
      <c r="D416" s="75">
        <v>45694</v>
      </c>
      <c r="E416" s="70" t="s">
        <v>332</v>
      </c>
      <c r="F416" s="70" t="s">
        <v>332</v>
      </c>
      <c r="G416" s="68" t="s">
        <v>333</v>
      </c>
      <c r="H416" s="304" t="s">
        <v>334</v>
      </c>
      <c r="I416" s="162" t="s">
        <v>1695</v>
      </c>
      <c r="J416" s="162"/>
      <c r="K416" s="68" t="s">
        <v>27</v>
      </c>
      <c r="L416" s="69" t="s">
        <v>129</v>
      </c>
      <c r="M416" s="71" t="s">
        <v>141</v>
      </c>
      <c r="N416" s="69" t="e" vm="1">
        <v>#VALUE!</v>
      </c>
      <c r="O416" s="164">
        <v>45722</v>
      </c>
      <c r="P416" s="72" t="s">
        <v>737</v>
      </c>
      <c r="Q416" s="72" t="s">
        <v>229</v>
      </c>
      <c r="R416" s="162"/>
      <c r="S416" s="146"/>
      <c r="T416" s="68" t="s">
        <v>155</v>
      </c>
      <c r="U416" s="87"/>
      <c r="V416" s="183">
        <v>45714</v>
      </c>
      <c r="W416" s="73"/>
      <c r="X416" s="73"/>
      <c r="Y416" s="83" t="str">
        <f>IF(SUM(W416:W416)&gt;0,X416/SUM(W416:W416)*1000000,"N/A")</f>
        <v>N/A</v>
      </c>
      <c r="Z416" s="183"/>
      <c r="AA416" s="183"/>
      <c r="AB416" s="73"/>
      <c r="AC416" s="153"/>
      <c r="AD416" s="330"/>
      <c r="AE416" s="305"/>
      <c r="AF416" s="88"/>
      <c r="AG416" s="182">
        <f>YEAR(V416)</f>
        <v>2025</v>
      </c>
      <c r="AH416" s="86" t="str">
        <f>+IF(AG416=$AH$22,MONTH(V416),"")</f>
        <v/>
      </c>
      <c r="AI416" s="86">
        <f>+IF(AG416=$AI$22,MONTH(V416),"")</f>
        <v>2</v>
      </c>
      <c r="AJ416" s="86" t="str">
        <f>+IF(AG416=$AJ$22,MONTH(V416),"")</f>
        <v/>
      </c>
      <c r="AK416" s="86" t="str">
        <f>+IF(AG416=$AK$22,MONTH(V416),"")</f>
        <v/>
      </c>
      <c r="AL416" s="86"/>
      <c r="AM416" s="89"/>
      <c r="AN416" s="89"/>
      <c r="AO416" s="89"/>
      <c r="AP416" s="89"/>
      <c r="AQ416" s="89"/>
      <c r="AR416" s="89"/>
      <c r="AS416" s="89"/>
      <c r="AT416" s="89"/>
      <c r="AU416" s="89"/>
      <c r="AV416" s="89"/>
      <c r="AW416" s="86" t="str">
        <f>+IF($AG416=AW$22,MONTH($D416),"")</f>
        <v/>
      </c>
      <c r="AX416" s="86" t="str">
        <f>+IF($AG416=AX$22,MONTH($D416),"")</f>
        <v/>
      </c>
      <c r="AY416" s="89"/>
      <c r="AZ416" s="89"/>
      <c r="BA416" s="89"/>
      <c r="BB416" s="89"/>
      <c r="BC416" s="89"/>
      <c r="BD416" s="89"/>
      <c r="BE416" s="89"/>
      <c r="BF416" s="89"/>
      <c r="BG416" s="89"/>
      <c r="BH416" s="89"/>
      <c r="BI416" s="89"/>
      <c r="BJ416" s="89"/>
      <c r="BK416" s="89"/>
      <c r="BL416" s="89"/>
      <c r="BM416" s="89"/>
      <c r="BN416" s="89"/>
      <c r="BO416" s="89"/>
      <c r="BP416" s="89"/>
    </row>
    <row r="417" spans="1:68" s="56" customFormat="1" ht="30" hidden="1" customHeight="1">
      <c r="A417" s="204" t="str">
        <f>+IFERROR(VALUE(MID(AB417,4,4)),"")</f>
        <v/>
      </c>
      <c r="B417" s="204">
        <f>VALUE(RIGHT(C417,LEN(C417)-2))</f>
        <v>2305</v>
      </c>
      <c r="C417" s="74" t="s">
        <v>1696</v>
      </c>
      <c r="D417" s="75">
        <v>45713</v>
      </c>
      <c r="E417" s="70" t="s">
        <v>53</v>
      </c>
      <c r="F417" s="70" t="s">
        <v>1697</v>
      </c>
      <c r="G417" s="68" t="s">
        <v>210</v>
      </c>
      <c r="H417" s="304" t="s">
        <v>210</v>
      </c>
      <c r="I417" s="162" t="s">
        <v>1698</v>
      </c>
      <c r="J417" s="162"/>
      <c r="K417" s="68" t="s">
        <v>212</v>
      </c>
      <c r="L417" s="69" t="s">
        <v>123</v>
      </c>
      <c r="M417" s="71" t="s">
        <v>141</v>
      </c>
      <c r="N417" s="69" t="e" vm="1">
        <v>#VALUE!</v>
      </c>
      <c r="O417" s="84">
        <v>45763</v>
      </c>
      <c r="P417" s="72" t="s">
        <v>228</v>
      </c>
      <c r="Q417" s="72" t="s">
        <v>316</v>
      </c>
      <c r="R417" s="162"/>
      <c r="S417" s="146"/>
      <c r="T417" s="68" t="s">
        <v>165</v>
      </c>
      <c r="U417" s="87"/>
      <c r="V417" s="183">
        <v>45763</v>
      </c>
      <c r="W417" s="73">
        <v>1000</v>
      </c>
      <c r="X417" s="73">
        <v>42</v>
      </c>
      <c r="Y417" s="83">
        <f>IF(SUM(W417:W417)&gt;0,X417/SUM(W417:W417)*1000000,"N/A")</f>
        <v>42000</v>
      </c>
      <c r="Z417" s="183"/>
      <c r="AA417" s="183"/>
      <c r="AB417" s="73"/>
      <c r="AC417" s="153"/>
      <c r="AD417" s="330"/>
      <c r="AE417" s="305"/>
      <c r="AF417" s="88"/>
      <c r="AG417" s="182">
        <f>YEAR(V417)</f>
        <v>2025</v>
      </c>
      <c r="AH417" s="86" t="str">
        <f>+IF(AG417=$AH$22,MONTH(V417),"")</f>
        <v/>
      </c>
      <c r="AI417" s="86">
        <f>+IF(AG417=$AI$22,MONTH(V417),"")</f>
        <v>4</v>
      </c>
      <c r="AJ417" s="86" t="str">
        <f>+IF(AG417=$AJ$22,MONTH(V417),"")</f>
        <v/>
      </c>
      <c r="AK417" s="86" t="str">
        <f>+IF(AG417=$AK$22,MONTH(V417),"")</f>
        <v/>
      </c>
      <c r="AL417" s="86"/>
      <c r="AM417" s="89"/>
      <c r="AN417" s="89"/>
      <c r="AO417" s="89"/>
      <c r="AP417" s="89"/>
      <c r="AQ417" s="89"/>
      <c r="AR417" s="89"/>
      <c r="AS417" s="89"/>
      <c r="AT417" s="89"/>
      <c r="AU417" s="89"/>
      <c r="AV417" s="89"/>
      <c r="AW417" s="86" t="str">
        <f>+IF($AG417=AW$22,MONTH($D417),"")</f>
        <v/>
      </c>
      <c r="AX417" s="86" t="str">
        <f>+IF($AG417=AX$22,MONTH($D417),"")</f>
        <v/>
      </c>
      <c r="AY417" s="89"/>
      <c r="AZ417" s="89"/>
      <c r="BA417" s="89"/>
      <c r="BB417" s="89"/>
      <c r="BC417" s="89"/>
      <c r="BD417" s="89"/>
      <c r="BE417" s="89"/>
      <c r="BF417" s="89"/>
      <c r="BG417" s="89"/>
      <c r="BH417" s="89"/>
      <c r="BI417" s="89"/>
      <c r="BJ417" s="89"/>
      <c r="BK417" s="89"/>
      <c r="BL417" s="89"/>
      <c r="BM417" s="89"/>
      <c r="BN417" s="89"/>
      <c r="BO417" s="89"/>
      <c r="BP417" s="89"/>
    </row>
    <row r="418" spans="1:68" s="378" customFormat="1" ht="45.75" hidden="1" customHeight="1">
      <c r="A418" s="204" t="str">
        <f>+IFERROR(VALUE(MID(AB418,4,4)),"")</f>
        <v/>
      </c>
      <c r="B418" s="204">
        <f>VALUE(RIGHT(C418,LEN(C418)-2))</f>
        <v>2304</v>
      </c>
      <c r="C418" s="74" t="s">
        <v>1699</v>
      </c>
      <c r="D418" s="75">
        <v>45708</v>
      </c>
      <c r="E418" s="70" t="s">
        <v>685</v>
      </c>
      <c r="F418" s="70" t="s">
        <v>685</v>
      </c>
      <c r="G418" s="68" t="s">
        <v>210</v>
      </c>
      <c r="H418" s="307" t="s">
        <v>1691</v>
      </c>
      <c r="I418" s="69" t="s">
        <v>1700</v>
      </c>
      <c r="J418" s="69"/>
      <c r="K418" s="68" t="s">
        <v>212</v>
      </c>
      <c r="L418" s="69" t="s">
        <v>123</v>
      </c>
      <c r="M418" s="71" t="s">
        <v>141</v>
      </c>
      <c r="N418" s="69" t="e" vm="1">
        <v>#VALUE!</v>
      </c>
      <c r="O418" s="84">
        <v>45751</v>
      </c>
      <c r="P418" s="72" t="s">
        <v>228</v>
      </c>
      <c r="Q418" s="72" t="s">
        <v>694</v>
      </c>
      <c r="R418" s="162"/>
      <c r="S418" s="146"/>
      <c r="T418" s="68" t="s">
        <v>165</v>
      </c>
      <c r="U418" s="87"/>
      <c r="V418" s="80">
        <v>45904</v>
      </c>
      <c r="W418" s="73"/>
      <c r="X418" s="73"/>
      <c r="Y418" s="83" t="str">
        <f>IF(SUM(W418:W418)&gt;0,X418/SUM(W418:W418)*1000000,"N/A")</f>
        <v>N/A</v>
      </c>
      <c r="Z418" s="80"/>
      <c r="AA418" s="80"/>
      <c r="AB418" s="150"/>
      <c r="AC418" s="153"/>
      <c r="AD418" s="330"/>
      <c r="AE418" s="305"/>
      <c r="AF418" s="88"/>
      <c r="AG418" s="182">
        <f>YEAR(V418)</f>
        <v>2025</v>
      </c>
      <c r="AH418" s="86" t="str">
        <f>+IF(AG418=$AH$22,MONTH(V418),"")</f>
        <v/>
      </c>
      <c r="AI418" s="86">
        <f>+IF(AG418=$AI$22,MONTH(V418),"")</f>
        <v>9</v>
      </c>
      <c r="AJ418" s="86" t="str">
        <f>+IF(AG418=$AJ$22,MONTH(V418),"")</f>
        <v/>
      </c>
      <c r="AK418" s="86" t="str">
        <f>+IF(AG418=$AK$22,MONTH(V418),"")</f>
        <v/>
      </c>
      <c r="AL418" s="86"/>
      <c r="AM418" s="89"/>
      <c r="AN418" s="89"/>
      <c r="AO418" s="89"/>
      <c r="AP418" s="89"/>
      <c r="AQ418" s="89"/>
      <c r="AR418" s="89"/>
      <c r="AS418" s="89"/>
      <c r="AT418" s="89"/>
      <c r="AU418" s="89"/>
      <c r="AV418" s="89"/>
      <c r="AW418" s="86" t="str">
        <f>+IF($AG418=AW$22,MONTH($D418),"")</f>
        <v/>
      </c>
      <c r="AX418" s="86" t="str">
        <f>+IF($AG418=AX$22,MONTH($D418),"")</f>
        <v/>
      </c>
      <c r="AY418" s="89"/>
      <c r="AZ418" s="89"/>
      <c r="BA418" s="89"/>
      <c r="BB418" s="89"/>
      <c r="BC418" s="89"/>
      <c r="BD418" s="89"/>
      <c r="BE418" s="89"/>
      <c r="BF418" s="89"/>
      <c r="BG418" s="89"/>
      <c r="BH418" s="89"/>
      <c r="BI418" s="89"/>
      <c r="BJ418" s="89"/>
      <c r="BK418" s="89"/>
      <c r="BL418" s="89"/>
      <c r="BM418" s="89"/>
      <c r="BN418" s="89"/>
      <c r="BO418" s="89"/>
      <c r="BP418" s="89"/>
    </row>
    <row r="419" spans="1:68" s="374" customFormat="1" ht="60" hidden="1" customHeight="1">
      <c r="A419" s="204">
        <f>+IFERROR(VALUE(MID(AB419,4,4)),"")</f>
        <v>390</v>
      </c>
      <c r="B419" s="204">
        <f>VALUE(RIGHT(C419,LEN(C419)-2))</f>
        <v>2303</v>
      </c>
      <c r="C419" s="74" t="s">
        <v>1701</v>
      </c>
      <c r="D419" s="75">
        <v>45707</v>
      </c>
      <c r="E419" s="70" t="s">
        <v>262</v>
      </c>
      <c r="F419" s="70" t="s">
        <v>270</v>
      </c>
      <c r="G419" s="68"/>
      <c r="H419" s="307" t="s">
        <v>1036</v>
      </c>
      <c r="I419" s="69" t="s">
        <v>1702</v>
      </c>
      <c r="J419" s="69"/>
      <c r="K419" s="68" t="s">
        <v>13</v>
      </c>
      <c r="L419" s="69" t="s">
        <v>120</v>
      </c>
      <c r="M419" s="71" t="s">
        <v>141</v>
      </c>
      <c r="N419" s="69" t="e" vm="1">
        <v>#VALUE!</v>
      </c>
      <c r="O419" s="84">
        <v>45748</v>
      </c>
      <c r="P419" s="72" t="s">
        <v>1703</v>
      </c>
      <c r="Q419" s="72" t="s">
        <v>259</v>
      </c>
      <c r="R419" s="162"/>
      <c r="S419" s="146"/>
      <c r="T419" s="68" t="s">
        <v>3</v>
      </c>
      <c r="U419" s="87"/>
      <c r="V419" s="80">
        <v>45687</v>
      </c>
      <c r="W419" s="73">
        <v>250</v>
      </c>
      <c r="X419" s="73">
        <v>10.885999999999999</v>
      </c>
      <c r="Y419" s="169">
        <f>IF(SUM(W419:W419)&gt;0,X419/SUM(W419:W419)*1000000,"N/A")</f>
        <v>43544</v>
      </c>
      <c r="Z419" s="80"/>
      <c r="AA419" s="80"/>
      <c r="AB419" s="73" t="s">
        <v>1704</v>
      </c>
      <c r="AC419" s="153"/>
      <c r="AD419" s="330"/>
      <c r="AE419" s="305"/>
      <c r="AF419" s="88"/>
      <c r="AG419" s="182">
        <f>YEAR(D419)</f>
        <v>2025</v>
      </c>
      <c r="AH419" s="86" t="str">
        <f>+IF(AG419=$AH$22,MONTH(V419),"")</f>
        <v/>
      </c>
      <c r="AI419" s="86">
        <f>+IF(AG419=$AI$22,MONTH(V419),"")</f>
        <v>1</v>
      </c>
      <c r="AJ419" s="86" t="str">
        <f>+IF(AG419=$AJ$22,MONTH(V419),"")</f>
        <v/>
      </c>
      <c r="AK419" s="86" t="str">
        <f>+IF(AG419=$AK$22,MONTH(V419),"")</f>
        <v/>
      </c>
      <c r="AL419" s="86" t="str">
        <f>+IF(AG419=$AL$22,MONTH(V419),"")</f>
        <v/>
      </c>
      <c r="AM419" s="86" t="str">
        <f>+IF($AG419=$AM$22,MONTH($D419),"")</f>
        <v/>
      </c>
      <c r="AN419" s="89" t="str">
        <f>+IF($AG419=AN$22,MONTH($D419),"")</f>
        <v/>
      </c>
      <c r="AO419" s="89" t="str">
        <f>+IF($AG419=AO$22,MONTH($D419),"")</f>
        <v/>
      </c>
      <c r="AP419" s="89" t="str">
        <f>+IF($AG419=AP$22,MONTH($D419),"")</f>
        <v/>
      </c>
      <c r="AQ419" s="89" t="str">
        <f>+IF($AG419=AQ$22,MONTH($D419),"")</f>
        <v/>
      </c>
      <c r="AR419" s="89" t="str">
        <f>+IF($AG419=AR$22,MONTH($D419),"")</f>
        <v/>
      </c>
      <c r="AS419" s="89" t="str">
        <f>+IF($AG419=AS$22,MONTH($D419),"")</f>
        <v/>
      </c>
      <c r="AT419" s="89" t="str">
        <f>+IF($AG419=AT$22,MONTH($D419),"")</f>
        <v/>
      </c>
      <c r="AU419" s="89" t="str">
        <f>+IF($AG419=AU$22,MONTH($D419),"")</f>
        <v/>
      </c>
      <c r="AV419" s="89" t="str">
        <f>+IF($AG419=AV$22,MONTH($D419),"")</f>
        <v/>
      </c>
      <c r="AW419" s="86" t="str">
        <f>+IF($AG419=AW$22,MONTH($D419),"")</f>
        <v/>
      </c>
      <c r="AX419" s="86" t="str">
        <f>+IF($AG419=AX$22,MONTH($D419),"")</f>
        <v/>
      </c>
      <c r="AY419" s="89"/>
      <c r="AZ419" s="89"/>
      <c r="BA419" s="89"/>
      <c r="BB419" s="89"/>
      <c r="BC419" s="89"/>
      <c r="BD419" s="89"/>
      <c r="BE419" s="89"/>
      <c r="BF419" s="89"/>
      <c r="BG419" s="89"/>
      <c r="BH419" s="89"/>
      <c r="BI419" s="89"/>
      <c r="BJ419" s="89"/>
      <c r="BK419" s="89"/>
      <c r="BL419" s="89"/>
      <c r="BM419" s="89"/>
      <c r="BN419" s="89"/>
      <c r="BO419" s="89"/>
      <c r="BP419" s="89"/>
    </row>
    <row r="420" spans="1:68" s="320" customFormat="1" ht="45.75" hidden="1" customHeight="1">
      <c r="A420" s="204" t="str">
        <f>+IFERROR(VALUE(MID(AB420,4,4)),"")</f>
        <v/>
      </c>
      <c r="B420" s="204">
        <f>VALUE(RIGHT(C420,LEN(C420)-2))</f>
        <v>2302</v>
      </c>
      <c r="C420" s="74" t="s">
        <v>1705</v>
      </c>
      <c r="D420" s="75">
        <v>45705</v>
      </c>
      <c r="E420" s="68" t="s">
        <v>106</v>
      </c>
      <c r="F420" s="68" t="s">
        <v>106</v>
      </c>
      <c r="G420" s="68" t="s">
        <v>1706</v>
      </c>
      <c r="H420" s="282" t="s">
        <v>1707</v>
      </c>
      <c r="I420" s="69" t="s">
        <v>1074</v>
      </c>
      <c r="J420" s="69"/>
      <c r="K420" s="68" t="s">
        <v>11</v>
      </c>
      <c r="L420" s="69" t="s">
        <v>123</v>
      </c>
      <c r="M420" s="71" t="s">
        <v>141</v>
      </c>
      <c r="N420" s="69" t="s">
        <v>1075</v>
      </c>
      <c r="O420" s="84">
        <v>45734</v>
      </c>
      <c r="P420" s="69" t="s">
        <v>454</v>
      </c>
      <c r="Q420" s="72" t="s">
        <v>316</v>
      </c>
      <c r="R420" s="162"/>
      <c r="S420" s="146"/>
      <c r="T420" s="68" t="s">
        <v>155</v>
      </c>
      <c r="U420" s="87"/>
      <c r="V420" s="80">
        <v>45705</v>
      </c>
      <c r="W420" s="73"/>
      <c r="X420" s="73"/>
      <c r="Y420" s="83" t="str">
        <f>IF(SUM(W420:W420)&gt;0,X420/SUM(W420:W420)*1000000,"N/A")</f>
        <v>N/A</v>
      </c>
      <c r="Z420" s="80"/>
      <c r="AA420" s="80"/>
      <c r="AB420" s="57"/>
      <c r="AC420" s="75"/>
      <c r="AD420" s="332"/>
      <c r="AE420" s="68"/>
      <c r="AF420" s="88"/>
      <c r="AG420" s="182">
        <f>YEAR(V420)</f>
        <v>2025</v>
      </c>
      <c r="AH420" s="86" t="str">
        <f>+IF(AG420=$AH$22,MONTH(V420),"")</f>
        <v/>
      </c>
      <c r="AI420" s="86">
        <f>+IF(AG420=$AI$22,MONTH(V420),"")</f>
        <v>2</v>
      </c>
      <c r="AJ420" s="86" t="str">
        <f>+IF(AG420=$AJ$22,MONTH(V420),"")</f>
        <v/>
      </c>
      <c r="AK420" s="86" t="str">
        <f>+IF(AG420=$AK$22,MONTH(V420),"")</f>
        <v/>
      </c>
      <c r="AL420" s="86" t="str">
        <f>+IF(AG420=$AL$22,MONTH(V420),"")</f>
        <v/>
      </c>
      <c r="AM420" s="86" t="str">
        <f>+IF($AG420=$AM$22,MONTH($D420),"")</f>
        <v/>
      </c>
      <c r="AN420" s="89" t="str">
        <f>+IF($AG420=AN$22,MONTH($D420),"")</f>
        <v/>
      </c>
      <c r="AO420" s="184" t="str">
        <f>+IF($AG420=AO$22,MONTH($D420),"")</f>
        <v/>
      </c>
      <c r="AP420" s="184" t="str">
        <f>+IF($AG420=AP$22,MONTH($D420),"")</f>
        <v/>
      </c>
      <c r="AQ420" s="184" t="str">
        <f>+IF($AG420=AQ$22,MONTH($D420),"")</f>
        <v/>
      </c>
      <c r="AR420" s="184" t="str">
        <f>+IF($AG420=AR$22,MONTH($D420),"")</f>
        <v/>
      </c>
      <c r="AS420" s="184" t="str">
        <f>+IF($AG420=AS$22,MONTH($D420),"")</f>
        <v/>
      </c>
      <c r="AT420" s="86" t="str">
        <f>+IF($AG420=AT$22,MONTH($D420),"")</f>
        <v/>
      </c>
      <c r="AU420" s="86" t="str">
        <f>+IF($AG420=AU$22,MONTH($D420),"")</f>
        <v/>
      </c>
      <c r="AV420" s="86" t="str">
        <f>+IF($AG420=AV$22,MONTH($D420),"")</f>
        <v/>
      </c>
      <c r="AW420" s="86" t="str">
        <f>+IF($AG420=AW$22,MONTH($D420),"")</f>
        <v/>
      </c>
      <c r="AX420" s="86" t="str">
        <f>+IF($AG420=AX$22,MONTH($D420),"")</f>
        <v/>
      </c>
      <c r="AY420" s="89"/>
      <c r="AZ420" s="89"/>
      <c r="BA420" s="89"/>
      <c r="BB420" s="89"/>
      <c r="BC420" s="89"/>
      <c r="BD420" s="89"/>
      <c r="BE420" s="89"/>
      <c r="BF420" s="89"/>
      <c r="BG420" s="89"/>
      <c r="BH420" s="89"/>
      <c r="BI420" s="89"/>
      <c r="BJ420" s="89"/>
      <c r="BK420" s="89"/>
      <c r="BL420" s="89"/>
      <c r="BM420" s="89"/>
      <c r="BN420" s="89"/>
      <c r="BO420" s="89"/>
      <c r="BP420" s="89"/>
    </row>
    <row r="421" spans="1:68" s="56" customFormat="1" ht="42.75" hidden="1" customHeight="1">
      <c r="A421" s="204" t="str">
        <f>+IFERROR(VALUE(MID(AB421,4,4)),"")</f>
        <v/>
      </c>
      <c r="B421" s="204">
        <f>VALUE(RIGHT(C421,LEN(C421)-2))</f>
        <v>2300</v>
      </c>
      <c r="C421" s="74" t="s">
        <v>1708</v>
      </c>
      <c r="D421" s="75">
        <v>45706</v>
      </c>
      <c r="E421" s="70" t="s">
        <v>53</v>
      </c>
      <c r="F421" s="70" t="s">
        <v>252</v>
      </c>
      <c r="G421" s="68" t="s">
        <v>210</v>
      </c>
      <c r="H421" s="304" t="s">
        <v>210</v>
      </c>
      <c r="I421" s="162" t="s">
        <v>1709</v>
      </c>
      <c r="J421" s="162"/>
      <c r="K421" s="68" t="s">
        <v>9</v>
      </c>
      <c r="L421" s="69" t="s">
        <v>123</v>
      </c>
      <c r="M421" s="71" t="s">
        <v>141</v>
      </c>
      <c r="N421" s="69" t="e" vm="1">
        <v>#VALUE!</v>
      </c>
      <c r="O421" s="164">
        <v>45734</v>
      </c>
      <c r="P421" s="72" t="s">
        <v>228</v>
      </c>
      <c r="Q421" s="72" t="s">
        <v>310</v>
      </c>
      <c r="R421" s="162"/>
      <c r="S421" s="146"/>
      <c r="T421" s="68" t="s">
        <v>155</v>
      </c>
      <c r="U421" s="87"/>
      <c r="V421" s="183">
        <v>45706</v>
      </c>
      <c r="W421" s="73"/>
      <c r="X421" s="73"/>
      <c r="Y421" s="83" t="str">
        <f>IF(SUM(W421:W421)&gt;0,X421/SUM(W421:W421)*1000000,"N/A")</f>
        <v>N/A</v>
      </c>
      <c r="Z421" s="183"/>
      <c r="AA421" s="183"/>
      <c r="AB421" s="73"/>
      <c r="AC421" s="153"/>
      <c r="AD421" s="330"/>
      <c r="AE421" s="305"/>
      <c r="AF421" s="88"/>
      <c r="AG421" s="182">
        <f>YEAR(V421)</f>
        <v>2025</v>
      </c>
      <c r="AH421" s="86" t="str">
        <f>+IF(AG421=$AH$22,MONTH(V421),"")</f>
        <v/>
      </c>
      <c r="AI421" s="86">
        <f>+IF(AG421=$AI$22,MONTH(V421),"")</f>
        <v>2</v>
      </c>
      <c r="AJ421" s="86" t="str">
        <f>+IF(AG421=$AJ$22,MONTH(V421),"")</f>
        <v/>
      </c>
      <c r="AK421" s="86" t="str">
        <f>+IF(AG421=$AK$22,MONTH(V421),"")</f>
        <v/>
      </c>
      <c r="AL421" s="86"/>
      <c r="AM421" s="89"/>
      <c r="AN421" s="89"/>
      <c r="AO421" s="89"/>
      <c r="AP421" s="89"/>
      <c r="AQ421" s="89"/>
      <c r="AR421" s="89"/>
      <c r="AS421" s="89"/>
      <c r="AT421" s="89"/>
      <c r="AU421" s="89"/>
      <c r="AV421" s="89"/>
      <c r="AW421" s="86" t="str">
        <f>+IF($AG421=AW$22,MONTH($D421),"")</f>
        <v/>
      </c>
      <c r="AX421" s="86" t="str">
        <f>+IF($AG421=AX$22,MONTH($D421),"")</f>
        <v/>
      </c>
      <c r="AY421" s="89"/>
      <c r="AZ421" s="89"/>
      <c r="BA421" s="89"/>
      <c r="BB421" s="89"/>
      <c r="BC421" s="89"/>
      <c r="BD421" s="89"/>
      <c r="BE421" s="89"/>
      <c r="BF421" s="89"/>
      <c r="BG421" s="89"/>
      <c r="BH421" s="89"/>
      <c r="BI421" s="89"/>
      <c r="BJ421" s="89"/>
      <c r="BK421" s="89"/>
      <c r="BL421" s="89"/>
      <c r="BM421" s="89"/>
      <c r="BN421" s="89"/>
      <c r="BO421" s="89"/>
      <c r="BP421" s="89"/>
    </row>
    <row r="422" spans="1:68" s="378" customFormat="1" ht="45.75" hidden="1" customHeight="1">
      <c r="A422" s="204">
        <f>+IFERROR(VALUE(MID(AB422,4,4)),"")</f>
        <v>409</v>
      </c>
      <c r="B422" s="204">
        <f>VALUE(RIGHT(C422,LEN(C422)-2))</f>
        <v>2299</v>
      </c>
      <c r="C422" s="74" t="s">
        <v>1710</v>
      </c>
      <c r="D422" s="75">
        <v>45701</v>
      </c>
      <c r="E422" s="70" t="s">
        <v>353</v>
      </c>
      <c r="F422" s="70" t="s">
        <v>354</v>
      </c>
      <c r="G422" s="68" t="s">
        <v>1711</v>
      </c>
      <c r="H422" s="282" t="s">
        <v>1712</v>
      </c>
      <c r="I422" s="69" t="s">
        <v>1713</v>
      </c>
      <c r="J422" s="69"/>
      <c r="K422" s="68" t="s">
        <v>9</v>
      </c>
      <c r="L422" s="69" t="s">
        <v>120</v>
      </c>
      <c r="M422" s="71" t="s">
        <v>141</v>
      </c>
      <c r="N422" s="69" t="e" vm="1">
        <v>#VALUE!</v>
      </c>
      <c r="O422" s="84">
        <v>45706</v>
      </c>
      <c r="P422" s="72" t="s">
        <v>1714</v>
      </c>
      <c r="Q422" s="72" t="s">
        <v>623</v>
      </c>
      <c r="R422" s="162"/>
      <c r="S422" s="146" t="s">
        <v>1563</v>
      </c>
      <c r="T422" s="68" t="s">
        <v>168</v>
      </c>
      <c r="U422" s="87"/>
      <c r="V422" s="183">
        <v>45702</v>
      </c>
      <c r="W422" s="73"/>
      <c r="X422" s="73"/>
      <c r="Y422" s="83" t="str">
        <f>IF(SUM(W422:W422)&gt;0,X422/SUM(W422:W422)*1000000,"N/A")</f>
        <v>N/A</v>
      </c>
      <c r="Z422" s="183"/>
      <c r="AA422" s="183"/>
      <c r="AB422" s="73" t="s">
        <v>1715</v>
      </c>
      <c r="AC422" s="153"/>
      <c r="AD422" s="331"/>
      <c r="AE422" s="57"/>
      <c r="AF422" s="88"/>
      <c r="AG422" s="182">
        <f>YEAR(V422)</f>
        <v>2025</v>
      </c>
      <c r="AH422" s="86" t="str">
        <f>+IF(AG422=$AH$22,MONTH(V422),"")</f>
        <v/>
      </c>
      <c r="AI422" s="86">
        <f>+IF(AG422=$AI$22,MONTH(V422),"")</f>
        <v>2</v>
      </c>
      <c r="AJ422" s="86" t="str">
        <f>+IF(AG422=$AJ$22,MONTH(V422),"")</f>
        <v/>
      </c>
      <c r="AK422" s="86" t="str">
        <f>+IF(AG422=$AK$22,MONTH(V422),"")</f>
        <v/>
      </c>
      <c r="AL422" s="86" t="str">
        <f>+IF(AG422=$AL$22,MONTH(V422),"")</f>
        <v/>
      </c>
      <c r="AM422" s="86" t="str">
        <f>+IF($AG422=$AM$22,MONTH($D422),"")</f>
        <v/>
      </c>
      <c r="AN422" s="89"/>
      <c r="AO422" s="89"/>
      <c r="AP422" s="89"/>
      <c r="AQ422" s="89"/>
      <c r="AR422" s="89"/>
      <c r="AS422" s="89"/>
      <c r="AT422" s="89"/>
      <c r="AU422" s="89"/>
      <c r="AV422" s="89"/>
      <c r="AW422" s="86" t="str">
        <f>+IF($AG422=AW$22,MONTH($D422),"")</f>
        <v/>
      </c>
      <c r="AX422" s="86" t="str">
        <f>+IF($AG422=AX$22,MONTH($D422),"")</f>
        <v/>
      </c>
      <c r="AY422" s="89"/>
      <c r="AZ422" s="89"/>
      <c r="BA422" s="89"/>
      <c r="BB422" s="89"/>
      <c r="BC422" s="89"/>
      <c r="BD422" s="89"/>
      <c r="BE422" s="89"/>
      <c r="BF422" s="89"/>
      <c r="BG422" s="89"/>
      <c r="BH422" s="89"/>
      <c r="BI422" s="89"/>
      <c r="BJ422" s="89"/>
      <c r="BK422" s="89"/>
      <c r="BL422" s="89"/>
      <c r="BM422" s="89"/>
      <c r="BN422" s="89"/>
      <c r="BO422" s="89"/>
      <c r="BP422" s="89"/>
    </row>
    <row r="423" spans="1:68" s="378" customFormat="1" ht="45.75" hidden="1" customHeight="1">
      <c r="A423" s="204" t="str">
        <f>+IFERROR(VALUE(MID(AB423,4,4)),"")</f>
        <v/>
      </c>
      <c r="B423" s="204">
        <f>VALUE(RIGHT(C423,LEN(C423)-2))</f>
        <v>2298</v>
      </c>
      <c r="C423" s="74" t="s">
        <v>1716</v>
      </c>
      <c r="D423" s="75">
        <v>45702</v>
      </c>
      <c r="E423" s="70" t="s">
        <v>479</v>
      </c>
      <c r="F423" s="70" t="s">
        <v>479</v>
      </c>
      <c r="G423" s="68" t="s">
        <v>1717</v>
      </c>
      <c r="H423" s="307" t="s">
        <v>233</v>
      </c>
      <c r="I423" s="162" t="s">
        <v>1718</v>
      </c>
      <c r="J423" s="162"/>
      <c r="K423" s="70" t="s">
        <v>13</v>
      </c>
      <c r="L423" s="69" t="s">
        <v>129</v>
      </c>
      <c r="M423" s="71" t="s">
        <v>113</v>
      </c>
      <c r="N423" s="69" t="e" vm="2">
        <v>#VALUE!</v>
      </c>
      <c r="O423" s="164">
        <v>45708</v>
      </c>
      <c r="P423" s="72" t="s">
        <v>483</v>
      </c>
      <c r="Q423" s="72" t="s">
        <v>229</v>
      </c>
      <c r="R423" s="162"/>
      <c r="S423" s="146"/>
      <c r="T423" s="68" t="s">
        <v>165</v>
      </c>
      <c r="U423" s="87"/>
      <c r="V423" s="183">
        <v>45820</v>
      </c>
      <c r="W423" s="150"/>
      <c r="X423" s="150"/>
      <c r="Y423" s="83" t="str">
        <f>IF(SUM(W423:W423)&gt;0,X423/SUM(W423:W423)*1000000,"N/A")</f>
        <v>N/A</v>
      </c>
      <c r="Z423" s="183"/>
      <c r="AA423" s="183"/>
      <c r="AB423" s="73"/>
      <c r="AC423" s="153"/>
      <c r="AD423" s="330"/>
      <c r="AE423" s="305"/>
      <c r="AF423" s="88"/>
      <c r="AG423" s="182">
        <f>YEAR(V423)</f>
        <v>2025</v>
      </c>
      <c r="AH423" s="86" t="str">
        <f>+IF(AG423=$AH$22,MONTH(V423),"")</f>
        <v/>
      </c>
      <c r="AI423" s="86">
        <f>+IF(AG423=$AI$22,MONTH(V423),"")</f>
        <v>6</v>
      </c>
      <c r="AJ423" s="86" t="str">
        <f>+IF(AG423=$AJ$22,MONTH(V423),"")</f>
        <v/>
      </c>
      <c r="AK423" s="86" t="str">
        <f>+IF(AG423=$AK$22,MONTH(V423),"")</f>
        <v/>
      </c>
      <c r="AL423" s="86"/>
      <c r="AM423" s="89"/>
      <c r="AN423" s="89"/>
      <c r="AO423" s="89"/>
      <c r="AP423" s="89"/>
      <c r="AQ423" s="89"/>
      <c r="AR423" s="89"/>
      <c r="AS423" s="89"/>
      <c r="AT423" s="89"/>
      <c r="AU423" s="89"/>
      <c r="AV423" s="89"/>
      <c r="AW423" s="86" t="str">
        <f>+IF($AG423=AW$22,MONTH($D423),"")</f>
        <v/>
      </c>
      <c r="AX423" s="86" t="str">
        <f>+IF($AG423=AX$22,MONTH($D423),"")</f>
        <v/>
      </c>
      <c r="AY423" s="89"/>
      <c r="AZ423" s="89"/>
      <c r="BA423" s="89"/>
      <c r="BB423" s="89"/>
      <c r="BC423" s="89"/>
      <c r="BD423" s="89"/>
      <c r="BE423" s="89"/>
      <c r="BF423" s="89"/>
      <c r="BG423" s="89"/>
      <c r="BH423" s="89"/>
      <c r="BI423" s="89"/>
      <c r="BJ423" s="89"/>
      <c r="BK423" s="89"/>
      <c r="BL423" s="89"/>
      <c r="BM423" s="89"/>
      <c r="BN423" s="89"/>
      <c r="BO423" s="89"/>
      <c r="BP423" s="89"/>
    </row>
    <row r="424" spans="1:68" s="56" customFormat="1" ht="21.75" hidden="1" customHeight="1">
      <c r="A424" s="204" t="str">
        <f>+IFERROR(VALUE(MID(AB424,4,4)),"")</f>
        <v/>
      </c>
      <c r="B424" s="204">
        <f>VALUE(RIGHT(C424,LEN(C424)-2))</f>
        <v>2297</v>
      </c>
      <c r="C424" s="74" t="s">
        <v>1719</v>
      </c>
      <c r="D424" s="75">
        <v>45702</v>
      </c>
      <c r="E424" s="70" t="s">
        <v>479</v>
      </c>
      <c r="F424" s="70" t="s">
        <v>479</v>
      </c>
      <c r="G424" s="68" t="s">
        <v>1717</v>
      </c>
      <c r="H424" s="307" t="s">
        <v>233</v>
      </c>
      <c r="I424" s="162" t="s">
        <v>1720</v>
      </c>
      <c r="J424" s="162"/>
      <c r="K424" s="70" t="s">
        <v>13</v>
      </c>
      <c r="L424" s="69" t="s">
        <v>129</v>
      </c>
      <c r="M424" s="71" t="s">
        <v>113</v>
      </c>
      <c r="N424" s="69" t="e" vm="2">
        <v>#VALUE!</v>
      </c>
      <c r="O424" s="164">
        <v>45708</v>
      </c>
      <c r="P424" s="72" t="s">
        <v>483</v>
      </c>
      <c r="Q424" s="72" t="s">
        <v>220</v>
      </c>
      <c r="R424" s="162"/>
      <c r="S424" s="146"/>
      <c r="T424" s="68" t="s">
        <v>165</v>
      </c>
      <c r="U424" s="87"/>
      <c r="V424" s="183">
        <v>45820</v>
      </c>
      <c r="W424" s="150"/>
      <c r="X424" s="150"/>
      <c r="Y424" s="83" t="str">
        <f>IF(SUM(W424:W424)&gt;0,X424/SUM(W424:W424)*1000000,"N/A")</f>
        <v>N/A</v>
      </c>
      <c r="Z424" s="183"/>
      <c r="AA424" s="183"/>
      <c r="AB424" s="73"/>
      <c r="AC424" s="153"/>
      <c r="AD424" s="330"/>
      <c r="AE424" s="305"/>
      <c r="AF424" s="88"/>
      <c r="AG424" s="182">
        <f>YEAR(V424)</f>
        <v>2025</v>
      </c>
      <c r="AH424" s="86" t="str">
        <f>+IF(AG424=$AH$22,MONTH(V424),"")</f>
        <v/>
      </c>
      <c r="AI424" s="86">
        <f>+IF(AG424=$AI$22,MONTH(V424),"")</f>
        <v>6</v>
      </c>
      <c r="AJ424" s="86" t="str">
        <f>+IF(AG424=$AJ$22,MONTH(V424),"")</f>
        <v/>
      </c>
      <c r="AK424" s="86" t="str">
        <f>+IF(AG424=$AK$22,MONTH(V424),"")</f>
        <v/>
      </c>
      <c r="AL424" s="86"/>
      <c r="AM424" s="89"/>
      <c r="AN424" s="89"/>
      <c r="AO424" s="89"/>
      <c r="AP424" s="89"/>
      <c r="AQ424" s="89"/>
      <c r="AR424" s="89"/>
      <c r="AS424" s="89"/>
      <c r="AT424" s="89"/>
      <c r="AU424" s="89"/>
      <c r="AV424" s="89"/>
      <c r="AW424" s="86" t="str">
        <f>+IF($AG424=AW$22,MONTH($D424),"")</f>
        <v/>
      </c>
      <c r="AX424" s="86" t="str">
        <f>+IF($AG424=AX$22,MONTH($D424),"")</f>
        <v/>
      </c>
      <c r="AY424" s="89"/>
      <c r="AZ424" s="89"/>
      <c r="BA424" s="89"/>
      <c r="BB424" s="89"/>
      <c r="BC424" s="89"/>
      <c r="BD424" s="89"/>
      <c r="BE424" s="89"/>
      <c r="BF424" s="89"/>
      <c r="BG424" s="89"/>
      <c r="BH424" s="89"/>
      <c r="BI424" s="89"/>
      <c r="BJ424" s="89"/>
      <c r="BK424" s="89"/>
      <c r="BL424" s="89"/>
      <c r="BM424" s="89"/>
      <c r="BN424" s="89"/>
      <c r="BO424" s="89"/>
      <c r="BP424" s="89"/>
    </row>
    <row r="425" spans="1:68" s="56" customFormat="1" ht="31.5" hidden="1" customHeight="1">
      <c r="A425" s="204" t="str">
        <f>+IFERROR(VALUE(MID(AB425,4,4)),"")</f>
        <v/>
      </c>
      <c r="B425" s="204">
        <f>VALUE(RIGHT(C425,LEN(C425)-2))</f>
        <v>2296</v>
      </c>
      <c r="C425" s="74" t="s">
        <v>1721</v>
      </c>
      <c r="D425" s="75">
        <v>45701</v>
      </c>
      <c r="E425" s="70" t="s">
        <v>685</v>
      </c>
      <c r="F425" s="70" t="s">
        <v>685</v>
      </c>
      <c r="G425" s="68" t="s">
        <v>1722</v>
      </c>
      <c r="H425" s="307" t="s">
        <v>1691</v>
      </c>
      <c r="I425" s="69" t="s">
        <v>1723</v>
      </c>
      <c r="J425" s="69"/>
      <c r="K425" s="68" t="s">
        <v>212</v>
      </c>
      <c r="L425" s="69" t="s">
        <v>123</v>
      </c>
      <c r="M425" s="71" t="s">
        <v>141</v>
      </c>
      <c r="N425" s="69" t="e" vm="1">
        <v>#VALUE!</v>
      </c>
      <c r="O425" s="84">
        <v>45707</v>
      </c>
      <c r="P425" s="72" t="s">
        <v>424</v>
      </c>
      <c r="Q425" s="72" t="s">
        <v>259</v>
      </c>
      <c r="R425" s="162"/>
      <c r="S425" s="146"/>
      <c r="T425" s="68" t="s">
        <v>3</v>
      </c>
      <c r="U425" s="87"/>
      <c r="V425" s="80">
        <v>45702</v>
      </c>
      <c r="W425" s="73" t="s">
        <v>134</v>
      </c>
      <c r="X425" s="73" t="s">
        <v>134</v>
      </c>
      <c r="Y425" s="83" t="str">
        <f>IF(SUM(W425:W425)&gt;0,X425/SUM(W425:W425)*1000000,"N/A")</f>
        <v>N/A</v>
      </c>
      <c r="Z425" s="80"/>
      <c r="AA425" s="80"/>
      <c r="AB425" s="150"/>
      <c r="AC425" s="153"/>
      <c r="AD425" s="330"/>
      <c r="AE425" s="305"/>
      <c r="AF425" s="88"/>
      <c r="AG425" s="182">
        <f>YEAR(V425)</f>
        <v>2025</v>
      </c>
      <c r="AH425" s="86" t="str">
        <f>+IF(AG425=$AH$22,MONTH(V425),"")</f>
        <v/>
      </c>
      <c r="AI425" s="86">
        <f>+IF(AG425=$AI$22,MONTH(V425),"")</f>
        <v>2</v>
      </c>
      <c r="AJ425" s="86" t="str">
        <f>+IF(AG425=$AJ$22,MONTH(V425),"")</f>
        <v/>
      </c>
      <c r="AK425" s="86" t="str">
        <f>+IF(AG425=$AK$22,MONTH(V425),"")</f>
        <v/>
      </c>
      <c r="AL425" s="86"/>
      <c r="AM425" s="89"/>
      <c r="AN425" s="89"/>
      <c r="AO425" s="89"/>
      <c r="AP425" s="89"/>
      <c r="AQ425" s="89"/>
      <c r="AR425" s="89"/>
      <c r="AS425" s="89"/>
      <c r="AT425" s="89"/>
      <c r="AU425" s="89"/>
      <c r="AV425" s="89"/>
      <c r="AW425" s="86" t="str">
        <f>+IF($AG425=AW$22,MONTH($D425),"")</f>
        <v/>
      </c>
      <c r="AX425" s="86" t="str">
        <f>+IF($AG425=AX$22,MONTH($D425),"")</f>
        <v/>
      </c>
      <c r="AY425" s="89"/>
      <c r="AZ425" s="89"/>
      <c r="BA425" s="89"/>
      <c r="BB425" s="89"/>
      <c r="BC425" s="89"/>
      <c r="BD425" s="89"/>
      <c r="BE425" s="89"/>
      <c r="BF425" s="89"/>
      <c r="BG425" s="89"/>
      <c r="BH425" s="89"/>
      <c r="BI425" s="89"/>
      <c r="BJ425" s="89"/>
      <c r="BK425" s="89"/>
      <c r="BL425" s="89"/>
      <c r="BM425" s="89"/>
      <c r="BN425" s="89"/>
      <c r="BO425" s="89"/>
      <c r="BP425" s="89"/>
    </row>
    <row r="426" spans="1:68" s="56" customFormat="1" ht="31.5" hidden="1" customHeight="1">
      <c r="A426" s="204" t="str">
        <f>+IFERROR(VALUE(MID(AB426,4,4)),"")</f>
        <v/>
      </c>
      <c r="B426" s="204">
        <f>VALUE(RIGHT(C426,LEN(C426)-2))</f>
        <v>2295</v>
      </c>
      <c r="C426" s="74" t="s">
        <v>1724</v>
      </c>
      <c r="D426" s="75">
        <v>45700</v>
      </c>
      <c r="E426" s="70" t="s">
        <v>1725</v>
      </c>
      <c r="F426" s="70" t="s">
        <v>1726</v>
      </c>
      <c r="G426" s="68" t="s">
        <v>1727</v>
      </c>
      <c r="H426" s="307" t="s">
        <v>1728</v>
      </c>
      <c r="I426" s="69" t="s">
        <v>1729</v>
      </c>
      <c r="J426" s="69"/>
      <c r="K426" s="68" t="s">
        <v>13</v>
      </c>
      <c r="L426" s="69" t="s">
        <v>120</v>
      </c>
      <c r="M426" s="71" t="s">
        <v>141</v>
      </c>
      <c r="N426" s="69" t="e" vm="1">
        <v>#VALUE!</v>
      </c>
      <c r="O426" s="84">
        <v>45712</v>
      </c>
      <c r="P426" s="72" t="s">
        <v>289</v>
      </c>
      <c r="Q426" s="72" t="s">
        <v>229</v>
      </c>
      <c r="R426" s="162"/>
      <c r="S426" s="146"/>
      <c r="T426" s="68" t="s">
        <v>165</v>
      </c>
      <c r="U426" s="87"/>
      <c r="V426" s="80">
        <v>45700</v>
      </c>
      <c r="W426" s="73">
        <v>15768</v>
      </c>
      <c r="X426" s="73">
        <v>710</v>
      </c>
      <c r="Y426" s="169">
        <f>IF(SUM(W426:W426)&gt;0,X426/SUM(W426:W426)*1000000,"N/A")</f>
        <v>45027.904616945707</v>
      </c>
      <c r="Z426" s="80"/>
      <c r="AA426" s="80"/>
      <c r="AB426" s="73"/>
      <c r="AC426" s="153"/>
      <c r="AD426" s="330"/>
      <c r="AE426" s="305"/>
      <c r="AF426" s="88"/>
      <c r="AG426" s="182">
        <f>YEAR(D426)</f>
        <v>2025</v>
      </c>
      <c r="AH426" s="86" t="str">
        <f>+IF(AG426=$AH$22,MONTH(V426),"")</f>
        <v/>
      </c>
      <c r="AI426" s="86">
        <f>+IF(AG426=$AI$22,MONTH(V426),"")</f>
        <v>2</v>
      </c>
      <c r="AJ426" s="86" t="str">
        <f>+IF(AG426=$AJ$22,MONTH(V426),"")</f>
        <v/>
      </c>
      <c r="AK426" s="86" t="str">
        <f>+IF(AG426=$AK$22,MONTH(V426),"")</f>
        <v/>
      </c>
      <c r="AL426" s="86" t="str">
        <f>+IF(AG426=$AL$22,MONTH(V426),"")</f>
        <v/>
      </c>
      <c r="AM426" s="86" t="str">
        <f>+IF($AG426=$AM$22,MONTH($D426),"")</f>
        <v/>
      </c>
      <c r="AN426" s="89" t="str">
        <f>+IF($AG426=AN$22,MONTH($D426),"")</f>
        <v/>
      </c>
      <c r="AO426" s="89" t="str">
        <f>+IF($AG426=AO$22,MONTH($D426),"")</f>
        <v/>
      </c>
      <c r="AP426" s="89" t="str">
        <f>+IF($AG426=AP$22,MONTH($D426),"")</f>
        <v/>
      </c>
      <c r="AQ426" s="89" t="str">
        <f>+IF($AG426=AQ$22,MONTH($D426),"")</f>
        <v/>
      </c>
      <c r="AR426" s="89" t="str">
        <f>+IF($AG426=AR$22,MONTH($D426),"")</f>
        <v/>
      </c>
      <c r="AS426" s="89" t="str">
        <f>+IF($AG426=AS$22,MONTH($D426),"")</f>
        <v/>
      </c>
      <c r="AT426" s="89" t="str">
        <f>+IF($AG426=AT$22,MONTH($D426),"")</f>
        <v/>
      </c>
      <c r="AU426" s="89" t="str">
        <f>+IF($AG426=AU$22,MONTH($D426),"")</f>
        <v/>
      </c>
      <c r="AV426" s="89" t="str">
        <f>+IF($AG426=AV$22,MONTH($D426),"")</f>
        <v/>
      </c>
      <c r="AW426" s="86" t="str">
        <f>+IF($AG426=AW$22,MONTH($D426),"")</f>
        <v/>
      </c>
      <c r="AX426" s="86" t="str">
        <f>+IF($AG426=AX$22,MONTH($D426),"")</f>
        <v/>
      </c>
      <c r="AY426" s="89"/>
      <c r="AZ426" s="89"/>
      <c r="BA426" s="89"/>
      <c r="BB426" s="89"/>
      <c r="BC426" s="89"/>
      <c r="BD426" s="89"/>
      <c r="BE426" s="89"/>
      <c r="BF426" s="89"/>
      <c r="BG426" s="89"/>
      <c r="BH426" s="89"/>
      <c r="BI426" s="89"/>
      <c r="BJ426" s="89"/>
      <c r="BK426" s="89"/>
      <c r="BL426" s="89"/>
      <c r="BM426" s="89"/>
      <c r="BN426" s="89"/>
      <c r="BO426" s="89"/>
      <c r="BP426" s="89"/>
    </row>
    <row r="427" spans="1:68" s="374" customFormat="1" ht="60" hidden="1" customHeight="1">
      <c r="A427" s="204">
        <f>+IFERROR(VALUE(MID(AB427,4,4)),"")</f>
        <v>390</v>
      </c>
      <c r="B427" s="204">
        <f>VALUE(RIGHT(C427,LEN(C427)-2))</f>
        <v>2294</v>
      </c>
      <c r="C427" s="74" t="s">
        <v>1730</v>
      </c>
      <c r="D427" s="75">
        <v>45700</v>
      </c>
      <c r="E427" s="70" t="s">
        <v>262</v>
      </c>
      <c r="F427" s="70" t="s">
        <v>270</v>
      </c>
      <c r="G427" s="68" t="s">
        <v>1035</v>
      </c>
      <c r="H427" s="307" t="s">
        <v>1036</v>
      </c>
      <c r="I427" s="69" t="s">
        <v>1731</v>
      </c>
      <c r="J427" s="69"/>
      <c r="K427" s="68" t="s">
        <v>13</v>
      </c>
      <c r="L427" s="69" t="s">
        <v>120</v>
      </c>
      <c r="M427" s="71" t="s">
        <v>141</v>
      </c>
      <c r="N427" s="69" t="e" vm="1">
        <v>#VALUE!</v>
      </c>
      <c r="O427" s="84">
        <v>45741</v>
      </c>
      <c r="P427" s="72" t="s">
        <v>402</v>
      </c>
      <c r="Q427" s="72" t="s">
        <v>259</v>
      </c>
      <c r="R427" s="162"/>
      <c r="S427" s="146"/>
      <c r="T427" s="68" t="s">
        <v>3</v>
      </c>
      <c r="U427" s="87"/>
      <c r="V427" s="80">
        <v>45942</v>
      </c>
      <c r="W427" s="73">
        <v>630</v>
      </c>
      <c r="X427" s="73">
        <v>28.687000000000001</v>
      </c>
      <c r="Y427" s="169">
        <f>IF(SUM(W427:W427)&gt;0,X427/SUM(W427:W427)*1000000,"N/A")</f>
        <v>45534.920634920636</v>
      </c>
      <c r="Z427" s="80"/>
      <c r="AA427" s="80"/>
      <c r="AB427" s="73" t="s">
        <v>1732</v>
      </c>
      <c r="AC427" s="153"/>
      <c r="AD427" s="330"/>
      <c r="AE427" s="305"/>
      <c r="AF427" s="88"/>
      <c r="AG427" s="182">
        <f>YEAR(D427)</f>
        <v>2025</v>
      </c>
      <c r="AH427" s="86" t="str">
        <f>+IF(AG427=$AH$22,MONTH(V427),"")</f>
        <v/>
      </c>
      <c r="AI427" s="86">
        <f>+IF(AG427=$AI$22,MONTH(V427),"")</f>
        <v>10</v>
      </c>
      <c r="AJ427" s="86" t="str">
        <f>+IF(AG427=$AJ$22,MONTH(V427),"")</f>
        <v/>
      </c>
      <c r="AK427" s="86" t="str">
        <f>+IF(AG427=$AK$22,MONTH(V427),"")</f>
        <v/>
      </c>
      <c r="AL427" s="86" t="str">
        <f>+IF(AG427=$AL$22,MONTH(V427),"")</f>
        <v/>
      </c>
      <c r="AM427" s="86" t="str">
        <f>+IF($AG427=$AM$22,MONTH($D427),"")</f>
        <v/>
      </c>
      <c r="AN427" s="89" t="str">
        <f>+IF($AG427=AN$22,MONTH($D427),"")</f>
        <v/>
      </c>
      <c r="AO427" s="89" t="str">
        <f>+IF($AG427=AO$22,MONTH($D427),"")</f>
        <v/>
      </c>
      <c r="AP427" s="89" t="str">
        <f>+IF($AG427=AP$22,MONTH($D427),"")</f>
        <v/>
      </c>
      <c r="AQ427" s="89" t="str">
        <f>+IF($AG427=AQ$22,MONTH($D427),"")</f>
        <v/>
      </c>
      <c r="AR427" s="89" t="str">
        <f>+IF($AG427=AR$22,MONTH($D427),"")</f>
        <v/>
      </c>
      <c r="AS427" s="89" t="str">
        <f>+IF($AG427=AS$22,MONTH($D427),"")</f>
        <v/>
      </c>
      <c r="AT427" s="89" t="str">
        <f>+IF($AG427=AT$22,MONTH($D427),"")</f>
        <v/>
      </c>
      <c r="AU427" s="89" t="str">
        <f>+IF($AG427=AU$22,MONTH($D427),"")</f>
        <v/>
      </c>
      <c r="AV427" s="89" t="str">
        <f>+IF($AG427=AV$22,MONTH($D427),"")</f>
        <v/>
      </c>
      <c r="AW427" s="86" t="str">
        <f>+IF($AG427=AW$22,MONTH($D427),"")</f>
        <v/>
      </c>
      <c r="AX427" s="86" t="str">
        <f>+IF($AG427=AX$22,MONTH($D427),"")</f>
        <v/>
      </c>
      <c r="AY427" s="89"/>
      <c r="AZ427" s="89"/>
      <c r="BA427" s="89"/>
      <c r="BB427" s="89"/>
      <c r="BC427" s="89"/>
      <c r="BD427" s="89"/>
      <c r="BE427" s="89"/>
      <c r="BF427" s="89"/>
      <c r="BG427" s="89"/>
      <c r="BH427" s="89"/>
      <c r="BI427" s="89"/>
      <c r="BJ427" s="89"/>
      <c r="BK427" s="89"/>
      <c r="BL427" s="89"/>
      <c r="BM427" s="89"/>
      <c r="BN427" s="89"/>
      <c r="BO427" s="89"/>
      <c r="BP427" s="89"/>
    </row>
    <row r="428" spans="1:68" s="320" customFormat="1" ht="45.75" hidden="1" customHeight="1">
      <c r="A428" s="204">
        <f>+IFERROR(VALUE(MID(AB428,4,4)),"")</f>
        <v>384</v>
      </c>
      <c r="B428" s="204">
        <f>VALUE(RIGHT(C428,LEN(C428)-2))</f>
        <v>2293</v>
      </c>
      <c r="C428" s="74" t="s">
        <v>1733</v>
      </c>
      <c r="D428" s="75">
        <v>45694</v>
      </c>
      <c r="E428" s="70" t="s">
        <v>332</v>
      </c>
      <c r="F428" s="70" t="s">
        <v>332</v>
      </c>
      <c r="G428" s="68" t="s">
        <v>333</v>
      </c>
      <c r="H428" s="304" t="s">
        <v>334</v>
      </c>
      <c r="I428" s="162" t="s">
        <v>1734</v>
      </c>
      <c r="J428" s="162"/>
      <c r="K428" s="68" t="s">
        <v>27</v>
      </c>
      <c r="L428" s="69" t="s">
        <v>129</v>
      </c>
      <c r="M428" s="71" t="s">
        <v>141</v>
      </c>
      <c r="N428" s="69" t="e" vm="1">
        <v>#VALUE!</v>
      </c>
      <c r="O428" s="164">
        <v>45694</v>
      </c>
      <c r="P428" s="72" t="s">
        <v>737</v>
      </c>
      <c r="Q428" s="72" t="s">
        <v>229</v>
      </c>
      <c r="R428" s="162"/>
      <c r="S428" s="146"/>
      <c r="T428" s="68" t="s">
        <v>3</v>
      </c>
      <c r="U428" s="87"/>
      <c r="V428" s="183">
        <v>45735</v>
      </c>
      <c r="W428" s="73">
        <v>612</v>
      </c>
      <c r="X428" s="214">
        <v>26</v>
      </c>
      <c r="Y428" s="83">
        <f>IF(SUM(W428:W428)&gt;0,X428/SUM(W428:W428)*1000000,"N/A")</f>
        <v>42483.660130718956</v>
      </c>
      <c r="Z428" s="183"/>
      <c r="AA428" s="183"/>
      <c r="AB428" s="73" t="s">
        <v>1735</v>
      </c>
      <c r="AC428" s="153"/>
      <c r="AD428" s="330"/>
      <c r="AE428" s="305"/>
      <c r="AF428" s="88"/>
      <c r="AG428" s="182">
        <f>YEAR(V428)</f>
        <v>2025</v>
      </c>
      <c r="AH428" s="86" t="str">
        <f>+IF(AG428=$AH$22,MONTH(V428),"")</f>
        <v/>
      </c>
      <c r="AI428" s="86">
        <f>+IF(AG428=$AI$22,MONTH(V428),"")</f>
        <v>3</v>
      </c>
      <c r="AJ428" s="86" t="str">
        <f>+IF(AG428=$AJ$22,MONTH(V428),"")</f>
        <v/>
      </c>
      <c r="AK428" s="86" t="str">
        <f>+IF(AG428=$AK$22,MONTH(V428),"")</f>
        <v/>
      </c>
      <c r="AL428" s="86"/>
      <c r="AM428" s="89"/>
      <c r="AN428" s="89"/>
      <c r="AO428" s="89"/>
      <c r="AP428" s="89"/>
      <c r="AQ428" s="89"/>
      <c r="AR428" s="89"/>
      <c r="AS428" s="89"/>
      <c r="AT428" s="89"/>
      <c r="AU428" s="89"/>
      <c r="AV428" s="89"/>
      <c r="AW428" s="86" t="str">
        <f>+IF($AG428=AW$22,MONTH($D428),"")</f>
        <v/>
      </c>
      <c r="AX428" s="86" t="str">
        <f>+IF($AG428=AX$22,MONTH($D428),"")</f>
        <v/>
      </c>
      <c r="AY428" s="89"/>
      <c r="AZ428" s="89"/>
      <c r="BA428" s="89"/>
      <c r="BB428" s="89"/>
      <c r="BC428" s="89"/>
      <c r="BD428" s="89"/>
      <c r="BE428" s="89"/>
      <c r="BF428" s="89"/>
      <c r="BG428" s="89"/>
      <c r="BH428" s="89"/>
      <c r="BI428" s="89"/>
      <c r="BJ428" s="89"/>
      <c r="BK428" s="89"/>
      <c r="BL428" s="89"/>
      <c r="BM428" s="89"/>
      <c r="BN428" s="89"/>
      <c r="BO428" s="89"/>
      <c r="BP428" s="89"/>
    </row>
    <row r="429" spans="1:68" s="320" customFormat="1" ht="45.75" hidden="1" customHeight="1">
      <c r="A429" s="204" t="str">
        <f>+IFERROR(VALUE(MID(AB429,4,4)),"")</f>
        <v/>
      </c>
      <c r="B429" s="204">
        <f>VALUE(RIGHT(C429,LEN(C429)-2))</f>
        <v>2292</v>
      </c>
      <c r="C429" s="74" t="s">
        <v>1736</v>
      </c>
      <c r="D429" s="75">
        <v>45693</v>
      </c>
      <c r="E429" s="70" t="s">
        <v>479</v>
      </c>
      <c r="F429" s="70" t="s">
        <v>479</v>
      </c>
      <c r="G429" s="68" t="s">
        <v>1737</v>
      </c>
      <c r="H429" s="307" t="s">
        <v>1738</v>
      </c>
      <c r="I429" s="162" t="s">
        <v>1739</v>
      </c>
      <c r="J429" s="162"/>
      <c r="K429" s="68" t="s">
        <v>13</v>
      </c>
      <c r="L429" s="69" t="s">
        <v>129</v>
      </c>
      <c r="M429" s="71" t="s">
        <v>113</v>
      </c>
      <c r="N429" s="69" t="e" vm="2">
        <v>#VALUE!</v>
      </c>
      <c r="O429" s="164">
        <v>45702</v>
      </c>
      <c r="P429" s="72" t="s">
        <v>483</v>
      </c>
      <c r="Q429" s="72" t="s">
        <v>694</v>
      </c>
      <c r="R429" s="162"/>
      <c r="S429" s="146"/>
      <c r="T429" s="68" t="s">
        <v>165</v>
      </c>
      <c r="U429" s="87"/>
      <c r="V429" s="183">
        <v>45820</v>
      </c>
      <c r="W429" s="150">
        <v>3082</v>
      </c>
      <c r="X429" s="150">
        <v>119</v>
      </c>
      <c r="Y429" s="83">
        <f>IF(SUM(W429:W429)&gt;0,X429/SUM(W429:W429)*1000000,"N/A")</f>
        <v>38611.291369240753</v>
      </c>
      <c r="Z429" s="183"/>
      <c r="AA429" s="183"/>
      <c r="AB429" s="73"/>
      <c r="AC429" s="153"/>
      <c r="AD429" s="330"/>
      <c r="AE429" s="305"/>
      <c r="AF429" s="88"/>
      <c r="AG429" s="182">
        <f>YEAR(V429)</f>
        <v>2025</v>
      </c>
      <c r="AH429" s="86" t="str">
        <f>+IF(AG429=$AH$22,MONTH(V429),"")</f>
        <v/>
      </c>
      <c r="AI429" s="86">
        <f>+IF(AG429=$AI$22,MONTH(V429),"")</f>
        <v>6</v>
      </c>
      <c r="AJ429" s="86" t="str">
        <f>+IF(AG429=$AJ$22,MONTH(V429),"")</f>
        <v/>
      </c>
      <c r="AK429" s="86" t="str">
        <f>+IF(AG429=$AK$22,MONTH(V429),"")</f>
        <v/>
      </c>
      <c r="AL429" s="86"/>
      <c r="AM429" s="89"/>
      <c r="AN429" s="89"/>
      <c r="AO429" s="89"/>
      <c r="AP429" s="89"/>
      <c r="AQ429" s="89"/>
      <c r="AR429" s="89"/>
      <c r="AS429" s="89"/>
      <c r="AT429" s="89"/>
      <c r="AU429" s="89"/>
      <c r="AV429" s="89"/>
      <c r="AW429" s="86" t="str">
        <f>+IF($AG429=AW$22,MONTH($D429),"")</f>
        <v/>
      </c>
      <c r="AX429" s="86" t="str">
        <f>+IF($AG429=AX$22,MONTH($D429),"")</f>
        <v/>
      </c>
      <c r="AY429" s="89"/>
      <c r="AZ429" s="89"/>
      <c r="BA429" s="89"/>
      <c r="BB429" s="89"/>
      <c r="BC429" s="89"/>
      <c r="BD429" s="89"/>
      <c r="BE429" s="89"/>
      <c r="BF429" s="89"/>
      <c r="BG429" s="89"/>
      <c r="BH429" s="89"/>
      <c r="BI429" s="89"/>
      <c r="BJ429" s="89"/>
      <c r="BK429" s="89"/>
      <c r="BL429" s="89"/>
      <c r="BM429" s="89"/>
      <c r="BN429" s="89"/>
      <c r="BO429" s="89"/>
      <c r="BP429" s="89"/>
    </row>
    <row r="430" spans="1:68" s="56" customFormat="1" ht="30" hidden="1" customHeight="1">
      <c r="A430" s="204" t="str">
        <f>+IFERROR(VALUE(MID(AB430,4,4)),"")</f>
        <v/>
      </c>
      <c r="B430" s="204">
        <f>VALUE(RIGHT(C430,LEN(C430)-2))</f>
        <v>2291</v>
      </c>
      <c r="C430" s="74" t="s">
        <v>1740</v>
      </c>
      <c r="D430" s="75">
        <v>45693</v>
      </c>
      <c r="E430" s="70" t="s">
        <v>479</v>
      </c>
      <c r="F430" s="70" t="s">
        <v>479</v>
      </c>
      <c r="G430" s="68" t="s">
        <v>1741</v>
      </c>
      <c r="H430" s="307" t="s">
        <v>1742</v>
      </c>
      <c r="I430" s="162" t="s">
        <v>1743</v>
      </c>
      <c r="J430" s="162"/>
      <c r="K430" s="68" t="s">
        <v>13</v>
      </c>
      <c r="L430" s="69" t="s">
        <v>129</v>
      </c>
      <c r="M430" s="71" t="s">
        <v>113</v>
      </c>
      <c r="N430" s="69" t="e" vm="2">
        <v>#VALUE!</v>
      </c>
      <c r="O430" s="164">
        <v>45702</v>
      </c>
      <c r="P430" s="72" t="s">
        <v>483</v>
      </c>
      <c r="Q430" s="72" t="s">
        <v>694</v>
      </c>
      <c r="R430" s="162"/>
      <c r="S430" s="146"/>
      <c r="T430" s="68" t="s">
        <v>165</v>
      </c>
      <c r="U430" s="87"/>
      <c r="V430" s="183">
        <v>45820</v>
      </c>
      <c r="W430" s="226"/>
      <c r="X430" s="226"/>
      <c r="Y430" s="83" t="str">
        <f>IF(SUM(W430:W430)&gt;0,X430/SUM(W430:W430)*1000000,"N/A")</f>
        <v>N/A</v>
      </c>
      <c r="Z430" s="183"/>
      <c r="AA430" s="183"/>
      <c r="AB430" s="73"/>
      <c r="AC430" s="153"/>
      <c r="AD430" s="330"/>
      <c r="AE430" s="305"/>
      <c r="AF430" s="88"/>
      <c r="AG430" s="182">
        <f>YEAR(V430)</f>
        <v>2025</v>
      </c>
      <c r="AH430" s="86" t="str">
        <f>+IF(AG430=$AH$22,MONTH(V430),"")</f>
        <v/>
      </c>
      <c r="AI430" s="86">
        <f>+IF(AG430=$AI$22,MONTH(V430),"")</f>
        <v>6</v>
      </c>
      <c r="AJ430" s="86" t="str">
        <f>+IF(AG430=$AJ$22,MONTH(V430),"")</f>
        <v/>
      </c>
      <c r="AK430" s="86" t="str">
        <f>+IF(AG430=$AK$22,MONTH(V430),"")</f>
        <v/>
      </c>
      <c r="AL430" s="86"/>
      <c r="AM430" s="89"/>
      <c r="AN430" s="89"/>
      <c r="AO430" s="89"/>
      <c r="AP430" s="89"/>
      <c r="AQ430" s="89"/>
      <c r="AR430" s="89"/>
      <c r="AS430" s="89"/>
      <c r="AT430" s="89"/>
      <c r="AU430" s="89"/>
      <c r="AV430" s="89"/>
      <c r="AW430" s="86" t="str">
        <f>+IF($AG430=AW$22,MONTH($D430),"")</f>
        <v/>
      </c>
      <c r="AX430" s="86" t="str">
        <f>+IF($AG430=AX$22,MONTH($D430),"")</f>
        <v/>
      </c>
      <c r="AY430" s="89"/>
      <c r="AZ430" s="89"/>
      <c r="BA430" s="89"/>
      <c r="BB430" s="89"/>
      <c r="BC430" s="89"/>
      <c r="BD430" s="89"/>
      <c r="BE430" s="89"/>
      <c r="BF430" s="89"/>
      <c r="BG430" s="89"/>
      <c r="BH430" s="89"/>
      <c r="BI430" s="89"/>
      <c r="BJ430" s="89"/>
      <c r="BK430" s="89"/>
      <c r="BL430" s="89"/>
      <c r="BM430" s="89"/>
      <c r="BN430" s="89"/>
      <c r="BO430" s="89"/>
      <c r="BP430" s="89"/>
    </row>
    <row r="431" spans="1:68" s="56" customFormat="1" ht="31.5" hidden="1" customHeight="1">
      <c r="A431" s="204">
        <f>+IFERROR(VALUE(MID(AB431,4,4)),"")</f>
        <v>390</v>
      </c>
      <c r="B431" s="204">
        <f>VALUE(RIGHT(C431,LEN(C431)-2))</f>
        <v>2289</v>
      </c>
      <c r="C431" s="74" t="s">
        <v>1744</v>
      </c>
      <c r="D431" s="75">
        <v>45687</v>
      </c>
      <c r="E431" s="70" t="s">
        <v>262</v>
      </c>
      <c r="F431" s="70" t="s">
        <v>270</v>
      </c>
      <c r="G431" s="68" t="s">
        <v>1035</v>
      </c>
      <c r="H431" s="307" t="s">
        <v>1036</v>
      </c>
      <c r="I431" s="69" t="s">
        <v>1745</v>
      </c>
      <c r="J431" s="69"/>
      <c r="K431" s="68" t="s">
        <v>11</v>
      </c>
      <c r="L431" s="69" t="s">
        <v>120</v>
      </c>
      <c r="M431" s="71" t="s">
        <v>141</v>
      </c>
      <c r="N431" s="69" t="e" vm="1">
        <v>#VALUE!</v>
      </c>
      <c r="O431" s="84">
        <v>45691</v>
      </c>
      <c r="P431" s="72" t="s">
        <v>402</v>
      </c>
      <c r="Q431" s="72" t="s">
        <v>220</v>
      </c>
      <c r="R431" s="162"/>
      <c r="S431" s="146" t="s">
        <v>1746</v>
      </c>
      <c r="T431" s="68" t="s">
        <v>3</v>
      </c>
      <c r="U431" s="87"/>
      <c r="V431" s="80">
        <v>45721</v>
      </c>
      <c r="W431" s="73">
        <v>2843</v>
      </c>
      <c r="X431" s="214">
        <v>109.217</v>
      </c>
      <c r="Y431" s="169">
        <f>IF(SUM(W431:W431)&gt;0,X431/SUM(W431:W431)*1000000,"N/A")</f>
        <v>38416.109743228983</v>
      </c>
      <c r="Z431" s="80"/>
      <c r="AA431" s="80"/>
      <c r="AB431" s="73" t="s">
        <v>1747</v>
      </c>
      <c r="AC431" s="153"/>
      <c r="AD431" s="330"/>
      <c r="AE431" s="305"/>
      <c r="AF431" s="88"/>
      <c r="AG431" s="182">
        <f>YEAR(V431)</f>
        <v>2025</v>
      </c>
      <c r="AH431" s="86" t="str">
        <f>+IF(AG431=$AH$22,MONTH(V431),"")</f>
        <v/>
      </c>
      <c r="AI431" s="86">
        <f>+IF(AG431=$AI$22,MONTH(V431),"")</f>
        <v>3</v>
      </c>
      <c r="AJ431" s="86" t="str">
        <f>+IF(AG431=$AJ$22,MONTH(V431),"")</f>
        <v/>
      </c>
      <c r="AK431" s="86" t="str">
        <f>+IF(AG431=$AK$22,MONTH(V431),"")</f>
        <v/>
      </c>
      <c r="AL431" s="86" t="str">
        <f>+IF(AG431=$AL$22,MONTH(V431),"")</f>
        <v/>
      </c>
      <c r="AM431" s="86" t="str">
        <f>+IF($AG431=$AM$22,MONTH($D431),"")</f>
        <v/>
      </c>
      <c r="AN431" s="89" t="str">
        <f>+IF($AG431=AN$22,MONTH($D431),"")</f>
        <v/>
      </c>
      <c r="AO431" s="89" t="str">
        <f>+IF($AG431=AO$22,MONTH($D431),"")</f>
        <v/>
      </c>
      <c r="AP431" s="89" t="str">
        <f>+IF($AG431=AP$22,MONTH($D431),"")</f>
        <v/>
      </c>
      <c r="AQ431" s="89" t="str">
        <f>+IF($AG431=AQ$22,MONTH($D431),"")</f>
        <v/>
      </c>
      <c r="AR431" s="89" t="str">
        <f>+IF($AG431=AR$22,MONTH($D431),"")</f>
        <v/>
      </c>
      <c r="AS431" s="89" t="str">
        <f>+IF($AG431=AS$22,MONTH($D431),"")</f>
        <v/>
      </c>
      <c r="AT431" s="89" t="str">
        <f>+IF($AG431=AT$22,MONTH($D431),"")</f>
        <v/>
      </c>
      <c r="AU431" s="89" t="str">
        <f>+IF($AG431=AU$22,MONTH($D431),"")</f>
        <v/>
      </c>
      <c r="AV431" s="89" t="str">
        <f>+IF($AG431=AV$22,MONTH($D431),"")</f>
        <v/>
      </c>
      <c r="AW431" s="86" t="str">
        <f>+IF($AG431=AW$22,MONTH($D431),"")</f>
        <v/>
      </c>
      <c r="AX431" s="86" t="str">
        <f>+IF($AG431=AX$22,MONTH($D431),"")</f>
        <v/>
      </c>
      <c r="AY431" s="89"/>
      <c r="AZ431" s="89"/>
      <c r="BA431" s="89"/>
      <c r="BB431" s="89"/>
      <c r="BC431" s="89"/>
      <c r="BD431" s="89"/>
      <c r="BE431" s="89"/>
      <c r="BF431" s="89"/>
      <c r="BG431" s="89"/>
      <c r="BH431" s="89"/>
      <c r="BI431" s="89"/>
      <c r="BJ431" s="89"/>
      <c r="BK431" s="89"/>
      <c r="BL431" s="89"/>
      <c r="BM431" s="89"/>
      <c r="BN431" s="89"/>
      <c r="BO431" s="89"/>
      <c r="BP431" s="89"/>
    </row>
    <row r="432" spans="1:68" s="56" customFormat="1" ht="31.5" hidden="1" customHeight="1">
      <c r="A432" s="204">
        <f>+IFERROR(VALUE(MID(AB432,4,4)),"")</f>
        <v>390</v>
      </c>
      <c r="B432" s="204">
        <f>VALUE(RIGHT(C432,LEN(C432)-2))</f>
        <v>2288</v>
      </c>
      <c r="C432" s="74" t="s">
        <v>1748</v>
      </c>
      <c r="D432" s="75">
        <v>45687</v>
      </c>
      <c r="E432" s="70" t="s">
        <v>262</v>
      </c>
      <c r="F432" s="70" t="s">
        <v>270</v>
      </c>
      <c r="G432" s="68" t="s">
        <v>1035</v>
      </c>
      <c r="H432" s="307" t="s">
        <v>1036</v>
      </c>
      <c r="I432" s="69" t="s">
        <v>1749</v>
      </c>
      <c r="J432" s="69"/>
      <c r="K432" s="68" t="s">
        <v>13</v>
      </c>
      <c r="L432" s="69" t="s">
        <v>120</v>
      </c>
      <c r="M432" s="71" t="s">
        <v>141</v>
      </c>
      <c r="N432" s="69" t="e" vm="1">
        <v>#VALUE!</v>
      </c>
      <c r="O432" s="84">
        <v>45691</v>
      </c>
      <c r="P432" s="72" t="s">
        <v>402</v>
      </c>
      <c r="Q432" s="72" t="s">
        <v>837</v>
      </c>
      <c r="R432" s="162"/>
      <c r="S432" s="146" t="s">
        <v>1746</v>
      </c>
      <c r="T432" s="68" t="s">
        <v>3</v>
      </c>
      <c r="U432" s="87"/>
      <c r="V432" s="80">
        <v>45716</v>
      </c>
      <c r="W432" s="73">
        <v>346</v>
      </c>
      <c r="X432" s="73">
        <v>2.6230000000000002</v>
      </c>
      <c r="Y432" s="169">
        <f>IF(SUM(W432:W432)&gt;0,X432/SUM(W432:W432)*1000000,"N/A")</f>
        <v>7580.9248554913302</v>
      </c>
      <c r="Z432" s="80"/>
      <c r="AA432" s="80"/>
      <c r="AB432" s="73" t="s">
        <v>1750</v>
      </c>
      <c r="AC432" s="153"/>
      <c r="AD432" s="330"/>
      <c r="AE432" s="305"/>
      <c r="AF432" s="88"/>
      <c r="AG432" s="182">
        <f>YEAR(V432)</f>
        <v>2025</v>
      </c>
      <c r="AH432" s="86" t="str">
        <f>+IF(AG432=$AH$22,MONTH(V432),"")</f>
        <v/>
      </c>
      <c r="AI432" s="86">
        <f>+IF(AG432=$AI$22,MONTH(V432),"")</f>
        <v>2</v>
      </c>
      <c r="AJ432" s="86" t="str">
        <f>+IF(AG432=$AJ$22,MONTH(V432),"")</f>
        <v/>
      </c>
      <c r="AK432" s="86" t="str">
        <f>+IF(AG432=$AK$22,MONTH(V432),"")</f>
        <v/>
      </c>
      <c r="AL432" s="86" t="str">
        <f>+IF(AG432=$AL$22,MONTH(V432),"")</f>
        <v/>
      </c>
      <c r="AM432" s="86" t="str">
        <f>+IF($AG432=$AM$22,MONTH($D432),"")</f>
        <v/>
      </c>
      <c r="AN432" s="89" t="str">
        <f>+IF($AG432=AN$22,MONTH($D432),"")</f>
        <v/>
      </c>
      <c r="AO432" s="89" t="str">
        <f>+IF($AG432=AO$22,MONTH($D432),"")</f>
        <v/>
      </c>
      <c r="AP432" s="89" t="str">
        <f>+IF($AG432=AP$22,MONTH($D432),"")</f>
        <v/>
      </c>
      <c r="AQ432" s="89" t="str">
        <f>+IF($AG432=AQ$22,MONTH($D432),"")</f>
        <v/>
      </c>
      <c r="AR432" s="89" t="str">
        <f>+IF($AG432=AR$22,MONTH($D432),"")</f>
        <v/>
      </c>
      <c r="AS432" s="89" t="str">
        <f>+IF($AG432=AS$22,MONTH($D432),"")</f>
        <v/>
      </c>
      <c r="AT432" s="89" t="str">
        <f>+IF($AG432=AT$22,MONTH($D432),"")</f>
        <v/>
      </c>
      <c r="AU432" s="89" t="str">
        <f>+IF($AG432=AU$22,MONTH($D432),"")</f>
        <v/>
      </c>
      <c r="AV432" s="89" t="str">
        <f>+IF($AG432=AV$22,MONTH($D432),"")</f>
        <v/>
      </c>
      <c r="AW432" s="86" t="str">
        <f>+IF($AG432=AW$22,MONTH($D432),"")</f>
        <v/>
      </c>
      <c r="AX432" s="86" t="str">
        <f>+IF($AG432=AX$22,MONTH($D432),"")</f>
        <v/>
      </c>
      <c r="AY432" s="89"/>
      <c r="AZ432" s="89"/>
      <c r="BA432" s="89"/>
      <c r="BB432" s="89"/>
      <c r="BC432" s="89"/>
      <c r="BD432" s="89"/>
      <c r="BE432" s="89"/>
      <c r="BF432" s="89"/>
      <c r="BG432" s="89"/>
      <c r="BH432" s="89"/>
      <c r="BI432" s="89"/>
      <c r="BJ432" s="89"/>
      <c r="BK432" s="89"/>
      <c r="BL432" s="89"/>
      <c r="BM432" s="89"/>
      <c r="BN432" s="89"/>
      <c r="BO432" s="89"/>
      <c r="BP432" s="89"/>
    </row>
    <row r="433" spans="1:68" s="56" customFormat="1" ht="28.5" hidden="1" customHeight="1">
      <c r="A433" s="204" t="str">
        <f>+IFERROR(VALUE(MID(AB433,4,4)),"")</f>
        <v/>
      </c>
      <c r="B433" s="204">
        <f>VALUE(RIGHT(C433,LEN(C433)-2))</f>
        <v>2287</v>
      </c>
      <c r="C433" s="74" t="s">
        <v>1751</v>
      </c>
      <c r="D433" s="75">
        <v>45687</v>
      </c>
      <c r="E433" s="70" t="s">
        <v>479</v>
      </c>
      <c r="F433" s="70" t="s">
        <v>479</v>
      </c>
      <c r="G433" s="68" t="s">
        <v>1533</v>
      </c>
      <c r="H433" s="307" t="s">
        <v>1752</v>
      </c>
      <c r="I433" s="162" t="s">
        <v>1753</v>
      </c>
      <c r="J433" s="162"/>
      <c r="K433" s="68" t="s">
        <v>798</v>
      </c>
      <c r="L433" s="69" t="s">
        <v>129</v>
      </c>
      <c r="M433" s="71" t="s">
        <v>113</v>
      </c>
      <c r="N433" s="69" t="e" vm="2">
        <v>#VALUE!</v>
      </c>
      <c r="O433" s="164">
        <v>45695</v>
      </c>
      <c r="P433" s="72" t="s">
        <v>294</v>
      </c>
      <c r="Q433" s="72" t="s">
        <v>229</v>
      </c>
      <c r="R433" s="162"/>
      <c r="S433" s="146"/>
      <c r="T433" s="68" t="s">
        <v>168</v>
      </c>
      <c r="U433" s="87"/>
      <c r="V433" s="183">
        <v>45688</v>
      </c>
      <c r="W433" s="150">
        <v>1000</v>
      </c>
      <c r="X433" s="150">
        <v>42</v>
      </c>
      <c r="Y433" s="83">
        <f>IF(SUM(W433:W433)&gt;0,X433/SUM(W433:W433)*1000000,"N/A")</f>
        <v>42000</v>
      </c>
      <c r="Z433" s="183"/>
      <c r="AA433" s="183"/>
      <c r="AB433" s="73"/>
      <c r="AC433" s="153"/>
      <c r="AD433" s="330"/>
      <c r="AE433" s="305"/>
      <c r="AF433" s="88"/>
      <c r="AG433" s="182">
        <f>YEAR(V433)</f>
        <v>2025</v>
      </c>
      <c r="AH433" s="86" t="str">
        <f>+IF(AG433=$AH$22,MONTH(V433),"")</f>
        <v/>
      </c>
      <c r="AI433" s="86">
        <f>+IF(AG433=$AI$22,MONTH(V433),"")</f>
        <v>1</v>
      </c>
      <c r="AJ433" s="86" t="str">
        <f>+IF(AG433=$AJ$22,MONTH(V433),"")</f>
        <v/>
      </c>
      <c r="AK433" s="86" t="str">
        <f>+IF(AG433=$AK$22,MONTH(V433),"")</f>
        <v/>
      </c>
      <c r="AL433" s="86"/>
      <c r="AM433" s="89"/>
      <c r="AN433" s="89"/>
      <c r="AO433" s="89"/>
      <c r="AP433" s="89"/>
      <c r="AQ433" s="89"/>
      <c r="AR433" s="89"/>
      <c r="AS433" s="89"/>
      <c r="AT433" s="89"/>
      <c r="AU433" s="89"/>
      <c r="AV433" s="89"/>
      <c r="AW433" s="86" t="str">
        <f>+IF($AG433=AW$22,MONTH($D433),"")</f>
        <v/>
      </c>
      <c r="AX433" s="86" t="str">
        <f>+IF($AG433=AX$22,MONTH($D433),"")</f>
        <v/>
      </c>
      <c r="AY433" s="89"/>
      <c r="AZ433" s="89"/>
      <c r="BA433" s="89"/>
      <c r="BB433" s="89"/>
      <c r="BC433" s="89"/>
      <c r="BD433" s="89"/>
      <c r="BE433" s="89"/>
      <c r="BF433" s="89"/>
      <c r="BG433" s="89"/>
      <c r="BH433" s="89"/>
      <c r="BI433" s="89"/>
      <c r="BJ433" s="89"/>
      <c r="BK433" s="89"/>
      <c r="BL433" s="89"/>
      <c r="BM433" s="89"/>
      <c r="BN433" s="89"/>
      <c r="BO433" s="89"/>
      <c r="BP433" s="89"/>
    </row>
    <row r="434" spans="1:68" s="320" customFormat="1" ht="45.75" hidden="1" customHeight="1">
      <c r="A434" s="204" t="str">
        <f>+IFERROR(VALUE(MID(AB434,4,4)),"")</f>
        <v/>
      </c>
      <c r="B434" s="204">
        <f>VALUE(RIGHT(C434,LEN(C434)-2))</f>
        <v>2286</v>
      </c>
      <c r="C434" s="74" t="s">
        <v>1754</v>
      </c>
      <c r="D434" s="75">
        <v>45687</v>
      </c>
      <c r="E434" s="68" t="s">
        <v>1755</v>
      </c>
      <c r="F434" s="68" t="s">
        <v>1755</v>
      </c>
      <c r="G434" s="68" t="s">
        <v>1756</v>
      </c>
      <c r="H434" s="304" t="s">
        <v>1757</v>
      </c>
      <c r="I434" s="69" t="s">
        <v>1758</v>
      </c>
      <c r="J434" s="69"/>
      <c r="K434" s="68" t="s">
        <v>14</v>
      </c>
      <c r="L434" s="69" t="s">
        <v>120</v>
      </c>
      <c r="M434" s="71" t="s">
        <v>113</v>
      </c>
      <c r="N434" s="69" t="e" vm="6">
        <v>#VALUE!</v>
      </c>
      <c r="O434" s="84">
        <v>45701</v>
      </c>
      <c r="P434" s="69" t="s">
        <v>1759</v>
      </c>
      <c r="Q434" s="69" t="s">
        <v>316</v>
      </c>
      <c r="R434" s="69"/>
      <c r="S434" s="146"/>
      <c r="T434" s="68" t="s">
        <v>165</v>
      </c>
      <c r="U434" s="87"/>
      <c r="V434" s="80">
        <v>45760</v>
      </c>
      <c r="W434" s="73">
        <v>882</v>
      </c>
      <c r="X434" s="73">
        <v>53</v>
      </c>
      <c r="Y434" s="83">
        <f>IF(SUM(W434:W434)&gt;0,X434/SUM(W434:W434)*1000000,"N/A")</f>
        <v>60090.702947845806</v>
      </c>
      <c r="Z434" s="80"/>
      <c r="AA434" s="80"/>
      <c r="AB434" s="57"/>
      <c r="AC434" s="75"/>
      <c r="AD434" s="332"/>
      <c r="AE434" s="68"/>
      <c r="AF434" s="88"/>
      <c r="AG434" s="182">
        <f>YEAR(V434)</f>
        <v>2025</v>
      </c>
      <c r="AH434" s="86" t="str">
        <f>+IF(AG434=$AH$22,MONTH(V434),"")</f>
        <v/>
      </c>
      <c r="AI434" s="86">
        <f>+IF(AG434=$AI$22,MONTH(V434),"")</f>
        <v>4</v>
      </c>
      <c r="AJ434" s="86" t="str">
        <f>+IF(AG434=$AJ$22,MONTH(V434),"")</f>
        <v/>
      </c>
      <c r="AK434" s="86" t="str">
        <f>+IF(AG434=$AK$22,MONTH(V434),"")</f>
        <v/>
      </c>
      <c r="AL434" s="86" t="str">
        <f>+IF(AG434=$AL$22,MONTH(V434),"")</f>
        <v/>
      </c>
      <c r="AM434" s="86" t="str">
        <f>+IF($AG434=$AM$22,MONTH($D434),"")</f>
        <v/>
      </c>
      <c r="AN434" s="89" t="str">
        <f>+IF($AG434=AN$22,MONTH($D434),"")</f>
        <v/>
      </c>
      <c r="AO434" s="184" t="str">
        <f>+IF($AG434=AO$22,MONTH($D434),"")</f>
        <v/>
      </c>
      <c r="AP434" s="184" t="str">
        <f>+IF($AG434=AP$22,MONTH($D434),"")</f>
        <v/>
      </c>
      <c r="AQ434" s="184" t="str">
        <f>+IF($AG434=AQ$22,MONTH($D434),"")</f>
        <v/>
      </c>
      <c r="AR434" s="184" t="str">
        <f>+IF($AG434=AR$22,MONTH($D434),"")</f>
        <v/>
      </c>
      <c r="AS434" s="184" t="str">
        <f>+IF($AG434=AS$22,MONTH($D434),"")</f>
        <v/>
      </c>
      <c r="AT434" s="86" t="str">
        <f>+IF($AG434=AT$22,MONTH($D434),"")</f>
        <v/>
      </c>
      <c r="AU434" s="86" t="str">
        <f>+IF($AG434=AU$22,MONTH($D434),"")</f>
        <v/>
      </c>
      <c r="AV434" s="86" t="str">
        <f>+IF($AG434=AV$22,MONTH($D434),"")</f>
        <v/>
      </c>
      <c r="AW434" s="86" t="str">
        <f>+IF($AG434=AW$22,MONTH($D434),"")</f>
        <v/>
      </c>
      <c r="AX434" s="86" t="str">
        <f>+IF($AG434=AX$22,MONTH($D434),"")</f>
        <v/>
      </c>
      <c r="AY434" s="89"/>
      <c r="AZ434" s="89"/>
      <c r="BA434" s="89"/>
      <c r="BB434" s="89"/>
      <c r="BC434" s="89"/>
      <c r="BD434" s="89"/>
      <c r="BE434" s="89"/>
      <c r="BF434" s="89"/>
      <c r="BG434" s="89"/>
      <c r="BH434" s="89"/>
      <c r="BI434" s="89"/>
      <c r="BJ434" s="89"/>
      <c r="BK434" s="89"/>
      <c r="BL434" s="89"/>
      <c r="BM434" s="89"/>
      <c r="BN434" s="89"/>
      <c r="BO434" s="89"/>
      <c r="BP434" s="89"/>
    </row>
    <row r="435" spans="1:68" s="320" customFormat="1" ht="45.75" hidden="1" customHeight="1">
      <c r="A435" s="204">
        <f>+IFERROR(VALUE(MID(AB435,4,4)),"")</f>
        <v>429</v>
      </c>
      <c r="B435" s="204">
        <f>VALUE(RIGHT(C435,LEN(C435)-2))</f>
        <v>2285</v>
      </c>
      <c r="C435" s="74" t="s">
        <v>1760</v>
      </c>
      <c r="D435" s="75">
        <v>45687</v>
      </c>
      <c r="E435" s="68" t="s">
        <v>757</v>
      </c>
      <c r="F435" s="68" t="s">
        <v>758</v>
      </c>
      <c r="G435" s="68" t="s">
        <v>759</v>
      </c>
      <c r="H435" s="282" t="s">
        <v>760</v>
      </c>
      <c r="I435" s="69" t="s">
        <v>1761</v>
      </c>
      <c r="J435" s="69"/>
      <c r="K435" s="68" t="s">
        <v>9</v>
      </c>
      <c r="L435" s="69" t="s">
        <v>120</v>
      </c>
      <c r="M435" s="71" t="s">
        <v>113</v>
      </c>
      <c r="N435" s="69" t="e" vm="4">
        <v>#VALUE!</v>
      </c>
      <c r="O435" s="84">
        <v>45694</v>
      </c>
      <c r="P435" s="69" t="s">
        <v>289</v>
      </c>
      <c r="Q435" s="69" t="s">
        <v>220</v>
      </c>
      <c r="R435" s="69"/>
      <c r="S435" s="146"/>
      <c r="T435" s="68" t="s">
        <v>3</v>
      </c>
      <c r="U435" s="87"/>
      <c r="V435" s="80">
        <v>45761</v>
      </c>
      <c r="W435" s="150">
        <v>1927</v>
      </c>
      <c r="X435" s="150">
        <v>104.2</v>
      </c>
      <c r="Y435" s="83">
        <f>IF(SUM(W435:W435)&gt;0,X435/SUM(W435:W435)*1000000,"N/A")</f>
        <v>54073.689673066947</v>
      </c>
      <c r="Z435" s="80"/>
      <c r="AA435" s="80"/>
      <c r="AB435" s="73" t="s">
        <v>1762</v>
      </c>
      <c r="AC435" s="75"/>
      <c r="AD435" s="332"/>
      <c r="AE435" s="68"/>
      <c r="AF435" s="88"/>
      <c r="AG435" s="182">
        <f>YEAR(V435)</f>
        <v>2025</v>
      </c>
      <c r="AH435" s="86" t="str">
        <f>+IF(AG435=$AH$22,MONTH(V435),"")</f>
        <v/>
      </c>
      <c r="AI435" s="86">
        <f>+IF(AG435=$AI$22,MONTH(V435),"")</f>
        <v>4</v>
      </c>
      <c r="AJ435" s="86" t="str">
        <f>+IF(AG435=$AJ$22,MONTH(V435),"")</f>
        <v/>
      </c>
      <c r="AK435" s="86" t="str">
        <f>+IF(AG435=$AK$22,MONTH(V435),"")</f>
        <v/>
      </c>
      <c r="AL435" s="86" t="str">
        <f>+IF(AG435=$AL$22,MONTH(V435),"")</f>
        <v/>
      </c>
      <c r="AM435" s="86" t="str">
        <f>+IF($AG435=$AM$22,MONTH($D435),"")</f>
        <v/>
      </c>
      <c r="AN435" s="89" t="str">
        <f>+IF($AG435=AN$22,MONTH($D435),"")</f>
        <v/>
      </c>
      <c r="AO435" s="184" t="str">
        <f>+IF($AG435=AO$22,MONTH($D435),"")</f>
        <v/>
      </c>
      <c r="AP435" s="184" t="str">
        <f>+IF($AG435=AP$22,MONTH($D435),"")</f>
        <v/>
      </c>
      <c r="AQ435" s="184" t="str">
        <f>+IF($AG435=AQ$22,MONTH($D435),"")</f>
        <v/>
      </c>
      <c r="AR435" s="184" t="str">
        <f>+IF($AG435=AR$22,MONTH($D435),"")</f>
        <v/>
      </c>
      <c r="AS435" s="184" t="str">
        <f>+IF($AG435=AS$22,MONTH($D435),"")</f>
        <v/>
      </c>
      <c r="AT435" s="86" t="str">
        <f>+IF($AG435=AT$22,MONTH($D435),"")</f>
        <v/>
      </c>
      <c r="AU435" s="86" t="str">
        <f>+IF($AG435=AU$22,MONTH($D435),"")</f>
        <v/>
      </c>
      <c r="AV435" s="86" t="str">
        <f>+IF($AG435=AV$22,MONTH($D435),"")</f>
        <v/>
      </c>
      <c r="AW435" s="86" t="str">
        <f>+IF($AG435=AW$22,MONTH($D435),"")</f>
        <v/>
      </c>
      <c r="AX435" s="86" t="str">
        <f>+IF($AG435=AX$22,MONTH($D435),"")</f>
        <v/>
      </c>
      <c r="AY435" s="89"/>
      <c r="AZ435" s="89"/>
      <c r="BA435" s="89"/>
      <c r="BB435" s="89"/>
      <c r="BC435" s="89"/>
      <c r="BD435" s="89"/>
      <c r="BE435" s="89"/>
      <c r="BF435" s="89"/>
      <c r="BG435" s="89"/>
      <c r="BH435" s="89"/>
      <c r="BI435" s="89"/>
      <c r="BJ435" s="89"/>
      <c r="BK435" s="89"/>
      <c r="BL435" s="89"/>
      <c r="BM435" s="89"/>
      <c r="BN435" s="89"/>
      <c r="BO435" s="89"/>
      <c r="BP435" s="89"/>
    </row>
    <row r="436" spans="1:68" s="56" customFormat="1" ht="50.25" hidden="1" customHeight="1">
      <c r="A436" s="204" t="str">
        <f>+IFERROR(VALUE(MID(AB436,4,4)),"")</f>
        <v/>
      </c>
      <c r="B436" s="204">
        <f>VALUE(RIGHT(C436,LEN(C436)-2))</f>
        <v>2284</v>
      </c>
      <c r="C436" s="74" t="s">
        <v>1763</v>
      </c>
      <c r="D436" s="75">
        <v>45685</v>
      </c>
      <c r="E436" s="70" t="s">
        <v>53</v>
      </c>
      <c r="F436" s="70" t="s">
        <v>460</v>
      </c>
      <c r="G436" s="68" t="s">
        <v>210</v>
      </c>
      <c r="H436" s="304" t="s">
        <v>210</v>
      </c>
      <c r="I436" s="162" t="s">
        <v>1764</v>
      </c>
      <c r="J436" s="162"/>
      <c r="K436" s="68" t="s">
        <v>227</v>
      </c>
      <c r="L436" s="69" t="s">
        <v>123</v>
      </c>
      <c r="M436" s="71" t="s">
        <v>141</v>
      </c>
      <c r="N436" s="69" t="e" vm="1">
        <v>#VALUE!</v>
      </c>
      <c r="O436" s="164">
        <v>45693</v>
      </c>
      <c r="P436" s="72" t="s">
        <v>424</v>
      </c>
      <c r="Q436" s="72" t="s">
        <v>316</v>
      </c>
      <c r="R436" s="162"/>
      <c r="S436" s="146"/>
      <c r="T436" s="68" t="s">
        <v>165</v>
      </c>
      <c r="U436" s="87"/>
      <c r="V436" s="183">
        <v>45685</v>
      </c>
      <c r="W436" s="73" t="s">
        <v>134</v>
      </c>
      <c r="X436" s="73" t="s">
        <v>134</v>
      </c>
      <c r="Y436" s="83" t="str">
        <f>IF(SUM(W436:W436)&gt;0,X436/SUM(W436:W436)*1000000,"N/A")</f>
        <v>N/A</v>
      </c>
      <c r="Z436" s="183"/>
      <c r="AA436" s="183"/>
      <c r="AB436" s="73"/>
      <c r="AC436" s="153"/>
      <c r="AD436" s="330"/>
      <c r="AE436" s="305"/>
      <c r="AF436" s="88"/>
      <c r="AG436" s="182">
        <f>YEAR(V436)</f>
        <v>2025</v>
      </c>
      <c r="AH436" s="86" t="str">
        <f>+IF(AG436=$AH$22,MONTH(V436),"")</f>
        <v/>
      </c>
      <c r="AI436" s="86">
        <f>+IF(AG436=$AI$22,MONTH(V436),"")</f>
        <v>1</v>
      </c>
      <c r="AJ436" s="86" t="str">
        <f>+IF(AG436=$AJ$22,MONTH(V436),"")</f>
        <v/>
      </c>
      <c r="AK436" s="86" t="str">
        <f>+IF(AG436=$AK$22,MONTH(V436),"")</f>
        <v/>
      </c>
      <c r="AL436" s="86"/>
      <c r="AM436" s="89"/>
      <c r="AN436" s="89"/>
      <c r="AO436" s="89"/>
      <c r="AP436" s="89"/>
      <c r="AQ436" s="89"/>
      <c r="AR436" s="89"/>
      <c r="AS436" s="89"/>
      <c r="AT436" s="89"/>
      <c r="AU436" s="89"/>
      <c r="AV436" s="89"/>
      <c r="AW436" s="86" t="str">
        <f>+IF($AG436=AW$22,MONTH($D436),"")</f>
        <v/>
      </c>
      <c r="AX436" s="86" t="str">
        <f>+IF($AG436=AX$22,MONTH($D436),"")</f>
        <v/>
      </c>
      <c r="AY436" s="89"/>
      <c r="AZ436" s="89"/>
      <c r="BA436" s="89"/>
      <c r="BB436" s="89"/>
      <c r="BC436" s="89"/>
      <c r="BD436" s="89"/>
      <c r="BE436" s="89"/>
      <c r="BF436" s="89"/>
      <c r="BG436" s="89"/>
      <c r="BH436" s="89"/>
      <c r="BI436" s="89"/>
      <c r="BJ436" s="89"/>
      <c r="BK436" s="89"/>
      <c r="BL436" s="89"/>
      <c r="BM436" s="89"/>
      <c r="BN436" s="89"/>
      <c r="BO436" s="89"/>
      <c r="BP436" s="89"/>
    </row>
    <row r="437" spans="1:68" s="56" customFormat="1" ht="30" hidden="1" customHeight="1">
      <c r="A437" s="204">
        <f>+IFERROR(VALUE(MID(AB437,4,4)),"")</f>
        <v>399</v>
      </c>
      <c r="B437" s="204">
        <f>VALUE(RIGHT(C437,LEN(C437)-2))</f>
        <v>2283</v>
      </c>
      <c r="C437" s="74" t="s">
        <v>1765</v>
      </c>
      <c r="D437" s="75">
        <v>45684</v>
      </c>
      <c r="E437" s="70" t="s">
        <v>473</v>
      </c>
      <c r="F437" s="70" t="s">
        <v>473</v>
      </c>
      <c r="G437" s="76" t="s">
        <v>1766</v>
      </c>
      <c r="H437" s="376" t="s">
        <v>1767</v>
      </c>
      <c r="I437" s="69" t="s">
        <v>1768</v>
      </c>
      <c r="J437" s="69"/>
      <c r="K437" s="68" t="s">
        <v>9</v>
      </c>
      <c r="L437" s="69" t="s">
        <v>129</v>
      </c>
      <c r="M437" s="71" t="s">
        <v>141</v>
      </c>
      <c r="N437" s="69" t="e" vm="1">
        <v>#VALUE!</v>
      </c>
      <c r="O437" s="84">
        <v>45715</v>
      </c>
      <c r="P437" s="72" t="s">
        <v>377</v>
      </c>
      <c r="Q437" s="72" t="s">
        <v>694</v>
      </c>
      <c r="R437" s="162"/>
      <c r="S437" s="146"/>
      <c r="T437" s="94" t="s">
        <v>168</v>
      </c>
      <c r="U437" s="87"/>
      <c r="V437" s="183">
        <v>45685</v>
      </c>
      <c r="W437" s="73">
        <v>11389</v>
      </c>
      <c r="X437" s="73">
        <v>479.8</v>
      </c>
      <c r="Y437" s="83">
        <f>IF(SUM(W437:W437)&gt;0,X437/SUM(W437:W437)*1000000,"N/A")</f>
        <v>42128.369479322158</v>
      </c>
      <c r="Z437" s="183"/>
      <c r="AA437" s="183"/>
      <c r="AB437" s="73" t="s">
        <v>1769</v>
      </c>
      <c r="AC437" s="153"/>
      <c r="AD437" s="331"/>
      <c r="AE437" s="57"/>
      <c r="AF437" s="88"/>
      <c r="AG437" s="182">
        <f>YEAR(V437)</f>
        <v>2025</v>
      </c>
      <c r="AH437" s="86" t="str">
        <f>+IF(AG437=$AH$22,MONTH(V437),"")</f>
        <v/>
      </c>
      <c r="AI437" s="86">
        <f>+IF(AG437=$AI$22,MONTH(V437),"")</f>
        <v>1</v>
      </c>
      <c r="AJ437" s="86" t="str">
        <f>+IF(AG437=$AJ$22,MONTH(V437),"")</f>
        <v/>
      </c>
      <c r="AK437" s="86" t="str">
        <f>+IF(AG437=$AK$22,MONTH(V437),"")</f>
        <v/>
      </c>
      <c r="AL437" s="86"/>
      <c r="AM437" s="89"/>
      <c r="AN437" s="89"/>
      <c r="AO437" s="89"/>
      <c r="AP437" s="89"/>
      <c r="AQ437" s="89"/>
      <c r="AR437" s="89"/>
      <c r="AS437" s="89"/>
      <c r="AT437" s="89"/>
      <c r="AU437" s="89"/>
      <c r="AV437" s="89"/>
      <c r="AW437" s="86" t="str">
        <f>+IF($AG437=AW$22,MONTH($D437),"")</f>
        <v/>
      </c>
      <c r="AX437" s="86" t="str">
        <f>+IF($AG437=AX$22,MONTH($D437),"")</f>
        <v/>
      </c>
      <c r="AY437" s="89"/>
      <c r="AZ437" s="89"/>
      <c r="BA437" s="89"/>
      <c r="BB437" s="89"/>
      <c r="BC437" s="89"/>
      <c r="BD437" s="89"/>
      <c r="BE437" s="89"/>
      <c r="BF437" s="89"/>
      <c r="BG437" s="89"/>
      <c r="BH437" s="89"/>
      <c r="BI437" s="89"/>
      <c r="BJ437" s="89"/>
      <c r="BK437" s="89"/>
      <c r="BL437" s="89"/>
      <c r="BM437" s="89"/>
      <c r="BN437" s="89"/>
      <c r="BO437" s="89"/>
      <c r="BP437" s="89"/>
    </row>
    <row r="438" spans="1:68" s="56" customFormat="1" ht="30" hidden="1" customHeight="1">
      <c r="A438" s="204" t="str">
        <f>+IFERROR(VALUE(MID(AB438,4,4)),"")</f>
        <v/>
      </c>
      <c r="B438" s="204">
        <f>VALUE(RIGHT(C438,LEN(C438)-2))</f>
        <v>2282</v>
      </c>
      <c r="C438" s="74" t="s">
        <v>1770</v>
      </c>
      <c r="D438" s="75">
        <v>45680</v>
      </c>
      <c r="E438" s="68" t="s">
        <v>1407</v>
      </c>
      <c r="F438" s="68" t="s">
        <v>1407</v>
      </c>
      <c r="G438" s="68" t="s">
        <v>1587</v>
      </c>
      <c r="H438" s="282" t="s">
        <v>1588</v>
      </c>
      <c r="I438" s="69" t="s">
        <v>1771</v>
      </c>
      <c r="J438" s="69"/>
      <c r="K438" s="68" t="s">
        <v>13</v>
      </c>
      <c r="L438" s="69" t="s">
        <v>123</v>
      </c>
      <c r="M438" s="71" t="s">
        <v>141</v>
      </c>
      <c r="N438" s="69" t="s">
        <v>1075</v>
      </c>
      <c r="O438" s="84">
        <v>45693</v>
      </c>
      <c r="P438" s="69" t="s">
        <v>402</v>
      </c>
      <c r="Q438" s="69" t="s">
        <v>240</v>
      </c>
      <c r="R438" s="69"/>
      <c r="S438" s="146"/>
      <c r="T438" s="68" t="s">
        <v>165</v>
      </c>
      <c r="U438" s="87"/>
      <c r="V438" s="80">
        <v>45683</v>
      </c>
      <c r="W438" s="73">
        <v>105000</v>
      </c>
      <c r="X438" s="73">
        <v>4485</v>
      </c>
      <c r="Y438" s="83">
        <f>IF(SUM(W438:W438)&gt;0,X438/SUM(W438:W438)*1000000,"N/A")</f>
        <v>42714.28571428571</v>
      </c>
      <c r="Z438" s="80"/>
      <c r="AA438" s="80"/>
      <c r="AB438" s="73"/>
      <c r="AC438" s="75"/>
      <c r="AD438" s="332"/>
      <c r="AE438" s="68"/>
      <c r="AF438" s="73"/>
      <c r="AG438" s="182">
        <f>YEAR(V438)</f>
        <v>2025</v>
      </c>
      <c r="AH438" s="86" t="str">
        <f>+IF(AG438=$AH$22,MONTH(V438),"")</f>
        <v/>
      </c>
      <c r="AI438" s="86">
        <f>+IF(AG438=$AI$22,MONTH(V438),"")</f>
        <v>1</v>
      </c>
      <c r="AJ438" s="86" t="str">
        <f>+IF(AG438=$AJ$22,MONTH(V438),"")</f>
        <v/>
      </c>
      <c r="AK438" s="86" t="str">
        <f>+IF(AG438=$AK$22,MONTH(V438),"")</f>
        <v/>
      </c>
      <c r="AL438" s="86" t="str">
        <f>+IF(AG438=$AL$22,MONTH(V438),"")</f>
        <v/>
      </c>
      <c r="AM438" s="86" t="str">
        <f>+IF($AG438=$AM$22,MONTH($D438),"")</f>
        <v/>
      </c>
      <c r="AN438" s="89" t="str">
        <f>+IF($AG438=AN$22,MONTH($D438),"")</f>
        <v/>
      </c>
      <c r="AO438" s="184" t="str">
        <f>+IF($AG438=AO$22,MONTH($D438),"")</f>
        <v/>
      </c>
      <c r="AP438" s="184" t="str">
        <f>+IF($AG438=AP$22,MONTH($D438),"")</f>
        <v/>
      </c>
      <c r="AQ438" s="184" t="str">
        <f>+IF($AG438=AQ$22,MONTH($D438),"")</f>
        <v/>
      </c>
      <c r="AR438" s="184" t="str">
        <f>+IF($AG438=AR$22,MONTH($D438),"")</f>
        <v/>
      </c>
      <c r="AS438" s="184" t="str">
        <f>+IF($AG438=AS$22,MONTH($D438),"")</f>
        <v/>
      </c>
      <c r="AT438" s="86" t="str">
        <f>+IF($AG438=AT$22,MONTH($D438),"")</f>
        <v/>
      </c>
      <c r="AU438" s="86" t="str">
        <f>+IF($AG438=AU$22,MONTH($D438),"")</f>
        <v/>
      </c>
      <c r="AV438" s="86" t="str">
        <f>+IF($AG438=AV$22,MONTH($D438),"")</f>
        <v/>
      </c>
      <c r="AW438" s="86" t="str">
        <f>+IF($AG438=AW$22,MONTH($D438),"")</f>
        <v/>
      </c>
      <c r="AX438" s="86" t="str">
        <f>+IF($AG438=AX$22,MONTH($D438),"")</f>
        <v/>
      </c>
      <c r="AY438" s="89"/>
      <c r="AZ438" s="89"/>
      <c r="BA438" s="89"/>
      <c r="BB438" s="89"/>
      <c r="BC438" s="89"/>
      <c r="BD438" s="89"/>
      <c r="BE438" s="89"/>
      <c r="BF438" s="89"/>
      <c r="BG438" s="89"/>
      <c r="BH438" s="89"/>
      <c r="BI438" s="89"/>
      <c r="BJ438" s="89"/>
      <c r="BK438" s="89"/>
      <c r="BL438" s="89"/>
      <c r="BM438" s="89"/>
      <c r="BN438" s="89"/>
      <c r="BO438" s="89"/>
      <c r="BP438" s="89"/>
    </row>
    <row r="439" spans="1:68" s="320" customFormat="1" ht="45.75" hidden="1" customHeight="1">
      <c r="A439" s="204" t="str">
        <f>+IFERROR(VALUE(MID(AB439,4,4)),"")</f>
        <v/>
      </c>
      <c r="B439" s="204">
        <f>VALUE(RIGHT(C439,LEN(C439)-2))</f>
        <v>2281</v>
      </c>
      <c r="C439" s="74" t="s">
        <v>1772</v>
      </c>
      <c r="D439" s="75">
        <v>45680</v>
      </c>
      <c r="E439" s="68" t="s">
        <v>1621</v>
      </c>
      <c r="F439" s="68" t="s">
        <v>1773</v>
      </c>
      <c r="G439" s="68" t="s">
        <v>1774</v>
      </c>
      <c r="H439" s="282" t="s">
        <v>1775</v>
      </c>
      <c r="I439" s="69" t="s">
        <v>1776</v>
      </c>
      <c r="J439" s="69"/>
      <c r="K439" s="68" t="s">
        <v>18</v>
      </c>
      <c r="L439" s="69" t="s">
        <v>120</v>
      </c>
      <c r="M439" s="71" t="s">
        <v>141</v>
      </c>
      <c r="N439" s="69" t="s">
        <v>1075</v>
      </c>
      <c r="O439" s="84">
        <v>45684</v>
      </c>
      <c r="P439" s="69" t="s">
        <v>402</v>
      </c>
      <c r="Q439" s="69" t="s">
        <v>623</v>
      </c>
      <c r="R439" s="69"/>
      <c r="S439" s="146"/>
      <c r="T439" s="76" t="s">
        <v>3</v>
      </c>
      <c r="U439" s="87"/>
      <c r="V439" s="80">
        <v>45683</v>
      </c>
      <c r="W439" s="226"/>
      <c r="X439" s="226"/>
      <c r="Y439" s="83" t="str">
        <f>IF(SUM(W439:W439)&gt;0,X439/SUM(W439:W439)*1000000,"N/A")</f>
        <v>N/A</v>
      </c>
      <c r="Z439" s="80"/>
      <c r="AA439" s="80"/>
      <c r="AB439" s="73"/>
      <c r="AC439" s="75"/>
      <c r="AD439" s="332"/>
      <c r="AE439" s="68"/>
      <c r="AF439" s="73"/>
      <c r="AG439" s="182">
        <f>YEAR(V439)</f>
        <v>2025</v>
      </c>
      <c r="AH439" s="86" t="str">
        <f>+IF(AG439=$AH$22,MONTH(V439),"")</f>
        <v/>
      </c>
      <c r="AI439" s="86">
        <f>+IF(AG439=$AI$22,MONTH(V439),"")</f>
        <v>1</v>
      </c>
      <c r="AJ439" s="86" t="str">
        <f>+IF(AG439=$AJ$22,MONTH(V439),"")</f>
        <v/>
      </c>
      <c r="AK439" s="86" t="str">
        <f>+IF(AG439=$AK$22,MONTH(V439),"")</f>
        <v/>
      </c>
      <c r="AL439" s="86" t="str">
        <f>+IF(AG439=$AL$22,MONTH(V439),"")</f>
        <v/>
      </c>
      <c r="AM439" s="86" t="str">
        <f>+IF($AG439=$AM$22,MONTH($D439),"")</f>
        <v/>
      </c>
      <c r="AN439" s="89" t="str">
        <f>+IF($AG439=AN$22,MONTH($D439),"")</f>
        <v/>
      </c>
      <c r="AO439" s="184" t="str">
        <f>+IF($AG439=AO$22,MONTH($D439),"")</f>
        <v/>
      </c>
      <c r="AP439" s="184" t="str">
        <f>+IF($AG439=AP$22,MONTH($D439),"")</f>
        <v/>
      </c>
      <c r="AQ439" s="184" t="str">
        <f>+IF($AG439=AQ$22,MONTH($D439),"")</f>
        <v/>
      </c>
      <c r="AR439" s="184" t="str">
        <f>+IF($AG439=AR$22,MONTH($D439),"")</f>
        <v/>
      </c>
      <c r="AS439" s="184" t="str">
        <f>+IF($AG439=AS$22,MONTH($D439),"")</f>
        <v/>
      </c>
      <c r="AT439" s="86" t="str">
        <f>+IF($AG439=AT$22,MONTH($D439),"")</f>
        <v/>
      </c>
      <c r="AU439" s="86" t="str">
        <f>+IF($AG439=AU$22,MONTH($D439),"")</f>
        <v/>
      </c>
      <c r="AV439" s="86" t="str">
        <f>+IF($AG439=AV$22,MONTH($D439),"")</f>
        <v/>
      </c>
      <c r="AW439" s="86" t="str">
        <f>+IF($AG439=AW$22,MONTH($D439),"")</f>
        <v/>
      </c>
      <c r="AX439" s="86" t="str">
        <f>+IF($AG439=AX$22,MONTH($D439),"")</f>
        <v/>
      </c>
      <c r="AY439" s="89"/>
      <c r="AZ439" s="89"/>
      <c r="BA439" s="89"/>
      <c r="BB439" s="89"/>
      <c r="BC439" s="89"/>
      <c r="BD439" s="89"/>
      <c r="BE439" s="89"/>
      <c r="BF439" s="89"/>
      <c r="BG439" s="89"/>
      <c r="BH439" s="89"/>
      <c r="BI439" s="89"/>
      <c r="BJ439" s="89"/>
      <c r="BK439" s="89"/>
      <c r="BL439" s="89"/>
      <c r="BM439" s="89"/>
      <c r="BN439" s="89"/>
      <c r="BO439" s="89"/>
      <c r="BP439" s="89"/>
    </row>
    <row r="440" spans="1:68" s="89" customFormat="1" ht="45.75" hidden="1" customHeight="1">
      <c r="A440" s="204" t="str">
        <f>+IFERROR(VALUE(MID(AB440,4,4)),"")</f>
        <v/>
      </c>
      <c r="B440" s="204">
        <f>VALUE(RIGHT(C440,LEN(C440)-2))</f>
        <v>2280</v>
      </c>
      <c r="C440" s="74" t="s">
        <v>1777</v>
      </c>
      <c r="D440" s="75">
        <v>45680</v>
      </c>
      <c r="E440" s="70" t="s">
        <v>53</v>
      </c>
      <c r="F440" s="70" t="s">
        <v>642</v>
      </c>
      <c r="G440" s="68" t="s">
        <v>210</v>
      </c>
      <c r="H440" s="304" t="s">
        <v>210</v>
      </c>
      <c r="I440" s="162" t="s">
        <v>1778</v>
      </c>
      <c r="J440" s="162"/>
      <c r="K440" s="68" t="s">
        <v>491</v>
      </c>
      <c r="L440" s="68" t="s">
        <v>123</v>
      </c>
      <c r="M440" s="68" t="s">
        <v>141</v>
      </c>
      <c r="N440" s="69" t="e" vm="1">
        <v>#VALUE!</v>
      </c>
      <c r="O440" s="164">
        <v>45736</v>
      </c>
      <c r="P440" s="72" t="s">
        <v>1641</v>
      </c>
      <c r="Q440" s="72" t="s">
        <v>240</v>
      </c>
      <c r="R440" s="162"/>
      <c r="S440" s="146"/>
      <c r="T440" s="68" t="s">
        <v>165</v>
      </c>
      <c r="U440" s="87"/>
      <c r="V440" s="183">
        <v>45852</v>
      </c>
      <c r="W440" s="73">
        <v>36212</v>
      </c>
      <c r="X440" s="73">
        <f>50700*38900/1000000</f>
        <v>1972.23</v>
      </c>
      <c r="Y440" s="83">
        <f>IF(SUM(W440:W440)&gt;0,X440/SUM(W440:W440)*1000000,"N/A")</f>
        <v>54463.437534518947</v>
      </c>
      <c r="Z440" s="183"/>
      <c r="AA440" s="183"/>
      <c r="AB440" s="73"/>
      <c r="AC440" s="153"/>
      <c r="AD440" s="330"/>
      <c r="AE440" s="305"/>
      <c r="AF440" s="88"/>
      <c r="AG440" s="182">
        <f>YEAR(V440)</f>
        <v>2025</v>
      </c>
      <c r="AH440" s="86" t="str">
        <f>+IF(AG440=$AH$22,MONTH(V440),"")</f>
        <v/>
      </c>
      <c r="AI440" s="86">
        <f>+IF(AG440=$AI$22,MONTH(V440),"")</f>
        <v>7</v>
      </c>
      <c r="AJ440" s="86" t="str">
        <f>+IF(AG440=$AJ$22,MONTH(V440),"")</f>
        <v/>
      </c>
      <c r="AK440" s="86" t="str">
        <f>+IF(AG440=$AK$22,MONTH(V440),"")</f>
        <v/>
      </c>
      <c r="AL440" s="86"/>
      <c r="AW440" s="86" t="str">
        <f>+IF($AG440=AW$22,MONTH($D440),"")</f>
        <v/>
      </c>
      <c r="AX440" s="86" t="str">
        <f>+IF($AG440=AX$22,MONTH($D440),"")</f>
        <v/>
      </c>
    </row>
    <row r="441" spans="1:68" s="56" customFormat="1" ht="42.75" hidden="1" customHeight="1">
      <c r="A441" s="204">
        <f>+IFERROR(VALUE(MID(AB441,4,4)),"")</f>
        <v>421</v>
      </c>
      <c r="B441" s="204">
        <f>VALUE(RIGHT(C441,LEN(C441)-2))</f>
        <v>2279</v>
      </c>
      <c r="C441" s="74" t="s">
        <v>1779</v>
      </c>
      <c r="D441" s="75">
        <v>45674</v>
      </c>
      <c r="E441" s="70" t="s">
        <v>806</v>
      </c>
      <c r="F441" s="70" t="s">
        <v>806</v>
      </c>
      <c r="G441" s="68" t="s">
        <v>1174</v>
      </c>
      <c r="H441" s="282" t="s">
        <v>1175</v>
      </c>
      <c r="I441" s="162" t="s">
        <v>1780</v>
      </c>
      <c r="J441" s="162"/>
      <c r="K441" s="68" t="s">
        <v>798</v>
      </c>
      <c r="L441" s="69" t="s">
        <v>120</v>
      </c>
      <c r="M441" s="71" t="s">
        <v>141</v>
      </c>
      <c r="N441" s="69" t="e" vm="1">
        <v>#VALUE!</v>
      </c>
      <c r="O441" s="164">
        <v>45681</v>
      </c>
      <c r="P441" s="72" t="s">
        <v>1781</v>
      </c>
      <c r="Q441" s="72" t="s">
        <v>240</v>
      </c>
      <c r="R441" s="162"/>
      <c r="S441" s="146"/>
      <c r="T441" s="68" t="s">
        <v>3</v>
      </c>
      <c r="U441" s="87">
        <v>0</v>
      </c>
      <c r="V441" s="183">
        <v>45685</v>
      </c>
      <c r="W441" s="73">
        <v>1034</v>
      </c>
      <c r="X441" s="73">
        <v>42</v>
      </c>
      <c r="Y441" s="83">
        <f>IF(SUM(W441:W441)&gt;0,X441/SUM(W441:W441)*1000000,"N/A")</f>
        <v>40618.955512572531</v>
      </c>
      <c r="Z441" s="183"/>
      <c r="AA441" s="183"/>
      <c r="AB441" s="73" t="s">
        <v>1782</v>
      </c>
      <c r="AC441" s="153"/>
      <c r="AD441" s="331"/>
      <c r="AE441" s="57"/>
      <c r="AF441" s="88"/>
      <c r="AG441" s="182">
        <f>YEAR(V441)</f>
        <v>2025</v>
      </c>
      <c r="AH441" s="86" t="str">
        <f>+IF(AG441=$AH$22,MONTH(V441),"")</f>
        <v/>
      </c>
      <c r="AI441" s="86">
        <f>+IF(AG441=$AI$22,MONTH(V441),"")</f>
        <v>1</v>
      </c>
      <c r="AJ441" s="86" t="str">
        <f>+IF(AG441=$AJ$22,MONTH(V441),"")</f>
        <v/>
      </c>
      <c r="AK441" s="86" t="str">
        <f>+IF(AG441=$AK$22,MONTH(V441),"")</f>
        <v/>
      </c>
      <c r="AL441" s="86"/>
      <c r="AM441" s="89"/>
      <c r="AN441" s="89"/>
      <c r="AO441" s="89"/>
      <c r="AP441" s="89"/>
      <c r="AQ441" s="89"/>
      <c r="AR441" s="89"/>
      <c r="AS441" s="89"/>
      <c r="AT441" s="89"/>
      <c r="AU441" s="89"/>
      <c r="AV441" s="89"/>
      <c r="AW441" s="86" t="str">
        <f>+IF($AG441=AW$22,MONTH($D441),"")</f>
        <v/>
      </c>
      <c r="AX441" s="86" t="str">
        <f>+IF($AG441=AX$22,MONTH($D441),"")</f>
        <v/>
      </c>
      <c r="AY441" s="89"/>
      <c r="AZ441" s="89"/>
      <c r="BA441" s="89"/>
      <c r="BB441" s="89"/>
      <c r="BC441" s="89"/>
      <c r="BD441" s="89"/>
      <c r="BE441" s="89"/>
      <c r="BF441" s="89"/>
      <c r="BG441" s="89"/>
      <c r="BH441" s="89"/>
      <c r="BI441" s="89"/>
      <c r="BJ441" s="89"/>
      <c r="BK441" s="89"/>
      <c r="BL441" s="89"/>
      <c r="BM441" s="89"/>
      <c r="BN441" s="89"/>
      <c r="BO441" s="89"/>
      <c r="BP441" s="89"/>
    </row>
    <row r="442" spans="1:68" s="56" customFormat="1" ht="26.25" hidden="1" customHeight="1">
      <c r="A442" s="204">
        <f>+IFERROR(VALUE(MID(AB442,4,4)),"")</f>
        <v>390</v>
      </c>
      <c r="B442" s="204">
        <f>VALUE(RIGHT(C442,LEN(C442)-2))</f>
        <v>2278</v>
      </c>
      <c r="C442" s="74" t="s">
        <v>1783</v>
      </c>
      <c r="D442" s="75">
        <v>45678</v>
      </c>
      <c r="E442" s="70" t="s">
        <v>262</v>
      </c>
      <c r="F442" s="70" t="s">
        <v>270</v>
      </c>
      <c r="G442" s="68" t="s">
        <v>1035</v>
      </c>
      <c r="H442" s="307" t="s">
        <v>494</v>
      </c>
      <c r="I442" s="69" t="s">
        <v>1784</v>
      </c>
      <c r="J442" s="69"/>
      <c r="K442" s="68" t="s">
        <v>13</v>
      </c>
      <c r="L442" s="69" t="s">
        <v>120</v>
      </c>
      <c r="M442" s="71" t="s">
        <v>141</v>
      </c>
      <c r="N442" s="69" t="e" vm="1">
        <v>#VALUE!</v>
      </c>
      <c r="O442" s="84">
        <v>45681</v>
      </c>
      <c r="P442" s="72" t="s">
        <v>402</v>
      </c>
      <c r="Q442" s="72" t="s">
        <v>220</v>
      </c>
      <c r="R442" s="162"/>
      <c r="S442" s="146" t="s">
        <v>695</v>
      </c>
      <c r="T442" s="68" t="s">
        <v>3</v>
      </c>
      <c r="U442" s="87"/>
      <c r="V442" s="80">
        <v>45678</v>
      </c>
      <c r="W442" s="73">
        <v>353</v>
      </c>
      <c r="X442" s="73">
        <v>14.103</v>
      </c>
      <c r="Y442" s="169">
        <f>IF(SUM(W442:W442)&gt;0,X442/SUM(W442:W442)*1000000,"N/A")</f>
        <v>39951.841359773374</v>
      </c>
      <c r="Z442" s="80"/>
      <c r="AA442" s="80"/>
      <c r="AB442" s="73" t="s">
        <v>1785</v>
      </c>
      <c r="AC442" s="153"/>
      <c r="AD442" s="330"/>
      <c r="AE442" s="305"/>
      <c r="AF442" s="88"/>
      <c r="AG442" s="182">
        <f>YEAR(D442)</f>
        <v>2025</v>
      </c>
      <c r="AH442" s="86" t="str">
        <f>+IF(AG442=$AH$22,MONTH(V442),"")</f>
        <v/>
      </c>
      <c r="AI442" s="86">
        <f>+IF(AG442=$AI$22,MONTH(V442),"")</f>
        <v>1</v>
      </c>
      <c r="AJ442" s="86" t="str">
        <f>+IF(AG442=$AJ$22,MONTH(V442),"")</f>
        <v/>
      </c>
      <c r="AK442" s="86" t="str">
        <f>+IF(AG442=$AK$22,MONTH(V442),"")</f>
        <v/>
      </c>
      <c r="AL442" s="86" t="str">
        <f>+IF(AG442=$AL$22,MONTH(V442),"")</f>
        <v/>
      </c>
      <c r="AM442" s="86" t="str">
        <f>+IF($AG442=$AM$22,MONTH($D442),"")</f>
        <v/>
      </c>
      <c r="AN442" s="89" t="str">
        <f>+IF($AG442=AN$22,MONTH($D442),"")</f>
        <v/>
      </c>
      <c r="AO442" s="89" t="str">
        <f>+IF($AG442=AO$22,MONTH($D442),"")</f>
        <v/>
      </c>
      <c r="AP442" s="89" t="str">
        <f>+IF($AG442=AP$22,MONTH($D442),"")</f>
        <v/>
      </c>
      <c r="AQ442" s="89" t="str">
        <f>+IF($AG442=AQ$22,MONTH($D442),"")</f>
        <v/>
      </c>
      <c r="AR442" s="89" t="str">
        <f>+IF($AG442=AR$22,MONTH($D442),"")</f>
        <v/>
      </c>
      <c r="AS442" s="89" t="str">
        <f>+IF($AG442=AS$22,MONTH($D442),"")</f>
        <v/>
      </c>
      <c r="AT442" s="89" t="str">
        <f>+IF($AG442=AT$22,MONTH($D442),"")</f>
        <v/>
      </c>
      <c r="AU442" s="89" t="str">
        <f>+IF($AG442=AU$22,MONTH($D442),"")</f>
        <v/>
      </c>
      <c r="AV442" s="89" t="str">
        <f>+IF($AG442=AV$22,MONTH($D442),"")</f>
        <v/>
      </c>
      <c r="AW442" s="86" t="str">
        <f>+IF($AG442=AW$22,MONTH($D442),"")</f>
        <v/>
      </c>
      <c r="AX442" s="86" t="str">
        <f>+IF($AG442=AX$22,MONTH($D442),"")</f>
        <v/>
      </c>
      <c r="AY442" s="89"/>
      <c r="AZ442" s="89"/>
      <c r="BA442" s="89"/>
      <c r="BB442" s="89"/>
      <c r="BC442" s="89"/>
      <c r="BD442" s="89"/>
      <c r="BE442" s="89"/>
      <c r="BF442" s="89"/>
      <c r="BG442" s="89"/>
      <c r="BH442" s="89"/>
      <c r="BI442" s="89"/>
      <c r="BJ442" s="89"/>
      <c r="BK442" s="89"/>
      <c r="BL442" s="89"/>
      <c r="BM442" s="89"/>
      <c r="BN442" s="89"/>
      <c r="BO442" s="89"/>
      <c r="BP442" s="89"/>
    </row>
    <row r="443" spans="1:68" s="320" customFormat="1" ht="45.75" hidden="1" customHeight="1">
      <c r="A443" s="204" t="str">
        <f>+IFERROR(VALUE(MID(AB443,4,4)),"")</f>
        <v/>
      </c>
      <c r="B443" s="204">
        <f>VALUE(RIGHT(C443,LEN(C443)-2))</f>
        <v>2277</v>
      </c>
      <c r="C443" s="74" t="s">
        <v>1786</v>
      </c>
      <c r="D443" s="75">
        <v>45674</v>
      </c>
      <c r="E443" s="70" t="s">
        <v>1787</v>
      </c>
      <c r="F443" s="70" t="s">
        <v>1788</v>
      </c>
      <c r="G443" s="68" t="s">
        <v>1789</v>
      </c>
      <c r="H443" s="282" t="s">
        <v>1790</v>
      </c>
      <c r="I443" s="162" t="s">
        <v>1791</v>
      </c>
      <c r="J443" s="162"/>
      <c r="K443" s="68" t="s">
        <v>27</v>
      </c>
      <c r="L443" s="69" t="s">
        <v>120</v>
      </c>
      <c r="M443" s="71" t="s">
        <v>141</v>
      </c>
      <c r="N443" s="69" t="e" vm="1">
        <v>#VALUE!</v>
      </c>
      <c r="O443" s="164">
        <v>45681</v>
      </c>
      <c r="P443" s="72" t="s">
        <v>289</v>
      </c>
      <c r="Q443" s="72" t="s">
        <v>259</v>
      </c>
      <c r="R443" s="162"/>
      <c r="S443" s="146"/>
      <c r="T443" s="68" t="s">
        <v>168</v>
      </c>
      <c r="U443" s="87"/>
      <c r="V443" s="183">
        <v>45684</v>
      </c>
      <c r="W443" s="73">
        <v>4578</v>
      </c>
      <c r="X443" s="73">
        <v>187</v>
      </c>
      <c r="Y443" s="83">
        <f>IF(SUM(W443:W443)&gt;0,X443/SUM(W443:W443)*1000000,"N/A")</f>
        <v>40847.531673219746</v>
      </c>
      <c r="Z443" s="183"/>
      <c r="AA443" s="183"/>
      <c r="AB443" s="73"/>
      <c r="AC443" s="153"/>
      <c r="AD443" s="331"/>
      <c r="AE443" s="57"/>
      <c r="AF443" s="88"/>
      <c r="AG443" s="182">
        <f>YEAR(V443)</f>
        <v>2025</v>
      </c>
      <c r="AH443" s="86" t="str">
        <f>+IF(AG443=$AH$22,MONTH(V443),"")</f>
        <v/>
      </c>
      <c r="AI443" s="86">
        <f>+IF(AG443=$AI$22,MONTH(V443),"")</f>
        <v>1</v>
      </c>
      <c r="AJ443" s="86" t="str">
        <f>+IF(AG443=$AJ$22,MONTH(V443),"")</f>
        <v/>
      </c>
      <c r="AK443" s="86" t="str">
        <f>+IF(AG443=$AK$22,MONTH(V443),"")</f>
        <v/>
      </c>
      <c r="AL443" s="86"/>
      <c r="AM443" s="89"/>
      <c r="AN443" s="89"/>
      <c r="AO443" s="89"/>
      <c r="AP443" s="89"/>
      <c r="AQ443" s="89"/>
      <c r="AR443" s="89"/>
      <c r="AS443" s="89"/>
      <c r="AT443" s="89"/>
      <c r="AU443" s="89"/>
      <c r="AV443" s="89"/>
      <c r="AW443" s="86" t="str">
        <f>+IF($AG443=AW$22,MONTH($D443),"")</f>
        <v/>
      </c>
      <c r="AX443" s="86" t="str">
        <f>+IF($AG443=AX$22,MONTH($D443),"")</f>
        <v/>
      </c>
      <c r="AY443" s="89"/>
      <c r="AZ443" s="89"/>
      <c r="BA443" s="89"/>
      <c r="BB443" s="89"/>
      <c r="BC443" s="89"/>
      <c r="BD443" s="89"/>
      <c r="BE443" s="89"/>
      <c r="BF443" s="89"/>
      <c r="BG443" s="89"/>
      <c r="BH443" s="89"/>
      <c r="BI443" s="89"/>
      <c r="BJ443" s="89"/>
      <c r="BK443" s="89"/>
      <c r="BL443" s="89"/>
      <c r="BM443" s="89"/>
      <c r="BN443" s="89"/>
      <c r="BO443" s="89"/>
      <c r="BP443" s="89"/>
    </row>
    <row r="444" spans="1:68" s="56" customFormat="1" ht="32.25" hidden="1" customHeight="1">
      <c r="A444" s="204" t="str">
        <f>+IFERROR(VALUE(MID(AB444,4,4)),"")</f>
        <v/>
      </c>
      <c r="B444" s="204">
        <f>VALUE(RIGHT(C444,LEN(C444)-2))</f>
        <v>2276</v>
      </c>
      <c r="C444" s="74" t="s">
        <v>1792</v>
      </c>
      <c r="D444" s="75">
        <v>45677</v>
      </c>
      <c r="E444" s="70" t="s">
        <v>53</v>
      </c>
      <c r="F444" s="70" t="s">
        <v>460</v>
      </c>
      <c r="G444" s="68" t="s">
        <v>210</v>
      </c>
      <c r="H444" s="304" t="s">
        <v>210</v>
      </c>
      <c r="I444" s="162" t="s">
        <v>1793</v>
      </c>
      <c r="J444" s="162"/>
      <c r="K444" s="68" t="s">
        <v>212</v>
      </c>
      <c r="L444" s="69" t="s">
        <v>123</v>
      </c>
      <c r="M444" s="71" t="s">
        <v>141</v>
      </c>
      <c r="N444" s="69" t="e" vm="1">
        <v>#VALUE!</v>
      </c>
      <c r="O444" s="84">
        <v>45754</v>
      </c>
      <c r="P444" s="72" t="s">
        <v>228</v>
      </c>
      <c r="Q444" s="72" t="s">
        <v>259</v>
      </c>
      <c r="R444" s="162"/>
      <c r="S444" s="146"/>
      <c r="T444" s="68" t="s">
        <v>165</v>
      </c>
      <c r="U444" s="87"/>
      <c r="V444" s="183">
        <v>45957</v>
      </c>
      <c r="W444" s="73">
        <v>1000</v>
      </c>
      <c r="X444" s="73">
        <v>42</v>
      </c>
      <c r="Y444" s="83">
        <f>IF(SUM(W444:W444)&gt;0,X444/SUM(W444:W444)*1000000,"N/A")</f>
        <v>42000</v>
      </c>
      <c r="Z444" s="183"/>
      <c r="AA444" s="183"/>
      <c r="AB444" s="73"/>
      <c r="AC444" s="153"/>
      <c r="AD444" s="330"/>
      <c r="AE444" s="305"/>
      <c r="AF444" s="88"/>
      <c r="AG444" s="182">
        <f>YEAR(V444)</f>
        <v>2025</v>
      </c>
      <c r="AH444" s="86" t="str">
        <f>+IF(AG444=$AH$22,MONTH(V444),"")</f>
        <v/>
      </c>
      <c r="AI444" s="86">
        <f>+IF(AG444=$AI$22,MONTH(V444),"")</f>
        <v>10</v>
      </c>
      <c r="AJ444" s="86" t="str">
        <f>+IF(AG444=$AJ$22,MONTH(V444),"")</f>
        <v/>
      </c>
      <c r="AK444" s="86" t="str">
        <f>+IF(AG444=$AK$22,MONTH(V444),"")</f>
        <v/>
      </c>
      <c r="AL444" s="86"/>
      <c r="AM444" s="89"/>
      <c r="AN444" s="89"/>
      <c r="AO444" s="89"/>
      <c r="AP444" s="89"/>
      <c r="AQ444" s="89"/>
      <c r="AR444" s="89"/>
      <c r="AS444" s="89"/>
      <c r="AT444" s="89"/>
      <c r="AU444" s="89"/>
      <c r="AV444" s="89"/>
      <c r="AW444" s="86" t="str">
        <f>+IF($AG444=AW$22,MONTH($D444),"")</f>
        <v/>
      </c>
      <c r="AX444" s="86" t="str">
        <f>+IF($AG444=AX$22,MONTH($D444),"")</f>
        <v/>
      </c>
      <c r="AY444" s="89"/>
      <c r="AZ444" s="89"/>
      <c r="BA444" s="89"/>
      <c r="BB444" s="89"/>
      <c r="BC444" s="89"/>
      <c r="BD444" s="89"/>
      <c r="BE444" s="89"/>
      <c r="BF444" s="89"/>
      <c r="BG444" s="89"/>
      <c r="BH444" s="89"/>
      <c r="BI444" s="89"/>
      <c r="BJ444" s="89"/>
      <c r="BK444" s="89"/>
      <c r="BL444" s="89"/>
      <c r="BM444" s="89"/>
      <c r="BN444" s="89"/>
      <c r="BO444" s="89"/>
      <c r="BP444" s="89"/>
    </row>
    <row r="445" spans="1:68" s="320" customFormat="1" ht="45.75" hidden="1" customHeight="1">
      <c r="A445" s="204" t="str">
        <f>+IFERROR(VALUE(MID(AB445,4,4)),"")</f>
        <v/>
      </c>
      <c r="B445" s="204">
        <f>VALUE(RIGHT(C445,LEN(C445)-2))</f>
        <v>2275</v>
      </c>
      <c r="C445" s="74" t="s">
        <v>1794</v>
      </c>
      <c r="D445" s="75">
        <v>45677</v>
      </c>
      <c r="E445" s="70" t="s">
        <v>633</v>
      </c>
      <c r="F445" s="70" t="s">
        <v>633</v>
      </c>
      <c r="G445" s="68" t="s">
        <v>1437</v>
      </c>
      <c r="H445" s="307" t="s">
        <v>1438</v>
      </c>
      <c r="I445" s="69" t="s">
        <v>1795</v>
      </c>
      <c r="J445" s="69"/>
      <c r="K445" s="68" t="s">
        <v>11</v>
      </c>
      <c r="L445" s="69" t="s">
        <v>123</v>
      </c>
      <c r="M445" s="71" t="s">
        <v>141</v>
      </c>
      <c r="N445" s="69" t="e" vm="1">
        <v>#VALUE!</v>
      </c>
      <c r="O445" s="84">
        <v>45763</v>
      </c>
      <c r="P445" s="72" t="s">
        <v>377</v>
      </c>
      <c r="Q445" s="72" t="s">
        <v>316</v>
      </c>
      <c r="R445" s="162"/>
      <c r="S445" s="146" t="s">
        <v>1440</v>
      </c>
      <c r="T445" s="68" t="s">
        <v>168</v>
      </c>
      <c r="U445" s="87"/>
      <c r="V445" s="183">
        <v>45792</v>
      </c>
      <c r="W445" s="73">
        <v>11948</v>
      </c>
      <c r="X445" s="150">
        <f>14933*39000/1000000</f>
        <v>582.38699999999994</v>
      </c>
      <c r="Y445" s="83">
        <f>IF(SUM(W445:W445)&gt;0,X445/SUM(W445:W445)*1000000,"N/A")</f>
        <v>48743.471710746562</v>
      </c>
      <c r="Z445" s="183"/>
      <c r="AA445" s="183"/>
      <c r="AB445" s="150"/>
      <c r="AC445" s="153"/>
      <c r="AD445" s="330"/>
      <c r="AE445" s="305"/>
      <c r="AF445" s="88"/>
      <c r="AG445" s="182">
        <f>YEAR(V445)</f>
        <v>2025</v>
      </c>
      <c r="AH445" s="86" t="str">
        <f>+IF(AG445=$AH$22,MONTH(V445),"")</f>
        <v/>
      </c>
      <c r="AI445" s="86">
        <f>+IF(AG445=$AI$22,MONTH(V445),"")</f>
        <v>5</v>
      </c>
      <c r="AJ445" s="86" t="str">
        <f>+IF(AG445=$AJ$22,MONTH(V445),"")</f>
        <v/>
      </c>
      <c r="AK445" s="86" t="str">
        <f>+IF(AG445=$AK$22,MONTH(V445),"")</f>
        <v/>
      </c>
      <c r="AL445" s="86"/>
      <c r="AM445" s="89"/>
      <c r="AN445" s="89"/>
      <c r="AO445" s="89"/>
      <c r="AP445" s="89"/>
      <c r="AQ445" s="89"/>
      <c r="AR445" s="89"/>
      <c r="AS445" s="89"/>
      <c r="AT445" s="89"/>
      <c r="AU445" s="89"/>
      <c r="AV445" s="89"/>
      <c r="AW445" s="86" t="str">
        <f>+IF($AG445=AW$22,MONTH($D445),"")</f>
        <v/>
      </c>
      <c r="AX445" s="86" t="str">
        <f>+IF($AG445=AX$22,MONTH($D445),"")</f>
        <v/>
      </c>
      <c r="AY445" s="89"/>
      <c r="AZ445" s="89"/>
      <c r="BA445" s="89"/>
      <c r="BB445" s="89"/>
      <c r="BC445" s="89"/>
      <c r="BD445" s="89"/>
      <c r="BE445" s="89"/>
      <c r="BF445" s="89"/>
      <c r="BG445" s="89"/>
      <c r="BH445" s="89"/>
      <c r="BI445" s="89"/>
      <c r="BJ445" s="89"/>
      <c r="BK445" s="89"/>
      <c r="BL445" s="89"/>
      <c r="BM445" s="89"/>
      <c r="BN445" s="89"/>
      <c r="BO445" s="89"/>
      <c r="BP445" s="89"/>
    </row>
    <row r="446" spans="1:68" s="56" customFormat="1" ht="32.25" hidden="1" customHeight="1">
      <c r="A446" s="204" t="str">
        <f>+IFERROR(VALUE(MID(AB446,4,4)),"")</f>
        <v/>
      </c>
      <c r="B446" s="204">
        <f>VALUE(RIGHT(C446,LEN(C446)-2))</f>
        <v>2274</v>
      </c>
      <c r="C446" s="74" t="s">
        <v>1796</v>
      </c>
      <c r="D446" s="75">
        <v>45674</v>
      </c>
      <c r="E446" s="70" t="s">
        <v>53</v>
      </c>
      <c r="F446" s="70" t="s">
        <v>642</v>
      </c>
      <c r="G446" s="68" t="s">
        <v>210</v>
      </c>
      <c r="H446" s="304" t="s">
        <v>210</v>
      </c>
      <c r="I446" s="162" t="s">
        <v>1797</v>
      </c>
      <c r="J446" s="162"/>
      <c r="K446" s="68" t="s">
        <v>11</v>
      </c>
      <c r="L446" s="69" t="s">
        <v>123</v>
      </c>
      <c r="M446" s="71" t="s">
        <v>141</v>
      </c>
      <c r="N446" s="69" t="e" vm="1">
        <v>#VALUE!</v>
      </c>
      <c r="O446" s="164">
        <v>45716</v>
      </c>
      <c r="P446" s="72" t="s">
        <v>213</v>
      </c>
      <c r="Q446" s="72" t="s">
        <v>259</v>
      </c>
      <c r="R446" s="162"/>
      <c r="S446" s="146"/>
      <c r="T446" s="68" t="s">
        <v>155</v>
      </c>
      <c r="U446" s="87"/>
      <c r="V446" s="183">
        <v>45677</v>
      </c>
      <c r="W446" s="73"/>
      <c r="X446" s="73"/>
      <c r="Y446" s="83" t="str">
        <f>IF(SUM(W446:W446)&gt;0,X446/SUM(W446:W446)*1000000,"N/A")</f>
        <v>N/A</v>
      </c>
      <c r="Z446" s="183"/>
      <c r="AA446" s="183"/>
      <c r="AB446" s="73"/>
      <c r="AC446" s="153"/>
      <c r="AD446" s="330"/>
      <c r="AE446" s="305"/>
      <c r="AF446" s="88"/>
      <c r="AG446" s="182">
        <f>YEAR(V446)</f>
        <v>2025</v>
      </c>
      <c r="AH446" s="86" t="str">
        <f>+IF(AG446=$AH$22,MONTH(V446),"")</f>
        <v/>
      </c>
      <c r="AI446" s="86">
        <f>+IF(AG446=$AI$22,MONTH(V446),"")</f>
        <v>1</v>
      </c>
      <c r="AJ446" s="86" t="str">
        <f>+IF(AG446=$AJ$22,MONTH(V446),"")</f>
        <v/>
      </c>
      <c r="AK446" s="86" t="str">
        <f>+IF(AG446=$AK$22,MONTH(V446),"")</f>
        <v/>
      </c>
      <c r="AL446" s="86"/>
      <c r="AM446" s="89"/>
      <c r="AN446" s="89"/>
      <c r="AO446" s="89"/>
      <c r="AP446" s="89"/>
      <c r="AQ446" s="89"/>
      <c r="AR446" s="89"/>
      <c r="AS446" s="89"/>
      <c r="AT446" s="89"/>
      <c r="AU446" s="89"/>
      <c r="AV446" s="89"/>
      <c r="AW446" s="86" t="str">
        <f>+IF($AG446=AW$22,MONTH($D446),"")</f>
        <v/>
      </c>
      <c r="AX446" s="86" t="str">
        <f>+IF($AG446=AX$22,MONTH($D446),"")</f>
        <v/>
      </c>
      <c r="AY446" s="89"/>
      <c r="AZ446" s="89"/>
      <c r="BA446" s="89"/>
      <c r="BB446" s="89"/>
      <c r="BC446" s="89"/>
      <c r="BD446" s="89"/>
      <c r="BE446" s="89"/>
      <c r="BF446" s="89"/>
      <c r="BG446" s="89"/>
      <c r="BH446" s="89"/>
      <c r="BI446" s="89"/>
      <c r="BJ446" s="89"/>
      <c r="BK446" s="89"/>
      <c r="BL446" s="89"/>
      <c r="BM446" s="89"/>
      <c r="BN446" s="89"/>
      <c r="BO446" s="89"/>
      <c r="BP446" s="89"/>
    </row>
    <row r="447" spans="1:68" s="320" customFormat="1" ht="45.75" hidden="1" customHeight="1">
      <c r="A447" s="204" t="str">
        <f>+IFERROR(VALUE(MID(AB447,4,4)),"")</f>
        <v/>
      </c>
      <c r="B447" s="204">
        <f>VALUE(RIGHT(C447,LEN(C447)-2))</f>
        <v>2273</v>
      </c>
      <c r="C447" s="74" t="s">
        <v>1798</v>
      </c>
      <c r="D447" s="75">
        <v>45673</v>
      </c>
      <c r="E447" s="70" t="s">
        <v>633</v>
      </c>
      <c r="F447" s="70" t="s">
        <v>633</v>
      </c>
      <c r="G447" s="68" t="s">
        <v>1437</v>
      </c>
      <c r="H447" s="307" t="s">
        <v>1438</v>
      </c>
      <c r="I447" s="69" t="s">
        <v>1799</v>
      </c>
      <c r="J447" s="69"/>
      <c r="K447" s="68" t="s">
        <v>798</v>
      </c>
      <c r="L447" s="69" t="s">
        <v>123</v>
      </c>
      <c r="M447" s="71" t="s">
        <v>141</v>
      </c>
      <c r="N447" s="69" t="e" vm="1">
        <v>#VALUE!</v>
      </c>
      <c r="O447" s="84">
        <v>45684</v>
      </c>
      <c r="P447" s="72" t="s">
        <v>377</v>
      </c>
      <c r="Q447" s="72" t="s">
        <v>316</v>
      </c>
      <c r="R447" s="162"/>
      <c r="S447" s="146"/>
      <c r="T447" s="68" t="s">
        <v>168</v>
      </c>
      <c r="U447" s="87"/>
      <c r="V447" s="183">
        <v>45683</v>
      </c>
      <c r="W447" s="73">
        <v>4924</v>
      </c>
      <c r="X447" s="150">
        <v>250.6</v>
      </c>
      <c r="Y447" s="83">
        <f>IF(SUM(W447:W447)&gt;0,X447/SUM(W447:W447)*1000000,"N/A")</f>
        <v>50893.582453290008</v>
      </c>
      <c r="Z447" s="183"/>
      <c r="AA447" s="183"/>
      <c r="AB447" s="150"/>
      <c r="AC447" s="153"/>
      <c r="AD447" s="330"/>
      <c r="AE447" s="305"/>
      <c r="AF447" s="88"/>
      <c r="AG447" s="182">
        <f>YEAR(V447)</f>
        <v>2025</v>
      </c>
      <c r="AH447" s="86" t="str">
        <f>+IF(AG447=$AH$22,MONTH(V447),"")</f>
        <v/>
      </c>
      <c r="AI447" s="86">
        <f>+IF(AG447=$AI$22,MONTH(V447),"")</f>
        <v>1</v>
      </c>
      <c r="AJ447" s="86" t="str">
        <f>+IF(AG447=$AJ$22,MONTH(V447),"")</f>
        <v/>
      </c>
      <c r="AK447" s="86" t="str">
        <f>+IF(AG447=$AK$22,MONTH(V447),"")</f>
        <v/>
      </c>
      <c r="AL447" s="86"/>
      <c r="AM447" s="89"/>
      <c r="AN447" s="89"/>
      <c r="AO447" s="89"/>
      <c r="AP447" s="89"/>
      <c r="AQ447" s="89"/>
      <c r="AR447" s="89"/>
      <c r="AS447" s="89"/>
      <c r="AT447" s="89"/>
      <c r="AU447" s="89"/>
      <c r="AV447" s="89"/>
      <c r="AW447" s="86" t="str">
        <f>+IF($AG447=AW$22,MONTH($D447),"")</f>
        <v/>
      </c>
      <c r="AX447" s="86" t="str">
        <f>+IF($AG447=AX$22,MONTH($D447),"")</f>
        <v/>
      </c>
      <c r="AY447" s="89"/>
      <c r="AZ447" s="89"/>
      <c r="BA447" s="89"/>
      <c r="BB447" s="89"/>
      <c r="BC447" s="89"/>
      <c r="BD447" s="89"/>
      <c r="BE447" s="89"/>
      <c r="BF447" s="89"/>
      <c r="BG447" s="89"/>
      <c r="BH447" s="89"/>
      <c r="BI447" s="89"/>
      <c r="BJ447" s="89"/>
      <c r="BK447" s="89"/>
      <c r="BL447" s="89"/>
      <c r="BM447" s="89"/>
      <c r="BN447" s="89"/>
      <c r="BO447" s="89"/>
      <c r="BP447" s="89"/>
    </row>
    <row r="448" spans="1:68" s="356" customFormat="1" ht="40.5" hidden="1" customHeight="1">
      <c r="A448" s="204" t="str">
        <f>+IFERROR(VALUE(MID(AB448,4,4)),"")</f>
        <v/>
      </c>
      <c r="B448" s="204">
        <f>VALUE(RIGHT(C448,LEN(C448)-2))</f>
        <v>2272</v>
      </c>
      <c r="C448" s="74" t="s">
        <v>1800</v>
      </c>
      <c r="D448" s="75">
        <v>45669</v>
      </c>
      <c r="E448" s="70" t="s">
        <v>53</v>
      </c>
      <c r="F448" s="70" t="s">
        <v>1379</v>
      </c>
      <c r="G448" s="68" t="s">
        <v>210</v>
      </c>
      <c r="H448" s="304" t="s">
        <v>210</v>
      </c>
      <c r="I448" s="162" t="s">
        <v>1801</v>
      </c>
      <c r="J448" s="162"/>
      <c r="K448" s="68" t="s">
        <v>9</v>
      </c>
      <c r="L448" s="69" t="s">
        <v>123</v>
      </c>
      <c r="M448" s="71" t="s">
        <v>141</v>
      </c>
      <c r="N448" s="69" t="e" vm="1">
        <v>#VALUE!</v>
      </c>
      <c r="O448" s="164">
        <v>45703</v>
      </c>
      <c r="P448" s="72" t="s">
        <v>213</v>
      </c>
      <c r="Q448" s="72" t="s">
        <v>259</v>
      </c>
      <c r="R448" s="162"/>
      <c r="S448" s="146"/>
      <c r="T448" s="68" t="s">
        <v>155</v>
      </c>
      <c r="U448" s="87"/>
      <c r="V448" s="183">
        <v>45672</v>
      </c>
      <c r="W448" s="73"/>
      <c r="X448" s="73"/>
      <c r="Y448" s="83" t="str">
        <f>IF(SUM(W448:W448)&gt;0,X448/SUM(W448:W448)*1000000,"N/A")</f>
        <v>N/A</v>
      </c>
      <c r="Z448" s="183"/>
      <c r="AA448" s="183"/>
      <c r="AB448" s="73"/>
      <c r="AC448" s="153"/>
      <c r="AD448" s="330"/>
      <c r="AE448" s="305"/>
      <c r="AF448" s="88"/>
      <c r="AG448" s="182">
        <f>YEAR(V448)</f>
        <v>2025</v>
      </c>
      <c r="AH448" s="86" t="str">
        <f>+IF(AG448=$AH$22,MONTH(V448),"")</f>
        <v/>
      </c>
      <c r="AI448" s="86">
        <f>+IF(AG448=$AI$22,MONTH(V448),"")</f>
        <v>1</v>
      </c>
      <c r="AJ448" s="86" t="str">
        <f>+IF(AG448=$AJ$22,MONTH(V448),"")</f>
        <v/>
      </c>
      <c r="AK448" s="86" t="str">
        <f>+IF(AG448=$AK$22,MONTH(V448),"")</f>
        <v/>
      </c>
      <c r="AL448" s="86"/>
      <c r="AM448" s="89"/>
      <c r="AN448" s="89"/>
      <c r="AO448" s="89"/>
      <c r="AP448" s="89"/>
      <c r="AQ448" s="89"/>
      <c r="AR448" s="89"/>
      <c r="AS448" s="89"/>
      <c r="AT448" s="89"/>
      <c r="AU448" s="89"/>
      <c r="AV448" s="89"/>
      <c r="AW448" s="86" t="str">
        <f>+IF($AG448=AW$22,MONTH($D448),"")</f>
        <v/>
      </c>
      <c r="AX448" s="86" t="str">
        <f>+IF($AG448=AX$22,MONTH($D448),"")</f>
        <v/>
      </c>
      <c r="AY448" s="89"/>
      <c r="AZ448" s="89"/>
      <c r="BA448" s="89"/>
      <c r="BB448" s="89"/>
      <c r="BC448" s="89"/>
      <c r="BD448" s="89"/>
      <c r="BE448" s="89"/>
      <c r="BF448" s="89"/>
      <c r="BG448" s="89"/>
      <c r="BH448" s="89"/>
      <c r="BI448" s="89"/>
      <c r="BJ448" s="89"/>
      <c r="BK448" s="89"/>
      <c r="BL448" s="89"/>
      <c r="BM448" s="89"/>
      <c r="BN448" s="89"/>
      <c r="BO448" s="89"/>
      <c r="BP448" s="89"/>
    </row>
    <row r="449" spans="1:68" s="320" customFormat="1" ht="45.75" hidden="1" customHeight="1">
      <c r="A449" s="204">
        <f>+IFERROR(VALUE(MID(AB449,4,4)),"")</f>
        <v>426</v>
      </c>
      <c r="B449" s="204">
        <f>VALUE(RIGHT(C449,LEN(C449)-2))</f>
        <v>2271</v>
      </c>
      <c r="C449" s="74" t="s">
        <v>1802</v>
      </c>
      <c r="D449" s="75">
        <v>45660</v>
      </c>
      <c r="E449" s="70" t="s">
        <v>353</v>
      </c>
      <c r="F449" s="70" t="s">
        <v>354</v>
      </c>
      <c r="G449" s="68" t="s">
        <v>1803</v>
      </c>
      <c r="H449" s="282" t="s">
        <v>647</v>
      </c>
      <c r="I449" s="162" t="s">
        <v>1804</v>
      </c>
      <c r="J449" s="162"/>
      <c r="K449" s="68" t="s">
        <v>9</v>
      </c>
      <c r="L449" s="69" t="s">
        <v>120</v>
      </c>
      <c r="M449" s="71" t="s">
        <v>141</v>
      </c>
      <c r="N449" s="69" t="e" vm="1">
        <v>#VALUE!</v>
      </c>
      <c r="O449" s="164">
        <v>45673</v>
      </c>
      <c r="P449" s="72" t="s">
        <v>369</v>
      </c>
      <c r="Q449" s="72" t="s">
        <v>694</v>
      </c>
      <c r="R449" s="162"/>
      <c r="S449" s="146"/>
      <c r="T449" s="68" t="s">
        <v>3</v>
      </c>
      <c r="U449" s="87"/>
      <c r="V449" s="183">
        <v>45744</v>
      </c>
      <c r="W449" s="73">
        <v>803</v>
      </c>
      <c r="X449" s="214">
        <v>40.9</v>
      </c>
      <c r="Y449" s="83">
        <f>IF(SUM(W449:W449)&gt;0,X449/SUM(W449:W449)*1000000,"N/A")</f>
        <v>50933.997509339977</v>
      </c>
      <c r="Z449" s="183"/>
      <c r="AA449" s="183"/>
      <c r="AB449" s="73" t="s">
        <v>1805</v>
      </c>
      <c r="AC449" s="153"/>
      <c r="AD449" s="331"/>
      <c r="AE449" s="57"/>
      <c r="AF449" s="88"/>
      <c r="AG449" s="182">
        <f>YEAR(V449)</f>
        <v>2025</v>
      </c>
      <c r="AH449" s="86" t="str">
        <f>+IF(AG449=$AH$22,MONTH(V449),"")</f>
        <v/>
      </c>
      <c r="AI449" s="86">
        <f>+IF(AG449=$AI$22,MONTH(V449),"")</f>
        <v>3</v>
      </c>
      <c r="AJ449" s="86" t="str">
        <f>+IF(AG449=$AJ$22,MONTH(V449),"")</f>
        <v/>
      </c>
      <c r="AK449" s="86" t="str">
        <f>+IF(AG449=$AK$22,MONTH(V449),"")</f>
        <v/>
      </c>
      <c r="AL449" s="86"/>
      <c r="AM449" s="89"/>
      <c r="AN449" s="89"/>
      <c r="AO449" s="89"/>
      <c r="AP449" s="89"/>
      <c r="AQ449" s="89"/>
      <c r="AR449" s="89"/>
      <c r="AS449" s="89"/>
      <c r="AT449" s="89"/>
      <c r="AU449" s="89"/>
      <c r="AV449" s="89"/>
      <c r="AW449" s="86" t="str">
        <f>+IF($AG449=AW$22,MONTH($D449),"")</f>
        <v/>
      </c>
      <c r="AX449" s="86" t="str">
        <f>+IF($AG449=AX$22,MONTH($D449),"")</f>
        <v/>
      </c>
      <c r="AY449" s="89"/>
      <c r="AZ449" s="89"/>
      <c r="BA449" s="89"/>
      <c r="BB449" s="89"/>
      <c r="BC449" s="89"/>
      <c r="BD449" s="89"/>
      <c r="BE449" s="89"/>
      <c r="BF449" s="89"/>
      <c r="BG449" s="89"/>
      <c r="BH449" s="89"/>
      <c r="BI449" s="89"/>
      <c r="BJ449" s="89"/>
      <c r="BK449" s="89"/>
      <c r="BL449" s="89"/>
      <c r="BM449" s="89"/>
      <c r="BN449" s="89"/>
      <c r="BO449" s="89"/>
      <c r="BP449" s="89"/>
    </row>
    <row r="450" spans="1:68" s="356" customFormat="1" ht="27" hidden="1" customHeight="1">
      <c r="A450" s="204" t="str">
        <f>+IFERROR(VALUE(MID(AB450,4,4)),"")</f>
        <v/>
      </c>
      <c r="B450" s="204">
        <f>VALUE(RIGHT(C450,LEN(C450)-2))</f>
        <v>2270</v>
      </c>
      <c r="C450" s="74" t="s">
        <v>1806</v>
      </c>
      <c r="D450" s="75">
        <v>45669</v>
      </c>
      <c r="E450" s="70" t="s">
        <v>53</v>
      </c>
      <c r="F450" s="70" t="s">
        <v>252</v>
      </c>
      <c r="G450" s="68" t="s">
        <v>210</v>
      </c>
      <c r="H450" s="304" t="s">
        <v>210</v>
      </c>
      <c r="I450" s="162" t="s">
        <v>1807</v>
      </c>
      <c r="J450" s="162"/>
      <c r="K450" s="68" t="s">
        <v>9</v>
      </c>
      <c r="L450" s="69" t="s">
        <v>123</v>
      </c>
      <c r="M450" s="71" t="s">
        <v>141</v>
      </c>
      <c r="N450" s="69" t="e" vm="1">
        <v>#VALUE!</v>
      </c>
      <c r="O450" s="164">
        <v>45703</v>
      </c>
      <c r="P450" s="72" t="s">
        <v>213</v>
      </c>
      <c r="Q450" s="72" t="s">
        <v>259</v>
      </c>
      <c r="R450" s="162"/>
      <c r="S450" s="146"/>
      <c r="T450" s="68" t="s">
        <v>155</v>
      </c>
      <c r="U450" s="87"/>
      <c r="V450" s="183">
        <v>45646</v>
      </c>
      <c r="W450" s="73"/>
      <c r="X450" s="73"/>
      <c r="Y450" s="83" t="str">
        <f>IF(SUM(W450:W450)&gt;0,X450/SUM(W450:W450)*1000000,"N/A")</f>
        <v>N/A</v>
      </c>
      <c r="Z450" s="183"/>
      <c r="AA450" s="183"/>
      <c r="AB450" s="73"/>
      <c r="AC450" s="153"/>
      <c r="AD450" s="330"/>
      <c r="AE450" s="305"/>
      <c r="AF450" s="88"/>
      <c r="AG450" s="182">
        <f>YEAR(V450)</f>
        <v>2024</v>
      </c>
      <c r="AH450" s="86" t="str">
        <f>+IF(AG450=$AH$22,MONTH(V450),"")</f>
        <v/>
      </c>
      <c r="AI450" s="86" t="str">
        <f>+IF(AG450=$AI$22,MONTH(V450),"")</f>
        <v/>
      </c>
      <c r="AJ450" s="86">
        <f>+IF(AG450=$AJ$22,MONTH(V450),"")</f>
        <v>12</v>
      </c>
      <c r="AK450" s="86" t="str">
        <f>+IF(AG450=$AK$22,MONTH(V450),"")</f>
        <v/>
      </c>
      <c r="AL450" s="86"/>
      <c r="AM450" s="89"/>
      <c r="AN450" s="89"/>
      <c r="AO450" s="89"/>
      <c r="AP450" s="89"/>
      <c r="AQ450" s="89"/>
      <c r="AR450" s="89"/>
      <c r="AS450" s="89"/>
      <c r="AT450" s="89"/>
      <c r="AU450" s="89"/>
      <c r="AV450" s="89"/>
      <c r="AW450" s="86" t="str">
        <f>+IF($AG450=AW$22,MONTH($D450),"")</f>
        <v/>
      </c>
      <c r="AX450" s="86" t="str">
        <f>+IF($AG450=AX$22,MONTH($D450),"")</f>
        <v/>
      </c>
      <c r="AY450" s="89"/>
      <c r="AZ450" s="89"/>
      <c r="BA450" s="89"/>
      <c r="BB450" s="89"/>
      <c r="BC450" s="89"/>
      <c r="BD450" s="89"/>
      <c r="BE450" s="89"/>
      <c r="BF450" s="89"/>
      <c r="BG450" s="89"/>
      <c r="BH450" s="89"/>
      <c r="BI450" s="89"/>
      <c r="BJ450" s="89"/>
      <c r="BK450" s="89"/>
      <c r="BL450" s="89"/>
      <c r="BM450" s="89"/>
      <c r="BN450" s="89"/>
      <c r="BO450" s="89"/>
      <c r="BP450" s="89"/>
    </row>
    <row r="451" spans="1:68" s="320" customFormat="1" ht="45.75" hidden="1" customHeight="1">
      <c r="A451" s="204" t="str">
        <f>+IFERROR(VALUE(MID(AB451,4,4)),"")</f>
        <v/>
      </c>
      <c r="B451" s="204">
        <f>VALUE(RIGHT(C451,LEN(C451)-2))</f>
        <v>2269</v>
      </c>
      <c r="C451" s="74" t="s">
        <v>1808</v>
      </c>
      <c r="D451" s="75">
        <v>45669</v>
      </c>
      <c r="E451" s="70" t="s">
        <v>53</v>
      </c>
      <c r="F451" s="70" t="s">
        <v>252</v>
      </c>
      <c r="G451" s="68" t="s">
        <v>210</v>
      </c>
      <c r="H451" s="304" t="s">
        <v>210</v>
      </c>
      <c r="I451" s="162" t="s">
        <v>1809</v>
      </c>
      <c r="J451" s="162"/>
      <c r="K451" s="68" t="s">
        <v>9</v>
      </c>
      <c r="L451" s="69" t="s">
        <v>123</v>
      </c>
      <c r="M451" s="71" t="s">
        <v>141</v>
      </c>
      <c r="N451" s="69" t="e" vm="1">
        <v>#VALUE!</v>
      </c>
      <c r="O451" s="164">
        <v>45703</v>
      </c>
      <c r="P451" s="72" t="s">
        <v>213</v>
      </c>
      <c r="Q451" s="72" t="s">
        <v>259</v>
      </c>
      <c r="R451" s="162"/>
      <c r="S451" s="146" t="s">
        <v>1810</v>
      </c>
      <c r="T451" s="68" t="s">
        <v>168</v>
      </c>
      <c r="U451" s="87"/>
      <c r="V451" s="183">
        <v>45646</v>
      </c>
      <c r="W451" s="73"/>
      <c r="X451" s="73"/>
      <c r="Y451" s="83" t="str">
        <f>IF(SUM(W451:W451)&gt;0,X451/SUM(W451:W451)*1000000,"N/A")</f>
        <v>N/A</v>
      </c>
      <c r="Z451" s="183"/>
      <c r="AA451" s="183"/>
      <c r="AB451" s="73"/>
      <c r="AC451" s="153"/>
      <c r="AD451" s="330"/>
      <c r="AE451" s="305"/>
      <c r="AF451" s="88"/>
      <c r="AG451" s="182">
        <f>YEAR(V451)</f>
        <v>2024</v>
      </c>
      <c r="AH451" s="86" t="str">
        <f>+IF(AG451=$AH$22,MONTH(V451),"")</f>
        <v/>
      </c>
      <c r="AI451" s="86" t="str">
        <f>+IF(AG451=$AI$22,MONTH(V451),"")</f>
        <v/>
      </c>
      <c r="AJ451" s="86">
        <f>+IF(AG451=$AJ$22,MONTH(V451),"")</f>
        <v>12</v>
      </c>
      <c r="AK451" s="86" t="str">
        <f>+IF(AG451=$AK$22,MONTH(V451),"")</f>
        <v/>
      </c>
      <c r="AL451" s="86"/>
      <c r="AM451" s="89"/>
      <c r="AN451" s="89"/>
      <c r="AO451" s="89"/>
      <c r="AP451" s="89"/>
      <c r="AQ451" s="89"/>
      <c r="AR451" s="89"/>
      <c r="AS451" s="89"/>
      <c r="AT451" s="89"/>
      <c r="AU451" s="89"/>
      <c r="AV451" s="89"/>
      <c r="AW451" s="86" t="str">
        <f>+IF($AG451=AW$22,MONTH($D451),"")</f>
        <v/>
      </c>
      <c r="AX451" s="86" t="str">
        <f>+IF($AG451=AX$22,MONTH($D451),"")</f>
        <v/>
      </c>
      <c r="AY451" s="89"/>
      <c r="AZ451" s="89"/>
      <c r="BA451" s="89"/>
      <c r="BB451" s="89"/>
      <c r="BC451" s="89"/>
      <c r="BD451" s="89"/>
      <c r="BE451" s="89"/>
      <c r="BF451" s="89"/>
      <c r="BG451" s="89"/>
      <c r="BH451" s="89"/>
      <c r="BI451" s="89"/>
      <c r="BJ451" s="89"/>
      <c r="BK451" s="89"/>
      <c r="BL451" s="89"/>
      <c r="BM451" s="89"/>
      <c r="BN451" s="89"/>
      <c r="BO451" s="89"/>
      <c r="BP451" s="89"/>
    </row>
    <row r="452" spans="1:68" s="320" customFormat="1" ht="29.25" hidden="1" customHeight="1">
      <c r="A452" s="204" t="str">
        <f>+IFERROR(VALUE(MID(AB452,4,4)),"")</f>
        <v/>
      </c>
      <c r="B452" s="204">
        <f>VALUE(RIGHT(C452,LEN(C452)-2))</f>
        <v>2268</v>
      </c>
      <c r="C452" s="74" t="s">
        <v>1811</v>
      </c>
      <c r="D452" s="75">
        <v>45666</v>
      </c>
      <c r="E452" s="68" t="s">
        <v>757</v>
      </c>
      <c r="F452" s="68" t="s">
        <v>758</v>
      </c>
      <c r="G452" s="68" t="s">
        <v>759</v>
      </c>
      <c r="H452" s="282" t="s">
        <v>760</v>
      </c>
      <c r="I452" s="69" t="s">
        <v>1812</v>
      </c>
      <c r="J452" s="69"/>
      <c r="K452" s="68" t="s">
        <v>798</v>
      </c>
      <c r="L452" s="69" t="s">
        <v>123</v>
      </c>
      <c r="M452" s="71" t="s">
        <v>113</v>
      </c>
      <c r="N452" s="69" t="e" vm="4">
        <v>#VALUE!</v>
      </c>
      <c r="O452" s="84">
        <v>45677</v>
      </c>
      <c r="P452" s="69" t="s">
        <v>289</v>
      </c>
      <c r="Q452" s="69" t="s">
        <v>220</v>
      </c>
      <c r="R452" s="69"/>
      <c r="S452" s="146"/>
      <c r="T452" s="68" t="s">
        <v>158</v>
      </c>
      <c r="U452" s="87">
        <v>0.1</v>
      </c>
      <c r="V452" s="80">
        <v>45681</v>
      </c>
      <c r="W452" s="73">
        <v>3984</v>
      </c>
      <c r="X452" s="73">
        <v>197</v>
      </c>
      <c r="Y452" s="83">
        <f>IF(SUM(W452:W452)&gt;0,X452/SUM(W452:W452)*1000000,"N/A")</f>
        <v>49447.791164658629</v>
      </c>
      <c r="Z452" s="80"/>
      <c r="AA452" s="80"/>
      <c r="AB452" s="57"/>
      <c r="AC452" s="75"/>
      <c r="AD452" s="332"/>
      <c r="AE452" s="68"/>
      <c r="AF452" s="88"/>
      <c r="AG452" s="182">
        <f>YEAR(V452)</f>
        <v>2025</v>
      </c>
      <c r="AH452" s="86" t="str">
        <f>+IF(AG452=$AH$22,MONTH(V452),"")</f>
        <v/>
      </c>
      <c r="AI452" s="86">
        <f>+IF(AG452=$AI$22,MONTH(V452),"")</f>
        <v>1</v>
      </c>
      <c r="AJ452" s="86" t="str">
        <f>+IF(AG452=$AJ$22,MONTH(V452),"")</f>
        <v/>
      </c>
      <c r="AK452" s="86" t="str">
        <f>+IF(AG452=$AK$22,MONTH(V452),"")</f>
        <v/>
      </c>
      <c r="AL452" s="86" t="str">
        <f>+IF(AG452=$AL$22,MONTH(V452),"")</f>
        <v/>
      </c>
      <c r="AM452" s="86" t="str">
        <f>+IF($AG452=$AM$22,MONTH($D452),"")</f>
        <v/>
      </c>
      <c r="AN452" s="89" t="str">
        <f>+IF($AG452=AN$22,MONTH($D452),"")</f>
        <v/>
      </c>
      <c r="AO452" s="184" t="str">
        <f>+IF($AG452=AO$22,MONTH($D452),"")</f>
        <v/>
      </c>
      <c r="AP452" s="184" t="str">
        <f>+IF($AG452=AP$22,MONTH($D452),"")</f>
        <v/>
      </c>
      <c r="AQ452" s="184" t="str">
        <f>+IF($AG452=AQ$22,MONTH($D452),"")</f>
        <v/>
      </c>
      <c r="AR452" s="184" t="str">
        <f>+IF($AG452=AR$22,MONTH($D452),"")</f>
        <v/>
      </c>
      <c r="AS452" s="184" t="str">
        <f>+IF($AG452=AS$22,MONTH($D452),"")</f>
        <v/>
      </c>
      <c r="AT452" s="86" t="str">
        <f>+IF($AG452=AT$22,MONTH($D452),"")</f>
        <v/>
      </c>
      <c r="AU452" s="86" t="str">
        <f>+IF($AG452=AU$22,MONTH($D452),"")</f>
        <v/>
      </c>
      <c r="AV452" s="86" t="str">
        <f>+IF($AG452=AV$22,MONTH($D452),"")</f>
        <v/>
      </c>
      <c r="AW452" s="86" t="str">
        <f>+IF($AG452=AW$22,MONTH($D452),"")</f>
        <v/>
      </c>
      <c r="AX452" s="86" t="str">
        <f>+IF($AG452=AX$22,MONTH($D452),"")</f>
        <v/>
      </c>
      <c r="AY452" s="89"/>
      <c r="AZ452" s="89"/>
      <c r="BA452" s="89"/>
      <c r="BB452" s="89"/>
      <c r="BC452" s="89"/>
      <c r="BD452" s="89"/>
      <c r="BE452" s="89"/>
      <c r="BF452" s="89"/>
      <c r="BG452" s="89"/>
      <c r="BH452" s="89"/>
      <c r="BI452" s="89"/>
      <c r="BJ452" s="89"/>
      <c r="BK452" s="89"/>
      <c r="BL452" s="89"/>
      <c r="BM452" s="89"/>
      <c r="BN452" s="89"/>
      <c r="BO452" s="89"/>
      <c r="BP452" s="89"/>
    </row>
    <row r="453" spans="1:68" s="320" customFormat="1" ht="45.75" hidden="1" customHeight="1">
      <c r="A453" s="204" t="str">
        <f>+IFERROR(VALUE(MID(AB453,4,4)),"")</f>
        <v/>
      </c>
      <c r="B453" s="204">
        <f>VALUE(RIGHT(C453,LEN(C453)-2))</f>
        <v>2267</v>
      </c>
      <c r="C453" s="74" t="s">
        <v>1813</v>
      </c>
      <c r="D453" s="75">
        <v>45665</v>
      </c>
      <c r="E453" s="70" t="s">
        <v>277</v>
      </c>
      <c r="F453" s="70" t="s">
        <v>277</v>
      </c>
      <c r="G453" s="68" t="s">
        <v>278</v>
      </c>
      <c r="H453" s="307" t="s">
        <v>279</v>
      </c>
      <c r="I453" s="69" t="s">
        <v>1814</v>
      </c>
      <c r="J453" s="69"/>
      <c r="K453" s="68" t="s">
        <v>11</v>
      </c>
      <c r="L453" s="69" t="s">
        <v>129</v>
      </c>
      <c r="M453" s="71" t="s">
        <v>141</v>
      </c>
      <c r="N453" s="69" t="e" vm="1">
        <v>#VALUE!</v>
      </c>
      <c r="O453" s="84">
        <v>45670</v>
      </c>
      <c r="P453" s="72" t="s">
        <v>1815</v>
      </c>
      <c r="Q453" s="72" t="s">
        <v>259</v>
      </c>
      <c r="R453" s="162"/>
      <c r="S453" s="146"/>
      <c r="T453" s="68" t="s">
        <v>165</v>
      </c>
      <c r="U453" s="87"/>
      <c r="V453" s="183">
        <v>45725</v>
      </c>
      <c r="W453" s="73">
        <v>760</v>
      </c>
      <c r="X453" s="150">
        <v>36</v>
      </c>
      <c r="Y453" s="83">
        <f>IF(SUM(W453:W453)&gt;0,X453/SUM(W453:W453)*1000000,"N/A")</f>
        <v>47368.42105263158</v>
      </c>
      <c r="Z453" s="183"/>
      <c r="AA453" s="183"/>
      <c r="AB453" s="150"/>
      <c r="AC453" s="153"/>
      <c r="AD453" s="330"/>
      <c r="AE453" s="305"/>
      <c r="AF453" s="88"/>
      <c r="AG453" s="182">
        <f>YEAR(V453)</f>
        <v>2025</v>
      </c>
      <c r="AH453" s="86" t="str">
        <f>+IF(AG453=$AH$22,MONTH(V453),"")</f>
        <v/>
      </c>
      <c r="AI453" s="86">
        <f>+IF(AG453=$AI$22,MONTH(V453),"")</f>
        <v>3</v>
      </c>
      <c r="AJ453" s="86" t="str">
        <f>+IF(AG453=$AJ$22,MONTH(V453),"")</f>
        <v/>
      </c>
      <c r="AK453" s="86" t="str">
        <f>+IF(AG453=$AK$22,MONTH(V453),"")</f>
        <v/>
      </c>
      <c r="AL453" s="86"/>
      <c r="AM453" s="89"/>
      <c r="AN453" s="89"/>
      <c r="AO453" s="89"/>
      <c r="AP453" s="89"/>
      <c r="AQ453" s="89"/>
      <c r="AR453" s="89"/>
      <c r="AS453" s="89"/>
      <c r="AT453" s="89"/>
      <c r="AU453" s="89"/>
      <c r="AV453" s="89"/>
      <c r="AW453" s="86" t="str">
        <f>+IF($AG453=AW$22,MONTH($D453),"")</f>
        <v/>
      </c>
      <c r="AX453" s="86" t="str">
        <f>+IF($AG453=AX$22,MONTH($D453),"")</f>
        <v/>
      </c>
      <c r="AY453" s="89"/>
      <c r="AZ453" s="89"/>
      <c r="BA453" s="89"/>
      <c r="BB453" s="89"/>
      <c r="BC453" s="89"/>
      <c r="BD453" s="89"/>
      <c r="BE453" s="89"/>
      <c r="BF453" s="89"/>
      <c r="BG453" s="89"/>
      <c r="BH453" s="89"/>
      <c r="BI453" s="89"/>
      <c r="BJ453" s="89"/>
      <c r="BK453" s="89"/>
      <c r="BL453" s="89"/>
      <c r="BM453" s="89"/>
      <c r="BN453" s="89"/>
      <c r="BO453" s="89"/>
      <c r="BP453" s="89"/>
    </row>
    <row r="454" spans="1:68" s="320" customFormat="1" ht="45.75" hidden="1" customHeight="1">
      <c r="A454" s="204" t="str">
        <f>+IFERROR(VALUE(MID(AB454,4,4)),"")</f>
        <v/>
      </c>
      <c r="B454" s="204">
        <f>VALUE(RIGHT(C454,LEN(C454)-2))</f>
        <v>2266</v>
      </c>
      <c r="C454" s="74" t="s">
        <v>1816</v>
      </c>
      <c r="D454" s="75">
        <v>45663</v>
      </c>
      <c r="E454" s="70" t="s">
        <v>1817</v>
      </c>
      <c r="F454" s="70" t="s">
        <v>1817</v>
      </c>
      <c r="G454" s="68" t="s">
        <v>1818</v>
      </c>
      <c r="H454" s="282" t="s">
        <v>1819</v>
      </c>
      <c r="I454" s="162" t="s">
        <v>1820</v>
      </c>
      <c r="J454" s="162"/>
      <c r="K454" s="68" t="s">
        <v>9</v>
      </c>
      <c r="L454" s="69" t="s">
        <v>120</v>
      </c>
      <c r="M454" s="71" t="s">
        <v>141</v>
      </c>
      <c r="N454" s="69" t="e" vm="1">
        <v>#VALUE!</v>
      </c>
      <c r="O454" s="164">
        <v>45665</v>
      </c>
      <c r="P454" s="72" t="s">
        <v>402</v>
      </c>
      <c r="Q454" s="72" t="s">
        <v>259</v>
      </c>
      <c r="R454" s="162"/>
      <c r="S454" s="146"/>
      <c r="T454" s="68" t="s">
        <v>165</v>
      </c>
      <c r="U454" s="87"/>
      <c r="V454" s="183">
        <v>45666</v>
      </c>
      <c r="W454" s="73">
        <v>1742</v>
      </c>
      <c r="X454" s="73">
        <f>1821*38439/1000000</f>
        <v>69.997418999999994</v>
      </c>
      <c r="Y454" s="83">
        <f>IF(SUM(W454:W454)&gt;0,X454/SUM(W454:W454)*1000000,"N/A")</f>
        <v>40182.215269804816</v>
      </c>
      <c r="Z454" s="183"/>
      <c r="AA454" s="183"/>
      <c r="AB454" s="73"/>
      <c r="AC454" s="153"/>
      <c r="AD454" s="331"/>
      <c r="AE454" s="57"/>
      <c r="AF454" s="88"/>
      <c r="AG454" s="182">
        <f>YEAR(V454)</f>
        <v>2025</v>
      </c>
      <c r="AH454" s="86" t="str">
        <f>+IF(AG454=$AH$22,MONTH(V454),"")</f>
        <v/>
      </c>
      <c r="AI454" s="86">
        <f>+IF(AG454=$AI$22,MONTH(V454),"")</f>
        <v>1</v>
      </c>
      <c r="AJ454" s="86" t="str">
        <f>+IF(AG454=$AJ$22,MONTH(V454),"")</f>
        <v/>
      </c>
      <c r="AK454" s="86" t="str">
        <f>+IF(AG454=$AK$22,MONTH(V454),"")</f>
        <v/>
      </c>
      <c r="AL454" s="86"/>
      <c r="AM454" s="89"/>
      <c r="AN454" s="89"/>
      <c r="AO454" s="89"/>
      <c r="AP454" s="89"/>
      <c r="AQ454" s="89"/>
      <c r="AR454" s="89"/>
      <c r="AS454" s="89"/>
      <c r="AT454" s="89"/>
      <c r="AU454" s="89"/>
      <c r="AV454" s="89"/>
      <c r="AW454" s="86" t="str">
        <f>+IF($AG454=AW$22,MONTH($D454),"")</f>
        <v/>
      </c>
      <c r="AX454" s="86" t="str">
        <f>+IF($AG454=AX$22,MONTH($D454),"")</f>
        <v/>
      </c>
      <c r="AY454" s="89"/>
      <c r="AZ454" s="89"/>
      <c r="BA454" s="89"/>
      <c r="BB454" s="89"/>
      <c r="BC454" s="89"/>
      <c r="BD454" s="89"/>
      <c r="BE454" s="89"/>
      <c r="BF454" s="89"/>
      <c r="BG454" s="89"/>
      <c r="BH454" s="89"/>
      <c r="BI454" s="89"/>
      <c r="BJ454" s="89"/>
      <c r="BK454" s="89"/>
      <c r="BL454" s="89"/>
      <c r="BM454" s="89"/>
      <c r="BN454" s="89"/>
      <c r="BO454" s="89"/>
      <c r="BP454" s="89"/>
    </row>
    <row r="455" spans="1:68" s="56" customFormat="1" ht="30" hidden="1" customHeight="1">
      <c r="A455" s="204" t="str">
        <f>+IFERROR(VALUE(MID(AB455,4,4)),"")</f>
        <v/>
      </c>
      <c r="B455" s="204">
        <f>VALUE(RIGHT(C455,LEN(C455)-2))</f>
        <v>2265</v>
      </c>
      <c r="C455" s="74" t="s">
        <v>1821</v>
      </c>
      <c r="D455" s="75">
        <v>45660</v>
      </c>
      <c r="E455" s="70" t="s">
        <v>353</v>
      </c>
      <c r="F455" s="70" t="s">
        <v>354</v>
      </c>
      <c r="G455" s="68" t="s">
        <v>1803</v>
      </c>
      <c r="H455" s="282" t="s">
        <v>647</v>
      </c>
      <c r="I455" s="162" t="s">
        <v>1822</v>
      </c>
      <c r="J455" s="162"/>
      <c r="K455" s="68" t="s">
        <v>9</v>
      </c>
      <c r="L455" s="69" t="s">
        <v>120</v>
      </c>
      <c r="M455" s="71" t="s">
        <v>141</v>
      </c>
      <c r="N455" s="69" t="e" vm="1">
        <v>#VALUE!</v>
      </c>
      <c r="O455" s="164">
        <v>45673</v>
      </c>
      <c r="P455" s="72" t="s">
        <v>377</v>
      </c>
      <c r="Q455" s="72" t="s">
        <v>694</v>
      </c>
      <c r="R455" s="162"/>
      <c r="S455" s="146"/>
      <c r="T455" s="68" t="s">
        <v>165</v>
      </c>
      <c r="U455" s="87"/>
      <c r="V455" s="183">
        <v>45664</v>
      </c>
      <c r="W455" s="73">
        <v>329</v>
      </c>
      <c r="X455" s="73">
        <v>16.5</v>
      </c>
      <c r="Y455" s="83">
        <f>IF(SUM(W455:W455)&gt;0,X455/SUM(W455:W455)*1000000,"N/A")</f>
        <v>50151.975683890574</v>
      </c>
      <c r="Z455" s="183"/>
      <c r="AA455" s="183"/>
      <c r="AB455" s="73"/>
      <c r="AC455" s="153"/>
      <c r="AD455" s="331"/>
      <c r="AE455" s="57"/>
      <c r="AF455" s="88"/>
      <c r="AG455" s="182">
        <f>YEAR(V455)</f>
        <v>2025</v>
      </c>
      <c r="AH455" s="86" t="str">
        <f>+IF(AG455=$AH$22,MONTH(V455),"")</f>
        <v/>
      </c>
      <c r="AI455" s="86">
        <f>+IF(AG455=$AI$22,MONTH(V455),"")</f>
        <v>1</v>
      </c>
      <c r="AJ455" s="86" t="str">
        <f>+IF(AG455=$AJ$22,MONTH(V455),"")</f>
        <v/>
      </c>
      <c r="AK455" s="86" t="str">
        <f>+IF(AG455=$AK$22,MONTH(V455),"")</f>
        <v/>
      </c>
      <c r="AL455" s="86"/>
      <c r="AM455" s="89"/>
      <c r="AN455" s="89"/>
      <c r="AO455" s="89"/>
      <c r="AP455" s="89"/>
      <c r="AQ455" s="89"/>
      <c r="AR455" s="89"/>
      <c r="AS455" s="89"/>
      <c r="AT455" s="89"/>
      <c r="AU455" s="89"/>
      <c r="AV455" s="89"/>
      <c r="AW455" s="86" t="str">
        <f>+IF($AG455=AW$22,MONTH($D455),"")</f>
        <v/>
      </c>
      <c r="AX455" s="86" t="str">
        <f>+IF($AG455=AX$22,MONTH($D455),"")</f>
        <v/>
      </c>
      <c r="AY455" s="89"/>
      <c r="AZ455" s="89"/>
      <c r="BA455" s="89"/>
      <c r="BB455" s="89"/>
      <c r="BC455" s="89"/>
      <c r="BD455" s="89"/>
      <c r="BE455" s="89"/>
      <c r="BF455" s="89"/>
      <c r="BG455" s="89"/>
      <c r="BH455" s="89"/>
      <c r="BI455" s="89"/>
      <c r="BJ455" s="89"/>
      <c r="BK455" s="89"/>
      <c r="BL455" s="89"/>
      <c r="BM455" s="89"/>
      <c r="BN455" s="89"/>
      <c r="BO455" s="89"/>
      <c r="BP455" s="89"/>
    </row>
    <row r="456" spans="1:68" s="356" customFormat="1" ht="24" hidden="1" customHeight="1">
      <c r="A456" s="204" t="str">
        <f>+IFERROR(VALUE(MID(AB456,4,4)),"")</f>
        <v/>
      </c>
      <c r="B456" s="204">
        <f>VALUE(RIGHT(C456,LEN(C456)-2))</f>
        <v>2264</v>
      </c>
      <c r="C456" s="74" t="s">
        <v>1823</v>
      </c>
      <c r="D456" s="75">
        <v>45663</v>
      </c>
      <c r="E456" s="70" t="s">
        <v>479</v>
      </c>
      <c r="F456" s="70" t="s">
        <v>479</v>
      </c>
      <c r="G456" s="68" t="s">
        <v>1533</v>
      </c>
      <c r="H456" s="307" t="s">
        <v>1752</v>
      </c>
      <c r="I456" s="162" t="s">
        <v>1824</v>
      </c>
      <c r="J456" s="162"/>
      <c r="K456" s="68" t="s">
        <v>798</v>
      </c>
      <c r="L456" s="69" t="s">
        <v>129</v>
      </c>
      <c r="M456" s="71" t="s">
        <v>113</v>
      </c>
      <c r="N456" s="69" t="e" vm="2">
        <v>#VALUE!</v>
      </c>
      <c r="O456" s="164">
        <v>45670</v>
      </c>
      <c r="P456" s="72" t="s">
        <v>294</v>
      </c>
      <c r="Q456" s="72" t="s">
        <v>229</v>
      </c>
      <c r="R456" s="162"/>
      <c r="S456" s="146"/>
      <c r="T456" s="68" t="s">
        <v>165</v>
      </c>
      <c r="U456" s="87"/>
      <c r="V456" s="183">
        <v>45663</v>
      </c>
      <c r="W456" s="73">
        <v>8404</v>
      </c>
      <c r="X456" s="73">
        <v>246</v>
      </c>
      <c r="Y456" s="83">
        <f>IF(SUM(W456:W456)&gt;0,X456/SUM(W456:W456)*1000000,"N/A")</f>
        <v>29271.775345073776</v>
      </c>
      <c r="Z456" s="183"/>
      <c r="AA456" s="183"/>
      <c r="AB456" s="73"/>
      <c r="AC456" s="153"/>
      <c r="AD456" s="330"/>
      <c r="AE456" s="305"/>
      <c r="AF456" s="88"/>
      <c r="AG456" s="182">
        <f>YEAR(V456)</f>
        <v>2025</v>
      </c>
      <c r="AH456" s="86" t="str">
        <f>+IF(AG456=$AH$22,MONTH(V456),"")</f>
        <v/>
      </c>
      <c r="AI456" s="86">
        <f>+IF(AG456=$AI$22,MONTH(V456),"")</f>
        <v>1</v>
      </c>
      <c r="AJ456" s="86" t="str">
        <f>+IF(AG456=$AJ$22,MONTH(V456),"")</f>
        <v/>
      </c>
      <c r="AK456" s="86" t="str">
        <f>+IF(AG456=$AK$22,MONTH(V456),"")</f>
        <v/>
      </c>
      <c r="AL456" s="86"/>
      <c r="AM456" s="89"/>
      <c r="AN456" s="89"/>
      <c r="AO456" s="89"/>
      <c r="AP456" s="89"/>
      <c r="AQ456" s="89"/>
      <c r="AR456" s="89"/>
      <c r="AS456" s="89"/>
      <c r="AT456" s="89"/>
      <c r="AU456" s="89"/>
      <c r="AV456" s="89"/>
      <c r="AW456" s="86" t="str">
        <f>+IF($AG456=AW$22,MONTH($D456),"")</f>
        <v/>
      </c>
      <c r="AX456" s="86" t="str">
        <f>+IF($AG456=AX$22,MONTH($D456),"")</f>
        <v/>
      </c>
      <c r="AY456" s="89"/>
      <c r="AZ456" s="89"/>
      <c r="BA456" s="89"/>
      <c r="BB456" s="89"/>
      <c r="BC456" s="89"/>
      <c r="BD456" s="89"/>
      <c r="BE456" s="89"/>
      <c r="BF456" s="89"/>
      <c r="BG456" s="89"/>
      <c r="BH456" s="89"/>
      <c r="BI456" s="89"/>
      <c r="BJ456" s="89"/>
      <c r="BK456" s="89"/>
      <c r="BL456" s="89"/>
      <c r="BM456" s="89"/>
      <c r="BN456" s="89"/>
      <c r="BO456" s="89"/>
      <c r="BP456" s="89"/>
    </row>
    <row r="457" spans="1:68" s="56" customFormat="1" ht="32.25" hidden="1" customHeight="1">
      <c r="A457" s="204" t="str">
        <f>+IFERROR(VALUE(MID(AB457,4,4)),"")</f>
        <v/>
      </c>
      <c r="B457" s="204">
        <f>VALUE(RIGHT(C457,LEN(C457)-2))</f>
        <v>2263</v>
      </c>
      <c r="C457" s="74" t="s">
        <v>1825</v>
      </c>
      <c r="D457" s="75">
        <v>45660</v>
      </c>
      <c r="E457" s="70" t="s">
        <v>262</v>
      </c>
      <c r="F457" s="70" t="s">
        <v>270</v>
      </c>
      <c r="G457" s="68" t="s">
        <v>1826</v>
      </c>
      <c r="H457" s="307" t="s">
        <v>1827</v>
      </c>
      <c r="I457" s="162" t="s">
        <v>1828</v>
      </c>
      <c r="J457" s="162"/>
      <c r="K457" s="68" t="s">
        <v>212</v>
      </c>
      <c r="L457" s="69" t="s">
        <v>123</v>
      </c>
      <c r="M457" s="71" t="s">
        <v>141</v>
      </c>
      <c r="N457" s="69" t="e" vm="1">
        <v>#VALUE!</v>
      </c>
      <c r="O457" s="84">
        <v>45716</v>
      </c>
      <c r="P457" s="72" t="s">
        <v>228</v>
      </c>
      <c r="Q457" s="72" t="s">
        <v>652</v>
      </c>
      <c r="R457" s="162"/>
      <c r="S457" s="146"/>
      <c r="T457" s="68" t="s">
        <v>165</v>
      </c>
      <c r="U457" s="87"/>
      <c r="V457" s="183">
        <v>45901</v>
      </c>
      <c r="W457" s="73">
        <v>1000</v>
      </c>
      <c r="X457" s="73">
        <v>40</v>
      </c>
      <c r="Y457" s="83">
        <f>IF(SUM(W457:W457)&gt;0,X457/SUM(W457:W457)*1000000,"N/A")</f>
        <v>40000</v>
      </c>
      <c r="Z457" s="183"/>
      <c r="AA457" s="183"/>
      <c r="AB457" s="73"/>
      <c r="AC457" s="153"/>
      <c r="AD457" s="330"/>
      <c r="AE457" s="305"/>
      <c r="AF457" s="88"/>
      <c r="AG457" s="182">
        <f>YEAR(V457)</f>
        <v>2025</v>
      </c>
      <c r="AH457" s="86" t="str">
        <f>+IF(AG457=$AH$22,MONTH(V457),"")</f>
        <v/>
      </c>
      <c r="AI457" s="86">
        <f>+IF(AG457=$AI$22,MONTH(V457),"")</f>
        <v>9</v>
      </c>
      <c r="AJ457" s="86" t="str">
        <f>+IF(AG457=$AJ$22,MONTH(V457),"")</f>
        <v/>
      </c>
      <c r="AK457" s="86" t="str">
        <f>+IF(AG457=$AK$22,MONTH(V457),"")</f>
        <v/>
      </c>
      <c r="AL457" s="86"/>
      <c r="AM457" s="89"/>
      <c r="AN457" s="89"/>
      <c r="AO457" s="89"/>
      <c r="AP457" s="89"/>
      <c r="AQ457" s="89"/>
      <c r="AR457" s="89"/>
      <c r="AS457" s="89"/>
      <c r="AT457" s="89"/>
      <c r="AU457" s="89"/>
      <c r="AV457" s="89"/>
      <c r="AW457" s="86" t="str">
        <f>+IF($AG457=AW$22,MONTH($D457),"")</f>
        <v/>
      </c>
      <c r="AX457" s="86" t="str">
        <f>+IF($AG457=AX$22,MONTH($D457),"")</f>
        <v/>
      </c>
      <c r="AY457" s="89"/>
      <c r="AZ457" s="89"/>
      <c r="BA457" s="89"/>
      <c r="BB457" s="89"/>
      <c r="BC457" s="89"/>
      <c r="BD457" s="89"/>
      <c r="BE457" s="89"/>
      <c r="BF457" s="89"/>
      <c r="BG457" s="89"/>
      <c r="BH457" s="89"/>
      <c r="BI457" s="89"/>
      <c r="BJ457" s="89"/>
      <c r="BK457" s="89"/>
      <c r="BL457" s="89"/>
      <c r="BM457" s="89"/>
      <c r="BN457" s="89"/>
      <c r="BO457" s="89"/>
      <c r="BP457" s="89"/>
    </row>
    <row r="458" spans="1:68" s="320" customFormat="1" ht="29.25" hidden="1" customHeight="1">
      <c r="A458" s="204" t="str">
        <f>+IFERROR(VALUE(MID(AB458,4,4)),"")</f>
        <v/>
      </c>
      <c r="B458" s="204">
        <f>VALUE(RIGHT(C458,LEN(C458)-2))</f>
        <v>2262</v>
      </c>
      <c r="C458" s="74" t="s">
        <v>1829</v>
      </c>
      <c r="D458" s="75">
        <v>45659</v>
      </c>
      <c r="E458" s="70" t="s">
        <v>1830</v>
      </c>
      <c r="F458" s="70" t="s">
        <v>1831</v>
      </c>
      <c r="G458" s="68" t="s">
        <v>1832</v>
      </c>
      <c r="H458" s="282" t="s">
        <v>1833</v>
      </c>
      <c r="I458" s="162" t="s">
        <v>1834</v>
      </c>
      <c r="J458" s="162"/>
      <c r="K458" s="68" t="s">
        <v>9</v>
      </c>
      <c r="L458" s="69" t="s">
        <v>120</v>
      </c>
      <c r="M458" s="71" t="s">
        <v>141</v>
      </c>
      <c r="N458" s="69" t="e" vm="1">
        <v>#VALUE!</v>
      </c>
      <c r="O458" s="377">
        <v>45730</v>
      </c>
      <c r="P458" s="72" t="s">
        <v>402</v>
      </c>
      <c r="Q458" s="72" t="s">
        <v>259</v>
      </c>
      <c r="R458" s="162"/>
      <c r="S458" s="146"/>
      <c r="T458" s="68" t="s">
        <v>165</v>
      </c>
      <c r="U458" s="87"/>
      <c r="V458" s="183">
        <v>45777</v>
      </c>
      <c r="W458" s="73">
        <v>2042</v>
      </c>
      <c r="X458" s="73">
        <v>106</v>
      </c>
      <c r="Y458" s="83">
        <f>IF(SUM(W458:W458)&gt;0,X458/SUM(W458:W458)*1000000,"N/A")</f>
        <v>51909.89226248776</v>
      </c>
      <c r="Z458" s="183"/>
      <c r="AA458" s="183"/>
      <c r="AB458" s="73"/>
      <c r="AC458" s="153"/>
      <c r="AD458" s="331"/>
      <c r="AE458" s="57"/>
      <c r="AF458" s="88"/>
      <c r="AG458" s="182">
        <f>YEAR(V458)</f>
        <v>2025</v>
      </c>
      <c r="AH458" s="86" t="str">
        <f>+IF(AG458=$AH$22,MONTH(V458),"")</f>
        <v/>
      </c>
      <c r="AI458" s="86">
        <f>+IF(AG458=$AI$22,MONTH(V458),"")</f>
        <v>4</v>
      </c>
      <c r="AJ458" s="86" t="str">
        <f>+IF(AG458=$AJ$22,MONTH(V458),"")</f>
        <v/>
      </c>
      <c r="AK458" s="86" t="str">
        <f>+IF(AG458=$AK$22,MONTH(V458),"")</f>
        <v/>
      </c>
      <c r="AL458" s="86"/>
      <c r="AM458" s="89"/>
      <c r="AN458" s="89"/>
      <c r="AO458" s="89"/>
      <c r="AP458" s="89"/>
      <c r="AQ458" s="89"/>
      <c r="AR458" s="89"/>
      <c r="AS458" s="89"/>
      <c r="AT458" s="89"/>
      <c r="AU458" s="89"/>
      <c r="AV458" s="89"/>
      <c r="AW458" s="86" t="str">
        <f>+IF($AG458=AW$22,MONTH($D458),"")</f>
        <v/>
      </c>
      <c r="AX458" s="86" t="str">
        <f>+IF($AG458=AX$22,MONTH($D458),"")</f>
        <v/>
      </c>
      <c r="AY458" s="89"/>
      <c r="AZ458" s="89"/>
      <c r="BA458" s="89"/>
      <c r="BB458" s="89"/>
      <c r="BC458" s="89"/>
      <c r="BD458" s="89"/>
      <c r="BE458" s="89"/>
      <c r="BF458" s="89"/>
      <c r="BG458" s="89"/>
      <c r="BH458" s="89"/>
      <c r="BI458" s="89"/>
      <c r="BJ458" s="89"/>
      <c r="BK458" s="89"/>
      <c r="BL458" s="89"/>
      <c r="BM458" s="89"/>
      <c r="BN458" s="89"/>
      <c r="BO458" s="89"/>
      <c r="BP458" s="89"/>
    </row>
    <row r="459" spans="1:68" s="56" customFormat="1" ht="31.5" hidden="1" customHeight="1">
      <c r="A459" s="204">
        <f>+IFERROR(VALUE(MID(AB459,4,4)),"")</f>
        <v>399</v>
      </c>
      <c r="B459" s="204">
        <f>VALUE(RIGHT(C459,LEN(C459)-2))</f>
        <v>2261</v>
      </c>
      <c r="C459" s="74" t="s">
        <v>1835</v>
      </c>
      <c r="D459" s="75">
        <v>45658</v>
      </c>
      <c r="E459" s="70" t="s">
        <v>473</v>
      </c>
      <c r="F459" s="70" t="s">
        <v>473</v>
      </c>
      <c r="G459" s="68" t="s">
        <v>1040</v>
      </c>
      <c r="H459" s="307" t="s">
        <v>1041</v>
      </c>
      <c r="I459" s="69" t="s">
        <v>1836</v>
      </c>
      <c r="J459" s="69"/>
      <c r="K459" s="68" t="s">
        <v>9</v>
      </c>
      <c r="L459" s="69" t="s">
        <v>129</v>
      </c>
      <c r="M459" s="71" t="s">
        <v>141</v>
      </c>
      <c r="N459" s="69" t="e" vm="1">
        <v>#VALUE!</v>
      </c>
      <c r="O459" s="164">
        <v>45770</v>
      </c>
      <c r="P459" s="72" t="s">
        <v>377</v>
      </c>
      <c r="Q459" s="72" t="s">
        <v>316</v>
      </c>
      <c r="R459" s="162"/>
      <c r="S459" s="146" t="s">
        <v>1837</v>
      </c>
      <c r="T459" s="68" t="s">
        <v>3</v>
      </c>
      <c r="U459" s="87"/>
      <c r="V459" s="183">
        <v>45806</v>
      </c>
      <c r="W459" s="73">
        <v>771</v>
      </c>
      <c r="X459" s="73">
        <v>37.5</v>
      </c>
      <c r="Y459" s="83">
        <f>IF(SUM(W459:W459)&gt;0,X459/SUM(W459:W459)*1000000,"N/A")</f>
        <v>48638.132295719843</v>
      </c>
      <c r="Z459" s="183"/>
      <c r="AA459" s="183"/>
      <c r="AB459" s="73" t="s">
        <v>1838</v>
      </c>
      <c r="AC459" s="153"/>
      <c r="AD459" s="331"/>
      <c r="AE459" s="57"/>
      <c r="AF459" s="88"/>
      <c r="AG459" s="182">
        <f>YEAR(V459)</f>
        <v>2025</v>
      </c>
      <c r="AH459" s="86" t="str">
        <f>+IF(AG459=$AH$22,MONTH(V459),"")</f>
        <v/>
      </c>
      <c r="AI459" s="86">
        <f>+IF(AG459=$AI$22,MONTH(V459),"")</f>
        <v>5</v>
      </c>
      <c r="AJ459" s="86" t="str">
        <f>+IF(AG459=$AJ$22,MONTH(V459),"")</f>
        <v/>
      </c>
      <c r="AK459" s="86" t="str">
        <f>+IF(AG459=$AK$22,MONTH(V459),"")</f>
        <v/>
      </c>
      <c r="AL459" s="86"/>
      <c r="AM459" s="89"/>
      <c r="AN459" s="89"/>
      <c r="AO459" s="89"/>
      <c r="AP459" s="89"/>
      <c r="AQ459" s="89"/>
      <c r="AR459" s="89"/>
      <c r="AS459" s="89"/>
      <c r="AT459" s="89"/>
      <c r="AU459" s="89"/>
      <c r="AV459" s="89"/>
      <c r="AW459" s="86" t="str">
        <f>+IF($AG459=AW$22,MONTH($D459),"")</f>
        <v/>
      </c>
      <c r="AX459" s="86" t="str">
        <f>+IF($AG459=AX$22,MONTH($D459),"")</f>
        <v/>
      </c>
      <c r="AY459" s="89"/>
      <c r="AZ459" s="89"/>
      <c r="BA459" s="89"/>
      <c r="BB459" s="89"/>
      <c r="BC459" s="89"/>
      <c r="BD459" s="89"/>
      <c r="BE459" s="89"/>
      <c r="BF459" s="89"/>
      <c r="BG459" s="89"/>
      <c r="BH459" s="89"/>
      <c r="BI459" s="89"/>
      <c r="BJ459" s="89"/>
      <c r="BK459" s="89"/>
      <c r="BL459" s="89"/>
      <c r="BM459" s="89"/>
      <c r="BN459" s="89"/>
      <c r="BO459" s="89"/>
      <c r="BP459" s="89"/>
    </row>
    <row r="460" spans="1:68" s="56" customFormat="1" ht="42.75" hidden="1" customHeight="1">
      <c r="A460" s="204">
        <f>+IFERROR(VALUE(MID(AB460,4,4)),"")</f>
        <v>430</v>
      </c>
      <c r="B460" s="204">
        <f>VALUE(RIGHT(C460,LEN(C460)-2))</f>
        <v>2260</v>
      </c>
      <c r="C460" s="74" t="s">
        <v>1839</v>
      </c>
      <c r="D460" s="75">
        <v>45656</v>
      </c>
      <c r="E460" s="68" t="s">
        <v>757</v>
      </c>
      <c r="F460" s="68" t="s">
        <v>758</v>
      </c>
      <c r="G460" s="68" t="s">
        <v>1386</v>
      </c>
      <c r="H460" s="282" t="s">
        <v>760</v>
      </c>
      <c r="I460" s="69" t="s">
        <v>1840</v>
      </c>
      <c r="J460" s="69"/>
      <c r="K460" s="68" t="s">
        <v>1841</v>
      </c>
      <c r="L460" s="69" t="s">
        <v>123</v>
      </c>
      <c r="M460" s="71" t="s">
        <v>113</v>
      </c>
      <c r="N460" s="69" t="e" vm="4">
        <v>#VALUE!</v>
      </c>
      <c r="O460" s="84">
        <v>45670</v>
      </c>
      <c r="P460" s="69" t="s">
        <v>289</v>
      </c>
      <c r="Q460" s="69" t="s">
        <v>310</v>
      </c>
      <c r="R460" s="69"/>
      <c r="S460" s="146"/>
      <c r="T460" s="68" t="s">
        <v>3</v>
      </c>
      <c r="U460" s="87"/>
      <c r="V460" s="80">
        <v>45761</v>
      </c>
      <c r="W460" s="73">
        <v>1927</v>
      </c>
      <c r="X460" s="73">
        <v>104.2</v>
      </c>
      <c r="Y460" s="83">
        <f>IF(SUM(W460:W460)&gt;0,X460/SUM(W460:W460)*1000000,"N/A")</f>
        <v>54073.689673066947</v>
      </c>
      <c r="Z460" s="80"/>
      <c r="AA460" s="80"/>
      <c r="AB460" s="73" t="s">
        <v>1842</v>
      </c>
      <c r="AC460" s="75"/>
      <c r="AD460" s="332"/>
      <c r="AE460" s="68"/>
      <c r="AF460" s="88"/>
      <c r="AG460" s="182">
        <f>YEAR(V460)</f>
        <v>2025</v>
      </c>
      <c r="AH460" s="86" t="str">
        <f>+IF(AG460=$AH$22,MONTH(V460),"")</f>
        <v/>
      </c>
      <c r="AI460" s="86">
        <f>+IF(AG460=$AI$22,MONTH(V460),"")</f>
        <v>4</v>
      </c>
      <c r="AJ460" s="86" t="str">
        <f>+IF(AG460=$AJ$22,MONTH(V460),"")</f>
        <v/>
      </c>
      <c r="AK460" s="86" t="str">
        <f>+IF(AG460=$AK$22,MONTH(V460),"")</f>
        <v/>
      </c>
      <c r="AL460" s="86" t="str">
        <f>+IF(AG460=$AL$22,MONTH(V460),"")</f>
        <v/>
      </c>
      <c r="AM460" s="86" t="str">
        <f>+IF($AG460=$AM$22,MONTH($D460),"")</f>
        <v/>
      </c>
      <c r="AN460" s="89" t="str">
        <f>+IF($AG460=AN$22,MONTH($D460),"")</f>
        <v/>
      </c>
      <c r="AO460" s="184" t="str">
        <f>+IF($AG460=AO$22,MONTH($D460),"")</f>
        <v/>
      </c>
      <c r="AP460" s="184" t="str">
        <f>+IF($AG460=AP$22,MONTH($D460),"")</f>
        <v/>
      </c>
      <c r="AQ460" s="184" t="str">
        <f>+IF($AG460=AQ$22,MONTH($D460),"")</f>
        <v/>
      </c>
      <c r="AR460" s="184" t="str">
        <f>+IF($AG460=AR$22,MONTH($D460),"")</f>
        <v/>
      </c>
      <c r="AS460" s="184" t="str">
        <f>+IF($AG460=AS$22,MONTH($D460),"")</f>
        <v/>
      </c>
      <c r="AT460" s="86" t="str">
        <f>+IF($AG460=AT$22,MONTH($D460),"")</f>
        <v/>
      </c>
      <c r="AU460" s="86" t="str">
        <f>+IF($AG460=AU$22,MONTH($D460),"")</f>
        <v/>
      </c>
      <c r="AV460" s="86" t="str">
        <f>+IF($AG460=AV$22,MONTH($D460),"")</f>
        <v/>
      </c>
      <c r="AW460" s="86" t="str">
        <f>+IF($AG460=AW$22,MONTH($D460),"")</f>
        <v/>
      </c>
      <c r="AX460" s="86" t="str">
        <f>+IF($AG460=AX$22,MONTH($D460),"")</f>
        <v/>
      </c>
      <c r="AY460" s="89"/>
      <c r="AZ460" s="89"/>
      <c r="BA460" s="89"/>
      <c r="BB460" s="89"/>
      <c r="BC460" s="89"/>
      <c r="BD460" s="89"/>
      <c r="BE460" s="89"/>
      <c r="BF460" s="89"/>
      <c r="BG460" s="89"/>
      <c r="BH460" s="89"/>
      <c r="BI460" s="89"/>
      <c r="BJ460" s="89"/>
      <c r="BK460" s="89"/>
      <c r="BL460" s="89"/>
      <c r="BM460" s="89"/>
      <c r="BN460" s="89"/>
      <c r="BO460" s="89"/>
      <c r="BP460" s="89"/>
    </row>
    <row r="461" spans="1:68" s="56" customFormat="1" ht="32.25" hidden="1" customHeight="1">
      <c r="A461" s="204">
        <f>+IFERROR(VALUE(MID(AB461,4,4)),"")</f>
        <v>392</v>
      </c>
      <c r="B461" s="204">
        <f>VALUE(RIGHT(C461,LEN(C461)-2))</f>
        <v>2259</v>
      </c>
      <c r="C461" s="74" t="s">
        <v>1843</v>
      </c>
      <c r="D461" s="75">
        <v>45322</v>
      </c>
      <c r="E461" s="70" t="s">
        <v>332</v>
      </c>
      <c r="F461" s="70" t="s">
        <v>332</v>
      </c>
      <c r="G461" s="68" t="s">
        <v>333</v>
      </c>
      <c r="H461" s="304" t="s">
        <v>334</v>
      </c>
      <c r="I461" s="162" t="s">
        <v>1844</v>
      </c>
      <c r="J461" s="162"/>
      <c r="K461" s="68" t="s">
        <v>12</v>
      </c>
      <c r="L461" s="69" t="s">
        <v>129</v>
      </c>
      <c r="M461" s="71" t="s">
        <v>141</v>
      </c>
      <c r="N461" s="69" t="e" vm="1">
        <v>#VALUE!</v>
      </c>
      <c r="O461" s="164">
        <v>45659</v>
      </c>
      <c r="P461" s="72" t="s">
        <v>382</v>
      </c>
      <c r="Q461" s="72" t="s">
        <v>259</v>
      </c>
      <c r="R461" s="162"/>
      <c r="S461" s="146"/>
      <c r="T461" s="68" t="s">
        <v>3</v>
      </c>
      <c r="U461" s="87"/>
      <c r="V461" s="183">
        <v>45659</v>
      </c>
      <c r="W461" s="73">
        <v>123</v>
      </c>
      <c r="X461" s="73">
        <v>5.5</v>
      </c>
      <c r="Y461" s="83">
        <f>IF(SUM(W461:W461)&gt;0,X461/SUM(W461:W461)*1000000,"N/A")</f>
        <v>44715.447154471542</v>
      </c>
      <c r="Z461" s="183"/>
      <c r="AA461" s="183"/>
      <c r="AB461" s="73" t="s">
        <v>1845</v>
      </c>
      <c r="AC461" s="153"/>
      <c r="AD461" s="330"/>
      <c r="AE461" s="305"/>
      <c r="AF461" s="88"/>
      <c r="AG461" s="182">
        <f>YEAR(V461)</f>
        <v>2025</v>
      </c>
      <c r="AH461" s="86" t="str">
        <f>+IF(AG461=$AH$22,MONTH(V461),"")</f>
        <v/>
      </c>
      <c r="AI461" s="86">
        <f>+IF(AG461=$AI$22,MONTH(V461),"")</f>
        <v>1</v>
      </c>
      <c r="AJ461" s="86" t="str">
        <f>+IF(AG461=$AJ$22,MONTH(V461),"")</f>
        <v/>
      </c>
      <c r="AK461" s="86" t="str">
        <f>+IF(AG461=$AK$22,MONTH(V461),"")</f>
        <v/>
      </c>
      <c r="AL461" s="86"/>
      <c r="AM461" s="89"/>
      <c r="AN461" s="89"/>
      <c r="AO461" s="89"/>
      <c r="AP461" s="89"/>
      <c r="AQ461" s="89"/>
      <c r="AR461" s="89"/>
      <c r="AS461" s="89"/>
      <c r="AT461" s="89"/>
      <c r="AU461" s="89"/>
      <c r="AV461" s="89"/>
      <c r="AW461" s="86" t="str">
        <f>+IF($AG461=AW$22,MONTH($D461),"")</f>
        <v/>
      </c>
      <c r="AX461" s="86" t="str">
        <f>+IF($AG461=AX$22,MONTH($D461),"")</f>
        <v/>
      </c>
      <c r="AY461" s="89"/>
      <c r="AZ461" s="89"/>
      <c r="BA461" s="89"/>
      <c r="BB461" s="89"/>
      <c r="BC461" s="89"/>
      <c r="BD461" s="89"/>
      <c r="BE461" s="89"/>
      <c r="BF461" s="89"/>
      <c r="BG461" s="89"/>
      <c r="BH461" s="89"/>
      <c r="BI461" s="89"/>
      <c r="BJ461" s="89"/>
      <c r="BK461" s="89"/>
      <c r="BL461" s="89"/>
      <c r="BM461" s="89"/>
      <c r="BN461" s="89"/>
      <c r="BO461" s="89"/>
      <c r="BP461" s="89"/>
    </row>
    <row r="462" spans="1:68" s="89" customFormat="1" ht="45.75" hidden="1" customHeight="1">
      <c r="A462" s="204" t="str">
        <f>+IFERROR(VALUE(MID(AB462,4,4)),"")</f>
        <v/>
      </c>
      <c r="B462" s="204">
        <f>VALUE(RIGHT(C462,LEN(C462)-2))</f>
        <v>2258</v>
      </c>
      <c r="C462" s="74" t="s">
        <v>1846</v>
      </c>
      <c r="D462" s="75">
        <v>45655</v>
      </c>
      <c r="E462" s="70" t="s">
        <v>473</v>
      </c>
      <c r="F462" s="70" t="s">
        <v>473</v>
      </c>
      <c r="G462" s="68" t="s">
        <v>1847</v>
      </c>
      <c r="H462" s="307" t="s">
        <v>1848</v>
      </c>
      <c r="I462" s="69" t="s">
        <v>1849</v>
      </c>
      <c r="J462" s="69"/>
      <c r="K462" s="68" t="s">
        <v>944</v>
      </c>
      <c r="L462" s="68" t="s">
        <v>129</v>
      </c>
      <c r="M462" s="68" t="s">
        <v>141</v>
      </c>
      <c r="N462" s="69" t="e" vm="1">
        <v>#VALUE!</v>
      </c>
      <c r="O462" s="84">
        <v>45659</v>
      </c>
      <c r="P462" s="72" t="s">
        <v>377</v>
      </c>
      <c r="Q462" s="72" t="s">
        <v>316</v>
      </c>
      <c r="R462" s="162"/>
      <c r="S462" s="146"/>
      <c r="T462" s="68" t="s">
        <v>165</v>
      </c>
      <c r="U462" s="87"/>
      <c r="V462" s="80">
        <v>45779</v>
      </c>
      <c r="W462" s="226">
        <v>4862</v>
      </c>
      <c r="X462" s="73">
        <v>329</v>
      </c>
      <c r="Y462" s="169">
        <f>IF(SUM(W462:W462)&gt;0,X462/SUM(W462:W462)*1000000,"N/A")</f>
        <v>67667.626491155897</v>
      </c>
      <c r="Z462" s="80"/>
      <c r="AA462" s="80"/>
      <c r="AB462" s="73"/>
      <c r="AC462" s="153"/>
      <c r="AD462" s="330"/>
      <c r="AE462" s="305"/>
      <c r="AF462" s="88"/>
      <c r="AG462" s="182">
        <f>YEAR(V462)</f>
        <v>2025</v>
      </c>
      <c r="AH462" s="86" t="str">
        <f>+IF(AG462=$AH$22,MONTH(V462),"")</f>
        <v/>
      </c>
      <c r="AI462" s="86">
        <f>+IF(AG462=$AI$22,MONTH(V462),"")</f>
        <v>5</v>
      </c>
      <c r="AJ462" s="86" t="str">
        <f>+IF(AG462=$AJ$22,MONTH(V462),"")</f>
        <v/>
      </c>
      <c r="AK462" s="86" t="str">
        <f>+IF(AG462=$AK$22,MONTH(V462),"")</f>
        <v/>
      </c>
      <c r="AL462" s="86" t="str">
        <f>+IF(AG462=$AL$22,MONTH(V462),"")</f>
        <v/>
      </c>
      <c r="AM462" s="86" t="str">
        <f>+IF($AG462=$AM$22,MONTH($D462),"")</f>
        <v/>
      </c>
      <c r="AN462" s="89" t="str">
        <f>+IF($AG462=AN$22,MONTH($D462),"")</f>
        <v/>
      </c>
      <c r="AO462" s="89" t="str">
        <f>+IF($AG462=AO$22,MONTH($D462),"")</f>
        <v/>
      </c>
      <c r="AP462" s="89" t="str">
        <f>+IF($AG462=AP$22,MONTH($D462),"")</f>
        <v/>
      </c>
      <c r="AQ462" s="89" t="str">
        <f>+IF($AG462=AQ$22,MONTH($D462),"")</f>
        <v/>
      </c>
      <c r="AR462" s="89" t="str">
        <f>+IF($AG462=AR$22,MONTH($D462),"")</f>
        <v/>
      </c>
      <c r="AS462" s="89" t="str">
        <f>+IF($AG462=AS$22,MONTH($D462),"")</f>
        <v/>
      </c>
      <c r="AT462" s="89" t="str">
        <f>+IF($AG462=AT$22,MONTH($D462),"")</f>
        <v/>
      </c>
      <c r="AU462" s="89" t="str">
        <f>+IF($AG462=AU$22,MONTH($D462),"")</f>
        <v/>
      </c>
      <c r="AV462" s="89" t="str">
        <f>+IF($AG462=AV$22,MONTH($D462),"")</f>
        <v/>
      </c>
      <c r="AW462" s="86" t="str">
        <f>+IF($AG462=AW$22,MONTH($D462),"")</f>
        <v/>
      </c>
      <c r="AX462" s="86" t="str">
        <f>+IF($AG462=AX$22,MONTH($D462),"")</f>
        <v/>
      </c>
    </row>
    <row r="463" spans="1:68" s="56" customFormat="1" ht="24.75" hidden="1" customHeight="1">
      <c r="A463" s="204" t="str">
        <f>+IFERROR(VALUE(MID(AB463,4,4)),"")</f>
        <v/>
      </c>
      <c r="B463" s="204">
        <f>VALUE(RIGHT(C463,LEN(C463)-2))</f>
        <v>2257</v>
      </c>
      <c r="C463" s="74" t="s">
        <v>1850</v>
      </c>
      <c r="D463" s="75">
        <v>45656</v>
      </c>
      <c r="E463" s="68" t="s">
        <v>106</v>
      </c>
      <c r="F463" s="68" t="s">
        <v>106</v>
      </c>
      <c r="G463" s="68" t="s">
        <v>1851</v>
      </c>
      <c r="H463" s="282" t="s">
        <v>1852</v>
      </c>
      <c r="I463" s="69" t="s">
        <v>1853</v>
      </c>
      <c r="J463" s="69"/>
      <c r="K463" s="68" t="s">
        <v>9</v>
      </c>
      <c r="L463" s="69" t="s">
        <v>120</v>
      </c>
      <c r="M463" s="71" t="s">
        <v>141</v>
      </c>
      <c r="N463" s="69" t="s">
        <v>1854</v>
      </c>
      <c r="O463" s="84">
        <v>45695</v>
      </c>
      <c r="P463" s="69" t="s">
        <v>666</v>
      </c>
      <c r="Q463" s="69" t="s">
        <v>229</v>
      </c>
      <c r="R463" s="69"/>
      <c r="S463" s="146"/>
      <c r="T463" s="68" t="s">
        <v>165</v>
      </c>
      <c r="U463" s="87"/>
      <c r="V463" s="80">
        <v>45754</v>
      </c>
      <c r="W463" s="73">
        <v>2000</v>
      </c>
      <c r="X463" s="73">
        <v>91</v>
      </c>
      <c r="Y463" s="83">
        <f>IF(SUM(W463:W463)&gt;0,X463/SUM(W463:W463)*1000000,"N/A")</f>
        <v>45500</v>
      </c>
      <c r="Z463" s="80"/>
      <c r="AA463" s="80"/>
      <c r="AB463" s="57"/>
      <c r="AC463" s="75"/>
      <c r="AD463" s="332"/>
      <c r="AE463" s="68"/>
      <c r="AF463" s="88"/>
      <c r="AG463" s="182">
        <f>YEAR(V463)</f>
        <v>2025</v>
      </c>
      <c r="AH463" s="86" t="str">
        <f>+IF(AG463=$AH$22,MONTH(V463),"")</f>
        <v/>
      </c>
      <c r="AI463" s="86">
        <f>+IF(AG463=$AI$22,MONTH(V463),"")</f>
        <v>4</v>
      </c>
      <c r="AJ463" s="86" t="str">
        <f>+IF(AG463=$AJ$22,MONTH(V463),"")</f>
        <v/>
      </c>
      <c r="AK463" s="86" t="str">
        <f>+IF(AG463=$AK$22,MONTH(V463),"")</f>
        <v/>
      </c>
      <c r="AL463" s="86" t="str">
        <f>+IF(AG463=$AL$22,MONTH(V463),"")</f>
        <v/>
      </c>
      <c r="AM463" s="86" t="str">
        <f>+IF($AG463=$AM$22,MONTH($D463),"")</f>
        <v/>
      </c>
      <c r="AN463" s="89" t="str">
        <f>+IF($AG463=AN$22,MONTH($D463),"")</f>
        <v/>
      </c>
      <c r="AO463" s="184" t="str">
        <f>+IF($AG463=AO$22,MONTH($D463),"")</f>
        <v/>
      </c>
      <c r="AP463" s="184" t="str">
        <f>+IF($AG463=AP$22,MONTH($D463),"")</f>
        <v/>
      </c>
      <c r="AQ463" s="184" t="str">
        <f>+IF($AG463=AQ$22,MONTH($D463),"")</f>
        <v/>
      </c>
      <c r="AR463" s="184" t="str">
        <f>+IF($AG463=AR$22,MONTH($D463),"")</f>
        <v/>
      </c>
      <c r="AS463" s="184" t="str">
        <f>+IF($AG463=AS$22,MONTH($D463),"")</f>
        <v/>
      </c>
      <c r="AT463" s="86" t="str">
        <f>+IF($AG463=AT$22,MONTH($D463),"")</f>
        <v/>
      </c>
      <c r="AU463" s="86" t="str">
        <f>+IF($AG463=AU$22,MONTH($D463),"")</f>
        <v/>
      </c>
      <c r="AV463" s="86" t="str">
        <f>+IF($AG463=AV$22,MONTH($D463),"")</f>
        <v/>
      </c>
      <c r="AW463" s="86" t="str">
        <f>+IF($AG463=AW$22,MONTH($D463),"")</f>
        <v/>
      </c>
      <c r="AX463" s="86" t="str">
        <f>+IF($AG463=AX$22,MONTH($D463),"")</f>
        <v/>
      </c>
      <c r="AY463" s="89"/>
      <c r="AZ463" s="89"/>
      <c r="BA463" s="89"/>
      <c r="BB463" s="89"/>
      <c r="BC463" s="89"/>
      <c r="BD463" s="89"/>
      <c r="BE463" s="89"/>
      <c r="BF463" s="89"/>
      <c r="BG463" s="89"/>
      <c r="BH463" s="89"/>
      <c r="BI463" s="89"/>
      <c r="BJ463" s="89"/>
      <c r="BK463" s="89"/>
      <c r="BL463" s="89"/>
      <c r="BM463" s="89"/>
      <c r="BN463" s="89"/>
      <c r="BO463" s="89"/>
      <c r="BP463" s="89"/>
    </row>
    <row r="464" spans="1:68" s="56" customFormat="1" ht="30" hidden="1" customHeight="1">
      <c r="A464" s="204" t="str">
        <f>+IFERROR(VALUE(MID(AB464,4,4)),"")</f>
        <v/>
      </c>
      <c r="B464" s="204">
        <f>VALUE(RIGHT(C464,LEN(C464)-2))</f>
        <v>2256</v>
      </c>
      <c r="C464" s="74" t="s">
        <v>1855</v>
      </c>
      <c r="D464" s="75">
        <v>45652</v>
      </c>
      <c r="E464" s="68" t="s">
        <v>1856</v>
      </c>
      <c r="F464" s="68" t="s">
        <v>1857</v>
      </c>
      <c r="G464" s="68" t="s">
        <v>1858</v>
      </c>
      <c r="H464" s="282" t="s">
        <v>1859</v>
      </c>
      <c r="I464" s="69" t="s">
        <v>1860</v>
      </c>
      <c r="J464" s="69"/>
      <c r="K464" s="68" t="s">
        <v>212</v>
      </c>
      <c r="L464" s="69" t="s">
        <v>123</v>
      </c>
      <c r="M464" s="71" t="s">
        <v>113</v>
      </c>
      <c r="N464" s="69" t="e" vm="7">
        <v>#VALUE!</v>
      </c>
      <c r="O464" s="84">
        <v>45687</v>
      </c>
      <c r="P464" s="69" t="s">
        <v>228</v>
      </c>
      <c r="Q464" s="69" t="s">
        <v>644</v>
      </c>
      <c r="R464" s="69"/>
      <c r="S464" s="146"/>
      <c r="T464" s="68" t="s">
        <v>165</v>
      </c>
      <c r="U464" s="87"/>
      <c r="V464" s="80">
        <v>45729</v>
      </c>
      <c r="W464" s="73"/>
      <c r="X464" s="73"/>
      <c r="Y464" s="83" t="str">
        <f>IF(SUM(W464:W464)&gt;0,X464/SUM(W464:W464)*1000000,"N/A")</f>
        <v>N/A</v>
      </c>
      <c r="Z464" s="80"/>
      <c r="AA464" s="80"/>
      <c r="AB464" s="57"/>
      <c r="AC464" s="75"/>
      <c r="AD464" s="332"/>
      <c r="AE464" s="68"/>
      <c r="AF464" s="88"/>
      <c r="AG464" s="182">
        <f>YEAR(V464)</f>
        <v>2025</v>
      </c>
      <c r="AH464" s="86" t="str">
        <f>+IF(AG464=$AH$22,MONTH(V464),"")</f>
        <v/>
      </c>
      <c r="AI464" s="86">
        <f>+IF(AG464=$AI$22,MONTH(V464),"")</f>
        <v>3</v>
      </c>
      <c r="AJ464" s="86" t="str">
        <f>+IF(AG464=$AJ$22,MONTH(V464),"")</f>
        <v/>
      </c>
      <c r="AK464" s="86" t="str">
        <f>+IF(AG464=$AK$22,MONTH(V464),"")</f>
        <v/>
      </c>
      <c r="AL464" s="86" t="str">
        <f>+IF(AG464=$AL$22,MONTH(V464),"")</f>
        <v/>
      </c>
      <c r="AM464" s="86" t="str">
        <f>+IF($AG464=$AM$22,MONTH($D464),"")</f>
        <v/>
      </c>
      <c r="AN464" s="89" t="str">
        <f>+IF($AG464=AN$22,MONTH($D464),"")</f>
        <v/>
      </c>
      <c r="AO464" s="184" t="str">
        <f>+IF($AG464=AO$22,MONTH($D464),"")</f>
        <v/>
      </c>
      <c r="AP464" s="184" t="str">
        <f>+IF($AG464=AP$22,MONTH($D464),"")</f>
        <v/>
      </c>
      <c r="AQ464" s="184" t="str">
        <f>+IF($AG464=AQ$22,MONTH($D464),"")</f>
        <v/>
      </c>
      <c r="AR464" s="184" t="str">
        <f>+IF($AG464=AR$22,MONTH($D464),"")</f>
        <v/>
      </c>
      <c r="AS464" s="184" t="str">
        <f>+IF($AG464=AS$22,MONTH($D464),"")</f>
        <v/>
      </c>
      <c r="AT464" s="86" t="str">
        <f>+IF($AG464=AT$22,MONTH($D464),"")</f>
        <v/>
      </c>
      <c r="AU464" s="86" t="str">
        <f>+IF($AG464=AU$22,MONTH($D464),"")</f>
        <v/>
      </c>
      <c r="AV464" s="86" t="str">
        <f>+IF($AG464=AV$22,MONTH($D464),"")</f>
        <v/>
      </c>
      <c r="AW464" s="86" t="str">
        <f>+IF($AG464=AW$22,MONTH($D464),"")</f>
        <v/>
      </c>
      <c r="AX464" s="86" t="str">
        <f>+IF($AG464=AX$22,MONTH($D464),"")</f>
        <v/>
      </c>
      <c r="AY464" s="89"/>
      <c r="AZ464" s="89"/>
      <c r="BA464" s="89"/>
      <c r="BB464" s="89"/>
      <c r="BC464" s="89"/>
      <c r="BD464" s="89"/>
      <c r="BE464" s="89"/>
      <c r="BF464" s="89"/>
      <c r="BG464" s="89"/>
      <c r="BH464" s="89"/>
      <c r="BI464" s="89"/>
      <c r="BJ464" s="89"/>
      <c r="BK464" s="89"/>
      <c r="BL464" s="89"/>
      <c r="BM464" s="89"/>
      <c r="BN464" s="89"/>
      <c r="BO464" s="89"/>
      <c r="BP464" s="89"/>
    </row>
    <row r="465" spans="1:68" s="56" customFormat="1" ht="42.75" hidden="1" customHeight="1">
      <c r="A465" s="204">
        <f>+IFERROR(VALUE(MID(AB465,4,4)),"")</f>
        <v>399</v>
      </c>
      <c r="B465" s="204">
        <f>VALUE(RIGHT(C465,LEN(C465)-2))</f>
        <v>2255</v>
      </c>
      <c r="C465" s="74" t="s">
        <v>1861</v>
      </c>
      <c r="D465" s="75">
        <v>45642</v>
      </c>
      <c r="E465" s="70" t="s">
        <v>473</v>
      </c>
      <c r="F465" s="70" t="s">
        <v>473</v>
      </c>
      <c r="G465" s="68" t="s">
        <v>1862</v>
      </c>
      <c r="H465" s="307" t="s">
        <v>1863</v>
      </c>
      <c r="I465" s="69" t="s">
        <v>1864</v>
      </c>
      <c r="J465" s="69"/>
      <c r="K465" s="68" t="s">
        <v>9</v>
      </c>
      <c r="L465" s="69" t="s">
        <v>129</v>
      </c>
      <c r="M465" s="71" t="s">
        <v>141</v>
      </c>
      <c r="N465" s="69" t="e" vm="1">
        <v>#VALUE!</v>
      </c>
      <c r="O465" s="164">
        <v>45656</v>
      </c>
      <c r="P465" s="72" t="s">
        <v>377</v>
      </c>
      <c r="Q465" s="72" t="s">
        <v>316</v>
      </c>
      <c r="R465" s="162"/>
      <c r="S465" s="146"/>
      <c r="T465" s="68" t="s">
        <v>165</v>
      </c>
      <c r="U465" s="87"/>
      <c r="V465" s="183">
        <v>45653</v>
      </c>
      <c r="W465" s="73">
        <v>742</v>
      </c>
      <c r="X465" s="73">
        <v>43</v>
      </c>
      <c r="Y465" s="83">
        <f>IF(SUM(W465:W465)&gt;0,X465/SUM(W465:W465)*1000000,"N/A")</f>
        <v>57951.482479784361</v>
      </c>
      <c r="Z465" s="183"/>
      <c r="AA465" s="183"/>
      <c r="AB465" s="73" t="s">
        <v>1865</v>
      </c>
      <c r="AC465" s="153"/>
      <c r="AD465" s="331"/>
      <c r="AE465" s="57"/>
      <c r="AF465" s="88"/>
      <c r="AG465" s="182">
        <f>YEAR(V465)</f>
        <v>2024</v>
      </c>
      <c r="AH465" s="86" t="str">
        <f>+IF(AG465=$AH$22,MONTH(V465),"")</f>
        <v/>
      </c>
      <c r="AI465" s="86" t="str">
        <f>+IF(AG465=$AI$22,MONTH(V465),"")</f>
        <v/>
      </c>
      <c r="AJ465" s="86">
        <f>+IF(AG465=$AJ$22,MONTH(V465),"")</f>
        <v>12</v>
      </c>
      <c r="AK465" s="86" t="str">
        <f>+IF(AG465=$AK$22,MONTH(V465),"")</f>
        <v/>
      </c>
      <c r="AL465" s="86"/>
      <c r="AM465" s="89"/>
      <c r="AN465" s="89"/>
      <c r="AO465" s="89"/>
      <c r="AP465" s="89"/>
      <c r="AQ465" s="89"/>
      <c r="AR465" s="89"/>
      <c r="AS465" s="89"/>
      <c r="AT465" s="89"/>
      <c r="AU465" s="89"/>
      <c r="AV465" s="89"/>
      <c r="AW465" s="86" t="str">
        <f>+IF($AG465=AW$22,MONTH($D465),"")</f>
        <v/>
      </c>
      <c r="AX465" s="86" t="str">
        <f>+IF($AG465=AX$22,MONTH($D465),"")</f>
        <v/>
      </c>
      <c r="AY465" s="89"/>
      <c r="AZ465" s="89"/>
      <c r="BA465" s="89"/>
      <c r="BB465" s="89"/>
      <c r="BC465" s="89"/>
      <c r="BD465" s="89"/>
      <c r="BE465" s="89"/>
      <c r="BF465" s="89"/>
      <c r="BG465" s="89"/>
      <c r="BH465" s="89"/>
      <c r="BI465" s="89"/>
      <c r="BJ465" s="89"/>
      <c r="BK465" s="89"/>
      <c r="BL465" s="89"/>
      <c r="BM465" s="89"/>
      <c r="BN465" s="89"/>
      <c r="BO465" s="89"/>
      <c r="BP465" s="89"/>
    </row>
    <row r="466" spans="1:68" s="56" customFormat="1" ht="27" hidden="1">
      <c r="A466" s="204">
        <f>+IFERROR(VALUE(MID(AB466,4,4)),"")</f>
        <v>420</v>
      </c>
      <c r="B466" s="204">
        <f>VALUE(RIGHT(C466,LEN(C466)-2))</f>
        <v>2254</v>
      </c>
      <c r="C466" s="74" t="s">
        <v>1866</v>
      </c>
      <c r="D466" s="75">
        <v>45649</v>
      </c>
      <c r="E466" s="70" t="s">
        <v>685</v>
      </c>
      <c r="F466" s="70" t="s">
        <v>685</v>
      </c>
      <c r="G466" s="68" t="s">
        <v>1867</v>
      </c>
      <c r="H466" s="304" t="s">
        <v>1868</v>
      </c>
      <c r="I466" s="69" t="s">
        <v>1869</v>
      </c>
      <c r="J466" s="69"/>
      <c r="K466" s="68" t="s">
        <v>9</v>
      </c>
      <c r="L466" s="69" t="s">
        <v>120</v>
      </c>
      <c r="M466" s="71" t="s">
        <v>141</v>
      </c>
      <c r="N466" s="69" t="e" vm="1">
        <v>#VALUE!</v>
      </c>
      <c r="O466" s="84">
        <v>45652</v>
      </c>
      <c r="P466" s="72" t="s">
        <v>701</v>
      </c>
      <c r="Q466" s="72" t="s">
        <v>316</v>
      </c>
      <c r="R466" s="162"/>
      <c r="S466" s="146"/>
      <c r="T466" s="68" t="s">
        <v>3</v>
      </c>
      <c r="U466" s="87"/>
      <c r="V466" s="80">
        <v>45684</v>
      </c>
      <c r="W466" s="73">
        <v>337</v>
      </c>
      <c r="X466" s="73">
        <v>18</v>
      </c>
      <c r="Y466" s="83">
        <f>IF(SUM(W466:W466)&gt;0,X466/SUM(W466:W466)*1000000,"N/A")</f>
        <v>53412.462908011868</v>
      </c>
      <c r="Z466" s="80"/>
      <c r="AA466" s="80"/>
      <c r="AB466" s="150" t="s">
        <v>1870</v>
      </c>
      <c r="AC466" s="153"/>
      <c r="AD466" s="330"/>
      <c r="AE466" s="305"/>
      <c r="AF466" s="88"/>
      <c r="AG466" s="182">
        <f>YEAR(V466)</f>
        <v>2025</v>
      </c>
      <c r="AH466" s="86" t="str">
        <f>+IF(AG466=$AH$22,MONTH(V466),"")</f>
        <v/>
      </c>
      <c r="AI466" s="86">
        <f>+IF(AG466=$AI$22,MONTH(V466),"")</f>
        <v>1</v>
      </c>
      <c r="AJ466" s="86" t="str">
        <f>+IF(AG466=$AJ$22,MONTH(V466),"")</f>
        <v/>
      </c>
      <c r="AK466" s="86" t="str">
        <f>+IF(AG466=$AK$22,MONTH(V466),"")</f>
        <v/>
      </c>
      <c r="AL466" s="86"/>
      <c r="AM466" s="89"/>
      <c r="AN466" s="89"/>
      <c r="AO466" s="89"/>
      <c r="AP466" s="89"/>
      <c r="AQ466" s="89"/>
      <c r="AR466" s="89"/>
      <c r="AS466" s="89"/>
      <c r="AT466" s="89"/>
      <c r="AU466" s="89"/>
      <c r="AV466" s="89"/>
      <c r="AW466" s="86" t="str">
        <f>+IF($AG466=AW$22,MONTH($D466),"")</f>
        <v/>
      </c>
      <c r="AX466" s="86" t="str">
        <f>+IF($AG466=AX$22,MONTH($D466),"")</f>
        <v/>
      </c>
      <c r="AY466" s="89"/>
      <c r="AZ466" s="89"/>
      <c r="BA466" s="89"/>
      <c r="BB466" s="89"/>
      <c r="BC466" s="89"/>
      <c r="BD466" s="89"/>
      <c r="BE466" s="89"/>
      <c r="BF466" s="89"/>
      <c r="BG466" s="89"/>
      <c r="BH466" s="89"/>
      <c r="BI466" s="89"/>
      <c r="BJ466" s="89"/>
      <c r="BK466" s="89"/>
      <c r="BL466" s="89"/>
      <c r="BM466" s="89"/>
      <c r="BN466" s="89"/>
      <c r="BO466" s="89"/>
      <c r="BP466" s="89"/>
    </row>
    <row r="467" spans="1:68" s="56" customFormat="1" ht="28.5" hidden="1" customHeight="1">
      <c r="A467" s="204" t="str">
        <f>+IFERROR(VALUE(MID(AB467,4,4)),"")</f>
        <v/>
      </c>
      <c r="B467" s="204">
        <f>VALUE(RIGHT(C467,LEN(C467)-2))</f>
        <v>2253</v>
      </c>
      <c r="C467" s="74" t="s">
        <v>1871</v>
      </c>
      <c r="D467" s="75">
        <v>45646</v>
      </c>
      <c r="E467" s="70" t="s">
        <v>479</v>
      </c>
      <c r="F467" s="70" t="s">
        <v>479</v>
      </c>
      <c r="G467" s="68" t="s">
        <v>1580</v>
      </c>
      <c r="H467" s="307" t="s">
        <v>812</v>
      </c>
      <c r="I467" s="162" t="s">
        <v>1872</v>
      </c>
      <c r="J467" s="162"/>
      <c r="K467" s="68" t="s">
        <v>944</v>
      </c>
      <c r="L467" s="69" t="s">
        <v>129</v>
      </c>
      <c r="M467" s="71" t="s">
        <v>113</v>
      </c>
      <c r="N467" s="69" t="e" vm="2">
        <v>#VALUE!</v>
      </c>
      <c r="O467" s="164">
        <v>45671</v>
      </c>
      <c r="P467" s="72" t="s">
        <v>483</v>
      </c>
      <c r="Q467" s="72" t="s">
        <v>229</v>
      </c>
      <c r="R467" s="162"/>
      <c r="S467" s="146"/>
      <c r="T467" s="68" t="s">
        <v>165</v>
      </c>
      <c r="U467" s="87"/>
      <c r="V467" s="183">
        <v>45672</v>
      </c>
      <c r="W467" s="73">
        <v>6404</v>
      </c>
      <c r="X467" s="73">
        <v>328.5</v>
      </c>
      <c r="Y467" s="83">
        <f>IF(SUM(W467:W467)&gt;0,X467/SUM(W467:W467)*1000000,"N/A")</f>
        <v>51296.064959400377</v>
      </c>
      <c r="Z467" s="183"/>
      <c r="AA467" s="183"/>
      <c r="AB467" s="73"/>
      <c r="AC467" s="153"/>
      <c r="AD467" s="330"/>
      <c r="AE467" s="305"/>
      <c r="AF467" s="88"/>
      <c r="AG467" s="182">
        <f>YEAR(V467)</f>
        <v>2025</v>
      </c>
      <c r="AH467" s="86" t="str">
        <f>+IF(AG467=$AH$22,MONTH(V467),"")</f>
        <v/>
      </c>
      <c r="AI467" s="86">
        <f>+IF(AG467=$AI$22,MONTH(V467),"")</f>
        <v>1</v>
      </c>
      <c r="AJ467" s="86" t="str">
        <f>+IF(AG467=$AJ$22,MONTH(V467),"")</f>
        <v/>
      </c>
      <c r="AK467" s="86" t="str">
        <f>+IF(AG467=$AK$22,MONTH(V467),"")</f>
        <v/>
      </c>
      <c r="AL467" s="86"/>
      <c r="AM467" s="89"/>
      <c r="AN467" s="89"/>
      <c r="AO467" s="89"/>
      <c r="AP467" s="89"/>
      <c r="AQ467" s="89"/>
      <c r="AR467" s="89"/>
      <c r="AS467" s="89"/>
      <c r="AT467" s="89"/>
      <c r="AU467" s="89"/>
      <c r="AV467" s="89"/>
      <c r="AW467" s="86" t="str">
        <f>+IF($AG467=AW$22,MONTH($D467),"")</f>
        <v/>
      </c>
      <c r="AX467" s="86" t="str">
        <f>+IF($AG467=AX$22,MONTH($D467),"")</f>
        <v/>
      </c>
      <c r="AY467" s="89"/>
      <c r="AZ467" s="89"/>
      <c r="BA467" s="89"/>
      <c r="BB467" s="89"/>
      <c r="BC467" s="89"/>
      <c r="BD467" s="89"/>
      <c r="BE467" s="89"/>
      <c r="BF467" s="89"/>
      <c r="BG467" s="89"/>
      <c r="BH467" s="89"/>
      <c r="BI467" s="89"/>
      <c r="BJ467" s="89"/>
      <c r="BK467" s="89"/>
      <c r="BL467" s="89"/>
      <c r="BM467" s="89"/>
      <c r="BN467" s="89"/>
      <c r="BO467" s="89"/>
      <c r="BP467" s="89"/>
    </row>
    <row r="468" spans="1:68" s="89" customFormat="1" ht="33.75" hidden="1" customHeight="1">
      <c r="A468" s="204">
        <f>+IFERROR(VALUE(MID(AB468,4,4)),"")</f>
        <v>419</v>
      </c>
      <c r="B468" s="204">
        <f>VALUE(RIGHT(C468,LEN(C468)-2))</f>
        <v>2252</v>
      </c>
      <c r="C468" s="74" t="s">
        <v>1873</v>
      </c>
      <c r="D468" s="75">
        <v>45644</v>
      </c>
      <c r="E468" s="70" t="s">
        <v>739</v>
      </c>
      <c r="F468" s="70" t="s">
        <v>739</v>
      </c>
      <c r="G468" s="68" t="s">
        <v>740</v>
      </c>
      <c r="H468" s="59" t="s">
        <v>741</v>
      </c>
      <c r="I468" s="162" t="s">
        <v>1874</v>
      </c>
      <c r="J468" s="162"/>
      <c r="K468" s="68" t="s">
        <v>13</v>
      </c>
      <c r="L468" s="68" t="s">
        <v>120</v>
      </c>
      <c r="M468" s="68" t="s">
        <v>141</v>
      </c>
      <c r="N468" s="69" t="e" vm="1">
        <v>#VALUE!</v>
      </c>
      <c r="O468" s="164">
        <v>45645</v>
      </c>
      <c r="P468" s="72" t="s">
        <v>228</v>
      </c>
      <c r="Q468" s="72" t="s">
        <v>316</v>
      </c>
      <c r="R468" s="162"/>
      <c r="S468" s="146"/>
      <c r="T468" s="68" t="s">
        <v>3</v>
      </c>
      <c r="U468" s="87"/>
      <c r="V468" s="183">
        <v>45656</v>
      </c>
      <c r="W468" s="73">
        <v>4999</v>
      </c>
      <c r="X468" s="73">
        <f>6520*38450/1000000</f>
        <v>250.69399999999999</v>
      </c>
      <c r="Y468" s="83">
        <f>IF(SUM(W468:W468)&gt;0,X468/SUM(W468:W468)*1000000,"N/A")</f>
        <v>50148.829765953189</v>
      </c>
      <c r="Z468" s="183"/>
      <c r="AA468" s="183"/>
      <c r="AB468" s="73" t="s">
        <v>1875</v>
      </c>
      <c r="AC468" s="153"/>
      <c r="AD468" s="331"/>
      <c r="AE468" s="57"/>
      <c r="AF468" s="88"/>
      <c r="AG468" s="182">
        <f>YEAR(V468)</f>
        <v>2024</v>
      </c>
      <c r="AH468" s="86" t="str">
        <f>+IF(AG468=$AH$22,MONTH(V468),"")</f>
        <v/>
      </c>
      <c r="AI468" s="86" t="str">
        <f>+IF(AG468=$AI$22,MONTH(V468),"")</f>
        <v/>
      </c>
      <c r="AJ468" s="86">
        <f>+IF(AG468=$AJ$22,MONTH(V468),"")</f>
        <v>12</v>
      </c>
      <c r="AK468" s="86" t="str">
        <f>+IF(AG468=$AK$22,MONTH(V468),"")</f>
        <v/>
      </c>
      <c r="AL468" s="86" t="str">
        <f>+IF(AG468=$AL$22,MONTH(V468),"")</f>
        <v/>
      </c>
      <c r="AM468" s="86" t="str">
        <f>+IF($AG468=$AM$22,MONTH($D468),"")</f>
        <v/>
      </c>
      <c r="AN468" s="89" t="str">
        <f>+IF($AG468=AN$22,MONTH($D468),"")</f>
        <v/>
      </c>
      <c r="AO468" s="86" t="str">
        <f>+IF($AG468=AO$22,MONTH($D468),"")</f>
        <v/>
      </c>
      <c r="AP468" s="86" t="str">
        <f>+IF($AG468=AP$22,MONTH($D468),"")</f>
        <v/>
      </c>
      <c r="AQ468" s="86" t="str">
        <f>+IF($AG468=AQ$22,MONTH($D468),"")</f>
        <v/>
      </c>
      <c r="AR468" s="86" t="str">
        <f>+IF($AG468=AR$22,MONTH($D468),"")</f>
        <v/>
      </c>
      <c r="AS468" s="86" t="str">
        <f>+IF($AG468=AS$22,MONTH($D468),"")</f>
        <v/>
      </c>
      <c r="AT468" s="86" t="str">
        <f>+IF($AG468=AT$22,MONTH($D468),"")</f>
        <v/>
      </c>
      <c r="AU468" s="86" t="str">
        <f>+IF($AG468=AU$22,MONTH($D468),"")</f>
        <v/>
      </c>
      <c r="AV468" s="86" t="str">
        <f>+IF($AG468=AV$22,MONTH($D468),"")</f>
        <v/>
      </c>
      <c r="AW468" s="86" t="str">
        <f>+IF($AG468=AW$22,MONTH($D468),"")</f>
        <v/>
      </c>
      <c r="AX468" s="86" t="str">
        <f>+IF($AG468=AX$22,MONTH($D468),"")</f>
        <v/>
      </c>
    </row>
    <row r="469" spans="1:68" s="374" customFormat="1" ht="36" hidden="1">
      <c r="A469" s="204">
        <f>+IFERROR(VALUE(MID(AB469,4,4)),"")</f>
        <v>409</v>
      </c>
      <c r="B469" s="204">
        <f>VALUE(RIGHT(C469,LEN(C469)-2))</f>
        <v>2251</v>
      </c>
      <c r="C469" s="74" t="s">
        <v>1876</v>
      </c>
      <c r="D469" s="75">
        <v>45643</v>
      </c>
      <c r="E469" s="70" t="s">
        <v>353</v>
      </c>
      <c r="F469" s="70" t="s">
        <v>354</v>
      </c>
      <c r="G469" s="68" t="s">
        <v>1711</v>
      </c>
      <c r="H469" s="282" t="s">
        <v>1712</v>
      </c>
      <c r="I469" s="162" t="s">
        <v>1877</v>
      </c>
      <c r="J469" s="162"/>
      <c r="K469" s="68" t="s">
        <v>9</v>
      </c>
      <c r="L469" s="69" t="s">
        <v>120</v>
      </c>
      <c r="M469" s="71" t="s">
        <v>141</v>
      </c>
      <c r="N469" s="69" t="e" vm="1">
        <v>#VALUE!</v>
      </c>
      <c r="O469" s="164">
        <v>45649</v>
      </c>
      <c r="P469" s="72" t="s">
        <v>274</v>
      </c>
      <c r="Q469" s="72" t="s">
        <v>623</v>
      </c>
      <c r="R469" s="162"/>
      <c r="S469" s="146"/>
      <c r="T469" s="68" t="s">
        <v>155</v>
      </c>
      <c r="U469" s="87">
        <v>0.01</v>
      </c>
      <c r="V469" s="183">
        <v>45792</v>
      </c>
      <c r="W469" s="73"/>
      <c r="X469" s="73"/>
      <c r="Y469" s="83" t="str">
        <f>IF(SUM(W469:W469)&gt;0,X469/SUM(W469:W469)*1000000,"N/A")</f>
        <v>N/A</v>
      </c>
      <c r="Z469" s="183"/>
      <c r="AA469" s="183"/>
      <c r="AB469" s="73" t="s">
        <v>1715</v>
      </c>
      <c r="AC469" s="153"/>
      <c r="AD469" s="331"/>
      <c r="AE469" s="57"/>
      <c r="AF469" s="88"/>
      <c r="AG469" s="182">
        <f>YEAR(V469)</f>
        <v>2025</v>
      </c>
      <c r="AH469" s="86" t="str">
        <f>+IF(AG469=$AH$22,MONTH(V469),"")</f>
        <v/>
      </c>
      <c r="AI469" s="86">
        <f>+IF(AG469=$AI$22,MONTH(V469),"")</f>
        <v>5</v>
      </c>
      <c r="AJ469" s="86" t="str">
        <f>+IF(AG469=$AJ$22,MONTH(V469),"")</f>
        <v/>
      </c>
      <c r="AK469" s="86" t="str">
        <f>+IF(AG469=$AK$22,MONTH(V469),"")</f>
        <v/>
      </c>
      <c r="AL469" s="86" t="str">
        <f>+IF(AG469=$AL$22,MONTH(V469),"")</f>
        <v/>
      </c>
      <c r="AM469" s="86" t="str">
        <f>+IF($AG469=$AM$22,MONTH($D469),"")</f>
        <v/>
      </c>
      <c r="AN469" s="89"/>
      <c r="AO469" s="89"/>
      <c r="AP469" s="89"/>
      <c r="AQ469" s="89"/>
      <c r="AR469" s="89"/>
      <c r="AS469" s="89"/>
      <c r="AT469" s="89"/>
      <c r="AU469" s="89"/>
      <c r="AV469" s="89"/>
      <c r="AW469" s="86" t="str">
        <f>+IF($AG469=AW$22,MONTH($D469),"")</f>
        <v/>
      </c>
      <c r="AX469" s="86" t="str">
        <f>+IF($AG469=AX$22,MONTH($D469),"")</f>
        <v/>
      </c>
      <c r="AY469" s="89"/>
      <c r="AZ469" s="89"/>
      <c r="BA469" s="89"/>
      <c r="BB469" s="89"/>
      <c r="BC469" s="89"/>
      <c r="BD469" s="89"/>
      <c r="BE469" s="89"/>
      <c r="BF469" s="89"/>
      <c r="BG469" s="89"/>
      <c r="BH469" s="89"/>
      <c r="BI469" s="89"/>
      <c r="BJ469" s="89"/>
      <c r="BK469" s="89"/>
      <c r="BL469" s="89"/>
      <c r="BM469" s="89"/>
      <c r="BN469" s="89"/>
      <c r="BO469" s="89"/>
      <c r="BP469" s="89"/>
    </row>
    <row r="470" spans="1:68" s="56" customFormat="1" ht="31.5" hidden="1" customHeight="1">
      <c r="A470" s="204" t="str">
        <f>+IFERROR(VALUE(MID(AB470,4,4)),"")</f>
        <v/>
      </c>
      <c r="B470" s="204">
        <f>VALUE(RIGHT(C470,LEN(C470)-2))</f>
        <v>2250</v>
      </c>
      <c r="C470" s="74" t="s">
        <v>1878</v>
      </c>
      <c r="D470" s="75">
        <v>45643</v>
      </c>
      <c r="E470" s="70" t="s">
        <v>53</v>
      </c>
      <c r="F470" s="70" t="s">
        <v>252</v>
      </c>
      <c r="G470" s="68" t="s">
        <v>210</v>
      </c>
      <c r="H470" s="304" t="s">
        <v>210</v>
      </c>
      <c r="I470" s="162" t="s">
        <v>1879</v>
      </c>
      <c r="J470" s="162"/>
      <c r="K470" s="68" t="s">
        <v>9</v>
      </c>
      <c r="L470" s="69" t="s">
        <v>123</v>
      </c>
      <c r="M470" s="71" t="s">
        <v>141</v>
      </c>
      <c r="N470" s="69" t="e" vm="1">
        <v>#VALUE!</v>
      </c>
      <c r="O470" s="164">
        <v>45646</v>
      </c>
      <c r="P470" s="72" t="s">
        <v>213</v>
      </c>
      <c r="Q470" s="72" t="s">
        <v>259</v>
      </c>
      <c r="R470" s="162"/>
      <c r="S470" s="146"/>
      <c r="T470" s="68" t="s">
        <v>155</v>
      </c>
      <c r="U470" s="87"/>
      <c r="V470" s="183">
        <v>45646</v>
      </c>
      <c r="W470" s="73"/>
      <c r="X470" s="73"/>
      <c r="Y470" s="83" t="str">
        <f>IF(SUM(W470:W470)&gt;0,X470/SUM(W470:W470)*1000000,"N/A")</f>
        <v>N/A</v>
      </c>
      <c r="Z470" s="183"/>
      <c r="AA470" s="183"/>
      <c r="AB470" s="73"/>
      <c r="AC470" s="153"/>
      <c r="AD470" s="330"/>
      <c r="AE470" s="305"/>
      <c r="AF470" s="88"/>
      <c r="AG470" s="182">
        <f>YEAR(V470)</f>
        <v>2024</v>
      </c>
      <c r="AH470" s="86" t="str">
        <f>+IF(AG470=$AH$22,MONTH(V470),"")</f>
        <v/>
      </c>
      <c r="AI470" s="86" t="str">
        <f>+IF(AG470=$AI$22,MONTH(V470),"")</f>
        <v/>
      </c>
      <c r="AJ470" s="86">
        <f>+IF(AG470=$AJ$22,MONTH(V470),"")</f>
        <v>12</v>
      </c>
      <c r="AK470" s="86" t="str">
        <f>+IF(AG470=$AK$22,MONTH(V470),"")</f>
        <v/>
      </c>
      <c r="AL470" s="86"/>
      <c r="AM470" s="89"/>
      <c r="AN470" s="89"/>
      <c r="AO470" s="89"/>
      <c r="AP470" s="89"/>
      <c r="AQ470" s="89"/>
      <c r="AR470" s="89"/>
      <c r="AS470" s="89"/>
      <c r="AT470" s="89"/>
      <c r="AU470" s="89"/>
      <c r="AV470" s="89"/>
      <c r="AW470" s="86" t="str">
        <f>+IF($AG470=AW$22,MONTH($D470),"")</f>
        <v/>
      </c>
      <c r="AX470" s="86" t="str">
        <f>+IF($AG470=AX$22,MONTH($D470),"")</f>
        <v/>
      </c>
      <c r="AY470" s="89"/>
      <c r="AZ470" s="89"/>
      <c r="BA470" s="89"/>
      <c r="BB470" s="89"/>
      <c r="BC470" s="89"/>
      <c r="BD470" s="89"/>
      <c r="BE470" s="89"/>
      <c r="BF470" s="89"/>
      <c r="BG470" s="89"/>
      <c r="BH470" s="89"/>
      <c r="BI470" s="89"/>
      <c r="BJ470" s="89"/>
      <c r="BK470" s="89"/>
      <c r="BL470" s="89"/>
      <c r="BM470" s="89"/>
      <c r="BN470" s="89"/>
      <c r="BO470" s="89"/>
      <c r="BP470" s="89"/>
    </row>
    <row r="471" spans="1:68" s="56" customFormat="1" ht="27" hidden="1">
      <c r="A471" s="204" t="str">
        <f>+IFERROR(VALUE(MID(AB471,4,4)),"")</f>
        <v/>
      </c>
      <c r="B471" s="204">
        <f>VALUE(RIGHT(C471,LEN(C471)-2))</f>
        <v>2249</v>
      </c>
      <c r="C471" s="74" t="s">
        <v>1880</v>
      </c>
      <c r="D471" s="75">
        <v>45642</v>
      </c>
      <c r="E471" s="70" t="s">
        <v>332</v>
      </c>
      <c r="F471" s="70" t="s">
        <v>332</v>
      </c>
      <c r="G471" s="68" t="s">
        <v>210</v>
      </c>
      <c r="H471" s="304" t="s">
        <v>334</v>
      </c>
      <c r="I471" s="162" t="s">
        <v>1881</v>
      </c>
      <c r="J471" s="162"/>
      <c r="K471" s="68" t="s">
        <v>12</v>
      </c>
      <c r="L471" s="69" t="s">
        <v>123</v>
      </c>
      <c r="M471" s="71" t="s">
        <v>141</v>
      </c>
      <c r="N471" s="69" t="e" vm="1">
        <v>#VALUE!</v>
      </c>
      <c r="O471" s="164">
        <v>45670</v>
      </c>
      <c r="P471" s="72" t="s">
        <v>1018</v>
      </c>
      <c r="Q471" s="72" t="s">
        <v>694</v>
      </c>
      <c r="R471" s="162"/>
      <c r="S471" s="146" t="s">
        <v>1882</v>
      </c>
      <c r="T471" s="68" t="s">
        <v>165</v>
      </c>
      <c r="U471" s="87"/>
      <c r="V471" s="183">
        <v>45712</v>
      </c>
      <c r="W471" s="73">
        <v>3988</v>
      </c>
      <c r="X471" s="73">
        <v>185</v>
      </c>
      <c r="Y471" s="83">
        <f>IF(SUM(W471:W471)&gt;0,X471/SUM(W471:W471)*1000000,"N/A")</f>
        <v>46389.167502507524</v>
      </c>
      <c r="Z471" s="183"/>
      <c r="AA471" s="183"/>
      <c r="AB471" s="73"/>
      <c r="AC471" s="153"/>
      <c r="AD471" s="330"/>
      <c r="AE471" s="305"/>
      <c r="AF471" s="88"/>
      <c r="AG471" s="182">
        <f>YEAR(V471)</f>
        <v>2025</v>
      </c>
      <c r="AH471" s="86" t="str">
        <f>+IF(AG471=$AH$22,MONTH(V471),"")</f>
        <v/>
      </c>
      <c r="AI471" s="86">
        <f>+IF(AG471=$AI$22,MONTH(V471),"")</f>
        <v>2</v>
      </c>
      <c r="AJ471" s="86" t="str">
        <f>+IF(AG471=$AJ$22,MONTH(V471),"")</f>
        <v/>
      </c>
      <c r="AK471" s="86" t="str">
        <f>+IF(AG471=$AK$22,MONTH(V471),"")</f>
        <v/>
      </c>
      <c r="AL471" s="86"/>
      <c r="AM471" s="89"/>
      <c r="AN471" s="89"/>
      <c r="AO471" s="89"/>
      <c r="AP471" s="89"/>
      <c r="AQ471" s="89"/>
      <c r="AR471" s="89"/>
      <c r="AS471" s="89"/>
      <c r="AT471" s="89"/>
      <c r="AU471" s="89"/>
      <c r="AV471" s="89"/>
      <c r="AW471" s="86" t="str">
        <f>+IF($AG471=AW$22,MONTH($D471),"")</f>
        <v/>
      </c>
      <c r="AX471" s="86" t="str">
        <f>+IF($AG471=AX$22,MONTH($D471),"")</f>
        <v/>
      </c>
      <c r="AY471" s="89"/>
      <c r="AZ471" s="89"/>
      <c r="BA471" s="89"/>
      <c r="BB471" s="89"/>
      <c r="BC471" s="89"/>
      <c r="BD471" s="89"/>
      <c r="BE471" s="89"/>
      <c r="BF471" s="89"/>
      <c r="BG471" s="89"/>
      <c r="BH471" s="89"/>
      <c r="BI471" s="89"/>
      <c r="BJ471" s="89"/>
      <c r="BK471" s="89"/>
      <c r="BL471" s="89"/>
      <c r="BM471" s="89"/>
      <c r="BN471" s="89"/>
      <c r="BO471" s="89"/>
      <c r="BP471" s="89"/>
    </row>
    <row r="472" spans="1:68" s="56" customFormat="1" ht="40.5" hidden="1" customHeight="1">
      <c r="A472" s="204">
        <f>+IFERROR(VALUE(MID(AB472,4,4)),"")</f>
        <v>424</v>
      </c>
      <c r="B472" s="204">
        <f>VALUE(RIGHT(C472,LEN(C472)-2))</f>
        <v>2248</v>
      </c>
      <c r="C472" s="74" t="s">
        <v>1883</v>
      </c>
      <c r="D472" s="75">
        <v>45643</v>
      </c>
      <c r="E472" s="70" t="s">
        <v>1884</v>
      </c>
      <c r="F472" s="70" t="s">
        <v>1884</v>
      </c>
      <c r="G472" s="68" t="s">
        <v>1885</v>
      </c>
      <c r="H472" s="59" t="s">
        <v>1886</v>
      </c>
      <c r="I472" s="69" t="s">
        <v>1887</v>
      </c>
      <c r="J472" s="69"/>
      <c r="K472" s="68" t="s">
        <v>18</v>
      </c>
      <c r="L472" s="69" t="s">
        <v>120</v>
      </c>
      <c r="M472" s="71" t="s">
        <v>113</v>
      </c>
      <c r="N472" s="69" t="s">
        <v>1888</v>
      </c>
      <c r="O472" s="84">
        <v>45644</v>
      </c>
      <c r="P472" s="72" t="s">
        <v>402</v>
      </c>
      <c r="Q472" s="72" t="s">
        <v>220</v>
      </c>
      <c r="R472" s="162"/>
      <c r="S472" s="146"/>
      <c r="T472" s="68" t="s">
        <v>3</v>
      </c>
      <c r="U472" s="87"/>
      <c r="V472" s="80">
        <v>45719</v>
      </c>
      <c r="W472" s="73">
        <v>95</v>
      </c>
      <c r="X472" s="214">
        <f>285*38220/1000000</f>
        <v>10.8927</v>
      </c>
      <c r="Y472" s="83">
        <f>IF(SUM(W472:W472)&gt;0,X472/SUM(W472:W472)*1000000,"N/A")</f>
        <v>114660</v>
      </c>
      <c r="Z472" s="80"/>
      <c r="AA472" s="80"/>
      <c r="AB472" s="73" t="s">
        <v>1889</v>
      </c>
      <c r="AC472" s="153"/>
      <c r="AD472" s="331"/>
      <c r="AE472" s="57"/>
      <c r="AF472" s="88"/>
      <c r="AG472" s="182">
        <f>YEAR(V472)</f>
        <v>2025</v>
      </c>
      <c r="AH472" s="86" t="str">
        <f>+IF(AG472=$AH$22,MONTH(V472),"")</f>
        <v/>
      </c>
      <c r="AI472" s="86">
        <f>+IF(AG472=$AI$22,MONTH(V472),"")</f>
        <v>3</v>
      </c>
      <c r="AJ472" s="86" t="str">
        <f>+IF(AG472=$AJ$22,MONTH(V472),"")</f>
        <v/>
      </c>
      <c r="AK472" s="86" t="str">
        <f>+IF(AG472=$AK$22,MONTH(V472),"")</f>
        <v/>
      </c>
      <c r="AL472" s="86"/>
      <c r="AM472" s="89"/>
      <c r="AN472" s="89"/>
      <c r="AO472" s="89"/>
      <c r="AP472" s="89"/>
      <c r="AQ472" s="89"/>
      <c r="AR472" s="89"/>
      <c r="AS472" s="89"/>
      <c r="AT472" s="89"/>
      <c r="AU472" s="89"/>
      <c r="AV472" s="89"/>
      <c r="AW472" s="86" t="str">
        <f>+IF($AG472=AW$22,MONTH($D472),"")</f>
        <v/>
      </c>
      <c r="AX472" s="86" t="str">
        <f>+IF($AG472=AX$22,MONTH($D472),"")</f>
        <v/>
      </c>
      <c r="AY472" s="89"/>
      <c r="AZ472" s="89"/>
      <c r="BA472" s="89"/>
      <c r="BB472" s="89"/>
      <c r="BC472" s="89"/>
      <c r="BD472" s="89"/>
      <c r="BE472" s="89"/>
      <c r="BF472" s="89"/>
      <c r="BG472" s="89"/>
      <c r="BH472" s="89"/>
      <c r="BI472" s="89"/>
      <c r="BJ472" s="89"/>
      <c r="BK472" s="89"/>
      <c r="BL472" s="89"/>
      <c r="BM472" s="89"/>
      <c r="BN472" s="89"/>
      <c r="BO472" s="89"/>
      <c r="BP472" s="89"/>
    </row>
    <row r="473" spans="1:68" s="320" customFormat="1" ht="45.75" hidden="1" customHeight="1">
      <c r="A473" s="204">
        <f>+IFERROR(VALUE(MID(AB473,4,4)),"")</f>
        <v>399</v>
      </c>
      <c r="B473" s="204">
        <f>VALUE(RIGHT(C473,LEN(C473)-2))</f>
        <v>2247</v>
      </c>
      <c r="C473" s="74" t="s">
        <v>1890</v>
      </c>
      <c r="D473" s="75">
        <v>45642</v>
      </c>
      <c r="E473" s="70" t="s">
        <v>473</v>
      </c>
      <c r="F473" s="70" t="s">
        <v>473</v>
      </c>
      <c r="G473" s="68" t="s">
        <v>1862</v>
      </c>
      <c r="H473" s="307" t="s">
        <v>1863</v>
      </c>
      <c r="I473" s="69" t="s">
        <v>1891</v>
      </c>
      <c r="J473" s="69"/>
      <c r="K473" s="68" t="s">
        <v>12</v>
      </c>
      <c r="L473" s="69" t="s">
        <v>129</v>
      </c>
      <c r="M473" s="71" t="s">
        <v>141</v>
      </c>
      <c r="N473" s="69" t="e" vm="1">
        <v>#VALUE!</v>
      </c>
      <c r="O473" s="84">
        <v>45715</v>
      </c>
      <c r="P473" s="72" t="s">
        <v>377</v>
      </c>
      <c r="Q473" s="72" t="s">
        <v>316</v>
      </c>
      <c r="R473" s="162"/>
      <c r="S473" s="146"/>
      <c r="T473" s="68" t="s">
        <v>155</v>
      </c>
      <c r="U473" s="87"/>
      <c r="V473" s="183">
        <v>45751</v>
      </c>
      <c r="W473" s="73"/>
      <c r="X473" s="73"/>
      <c r="Y473" s="83" t="str">
        <f>IF(SUM(W473:W473)&gt;0,X473/SUM(W473:W473)*1000000,"N/A")</f>
        <v>N/A</v>
      </c>
      <c r="Z473" s="183"/>
      <c r="AA473" s="183"/>
      <c r="AB473" s="73" t="s">
        <v>1892</v>
      </c>
      <c r="AC473" s="153"/>
      <c r="AD473" s="331"/>
      <c r="AE473" s="57"/>
      <c r="AF473" s="88"/>
      <c r="AG473" s="182">
        <f>YEAR(V473)</f>
        <v>2025</v>
      </c>
      <c r="AH473" s="86" t="str">
        <f>+IF(AG473=$AH$22,MONTH(V473),"")</f>
        <v/>
      </c>
      <c r="AI473" s="86">
        <f>+IF(AG473=$AI$22,MONTH(V473),"")</f>
        <v>4</v>
      </c>
      <c r="AJ473" s="86" t="str">
        <f>+IF(AG473=$AJ$22,MONTH(V473),"")</f>
        <v/>
      </c>
      <c r="AK473" s="86" t="str">
        <f>+IF(AG473=$AK$22,MONTH(V473),"")</f>
        <v/>
      </c>
      <c r="AL473" s="86"/>
      <c r="AM473" s="89"/>
      <c r="AN473" s="89"/>
      <c r="AO473" s="89"/>
      <c r="AP473" s="89"/>
      <c r="AQ473" s="89"/>
      <c r="AR473" s="89"/>
      <c r="AS473" s="89"/>
      <c r="AT473" s="89"/>
      <c r="AU473" s="89"/>
      <c r="AV473" s="89"/>
      <c r="AW473" s="86" t="str">
        <f>+IF($AG473=AW$22,MONTH($D473),"")</f>
        <v/>
      </c>
      <c r="AX473" s="86" t="str">
        <f>+IF($AG473=AX$22,MONTH($D473),"")</f>
        <v/>
      </c>
      <c r="AY473" s="89"/>
      <c r="AZ473" s="89"/>
      <c r="BA473" s="89"/>
      <c r="BB473" s="89"/>
      <c r="BC473" s="89"/>
      <c r="BD473" s="89"/>
      <c r="BE473" s="89"/>
      <c r="BF473" s="89"/>
      <c r="BG473" s="89"/>
      <c r="BH473" s="89"/>
      <c r="BI473" s="89"/>
      <c r="BJ473" s="89"/>
      <c r="BK473" s="89"/>
      <c r="BL473" s="89"/>
      <c r="BM473" s="89"/>
      <c r="BN473" s="89"/>
      <c r="BO473" s="89"/>
      <c r="BP473" s="89"/>
    </row>
    <row r="474" spans="1:68" s="89" customFormat="1" ht="48" hidden="1" customHeight="1">
      <c r="A474" s="204">
        <f>+IFERROR(VALUE(MID(AB474,4,4)),"")</f>
        <v>399</v>
      </c>
      <c r="B474" s="204">
        <f>VALUE(RIGHT(C474,LEN(C474)-2))</f>
        <v>2246</v>
      </c>
      <c r="C474" s="74" t="s">
        <v>1893</v>
      </c>
      <c r="D474" s="75">
        <v>45642</v>
      </c>
      <c r="E474" s="70" t="s">
        <v>473</v>
      </c>
      <c r="F474" s="70" t="s">
        <v>473</v>
      </c>
      <c r="G474" s="68" t="s">
        <v>1862</v>
      </c>
      <c r="H474" s="307" t="s">
        <v>1863</v>
      </c>
      <c r="I474" s="69" t="s">
        <v>1894</v>
      </c>
      <c r="J474" s="69"/>
      <c r="K474" s="68" t="s">
        <v>12</v>
      </c>
      <c r="L474" s="68" t="s">
        <v>129</v>
      </c>
      <c r="M474" s="68" t="s">
        <v>141</v>
      </c>
      <c r="N474" s="69" t="e" vm="1">
        <v>#VALUE!</v>
      </c>
      <c r="O474" s="84">
        <v>45715</v>
      </c>
      <c r="P474" s="72" t="s">
        <v>377</v>
      </c>
      <c r="Q474" s="72" t="s">
        <v>316</v>
      </c>
      <c r="R474" s="162"/>
      <c r="S474" s="146"/>
      <c r="T474" s="68" t="s">
        <v>155</v>
      </c>
      <c r="U474" s="87"/>
      <c r="V474" s="183">
        <v>45751</v>
      </c>
      <c r="W474" s="73"/>
      <c r="X474" s="73"/>
      <c r="Y474" s="83" t="str">
        <f>IF(SUM(W474:W474)&gt;0,X474/SUM(W474:W474)*1000000,"N/A")</f>
        <v>N/A</v>
      </c>
      <c r="Z474" s="183"/>
      <c r="AA474" s="183"/>
      <c r="AB474" s="73" t="s">
        <v>1895</v>
      </c>
      <c r="AC474" s="153"/>
      <c r="AD474" s="331"/>
      <c r="AE474" s="57"/>
      <c r="AF474" s="88"/>
      <c r="AG474" s="182">
        <f>YEAR(V474)</f>
        <v>2025</v>
      </c>
      <c r="AH474" s="86" t="str">
        <f>+IF(AG474=$AH$22,MONTH(V474),"")</f>
        <v/>
      </c>
      <c r="AI474" s="86">
        <f>+IF(AG474=$AI$22,MONTH(V474),"")</f>
        <v>4</v>
      </c>
      <c r="AJ474" s="86" t="str">
        <f>+IF(AG474=$AJ$22,MONTH(V474),"")</f>
        <v/>
      </c>
      <c r="AK474" s="86" t="str">
        <f>+IF(AG474=$AK$22,MONTH(V474),"")</f>
        <v/>
      </c>
      <c r="AL474" s="86"/>
      <c r="AW474" s="86" t="str">
        <f>+IF($AG474=AW$22,MONTH($D474),"")</f>
        <v/>
      </c>
      <c r="AX474" s="86" t="str">
        <f>+IF($AG474=AX$22,MONTH($D474),"")</f>
        <v/>
      </c>
    </row>
    <row r="475" spans="1:68" s="56" customFormat="1" ht="32.25" hidden="1" customHeight="1">
      <c r="A475" s="204">
        <f>+IFERROR(VALUE(MID(AB475,4,4)),"")</f>
        <v>399</v>
      </c>
      <c r="B475" s="204">
        <f>VALUE(RIGHT(C475,LEN(C475)-2))</f>
        <v>2245</v>
      </c>
      <c r="C475" s="74" t="s">
        <v>1896</v>
      </c>
      <c r="D475" s="75">
        <v>45642</v>
      </c>
      <c r="E475" s="70" t="s">
        <v>473</v>
      </c>
      <c r="F475" s="70" t="s">
        <v>473</v>
      </c>
      <c r="G475" s="68" t="s">
        <v>1862</v>
      </c>
      <c r="H475" s="307" t="s">
        <v>1863</v>
      </c>
      <c r="I475" s="69" t="s">
        <v>1897</v>
      </c>
      <c r="J475" s="69"/>
      <c r="K475" s="68" t="s">
        <v>12</v>
      </c>
      <c r="L475" s="69" t="s">
        <v>129</v>
      </c>
      <c r="M475" s="71" t="s">
        <v>141</v>
      </c>
      <c r="N475" s="69" t="e" vm="1">
        <v>#VALUE!</v>
      </c>
      <c r="O475" s="84">
        <v>45734</v>
      </c>
      <c r="P475" s="72" t="s">
        <v>377</v>
      </c>
      <c r="Q475" s="72" t="s">
        <v>316</v>
      </c>
      <c r="R475" s="162"/>
      <c r="S475" s="146"/>
      <c r="T475" s="68" t="s">
        <v>165</v>
      </c>
      <c r="U475" s="87"/>
      <c r="V475" s="183">
        <v>45796</v>
      </c>
      <c r="W475" s="73">
        <v>638</v>
      </c>
      <c r="X475" s="73">
        <v>28.8</v>
      </c>
      <c r="Y475" s="83">
        <f>IF(SUM(W475:W475)&gt;0,X475/SUM(W475:W475)*1000000,"N/A")</f>
        <v>45141.065830721003</v>
      </c>
      <c r="Z475" s="183"/>
      <c r="AA475" s="183"/>
      <c r="AB475" s="73" t="s">
        <v>1898</v>
      </c>
      <c r="AC475" s="153"/>
      <c r="AD475" s="331"/>
      <c r="AE475" s="57"/>
      <c r="AF475" s="88"/>
      <c r="AG475" s="182">
        <f>YEAR(V475)</f>
        <v>2025</v>
      </c>
      <c r="AH475" s="86" t="str">
        <f>+IF(AG475=$AH$22,MONTH(V475),"")</f>
        <v/>
      </c>
      <c r="AI475" s="86">
        <f>+IF(AG475=$AI$22,MONTH(V475),"")</f>
        <v>5</v>
      </c>
      <c r="AJ475" s="86" t="str">
        <f>+IF(AG475=$AJ$22,MONTH(V475),"")</f>
        <v/>
      </c>
      <c r="AK475" s="86" t="str">
        <f>+IF(AG475=$AK$22,MONTH(V475),"")</f>
        <v/>
      </c>
      <c r="AL475" s="86"/>
      <c r="AM475" s="89"/>
      <c r="AN475" s="89"/>
      <c r="AO475" s="89"/>
      <c r="AP475" s="89"/>
      <c r="AQ475" s="89"/>
      <c r="AR475" s="89"/>
      <c r="AS475" s="89"/>
      <c r="AT475" s="89"/>
      <c r="AU475" s="89"/>
      <c r="AV475" s="89"/>
      <c r="AW475" s="86" t="str">
        <f>+IF($AG475=AW$22,MONTH($D475),"")</f>
        <v/>
      </c>
      <c r="AX475" s="86" t="str">
        <f>+IF($AG475=AX$22,MONTH($D475),"")</f>
        <v/>
      </c>
      <c r="AY475" s="89"/>
      <c r="AZ475" s="89"/>
      <c r="BA475" s="89"/>
      <c r="BB475" s="89"/>
      <c r="BC475" s="89"/>
      <c r="BD475" s="89"/>
      <c r="BE475" s="89"/>
      <c r="BF475" s="89"/>
      <c r="BG475" s="89"/>
      <c r="BH475" s="89"/>
      <c r="BI475" s="89"/>
      <c r="BJ475" s="89"/>
      <c r="BK475" s="89"/>
      <c r="BL475" s="89"/>
      <c r="BM475" s="89"/>
      <c r="BN475" s="89"/>
      <c r="BO475" s="89"/>
      <c r="BP475" s="89"/>
    </row>
    <row r="476" spans="1:68" s="89" customFormat="1" ht="33.75" hidden="1" customHeight="1">
      <c r="A476" s="204">
        <f>+IFERROR(VALUE(MID(AB476,4,4)),"")</f>
        <v>399</v>
      </c>
      <c r="B476" s="204">
        <f>VALUE(RIGHT(C476,LEN(C476)-2))</f>
        <v>2244</v>
      </c>
      <c r="C476" s="74" t="s">
        <v>1899</v>
      </c>
      <c r="D476" s="75">
        <v>45642</v>
      </c>
      <c r="E476" s="70" t="s">
        <v>473</v>
      </c>
      <c r="F476" s="70" t="s">
        <v>473</v>
      </c>
      <c r="G476" s="68" t="s">
        <v>1862</v>
      </c>
      <c r="H476" s="307" t="s">
        <v>1863</v>
      </c>
      <c r="I476" s="69" t="s">
        <v>1900</v>
      </c>
      <c r="J476" s="69"/>
      <c r="K476" s="68" t="s">
        <v>12</v>
      </c>
      <c r="L476" s="68" t="s">
        <v>129</v>
      </c>
      <c r="M476" s="68" t="s">
        <v>141</v>
      </c>
      <c r="N476" s="69" t="e" vm="1">
        <v>#VALUE!</v>
      </c>
      <c r="O476" s="164">
        <v>45694</v>
      </c>
      <c r="P476" s="72" t="s">
        <v>377</v>
      </c>
      <c r="Q476" s="72" t="s">
        <v>316</v>
      </c>
      <c r="R476" s="162"/>
      <c r="S476" s="146"/>
      <c r="T476" s="68" t="s">
        <v>3</v>
      </c>
      <c r="U476" s="87"/>
      <c r="V476" s="183">
        <v>45694</v>
      </c>
      <c r="W476" s="73">
        <v>3608</v>
      </c>
      <c r="X476" s="73">
        <v>178</v>
      </c>
      <c r="Y476" s="83">
        <f>IF(SUM(W476:W476)&gt;0,X476/SUM(W476:W476)*1000000,"N/A")</f>
        <v>49334.811529933475</v>
      </c>
      <c r="Z476" s="183"/>
      <c r="AA476" s="183"/>
      <c r="AB476" s="73" t="s">
        <v>1901</v>
      </c>
      <c r="AC476" s="153"/>
      <c r="AD476" s="331"/>
      <c r="AE476" s="57"/>
      <c r="AF476" s="88"/>
      <c r="AG476" s="182">
        <f>YEAR(V476)</f>
        <v>2025</v>
      </c>
      <c r="AH476" s="86" t="str">
        <f>+IF(AG476=$AH$22,MONTH(V476),"")</f>
        <v/>
      </c>
      <c r="AI476" s="86">
        <f>+IF(AG476=$AI$22,MONTH(V476),"")</f>
        <v>2</v>
      </c>
      <c r="AJ476" s="86" t="str">
        <f>+IF(AG476=$AJ$22,MONTH(V476),"")</f>
        <v/>
      </c>
      <c r="AK476" s="86" t="str">
        <f>+IF(AG476=$AK$22,MONTH(V476),"")</f>
        <v/>
      </c>
      <c r="AL476" s="86"/>
      <c r="AW476" s="86" t="str">
        <f>+IF($AG476=AW$22,MONTH($D476),"")</f>
        <v/>
      </c>
      <c r="AX476" s="86" t="str">
        <f>+IF($AG476=AX$22,MONTH($D476),"")</f>
        <v/>
      </c>
    </row>
    <row r="477" spans="1:68" s="89" customFormat="1" ht="33.75" hidden="1" customHeight="1">
      <c r="A477" s="204" t="str">
        <f>+IFERROR(VALUE(MID(AB477,4,4)),"")</f>
        <v/>
      </c>
      <c r="B477" s="204">
        <f>VALUE(RIGHT(C477,LEN(C477)-2))</f>
        <v>2243</v>
      </c>
      <c r="C477" s="74" t="s">
        <v>1902</v>
      </c>
      <c r="D477" s="75">
        <v>45639</v>
      </c>
      <c r="E477" s="70" t="s">
        <v>1903</v>
      </c>
      <c r="F477" s="70" t="s">
        <v>1904</v>
      </c>
      <c r="G477" s="68" t="s">
        <v>1905</v>
      </c>
      <c r="H477" s="59" t="s">
        <v>1906</v>
      </c>
      <c r="I477" s="69" t="s">
        <v>1907</v>
      </c>
      <c r="J477" s="69"/>
      <c r="K477" s="68" t="s">
        <v>227</v>
      </c>
      <c r="L477" s="68" t="s">
        <v>120</v>
      </c>
      <c r="M477" s="68" t="s">
        <v>141</v>
      </c>
      <c r="N477" s="69" t="e" vm="1">
        <v>#VALUE!</v>
      </c>
      <c r="O477" s="84">
        <v>45649</v>
      </c>
      <c r="P477" s="72" t="s">
        <v>228</v>
      </c>
      <c r="Q477" s="72" t="s">
        <v>220</v>
      </c>
      <c r="R477" s="162"/>
      <c r="S477" s="146" t="s">
        <v>927</v>
      </c>
      <c r="T477" s="68" t="s">
        <v>165</v>
      </c>
      <c r="U477" s="87"/>
      <c r="V477" s="80">
        <v>45649</v>
      </c>
      <c r="W477" s="73"/>
      <c r="X477" s="73"/>
      <c r="Y477" s="83" t="str">
        <f>IF(SUM(W477:W477)&gt;0,X477/SUM(W477:W477)*1000000,"N/A")</f>
        <v>N/A</v>
      </c>
      <c r="Z477" s="80"/>
      <c r="AA477" s="80"/>
      <c r="AB477" s="73"/>
      <c r="AC477" s="153"/>
      <c r="AD477" s="331"/>
      <c r="AE477" s="57"/>
      <c r="AF477" s="88"/>
      <c r="AG477" s="182">
        <f>YEAR(V477)</f>
        <v>2024</v>
      </c>
      <c r="AH477" s="86" t="str">
        <f>+IF(AG477=$AH$22,MONTH(V477),"")</f>
        <v/>
      </c>
      <c r="AI477" s="86" t="str">
        <f>+IF(AG477=$AI$22,MONTH(V477),"")</f>
        <v/>
      </c>
      <c r="AJ477" s="86">
        <f>+IF(AG477=$AJ$22,MONTH(V477),"")</f>
        <v>12</v>
      </c>
      <c r="AK477" s="86" t="str">
        <f>+IF(AG477=$AK$22,MONTH(V477),"")</f>
        <v/>
      </c>
      <c r="AL477" s="86"/>
      <c r="AW477" s="86" t="str">
        <f>+IF($AG477=AW$22,MONTH($D477),"")</f>
        <v/>
      </c>
      <c r="AX477" s="86" t="str">
        <f>+IF($AG477=AX$22,MONTH($D477),"")</f>
        <v/>
      </c>
    </row>
    <row r="478" spans="1:68" s="89" customFormat="1" ht="33.75" hidden="1" customHeight="1">
      <c r="A478" s="204">
        <f>+IFERROR(VALUE(MID(AB478,4,4)),"")</f>
        <v>352</v>
      </c>
      <c r="B478" s="204">
        <f>VALUE(RIGHT(C478,LEN(C478)-2))</f>
        <v>2242</v>
      </c>
      <c r="C478" s="74" t="s">
        <v>1908</v>
      </c>
      <c r="D478" s="75">
        <v>45636</v>
      </c>
      <c r="E478" s="70" t="s">
        <v>53</v>
      </c>
      <c r="F478" s="70" t="s">
        <v>1909</v>
      </c>
      <c r="G478" s="68" t="s">
        <v>210</v>
      </c>
      <c r="H478" s="59"/>
      <c r="I478" s="162" t="s">
        <v>1910</v>
      </c>
      <c r="J478" s="162"/>
      <c r="K478" s="68" t="s">
        <v>12</v>
      </c>
      <c r="L478" s="68" t="s">
        <v>129</v>
      </c>
      <c r="M478" s="68" t="s">
        <v>141</v>
      </c>
      <c r="N478" s="69" t="e" vm="1">
        <v>#VALUE!</v>
      </c>
      <c r="O478" s="164">
        <v>45656</v>
      </c>
      <c r="P478" s="72" t="s">
        <v>213</v>
      </c>
      <c r="Q478" s="72" t="s">
        <v>259</v>
      </c>
      <c r="R478" s="162"/>
      <c r="S478" s="146"/>
      <c r="T478" s="68" t="s">
        <v>155</v>
      </c>
      <c r="U478" s="87"/>
      <c r="V478" s="183">
        <v>45642</v>
      </c>
      <c r="W478" s="73"/>
      <c r="X478" s="73"/>
      <c r="Y478" s="83" t="str">
        <f>IF(SUM(W478:W478)&gt;0,X478/SUM(W478:W478)*1000000,"N/A")</f>
        <v>N/A</v>
      </c>
      <c r="Z478" s="183"/>
      <c r="AA478" s="183"/>
      <c r="AB478" s="73" t="s">
        <v>1911</v>
      </c>
      <c r="AC478" s="153"/>
      <c r="AD478" s="331"/>
      <c r="AE478" s="57"/>
      <c r="AF478" s="88"/>
      <c r="AG478" s="182">
        <f>YEAR(V478)</f>
        <v>2024</v>
      </c>
      <c r="AH478" s="86" t="str">
        <f>+IF(AG478=$AH$22,MONTH(V478),"")</f>
        <v/>
      </c>
      <c r="AI478" s="86" t="str">
        <f>+IF(AG478=$AI$22,MONTH(V478),"")</f>
        <v/>
      </c>
      <c r="AJ478" s="86">
        <f>+IF(AG478=$AJ$22,MONTH(V478),"")</f>
        <v>12</v>
      </c>
      <c r="AK478" s="86" t="str">
        <f>+IF(AG478=$AK$22,MONTH(V478),"")</f>
        <v/>
      </c>
      <c r="AL478" s="86"/>
      <c r="AW478" s="86" t="str">
        <f>+IF($AG478=AW$22,MONTH($D478),"")</f>
        <v/>
      </c>
      <c r="AX478" s="86" t="str">
        <f>+IF($AG478=AX$22,MONTH($D478),"")</f>
        <v/>
      </c>
      <c r="BJ478" s="167"/>
      <c r="BK478" s="167"/>
      <c r="BL478" s="167"/>
      <c r="BM478" s="167"/>
    </row>
    <row r="479" spans="1:68" s="89" customFormat="1" ht="33.75" hidden="1" customHeight="1">
      <c r="A479" s="204">
        <f>+IFERROR(VALUE(MID(AB479,4,4)),"")</f>
        <v>399</v>
      </c>
      <c r="B479" s="204">
        <f>VALUE(RIGHT(C479,LEN(C479)-2))</f>
        <v>2241</v>
      </c>
      <c r="C479" s="74" t="s">
        <v>1912</v>
      </c>
      <c r="D479" s="75">
        <v>45638</v>
      </c>
      <c r="E479" s="70" t="s">
        <v>473</v>
      </c>
      <c r="F479" s="70" t="s">
        <v>473</v>
      </c>
      <c r="G479" s="68" t="s">
        <v>1862</v>
      </c>
      <c r="H479" s="307" t="s">
        <v>1863</v>
      </c>
      <c r="I479" s="69" t="s">
        <v>1913</v>
      </c>
      <c r="J479" s="69"/>
      <c r="K479" s="68" t="s">
        <v>12</v>
      </c>
      <c r="L479" s="68" t="s">
        <v>129</v>
      </c>
      <c r="M479" s="68" t="s">
        <v>141</v>
      </c>
      <c r="N479" s="69" t="e" vm="1">
        <v>#VALUE!</v>
      </c>
      <c r="O479" s="164">
        <v>45644</v>
      </c>
      <c r="P479" s="72" t="s">
        <v>377</v>
      </c>
      <c r="Q479" s="72" t="s">
        <v>316</v>
      </c>
      <c r="R479" s="162"/>
      <c r="S479" s="146"/>
      <c r="T479" s="68" t="s">
        <v>3</v>
      </c>
      <c r="U479" s="87"/>
      <c r="V479" s="183">
        <v>45715</v>
      </c>
      <c r="W479" s="73">
        <v>932</v>
      </c>
      <c r="X479" s="73">
        <v>43</v>
      </c>
      <c r="Y479" s="83">
        <f>IF(SUM(W479:W479)&gt;0,X479/SUM(W479:W479)*1000000,"N/A")</f>
        <v>46137.339055793993</v>
      </c>
      <c r="Z479" s="183"/>
      <c r="AA479" s="183"/>
      <c r="AB479" s="73" t="s">
        <v>1914</v>
      </c>
      <c r="AC479" s="153"/>
      <c r="AD479" s="331"/>
      <c r="AE479" s="57"/>
      <c r="AF479" s="88"/>
      <c r="AG479" s="182">
        <f>YEAR(V479)</f>
        <v>2025</v>
      </c>
      <c r="AH479" s="86" t="str">
        <f>+IF(AG479=$AH$22,MONTH(V479),"")</f>
        <v/>
      </c>
      <c r="AI479" s="86">
        <f>+IF(AG479=$AI$22,MONTH(V479),"")</f>
        <v>2</v>
      </c>
      <c r="AJ479" s="86" t="str">
        <f>+IF(AG479=$AJ$22,MONTH(V479),"")</f>
        <v/>
      </c>
      <c r="AK479" s="86" t="str">
        <f>+IF(AG479=$AK$22,MONTH(V479),"")</f>
        <v/>
      </c>
      <c r="AL479" s="86"/>
      <c r="AW479" s="86" t="str">
        <f>+IF($AG479=AW$22,MONTH($D479),"")</f>
        <v/>
      </c>
      <c r="AX479" s="86" t="str">
        <f>+IF($AG479=AX$22,MONTH($D479),"")</f>
        <v/>
      </c>
    </row>
    <row r="480" spans="1:68" s="56" customFormat="1" ht="32.25" hidden="1" customHeight="1">
      <c r="A480" s="204" t="str">
        <f>+IFERROR(VALUE(MID(AB480,4,4)),"")</f>
        <v/>
      </c>
      <c r="B480" s="204">
        <f>VALUE(RIGHT(C480,LEN(C480)-2))</f>
        <v>2240</v>
      </c>
      <c r="C480" s="74" t="s">
        <v>1915</v>
      </c>
      <c r="D480" s="75">
        <v>45628</v>
      </c>
      <c r="E480" s="70" t="s">
        <v>53</v>
      </c>
      <c r="F480" s="70" t="s">
        <v>252</v>
      </c>
      <c r="G480" s="68" t="s">
        <v>210</v>
      </c>
      <c r="H480" s="304" t="s">
        <v>210</v>
      </c>
      <c r="I480" s="162" t="s">
        <v>1916</v>
      </c>
      <c r="J480" s="162"/>
      <c r="K480" s="68" t="s">
        <v>13</v>
      </c>
      <c r="L480" s="69" t="s">
        <v>123</v>
      </c>
      <c r="M480" s="71" t="s">
        <v>141</v>
      </c>
      <c r="N480" s="69" t="e" vm="1">
        <v>#VALUE!</v>
      </c>
      <c r="O480" s="164">
        <v>45680</v>
      </c>
      <c r="P480" s="72" t="s">
        <v>213</v>
      </c>
      <c r="Q480" s="72" t="s">
        <v>259</v>
      </c>
      <c r="R480" s="162"/>
      <c r="S480" s="146"/>
      <c r="T480" s="373" t="s">
        <v>155</v>
      </c>
      <c r="U480" s="87"/>
      <c r="V480" s="183">
        <v>45635</v>
      </c>
      <c r="W480" s="73"/>
      <c r="X480" s="73"/>
      <c r="Y480" s="83" t="str">
        <f>IF(SUM(W480:W480)&gt;0,X480/SUM(W480:W480)*1000000,"N/A")</f>
        <v>N/A</v>
      </c>
      <c r="Z480" s="183"/>
      <c r="AA480" s="183"/>
      <c r="AB480" s="73"/>
      <c r="AC480" s="153"/>
      <c r="AD480" s="330"/>
      <c r="AE480" s="305"/>
      <c r="AF480" s="88"/>
      <c r="AG480" s="182">
        <f>YEAR(V480)</f>
        <v>2024</v>
      </c>
      <c r="AH480" s="86" t="str">
        <f>+IF(AG480=$AH$22,MONTH(V480),"")</f>
        <v/>
      </c>
      <c r="AI480" s="86" t="str">
        <f>+IF(AG480=$AI$22,MONTH(V480),"")</f>
        <v/>
      </c>
      <c r="AJ480" s="86">
        <f>+IF(AG480=$AJ$22,MONTH(V480),"")</f>
        <v>12</v>
      </c>
      <c r="AK480" s="86" t="str">
        <f>+IF(AG480=$AK$22,MONTH(V480),"")</f>
        <v/>
      </c>
      <c r="AL480" s="86"/>
      <c r="AM480" s="89"/>
      <c r="AN480" s="89"/>
      <c r="AO480" s="89"/>
      <c r="AP480" s="89"/>
      <c r="AQ480" s="89"/>
      <c r="AR480" s="89"/>
      <c r="AS480" s="89"/>
      <c r="AT480" s="89"/>
      <c r="AU480" s="89"/>
      <c r="AV480" s="89"/>
      <c r="AW480" s="86" t="str">
        <f>+IF($AG480=AW$22,MONTH($D480),"")</f>
        <v/>
      </c>
      <c r="AX480" s="86" t="str">
        <f>+IF($AG480=AX$22,MONTH($D480),"")</f>
        <v/>
      </c>
      <c r="AY480" s="89"/>
      <c r="AZ480" s="89"/>
      <c r="BA480" s="89"/>
      <c r="BB480" s="89"/>
      <c r="BC480" s="89"/>
      <c r="BD480" s="89"/>
      <c r="BE480" s="89"/>
      <c r="BF480" s="89"/>
      <c r="BG480" s="89"/>
      <c r="BH480" s="89"/>
      <c r="BI480" s="89"/>
      <c r="BJ480" s="89"/>
      <c r="BK480" s="89"/>
      <c r="BL480" s="89"/>
      <c r="BM480" s="89"/>
      <c r="BN480" s="89"/>
      <c r="BO480" s="89"/>
      <c r="BP480" s="89"/>
    </row>
    <row r="481" spans="1:68" s="356" customFormat="1" ht="30" hidden="1" customHeight="1">
      <c r="A481" s="204">
        <f>+IFERROR(VALUE(MID(AB481,4,4)),"")</f>
        <v>425</v>
      </c>
      <c r="B481" s="204">
        <f>VALUE(RIGHT(C481,LEN(C481)-2))</f>
        <v>2239</v>
      </c>
      <c r="C481" s="74" t="s">
        <v>1917</v>
      </c>
      <c r="D481" s="75">
        <v>45632</v>
      </c>
      <c r="E481" s="70" t="s">
        <v>106</v>
      </c>
      <c r="F481" s="70" t="s">
        <v>106</v>
      </c>
      <c r="G481" s="68" t="s">
        <v>1918</v>
      </c>
      <c r="H481" s="282"/>
      <c r="I481" s="162" t="s">
        <v>1919</v>
      </c>
      <c r="J481" s="162"/>
      <c r="K481" s="68" t="s">
        <v>9</v>
      </c>
      <c r="L481" s="69" t="s">
        <v>120</v>
      </c>
      <c r="M481" s="71" t="s">
        <v>141</v>
      </c>
      <c r="N481" s="69" t="e" vm="1">
        <v>#VALUE!</v>
      </c>
      <c r="O481" s="164">
        <v>45637</v>
      </c>
      <c r="P481" s="72" t="s">
        <v>1058</v>
      </c>
      <c r="Q481" s="72" t="s">
        <v>259</v>
      </c>
      <c r="R481" s="162"/>
      <c r="S481" s="146"/>
      <c r="T481" s="68" t="s">
        <v>3</v>
      </c>
      <c r="U481" s="87"/>
      <c r="V481" s="183">
        <v>45733</v>
      </c>
      <c r="W481" s="73">
        <v>687</v>
      </c>
      <c r="X481" s="214">
        <f>816*38800/1000000</f>
        <v>31.660799999999998</v>
      </c>
      <c r="Y481" s="83">
        <f>IF(SUM(W481:W481)&gt;0,X481/SUM(W481:W481)*1000000,"N/A")</f>
        <v>46085.589519650654</v>
      </c>
      <c r="Z481" s="183"/>
      <c r="AA481" s="183"/>
      <c r="AB481" s="73" t="s">
        <v>1920</v>
      </c>
      <c r="AC481" s="153"/>
      <c r="AD481" s="331"/>
      <c r="AE481" s="57"/>
      <c r="AF481" s="88"/>
      <c r="AG481" s="182">
        <f>YEAR(V481)</f>
        <v>2025</v>
      </c>
      <c r="AH481" s="86" t="str">
        <f>+IF(AG481=$AH$22,MONTH(V481),"")</f>
        <v/>
      </c>
      <c r="AI481" s="86">
        <f>+IF(AG481=$AI$22,MONTH(V481),"")</f>
        <v>3</v>
      </c>
      <c r="AJ481" s="86" t="str">
        <f>+IF(AG481=$AJ$22,MONTH(V481),"")</f>
        <v/>
      </c>
      <c r="AK481" s="86" t="str">
        <f>+IF(AG481=$AK$22,MONTH(V481),"")</f>
        <v/>
      </c>
      <c r="AL481" s="86"/>
      <c r="AM481" s="89"/>
      <c r="AN481" s="89"/>
      <c r="AO481" s="89"/>
      <c r="AP481" s="89"/>
      <c r="AQ481" s="89"/>
      <c r="AR481" s="89"/>
      <c r="AS481" s="89"/>
      <c r="AT481" s="89"/>
      <c r="AU481" s="89"/>
      <c r="AV481" s="89"/>
      <c r="AW481" s="86" t="str">
        <f>+IF($AG481=AW$22,MONTH($D481),"")</f>
        <v/>
      </c>
      <c r="AX481" s="86" t="str">
        <f>+IF($AG481=AX$22,MONTH($D481),"")</f>
        <v/>
      </c>
      <c r="AY481" s="89"/>
      <c r="AZ481" s="89"/>
      <c r="BA481" s="89"/>
      <c r="BB481" s="89"/>
      <c r="BC481" s="89"/>
      <c r="BD481" s="89"/>
      <c r="BE481" s="89"/>
      <c r="BF481" s="89"/>
      <c r="BG481" s="89"/>
      <c r="BH481" s="89"/>
      <c r="BI481" s="89"/>
      <c r="BJ481" s="89"/>
      <c r="BK481" s="89"/>
      <c r="BL481" s="89"/>
      <c r="BM481" s="89"/>
      <c r="BN481" s="89"/>
      <c r="BO481" s="89"/>
      <c r="BP481" s="89"/>
    </row>
    <row r="482" spans="1:68" s="89" customFormat="1" ht="33.75" hidden="1" customHeight="1">
      <c r="A482" s="204">
        <f>+IFERROR(VALUE(MID(AB482,4,4)),"")</f>
        <v>360</v>
      </c>
      <c r="B482" s="204">
        <f>VALUE(RIGHT(C482,LEN(C482)-2))</f>
        <v>2238</v>
      </c>
      <c r="C482" s="74" t="s">
        <v>1921</v>
      </c>
      <c r="D482" s="75">
        <v>45629</v>
      </c>
      <c r="E482" s="70" t="s">
        <v>53</v>
      </c>
      <c r="F482" s="70" t="s">
        <v>630</v>
      </c>
      <c r="G482" s="68" t="s">
        <v>210</v>
      </c>
      <c r="H482" s="321" t="s">
        <v>210</v>
      </c>
      <c r="I482" s="69" t="s">
        <v>1922</v>
      </c>
      <c r="J482" s="69"/>
      <c r="K482" s="68" t="s">
        <v>14</v>
      </c>
      <c r="L482" s="68" t="s">
        <v>129</v>
      </c>
      <c r="M482" s="68" t="s">
        <v>141</v>
      </c>
      <c r="N482" s="69" t="e" vm="1">
        <v>#VALUE!</v>
      </c>
      <c r="O482" s="164">
        <v>45666</v>
      </c>
      <c r="P482" s="72" t="s">
        <v>258</v>
      </c>
      <c r="Q482" s="72" t="s">
        <v>220</v>
      </c>
      <c r="R482" s="162"/>
      <c r="S482" s="146"/>
      <c r="T482" s="68" t="s">
        <v>165</v>
      </c>
      <c r="U482" s="87"/>
      <c r="V482" s="183">
        <v>45701</v>
      </c>
      <c r="W482" s="73">
        <v>2894</v>
      </c>
      <c r="X482" s="73">
        <v>126.5</v>
      </c>
      <c r="Y482" s="83">
        <f>IF(SUM(W482:W482)&gt;0,X482/SUM(W482:W482)*1000000,"N/A")</f>
        <v>43711.126468555638</v>
      </c>
      <c r="Z482" s="183"/>
      <c r="AA482" s="183"/>
      <c r="AB482" s="73" t="s">
        <v>1923</v>
      </c>
      <c r="AC482" s="153"/>
      <c r="AD482" s="330"/>
      <c r="AE482" s="305"/>
      <c r="AF482" s="88"/>
      <c r="AG482" s="182">
        <f>YEAR(V482)</f>
        <v>2025</v>
      </c>
      <c r="AH482" s="86" t="str">
        <f>+IF(AG482=$AH$22,MONTH(V482),"")</f>
        <v/>
      </c>
      <c r="AI482" s="86">
        <f>+IF(AG482=$AI$22,MONTH(V482),"")</f>
        <v>2</v>
      </c>
      <c r="AJ482" s="86" t="str">
        <f>+IF(AG482=$AJ$22,MONTH(V482),"")</f>
        <v/>
      </c>
      <c r="AK482" s="86" t="str">
        <f>+IF(AG482=$AK$22,MONTH(V482),"")</f>
        <v/>
      </c>
      <c r="AL482" s="86"/>
      <c r="AW482" s="86" t="str">
        <f>+IF($AG482=AW$22,MONTH($D482),"")</f>
        <v/>
      </c>
      <c r="AX482" s="86" t="str">
        <f>+IF($AG482=AX$22,MONTH($D482),"")</f>
        <v/>
      </c>
    </row>
    <row r="483" spans="1:68" s="356" customFormat="1" ht="30" hidden="1" customHeight="1">
      <c r="A483" s="204">
        <f>+IFERROR(VALUE(MID(AB483,4,4)),"")</f>
        <v>271</v>
      </c>
      <c r="B483" s="204">
        <f>VALUE(RIGHT(C483,LEN(C483)-2))</f>
        <v>2237</v>
      </c>
      <c r="C483" s="74" t="s">
        <v>1924</v>
      </c>
      <c r="D483" s="75">
        <v>45628</v>
      </c>
      <c r="E483" s="70" t="s">
        <v>277</v>
      </c>
      <c r="F483" s="70" t="s">
        <v>277</v>
      </c>
      <c r="G483" s="68" t="s">
        <v>1925</v>
      </c>
      <c r="H483" s="304"/>
      <c r="I483" s="69" t="s">
        <v>1926</v>
      </c>
      <c r="J483" s="69"/>
      <c r="K483" s="68" t="s">
        <v>33</v>
      </c>
      <c r="L483" s="69" t="s">
        <v>129</v>
      </c>
      <c r="M483" s="71" t="s">
        <v>141</v>
      </c>
      <c r="N483" s="69" t="e" vm="1">
        <v>#VALUE!</v>
      </c>
      <c r="O483" s="84">
        <v>45629</v>
      </c>
      <c r="P483" s="72" t="s">
        <v>912</v>
      </c>
      <c r="Q483" s="72" t="s">
        <v>220</v>
      </c>
      <c r="R483" s="162"/>
      <c r="S483" s="146"/>
      <c r="T483" s="68" t="s">
        <v>3</v>
      </c>
      <c r="U483" s="87"/>
      <c r="V483" s="183">
        <v>45629</v>
      </c>
      <c r="W483" s="73">
        <v>240</v>
      </c>
      <c r="X483" s="150">
        <v>10.6</v>
      </c>
      <c r="Y483" s="83">
        <f>IF(SUM(W483:W483)&gt;0,X483/SUM(W483:W483)*1000000,"N/A")</f>
        <v>44166.666666666664</v>
      </c>
      <c r="Z483" s="183"/>
      <c r="AA483" s="183"/>
      <c r="AB483" s="150" t="s">
        <v>1927</v>
      </c>
      <c r="AC483" s="153"/>
      <c r="AD483" s="330"/>
      <c r="AE483" s="305"/>
      <c r="AF483" s="88"/>
      <c r="AG483" s="182">
        <f>YEAR(V483)</f>
        <v>2024</v>
      </c>
      <c r="AH483" s="86" t="str">
        <f>+IF(AG483=$AH$22,MONTH(V483),"")</f>
        <v/>
      </c>
      <c r="AI483" s="86" t="str">
        <f>+IF(AG483=$AI$22,MONTH(V483),"")</f>
        <v/>
      </c>
      <c r="AJ483" s="86">
        <f>+IF(AG483=$AJ$22,MONTH(V483),"")</f>
        <v>12</v>
      </c>
      <c r="AK483" s="86" t="str">
        <f>+IF(AG483=$AK$22,MONTH(V483),"")</f>
        <v/>
      </c>
      <c r="AL483" s="86"/>
      <c r="AM483" s="89"/>
      <c r="AN483" s="89"/>
      <c r="AO483" s="89"/>
      <c r="AP483" s="89"/>
      <c r="AQ483" s="89"/>
      <c r="AR483" s="89"/>
      <c r="AS483" s="89"/>
      <c r="AT483" s="89"/>
      <c r="AU483" s="89"/>
      <c r="AV483" s="89"/>
      <c r="AW483" s="86" t="str">
        <f>+IF($AG483=AW$22,MONTH($D483),"")</f>
        <v/>
      </c>
      <c r="AX483" s="86" t="str">
        <f>+IF($AG483=AX$22,MONTH($D483),"")</f>
        <v/>
      </c>
      <c r="AY483" s="89"/>
      <c r="AZ483" s="89"/>
      <c r="BA483" s="89"/>
      <c r="BB483" s="89"/>
      <c r="BC483" s="89"/>
      <c r="BD483" s="89"/>
      <c r="BE483" s="89"/>
      <c r="BF483" s="89"/>
      <c r="BG483" s="89"/>
      <c r="BH483" s="89"/>
      <c r="BI483" s="89"/>
      <c r="BJ483" s="89"/>
      <c r="BK483" s="89"/>
      <c r="BL483" s="89"/>
      <c r="BM483" s="89"/>
      <c r="BN483" s="89"/>
      <c r="BO483" s="89"/>
      <c r="BP483" s="89"/>
    </row>
    <row r="484" spans="1:68" s="56" customFormat="1" ht="32.25" hidden="1" customHeight="1">
      <c r="A484" s="204" t="str">
        <f>+IFERROR(VALUE(MID(AB484,4,4)),"")</f>
        <v/>
      </c>
      <c r="B484" s="204">
        <f>VALUE(RIGHT(C484,LEN(C484)-2))</f>
        <v>2236</v>
      </c>
      <c r="C484" s="74" t="s">
        <v>1928</v>
      </c>
      <c r="D484" s="75">
        <v>45628</v>
      </c>
      <c r="E484" s="70" t="s">
        <v>53</v>
      </c>
      <c r="F484" s="70" t="s">
        <v>630</v>
      </c>
      <c r="G484" s="68" t="s">
        <v>210</v>
      </c>
      <c r="H484" s="304" t="s">
        <v>210</v>
      </c>
      <c r="I484" s="162" t="s">
        <v>1929</v>
      </c>
      <c r="J484" s="162"/>
      <c r="K484" s="68" t="s">
        <v>212</v>
      </c>
      <c r="L484" s="69" t="s">
        <v>123</v>
      </c>
      <c r="M484" s="71" t="s">
        <v>141</v>
      </c>
      <c r="N484" s="69" t="e" vm="1">
        <v>#VALUE!</v>
      </c>
      <c r="O484" s="164">
        <v>45670</v>
      </c>
      <c r="P484" s="72" t="s">
        <v>228</v>
      </c>
      <c r="Q484" s="72" t="s">
        <v>405</v>
      </c>
      <c r="R484" s="162"/>
      <c r="S484" s="146"/>
      <c r="T484" s="373" t="s">
        <v>155</v>
      </c>
      <c r="U484" s="87"/>
      <c r="V484" s="183">
        <v>45629</v>
      </c>
      <c r="W484" s="73"/>
      <c r="X484" s="73"/>
      <c r="Y484" s="83" t="str">
        <f>IF(SUM(W484:W484)&gt;0,X484/SUM(W484:W484)*1000000,"N/A")</f>
        <v>N/A</v>
      </c>
      <c r="Z484" s="183"/>
      <c r="AA484" s="183"/>
      <c r="AB484" s="73"/>
      <c r="AC484" s="153"/>
      <c r="AD484" s="330"/>
      <c r="AE484" s="305"/>
      <c r="AF484" s="88"/>
      <c r="AG484" s="182">
        <f>YEAR(V484)</f>
        <v>2024</v>
      </c>
      <c r="AH484" s="86" t="str">
        <f>+IF(AG484=$AH$22,MONTH(V484),"")</f>
        <v/>
      </c>
      <c r="AI484" s="86" t="str">
        <f>+IF(AG484=$AI$22,MONTH(V484),"")</f>
        <v/>
      </c>
      <c r="AJ484" s="86">
        <f>+IF(AG484=$AJ$22,MONTH(V484),"")</f>
        <v>12</v>
      </c>
      <c r="AK484" s="86" t="str">
        <f>+IF(AG484=$AK$22,MONTH(V484),"")</f>
        <v/>
      </c>
      <c r="AL484" s="86"/>
      <c r="AM484" s="89"/>
      <c r="AN484" s="89"/>
      <c r="AO484" s="89"/>
      <c r="AP484" s="89"/>
      <c r="AQ484" s="89"/>
      <c r="AR484" s="89"/>
      <c r="AS484" s="89"/>
      <c r="AT484" s="89"/>
      <c r="AU484" s="89"/>
      <c r="AV484" s="89"/>
      <c r="AW484" s="86" t="str">
        <f>+IF($AG484=AW$22,MONTH($D484),"")</f>
        <v/>
      </c>
      <c r="AX484" s="86" t="str">
        <f>+IF($AG484=AX$22,MONTH($D484),"")</f>
        <v/>
      </c>
      <c r="AY484" s="89"/>
      <c r="AZ484" s="89"/>
      <c r="BA484" s="89"/>
      <c r="BB484" s="89"/>
      <c r="BC484" s="89"/>
      <c r="BD484" s="89"/>
      <c r="BE484" s="89"/>
      <c r="BF484" s="89"/>
      <c r="BG484" s="89"/>
      <c r="BH484" s="89"/>
      <c r="BI484" s="89"/>
      <c r="BJ484" s="89"/>
      <c r="BK484" s="89"/>
      <c r="BL484" s="89"/>
      <c r="BM484" s="89"/>
      <c r="BN484" s="89"/>
      <c r="BO484" s="89"/>
      <c r="BP484" s="89"/>
    </row>
    <row r="485" spans="1:68" s="56" customFormat="1" ht="38.25" hidden="1" customHeight="1">
      <c r="A485" s="204">
        <f>+IFERROR(VALUE(MID(AB485,4,4)),"")</f>
        <v>357</v>
      </c>
      <c r="B485" s="204">
        <f>VALUE(RIGHT(C485,LEN(C485)-2))</f>
        <v>2235</v>
      </c>
      <c r="C485" s="74" t="s">
        <v>1930</v>
      </c>
      <c r="D485" s="75">
        <v>45628</v>
      </c>
      <c r="E485" s="70" t="s">
        <v>262</v>
      </c>
      <c r="F485" s="70" t="s">
        <v>270</v>
      </c>
      <c r="G485" s="68" t="s">
        <v>1931</v>
      </c>
      <c r="H485" s="307" t="s">
        <v>1932</v>
      </c>
      <c r="I485" s="69" t="s">
        <v>1933</v>
      </c>
      <c r="J485" s="69"/>
      <c r="K485" s="68" t="s">
        <v>389</v>
      </c>
      <c r="L485" s="69" t="s">
        <v>129</v>
      </c>
      <c r="M485" s="71" t="s">
        <v>141</v>
      </c>
      <c r="N485" s="69" t="e" vm="1">
        <v>#VALUE!</v>
      </c>
      <c r="O485" s="84">
        <v>45642</v>
      </c>
      <c r="P485" s="72" t="s">
        <v>402</v>
      </c>
      <c r="Q485" s="72" t="s">
        <v>389</v>
      </c>
      <c r="R485" s="162"/>
      <c r="S485" s="146" t="s">
        <v>899</v>
      </c>
      <c r="T485" s="68" t="s">
        <v>165</v>
      </c>
      <c r="U485" s="87"/>
      <c r="V485" s="80">
        <v>45628</v>
      </c>
      <c r="W485" s="73">
        <v>6754</v>
      </c>
      <c r="X485" s="73">
        <v>299</v>
      </c>
      <c r="Y485" s="169">
        <f>IF(SUM(W485:W485)&gt;0,X485/SUM(W485:W485)*1000000,"N/A")</f>
        <v>44270.062185371637</v>
      </c>
      <c r="Z485" s="80"/>
      <c r="AA485" s="80"/>
      <c r="AB485" s="73" t="s">
        <v>1934</v>
      </c>
      <c r="AC485" s="153"/>
      <c r="AD485" s="330" t="s">
        <v>134</v>
      </c>
      <c r="AE485" s="305"/>
      <c r="AF485" s="88"/>
      <c r="AG485" s="182">
        <f>YEAR(D485)</f>
        <v>2024</v>
      </c>
      <c r="AH485" s="86" t="str">
        <f>+IF(AG485=$AH$22,MONTH(V485),"")</f>
        <v/>
      </c>
      <c r="AI485" s="86" t="str">
        <f>+IF(AG485=$AI$22,MONTH(V485),"")</f>
        <v/>
      </c>
      <c r="AJ485" s="86">
        <f>+IF(AG485=$AJ$22,MONTH(V485),"")</f>
        <v>12</v>
      </c>
      <c r="AK485" s="86" t="str">
        <f>+IF(AG485=$AK$22,MONTH(V485),"")</f>
        <v/>
      </c>
      <c r="AL485" s="86" t="str">
        <f>+IF(AG485=$AL$22,MONTH(V485),"")</f>
        <v/>
      </c>
      <c r="AM485" s="86" t="str">
        <f>+IF($AG485=$AM$22,MONTH($D485),"")</f>
        <v/>
      </c>
      <c r="AN485" s="89" t="str">
        <f>+IF($AG485=AN$22,MONTH($D485),"")</f>
        <v/>
      </c>
      <c r="AO485" s="89" t="str">
        <f>+IF($AG485=AO$22,MONTH($D485),"")</f>
        <v/>
      </c>
      <c r="AP485" s="89" t="str">
        <f>+IF($AG485=AP$22,MONTH($D485),"")</f>
        <v/>
      </c>
      <c r="AQ485" s="89" t="str">
        <f>+IF($AG485=AQ$22,MONTH($D485),"")</f>
        <v/>
      </c>
      <c r="AR485" s="89" t="str">
        <f>+IF($AG485=AR$22,MONTH($D485),"")</f>
        <v/>
      </c>
      <c r="AS485" s="89" t="str">
        <f>+IF($AG485=AS$22,MONTH($D485),"")</f>
        <v/>
      </c>
      <c r="AT485" s="89" t="str">
        <f>+IF($AG485=AT$22,MONTH($D485),"")</f>
        <v/>
      </c>
      <c r="AU485" s="89" t="str">
        <f>+IF($AG485=AU$22,MONTH($D485),"")</f>
        <v/>
      </c>
      <c r="AV485" s="89" t="str">
        <f>+IF($AG485=AV$22,MONTH($D485),"")</f>
        <v/>
      </c>
      <c r="AW485" s="86" t="str">
        <f>+IF($AG485=AW$22,MONTH($D485),"")</f>
        <v/>
      </c>
      <c r="AX485" s="86" t="str">
        <f>+IF($AG485=AX$22,MONTH($D485),"")</f>
        <v/>
      </c>
      <c r="AY485" s="89"/>
      <c r="AZ485" s="89"/>
      <c r="BA485" s="89"/>
      <c r="BB485" s="89"/>
      <c r="BC485" s="89"/>
      <c r="BD485" s="89"/>
      <c r="BE485" s="89"/>
      <c r="BF485" s="89"/>
      <c r="BG485" s="89"/>
      <c r="BH485" s="89"/>
      <c r="BI485" s="89"/>
      <c r="BJ485" s="89"/>
      <c r="BK485" s="89"/>
      <c r="BL485" s="89"/>
      <c r="BM485" s="89"/>
      <c r="BN485" s="89"/>
      <c r="BO485" s="89"/>
      <c r="BP485" s="89"/>
    </row>
    <row r="486" spans="1:68" s="356" customFormat="1" ht="43.5" hidden="1" customHeight="1">
      <c r="A486" s="204" t="str">
        <f>+IFERROR(VALUE(MID(AB486,4,4)),"")</f>
        <v/>
      </c>
      <c r="B486" s="204">
        <f>VALUE(RIGHT(C486,LEN(C486)-2))</f>
        <v>2234</v>
      </c>
      <c r="C486" s="74" t="s">
        <v>1935</v>
      </c>
      <c r="D486" s="75">
        <v>45628</v>
      </c>
      <c r="E486" s="70" t="s">
        <v>1936</v>
      </c>
      <c r="F486" s="70" t="s">
        <v>614</v>
      </c>
      <c r="G486" s="68" t="s">
        <v>616</v>
      </c>
      <c r="H486" s="307" t="s">
        <v>617</v>
      </c>
      <c r="I486" s="162" t="s">
        <v>1937</v>
      </c>
      <c r="J486" s="162"/>
      <c r="K486" s="68" t="s">
        <v>9</v>
      </c>
      <c r="L486" s="69" t="s">
        <v>120</v>
      </c>
      <c r="M486" s="71" t="s">
        <v>113</v>
      </c>
      <c r="N486" s="69" t="e" vm="3">
        <v>#VALUE!</v>
      </c>
      <c r="O486" s="164">
        <v>45631</v>
      </c>
      <c r="P486" s="72" t="s">
        <v>289</v>
      </c>
      <c r="Q486" s="72" t="s">
        <v>220</v>
      </c>
      <c r="R486" s="162"/>
      <c r="S486" s="146"/>
      <c r="T486" s="68" t="s">
        <v>168</v>
      </c>
      <c r="U486" s="87"/>
      <c r="V486" s="183">
        <v>45688</v>
      </c>
      <c r="W486" s="150"/>
      <c r="X486" s="150"/>
      <c r="Y486" s="83" t="str">
        <f>IF(SUM(W486:W486)&gt;0,X486/SUM(W486:W486)*1000000,"N/A")</f>
        <v>N/A</v>
      </c>
      <c r="Z486" s="183"/>
      <c r="AA486" s="183"/>
      <c r="AB486" s="73"/>
      <c r="AC486" s="153"/>
      <c r="AD486" s="330"/>
      <c r="AE486" s="305"/>
      <c r="AF486" s="88"/>
      <c r="AG486" s="182">
        <f>YEAR(V486)</f>
        <v>2025</v>
      </c>
      <c r="AH486" s="86" t="str">
        <f>+IF(AG486=$AH$22,MONTH(V486),"")</f>
        <v/>
      </c>
      <c r="AI486" s="86">
        <f>+IF(AG486=$AI$22,MONTH(V486),"")</f>
        <v>1</v>
      </c>
      <c r="AJ486" s="86" t="str">
        <f>+IF(AG486=$AJ$22,MONTH(V486),"")</f>
        <v/>
      </c>
      <c r="AK486" s="86" t="str">
        <f>+IF(AG486=$AK$22,MONTH(V486),"")</f>
        <v/>
      </c>
      <c r="AL486" s="86"/>
      <c r="AM486" s="89"/>
      <c r="AN486" s="89"/>
      <c r="AO486" s="89"/>
      <c r="AP486" s="89"/>
      <c r="AQ486" s="89"/>
      <c r="AR486" s="89"/>
      <c r="AS486" s="89"/>
      <c r="AT486" s="89"/>
      <c r="AU486" s="89"/>
      <c r="AV486" s="89"/>
      <c r="AW486" s="86" t="str">
        <f>+IF($AG486=AW$22,MONTH($D486),"")</f>
        <v/>
      </c>
      <c r="AX486" s="86" t="str">
        <f>+IF($AG486=AX$22,MONTH($D486),"")</f>
        <v/>
      </c>
      <c r="AY486" s="89"/>
      <c r="AZ486" s="89"/>
      <c r="BA486" s="89"/>
      <c r="BB486" s="89"/>
      <c r="BC486" s="89"/>
      <c r="BD486" s="89"/>
      <c r="BE486" s="89"/>
      <c r="BF486" s="89"/>
      <c r="BG486" s="89"/>
      <c r="BH486" s="89"/>
      <c r="BI486" s="89"/>
      <c r="BJ486" s="89"/>
      <c r="BK486" s="89"/>
      <c r="BL486" s="89"/>
      <c r="BM486" s="89"/>
      <c r="BN486" s="89"/>
      <c r="BO486" s="89"/>
      <c r="BP486" s="89"/>
    </row>
    <row r="487" spans="1:68" s="356" customFormat="1" ht="30" hidden="1" customHeight="1">
      <c r="A487" s="204" t="str">
        <f>+IFERROR(VALUE(MID(AB487,4,4)),"")</f>
        <v/>
      </c>
      <c r="B487" s="204">
        <f>VALUE(RIGHT(C487,LEN(C487)-2))</f>
        <v>2233</v>
      </c>
      <c r="C487" s="74" t="s">
        <v>1938</v>
      </c>
      <c r="D487" s="75">
        <v>45628</v>
      </c>
      <c r="E487" s="70" t="s">
        <v>479</v>
      </c>
      <c r="F487" s="70" t="s">
        <v>479</v>
      </c>
      <c r="G487" s="68" t="s">
        <v>1939</v>
      </c>
      <c r="H487" s="307" t="s">
        <v>1940</v>
      </c>
      <c r="I487" s="162" t="s">
        <v>1941</v>
      </c>
      <c r="J487" s="162"/>
      <c r="K487" s="68" t="s">
        <v>1172</v>
      </c>
      <c r="L487" s="69" t="s">
        <v>129</v>
      </c>
      <c r="M487" s="71" t="s">
        <v>113</v>
      </c>
      <c r="N487" s="69" t="e" vm="2">
        <v>#VALUE!</v>
      </c>
      <c r="O487" s="164">
        <v>45631</v>
      </c>
      <c r="P487" s="72" t="s">
        <v>483</v>
      </c>
      <c r="Q487" s="72" t="s">
        <v>229</v>
      </c>
      <c r="R487" s="162"/>
      <c r="S487" s="146"/>
      <c r="T487" s="68" t="s">
        <v>155</v>
      </c>
      <c r="U487" s="87"/>
      <c r="V487" s="183">
        <v>45628</v>
      </c>
      <c r="W487" s="73"/>
      <c r="X487" s="73"/>
      <c r="Y487" s="83" t="str">
        <f>IF(SUM(W487:W487)&gt;0,X487/SUM(W487:W487)*1000000,"N/A")</f>
        <v>N/A</v>
      </c>
      <c r="Z487" s="183"/>
      <c r="AA487" s="183"/>
      <c r="AB487" s="73"/>
      <c r="AC487" s="153"/>
      <c r="AD487" s="330"/>
      <c r="AE487" s="305"/>
      <c r="AF487" s="88"/>
      <c r="AG487" s="182">
        <f>YEAR(V487)</f>
        <v>2024</v>
      </c>
      <c r="AH487" s="86" t="str">
        <f>+IF(AG487=$AH$22,MONTH(V487),"")</f>
        <v/>
      </c>
      <c r="AI487" s="86" t="str">
        <f>+IF(AG487=$AI$22,MONTH(V487),"")</f>
        <v/>
      </c>
      <c r="AJ487" s="86">
        <f>+IF(AG487=$AJ$22,MONTH(V487),"")</f>
        <v>12</v>
      </c>
      <c r="AK487" s="86" t="str">
        <f>+IF(AG487=$AK$22,MONTH(V487),"")</f>
        <v/>
      </c>
      <c r="AL487" s="86"/>
      <c r="AM487" s="89"/>
      <c r="AN487" s="89"/>
      <c r="AO487" s="89"/>
      <c r="AP487" s="89"/>
      <c r="AQ487" s="89"/>
      <c r="AR487" s="89"/>
      <c r="AS487" s="89"/>
      <c r="AT487" s="89"/>
      <c r="AU487" s="89"/>
      <c r="AV487" s="89"/>
      <c r="AW487" s="86" t="str">
        <f>+IF($AG487=AW$22,MONTH($D487),"")</f>
        <v/>
      </c>
      <c r="AX487" s="86" t="str">
        <f>+IF($AG487=AX$22,MONTH($D487),"")</f>
        <v/>
      </c>
      <c r="AY487" s="89"/>
      <c r="AZ487" s="89"/>
      <c r="BA487" s="89"/>
      <c r="BB487" s="89"/>
      <c r="BC487" s="89"/>
      <c r="BD487" s="89"/>
      <c r="BE487" s="89"/>
      <c r="BF487" s="89"/>
      <c r="BG487" s="89"/>
      <c r="BH487" s="89"/>
      <c r="BI487" s="89"/>
      <c r="BJ487" s="89"/>
      <c r="BK487" s="89"/>
      <c r="BL487" s="89"/>
      <c r="BM487" s="89"/>
      <c r="BN487" s="89"/>
      <c r="BO487" s="89"/>
      <c r="BP487" s="89"/>
    </row>
    <row r="488" spans="1:68" s="351" customFormat="1" ht="32.25" hidden="1" customHeight="1">
      <c r="A488" s="204">
        <f>+IFERROR(VALUE(MID(AB488,4,4)),"")</f>
        <v>399</v>
      </c>
      <c r="B488" s="204">
        <f>VALUE(RIGHT(C488,LEN(C488)-2))</f>
        <v>2232</v>
      </c>
      <c r="C488" s="74" t="s">
        <v>1942</v>
      </c>
      <c r="D488" s="75">
        <v>45623</v>
      </c>
      <c r="E488" s="70" t="s">
        <v>473</v>
      </c>
      <c r="F488" s="70" t="s">
        <v>473</v>
      </c>
      <c r="G488" s="68" t="s">
        <v>1862</v>
      </c>
      <c r="H488" s="307" t="s">
        <v>1863</v>
      </c>
      <c r="I488" s="69" t="s">
        <v>1943</v>
      </c>
      <c r="J488" s="69"/>
      <c r="K488" s="68" t="s">
        <v>13</v>
      </c>
      <c r="L488" s="69" t="s">
        <v>129</v>
      </c>
      <c r="M488" s="71" t="s">
        <v>141</v>
      </c>
      <c r="N488" s="69" t="e" vm="1">
        <v>#VALUE!</v>
      </c>
      <c r="O488" s="164">
        <v>45636</v>
      </c>
      <c r="P488" s="72" t="s">
        <v>377</v>
      </c>
      <c r="Q488" s="72" t="s">
        <v>259</v>
      </c>
      <c r="R488" s="162"/>
      <c r="S488" s="146"/>
      <c r="T488" s="68" t="s">
        <v>165</v>
      </c>
      <c r="U488" s="87"/>
      <c r="V488" s="183">
        <v>45935</v>
      </c>
      <c r="W488" s="73">
        <v>37</v>
      </c>
      <c r="X488" s="73">
        <v>1.7</v>
      </c>
      <c r="Y488" s="83">
        <f>IF(SUM(W488:W488)&gt;0,X488/SUM(W488:W488)*1000000,"N/A")</f>
        <v>45945.945945945939</v>
      </c>
      <c r="Z488" s="183"/>
      <c r="AA488" s="183"/>
      <c r="AB488" s="73" t="s">
        <v>1944</v>
      </c>
      <c r="AC488" s="153"/>
      <c r="AD488" s="331"/>
      <c r="AE488" s="57"/>
      <c r="AF488" s="88"/>
      <c r="AG488" s="182">
        <f>YEAR(V488)</f>
        <v>2025</v>
      </c>
      <c r="AH488" s="86" t="str">
        <f>+IF(AG488=$AH$22,MONTH(V488),"")</f>
        <v/>
      </c>
      <c r="AI488" s="86">
        <f>+IF(AG488=$AI$22,MONTH(V488),"")</f>
        <v>10</v>
      </c>
      <c r="AJ488" s="86" t="str">
        <f>+IF(AG488=$AJ$22,MONTH(V488),"")</f>
        <v/>
      </c>
      <c r="AK488" s="86" t="str">
        <f>+IF(AG488=$AK$22,MONTH(V488),"")</f>
        <v/>
      </c>
      <c r="AL488" s="86"/>
      <c r="AM488" s="89"/>
      <c r="AN488" s="89"/>
      <c r="AO488" s="89"/>
      <c r="AP488" s="89"/>
      <c r="AQ488" s="89"/>
      <c r="AR488" s="89"/>
      <c r="AS488" s="89"/>
      <c r="AT488" s="89"/>
      <c r="AU488" s="89"/>
      <c r="AV488" s="89"/>
      <c r="AW488" s="86" t="str">
        <f>+IF($AG488=AW$22,MONTH($D488),"")</f>
        <v/>
      </c>
      <c r="AX488" s="86" t="str">
        <f>+IF($AG488=AX$22,MONTH($D488),"")</f>
        <v/>
      </c>
      <c r="AY488" s="89"/>
      <c r="AZ488" s="89"/>
      <c r="BA488" s="89"/>
      <c r="BB488" s="89"/>
      <c r="BC488" s="89"/>
      <c r="BD488" s="89"/>
      <c r="BE488" s="89"/>
      <c r="BF488" s="89"/>
      <c r="BG488" s="89"/>
      <c r="BH488" s="89"/>
      <c r="BI488" s="89"/>
      <c r="BJ488" s="89"/>
      <c r="BK488" s="89"/>
      <c r="BL488" s="89"/>
      <c r="BM488" s="89"/>
      <c r="BN488" s="89"/>
      <c r="BO488" s="89"/>
      <c r="BP488" s="89"/>
    </row>
    <row r="489" spans="1:68" s="89" customFormat="1" ht="31.5" hidden="1" customHeight="1">
      <c r="A489" s="204" t="str">
        <f>+IFERROR(VALUE(MID(AB489,4,4)),"")</f>
        <v/>
      </c>
      <c r="B489" s="204">
        <f>VALUE(RIGHT(C489,LEN(C489)-2))</f>
        <v>2231</v>
      </c>
      <c r="C489" s="74" t="s">
        <v>1945</v>
      </c>
      <c r="D489" s="75">
        <v>45623</v>
      </c>
      <c r="E489" s="70" t="s">
        <v>479</v>
      </c>
      <c r="F489" s="70" t="s">
        <v>479</v>
      </c>
      <c r="G489" s="68" t="s">
        <v>1946</v>
      </c>
      <c r="H489" s="307" t="s">
        <v>1947</v>
      </c>
      <c r="I489" s="162" t="s">
        <v>1948</v>
      </c>
      <c r="J489" s="162"/>
      <c r="K489" s="68" t="s">
        <v>18</v>
      </c>
      <c r="L489" s="68" t="s">
        <v>129</v>
      </c>
      <c r="M489" s="68" t="s">
        <v>113</v>
      </c>
      <c r="N489" s="69" t="e" vm="2">
        <v>#VALUE!</v>
      </c>
      <c r="O489" s="164">
        <v>45623</v>
      </c>
      <c r="P489" s="72" t="s">
        <v>294</v>
      </c>
      <c r="Q489" s="72" t="s">
        <v>259</v>
      </c>
      <c r="R489" s="162"/>
      <c r="S489" s="146"/>
      <c r="T489" s="68" t="s">
        <v>165</v>
      </c>
      <c r="U489" s="87"/>
      <c r="V489" s="183">
        <v>45820</v>
      </c>
      <c r="W489" s="73">
        <v>1290</v>
      </c>
      <c r="X489" s="73">
        <v>50</v>
      </c>
      <c r="Y489" s="83">
        <f>IF(SUM(W489:W489)&gt;0,X489/SUM(W489:W489)*1000000,"N/A")</f>
        <v>38759.689922480618</v>
      </c>
      <c r="Z489" s="183"/>
      <c r="AA489" s="183"/>
      <c r="AB489" s="73"/>
      <c r="AC489" s="153"/>
      <c r="AD489" s="330"/>
      <c r="AE489" s="305"/>
      <c r="AF489" s="88"/>
      <c r="AG489" s="182">
        <f>YEAR(V489)</f>
        <v>2025</v>
      </c>
      <c r="AH489" s="86" t="str">
        <f>+IF(AG489=$AH$22,MONTH(V489),"")</f>
        <v/>
      </c>
      <c r="AI489" s="86">
        <f>+IF(AG489=$AI$22,MONTH(V489),"")</f>
        <v>6</v>
      </c>
      <c r="AJ489" s="86" t="str">
        <f>+IF(AG489=$AJ$22,MONTH(V489),"")</f>
        <v/>
      </c>
      <c r="AK489" s="86" t="str">
        <f>+IF(AG489=$AK$22,MONTH(V489),"")</f>
        <v/>
      </c>
      <c r="AL489" s="86"/>
      <c r="AW489" s="86" t="str">
        <f>+IF($AG489=AW$22,MONTH($D489),"")</f>
        <v/>
      </c>
      <c r="AX489" s="86" t="str">
        <f>+IF($AG489=AX$22,MONTH($D489),"")</f>
        <v/>
      </c>
    </row>
    <row r="490" spans="1:68" s="56" customFormat="1" ht="31.5" hidden="1" customHeight="1">
      <c r="A490" s="204" t="str">
        <f>+IFERROR(VALUE(MID(AB490,4,4)),"")</f>
        <v/>
      </c>
      <c r="B490" s="204">
        <f>VALUE(RIGHT(C490,LEN(C490)-2))</f>
        <v>2230</v>
      </c>
      <c r="C490" s="74" t="s">
        <v>1949</v>
      </c>
      <c r="D490" s="75">
        <v>45623</v>
      </c>
      <c r="E490" s="70" t="s">
        <v>479</v>
      </c>
      <c r="F490" s="70" t="s">
        <v>479</v>
      </c>
      <c r="G490" s="68" t="s">
        <v>1946</v>
      </c>
      <c r="H490" s="307" t="s">
        <v>1947</v>
      </c>
      <c r="I490" s="162" t="s">
        <v>1950</v>
      </c>
      <c r="J490" s="162"/>
      <c r="K490" s="68" t="s">
        <v>18</v>
      </c>
      <c r="L490" s="69" t="s">
        <v>129</v>
      </c>
      <c r="M490" s="71" t="s">
        <v>113</v>
      </c>
      <c r="N490" s="69" t="e" vm="2">
        <v>#VALUE!</v>
      </c>
      <c r="O490" s="164">
        <v>45623</v>
      </c>
      <c r="P490" s="72" t="s">
        <v>294</v>
      </c>
      <c r="Q490" s="72" t="s">
        <v>259</v>
      </c>
      <c r="R490" s="162"/>
      <c r="S490" s="146"/>
      <c r="T490" s="68" t="s">
        <v>165</v>
      </c>
      <c r="U490" s="87"/>
      <c r="V490" s="183">
        <v>45820</v>
      </c>
      <c r="W490" s="73">
        <v>1420</v>
      </c>
      <c r="X490" s="73">
        <v>76</v>
      </c>
      <c r="Y490" s="83">
        <f>IF(SUM(W490:W490)&gt;0,X490/SUM(W490:W490)*1000000,"N/A")</f>
        <v>53521.126760563377</v>
      </c>
      <c r="Z490" s="183"/>
      <c r="AA490" s="183"/>
      <c r="AB490" s="73"/>
      <c r="AC490" s="153"/>
      <c r="AD490" s="330"/>
      <c r="AE490" s="305"/>
      <c r="AF490" s="88"/>
      <c r="AG490" s="182">
        <f>YEAR(V490)</f>
        <v>2025</v>
      </c>
      <c r="AH490" s="86" t="str">
        <f>+IF(AG490=$AH$22,MONTH(V490),"")</f>
        <v/>
      </c>
      <c r="AI490" s="86">
        <f>+IF(AG490=$AI$22,MONTH(V490),"")</f>
        <v>6</v>
      </c>
      <c r="AJ490" s="86" t="str">
        <f>+IF(AG490=$AJ$22,MONTH(V490),"")</f>
        <v/>
      </c>
      <c r="AK490" s="86" t="str">
        <f>+IF(AG490=$AK$22,MONTH(V490),"")</f>
        <v/>
      </c>
      <c r="AL490" s="86"/>
      <c r="AM490" s="89"/>
      <c r="AN490" s="89"/>
      <c r="AO490" s="89"/>
      <c r="AP490" s="89"/>
      <c r="AQ490" s="89"/>
      <c r="AR490" s="89"/>
      <c r="AS490" s="89"/>
      <c r="AT490" s="89"/>
      <c r="AU490" s="89"/>
      <c r="AV490" s="89"/>
      <c r="AW490" s="86" t="str">
        <f>+IF($AG490=AW$22,MONTH($D490),"")</f>
        <v/>
      </c>
      <c r="AX490" s="86" t="str">
        <f>+IF($AG490=AX$22,MONTH($D490),"")</f>
        <v/>
      </c>
      <c r="AY490" s="89"/>
      <c r="AZ490" s="89"/>
      <c r="BA490" s="89"/>
      <c r="BB490" s="89"/>
      <c r="BC490" s="89"/>
      <c r="BD490" s="89"/>
      <c r="BE490" s="89"/>
      <c r="BF490" s="89"/>
      <c r="BG490" s="89"/>
      <c r="BH490" s="89"/>
      <c r="BI490" s="89"/>
      <c r="BJ490" s="89"/>
      <c r="BK490" s="89"/>
      <c r="BL490" s="89"/>
      <c r="BM490" s="89"/>
      <c r="BN490" s="89"/>
      <c r="BO490" s="89"/>
      <c r="BP490" s="89"/>
    </row>
    <row r="491" spans="1:68" s="89" customFormat="1" ht="33.75" hidden="1" customHeight="1">
      <c r="A491" s="204" t="str">
        <f>+IFERROR(VALUE(MID(AB491,4,4)),"")</f>
        <v/>
      </c>
      <c r="B491" s="204">
        <f>VALUE(RIGHT(C491,LEN(C491)-2))</f>
        <v>2229</v>
      </c>
      <c r="C491" s="74" t="s">
        <v>1951</v>
      </c>
      <c r="D491" s="75">
        <v>45623</v>
      </c>
      <c r="E491" s="70" t="s">
        <v>479</v>
      </c>
      <c r="F491" s="70" t="s">
        <v>479</v>
      </c>
      <c r="G491" s="68" t="s">
        <v>1946</v>
      </c>
      <c r="H491" s="307" t="s">
        <v>1947</v>
      </c>
      <c r="I491" s="162" t="s">
        <v>1952</v>
      </c>
      <c r="J491" s="162"/>
      <c r="K491" s="68" t="s">
        <v>18</v>
      </c>
      <c r="L491" s="68" t="s">
        <v>129</v>
      </c>
      <c r="M491" s="68" t="s">
        <v>113</v>
      </c>
      <c r="N491" s="69" t="e" vm="2">
        <v>#VALUE!</v>
      </c>
      <c r="O491" s="164">
        <v>45623</v>
      </c>
      <c r="P491" s="72" t="s">
        <v>294</v>
      </c>
      <c r="Q491" s="72" t="s">
        <v>259</v>
      </c>
      <c r="R491" s="162"/>
      <c r="S491" s="146"/>
      <c r="T491" s="68" t="s">
        <v>165</v>
      </c>
      <c r="U491" s="87"/>
      <c r="V491" s="183">
        <v>45820</v>
      </c>
      <c r="W491" s="73">
        <v>1272</v>
      </c>
      <c r="X491" s="73">
        <v>70</v>
      </c>
      <c r="Y491" s="83">
        <f>IF(SUM(W491:W491)&gt;0,X491/SUM(W491:W491)*1000000,"N/A")</f>
        <v>55031.446540880504</v>
      </c>
      <c r="Z491" s="183"/>
      <c r="AA491" s="183"/>
      <c r="AB491" s="73"/>
      <c r="AC491" s="153"/>
      <c r="AD491" s="330"/>
      <c r="AE491" s="305"/>
      <c r="AF491" s="88"/>
      <c r="AG491" s="182">
        <f>YEAR(V491)</f>
        <v>2025</v>
      </c>
      <c r="AH491" s="86" t="str">
        <f>+IF(AG491=$AH$22,MONTH(V491),"")</f>
        <v/>
      </c>
      <c r="AI491" s="86">
        <f>+IF(AG491=$AI$22,MONTH(V491),"")</f>
        <v>6</v>
      </c>
      <c r="AJ491" s="86" t="str">
        <f>+IF(AG491=$AJ$22,MONTH(V491),"")</f>
        <v/>
      </c>
      <c r="AK491" s="86" t="str">
        <f>+IF(AG491=$AK$22,MONTH(V491),"")</f>
        <v/>
      </c>
      <c r="AL491" s="86"/>
      <c r="AW491" s="86" t="str">
        <f>+IF($AG491=AW$22,MONTH($D491),"")</f>
        <v/>
      </c>
      <c r="AX491" s="86" t="str">
        <f>+IF($AG491=AX$22,MONTH($D491),"")</f>
        <v/>
      </c>
    </row>
    <row r="492" spans="1:68" s="89" customFormat="1" ht="30.75" hidden="1" customHeight="1">
      <c r="A492" s="204" t="str">
        <f>+IFERROR(VALUE(MID(AB492,4,4)),"")</f>
        <v/>
      </c>
      <c r="B492" s="204">
        <f>VALUE(RIGHT(C492,LEN(C492)-2))</f>
        <v>2228</v>
      </c>
      <c r="C492" s="74" t="s">
        <v>1953</v>
      </c>
      <c r="D492" s="75">
        <v>45623</v>
      </c>
      <c r="E492" s="70" t="s">
        <v>479</v>
      </c>
      <c r="F492" s="70" t="s">
        <v>479</v>
      </c>
      <c r="G492" s="68" t="s">
        <v>1946</v>
      </c>
      <c r="H492" s="307" t="s">
        <v>1947</v>
      </c>
      <c r="I492" s="162" t="s">
        <v>1954</v>
      </c>
      <c r="J492" s="162"/>
      <c r="K492" s="68" t="s">
        <v>18</v>
      </c>
      <c r="L492" s="68" t="s">
        <v>129</v>
      </c>
      <c r="M492" s="68" t="s">
        <v>113</v>
      </c>
      <c r="N492" s="69" t="e" vm="2">
        <v>#VALUE!</v>
      </c>
      <c r="O492" s="164">
        <v>45623</v>
      </c>
      <c r="P492" s="72" t="s">
        <v>294</v>
      </c>
      <c r="Q492" s="72" t="s">
        <v>259</v>
      </c>
      <c r="R492" s="162"/>
      <c r="S492" s="146"/>
      <c r="T492" s="68" t="s">
        <v>165</v>
      </c>
      <c r="U492" s="87"/>
      <c r="V492" s="183">
        <v>45820</v>
      </c>
      <c r="W492" s="73">
        <v>1432</v>
      </c>
      <c r="X492" s="73">
        <v>69</v>
      </c>
      <c r="Y492" s="83">
        <f>IF(SUM(W492:W492)&gt;0,X492/SUM(W492:W492)*1000000,"N/A")</f>
        <v>48184.357541899437</v>
      </c>
      <c r="Z492" s="183"/>
      <c r="AA492" s="183"/>
      <c r="AB492" s="73"/>
      <c r="AC492" s="153"/>
      <c r="AD492" s="330"/>
      <c r="AE492" s="305"/>
      <c r="AF492" s="88"/>
      <c r="AG492" s="182">
        <f>YEAR(V492)</f>
        <v>2025</v>
      </c>
      <c r="AH492" s="86" t="str">
        <f>+IF(AG492=$AH$22,MONTH(V492),"")</f>
        <v/>
      </c>
      <c r="AI492" s="86">
        <f>+IF(AG492=$AI$22,MONTH(V492),"")</f>
        <v>6</v>
      </c>
      <c r="AJ492" s="86" t="str">
        <f>+IF(AG492=$AJ$22,MONTH(V492),"")</f>
        <v/>
      </c>
      <c r="AK492" s="86" t="str">
        <f>+IF(AG492=$AK$22,MONTH(V492),"")</f>
        <v/>
      </c>
      <c r="AL492" s="86"/>
      <c r="AW492" s="86" t="str">
        <f>+IF($AG492=AW$22,MONTH($D492),"")</f>
        <v/>
      </c>
      <c r="AX492" s="86" t="str">
        <f>+IF($AG492=AX$22,MONTH($D492),"")</f>
        <v/>
      </c>
    </row>
    <row r="493" spans="1:68" s="351" customFormat="1" ht="36" hidden="1" customHeight="1">
      <c r="A493" s="204" t="str">
        <f>+IFERROR(VALUE(MID(AB493,4,4)),"")</f>
        <v/>
      </c>
      <c r="B493" s="204">
        <f>VALUE(RIGHT(C493,LEN(C493)-2))</f>
        <v>2227</v>
      </c>
      <c r="C493" s="74" t="s">
        <v>1955</v>
      </c>
      <c r="D493" s="75">
        <v>45623</v>
      </c>
      <c r="E493" s="70" t="s">
        <v>479</v>
      </c>
      <c r="F493" s="70" t="s">
        <v>479</v>
      </c>
      <c r="G493" s="68" t="s">
        <v>1946</v>
      </c>
      <c r="H493" s="307" t="s">
        <v>1947</v>
      </c>
      <c r="I493" s="162" t="s">
        <v>1956</v>
      </c>
      <c r="J493" s="162"/>
      <c r="K493" s="68" t="s">
        <v>18</v>
      </c>
      <c r="L493" s="69" t="s">
        <v>129</v>
      </c>
      <c r="M493" s="71" t="s">
        <v>113</v>
      </c>
      <c r="N493" s="69" t="e" vm="2">
        <v>#VALUE!</v>
      </c>
      <c r="O493" s="164">
        <v>45623</v>
      </c>
      <c r="P493" s="72" t="s">
        <v>294</v>
      </c>
      <c r="Q493" s="72" t="s">
        <v>259</v>
      </c>
      <c r="R493" s="162"/>
      <c r="S493" s="146"/>
      <c r="T493" s="68" t="s">
        <v>165</v>
      </c>
      <c r="U493" s="87"/>
      <c r="V493" s="183">
        <v>45820</v>
      </c>
      <c r="W493" s="73">
        <v>1458</v>
      </c>
      <c r="X493" s="73">
        <v>76</v>
      </c>
      <c r="Y493" s="83">
        <f>IF(SUM(W493:W493)&gt;0,X493/SUM(W493:W493)*1000000,"N/A")</f>
        <v>52126.200274348426</v>
      </c>
      <c r="Z493" s="183"/>
      <c r="AA493" s="183"/>
      <c r="AB493" s="73"/>
      <c r="AC493" s="153"/>
      <c r="AD493" s="330"/>
      <c r="AE493" s="305"/>
      <c r="AF493" s="88"/>
      <c r="AG493" s="182">
        <f>YEAR(V493)</f>
        <v>2025</v>
      </c>
      <c r="AH493" s="86" t="str">
        <f>+IF(AG493=$AH$22,MONTH(V493),"")</f>
        <v/>
      </c>
      <c r="AI493" s="86">
        <f>+IF(AG493=$AI$22,MONTH(V493),"")</f>
        <v>6</v>
      </c>
      <c r="AJ493" s="86" t="str">
        <f>+IF(AG493=$AJ$22,MONTH(V493),"")</f>
        <v/>
      </c>
      <c r="AK493" s="86" t="str">
        <f>+IF(AG493=$AK$22,MONTH(V493),"")</f>
        <v/>
      </c>
      <c r="AL493" s="86"/>
      <c r="AM493" s="89"/>
      <c r="AN493" s="89"/>
      <c r="AO493" s="89"/>
      <c r="AP493" s="89"/>
      <c r="AQ493" s="89"/>
      <c r="AR493" s="89"/>
      <c r="AS493" s="89"/>
      <c r="AT493" s="89"/>
      <c r="AU493" s="89"/>
      <c r="AV493" s="89"/>
      <c r="AW493" s="86" t="str">
        <f>+IF($AG493=AW$22,MONTH($D493),"")</f>
        <v/>
      </c>
      <c r="AX493" s="86" t="str">
        <f>+IF($AG493=AX$22,MONTH($D493),"")</f>
        <v/>
      </c>
      <c r="AY493" s="89"/>
      <c r="AZ493" s="89"/>
      <c r="BA493" s="89"/>
      <c r="BB493" s="89"/>
      <c r="BC493" s="89"/>
      <c r="BD493" s="89"/>
      <c r="BE493" s="89"/>
      <c r="BF493" s="89"/>
      <c r="BG493" s="89"/>
      <c r="BH493" s="89"/>
      <c r="BI493" s="89"/>
      <c r="BJ493" s="89"/>
      <c r="BK493" s="89"/>
      <c r="BL493" s="89"/>
      <c r="BM493" s="89"/>
      <c r="BN493" s="89"/>
      <c r="BO493" s="89"/>
      <c r="BP493" s="89"/>
    </row>
    <row r="494" spans="1:68" s="89" customFormat="1" ht="34.5" hidden="1" customHeight="1">
      <c r="A494" s="204" t="str">
        <f>+IFERROR(VALUE(MID(AB494,4,4)),"")</f>
        <v/>
      </c>
      <c r="B494" s="204">
        <f>VALUE(RIGHT(C494,LEN(C494)-2))</f>
        <v>2226</v>
      </c>
      <c r="C494" s="74" t="s">
        <v>1957</v>
      </c>
      <c r="D494" s="75">
        <v>45623</v>
      </c>
      <c r="E494" s="70" t="s">
        <v>479</v>
      </c>
      <c r="F494" s="70" t="s">
        <v>479</v>
      </c>
      <c r="G494" s="68" t="s">
        <v>1946</v>
      </c>
      <c r="H494" s="307" t="s">
        <v>1947</v>
      </c>
      <c r="I494" s="162" t="s">
        <v>1958</v>
      </c>
      <c r="J494" s="162"/>
      <c r="K494" s="68" t="s">
        <v>18</v>
      </c>
      <c r="L494" s="68" t="s">
        <v>129</v>
      </c>
      <c r="M494" s="68" t="s">
        <v>113</v>
      </c>
      <c r="N494" s="69" t="e" vm="2">
        <v>#VALUE!</v>
      </c>
      <c r="O494" s="164">
        <v>45623</v>
      </c>
      <c r="P494" s="72" t="s">
        <v>294</v>
      </c>
      <c r="Q494" s="72" t="s">
        <v>259</v>
      </c>
      <c r="R494" s="162"/>
      <c r="S494" s="146"/>
      <c r="T494" s="68" t="s">
        <v>165</v>
      </c>
      <c r="U494" s="87"/>
      <c r="V494" s="183">
        <v>45820</v>
      </c>
      <c r="W494" s="73">
        <v>1452</v>
      </c>
      <c r="X494" s="73">
        <v>76</v>
      </c>
      <c r="Y494" s="83">
        <f>IF(SUM(W494:W494)&gt;0,X494/SUM(W494:W494)*1000000,"N/A")</f>
        <v>52341.597796143251</v>
      </c>
      <c r="Z494" s="183"/>
      <c r="AA494" s="183"/>
      <c r="AB494" s="73"/>
      <c r="AC494" s="153"/>
      <c r="AD494" s="330"/>
      <c r="AE494" s="305"/>
      <c r="AF494" s="88"/>
      <c r="AG494" s="182">
        <f>YEAR(V494)</f>
        <v>2025</v>
      </c>
      <c r="AH494" s="86" t="str">
        <f>+IF(AG494=$AH$22,MONTH(V494),"")</f>
        <v/>
      </c>
      <c r="AI494" s="86">
        <f>+IF(AG494=$AI$22,MONTH(V494),"")</f>
        <v>6</v>
      </c>
      <c r="AJ494" s="86" t="str">
        <f>+IF(AG494=$AJ$22,MONTH(V494),"")</f>
        <v/>
      </c>
      <c r="AK494" s="86" t="str">
        <f>+IF(AG494=$AK$22,MONTH(V494),"")</f>
        <v/>
      </c>
      <c r="AL494" s="86"/>
      <c r="AW494" s="86" t="str">
        <f>+IF($AG494=AW$22,MONTH($D494),"")</f>
        <v/>
      </c>
      <c r="AX494" s="86" t="str">
        <f>+IF($AG494=AX$22,MONTH($D494),"")</f>
        <v/>
      </c>
    </row>
    <row r="495" spans="1:68" s="89" customFormat="1" ht="29.25" hidden="1" customHeight="1">
      <c r="A495" s="204" t="str">
        <f>+IFERROR(VALUE(MID(AB495,4,4)),"")</f>
        <v/>
      </c>
      <c r="B495" s="204">
        <f>VALUE(RIGHT(C495,LEN(C495)-2))</f>
        <v>2225</v>
      </c>
      <c r="C495" s="74" t="s">
        <v>1959</v>
      </c>
      <c r="D495" s="75">
        <v>45623</v>
      </c>
      <c r="E495" s="70" t="s">
        <v>479</v>
      </c>
      <c r="F495" s="70" t="s">
        <v>479</v>
      </c>
      <c r="G495" s="68" t="s">
        <v>1946</v>
      </c>
      <c r="H495" s="307" t="s">
        <v>1947</v>
      </c>
      <c r="I495" s="162" t="s">
        <v>1960</v>
      </c>
      <c r="J495" s="162"/>
      <c r="K495" s="68" t="s">
        <v>18</v>
      </c>
      <c r="L495" s="68" t="s">
        <v>129</v>
      </c>
      <c r="M495" s="68" t="s">
        <v>113</v>
      </c>
      <c r="N495" s="69" t="e" vm="2">
        <v>#VALUE!</v>
      </c>
      <c r="O495" s="164">
        <v>45623</v>
      </c>
      <c r="P495" s="72" t="s">
        <v>294</v>
      </c>
      <c r="Q495" s="72" t="s">
        <v>259</v>
      </c>
      <c r="R495" s="162"/>
      <c r="S495" s="146"/>
      <c r="T495" s="68" t="s">
        <v>165</v>
      </c>
      <c r="U495" s="87"/>
      <c r="V495" s="183">
        <v>45820</v>
      </c>
      <c r="W495" s="73">
        <v>1428</v>
      </c>
      <c r="X495" s="73">
        <v>75</v>
      </c>
      <c r="Y495" s="83">
        <f>IF(SUM(W495:W495)&gt;0,X495/SUM(W495:W495)*1000000,"N/A")</f>
        <v>52521.008403361346</v>
      </c>
      <c r="Z495" s="183"/>
      <c r="AA495" s="183"/>
      <c r="AB495" s="73"/>
      <c r="AC495" s="153"/>
      <c r="AD495" s="330"/>
      <c r="AE495" s="305"/>
      <c r="AF495" s="88"/>
      <c r="AG495" s="182">
        <f>YEAR(V495)</f>
        <v>2025</v>
      </c>
      <c r="AH495" s="86" t="str">
        <f>+IF(AG495=$AH$22,MONTH(V495),"")</f>
        <v/>
      </c>
      <c r="AI495" s="86">
        <f>+IF(AG495=$AI$22,MONTH(V495),"")</f>
        <v>6</v>
      </c>
      <c r="AJ495" s="86" t="str">
        <f>+IF(AG495=$AJ$22,MONTH(V495),"")</f>
        <v/>
      </c>
      <c r="AK495" s="86" t="str">
        <f>+IF(AG495=$AK$22,MONTH(V495),"")</f>
        <v/>
      </c>
      <c r="AL495" s="86"/>
      <c r="AW495" s="86" t="str">
        <f>+IF($AG495=AW$22,MONTH($D495),"")</f>
        <v/>
      </c>
      <c r="AX495" s="86" t="str">
        <f>+IF($AG495=AX$22,MONTH($D495),"")</f>
        <v/>
      </c>
    </row>
    <row r="496" spans="1:68" s="351" customFormat="1" ht="24" hidden="1">
      <c r="A496" s="204" t="str">
        <f>+IFERROR(VALUE(MID(AB496,4,4)),"")</f>
        <v/>
      </c>
      <c r="B496" s="204">
        <f>VALUE(RIGHT(C496,LEN(C496)-2))</f>
        <v>2224</v>
      </c>
      <c r="C496" s="74" t="s">
        <v>1961</v>
      </c>
      <c r="D496" s="75">
        <v>45623</v>
      </c>
      <c r="E496" s="70" t="s">
        <v>479</v>
      </c>
      <c r="F496" s="70" t="s">
        <v>479</v>
      </c>
      <c r="G496" s="68" t="s">
        <v>1946</v>
      </c>
      <c r="H496" s="307" t="s">
        <v>1947</v>
      </c>
      <c r="I496" s="162" t="s">
        <v>1962</v>
      </c>
      <c r="J496" s="162"/>
      <c r="K496" s="68" t="s">
        <v>18</v>
      </c>
      <c r="L496" s="69" t="s">
        <v>129</v>
      </c>
      <c r="M496" s="71" t="s">
        <v>113</v>
      </c>
      <c r="N496" s="69" t="e" vm="2">
        <v>#VALUE!</v>
      </c>
      <c r="O496" s="164">
        <v>45623</v>
      </c>
      <c r="P496" s="72" t="s">
        <v>294</v>
      </c>
      <c r="Q496" s="72" t="s">
        <v>259</v>
      </c>
      <c r="R496" s="162"/>
      <c r="S496" s="146"/>
      <c r="T496" s="68" t="s">
        <v>165</v>
      </c>
      <c r="U496" s="87"/>
      <c r="V496" s="183">
        <v>45820</v>
      </c>
      <c r="W496" s="73">
        <v>1386</v>
      </c>
      <c r="X496" s="73">
        <v>74</v>
      </c>
      <c r="Y496" s="83">
        <f>IF(SUM(W496:W496)&gt;0,X496/SUM(W496:W496)*1000000,"N/A")</f>
        <v>53391.053391053392</v>
      </c>
      <c r="Z496" s="183"/>
      <c r="AA496" s="183"/>
      <c r="AB496" s="73"/>
      <c r="AC496" s="153"/>
      <c r="AD496" s="330"/>
      <c r="AE496" s="305"/>
      <c r="AF496" s="88"/>
      <c r="AG496" s="182">
        <f>YEAR(V496)</f>
        <v>2025</v>
      </c>
      <c r="AH496" s="86" t="str">
        <f>+IF(AG496=$AH$22,MONTH(V496),"")</f>
        <v/>
      </c>
      <c r="AI496" s="86">
        <f>+IF(AG496=$AI$22,MONTH(V496),"")</f>
        <v>6</v>
      </c>
      <c r="AJ496" s="86" t="str">
        <f>+IF(AG496=$AJ$22,MONTH(V496),"")</f>
        <v/>
      </c>
      <c r="AK496" s="86" t="str">
        <f>+IF(AG496=$AK$22,MONTH(V496),"")</f>
        <v/>
      </c>
      <c r="AL496" s="86"/>
      <c r="AM496" s="89"/>
      <c r="AN496" s="89"/>
      <c r="AO496" s="89"/>
      <c r="AP496" s="89"/>
      <c r="AQ496" s="89"/>
      <c r="AR496" s="89"/>
      <c r="AS496" s="89"/>
      <c r="AT496" s="89"/>
      <c r="AU496" s="89"/>
      <c r="AV496" s="89"/>
      <c r="AW496" s="86" t="str">
        <f>+IF($AG496=AW$22,MONTH($D496),"")</f>
        <v/>
      </c>
      <c r="AX496" s="86" t="str">
        <f>+IF($AG496=AX$22,MONTH($D496),"")</f>
        <v/>
      </c>
      <c r="AY496" s="89"/>
      <c r="AZ496" s="89"/>
      <c r="BA496" s="89"/>
      <c r="BB496" s="89"/>
      <c r="BC496" s="89"/>
      <c r="BD496" s="89"/>
      <c r="BE496" s="89"/>
      <c r="BF496" s="89"/>
      <c r="BG496" s="89"/>
      <c r="BH496" s="89"/>
      <c r="BI496" s="89"/>
      <c r="BJ496" s="89"/>
      <c r="BK496" s="89"/>
      <c r="BL496" s="89"/>
      <c r="BM496" s="89"/>
      <c r="BN496" s="89"/>
      <c r="BO496" s="89"/>
      <c r="BP496" s="89"/>
    </row>
    <row r="497" spans="1:68" s="351" customFormat="1" ht="24" hidden="1">
      <c r="A497" s="204" t="str">
        <f>+IFERROR(VALUE(MID(AB497,4,4)),"")</f>
        <v/>
      </c>
      <c r="B497" s="204">
        <f>VALUE(RIGHT(C497,LEN(C497)-2))</f>
        <v>2223</v>
      </c>
      <c r="C497" s="74" t="s">
        <v>1963</v>
      </c>
      <c r="D497" s="75">
        <v>45623</v>
      </c>
      <c r="E497" s="70" t="s">
        <v>479</v>
      </c>
      <c r="F497" s="70" t="s">
        <v>479</v>
      </c>
      <c r="G497" s="68" t="s">
        <v>1946</v>
      </c>
      <c r="H497" s="307" t="s">
        <v>1947</v>
      </c>
      <c r="I497" s="162" t="s">
        <v>1964</v>
      </c>
      <c r="J497" s="162"/>
      <c r="K497" s="68" t="s">
        <v>18</v>
      </c>
      <c r="L497" s="69" t="s">
        <v>129</v>
      </c>
      <c r="M497" s="71" t="s">
        <v>113</v>
      </c>
      <c r="N497" s="69" t="e" vm="2">
        <v>#VALUE!</v>
      </c>
      <c r="O497" s="164">
        <v>45623</v>
      </c>
      <c r="P497" s="72" t="s">
        <v>294</v>
      </c>
      <c r="Q497" s="72" t="s">
        <v>259</v>
      </c>
      <c r="R497" s="162"/>
      <c r="S497" s="146"/>
      <c r="T497" s="68" t="s">
        <v>165</v>
      </c>
      <c r="U497" s="87"/>
      <c r="V497" s="183">
        <v>45820</v>
      </c>
      <c r="W497" s="73">
        <v>1354</v>
      </c>
      <c r="X497" s="73">
        <v>72</v>
      </c>
      <c r="Y497" s="83">
        <f>IF(SUM(W497:W497)&gt;0,X497/SUM(W497:W497)*1000000,"N/A")</f>
        <v>53175.775480059085</v>
      </c>
      <c r="Z497" s="183"/>
      <c r="AA497" s="183"/>
      <c r="AB497" s="73"/>
      <c r="AC497" s="153"/>
      <c r="AD497" s="330"/>
      <c r="AE497" s="305"/>
      <c r="AF497" s="88"/>
      <c r="AG497" s="182">
        <f>YEAR(V497)</f>
        <v>2025</v>
      </c>
      <c r="AH497" s="86" t="str">
        <f>+IF(AG497=$AH$22,MONTH(V497),"")</f>
        <v/>
      </c>
      <c r="AI497" s="86">
        <f>+IF(AG497=$AI$22,MONTH(V497),"")</f>
        <v>6</v>
      </c>
      <c r="AJ497" s="86" t="str">
        <f>+IF(AG497=$AJ$22,MONTH(V497),"")</f>
        <v/>
      </c>
      <c r="AK497" s="86" t="str">
        <f>+IF(AG497=$AK$22,MONTH(V497),"")</f>
        <v/>
      </c>
      <c r="AL497" s="86"/>
      <c r="AM497" s="89"/>
      <c r="AN497" s="89"/>
      <c r="AO497" s="89"/>
      <c r="AP497" s="89"/>
      <c r="AQ497" s="89"/>
      <c r="AR497" s="89"/>
      <c r="AS497" s="89"/>
      <c r="AT497" s="89"/>
      <c r="AU497" s="89"/>
      <c r="AV497" s="89"/>
      <c r="AW497" s="86" t="str">
        <f>+IF($AG497=AW$22,MONTH($D497),"")</f>
        <v/>
      </c>
      <c r="AX497" s="86" t="str">
        <f>+IF($AG497=AX$22,MONTH($D497),"")</f>
        <v/>
      </c>
      <c r="AY497" s="89"/>
      <c r="AZ497" s="89"/>
      <c r="BA497" s="89"/>
      <c r="BB497" s="89"/>
      <c r="BC497" s="89"/>
      <c r="BD497" s="89"/>
      <c r="BE497" s="89"/>
      <c r="BF497" s="89"/>
      <c r="BG497" s="89"/>
      <c r="BH497" s="89"/>
      <c r="BI497" s="89"/>
      <c r="BJ497" s="89"/>
      <c r="BK497" s="89"/>
      <c r="BL497" s="89"/>
      <c r="BM497" s="89"/>
      <c r="BN497" s="89"/>
      <c r="BO497" s="89"/>
      <c r="BP497" s="89"/>
    </row>
    <row r="498" spans="1:68" s="351" customFormat="1" ht="24" hidden="1">
      <c r="A498" s="204" t="str">
        <f>+IFERROR(VALUE(MID(AB498,4,4)),"")</f>
        <v/>
      </c>
      <c r="B498" s="204">
        <f>VALUE(RIGHT(C498,LEN(C498)-2))</f>
        <v>2222</v>
      </c>
      <c r="C498" s="74" t="s">
        <v>1965</v>
      </c>
      <c r="D498" s="75">
        <v>45623</v>
      </c>
      <c r="E498" s="70" t="s">
        <v>479</v>
      </c>
      <c r="F498" s="70" t="s">
        <v>479</v>
      </c>
      <c r="G498" s="68" t="s">
        <v>1946</v>
      </c>
      <c r="H498" s="307" t="s">
        <v>1947</v>
      </c>
      <c r="I498" s="162" t="s">
        <v>1966</v>
      </c>
      <c r="J498" s="162"/>
      <c r="K498" s="68" t="s">
        <v>18</v>
      </c>
      <c r="L498" s="69" t="s">
        <v>129</v>
      </c>
      <c r="M498" s="71" t="s">
        <v>113</v>
      </c>
      <c r="N498" s="69" t="e" vm="2">
        <v>#VALUE!</v>
      </c>
      <c r="O498" s="164">
        <v>45623</v>
      </c>
      <c r="P498" s="72" t="s">
        <v>294</v>
      </c>
      <c r="Q498" s="72" t="s">
        <v>259</v>
      </c>
      <c r="R498" s="162"/>
      <c r="S498" s="146"/>
      <c r="T498" s="68" t="s">
        <v>165</v>
      </c>
      <c r="U498" s="87"/>
      <c r="V498" s="183">
        <v>45820</v>
      </c>
      <c r="W498" s="73">
        <v>1568</v>
      </c>
      <c r="X498" s="73">
        <v>71</v>
      </c>
      <c r="Y498" s="83">
        <f>IF(SUM(W498:W498)&gt;0,X498/SUM(W498:W498)*1000000,"N/A")</f>
        <v>45280.612244897959</v>
      </c>
      <c r="Z498" s="183"/>
      <c r="AA498" s="183"/>
      <c r="AB498" s="73"/>
      <c r="AC498" s="153"/>
      <c r="AD498" s="330"/>
      <c r="AE498" s="305"/>
      <c r="AF498" s="88"/>
      <c r="AG498" s="182">
        <f>YEAR(V498)</f>
        <v>2025</v>
      </c>
      <c r="AH498" s="86" t="str">
        <f>+IF(AG498=$AH$22,MONTH(V498),"")</f>
        <v/>
      </c>
      <c r="AI498" s="86">
        <f>+IF(AG498=$AI$22,MONTH(V498),"")</f>
        <v>6</v>
      </c>
      <c r="AJ498" s="86" t="str">
        <f>+IF(AG498=$AJ$22,MONTH(V498),"")</f>
        <v/>
      </c>
      <c r="AK498" s="86" t="str">
        <f>+IF(AG498=$AK$22,MONTH(V498),"")</f>
        <v/>
      </c>
      <c r="AL498" s="86"/>
      <c r="AM498" s="89"/>
      <c r="AN498" s="89"/>
      <c r="AO498" s="89"/>
      <c r="AP498" s="89"/>
      <c r="AQ498" s="89"/>
      <c r="AR498" s="89"/>
      <c r="AS498" s="89"/>
      <c r="AT498" s="89"/>
      <c r="AU498" s="89"/>
      <c r="AV498" s="89"/>
      <c r="AW498" s="86" t="str">
        <f>+IF($AG498=AW$22,MONTH($D498),"")</f>
        <v/>
      </c>
      <c r="AX498" s="86" t="str">
        <f>+IF($AG498=AX$22,MONTH($D498),"")</f>
        <v/>
      </c>
      <c r="AY498" s="89"/>
      <c r="AZ498" s="89"/>
      <c r="BA498" s="89"/>
      <c r="BB498" s="89"/>
      <c r="BC498" s="89"/>
      <c r="BD498" s="89"/>
      <c r="BE498" s="89"/>
      <c r="BF498" s="89"/>
      <c r="BG498" s="89"/>
      <c r="BH498" s="89"/>
      <c r="BI498" s="89"/>
      <c r="BJ498" s="89"/>
      <c r="BK498" s="89"/>
      <c r="BL498" s="89"/>
      <c r="BM498" s="89"/>
      <c r="BN498" s="89"/>
      <c r="BO498" s="89"/>
      <c r="BP498" s="89"/>
    </row>
    <row r="499" spans="1:68" s="351" customFormat="1" ht="24" hidden="1">
      <c r="A499" s="204" t="str">
        <f>+IFERROR(VALUE(MID(AB499,4,4)),"")</f>
        <v/>
      </c>
      <c r="B499" s="204">
        <f>VALUE(RIGHT(C499,LEN(C499)-2))</f>
        <v>2221</v>
      </c>
      <c r="C499" s="74" t="s">
        <v>1967</v>
      </c>
      <c r="D499" s="75">
        <v>45623</v>
      </c>
      <c r="E499" s="70" t="s">
        <v>479</v>
      </c>
      <c r="F499" s="70" t="s">
        <v>479</v>
      </c>
      <c r="G499" s="68" t="s">
        <v>1946</v>
      </c>
      <c r="H499" s="307" t="s">
        <v>1947</v>
      </c>
      <c r="I499" s="162" t="s">
        <v>1968</v>
      </c>
      <c r="J499" s="162"/>
      <c r="K499" s="68" t="s">
        <v>18</v>
      </c>
      <c r="L499" s="69" t="s">
        <v>129</v>
      </c>
      <c r="M499" s="71" t="s">
        <v>113</v>
      </c>
      <c r="N499" s="69" t="e" vm="2">
        <v>#VALUE!</v>
      </c>
      <c r="O499" s="164">
        <v>45623</v>
      </c>
      <c r="P499" s="72" t="s">
        <v>294</v>
      </c>
      <c r="Q499" s="72" t="s">
        <v>259</v>
      </c>
      <c r="R499" s="162"/>
      <c r="S499" s="146"/>
      <c r="T499" s="68" t="s">
        <v>165</v>
      </c>
      <c r="U499" s="87"/>
      <c r="V499" s="183">
        <v>45820</v>
      </c>
      <c r="W499" s="73">
        <v>2194</v>
      </c>
      <c r="X499" s="73">
        <v>98</v>
      </c>
      <c r="Y499" s="83">
        <f>IF(SUM(W499:W499)&gt;0,X499/SUM(W499:W499)*1000000,"N/A")</f>
        <v>44667.274384685508</v>
      </c>
      <c r="Z499" s="183"/>
      <c r="AA499" s="183"/>
      <c r="AB499" s="73"/>
      <c r="AC499" s="153"/>
      <c r="AD499" s="330"/>
      <c r="AE499" s="305"/>
      <c r="AF499" s="88"/>
      <c r="AG499" s="182">
        <f>YEAR(V499)</f>
        <v>2025</v>
      </c>
      <c r="AH499" s="86" t="str">
        <f>+IF(AG499=$AH$22,MONTH(V499),"")</f>
        <v/>
      </c>
      <c r="AI499" s="86">
        <f>+IF(AG499=$AI$22,MONTH(V499),"")</f>
        <v>6</v>
      </c>
      <c r="AJ499" s="86" t="str">
        <f>+IF(AG499=$AJ$22,MONTH(V499),"")</f>
        <v/>
      </c>
      <c r="AK499" s="86" t="str">
        <f>+IF(AG499=$AK$22,MONTH(V499),"")</f>
        <v/>
      </c>
      <c r="AL499" s="86"/>
      <c r="AM499" s="89"/>
      <c r="AN499" s="89"/>
      <c r="AO499" s="89"/>
      <c r="AP499" s="89"/>
      <c r="AQ499" s="89"/>
      <c r="AR499" s="89"/>
      <c r="AS499" s="89"/>
      <c r="AT499" s="89"/>
      <c r="AU499" s="89"/>
      <c r="AV499" s="89"/>
      <c r="AW499" s="86" t="str">
        <f>+IF($AG499=AW$22,MONTH($D499),"")</f>
        <v/>
      </c>
      <c r="AX499" s="86" t="str">
        <f>+IF($AG499=AX$22,MONTH($D499),"")</f>
        <v/>
      </c>
      <c r="AY499" s="89"/>
      <c r="AZ499" s="89"/>
      <c r="BA499" s="89"/>
      <c r="BB499" s="89"/>
      <c r="BC499" s="89"/>
      <c r="BD499" s="89"/>
      <c r="BE499" s="89"/>
      <c r="BF499" s="89"/>
      <c r="BG499" s="89"/>
      <c r="BH499" s="89"/>
      <c r="BI499" s="89"/>
      <c r="BJ499" s="89"/>
      <c r="BK499" s="89"/>
      <c r="BL499" s="89"/>
      <c r="BM499" s="89"/>
      <c r="BN499" s="89"/>
      <c r="BO499" s="89"/>
      <c r="BP499" s="89"/>
    </row>
    <row r="500" spans="1:68" s="351" customFormat="1" ht="24" hidden="1">
      <c r="A500" s="204" t="str">
        <f>+IFERROR(VALUE(MID(AB500,4,4)),"")</f>
        <v/>
      </c>
      <c r="B500" s="204">
        <f>VALUE(RIGHT(C500,LEN(C500)-2))</f>
        <v>2220</v>
      </c>
      <c r="C500" s="74" t="s">
        <v>1969</v>
      </c>
      <c r="D500" s="75">
        <v>45623</v>
      </c>
      <c r="E500" s="70" t="s">
        <v>479</v>
      </c>
      <c r="F500" s="70" t="s">
        <v>479</v>
      </c>
      <c r="G500" s="68" t="s">
        <v>1946</v>
      </c>
      <c r="H500" s="307" t="s">
        <v>1947</v>
      </c>
      <c r="I500" s="162" t="s">
        <v>1970</v>
      </c>
      <c r="J500" s="162"/>
      <c r="K500" s="68" t="s">
        <v>18</v>
      </c>
      <c r="L500" s="69" t="s">
        <v>129</v>
      </c>
      <c r="M500" s="71" t="s">
        <v>113</v>
      </c>
      <c r="N500" s="69" t="e" vm="2">
        <v>#VALUE!</v>
      </c>
      <c r="O500" s="164">
        <v>45623</v>
      </c>
      <c r="P500" s="72" t="s">
        <v>294</v>
      </c>
      <c r="Q500" s="72" t="s">
        <v>259</v>
      </c>
      <c r="R500" s="162"/>
      <c r="S500" s="146"/>
      <c r="T500" s="68" t="s">
        <v>165</v>
      </c>
      <c r="U500" s="87"/>
      <c r="V500" s="183">
        <v>45820</v>
      </c>
      <c r="W500" s="73">
        <v>1544</v>
      </c>
      <c r="X500" s="73">
        <v>72.400000000000006</v>
      </c>
      <c r="Y500" s="83">
        <f>IF(SUM(W500:W500)&gt;0,X500/SUM(W500:W500)*1000000,"N/A")</f>
        <v>46891.191709844563</v>
      </c>
      <c r="Z500" s="183"/>
      <c r="AA500" s="183"/>
      <c r="AB500" s="73"/>
      <c r="AC500" s="153"/>
      <c r="AD500" s="330"/>
      <c r="AE500" s="305"/>
      <c r="AF500" s="88"/>
      <c r="AG500" s="182">
        <f>YEAR(V500)</f>
        <v>2025</v>
      </c>
      <c r="AH500" s="86" t="str">
        <f>+IF(AG500=$AH$22,MONTH(V500),"")</f>
        <v/>
      </c>
      <c r="AI500" s="86">
        <f>+IF(AG500=$AI$22,MONTH(V500),"")</f>
        <v>6</v>
      </c>
      <c r="AJ500" s="86" t="str">
        <f>+IF(AG500=$AJ$22,MONTH(V500),"")</f>
        <v/>
      </c>
      <c r="AK500" s="86" t="str">
        <f>+IF(AG500=$AK$22,MONTH(V500),"")</f>
        <v/>
      </c>
      <c r="AL500" s="86"/>
      <c r="AM500" s="89"/>
      <c r="AN500" s="89"/>
      <c r="AO500" s="89"/>
      <c r="AP500" s="89"/>
      <c r="AQ500" s="89"/>
      <c r="AR500" s="89"/>
      <c r="AS500" s="89"/>
      <c r="AT500" s="89"/>
      <c r="AU500" s="89"/>
      <c r="AV500" s="89"/>
      <c r="AW500" s="86" t="str">
        <f>+IF($AG500=AW$22,MONTH($D500),"")</f>
        <v/>
      </c>
      <c r="AX500" s="86" t="str">
        <f>+IF($AG500=AX$22,MONTH($D500),"")</f>
        <v/>
      </c>
      <c r="AY500" s="89"/>
      <c r="AZ500" s="89"/>
      <c r="BA500" s="89"/>
      <c r="BB500" s="89"/>
      <c r="BC500" s="89"/>
      <c r="BD500" s="89"/>
      <c r="BE500" s="89"/>
      <c r="BF500" s="89"/>
      <c r="BG500" s="89"/>
      <c r="BH500" s="89"/>
      <c r="BI500" s="89"/>
      <c r="BJ500" s="89"/>
      <c r="BK500" s="89"/>
      <c r="BL500" s="89"/>
      <c r="BM500" s="89"/>
      <c r="BN500" s="89"/>
      <c r="BO500" s="89"/>
      <c r="BP500" s="89"/>
    </row>
    <row r="501" spans="1:68" s="351" customFormat="1" ht="24.75" hidden="1" customHeight="1">
      <c r="A501" s="204" t="str">
        <f>+IFERROR(VALUE(MID(AB501,4,4)),"")</f>
        <v/>
      </c>
      <c r="B501" s="204">
        <f>VALUE(RIGHT(C501,LEN(C501)-2))</f>
        <v>2219</v>
      </c>
      <c r="C501" s="74" t="s">
        <v>1971</v>
      </c>
      <c r="D501" s="75">
        <v>45623</v>
      </c>
      <c r="E501" s="70" t="s">
        <v>479</v>
      </c>
      <c r="F501" s="70" t="s">
        <v>479</v>
      </c>
      <c r="G501" s="68" t="s">
        <v>1946</v>
      </c>
      <c r="H501" s="307" t="s">
        <v>1947</v>
      </c>
      <c r="I501" s="162" t="s">
        <v>1972</v>
      </c>
      <c r="J501" s="162"/>
      <c r="K501" s="68" t="s">
        <v>18</v>
      </c>
      <c r="L501" s="69" t="s">
        <v>129</v>
      </c>
      <c r="M501" s="71" t="s">
        <v>113</v>
      </c>
      <c r="N501" s="69" t="e" vm="2">
        <v>#VALUE!</v>
      </c>
      <c r="O501" s="164">
        <v>45623</v>
      </c>
      <c r="P501" s="72" t="s">
        <v>294</v>
      </c>
      <c r="Q501" s="72" t="s">
        <v>259</v>
      </c>
      <c r="R501" s="162"/>
      <c r="S501" s="146"/>
      <c r="T501" s="68" t="s">
        <v>165</v>
      </c>
      <c r="U501" s="87"/>
      <c r="V501" s="183">
        <v>45820</v>
      </c>
      <c r="W501" s="73"/>
      <c r="X501" s="73"/>
      <c r="Y501" s="83" t="str">
        <f>IF(SUM(W501:W501)&gt;0,X501/SUM(W501:W501)*1000000,"N/A")</f>
        <v>N/A</v>
      </c>
      <c r="Z501" s="183"/>
      <c r="AA501" s="183"/>
      <c r="AB501" s="73"/>
      <c r="AC501" s="153"/>
      <c r="AD501" s="330"/>
      <c r="AE501" s="305"/>
      <c r="AF501" s="88"/>
      <c r="AG501" s="182">
        <f>YEAR(V501)</f>
        <v>2025</v>
      </c>
      <c r="AH501" s="86" t="str">
        <f>+IF(AG501=$AH$22,MONTH(V501),"")</f>
        <v/>
      </c>
      <c r="AI501" s="86">
        <f>+IF(AG501=$AI$22,MONTH(V501),"")</f>
        <v>6</v>
      </c>
      <c r="AJ501" s="86" t="str">
        <f>+IF(AG501=$AJ$22,MONTH(V501),"")</f>
        <v/>
      </c>
      <c r="AK501" s="86" t="str">
        <f>+IF(AG501=$AK$22,MONTH(V501),"")</f>
        <v/>
      </c>
      <c r="AL501" s="86"/>
      <c r="AM501" s="89"/>
      <c r="AN501" s="89"/>
      <c r="AO501" s="89"/>
      <c r="AP501" s="89"/>
      <c r="AQ501" s="89"/>
      <c r="AR501" s="89"/>
      <c r="AS501" s="89"/>
      <c r="AT501" s="89"/>
      <c r="AU501" s="89"/>
      <c r="AV501" s="89"/>
      <c r="AW501" s="86" t="str">
        <f>+IF($AG501=AW$22,MONTH($D501),"")</f>
        <v/>
      </c>
      <c r="AX501" s="86" t="str">
        <f>+IF($AG501=AX$22,MONTH($D501),"")</f>
        <v/>
      </c>
      <c r="AY501" s="89"/>
      <c r="AZ501" s="89"/>
      <c r="BA501" s="89"/>
      <c r="BB501" s="89"/>
      <c r="BC501" s="89"/>
      <c r="BD501" s="89"/>
      <c r="BE501" s="89"/>
      <c r="BF501" s="89"/>
      <c r="BG501" s="89"/>
      <c r="BH501" s="89"/>
      <c r="BI501" s="89"/>
      <c r="BJ501" s="89"/>
      <c r="BK501" s="89"/>
      <c r="BL501" s="89"/>
      <c r="BM501" s="89"/>
      <c r="BN501" s="89"/>
      <c r="BO501" s="89"/>
      <c r="BP501" s="89"/>
    </row>
    <row r="502" spans="1:68" s="351" customFormat="1" ht="27" hidden="1">
      <c r="A502" s="204" t="str">
        <f>+IFERROR(VALUE(MID(AB502,4,4)),"")</f>
        <v/>
      </c>
      <c r="B502" s="204">
        <f>VALUE(RIGHT(C502,LEN(C502)-2))</f>
        <v>2218</v>
      </c>
      <c r="C502" s="74" t="s">
        <v>1973</v>
      </c>
      <c r="D502" s="75">
        <v>45621</v>
      </c>
      <c r="E502" s="70" t="s">
        <v>53</v>
      </c>
      <c r="F502" s="70" t="s">
        <v>313</v>
      </c>
      <c r="G502" s="68" t="s">
        <v>210</v>
      </c>
      <c r="H502" s="304" t="s">
        <v>210</v>
      </c>
      <c r="I502" s="162" t="s">
        <v>1974</v>
      </c>
      <c r="J502" s="162"/>
      <c r="K502" s="68" t="s">
        <v>14</v>
      </c>
      <c r="L502" s="69" t="s">
        <v>123</v>
      </c>
      <c r="M502" s="71" t="s">
        <v>141</v>
      </c>
      <c r="N502" s="69" t="e" vm="1">
        <v>#VALUE!</v>
      </c>
      <c r="O502" s="164">
        <v>45664</v>
      </c>
      <c r="P502" s="72" t="s">
        <v>228</v>
      </c>
      <c r="Q502" s="72" t="s">
        <v>259</v>
      </c>
      <c r="R502" s="162"/>
      <c r="S502" s="146"/>
      <c r="T502" s="68" t="s">
        <v>155</v>
      </c>
      <c r="U502" s="87"/>
      <c r="V502" s="183">
        <v>45621</v>
      </c>
      <c r="W502" s="73"/>
      <c r="X502" s="73"/>
      <c r="Y502" s="83" t="str">
        <f>IF(SUM(W502:W502)&gt;0,X502/SUM(W502:W502)*1000000,"N/A")</f>
        <v>N/A</v>
      </c>
      <c r="Z502" s="183"/>
      <c r="AA502" s="183"/>
      <c r="AB502" s="73"/>
      <c r="AC502" s="153"/>
      <c r="AD502" s="330"/>
      <c r="AE502" s="305"/>
      <c r="AF502" s="88"/>
      <c r="AG502" s="182">
        <f>YEAR(V502)</f>
        <v>2024</v>
      </c>
      <c r="AH502" s="86" t="str">
        <f>+IF(AG502=$AH$22,MONTH(V502),"")</f>
        <v/>
      </c>
      <c r="AI502" s="86" t="str">
        <f>+IF(AG502=$AI$22,MONTH(V502),"")</f>
        <v/>
      </c>
      <c r="AJ502" s="86">
        <f>+IF(AG502=$AJ$22,MONTH(V502),"")</f>
        <v>11</v>
      </c>
      <c r="AK502" s="86" t="str">
        <f>+IF(AG502=$AK$22,MONTH(V502),"")</f>
        <v/>
      </c>
      <c r="AL502" s="86"/>
      <c r="AM502" s="89"/>
      <c r="AN502" s="89"/>
      <c r="AO502" s="89"/>
      <c r="AP502" s="89"/>
      <c r="AQ502" s="89"/>
      <c r="AR502" s="89"/>
      <c r="AS502" s="89"/>
      <c r="AT502" s="89"/>
      <c r="AU502" s="89"/>
      <c r="AV502" s="89"/>
      <c r="AW502" s="86" t="str">
        <f>+IF($AG502=AW$22,MONTH($D502),"")</f>
        <v/>
      </c>
      <c r="AX502" s="86" t="str">
        <f>+IF($AG502=AX$22,MONTH($D502),"")</f>
        <v/>
      </c>
      <c r="AY502" s="89"/>
      <c r="AZ502" s="89"/>
      <c r="BA502" s="89"/>
      <c r="BB502" s="89"/>
      <c r="BC502" s="89"/>
      <c r="BD502" s="89"/>
      <c r="BE502" s="89"/>
      <c r="BF502" s="89"/>
      <c r="BG502" s="89"/>
      <c r="BH502" s="89"/>
      <c r="BI502" s="89"/>
      <c r="BJ502" s="89"/>
      <c r="BK502" s="89"/>
      <c r="BL502" s="89"/>
      <c r="BM502" s="89"/>
      <c r="BN502" s="89"/>
      <c r="BO502" s="89"/>
      <c r="BP502" s="89"/>
    </row>
    <row r="503" spans="1:68" s="351" customFormat="1" ht="27" hidden="1">
      <c r="A503" s="204">
        <f>+IFERROR(VALUE(MID(AB503,4,4)),"")</f>
        <v>333</v>
      </c>
      <c r="B503" s="204">
        <f>VALUE(RIGHT(C503,LEN(C503)-2))</f>
        <v>2217</v>
      </c>
      <c r="C503" s="74" t="s">
        <v>1975</v>
      </c>
      <c r="D503" s="75">
        <v>45393</v>
      </c>
      <c r="E503" s="70" t="s">
        <v>53</v>
      </c>
      <c r="F503" s="70" t="s">
        <v>1379</v>
      </c>
      <c r="G503" s="68" t="s">
        <v>1976</v>
      </c>
      <c r="H503" s="304" t="s">
        <v>210</v>
      </c>
      <c r="I503" s="162" t="s">
        <v>1977</v>
      </c>
      <c r="J503" s="162"/>
      <c r="K503" s="68" t="s">
        <v>18</v>
      </c>
      <c r="L503" s="69" t="s">
        <v>129</v>
      </c>
      <c r="M503" s="71" t="s">
        <v>141</v>
      </c>
      <c r="N503" s="69" t="e" vm="1">
        <v>#VALUE!</v>
      </c>
      <c r="O503" s="164">
        <v>45682</v>
      </c>
      <c r="P503" s="72" t="s">
        <v>1978</v>
      </c>
      <c r="Q503" s="72" t="s">
        <v>316</v>
      </c>
      <c r="R503" s="162"/>
      <c r="S503" s="146"/>
      <c r="T503" s="68" t="s">
        <v>165</v>
      </c>
      <c r="U503" s="87"/>
      <c r="V503" s="183">
        <v>45848</v>
      </c>
      <c r="W503" s="73">
        <v>2998</v>
      </c>
      <c r="X503" s="73">
        <v>143</v>
      </c>
      <c r="Y503" s="83">
        <f>IF(SUM(W503:W503)&gt;0,X503/SUM(W503:W503)*1000000,"N/A")</f>
        <v>47698.465643762509</v>
      </c>
      <c r="Z503" s="183"/>
      <c r="AA503" s="183"/>
      <c r="AB503" s="73" t="s">
        <v>1979</v>
      </c>
      <c r="AC503" s="153"/>
      <c r="AD503" s="330"/>
      <c r="AE503" s="305"/>
      <c r="AF503" s="88"/>
      <c r="AG503" s="182">
        <f>YEAR(V503)</f>
        <v>2025</v>
      </c>
      <c r="AH503" s="86" t="str">
        <f>+IF(AG503=$AH$22,MONTH(V503),"")</f>
        <v/>
      </c>
      <c r="AI503" s="86">
        <f>+IF(AG503=$AI$22,MONTH(V503),"")</f>
        <v>7</v>
      </c>
      <c r="AJ503" s="86" t="str">
        <f>+IF(AG503=$AJ$22,MONTH(V503),"")</f>
        <v/>
      </c>
      <c r="AK503" s="86" t="str">
        <f>+IF(AG503=$AK$22,MONTH(V503),"")</f>
        <v/>
      </c>
      <c r="AL503" s="86"/>
      <c r="AM503" s="89"/>
      <c r="AN503" s="89"/>
      <c r="AO503" s="89"/>
      <c r="AP503" s="89"/>
      <c r="AQ503" s="89"/>
      <c r="AR503" s="89"/>
      <c r="AS503" s="89"/>
      <c r="AT503" s="89"/>
      <c r="AU503" s="89"/>
      <c r="AV503" s="89"/>
      <c r="AW503" s="86" t="str">
        <f>+IF($AG503=AW$22,MONTH($D503),"")</f>
        <v/>
      </c>
      <c r="AX503" s="86" t="str">
        <f>+IF($AG503=AX$22,MONTH($D503),"")</f>
        <v/>
      </c>
      <c r="AY503" s="89"/>
      <c r="AZ503" s="89"/>
      <c r="BA503" s="89"/>
      <c r="BB503" s="89"/>
      <c r="BC503" s="89"/>
      <c r="BD503" s="89"/>
      <c r="BE503" s="89"/>
      <c r="BF503" s="89"/>
      <c r="BG503" s="89"/>
      <c r="BH503" s="89"/>
      <c r="BI503" s="89"/>
      <c r="BJ503" s="89"/>
      <c r="BK503" s="89"/>
      <c r="BL503" s="89"/>
      <c r="BM503" s="89"/>
      <c r="BN503" s="89"/>
      <c r="BO503" s="89"/>
      <c r="BP503" s="89"/>
    </row>
    <row r="504" spans="1:68" s="351" customFormat="1" ht="13.5" hidden="1">
      <c r="A504" s="204" t="str">
        <f>+IFERROR(VALUE(MID(AB504,4,4)),"")</f>
        <v/>
      </c>
      <c r="B504" s="204">
        <f>VALUE(RIGHT(C504,LEN(C504)-2))</f>
        <v>2216</v>
      </c>
      <c r="C504" s="74" t="s">
        <v>1980</v>
      </c>
      <c r="D504" s="75">
        <v>45617</v>
      </c>
      <c r="E504" s="70" t="s">
        <v>53</v>
      </c>
      <c r="F504" s="70" t="s">
        <v>630</v>
      </c>
      <c r="G504" s="68" t="s">
        <v>210</v>
      </c>
      <c r="H504" s="304" t="s">
        <v>210</v>
      </c>
      <c r="I504" s="162" t="s">
        <v>1981</v>
      </c>
      <c r="J504" s="162"/>
      <c r="K504" s="68" t="s">
        <v>13</v>
      </c>
      <c r="L504" s="69" t="s">
        <v>123</v>
      </c>
      <c r="M504" s="71" t="s">
        <v>141</v>
      </c>
      <c r="N504" s="69" t="e" vm="1">
        <v>#VALUE!</v>
      </c>
      <c r="O504" s="164">
        <v>45656</v>
      </c>
      <c r="P504" s="72" t="s">
        <v>213</v>
      </c>
      <c r="Q504" s="72" t="s">
        <v>259</v>
      </c>
      <c r="R504" s="162"/>
      <c r="S504" s="146"/>
      <c r="T504" s="68" t="s">
        <v>155</v>
      </c>
      <c r="U504" s="87"/>
      <c r="V504" s="183">
        <v>45616</v>
      </c>
      <c r="W504" s="73"/>
      <c r="X504" s="73"/>
      <c r="Y504" s="83" t="str">
        <f>IF(SUM(W504:W504)&gt;0,X504/SUM(W504:W504)*1000000,"N/A")</f>
        <v>N/A</v>
      </c>
      <c r="Z504" s="183"/>
      <c r="AA504" s="183"/>
      <c r="AB504" s="73"/>
      <c r="AC504" s="153"/>
      <c r="AD504" s="330"/>
      <c r="AE504" s="305"/>
      <c r="AF504" s="88"/>
      <c r="AG504" s="182">
        <f>YEAR(V504)</f>
        <v>2024</v>
      </c>
      <c r="AH504" s="86" t="str">
        <f>+IF(AG504=$AH$22,MONTH(V504),"")</f>
        <v/>
      </c>
      <c r="AI504" s="86" t="str">
        <f>+IF(AG504=$AI$22,MONTH(V504),"")</f>
        <v/>
      </c>
      <c r="AJ504" s="86">
        <f>+IF(AG504=$AJ$22,MONTH(V504),"")</f>
        <v>11</v>
      </c>
      <c r="AK504" s="86" t="str">
        <f>+IF(AG504=$AK$22,MONTH(V504),"")</f>
        <v/>
      </c>
      <c r="AL504" s="86"/>
      <c r="AM504" s="89"/>
      <c r="AN504" s="89"/>
      <c r="AO504" s="89"/>
      <c r="AP504" s="89"/>
      <c r="AQ504" s="89"/>
      <c r="AR504" s="89"/>
      <c r="AS504" s="89"/>
      <c r="AT504" s="89"/>
      <c r="AU504" s="89"/>
      <c r="AV504" s="89"/>
      <c r="AW504" s="86" t="str">
        <f>+IF($AG504=AW$22,MONTH($D504),"")</f>
        <v/>
      </c>
      <c r="AX504" s="86" t="str">
        <f>+IF($AG504=AX$22,MONTH($D504),"")</f>
        <v/>
      </c>
      <c r="AY504" s="89"/>
      <c r="AZ504" s="89"/>
      <c r="BA504" s="89"/>
      <c r="BB504" s="89"/>
      <c r="BC504" s="89"/>
      <c r="BD504" s="89"/>
      <c r="BE504" s="89"/>
      <c r="BF504" s="89"/>
      <c r="BG504" s="89"/>
      <c r="BH504" s="89"/>
      <c r="BI504" s="89"/>
      <c r="BJ504" s="89"/>
      <c r="BK504" s="89"/>
      <c r="BL504" s="89"/>
      <c r="BM504" s="89"/>
      <c r="BN504" s="89"/>
      <c r="BO504" s="89"/>
      <c r="BP504" s="89"/>
    </row>
    <row r="505" spans="1:68" s="351" customFormat="1" ht="27" hidden="1">
      <c r="A505" s="204">
        <f>+IFERROR(VALUE(MID(AB505,4,4)),"")</f>
        <v>399</v>
      </c>
      <c r="B505" s="204">
        <f>VALUE(RIGHT(C505,LEN(C505)-2))</f>
        <v>2215</v>
      </c>
      <c r="C505" s="74" t="s">
        <v>1982</v>
      </c>
      <c r="D505" s="75">
        <v>45618</v>
      </c>
      <c r="E505" s="70" t="s">
        <v>473</v>
      </c>
      <c r="F505" s="70" t="s">
        <v>473</v>
      </c>
      <c r="G505" s="68" t="s">
        <v>1983</v>
      </c>
      <c r="H505" s="307" t="s">
        <v>1984</v>
      </c>
      <c r="I505" s="69" t="s">
        <v>1985</v>
      </c>
      <c r="J505" s="69"/>
      <c r="K505" s="68" t="s">
        <v>13</v>
      </c>
      <c r="L505" s="69" t="s">
        <v>129</v>
      </c>
      <c r="M505" s="71" t="s">
        <v>141</v>
      </c>
      <c r="N505" s="69" t="e" vm="1">
        <v>#VALUE!</v>
      </c>
      <c r="O505" s="164">
        <v>45629</v>
      </c>
      <c r="P505" s="72" t="s">
        <v>689</v>
      </c>
      <c r="Q505" s="72" t="s">
        <v>220</v>
      </c>
      <c r="R505" s="162"/>
      <c r="S505" s="146"/>
      <c r="T505" s="68" t="s">
        <v>165</v>
      </c>
      <c r="U505" s="87"/>
      <c r="V505" s="183">
        <v>45891</v>
      </c>
      <c r="W505" s="73">
        <v>5665</v>
      </c>
      <c r="X505" s="73">
        <v>265.60000000000002</v>
      </c>
      <c r="Y505" s="83">
        <f>IF(SUM(W505:W505)&gt;0,X505/SUM(W505:W505)*1000000,"N/A")</f>
        <v>46884.37775816417</v>
      </c>
      <c r="Z505" s="183"/>
      <c r="AA505" s="183"/>
      <c r="AB505" s="73" t="s">
        <v>1986</v>
      </c>
      <c r="AC505" s="153"/>
      <c r="AD505" s="331"/>
      <c r="AE505" s="57"/>
      <c r="AF505" s="88"/>
      <c r="AG505" s="182">
        <f>YEAR(V505)</f>
        <v>2025</v>
      </c>
      <c r="AH505" s="86" t="str">
        <f>+IF(AF505=$AI$22,MONTH(U505),"")</f>
        <v/>
      </c>
      <c r="AI505" s="86">
        <f>+IF(AG505=$AI$22,MONTH(V505),"")</f>
        <v>8</v>
      </c>
      <c r="AJ505" s="86" t="str">
        <f>+IF(AG505=$AJ$22,MONTH(V505),"")</f>
        <v/>
      </c>
      <c r="AK505" s="86" t="str">
        <f>+IF(AG505=$AK$22,MONTH(V505),"")</f>
        <v/>
      </c>
      <c r="AL505" s="86"/>
      <c r="AM505" s="89"/>
      <c r="AN505" s="89"/>
      <c r="AO505" s="89"/>
      <c r="AP505" s="89"/>
      <c r="AQ505" s="89"/>
      <c r="AR505" s="89"/>
      <c r="AS505" s="89"/>
      <c r="AT505" s="89"/>
      <c r="AU505" s="89"/>
      <c r="AV505" s="89"/>
      <c r="AW505" s="86" t="str">
        <f>+IF($AG505=AW$22,MONTH($D505),"")</f>
        <v/>
      </c>
      <c r="AX505" s="86" t="str">
        <f>+IF($AG505=AX$22,MONTH($D505),"")</f>
        <v/>
      </c>
      <c r="AY505" s="89"/>
      <c r="AZ505" s="89"/>
      <c r="BA505" s="89"/>
      <c r="BB505" s="89"/>
      <c r="BC505" s="89"/>
      <c r="BD505" s="89"/>
      <c r="BE505" s="89"/>
      <c r="BF505" s="89"/>
      <c r="BG505" s="89"/>
      <c r="BH505" s="89"/>
      <c r="BI505" s="89"/>
      <c r="BJ505" s="89"/>
      <c r="BK505" s="89"/>
      <c r="BL505" s="89"/>
      <c r="BM505" s="89"/>
      <c r="BN505" s="89"/>
      <c r="BO505" s="89"/>
      <c r="BP505" s="89"/>
    </row>
    <row r="506" spans="1:68" s="351" customFormat="1" ht="39" hidden="1" customHeight="1">
      <c r="A506" s="204" t="str">
        <f>+IFERROR(VALUE(MID(AB506,4,4)),"")</f>
        <v/>
      </c>
      <c r="B506" s="204">
        <f>VALUE(RIGHT(C506,LEN(C506)-2))</f>
        <v>2214</v>
      </c>
      <c r="C506" s="74" t="s">
        <v>1987</v>
      </c>
      <c r="D506" s="75">
        <v>45617</v>
      </c>
      <c r="E506" s="70" t="s">
        <v>1988</v>
      </c>
      <c r="F506" s="70" t="s">
        <v>1988</v>
      </c>
      <c r="G506" s="68" t="s">
        <v>1989</v>
      </c>
      <c r="H506" s="307" t="s">
        <v>1990</v>
      </c>
      <c r="I506" s="162" t="s">
        <v>1991</v>
      </c>
      <c r="J506" s="162"/>
      <c r="K506" s="68" t="s">
        <v>212</v>
      </c>
      <c r="L506" s="69" t="s">
        <v>123</v>
      </c>
      <c r="M506" s="71" t="s">
        <v>141</v>
      </c>
      <c r="N506" s="69" t="e" vm="1">
        <v>#VALUE!</v>
      </c>
      <c r="O506" s="164">
        <v>45672</v>
      </c>
      <c r="P506" s="72" t="s">
        <v>228</v>
      </c>
      <c r="Q506" s="72" t="s">
        <v>652</v>
      </c>
      <c r="R506" s="162"/>
      <c r="S506" s="146"/>
      <c r="T506" s="68" t="s">
        <v>165</v>
      </c>
      <c r="U506" s="87"/>
      <c r="V506" s="183">
        <v>45748</v>
      </c>
      <c r="W506" s="73"/>
      <c r="X506" s="73"/>
      <c r="Y506" s="83" t="str">
        <f>IF(SUM(W506:W506)&gt;0,X506/SUM(W506:W506)*1000000,"N/A")</f>
        <v>N/A</v>
      </c>
      <c r="Z506" s="183"/>
      <c r="AA506" s="183"/>
      <c r="AB506" s="73"/>
      <c r="AC506" s="153"/>
      <c r="AD506" s="330"/>
      <c r="AE506" s="305"/>
      <c r="AF506" s="88"/>
      <c r="AG506" s="182">
        <f>YEAR(V506)</f>
        <v>2025</v>
      </c>
      <c r="AH506" s="86" t="str">
        <f>+IF(AF506=$AI$22,MONTH(U506),"")</f>
        <v/>
      </c>
      <c r="AI506" s="86">
        <f>+IF(AG506=$AI$22,MONTH(V506),"")</f>
        <v>4</v>
      </c>
      <c r="AJ506" s="86" t="str">
        <f>+IF(AG506=$AJ$22,MONTH(V506),"")</f>
        <v/>
      </c>
      <c r="AK506" s="86" t="str">
        <f>+IF(AG506=$AK$22,MONTH(V506),"")</f>
        <v/>
      </c>
      <c r="AL506" s="86"/>
      <c r="AM506" s="89"/>
      <c r="AN506" s="89"/>
      <c r="AO506" s="89"/>
      <c r="AP506" s="89"/>
      <c r="AQ506" s="89"/>
      <c r="AR506" s="89"/>
      <c r="AS506" s="89"/>
      <c r="AT506" s="89"/>
      <c r="AU506" s="89"/>
      <c r="AV506" s="89"/>
      <c r="AW506" s="86" t="str">
        <f>+IF($AG506=AW$22,MONTH($D506),"")</f>
        <v/>
      </c>
      <c r="AX506" s="86" t="str">
        <f>+IF($AG506=AX$22,MONTH($D506),"")</f>
        <v/>
      </c>
      <c r="AY506" s="89"/>
      <c r="AZ506" s="89"/>
      <c r="BA506" s="89"/>
      <c r="BB506" s="89"/>
      <c r="BC506" s="89"/>
      <c r="BD506" s="89"/>
      <c r="BE506" s="89"/>
      <c r="BF506" s="89"/>
      <c r="BG506" s="89"/>
      <c r="BH506" s="89"/>
      <c r="BI506" s="89"/>
      <c r="BJ506" s="89"/>
      <c r="BK506" s="89"/>
      <c r="BL506" s="89"/>
      <c r="BM506" s="89"/>
      <c r="BN506" s="89"/>
      <c r="BO506" s="89"/>
      <c r="BP506" s="89"/>
    </row>
    <row r="507" spans="1:68" s="351" customFormat="1" ht="29.25" hidden="1" customHeight="1">
      <c r="A507" s="204" t="str">
        <f>+IFERROR(VALUE(MID(AB507,4,4)),"")</f>
        <v/>
      </c>
      <c r="B507" s="204">
        <f>VALUE(RIGHT(C507,LEN(C507)-2))</f>
        <v>2213</v>
      </c>
      <c r="C507" s="74" t="s">
        <v>1992</v>
      </c>
      <c r="D507" s="75">
        <v>45617</v>
      </c>
      <c r="E507" s="70" t="s">
        <v>53</v>
      </c>
      <c r="F507" s="70" t="s">
        <v>209</v>
      </c>
      <c r="G507" s="68" t="s">
        <v>210</v>
      </c>
      <c r="H507" s="304" t="s">
        <v>210</v>
      </c>
      <c r="I507" s="162" t="s">
        <v>1993</v>
      </c>
      <c r="J507" s="162"/>
      <c r="K507" s="68" t="s">
        <v>944</v>
      </c>
      <c r="L507" s="69" t="s">
        <v>123</v>
      </c>
      <c r="M507" s="71" t="s">
        <v>141</v>
      </c>
      <c r="N507" s="69" t="e" vm="1">
        <v>#VALUE!</v>
      </c>
      <c r="O507" s="164">
        <v>45646</v>
      </c>
      <c r="P507" s="72" t="s">
        <v>649</v>
      </c>
      <c r="Q507" s="72" t="s">
        <v>259</v>
      </c>
      <c r="R507" s="162"/>
      <c r="S507" s="146"/>
      <c r="T507" s="68" t="s">
        <v>155</v>
      </c>
      <c r="U507" s="87"/>
      <c r="V507" s="183">
        <v>45616</v>
      </c>
      <c r="W507" s="73"/>
      <c r="X507" s="73"/>
      <c r="Y507" s="83" t="str">
        <f>IF(SUM(W507:W507)&gt;0,X507/SUM(W507:W507)*1000000,"N/A")</f>
        <v>N/A</v>
      </c>
      <c r="Z507" s="183"/>
      <c r="AA507" s="183"/>
      <c r="AB507" s="73"/>
      <c r="AC507" s="153"/>
      <c r="AD507" s="330"/>
      <c r="AE507" s="305"/>
      <c r="AF507" s="88"/>
      <c r="AG507" s="182">
        <f>YEAR(V507)</f>
        <v>2024</v>
      </c>
      <c r="AH507" s="86" t="str">
        <f>+IF(AF507=$AI$22,MONTH(U507),"")</f>
        <v/>
      </c>
      <c r="AI507" s="86" t="str">
        <f>+IF(AG507=$AI$22,MONTH(V507),"")</f>
        <v/>
      </c>
      <c r="AJ507" s="86">
        <f>+IF(AG507=$AJ$22,MONTH(V507),"")</f>
        <v>11</v>
      </c>
      <c r="AK507" s="86" t="str">
        <f>+IF(AG507=$AK$22,MONTH(V507),"")</f>
        <v/>
      </c>
      <c r="AL507" s="86"/>
      <c r="AM507" s="89"/>
      <c r="AN507" s="89"/>
      <c r="AO507" s="89"/>
      <c r="AP507" s="89"/>
      <c r="AQ507" s="89"/>
      <c r="AR507" s="89"/>
      <c r="AS507" s="89"/>
      <c r="AT507" s="89"/>
      <c r="AU507" s="89"/>
      <c r="AV507" s="89"/>
      <c r="AW507" s="86" t="str">
        <f>+IF($AG507=AW$22,MONTH($D507),"")</f>
        <v/>
      </c>
      <c r="AX507" s="86" t="str">
        <f>+IF($AG507=AX$22,MONTH($D507),"")</f>
        <v/>
      </c>
      <c r="AY507" s="89"/>
      <c r="AZ507" s="89"/>
      <c r="BA507" s="89"/>
      <c r="BB507" s="89"/>
      <c r="BC507" s="89"/>
      <c r="BD507" s="89"/>
      <c r="BE507" s="89"/>
      <c r="BF507" s="89"/>
      <c r="BG507" s="89"/>
      <c r="BH507" s="89"/>
      <c r="BI507" s="89"/>
      <c r="BJ507" s="89"/>
      <c r="BK507" s="89"/>
      <c r="BL507" s="89"/>
      <c r="BM507" s="89"/>
      <c r="BN507" s="89"/>
      <c r="BO507" s="89"/>
      <c r="BP507" s="89"/>
    </row>
    <row r="508" spans="1:68" s="351" customFormat="1" ht="13.5" hidden="1">
      <c r="A508" s="204" t="str">
        <f>+IFERROR(VALUE(MID(AB508,4,4)),"")</f>
        <v/>
      </c>
      <c r="B508" s="204">
        <f>VALUE(RIGHT(C508,LEN(C508)-2))</f>
        <v>2212</v>
      </c>
      <c r="C508" s="74" t="s">
        <v>1994</v>
      </c>
      <c r="D508" s="75">
        <v>45616</v>
      </c>
      <c r="E508" s="70" t="s">
        <v>53</v>
      </c>
      <c r="F508" s="70" t="s">
        <v>209</v>
      </c>
      <c r="G508" s="68" t="s">
        <v>210</v>
      </c>
      <c r="H508" s="304" t="s">
        <v>210</v>
      </c>
      <c r="I508" s="162" t="s">
        <v>1995</v>
      </c>
      <c r="J508" s="162"/>
      <c r="K508" s="68" t="s">
        <v>944</v>
      </c>
      <c r="L508" s="69" t="s">
        <v>123</v>
      </c>
      <c r="M508" s="71" t="s">
        <v>141</v>
      </c>
      <c r="N508" s="69" t="e" vm="1">
        <v>#VALUE!</v>
      </c>
      <c r="O508" s="164">
        <v>45646</v>
      </c>
      <c r="P508" s="72" t="s">
        <v>649</v>
      </c>
      <c r="Q508" s="72" t="s">
        <v>259</v>
      </c>
      <c r="R508" s="162"/>
      <c r="S508" s="146"/>
      <c r="T508" s="68" t="s">
        <v>155</v>
      </c>
      <c r="U508" s="87"/>
      <c r="V508" s="183">
        <v>45616</v>
      </c>
      <c r="W508" s="73"/>
      <c r="X508" s="73"/>
      <c r="Y508" s="83" t="str">
        <f>IF(SUM(W508:W508)&gt;0,X508/SUM(W508:W508)*1000000,"N/A")</f>
        <v>N/A</v>
      </c>
      <c r="Z508" s="183"/>
      <c r="AA508" s="183"/>
      <c r="AB508" s="73"/>
      <c r="AC508" s="153"/>
      <c r="AD508" s="330"/>
      <c r="AE508" s="305"/>
      <c r="AF508" s="88"/>
      <c r="AG508" s="182">
        <f>YEAR(V508)</f>
        <v>2024</v>
      </c>
      <c r="AH508" s="86" t="str">
        <f>+IF(AF508=$AI$22,MONTH(U508),"")</f>
        <v/>
      </c>
      <c r="AI508" s="86" t="str">
        <f>+IF(AG508=$AI$22,MONTH(V508),"")</f>
        <v/>
      </c>
      <c r="AJ508" s="86">
        <f>+IF(AG508=$AJ$22,MONTH(V508),"")</f>
        <v>11</v>
      </c>
      <c r="AK508" s="86" t="str">
        <f>+IF(AG508=$AK$22,MONTH(V508),"")</f>
        <v/>
      </c>
      <c r="AL508" s="86"/>
      <c r="AM508" s="89"/>
      <c r="AN508" s="89"/>
      <c r="AO508" s="89"/>
      <c r="AP508" s="89"/>
      <c r="AQ508" s="89"/>
      <c r="AR508" s="89"/>
      <c r="AS508" s="89"/>
      <c r="AT508" s="89"/>
      <c r="AU508" s="89"/>
      <c r="AV508" s="89"/>
      <c r="AW508" s="86" t="str">
        <f>+IF($AG508=AW$22,MONTH($D508),"")</f>
        <v/>
      </c>
      <c r="AX508" s="86" t="str">
        <f>+IF($AG508=AX$22,MONTH($D508),"")</f>
        <v/>
      </c>
      <c r="AY508" s="89"/>
      <c r="AZ508" s="89"/>
      <c r="BA508" s="89"/>
      <c r="BB508" s="89"/>
      <c r="BC508" s="89"/>
      <c r="BD508" s="89"/>
      <c r="BE508" s="89"/>
      <c r="BF508" s="89"/>
      <c r="BG508" s="89"/>
      <c r="BH508" s="89"/>
      <c r="BI508" s="89"/>
      <c r="BJ508" s="89"/>
      <c r="BK508" s="89"/>
      <c r="BL508" s="89"/>
      <c r="BM508" s="89"/>
      <c r="BN508" s="89"/>
      <c r="BO508" s="89"/>
      <c r="BP508" s="89"/>
    </row>
    <row r="509" spans="1:68" s="56" customFormat="1" ht="28.5" hidden="1" customHeight="1">
      <c r="A509" s="204">
        <f>+IFERROR(VALUE(MID(AB509,4,4)),"")</f>
        <v>271</v>
      </c>
      <c r="B509" s="204">
        <f>VALUE(RIGHT(C509,LEN(C509)-2))</f>
        <v>2211</v>
      </c>
      <c r="C509" s="74" t="s">
        <v>1996</v>
      </c>
      <c r="D509" s="75">
        <v>45514</v>
      </c>
      <c r="E509" s="70" t="s">
        <v>277</v>
      </c>
      <c r="F509" s="70" t="s">
        <v>277</v>
      </c>
      <c r="G509" s="68" t="s">
        <v>1997</v>
      </c>
      <c r="H509" s="282" t="s">
        <v>1998</v>
      </c>
      <c r="I509" s="69" t="s">
        <v>1999</v>
      </c>
      <c r="J509" s="69"/>
      <c r="K509" s="68" t="s">
        <v>212</v>
      </c>
      <c r="L509" s="69" t="s">
        <v>129</v>
      </c>
      <c r="M509" s="71" t="s">
        <v>141</v>
      </c>
      <c r="N509" s="69" t="e" vm="1">
        <v>#VALUE!</v>
      </c>
      <c r="O509" s="84">
        <v>45611</v>
      </c>
      <c r="P509" s="72" t="s">
        <v>402</v>
      </c>
      <c r="Q509" s="72" t="s">
        <v>623</v>
      </c>
      <c r="R509" s="162"/>
      <c r="S509" s="146"/>
      <c r="T509" s="68" t="s">
        <v>3</v>
      </c>
      <c r="U509" s="87"/>
      <c r="V509" s="80">
        <v>45616</v>
      </c>
      <c r="W509" s="73"/>
      <c r="X509" s="73"/>
      <c r="Y509" s="83" t="str">
        <f>IF(SUM(W509:W509)&gt;0,X509/SUM(W509:W509)*1000000,"N/A")</f>
        <v>N/A</v>
      </c>
      <c r="Z509" s="80"/>
      <c r="AA509" s="80"/>
      <c r="AB509" s="73" t="s">
        <v>2000</v>
      </c>
      <c r="AC509" s="153"/>
      <c r="AD509" s="331"/>
      <c r="AE509" s="57"/>
      <c r="AF509" s="88"/>
      <c r="AG509" s="182">
        <f>YEAR(V509)</f>
        <v>2024</v>
      </c>
      <c r="AH509" s="86" t="str">
        <f>+IF(AF509=$AI$22,MONTH(U509),"")</f>
        <v/>
      </c>
      <c r="AI509" s="86" t="str">
        <f>+IF(AG509=$AI$22,MONTH(V509),"")</f>
        <v/>
      </c>
      <c r="AJ509" s="86">
        <f>+IF(AG509=$AJ$22,MONTH(V509),"")</f>
        <v>11</v>
      </c>
      <c r="AK509" s="86" t="str">
        <f>+IF(AG509=$AK$22,MONTH(V509),"")</f>
        <v/>
      </c>
      <c r="AL509" s="86" t="str">
        <f>+IF(AG509=$AL$22,MONTH(V509),"")</f>
        <v/>
      </c>
      <c r="AM509" s="86" t="str">
        <f>+IF($AG509=$AM$22,MONTH($D509),"")</f>
        <v/>
      </c>
      <c r="AN509" s="89" t="str">
        <f>+IF($AG509=AN$22,MONTH($D509),"")</f>
        <v/>
      </c>
      <c r="AO509" s="89" t="str">
        <f>+IF($AG509=AO$22,MONTH($D509),"")</f>
        <v/>
      </c>
      <c r="AP509" s="89" t="str">
        <f>+IF($AG509=AP$22,MONTH($D509),"")</f>
        <v/>
      </c>
      <c r="AQ509" s="89" t="str">
        <f>+IF($AG509=AQ$22,MONTH($D509),"")</f>
        <v/>
      </c>
      <c r="AR509" s="89" t="str">
        <f>+IF($AG509=AR$22,MONTH($D509),"")</f>
        <v/>
      </c>
      <c r="AS509" s="89" t="str">
        <f>+IF($AG509=AS$22,MONTH($D509),"")</f>
        <v/>
      </c>
      <c r="AT509" s="89" t="str">
        <f>+IF($AG509=AT$22,MONTH($D509),"")</f>
        <v/>
      </c>
      <c r="AU509" s="89" t="str">
        <f>+IF($AG509=AU$22,MONTH($D509),"")</f>
        <v/>
      </c>
      <c r="AV509" s="89" t="str">
        <f>+IF($AG509=AV$22,MONTH($D509),"")</f>
        <v/>
      </c>
      <c r="AW509" s="86" t="str">
        <f>+IF($AG509=AW$22,MONTH($D509),"")</f>
        <v/>
      </c>
      <c r="AX509" s="86" t="str">
        <f>+IF($AG509=AX$22,MONTH($D509),"")</f>
        <v/>
      </c>
      <c r="AY509" s="182"/>
      <c r="AZ509" s="182"/>
      <c r="BA509" s="182"/>
      <c r="BB509" s="182"/>
      <c r="BC509" s="182"/>
      <c r="BD509" s="182"/>
      <c r="BE509" s="182"/>
      <c r="BF509" s="182"/>
      <c r="BG509" s="182"/>
      <c r="BH509" s="182"/>
      <c r="BI509" s="182"/>
      <c r="BJ509" s="89"/>
      <c r="BK509" s="89"/>
      <c r="BL509" s="89"/>
      <c r="BM509" s="89"/>
      <c r="BN509" s="89"/>
      <c r="BO509" s="89"/>
      <c r="BP509" s="89"/>
    </row>
    <row r="510" spans="1:68" s="56" customFormat="1" ht="28.5" hidden="1" customHeight="1">
      <c r="A510" s="204">
        <f>+IFERROR(VALUE(MID(AB510,4,4)),"")</f>
        <v>413</v>
      </c>
      <c r="B510" s="204">
        <f>VALUE(RIGHT(C510,LEN(C510)-2))</f>
        <v>2210</v>
      </c>
      <c r="C510" s="74" t="s">
        <v>2001</v>
      </c>
      <c r="D510" s="75">
        <v>45614</v>
      </c>
      <c r="E510" s="70" t="s">
        <v>473</v>
      </c>
      <c r="F510" s="70" t="s">
        <v>473</v>
      </c>
      <c r="G510" s="68" t="s">
        <v>2002</v>
      </c>
      <c r="H510" s="307" t="s">
        <v>2003</v>
      </c>
      <c r="I510" s="162" t="s">
        <v>2004</v>
      </c>
      <c r="J510" s="162"/>
      <c r="K510" s="68" t="s">
        <v>13</v>
      </c>
      <c r="L510" s="69" t="s">
        <v>120</v>
      </c>
      <c r="M510" s="71" t="s">
        <v>141</v>
      </c>
      <c r="N510" s="69" t="e" vm="1">
        <v>#VALUE!</v>
      </c>
      <c r="O510" s="164">
        <v>45615</v>
      </c>
      <c r="P510" s="72" t="s">
        <v>689</v>
      </c>
      <c r="Q510" s="72" t="s">
        <v>259</v>
      </c>
      <c r="R510" s="162"/>
      <c r="S510" s="146"/>
      <c r="T510" s="68" t="s">
        <v>3</v>
      </c>
      <c r="U510" s="87"/>
      <c r="V510" s="183">
        <v>45615</v>
      </c>
      <c r="W510" s="73">
        <f>3000000/40000</f>
        <v>75</v>
      </c>
      <c r="X510" s="73">
        <v>3</v>
      </c>
      <c r="Y510" s="83">
        <f>IF(SUM(W510:W510)&gt;0,X510/SUM(W510:W510)*1000000,"N/A")</f>
        <v>40000</v>
      </c>
      <c r="Z510" s="183"/>
      <c r="AA510" s="183"/>
      <c r="AB510" s="73" t="s">
        <v>2005</v>
      </c>
      <c r="AC510" s="153"/>
      <c r="AD510" s="331"/>
      <c r="AE510" s="57"/>
      <c r="AF510" s="88"/>
      <c r="AG510" s="182">
        <f>YEAR(V510)</f>
        <v>2024</v>
      </c>
      <c r="AH510" s="86" t="str">
        <f>+IF(AF510=$AI$22,MONTH(U510),"")</f>
        <v/>
      </c>
      <c r="AI510" s="86" t="str">
        <f>+IF(AG510=$AI$22,MONTH(V510),"")</f>
        <v/>
      </c>
      <c r="AJ510" s="86">
        <f>+IF(AG510=$AJ$22,MONTH(V510),"")</f>
        <v>11</v>
      </c>
      <c r="AK510" s="86" t="str">
        <f>+IF(AG510=$AK$22,MONTH(V510),"")</f>
        <v/>
      </c>
      <c r="AL510" s="86"/>
      <c r="AM510" s="89"/>
      <c r="AN510" s="89"/>
      <c r="AO510" s="89"/>
      <c r="AP510" s="89"/>
      <c r="AQ510" s="89"/>
      <c r="AR510" s="89"/>
      <c r="AS510" s="89"/>
      <c r="AT510" s="89"/>
      <c r="AU510" s="89"/>
      <c r="AV510" s="89"/>
      <c r="AW510" s="86" t="str">
        <f>+IF($AG510=AW$22,MONTH($D510),"")</f>
        <v/>
      </c>
      <c r="AX510" s="86" t="str">
        <f>+IF($AG510=AX$22,MONTH($D510),"")</f>
        <v/>
      </c>
      <c r="AY510" s="89"/>
      <c r="AZ510" s="89"/>
      <c r="BA510" s="89"/>
      <c r="BB510" s="89"/>
      <c r="BC510" s="89"/>
      <c r="BD510" s="89"/>
      <c r="BE510" s="89"/>
      <c r="BF510" s="89"/>
      <c r="BG510" s="89"/>
      <c r="BH510" s="89"/>
      <c r="BI510" s="89"/>
      <c r="BJ510" s="89"/>
      <c r="BK510" s="89"/>
      <c r="BL510" s="89"/>
      <c r="BM510" s="89"/>
      <c r="BN510" s="89"/>
      <c r="BO510" s="89"/>
      <c r="BP510" s="89"/>
    </row>
    <row r="511" spans="1:68" s="351" customFormat="1" ht="24.75" hidden="1" customHeight="1">
      <c r="A511" s="204" t="str">
        <f>+IFERROR(VALUE(MID(AB511,4,4)),"")</f>
        <v/>
      </c>
      <c r="B511" s="204">
        <f>VALUE(RIGHT(C511,LEN(C511)-2))</f>
        <v>2209</v>
      </c>
      <c r="C511" s="74" t="s">
        <v>2006</v>
      </c>
      <c r="D511" s="75">
        <v>45613</v>
      </c>
      <c r="E511" s="70" t="s">
        <v>53</v>
      </c>
      <c r="F511" s="70" t="s">
        <v>313</v>
      </c>
      <c r="G511" s="68" t="s">
        <v>210</v>
      </c>
      <c r="H511" s="304" t="s">
        <v>210</v>
      </c>
      <c r="I511" s="162" t="s">
        <v>2007</v>
      </c>
      <c r="J511" s="162"/>
      <c r="K511" s="68" t="s">
        <v>275</v>
      </c>
      <c r="L511" s="69" t="s">
        <v>123</v>
      </c>
      <c r="M511" s="71" t="s">
        <v>141</v>
      </c>
      <c r="N511" s="69" t="e" vm="1">
        <v>#VALUE!</v>
      </c>
      <c r="O511" s="164">
        <v>45646</v>
      </c>
      <c r="P511" s="72" t="s">
        <v>228</v>
      </c>
      <c r="Q511" s="72" t="s">
        <v>644</v>
      </c>
      <c r="R511" s="162"/>
      <c r="S511" s="146"/>
      <c r="T511" s="68" t="s">
        <v>155</v>
      </c>
      <c r="U511" s="87"/>
      <c r="V511" s="183">
        <v>45615</v>
      </c>
      <c r="W511" s="73"/>
      <c r="X511" s="73"/>
      <c r="Y511" s="83" t="str">
        <f>IF(SUM(W511:W511)&gt;0,X511/SUM(W511:W511)*1000000,"N/A")</f>
        <v>N/A</v>
      </c>
      <c r="Z511" s="183"/>
      <c r="AA511" s="183"/>
      <c r="AB511" s="73"/>
      <c r="AC511" s="153"/>
      <c r="AD511" s="330"/>
      <c r="AE511" s="305"/>
      <c r="AF511" s="88"/>
      <c r="AG511" s="182">
        <f>YEAR(V511)</f>
        <v>2024</v>
      </c>
      <c r="AH511" s="86" t="str">
        <f>+IF(AF511=$AI$22,MONTH(U511),"")</f>
        <v/>
      </c>
      <c r="AI511" s="86" t="str">
        <f>+IF(AG511=$AI$22,MONTH(V511),"")</f>
        <v/>
      </c>
      <c r="AJ511" s="86">
        <f>+IF(AG511=$AJ$22,MONTH(V511),"")</f>
        <v>11</v>
      </c>
      <c r="AK511" s="86" t="str">
        <f>+IF(AG511=$AK$22,MONTH(V511),"")</f>
        <v/>
      </c>
      <c r="AL511" s="86"/>
      <c r="AM511" s="89"/>
      <c r="AN511" s="89"/>
      <c r="AO511" s="89"/>
      <c r="AP511" s="89"/>
      <c r="AQ511" s="89"/>
      <c r="AR511" s="89"/>
      <c r="AS511" s="89"/>
      <c r="AT511" s="89"/>
      <c r="AU511" s="89"/>
      <c r="AV511" s="89"/>
      <c r="AW511" s="86" t="str">
        <f>+IF($AG511=AW$22,MONTH($D511),"")</f>
        <v/>
      </c>
      <c r="AX511" s="86" t="str">
        <f>+IF($AG511=AX$22,MONTH($D511),"")</f>
        <v/>
      </c>
      <c r="AY511" s="89"/>
      <c r="AZ511" s="89"/>
      <c r="BA511" s="89"/>
      <c r="BB511" s="89"/>
      <c r="BC511" s="89"/>
      <c r="BD511" s="89"/>
      <c r="BE511" s="89"/>
      <c r="BF511" s="89"/>
      <c r="BG511" s="89"/>
      <c r="BH511" s="89"/>
      <c r="BI511" s="89"/>
      <c r="BJ511" s="89"/>
      <c r="BK511" s="89"/>
      <c r="BL511" s="89"/>
      <c r="BM511" s="89"/>
      <c r="BN511" s="89"/>
      <c r="BO511" s="89"/>
      <c r="BP511" s="89"/>
    </row>
    <row r="512" spans="1:68" s="89" customFormat="1" ht="29.25" hidden="1" customHeight="1">
      <c r="A512" s="204">
        <f>+IFERROR(VALUE(MID(AB512,4,4)),"")</f>
        <v>411</v>
      </c>
      <c r="B512" s="204">
        <f>VALUE(RIGHT(C512,LEN(C512)-2))</f>
        <v>2208</v>
      </c>
      <c r="C512" s="74" t="s">
        <v>2008</v>
      </c>
      <c r="D512" s="75">
        <v>45611</v>
      </c>
      <c r="E512" s="70" t="s">
        <v>1725</v>
      </c>
      <c r="F512" s="70" t="s">
        <v>1725</v>
      </c>
      <c r="G512" s="68" t="s">
        <v>2009</v>
      </c>
      <c r="H512" s="282" t="s">
        <v>2010</v>
      </c>
      <c r="I512" s="69" t="s">
        <v>2011</v>
      </c>
      <c r="J512" s="69"/>
      <c r="K512" s="95" t="s">
        <v>24</v>
      </c>
      <c r="L512" s="68" t="s">
        <v>120</v>
      </c>
      <c r="M512" s="68" t="s">
        <v>141</v>
      </c>
      <c r="N512" s="69" t="e" vm="1">
        <v>#VALUE!</v>
      </c>
      <c r="O512" s="84">
        <v>45611</v>
      </c>
      <c r="P512" s="82" t="s">
        <v>749</v>
      </c>
      <c r="Q512" s="72" t="s">
        <v>259</v>
      </c>
      <c r="R512" s="162"/>
      <c r="S512" s="69" t="s">
        <v>2012</v>
      </c>
      <c r="T512" s="68" t="s">
        <v>3</v>
      </c>
      <c r="U512" s="87"/>
      <c r="V512" s="80">
        <v>45614</v>
      </c>
      <c r="W512" s="73">
        <v>120</v>
      </c>
      <c r="X512" s="73">
        <v>4.4400000000000004</v>
      </c>
      <c r="Y512" s="83">
        <f>IF(SUM(W512:W512)&gt;0,X512/SUM(W512:W512)*1000000,"N/A")</f>
        <v>37000.000000000007</v>
      </c>
      <c r="Z512" s="80"/>
      <c r="AA512" s="80"/>
      <c r="AB512" s="73" t="s">
        <v>2013</v>
      </c>
      <c r="AC512" s="153"/>
      <c r="AD512" s="331"/>
      <c r="AE512" s="57"/>
      <c r="AF512" s="88"/>
      <c r="AG512" s="182">
        <f>YEAR(V512)</f>
        <v>2024</v>
      </c>
      <c r="AH512" s="86" t="str">
        <f>+IF(AF512=$AI$22,MONTH(U512),"")</f>
        <v/>
      </c>
      <c r="AI512" s="86" t="str">
        <f>+IF(AG512=$AI$22,MONTH(V512),"")</f>
        <v/>
      </c>
      <c r="AJ512" s="86">
        <f>+IF(AG512=$AJ$22,MONTH(V512),"")</f>
        <v>11</v>
      </c>
      <c r="AK512" s="86" t="str">
        <f>+IF(AG512=$AK$22,MONTH(V512),"")</f>
        <v/>
      </c>
      <c r="AL512" s="86" t="str">
        <f>+IF(AG512=$AL$22,MONTH(V512),"")</f>
        <v/>
      </c>
      <c r="AM512" s="86" t="str">
        <f>+IF($AG512=$AM$22,MONTH($D512),"")</f>
        <v/>
      </c>
      <c r="AN512" s="89" t="str">
        <f>+IF($AG512=AN$22,MONTH($D512),"")</f>
        <v/>
      </c>
      <c r="AO512" s="89" t="str">
        <f>+IF($AG512=AO$22,MONTH($D512),"")</f>
        <v/>
      </c>
      <c r="AP512" s="89" t="str">
        <f>+IF($AG512=AP$22,MONTH($D512),"")</f>
        <v/>
      </c>
      <c r="AQ512" s="89" t="str">
        <f>+IF($AG512=AQ$22,MONTH($D512),"")</f>
        <v/>
      </c>
      <c r="AR512" s="89" t="str">
        <f>+IF($AG512=AR$22,MONTH($D512),"")</f>
        <v/>
      </c>
      <c r="AS512" s="89" t="str">
        <f>+IF($AG512=AS$22,MONTH($D512),"")</f>
        <v/>
      </c>
      <c r="AT512" s="89" t="str">
        <f>+IF($AG512=AT$22,MONTH($D512),"")</f>
        <v/>
      </c>
      <c r="AU512" s="89" t="str">
        <f>+IF($AG512=AU$22,MONTH($D512),"")</f>
        <v/>
      </c>
      <c r="AV512" s="89" t="str">
        <f>+IF($AG512=AV$22,MONTH($D512),"")</f>
        <v/>
      </c>
      <c r="AW512" s="86" t="str">
        <f>+IF($AG512=AW$22,MONTH($D512),"")</f>
        <v/>
      </c>
      <c r="AX512" s="86" t="str">
        <f>+IF($AG512=AX$22,MONTH($D512),"")</f>
        <v/>
      </c>
    </row>
    <row r="513" spans="1:68" s="56" customFormat="1" ht="27" hidden="1" customHeight="1">
      <c r="A513" s="204" t="str">
        <f>+IFERROR(VALUE(MID(AB513,4,4)),"")</f>
        <v/>
      </c>
      <c r="B513" s="204">
        <f>VALUE(RIGHT(C513,LEN(C513)-2))</f>
        <v>2207</v>
      </c>
      <c r="C513" s="74" t="s">
        <v>2014</v>
      </c>
      <c r="D513" s="75">
        <v>45610</v>
      </c>
      <c r="E513" s="70" t="s">
        <v>1321</v>
      </c>
      <c r="F513" s="70" t="s">
        <v>2015</v>
      </c>
      <c r="G513" s="68" t="s">
        <v>1322</v>
      </c>
      <c r="H513" s="282" t="s">
        <v>1323</v>
      </c>
      <c r="I513" s="69" t="s">
        <v>2016</v>
      </c>
      <c r="J513" s="69"/>
      <c r="K513" s="68" t="s">
        <v>13</v>
      </c>
      <c r="L513" s="69" t="s">
        <v>120</v>
      </c>
      <c r="M513" s="71" t="s">
        <v>141</v>
      </c>
      <c r="N513" s="69" t="e" vm="1">
        <v>#VALUE!</v>
      </c>
      <c r="O513" s="84">
        <v>45642</v>
      </c>
      <c r="P513" s="72" t="s">
        <v>1154</v>
      </c>
      <c r="Q513" s="72" t="s">
        <v>229</v>
      </c>
      <c r="R513" s="162"/>
      <c r="S513" s="146" t="s">
        <v>2017</v>
      </c>
      <c r="T513" s="68" t="s">
        <v>165</v>
      </c>
      <c r="U513" s="87"/>
      <c r="V513" s="80">
        <v>45614</v>
      </c>
      <c r="W513" s="73">
        <v>70726</v>
      </c>
      <c r="X513" s="73">
        <v>4101.8</v>
      </c>
      <c r="Y513" s="169">
        <f>IF(SUM(W513:W513)&gt;0,X513/SUM(W513:W513)*1000000,"N/A")</f>
        <v>57995.645165851318</v>
      </c>
      <c r="Z513" s="80"/>
      <c r="AA513" s="80"/>
      <c r="AB513" s="73"/>
      <c r="AC513" s="153"/>
      <c r="AD513" s="331"/>
      <c r="AE513" s="57"/>
      <c r="AF513" s="88"/>
      <c r="AG513" s="182">
        <f>YEAR(D513)</f>
        <v>2024</v>
      </c>
      <c r="AH513" s="86" t="str">
        <f>+IF(AF513=$AI$22,MONTH(U513),"")</f>
        <v/>
      </c>
      <c r="AI513" s="86" t="str">
        <f>+IF(AG513=$AI$22,MONTH(V513),"")</f>
        <v/>
      </c>
      <c r="AJ513" s="86">
        <f>+IF(AG513=$AJ$22,MONTH(V513),"")</f>
        <v>11</v>
      </c>
      <c r="AK513" s="86" t="str">
        <f>+IF(AG513=$AK$22,MONTH(V513),"")</f>
        <v/>
      </c>
      <c r="AL513" s="86" t="str">
        <f>+IF(AG513=$AL$22,MONTH(V513),"")</f>
        <v/>
      </c>
      <c r="AM513" s="86" t="str">
        <f>+IF($AG513=$AM$22,MONTH($D513),"")</f>
        <v/>
      </c>
      <c r="AN513" s="89" t="str">
        <f>+IF($AG513=AN$22,MONTH($D513),"")</f>
        <v/>
      </c>
      <c r="AO513" s="89" t="str">
        <f>+IF($AG513=AO$22,MONTH($D513),"")</f>
        <v/>
      </c>
      <c r="AP513" s="89" t="str">
        <f>+IF($AG513=AP$22,MONTH($D513),"")</f>
        <v/>
      </c>
      <c r="AQ513" s="89" t="str">
        <f>+IF($AG513=AQ$22,MONTH($D513),"")</f>
        <v/>
      </c>
      <c r="AR513" s="89" t="str">
        <f>+IF($AG513=AR$22,MONTH($D513),"")</f>
        <v/>
      </c>
      <c r="AS513" s="89" t="str">
        <f>+IF($AG513=AS$22,MONTH($D513),"")</f>
        <v/>
      </c>
      <c r="AT513" s="89" t="str">
        <f>+IF($AG513=AT$22,MONTH($D513),"")</f>
        <v/>
      </c>
      <c r="AU513" s="89" t="str">
        <f>+IF($AG513=AU$22,MONTH($D513),"")</f>
        <v/>
      </c>
      <c r="AV513" s="89" t="str">
        <f>+IF($AG513=AV$22,MONTH($D513),"")</f>
        <v/>
      </c>
      <c r="AW513" s="86" t="str">
        <f>+IF($AG513=AW$22,MONTH($D513),"")</f>
        <v/>
      </c>
      <c r="AX513" s="86" t="str">
        <f>+IF($AG513=AX$22,MONTH($D513),"")</f>
        <v/>
      </c>
      <c r="AY513" s="89"/>
      <c r="AZ513" s="89"/>
      <c r="BA513" s="89"/>
      <c r="BB513" s="89"/>
      <c r="BC513" s="89"/>
      <c r="BD513" s="89"/>
      <c r="BE513" s="89"/>
      <c r="BF513" s="89"/>
      <c r="BG513" s="89"/>
      <c r="BH513" s="89"/>
      <c r="BI513" s="89"/>
      <c r="BJ513" s="89"/>
      <c r="BK513" s="89"/>
      <c r="BL513" s="89"/>
      <c r="BM513" s="89"/>
      <c r="BN513" s="89"/>
      <c r="BO513" s="89"/>
      <c r="BP513" s="89"/>
    </row>
    <row r="514" spans="1:68" s="320" customFormat="1" ht="45.75" hidden="1" customHeight="1">
      <c r="A514" s="204" t="str">
        <f>+IFERROR(VALUE(MID(AB514,4,4)),"")</f>
        <v/>
      </c>
      <c r="B514" s="204">
        <f>VALUE(RIGHT(C514,LEN(C514)-2))</f>
        <v>2206</v>
      </c>
      <c r="C514" s="74" t="s">
        <v>2018</v>
      </c>
      <c r="D514" s="75">
        <v>45610</v>
      </c>
      <c r="E514" s="70" t="s">
        <v>479</v>
      </c>
      <c r="F514" s="70" t="s">
        <v>479</v>
      </c>
      <c r="G514" s="68" t="s">
        <v>2019</v>
      </c>
      <c r="H514" s="307" t="s">
        <v>2020</v>
      </c>
      <c r="I514" s="162" t="s">
        <v>2021</v>
      </c>
      <c r="J514" s="162"/>
      <c r="K514" s="68" t="s">
        <v>1841</v>
      </c>
      <c r="L514" s="69" t="s">
        <v>129</v>
      </c>
      <c r="M514" s="71" t="s">
        <v>113</v>
      </c>
      <c r="N514" s="69" t="e" vm="2">
        <v>#VALUE!</v>
      </c>
      <c r="O514" s="164">
        <v>45617</v>
      </c>
      <c r="P514" s="72" t="s">
        <v>294</v>
      </c>
      <c r="Q514" s="72" t="s">
        <v>310</v>
      </c>
      <c r="R514" s="162"/>
      <c r="S514" s="146"/>
      <c r="T514" s="68" t="s">
        <v>165</v>
      </c>
      <c r="U514" s="87"/>
      <c r="V514" s="183">
        <v>45617</v>
      </c>
      <c r="W514" s="73">
        <v>250</v>
      </c>
      <c r="X514" s="73">
        <v>8.6</v>
      </c>
      <c r="Y514" s="83">
        <f>IF(SUM(W514:W514)&gt;0,X514/SUM(W514:W514)*1000000,"N/A")</f>
        <v>34400</v>
      </c>
      <c r="Z514" s="183"/>
      <c r="AA514" s="183"/>
      <c r="AB514" s="73"/>
      <c r="AC514" s="153"/>
      <c r="AD514" s="330"/>
      <c r="AE514" s="305"/>
      <c r="AF514" s="88"/>
      <c r="AG514" s="182">
        <f>YEAR(V514)</f>
        <v>2024</v>
      </c>
      <c r="AH514" s="86" t="str">
        <f>+IF(AF514=$AI$22,MONTH(U514),"")</f>
        <v/>
      </c>
      <c r="AI514" s="86" t="str">
        <f>+IF(AG514=$AI$22,MONTH(V514),"")</f>
        <v/>
      </c>
      <c r="AJ514" s="86">
        <f>+IF(AG514=$AJ$22,MONTH(V514),"")</f>
        <v>11</v>
      </c>
      <c r="AK514" s="86" t="str">
        <f>+IF(AG514=$AK$22,MONTH(V514),"")</f>
        <v/>
      </c>
      <c r="AL514" s="86"/>
      <c r="AM514" s="89"/>
      <c r="AN514" s="89"/>
      <c r="AO514" s="89"/>
      <c r="AP514" s="89"/>
      <c r="AQ514" s="89"/>
      <c r="AR514" s="89"/>
      <c r="AS514" s="89"/>
      <c r="AT514" s="89"/>
      <c r="AU514" s="89"/>
      <c r="AV514" s="89"/>
      <c r="AW514" s="86" t="str">
        <f>+IF($AG514=AW$22,MONTH($D514),"")</f>
        <v/>
      </c>
      <c r="AX514" s="86" t="str">
        <f>+IF($AG514=AX$22,MONTH($D514),"")</f>
        <v/>
      </c>
      <c r="AY514" s="89"/>
      <c r="AZ514" s="89"/>
      <c r="BA514" s="89"/>
      <c r="BB514" s="89"/>
      <c r="BC514" s="89"/>
      <c r="BD514" s="89"/>
      <c r="BE514" s="89"/>
      <c r="BF514" s="89"/>
      <c r="BG514" s="89"/>
      <c r="BH514" s="89"/>
      <c r="BI514" s="89"/>
      <c r="BJ514" s="89"/>
      <c r="BK514" s="89"/>
      <c r="BL514" s="89"/>
      <c r="BM514" s="89"/>
      <c r="BN514" s="89"/>
      <c r="BO514" s="89"/>
      <c r="BP514" s="89"/>
    </row>
    <row r="515" spans="1:68" s="56" customFormat="1" ht="41.25" hidden="1" customHeight="1">
      <c r="A515" s="204">
        <f>+IFERROR(VALUE(MID(AB515,4,4)),"")</f>
        <v>399</v>
      </c>
      <c r="B515" s="204">
        <f>VALUE(RIGHT(C515,LEN(C515)-2))</f>
        <v>2205</v>
      </c>
      <c r="C515" s="74" t="s">
        <v>2022</v>
      </c>
      <c r="D515" s="75">
        <v>45610</v>
      </c>
      <c r="E515" s="70" t="s">
        <v>473</v>
      </c>
      <c r="F515" s="70" t="s">
        <v>473</v>
      </c>
      <c r="G515" s="68" t="s">
        <v>1983</v>
      </c>
      <c r="H515" s="307" t="s">
        <v>1984</v>
      </c>
      <c r="I515" s="69" t="s">
        <v>2023</v>
      </c>
      <c r="J515" s="69"/>
      <c r="K515" s="68" t="s">
        <v>9</v>
      </c>
      <c r="L515" s="69" t="s">
        <v>129</v>
      </c>
      <c r="M515" s="71" t="s">
        <v>141</v>
      </c>
      <c r="N515" s="69" t="e" vm="1">
        <v>#VALUE!</v>
      </c>
      <c r="O515" s="164">
        <v>45611</v>
      </c>
      <c r="P515" s="72" t="s">
        <v>2024</v>
      </c>
      <c r="Q515" s="72" t="s">
        <v>694</v>
      </c>
      <c r="R515" s="162"/>
      <c r="S515" s="146"/>
      <c r="T515" s="68" t="s">
        <v>165</v>
      </c>
      <c r="U515" s="87"/>
      <c r="V515" s="183">
        <v>45614</v>
      </c>
      <c r="W515" s="73">
        <v>165</v>
      </c>
      <c r="X515" s="73">
        <v>6.9</v>
      </c>
      <c r="Y515" s="83">
        <f>IF(SUM(W515:W515)&gt;0,X515/SUM(W515:W515)*1000000,"N/A")</f>
        <v>41818.181818181823</v>
      </c>
      <c r="Z515" s="183"/>
      <c r="AA515" s="183"/>
      <c r="AB515" s="73" t="s">
        <v>2025</v>
      </c>
      <c r="AC515" s="153"/>
      <c r="AD515" s="331"/>
      <c r="AE515" s="57"/>
      <c r="AF515" s="88"/>
      <c r="AG515" s="182">
        <f>YEAR(V515)</f>
        <v>2024</v>
      </c>
      <c r="AH515" s="86" t="str">
        <f>+IF(AF515=$AI$22,MONTH(U515),"")</f>
        <v/>
      </c>
      <c r="AI515" s="86" t="str">
        <f>+IF(AG515=$AI$22,MONTH(V515),"")</f>
        <v/>
      </c>
      <c r="AJ515" s="86">
        <f>+IF(AG515=$AJ$22,MONTH(V515),"")</f>
        <v>11</v>
      </c>
      <c r="AK515" s="86" t="str">
        <f>+IF(AG515=$AK$22,MONTH(V515),"")</f>
        <v/>
      </c>
      <c r="AL515" s="86"/>
      <c r="AM515" s="89"/>
      <c r="AN515" s="89"/>
      <c r="AO515" s="89"/>
      <c r="AP515" s="89"/>
      <c r="AQ515" s="89"/>
      <c r="AR515" s="89"/>
      <c r="AS515" s="89"/>
      <c r="AT515" s="89"/>
      <c r="AU515" s="89"/>
      <c r="AV515" s="89"/>
      <c r="AW515" s="86" t="str">
        <f>+IF($AG515=AW$22,MONTH($D515),"")</f>
        <v/>
      </c>
      <c r="AX515" s="86" t="str">
        <f>+IF($AG515=AX$22,MONTH($D515),"")</f>
        <v/>
      </c>
      <c r="AY515" s="89"/>
      <c r="AZ515" s="89"/>
      <c r="BA515" s="89"/>
      <c r="BB515" s="89"/>
      <c r="BC515" s="89"/>
      <c r="BD515" s="89"/>
      <c r="BE515" s="89"/>
      <c r="BF515" s="89"/>
      <c r="BG515" s="89"/>
      <c r="BH515" s="89"/>
      <c r="BI515" s="89"/>
      <c r="BJ515" s="89"/>
      <c r="BK515" s="89"/>
      <c r="BL515" s="89"/>
      <c r="BM515" s="89"/>
      <c r="BN515" s="89"/>
      <c r="BO515" s="89"/>
      <c r="BP515" s="89"/>
    </row>
    <row r="516" spans="1:68" s="56" customFormat="1" ht="41.25" hidden="1" customHeight="1">
      <c r="A516" s="204">
        <f>+IFERROR(VALUE(MID(AB516,4,4)),"")</f>
        <v>408</v>
      </c>
      <c r="B516" s="204">
        <f>VALUE(RIGHT(C516,LEN(C516)-2))</f>
        <v>2204</v>
      </c>
      <c r="C516" s="74" t="s">
        <v>2026</v>
      </c>
      <c r="D516" s="75">
        <v>45607</v>
      </c>
      <c r="E516" s="70" t="s">
        <v>685</v>
      </c>
      <c r="F516" s="70" t="s">
        <v>685</v>
      </c>
      <c r="G516" s="68" t="s">
        <v>1682</v>
      </c>
      <c r="H516" s="282" t="s">
        <v>1683</v>
      </c>
      <c r="I516" s="162" t="s">
        <v>2027</v>
      </c>
      <c r="J516" s="162"/>
      <c r="K516" s="68" t="s">
        <v>944</v>
      </c>
      <c r="L516" s="69" t="s">
        <v>120</v>
      </c>
      <c r="M516" s="71" t="s">
        <v>141</v>
      </c>
      <c r="N516" s="69" t="e" vm="1">
        <v>#VALUE!</v>
      </c>
      <c r="O516" s="164">
        <v>45608</v>
      </c>
      <c r="P516" s="72" t="s">
        <v>228</v>
      </c>
      <c r="Q516" s="72" t="s">
        <v>240</v>
      </c>
      <c r="R516" s="162"/>
      <c r="S516" s="146"/>
      <c r="T516" s="68" t="s">
        <v>168</v>
      </c>
      <c r="U516" s="87"/>
      <c r="V516" s="183">
        <v>45609</v>
      </c>
      <c r="W516" s="73"/>
      <c r="X516" s="73"/>
      <c r="Y516" s="83" t="str">
        <f>IF(SUM(W516:W516)&gt;0,X516/SUM(W516:W516)*1000000,"N/A")</f>
        <v>N/A</v>
      </c>
      <c r="Z516" s="183"/>
      <c r="AA516" s="183"/>
      <c r="AB516" s="73" t="s">
        <v>2028</v>
      </c>
      <c r="AC516" s="153"/>
      <c r="AD516" s="331"/>
      <c r="AE516" s="57"/>
      <c r="AF516" s="88"/>
      <c r="AG516" s="182">
        <f>YEAR(V516)</f>
        <v>2024</v>
      </c>
      <c r="AH516" s="86" t="str">
        <f>+IF(AF516=$AI$22,MONTH(U516),"")</f>
        <v/>
      </c>
      <c r="AI516" s="86" t="str">
        <f>+IF(AG516=$AI$22,MONTH(V516),"")</f>
        <v/>
      </c>
      <c r="AJ516" s="86">
        <f>+IF(AG516=$AJ$22,MONTH(V516),"")</f>
        <v>11</v>
      </c>
      <c r="AK516" s="86" t="str">
        <f>+IF(AG516=$AK$22,MONTH(V516),"")</f>
        <v/>
      </c>
      <c r="AL516" s="86"/>
      <c r="AM516" s="89"/>
      <c r="AN516" s="89"/>
      <c r="AO516" s="89"/>
      <c r="AP516" s="89"/>
      <c r="AQ516" s="89"/>
      <c r="AR516" s="89"/>
      <c r="AS516" s="89"/>
      <c r="AT516" s="89"/>
      <c r="AU516" s="89"/>
      <c r="AV516" s="89"/>
      <c r="AW516" s="86" t="str">
        <f>+IF($AG516=AW$22,MONTH($D516),"")</f>
        <v/>
      </c>
      <c r="AX516" s="86" t="str">
        <f>+IF($AG516=AX$22,MONTH($D516),"")</f>
        <v/>
      </c>
      <c r="AY516" s="89"/>
      <c r="AZ516" s="89"/>
      <c r="BA516" s="89"/>
      <c r="BB516" s="89"/>
      <c r="BC516" s="89"/>
      <c r="BD516" s="89"/>
      <c r="BE516" s="89"/>
      <c r="BF516" s="89"/>
      <c r="BG516" s="89"/>
      <c r="BH516" s="89"/>
      <c r="BI516" s="89"/>
      <c r="BJ516" s="89"/>
      <c r="BK516" s="89"/>
      <c r="BL516" s="89"/>
      <c r="BM516" s="89"/>
      <c r="BN516" s="89"/>
      <c r="BO516" s="89"/>
      <c r="BP516" s="89"/>
    </row>
    <row r="517" spans="1:68" s="56" customFormat="1" ht="27" hidden="1" customHeight="1">
      <c r="A517" s="204">
        <f>+IFERROR(VALUE(MID(AB517,4,4)),"")</f>
        <v>399</v>
      </c>
      <c r="B517" s="204">
        <f>VALUE(RIGHT(C517,LEN(C517)-2))</f>
        <v>2203</v>
      </c>
      <c r="C517" s="74" t="s">
        <v>2029</v>
      </c>
      <c r="D517" s="75">
        <v>45608</v>
      </c>
      <c r="E517" s="70" t="s">
        <v>473</v>
      </c>
      <c r="F517" s="70" t="s">
        <v>473</v>
      </c>
      <c r="G517" s="68" t="s">
        <v>2030</v>
      </c>
      <c r="H517" s="307" t="s">
        <v>1984</v>
      </c>
      <c r="I517" s="162" t="s">
        <v>2031</v>
      </c>
      <c r="J517" s="162"/>
      <c r="K517" s="68" t="s">
        <v>944</v>
      </c>
      <c r="L517" s="69" t="s">
        <v>129</v>
      </c>
      <c r="M517" s="71" t="s">
        <v>141</v>
      </c>
      <c r="N517" s="69" t="e" vm="1">
        <v>#VALUE!</v>
      </c>
      <c r="O517" s="164">
        <v>45618</v>
      </c>
      <c r="P517" s="72" t="s">
        <v>377</v>
      </c>
      <c r="Q517" s="72" t="s">
        <v>694</v>
      </c>
      <c r="R517" s="162"/>
      <c r="S517" s="146" t="s">
        <v>2032</v>
      </c>
      <c r="T517" s="68" t="s">
        <v>168</v>
      </c>
      <c r="U517" s="87"/>
      <c r="V517" s="183">
        <v>45609</v>
      </c>
      <c r="W517" s="73"/>
      <c r="X517" s="73"/>
      <c r="Y517" s="83" t="str">
        <f>IF(SUM(W517:W517)&gt;0,X517/SUM(W517:W517)*1000000,"N/A")</f>
        <v>N/A</v>
      </c>
      <c r="Z517" s="183"/>
      <c r="AA517" s="183"/>
      <c r="AB517" s="73" t="s">
        <v>2033</v>
      </c>
      <c r="AC517" s="153"/>
      <c r="AD517" s="331"/>
      <c r="AE517" s="57"/>
      <c r="AF517" s="88"/>
      <c r="AG517" s="182">
        <f>YEAR(V517)</f>
        <v>2024</v>
      </c>
      <c r="AH517" s="86" t="str">
        <f>+IF(AF517=$AI$22,MONTH(U517),"")</f>
        <v/>
      </c>
      <c r="AI517" s="86" t="str">
        <f>+IF(AG517=$AI$22,MONTH(V517),"")</f>
        <v/>
      </c>
      <c r="AJ517" s="86">
        <f>+IF(AG517=$AJ$22,MONTH(V517),"")</f>
        <v>11</v>
      </c>
      <c r="AK517" s="86" t="str">
        <f>+IF(AG517=$AK$22,MONTH(V517),"")</f>
        <v/>
      </c>
      <c r="AL517" s="86"/>
      <c r="AM517" s="89"/>
      <c r="AN517" s="89"/>
      <c r="AO517" s="89"/>
      <c r="AP517" s="89"/>
      <c r="AQ517" s="89"/>
      <c r="AR517" s="89"/>
      <c r="AS517" s="89"/>
      <c r="AT517" s="89"/>
      <c r="AU517" s="89"/>
      <c r="AV517" s="89"/>
      <c r="AW517" s="86" t="str">
        <f>+IF($AG517=AW$22,MONTH($D517),"")</f>
        <v/>
      </c>
      <c r="AX517" s="86" t="str">
        <f>+IF($AG517=AX$22,MONTH($D517),"")</f>
        <v/>
      </c>
      <c r="AY517" s="89"/>
      <c r="AZ517" s="89"/>
      <c r="BA517" s="89"/>
      <c r="BB517" s="89"/>
      <c r="BC517" s="89"/>
      <c r="BD517" s="89"/>
      <c r="BE517" s="89"/>
      <c r="BF517" s="89"/>
      <c r="BG517" s="89"/>
      <c r="BH517" s="89"/>
      <c r="BI517" s="89"/>
      <c r="BJ517" s="89"/>
      <c r="BK517" s="89"/>
      <c r="BL517" s="89"/>
      <c r="BM517" s="89"/>
      <c r="BN517" s="89"/>
      <c r="BO517" s="89"/>
      <c r="BP517" s="89"/>
    </row>
    <row r="518" spans="1:68" s="351" customFormat="1" ht="46.5" hidden="1" customHeight="1">
      <c r="A518" s="204">
        <f>+IFERROR(VALUE(MID(AB518,4,4)),"")</f>
        <v>399</v>
      </c>
      <c r="B518" s="204">
        <f>VALUE(RIGHT(C518,LEN(C518)-2))</f>
        <v>2202</v>
      </c>
      <c r="C518" s="74" t="s">
        <v>2034</v>
      </c>
      <c r="D518" s="75">
        <v>45607</v>
      </c>
      <c r="E518" s="70" t="s">
        <v>473</v>
      </c>
      <c r="F518" s="70" t="s">
        <v>473</v>
      </c>
      <c r="G518" s="68" t="s">
        <v>1983</v>
      </c>
      <c r="H518" s="307" t="s">
        <v>1984</v>
      </c>
      <c r="I518" s="162" t="s">
        <v>2035</v>
      </c>
      <c r="J518" s="162"/>
      <c r="K518" s="68" t="s">
        <v>9</v>
      </c>
      <c r="L518" s="69" t="s">
        <v>129</v>
      </c>
      <c r="M518" s="71" t="s">
        <v>141</v>
      </c>
      <c r="N518" s="69" t="e" vm="1">
        <v>#VALUE!</v>
      </c>
      <c r="O518" s="164">
        <v>45609</v>
      </c>
      <c r="P518" s="72" t="s">
        <v>377</v>
      </c>
      <c r="Q518" s="72" t="s">
        <v>694</v>
      </c>
      <c r="R518" s="162"/>
      <c r="S518" s="146"/>
      <c r="T518" s="68" t="s">
        <v>158</v>
      </c>
      <c r="U518" s="87">
        <v>0.05</v>
      </c>
      <c r="V518" s="183">
        <v>45611</v>
      </c>
      <c r="W518" s="73">
        <v>1623</v>
      </c>
      <c r="X518" s="73">
        <v>85.7</v>
      </c>
      <c r="Y518" s="83">
        <f>IF(SUM(W518:W518)&gt;0,X518/SUM(W518:W518)*1000000,"N/A")</f>
        <v>52803.450400492919</v>
      </c>
      <c r="Z518" s="183"/>
      <c r="AA518" s="183"/>
      <c r="AB518" s="73" t="s">
        <v>2036</v>
      </c>
      <c r="AC518" s="153"/>
      <c r="AD518" s="331"/>
      <c r="AE518" s="57"/>
      <c r="AF518" s="88"/>
      <c r="AG518" s="182">
        <f>YEAR(V518)</f>
        <v>2024</v>
      </c>
      <c r="AH518" s="86" t="str">
        <f>+IF(AF518=$AI$22,MONTH(U518),"")</f>
        <v/>
      </c>
      <c r="AI518" s="86" t="str">
        <f>+IF(AG518=$AI$22,MONTH(V518),"")</f>
        <v/>
      </c>
      <c r="AJ518" s="86">
        <f>+IF(AG518=$AJ$22,MONTH(V518),"")</f>
        <v>11</v>
      </c>
      <c r="AK518" s="86" t="str">
        <f>+IF(AG518=$AK$22,MONTH(V518),"")</f>
        <v/>
      </c>
      <c r="AL518" s="86"/>
      <c r="AM518" s="89"/>
      <c r="AN518" s="89"/>
      <c r="AO518" s="89"/>
      <c r="AP518" s="89"/>
      <c r="AQ518" s="89"/>
      <c r="AR518" s="89"/>
      <c r="AS518" s="89"/>
      <c r="AT518" s="89"/>
      <c r="AU518" s="89"/>
      <c r="AV518" s="89"/>
      <c r="AW518" s="86" t="str">
        <f>+IF($AG518=AW$22,MONTH($D518),"")</f>
        <v/>
      </c>
      <c r="AX518" s="86" t="str">
        <f>+IF($AG518=AX$22,MONTH($D518),"")</f>
        <v/>
      </c>
      <c r="AY518" s="89"/>
      <c r="AZ518" s="89"/>
      <c r="BA518" s="89"/>
      <c r="BB518" s="89"/>
      <c r="BC518" s="89"/>
      <c r="BD518" s="89"/>
      <c r="BE518" s="89"/>
      <c r="BF518" s="89"/>
      <c r="BG518" s="89"/>
      <c r="BH518" s="89"/>
      <c r="BI518" s="89"/>
      <c r="BJ518" s="89"/>
      <c r="BK518" s="89"/>
      <c r="BL518" s="89"/>
      <c r="BM518" s="89"/>
      <c r="BN518" s="89"/>
      <c r="BO518" s="89"/>
      <c r="BP518" s="89"/>
    </row>
    <row r="519" spans="1:68" s="89" customFormat="1" ht="29.25" hidden="1" customHeight="1">
      <c r="A519" s="204">
        <f>+IFERROR(VALUE(MID(AB519,4,4)),"")</f>
        <v>399</v>
      </c>
      <c r="B519" s="204">
        <f>VALUE(RIGHT(C519,LEN(C519)-2))</f>
        <v>2201</v>
      </c>
      <c r="C519" s="74" t="s">
        <v>2037</v>
      </c>
      <c r="D519" s="75">
        <v>45607</v>
      </c>
      <c r="E519" s="70" t="s">
        <v>473</v>
      </c>
      <c r="F519" s="70" t="s">
        <v>473</v>
      </c>
      <c r="G519" s="68" t="s">
        <v>1983</v>
      </c>
      <c r="H519" s="307" t="s">
        <v>1984</v>
      </c>
      <c r="I519" s="162" t="s">
        <v>2038</v>
      </c>
      <c r="J519" s="162"/>
      <c r="K519" s="68" t="s">
        <v>9</v>
      </c>
      <c r="L519" s="68" t="s">
        <v>129</v>
      </c>
      <c r="M519" s="68" t="s">
        <v>141</v>
      </c>
      <c r="N519" s="69" t="e" vm="1">
        <v>#VALUE!</v>
      </c>
      <c r="O519" s="164">
        <v>45609</v>
      </c>
      <c r="P519" s="72" t="s">
        <v>377</v>
      </c>
      <c r="Q519" s="72" t="s">
        <v>694</v>
      </c>
      <c r="R519" s="162"/>
      <c r="S519" s="146"/>
      <c r="T519" s="68" t="s">
        <v>155</v>
      </c>
      <c r="U519" s="87"/>
      <c r="V519" s="183">
        <v>45607</v>
      </c>
      <c r="W519" s="73"/>
      <c r="X519" s="73"/>
      <c r="Y519" s="83" t="str">
        <f>IF(SUM(W519:W519)&gt;0,X519/SUM(W519:W519)*1000000,"N/A")</f>
        <v>N/A</v>
      </c>
      <c r="Z519" s="183"/>
      <c r="AA519" s="183"/>
      <c r="AB519" s="73" t="s">
        <v>2039</v>
      </c>
      <c r="AC519" s="153"/>
      <c r="AD519" s="331"/>
      <c r="AE519" s="57"/>
      <c r="AF519" s="88"/>
      <c r="AG519" s="182">
        <f>YEAR(V519)</f>
        <v>2024</v>
      </c>
      <c r="AH519" s="86" t="str">
        <f>+IF(AF519=$AI$22,MONTH(U519),"")</f>
        <v/>
      </c>
      <c r="AI519" s="86" t="str">
        <f>+IF(AG519=$AI$22,MONTH(V519),"")</f>
        <v/>
      </c>
      <c r="AJ519" s="86">
        <f>+IF(AG519=$AJ$22,MONTH(V519),"")</f>
        <v>11</v>
      </c>
      <c r="AK519" s="86" t="str">
        <f>+IF(AG519=$AK$22,MONTH(V519),"")</f>
        <v/>
      </c>
      <c r="AL519" s="86"/>
      <c r="AW519" s="86" t="str">
        <f>+IF($AG519=AW$22,MONTH($D519),"")</f>
        <v/>
      </c>
      <c r="AX519" s="86" t="str">
        <f>+IF($AG519=AX$22,MONTH($D519),"")</f>
        <v/>
      </c>
    </row>
    <row r="520" spans="1:68" s="56" customFormat="1" ht="27" hidden="1" customHeight="1">
      <c r="A520" s="204">
        <f>+IFERROR(VALUE(MID(AB520,4,4)),"")</f>
        <v>399</v>
      </c>
      <c r="B520" s="204">
        <f>VALUE(RIGHT(C520,LEN(C520)-2))</f>
        <v>2200</v>
      </c>
      <c r="C520" s="74" t="s">
        <v>2040</v>
      </c>
      <c r="D520" s="75">
        <v>45607</v>
      </c>
      <c r="E520" s="70" t="s">
        <v>473</v>
      </c>
      <c r="F520" s="70" t="s">
        <v>473</v>
      </c>
      <c r="G520" s="68" t="s">
        <v>1983</v>
      </c>
      <c r="H520" s="307" t="s">
        <v>1984</v>
      </c>
      <c r="I520" s="162" t="s">
        <v>2041</v>
      </c>
      <c r="J520" s="162"/>
      <c r="K520" s="68" t="s">
        <v>9</v>
      </c>
      <c r="L520" s="69" t="s">
        <v>129</v>
      </c>
      <c r="M520" s="71" t="s">
        <v>141</v>
      </c>
      <c r="N520" s="69" t="e" vm="1">
        <v>#VALUE!</v>
      </c>
      <c r="O520" s="164">
        <v>45609</v>
      </c>
      <c r="P520" s="72" t="s">
        <v>377</v>
      </c>
      <c r="Q520" s="72" t="s">
        <v>694</v>
      </c>
      <c r="R520" s="162"/>
      <c r="S520" s="146"/>
      <c r="T520" s="68" t="s">
        <v>155</v>
      </c>
      <c r="U520" s="87"/>
      <c r="V520" s="183">
        <v>45607</v>
      </c>
      <c r="W520" s="73"/>
      <c r="X520" s="73"/>
      <c r="Y520" s="83" t="str">
        <f>IF(SUM(W520:W520)&gt;0,X520/SUM(W520:W520)*1000000,"N/A")</f>
        <v>N/A</v>
      </c>
      <c r="Z520" s="183"/>
      <c r="AA520" s="183"/>
      <c r="AB520" s="73" t="s">
        <v>2042</v>
      </c>
      <c r="AC520" s="153"/>
      <c r="AD520" s="331"/>
      <c r="AE520" s="57"/>
      <c r="AF520" s="88"/>
      <c r="AG520" s="182">
        <f>YEAR(V520)</f>
        <v>2024</v>
      </c>
      <c r="AH520" s="86" t="str">
        <f>+IF(AF520=$AI$22,MONTH(U520),"")</f>
        <v/>
      </c>
      <c r="AI520" s="86" t="str">
        <f>+IF(AG520=$AI$22,MONTH(V520),"")</f>
        <v/>
      </c>
      <c r="AJ520" s="86">
        <f>+IF(AG520=$AJ$22,MONTH(V520),"")</f>
        <v>11</v>
      </c>
      <c r="AK520" s="86" t="str">
        <f>+IF(AG520=$AK$22,MONTH(V520),"")</f>
        <v/>
      </c>
      <c r="AL520" s="86"/>
      <c r="AM520" s="89"/>
      <c r="AN520" s="89"/>
      <c r="AO520" s="89"/>
      <c r="AP520" s="89"/>
      <c r="AQ520" s="89"/>
      <c r="AR520" s="89"/>
      <c r="AS520" s="89"/>
      <c r="AT520" s="89"/>
      <c r="AU520" s="89"/>
      <c r="AV520" s="89"/>
      <c r="AW520" s="86" t="str">
        <f>+IF($AG520=AW$22,MONTH($D520),"")</f>
        <v/>
      </c>
      <c r="AX520" s="86" t="str">
        <f>+IF($AG520=AX$22,MONTH($D520),"")</f>
        <v/>
      </c>
      <c r="AY520" s="89"/>
      <c r="AZ520" s="89"/>
      <c r="BA520" s="89"/>
      <c r="BB520" s="89"/>
      <c r="BC520" s="89"/>
      <c r="BD520" s="89"/>
      <c r="BE520" s="89"/>
      <c r="BF520" s="89"/>
      <c r="BG520" s="89"/>
      <c r="BH520" s="89"/>
      <c r="BI520" s="89"/>
      <c r="BJ520" s="89"/>
      <c r="BK520" s="89"/>
      <c r="BL520" s="89"/>
      <c r="BM520" s="89"/>
      <c r="BN520" s="89"/>
      <c r="BO520" s="89"/>
      <c r="BP520" s="89"/>
    </row>
    <row r="521" spans="1:68" s="351" customFormat="1" ht="45" hidden="1" customHeight="1">
      <c r="A521" s="204">
        <f>+IFERROR(VALUE(MID(AB521,4,4)),"")</f>
        <v>364</v>
      </c>
      <c r="B521" s="204">
        <f>VALUE(RIGHT(C521,LEN(C521)-2))</f>
        <v>2199</v>
      </c>
      <c r="C521" s="74" t="s">
        <v>2043</v>
      </c>
      <c r="D521" s="75">
        <v>45602</v>
      </c>
      <c r="E521" s="70" t="s">
        <v>262</v>
      </c>
      <c r="F521" s="70" t="s">
        <v>270</v>
      </c>
      <c r="G521" s="68" t="s">
        <v>1415</v>
      </c>
      <c r="H521" s="307" t="s">
        <v>494</v>
      </c>
      <c r="I521" s="69" t="s">
        <v>2044</v>
      </c>
      <c r="J521" s="69"/>
      <c r="K521" s="68" t="s">
        <v>9</v>
      </c>
      <c r="L521" s="69" t="s">
        <v>120</v>
      </c>
      <c r="M521" s="71" t="s">
        <v>141</v>
      </c>
      <c r="N521" s="69" t="e" vm="1">
        <v>#VALUE!</v>
      </c>
      <c r="O521" s="84">
        <v>45607</v>
      </c>
      <c r="P521" s="72" t="s">
        <v>2045</v>
      </c>
      <c r="Q521" s="72" t="s">
        <v>220</v>
      </c>
      <c r="R521" s="162"/>
      <c r="S521" s="146"/>
      <c r="T521" s="68" t="s">
        <v>3</v>
      </c>
      <c r="U521" s="87"/>
      <c r="V521" s="80">
        <v>45635</v>
      </c>
      <c r="W521" s="73">
        <v>3085</v>
      </c>
      <c r="X521" s="226">
        <v>168</v>
      </c>
      <c r="Y521" s="169">
        <f>IF(SUM(W521:W521)&gt;0,X521/SUM(W521:W521)*1000000,"N/A")</f>
        <v>54457.050243111829</v>
      </c>
      <c r="Z521" s="80"/>
      <c r="AA521" s="80"/>
      <c r="AB521" s="73" t="s">
        <v>2046</v>
      </c>
      <c r="AC521" s="153"/>
      <c r="AD521" s="330"/>
      <c r="AE521" s="305"/>
      <c r="AF521" s="88"/>
      <c r="AG521" s="182">
        <f>YEAR(D521)</f>
        <v>2024</v>
      </c>
      <c r="AH521" s="86" t="str">
        <f>+IF(AF521=$AI$22,MONTH(U521),"")</f>
        <v/>
      </c>
      <c r="AI521" s="86" t="str">
        <f>+IF(AG521=$AI$22,MONTH(V521),"")</f>
        <v/>
      </c>
      <c r="AJ521" s="86">
        <f>+IF(AG521=$AJ$22,MONTH(V521),"")</f>
        <v>12</v>
      </c>
      <c r="AK521" s="86" t="str">
        <f>+IF(AG521=$AK$22,MONTH(V521),"")</f>
        <v/>
      </c>
      <c r="AL521" s="86" t="str">
        <f>+IF(AG521=$AL$22,MONTH(V521),"")</f>
        <v/>
      </c>
      <c r="AM521" s="86" t="str">
        <f>+IF($AG521=$AM$22,MONTH($D521),"")</f>
        <v/>
      </c>
      <c r="AN521" s="89" t="str">
        <f>+IF($AG521=AN$22,MONTH($D521),"")</f>
        <v/>
      </c>
      <c r="AO521" s="89" t="str">
        <f>+IF($AG521=AO$22,MONTH($D521),"")</f>
        <v/>
      </c>
      <c r="AP521" s="89" t="str">
        <f>+IF($AG521=AP$22,MONTH($D521),"")</f>
        <v/>
      </c>
      <c r="AQ521" s="89" t="str">
        <f>+IF($AG521=AQ$22,MONTH($D521),"")</f>
        <v/>
      </c>
      <c r="AR521" s="89" t="str">
        <f>+IF($AG521=AR$22,MONTH($D521),"")</f>
        <v/>
      </c>
      <c r="AS521" s="89" t="str">
        <f>+IF($AG521=AS$22,MONTH($D521),"")</f>
        <v/>
      </c>
      <c r="AT521" s="89" t="str">
        <f>+IF($AG521=AT$22,MONTH($D521),"")</f>
        <v/>
      </c>
      <c r="AU521" s="89" t="str">
        <f>+IF($AG521=AU$22,MONTH($D521),"")</f>
        <v/>
      </c>
      <c r="AV521" s="89" t="str">
        <f>+IF($AG521=AV$22,MONTH($D521),"")</f>
        <v/>
      </c>
      <c r="AW521" s="86" t="str">
        <f>+IF($AG521=AW$22,MONTH($D521),"")</f>
        <v/>
      </c>
      <c r="AX521" s="86" t="str">
        <f>+IF($AG521=AX$22,MONTH($D521),"")</f>
        <v/>
      </c>
      <c r="AY521" s="89"/>
      <c r="AZ521" s="89"/>
      <c r="BA521" s="89"/>
      <c r="BB521" s="89"/>
      <c r="BC521" s="89"/>
      <c r="BD521" s="89"/>
      <c r="BE521" s="89"/>
      <c r="BF521" s="89"/>
      <c r="BG521" s="89"/>
      <c r="BH521" s="89"/>
      <c r="BI521" s="89"/>
      <c r="BJ521" s="89"/>
      <c r="BK521" s="89"/>
      <c r="BL521" s="89"/>
      <c r="BM521" s="89"/>
      <c r="BN521" s="89"/>
      <c r="BO521" s="89"/>
      <c r="BP521" s="89"/>
    </row>
    <row r="522" spans="1:68" s="89" customFormat="1" ht="44.25" hidden="1" customHeight="1">
      <c r="A522" s="204" t="str">
        <f>+IFERROR(VALUE(MID(AB522,4,4)),"")</f>
        <v/>
      </c>
      <c r="B522" s="204">
        <f>VALUE(RIGHT(C522,LEN(C522)-2))</f>
        <v>2198</v>
      </c>
      <c r="C522" s="74" t="s">
        <v>2047</v>
      </c>
      <c r="D522" s="75">
        <v>45603</v>
      </c>
      <c r="E522" s="70" t="s">
        <v>1195</v>
      </c>
      <c r="F522" s="70" t="s">
        <v>2048</v>
      </c>
      <c r="G522" s="68" t="s">
        <v>1196</v>
      </c>
      <c r="H522" s="282" t="s">
        <v>1197</v>
      </c>
      <c r="I522" s="162" t="s">
        <v>2049</v>
      </c>
      <c r="J522" s="162"/>
      <c r="K522" s="68" t="s">
        <v>9</v>
      </c>
      <c r="L522" s="68" t="s">
        <v>120</v>
      </c>
      <c r="M522" s="68" t="s">
        <v>141</v>
      </c>
      <c r="N522" s="69" t="e" vm="1">
        <v>#VALUE!</v>
      </c>
      <c r="O522" s="84">
        <v>45736</v>
      </c>
      <c r="P522" s="72" t="s">
        <v>289</v>
      </c>
      <c r="Q522" s="72" t="s">
        <v>259</v>
      </c>
      <c r="R522" s="162"/>
      <c r="S522" s="146"/>
      <c r="T522" s="68" t="s">
        <v>165</v>
      </c>
      <c r="U522" s="87"/>
      <c r="V522" s="183">
        <v>45827</v>
      </c>
      <c r="W522" s="73"/>
      <c r="X522" s="73"/>
      <c r="Y522" s="83" t="str">
        <f>IF(SUM(W522:W522)&gt;0,X522/SUM(W522:W522)*1000000,"N/A")</f>
        <v>N/A</v>
      </c>
      <c r="Z522" s="183"/>
      <c r="AA522" s="183"/>
      <c r="AB522" s="73"/>
      <c r="AC522" s="153"/>
      <c r="AD522" s="331"/>
      <c r="AE522" s="57"/>
      <c r="AF522" s="88"/>
      <c r="AG522" s="182">
        <f>YEAR(V522)</f>
        <v>2025</v>
      </c>
      <c r="AH522" s="86" t="str">
        <f>+IF(AF522=$AI$22,MONTH(U522),"")</f>
        <v/>
      </c>
      <c r="AI522" s="86">
        <f>+IF(AG522=$AI$22,MONTH(V522),"")</f>
        <v>6</v>
      </c>
      <c r="AJ522" s="86" t="str">
        <f>+IF(AG522=$AJ$22,MONTH(V522),"")</f>
        <v/>
      </c>
      <c r="AK522" s="86" t="str">
        <f>+IF(AG522=$AK$22,MONTH(V522),"")</f>
        <v/>
      </c>
      <c r="AL522" s="86"/>
      <c r="AW522" s="86" t="str">
        <f>+IF($AG522=AW$22,MONTH($D522),"")</f>
        <v/>
      </c>
      <c r="AX522" s="86" t="str">
        <f>+IF($AG522=AX$22,MONTH($D522),"")</f>
        <v/>
      </c>
    </row>
    <row r="523" spans="1:68" s="56" customFormat="1" ht="33" hidden="1" customHeight="1">
      <c r="A523" s="204" t="str">
        <f>+IFERROR(VALUE(MID(AB523,4,4)),"")</f>
        <v/>
      </c>
      <c r="B523" s="204">
        <f>VALUE(RIGHT(C523,LEN(C523)-2))</f>
        <v>2197</v>
      </c>
      <c r="C523" s="74" t="s">
        <v>2050</v>
      </c>
      <c r="D523" s="75">
        <v>45603</v>
      </c>
      <c r="E523" s="70" t="s">
        <v>479</v>
      </c>
      <c r="F523" s="70" t="s">
        <v>479</v>
      </c>
      <c r="G523" s="68" t="s">
        <v>2051</v>
      </c>
      <c r="H523" s="307" t="s">
        <v>2052</v>
      </c>
      <c r="I523" s="162" t="s">
        <v>2053</v>
      </c>
      <c r="J523" s="162"/>
      <c r="K523" s="68" t="s">
        <v>12</v>
      </c>
      <c r="L523" s="69" t="s">
        <v>129</v>
      </c>
      <c r="M523" s="71" t="s">
        <v>113</v>
      </c>
      <c r="N523" s="69" t="e" vm="2">
        <v>#VALUE!</v>
      </c>
      <c r="O523" s="164">
        <v>45603</v>
      </c>
      <c r="P523" s="72" t="s">
        <v>294</v>
      </c>
      <c r="Q523" s="72" t="s">
        <v>316</v>
      </c>
      <c r="R523" s="162"/>
      <c r="S523" s="146"/>
      <c r="T523" s="68" t="s">
        <v>165</v>
      </c>
      <c r="U523" s="90"/>
      <c r="V523" s="80">
        <v>45820</v>
      </c>
      <c r="W523" s="73">
        <v>1202</v>
      </c>
      <c r="X523" s="73">
        <f>+(268216.61*200)/1000000</f>
        <v>53.643321999999998</v>
      </c>
      <c r="Y523" s="83">
        <f>IF(SUM(W523:W523)&gt;0,X523/SUM(W523:W523)*1000000,"N/A")</f>
        <v>44628.38768718802</v>
      </c>
      <c r="Z523" s="183"/>
      <c r="AA523" s="183"/>
      <c r="AB523" s="73"/>
      <c r="AC523" s="153"/>
      <c r="AD523" s="330"/>
      <c r="AE523" s="305"/>
      <c r="AF523" s="88"/>
      <c r="AG523" s="182">
        <f>YEAR(V523)</f>
        <v>2025</v>
      </c>
      <c r="AH523" s="86" t="str">
        <f>+IF(AF523=$AI$22,MONTH(U523),"")</f>
        <v/>
      </c>
      <c r="AI523" s="86">
        <f>+IF(AG523=$AI$22,MONTH(V523),"")</f>
        <v>6</v>
      </c>
      <c r="AJ523" s="86" t="str">
        <f>+IF(AG523=$AJ$22,MONTH(V523),"")</f>
        <v/>
      </c>
      <c r="AK523" s="86" t="str">
        <f>+IF(AG523=$AK$22,MONTH(V523),"")</f>
        <v/>
      </c>
      <c r="AL523" s="86"/>
      <c r="AM523" s="89"/>
      <c r="AN523" s="89"/>
      <c r="AO523" s="89"/>
      <c r="AP523" s="89"/>
      <c r="AQ523" s="89"/>
      <c r="AR523" s="89"/>
      <c r="AS523" s="89"/>
      <c r="AT523" s="89"/>
      <c r="AU523" s="89"/>
      <c r="AV523" s="89"/>
      <c r="AW523" s="86" t="str">
        <f>+IF($AG523=AW$22,MONTH($D523),"")</f>
        <v/>
      </c>
      <c r="AX523" s="86" t="str">
        <f>+IF($AG523=AX$22,MONTH($D523),"")</f>
        <v/>
      </c>
      <c r="AY523" s="89"/>
      <c r="AZ523" s="89"/>
      <c r="BA523" s="89"/>
      <c r="BB523" s="89"/>
      <c r="BC523" s="89"/>
      <c r="BD523" s="89"/>
      <c r="BE523" s="89"/>
      <c r="BF523" s="89"/>
      <c r="BG523" s="89"/>
      <c r="BH523" s="89"/>
      <c r="BI523" s="89"/>
      <c r="BJ523" s="89"/>
      <c r="BK523" s="89"/>
      <c r="BL523" s="89"/>
      <c r="BM523" s="89"/>
      <c r="BN523" s="89"/>
      <c r="BO523" s="89"/>
      <c r="BP523" s="89"/>
    </row>
    <row r="524" spans="1:68" s="320" customFormat="1" ht="45.75" hidden="1" customHeight="1">
      <c r="A524" s="204">
        <f>+IFERROR(VALUE(MID(AB524,4,4)),"")</f>
        <v>399</v>
      </c>
      <c r="B524" s="204">
        <f>VALUE(RIGHT(C524,LEN(C524)-2))</f>
        <v>2196</v>
      </c>
      <c r="C524" s="74" t="s">
        <v>2054</v>
      </c>
      <c r="D524" s="75">
        <v>45601</v>
      </c>
      <c r="E524" s="70" t="s">
        <v>473</v>
      </c>
      <c r="F524" s="70" t="s">
        <v>473</v>
      </c>
      <c r="G524" s="68" t="s">
        <v>1983</v>
      </c>
      <c r="H524" s="307" t="s">
        <v>1984</v>
      </c>
      <c r="I524" s="162" t="s">
        <v>2055</v>
      </c>
      <c r="J524" s="162"/>
      <c r="K524" s="68" t="s">
        <v>12</v>
      </c>
      <c r="L524" s="69" t="s">
        <v>129</v>
      </c>
      <c r="M524" s="71" t="s">
        <v>141</v>
      </c>
      <c r="N524" s="69" t="e" vm="1">
        <v>#VALUE!</v>
      </c>
      <c r="O524" s="164">
        <v>45608</v>
      </c>
      <c r="P524" s="72" t="s">
        <v>377</v>
      </c>
      <c r="Q524" s="72" t="s">
        <v>694</v>
      </c>
      <c r="R524" s="162"/>
      <c r="S524" s="146" t="s">
        <v>2056</v>
      </c>
      <c r="T524" s="68" t="s">
        <v>168</v>
      </c>
      <c r="U524" s="87"/>
      <c r="V524" s="183">
        <v>45727</v>
      </c>
      <c r="W524" s="73">
        <v>3515</v>
      </c>
      <c r="X524" s="73">
        <v>158.77000000000001</v>
      </c>
      <c r="Y524" s="83">
        <f>IF(SUM(W524:W524)&gt;0,X524/SUM(W524:W524)*1000000,"N/A")</f>
        <v>45169.274537695594</v>
      </c>
      <c r="Z524" s="183"/>
      <c r="AA524" s="183"/>
      <c r="AB524" s="73" t="s">
        <v>2057</v>
      </c>
      <c r="AC524" s="153"/>
      <c r="AD524" s="331"/>
      <c r="AE524" s="57"/>
      <c r="AF524" s="88"/>
      <c r="AG524" s="182">
        <f>YEAR(V524)</f>
        <v>2025</v>
      </c>
      <c r="AH524" s="86" t="str">
        <f>+IF(AF524=$AI$22,MONTH(U524),"")</f>
        <v/>
      </c>
      <c r="AI524" s="86">
        <f>+IF(AG524=$AI$22,MONTH(V524),"")</f>
        <v>3</v>
      </c>
      <c r="AJ524" s="86" t="str">
        <f>+IF(AG524=$AJ$22,MONTH(V524),"")</f>
        <v/>
      </c>
      <c r="AK524" s="86" t="str">
        <f>+IF(AG524=$AK$22,MONTH(V524),"")</f>
        <v/>
      </c>
      <c r="AL524" s="86"/>
      <c r="AM524" s="89"/>
      <c r="AN524" s="89"/>
      <c r="AO524" s="89"/>
      <c r="AP524" s="89"/>
      <c r="AQ524" s="89"/>
      <c r="AR524" s="89"/>
      <c r="AS524" s="89"/>
      <c r="AT524" s="89"/>
      <c r="AU524" s="89"/>
      <c r="AV524" s="89"/>
      <c r="AW524" s="86" t="str">
        <f>+IF($AG524=AW$22,MONTH($D524),"")</f>
        <v/>
      </c>
      <c r="AX524" s="86" t="str">
        <f>+IF($AG524=AX$22,MONTH($D524),"")</f>
        <v/>
      </c>
      <c r="AY524" s="89"/>
      <c r="AZ524" s="89"/>
      <c r="BA524" s="89"/>
      <c r="BB524" s="89"/>
      <c r="BC524" s="89"/>
      <c r="BD524" s="89"/>
      <c r="BE524" s="89"/>
      <c r="BF524" s="89"/>
      <c r="BG524" s="89"/>
      <c r="BH524" s="89"/>
      <c r="BI524" s="89"/>
      <c r="BJ524" s="89"/>
      <c r="BK524" s="89"/>
      <c r="BL524" s="89"/>
      <c r="BM524" s="89"/>
      <c r="BN524" s="89"/>
      <c r="BO524" s="89"/>
      <c r="BP524" s="89"/>
    </row>
    <row r="525" spans="1:68" s="56" customFormat="1" ht="32.25" hidden="1" customHeight="1">
      <c r="A525" s="204" t="str">
        <f>+IFERROR(VALUE(MID(AB525,4,4)),"")</f>
        <v/>
      </c>
      <c r="B525" s="204">
        <f>VALUE(RIGHT(C525,LEN(C525)-2))</f>
        <v>2195</v>
      </c>
      <c r="C525" s="74" t="s">
        <v>2058</v>
      </c>
      <c r="D525" s="75">
        <v>45601</v>
      </c>
      <c r="E525" s="70" t="s">
        <v>479</v>
      </c>
      <c r="F525" s="70" t="s">
        <v>479</v>
      </c>
      <c r="G525" s="68" t="s">
        <v>2059</v>
      </c>
      <c r="H525" s="307" t="s">
        <v>2060</v>
      </c>
      <c r="I525" s="162" t="s">
        <v>2061</v>
      </c>
      <c r="J525" s="162"/>
      <c r="K525" s="68" t="s">
        <v>9</v>
      </c>
      <c r="L525" s="69" t="s">
        <v>129</v>
      </c>
      <c r="M525" s="71" t="s">
        <v>113</v>
      </c>
      <c r="N525" s="69" t="e" vm="2">
        <v>#VALUE!</v>
      </c>
      <c r="O525" s="164">
        <v>45673</v>
      </c>
      <c r="P525" s="72" t="s">
        <v>294</v>
      </c>
      <c r="Q525" s="72" t="s">
        <v>316</v>
      </c>
      <c r="R525" s="162"/>
      <c r="S525" s="146"/>
      <c r="T525" s="68" t="s">
        <v>165</v>
      </c>
      <c r="U525" s="87"/>
      <c r="V525" s="183">
        <v>45820</v>
      </c>
      <c r="W525" s="73">
        <v>2120</v>
      </c>
      <c r="X525" s="73">
        <v>68.900000000000006</v>
      </c>
      <c r="Y525" s="83">
        <f>IF(SUM(W525:W525)&gt;0,X525/SUM(W525:W525)*1000000,"N/A")</f>
        <v>32500</v>
      </c>
      <c r="Z525" s="183"/>
      <c r="AA525" s="183"/>
      <c r="AB525" s="73"/>
      <c r="AC525" s="153"/>
      <c r="AD525" s="330"/>
      <c r="AE525" s="305"/>
      <c r="AF525" s="88"/>
      <c r="AG525" s="182">
        <f>YEAR(V525)</f>
        <v>2025</v>
      </c>
      <c r="AH525" s="86" t="str">
        <f>+IF(AF525=$AI$22,MONTH(U525),"")</f>
        <v/>
      </c>
      <c r="AI525" s="86">
        <f>+IF(AG525=$AI$22,MONTH(V525),"")</f>
        <v>6</v>
      </c>
      <c r="AJ525" s="86" t="str">
        <f>+IF(AG525=$AJ$22,MONTH(V525),"")</f>
        <v/>
      </c>
      <c r="AK525" s="86" t="str">
        <f>+IF(AG525=$AK$22,MONTH(V525),"")</f>
        <v/>
      </c>
      <c r="AL525" s="86"/>
      <c r="AM525" s="89"/>
      <c r="AN525" s="89"/>
      <c r="AO525" s="89"/>
      <c r="AP525" s="89"/>
      <c r="AQ525" s="89"/>
      <c r="AR525" s="89"/>
      <c r="AS525" s="89"/>
      <c r="AT525" s="89"/>
      <c r="AU525" s="89"/>
      <c r="AV525" s="89"/>
      <c r="AW525" s="86" t="str">
        <f>+IF($AG525=AW$22,MONTH($D525),"")</f>
        <v/>
      </c>
      <c r="AX525" s="86" t="str">
        <f>+IF($AG525=AX$22,MONTH($D525),"")</f>
        <v/>
      </c>
      <c r="AY525" s="89"/>
      <c r="AZ525" s="89"/>
      <c r="BA525" s="89"/>
      <c r="BB525" s="89"/>
      <c r="BC525" s="89"/>
      <c r="BD525" s="89"/>
      <c r="BE525" s="89"/>
      <c r="BF525" s="89"/>
      <c r="BG525" s="89"/>
      <c r="BH525" s="89"/>
      <c r="BI525" s="89"/>
      <c r="BJ525" s="89"/>
      <c r="BK525" s="89"/>
      <c r="BL525" s="89"/>
      <c r="BM525" s="89"/>
      <c r="BN525" s="89"/>
      <c r="BO525" s="89"/>
      <c r="BP525" s="89"/>
    </row>
    <row r="526" spans="1:68" s="89" customFormat="1" ht="31.5" hidden="1" customHeight="1">
      <c r="A526" s="204" t="str">
        <f>+IFERROR(VALUE(MID(AB526,4,4)),"")</f>
        <v/>
      </c>
      <c r="B526" s="204">
        <f>VALUE(RIGHT(C526,LEN(C526)-2))</f>
        <v>2194</v>
      </c>
      <c r="C526" s="74" t="s">
        <v>2062</v>
      </c>
      <c r="D526" s="75">
        <v>45601</v>
      </c>
      <c r="E526" s="70" t="s">
        <v>53</v>
      </c>
      <c r="F526" s="70" t="s">
        <v>313</v>
      </c>
      <c r="G526" s="68" t="s">
        <v>210</v>
      </c>
      <c r="H526" s="304" t="s">
        <v>210</v>
      </c>
      <c r="I526" s="162" t="s">
        <v>2063</v>
      </c>
      <c r="J526" s="162"/>
      <c r="K526" s="68" t="s">
        <v>14</v>
      </c>
      <c r="L526" s="68" t="s">
        <v>123</v>
      </c>
      <c r="M526" s="68" t="s">
        <v>141</v>
      </c>
      <c r="N526" s="69" t="e" vm="1">
        <v>#VALUE!</v>
      </c>
      <c r="O526" s="164">
        <v>45643</v>
      </c>
      <c r="P526" s="72" t="s">
        <v>377</v>
      </c>
      <c r="Q526" s="72" t="s">
        <v>316</v>
      </c>
      <c r="R526" s="162"/>
      <c r="S526" s="146"/>
      <c r="T526" s="68" t="s">
        <v>155</v>
      </c>
      <c r="U526" s="87"/>
      <c r="V526" s="183">
        <v>45601</v>
      </c>
      <c r="W526" s="73"/>
      <c r="X526" s="73"/>
      <c r="Y526" s="83" t="str">
        <f>IF(SUM(W526:W526)&gt;0,X526/SUM(W526:W526)*1000000,"N/A")</f>
        <v>N/A</v>
      </c>
      <c r="Z526" s="183"/>
      <c r="AA526" s="183"/>
      <c r="AB526" s="73"/>
      <c r="AC526" s="153"/>
      <c r="AD526" s="330"/>
      <c r="AE526" s="305"/>
      <c r="AF526" s="88"/>
      <c r="AG526" s="182">
        <f>YEAR(V526)</f>
        <v>2024</v>
      </c>
      <c r="AH526" s="86" t="str">
        <f>+IF(AF526=$AI$22,MONTH(U526),"")</f>
        <v/>
      </c>
      <c r="AI526" s="86" t="str">
        <f>+IF(AG526=$AI$22,MONTH(V526),"")</f>
        <v/>
      </c>
      <c r="AJ526" s="86">
        <f>+IF(AG526=$AJ$22,MONTH(V526),"")</f>
        <v>11</v>
      </c>
      <c r="AK526" s="86" t="str">
        <f>+IF(AG526=$AK$22,MONTH(V526),"")</f>
        <v/>
      </c>
      <c r="AL526" s="86"/>
      <c r="AW526" s="86" t="str">
        <f>+IF($AG526=AW$22,MONTH($D526),"")</f>
        <v/>
      </c>
      <c r="AX526" s="86" t="str">
        <f>+IF($AG526=AX$22,MONTH($D526),"")</f>
        <v/>
      </c>
    </row>
    <row r="527" spans="1:68" s="56" customFormat="1" ht="30" hidden="1" customHeight="1">
      <c r="A527" s="204" t="str">
        <f>+IFERROR(VALUE(MID(AB527,4,4)),"")</f>
        <v/>
      </c>
      <c r="B527" s="204">
        <f>VALUE(RIGHT(C527,LEN(C527)-2))</f>
        <v>2193</v>
      </c>
      <c r="C527" s="74" t="s">
        <v>2064</v>
      </c>
      <c r="D527" s="75">
        <v>45601</v>
      </c>
      <c r="E527" s="70" t="s">
        <v>353</v>
      </c>
      <c r="F527" s="70" t="s">
        <v>2065</v>
      </c>
      <c r="G527" s="68" t="s">
        <v>2066</v>
      </c>
      <c r="H527" s="282" t="s">
        <v>2067</v>
      </c>
      <c r="I527" s="162" t="s">
        <v>2068</v>
      </c>
      <c r="J527" s="162"/>
      <c r="K527" s="68" t="s">
        <v>13</v>
      </c>
      <c r="L527" s="69" t="s">
        <v>123</v>
      </c>
      <c r="M527" s="71" t="s">
        <v>141</v>
      </c>
      <c r="N527" s="69" t="e" vm="1">
        <v>#VALUE!</v>
      </c>
      <c r="O527" s="164">
        <v>45625</v>
      </c>
      <c r="P527" s="72" t="s">
        <v>1154</v>
      </c>
      <c r="Q527" s="72" t="s">
        <v>259</v>
      </c>
      <c r="R527" s="162"/>
      <c r="S527" s="146"/>
      <c r="T527" s="68" t="s">
        <v>168</v>
      </c>
      <c r="U527" s="87"/>
      <c r="V527" s="183">
        <v>45867</v>
      </c>
      <c r="W527" s="73">
        <v>27767</v>
      </c>
      <c r="X527" s="73">
        <v>1327</v>
      </c>
      <c r="Y527" s="83">
        <f>IF(SUM(W527:W527)&gt;0,X527/SUM(W527:W527)*1000000,"N/A")</f>
        <v>47790.542730579466</v>
      </c>
      <c r="Z527" s="183"/>
      <c r="AA527" s="183"/>
      <c r="AB527" s="73"/>
      <c r="AC527" s="153"/>
      <c r="AD527" s="331"/>
      <c r="AE527" s="57"/>
      <c r="AF527" s="88"/>
      <c r="AG527" s="182">
        <f>YEAR(V527)</f>
        <v>2025</v>
      </c>
      <c r="AH527" s="86" t="str">
        <f>+IF(AF527=$AI$22,MONTH(U527),"")</f>
        <v/>
      </c>
      <c r="AI527" s="86">
        <f>+IF(AG527=$AI$22,MONTH(V527),"")</f>
        <v>7</v>
      </c>
      <c r="AJ527" s="86" t="str">
        <f>+IF(AG527=$AJ$22,MONTH(V527),"")</f>
        <v/>
      </c>
      <c r="AK527" s="86" t="str">
        <f>+IF(AG527=$AK$22,MONTH(V527),"")</f>
        <v/>
      </c>
      <c r="AL527" s="86"/>
      <c r="AM527" s="89"/>
      <c r="AN527" s="89"/>
      <c r="AO527" s="89"/>
      <c r="AP527" s="89"/>
      <c r="AQ527" s="89"/>
      <c r="AR527" s="89"/>
      <c r="AS527" s="89"/>
      <c r="AT527" s="89"/>
      <c r="AU527" s="89"/>
      <c r="AV527" s="89"/>
      <c r="AW527" s="86" t="str">
        <f>+IF($AG527=AW$22,MONTH($D527),"")</f>
        <v/>
      </c>
      <c r="AX527" s="86" t="str">
        <f>+IF($AG527=AX$22,MONTH($D527),"")</f>
        <v/>
      </c>
      <c r="AY527" s="89"/>
      <c r="AZ527" s="89"/>
      <c r="BA527" s="89"/>
      <c r="BB527" s="89"/>
      <c r="BC527" s="89"/>
      <c r="BD527" s="89"/>
      <c r="BE527" s="89"/>
      <c r="BF527" s="89"/>
      <c r="BG527" s="89"/>
      <c r="BH527" s="89"/>
      <c r="BI527" s="89"/>
      <c r="BJ527" s="89"/>
      <c r="BK527" s="89"/>
      <c r="BL527" s="89"/>
      <c r="BM527" s="89"/>
      <c r="BN527" s="89"/>
      <c r="BO527" s="89"/>
      <c r="BP527" s="89"/>
    </row>
    <row r="528" spans="1:68" s="56" customFormat="1" ht="42" hidden="1" customHeight="1">
      <c r="A528" s="204" t="str">
        <f>+IFERROR(VALUE(MID(AB528,4,4)),"")</f>
        <v/>
      </c>
      <c r="B528" s="204">
        <f>VALUE(RIGHT(C528,LEN(C528)-2))</f>
        <v>2192</v>
      </c>
      <c r="C528" s="74" t="s">
        <v>2069</v>
      </c>
      <c r="D528" s="75">
        <v>45601</v>
      </c>
      <c r="E528" s="70" t="s">
        <v>353</v>
      </c>
      <c r="F528" s="70" t="s">
        <v>2065</v>
      </c>
      <c r="G528" s="68" t="s">
        <v>2066</v>
      </c>
      <c r="H528" s="282" t="s">
        <v>2067</v>
      </c>
      <c r="I528" s="162" t="s">
        <v>2070</v>
      </c>
      <c r="J528" s="162"/>
      <c r="K528" s="68" t="s">
        <v>13</v>
      </c>
      <c r="L528" s="69" t="s">
        <v>123</v>
      </c>
      <c r="M528" s="71" t="s">
        <v>141</v>
      </c>
      <c r="N528" s="69" t="e" vm="1">
        <v>#VALUE!</v>
      </c>
      <c r="O528" s="164">
        <v>45628</v>
      </c>
      <c r="P528" s="72" t="s">
        <v>701</v>
      </c>
      <c r="Q528" s="72" t="s">
        <v>229</v>
      </c>
      <c r="R528" s="162"/>
      <c r="S528" s="146"/>
      <c r="T528" s="68" t="s">
        <v>168</v>
      </c>
      <c r="U528" s="87"/>
      <c r="V528" s="183">
        <v>45601</v>
      </c>
      <c r="W528" s="73"/>
      <c r="X528" s="73"/>
      <c r="Y528" s="83" t="str">
        <f>IF(SUM(W528:W528)&gt;0,X528/SUM(W528:W528)*1000000,"N/A")</f>
        <v>N/A</v>
      </c>
      <c r="Z528" s="183"/>
      <c r="AA528" s="183"/>
      <c r="AB528" s="73"/>
      <c r="AC528" s="153"/>
      <c r="AD528" s="331"/>
      <c r="AE528" s="57"/>
      <c r="AF528" s="88"/>
      <c r="AG528" s="182">
        <f>YEAR(V528)</f>
        <v>2024</v>
      </c>
      <c r="AH528" s="86" t="str">
        <f>+IF(AF528=$AI$22,MONTH(U528),"")</f>
        <v/>
      </c>
      <c r="AI528" s="86" t="str">
        <f>+IF(AG528=$AI$22,MONTH(V528),"")</f>
        <v/>
      </c>
      <c r="AJ528" s="86">
        <f>+IF(AG528=$AJ$22,MONTH(V528),"")</f>
        <v>11</v>
      </c>
      <c r="AK528" s="86" t="str">
        <f>+IF(AG528=$AK$22,MONTH(V528),"")</f>
        <v/>
      </c>
      <c r="AL528" s="86"/>
      <c r="AM528" s="89"/>
      <c r="AN528" s="89"/>
      <c r="AO528" s="89"/>
      <c r="AP528" s="89"/>
      <c r="AQ528" s="89"/>
      <c r="AR528" s="89"/>
      <c r="AS528" s="89"/>
      <c r="AT528" s="89"/>
      <c r="AU528" s="89"/>
      <c r="AV528" s="89"/>
      <c r="AW528" s="86" t="str">
        <f>+IF($AG528=AW$22,MONTH($D528),"")</f>
        <v/>
      </c>
      <c r="AX528" s="86" t="str">
        <f>+IF($AG528=AX$22,MONTH($D528),"")</f>
        <v/>
      </c>
      <c r="AY528" s="89"/>
      <c r="AZ528" s="89"/>
      <c r="BA528" s="89"/>
      <c r="BB528" s="89"/>
      <c r="BC528" s="89"/>
      <c r="BD528" s="89"/>
      <c r="BE528" s="89"/>
      <c r="BF528" s="89"/>
      <c r="BG528" s="89"/>
      <c r="BH528" s="89"/>
      <c r="BI528" s="89"/>
      <c r="BJ528" s="89"/>
      <c r="BK528" s="89"/>
      <c r="BL528" s="89"/>
      <c r="BM528" s="89"/>
      <c r="BN528" s="89"/>
      <c r="BO528" s="89"/>
      <c r="BP528" s="89"/>
    </row>
    <row r="529" spans="1:68" s="303" customFormat="1" ht="30.75" hidden="1" customHeight="1">
      <c r="A529" s="204">
        <f>+IFERROR(VALUE(MID(AB529,4,4)),"")</f>
        <v>422</v>
      </c>
      <c r="B529" s="204">
        <v>2191</v>
      </c>
      <c r="C529" s="74" t="s">
        <v>2071</v>
      </c>
      <c r="D529" s="75">
        <v>45589</v>
      </c>
      <c r="E529" s="70" t="s">
        <v>51</v>
      </c>
      <c r="F529" s="70" t="s">
        <v>51</v>
      </c>
      <c r="G529" s="68" t="s">
        <v>2072</v>
      </c>
      <c r="H529" s="282"/>
      <c r="I529" s="69" t="s">
        <v>2073</v>
      </c>
      <c r="J529" s="69"/>
      <c r="K529" s="68" t="s">
        <v>13</v>
      </c>
      <c r="L529" s="69" t="s">
        <v>120</v>
      </c>
      <c r="M529" s="71" t="s">
        <v>141</v>
      </c>
      <c r="N529" s="69" t="e" vm="1">
        <v>#VALUE!</v>
      </c>
      <c r="O529" s="84">
        <v>45631</v>
      </c>
      <c r="P529" s="72" t="s">
        <v>666</v>
      </c>
      <c r="Q529" s="72" t="s">
        <v>623</v>
      </c>
      <c r="R529" s="162"/>
      <c r="S529" s="146"/>
      <c r="T529" s="68" t="s">
        <v>3</v>
      </c>
      <c r="U529" s="87"/>
      <c r="V529" s="183">
        <v>45646</v>
      </c>
      <c r="W529" s="73">
        <v>1350</v>
      </c>
      <c r="X529" s="150">
        <f>1682*38400/1000000</f>
        <v>64.588800000000006</v>
      </c>
      <c r="Y529" s="83">
        <f>IF(SUM(W529:W529)&gt;0,X529/SUM(W529:W529)*1000000,"N/A")</f>
        <v>47843.555555555562</v>
      </c>
      <c r="Z529" s="183"/>
      <c r="AA529" s="183"/>
      <c r="AB529" s="73" t="s">
        <v>2074</v>
      </c>
      <c r="AC529" s="153"/>
      <c r="AD529" s="331"/>
      <c r="AE529" s="57"/>
      <c r="AF529" s="88"/>
      <c r="AG529" s="182">
        <f>YEAR(V529)</f>
        <v>2024</v>
      </c>
      <c r="AH529" s="86" t="str">
        <f>+IF(AF529=$AI$22,MONTH(U529),"")</f>
        <v/>
      </c>
      <c r="AI529" s="86" t="str">
        <f>+IF(AG529=$AI$22,MONTH(V529),"")</f>
        <v/>
      </c>
      <c r="AJ529" s="86">
        <f>+IF(AG529=$AJ$22,MONTH(V529),"")</f>
        <v>12</v>
      </c>
      <c r="AK529" s="86" t="str">
        <f>+IF(AG529=$AK$22,MONTH(V529),"")</f>
        <v/>
      </c>
      <c r="AL529" s="86" t="str">
        <f>+IF(AG529=$AL$22,MONTH(V529),"")</f>
        <v/>
      </c>
      <c r="AM529" s="86" t="str">
        <f>+IF($AG529=$AM$22,MONTH($D529),"")</f>
        <v/>
      </c>
      <c r="AN529" s="89" t="str">
        <f>+IF($AG529=AN$22,MONTH($D529),"")</f>
        <v/>
      </c>
      <c r="AO529" s="89" t="str">
        <f>+IF($AG529=AO$22,MONTH($D529),"")</f>
        <v/>
      </c>
      <c r="AP529" s="89" t="str">
        <f>+IF($AG529=AP$22,MONTH($D529),"")</f>
        <v/>
      </c>
      <c r="AQ529" s="89" t="str">
        <f>+IF($AG529=AQ$22,MONTH($D529),"")</f>
        <v/>
      </c>
      <c r="AR529" s="89" t="str">
        <f>+IF($AG529=AR$22,MONTH($D529),"")</f>
        <v/>
      </c>
      <c r="AS529" s="89" t="str">
        <f>+IF($AG529=AS$22,MONTH($D529),"")</f>
        <v/>
      </c>
      <c r="AT529" s="89" t="str">
        <f>+IF($AG529=AT$22,MONTH($D529),"")</f>
        <v/>
      </c>
      <c r="AU529" s="89" t="str">
        <f>+IF($AG529=AU$22,MONTH($D529),"")</f>
        <v/>
      </c>
      <c r="AV529" s="89" t="str">
        <f>+IF($AG529=AV$22,MONTH($D529),"")</f>
        <v/>
      </c>
      <c r="AW529" s="86" t="str">
        <f>+IF($AG529=AW$22,MONTH($D529),"")</f>
        <v/>
      </c>
      <c r="AX529" s="86" t="str">
        <f>+IF($AG529=AX$22,MONTH($D529),"")</f>
        <v/>
      </c>
      <c r="AY529" s="89"/>
      <c r="AZ529" s="89"/>
      <c r="BA529" s="89"/>
      <c r="BB529" s="89"/>
      <c r="BC529" s="89"/>
      <c r="BD529" s="89"/>
      <c r="BE529" s="89"/>
      <c r="BF529" s="89"/>
      <c r="BG529" s="89"/>
      <c r="BH529" s="89"/>
      <c r="BI529" s="89"/>
      <c r="BJ529" s="89"/>
      <c r="BK529" s="89"/>
      <c r="BL529" s="89"/>
      <c r="BM529" s="89"/>
      <c r="BN529" s="89"/>
      <c r="BO529" s="89"/>
      <c r="BP529" s="89"/>
    </row>
    <row r="530" spans="1:68" s="56" customFormat="1" ht="28.5" hidden="1" customHeight="1">
      <c r="A530" s="204">
        <f>+IFERROR(VALUE(MID(AB530,4,4)),"")</f>
        <v>414</v>
      </c>
      <c r="B530" s="204">
        <f>VALUE(RIGHT(C530,LEN(C530)-2))</f>
        <v>2191</v>
      </c>
      <c r="C530" s="74" t="s">
        <v>2075</v>
      </c>
      <c r="D530" s="75">
        <v>45589</v>
      </c>
      <c r="E530" s="70" t="s">
        <v>51</v>
      </c>
      <c r="F530" s="70" t="s">
        <v>51</v>
      </c>
      <c r="G530" s="68" t="s">
        <v>2072</v>
      </c>
      <c r="H530" s="282"/>
      <c r="I530" s="69" t="s">
        <v>2076</v>
      </c>
      <c r="J530" s="69"/>
      <c r="K530" s="68" t="s">
        <v>11</v>
      </c>
      <c r="L530" s="69" t="s">
        <v>120</v>
      </c>
      <c r="M530" s="71" t="s">
        <v>141</v>
      </c>
      <c r="N530" s="69" t="e" vm="1">
        <v>#VALUE!</v>
      </c>
      <c r="O530" s="84">
        <v>45593</v>
      </c>
      <c r="P530" s="72" t="s">
        <v>666</v>
      </c>
      <c r="Q530" s="72" t="s">
        <v>623</v>
      </c>
      <c r="R530" s="162"/>
      <c r="S530" s="146"/>
      <c r="T530" s="68" t="s">
        <v>3</v>
      </c>
      <c r="U530" s="87"/>
      <c r="V530" s="183">
        <v>45628</v>
      </c>
      <c r="W530" s="73">
        <v>988</v>
      </c>
      <c r="X530" s="150">
        <f>1177*37989/1000000</f>
        <v>44.713053000000002</v>
      </c>
      <c r="Y530" s="83">
        <f>IF(SUM(W530:W530)&gt;0,X530/SUM(W530:W530)*1000000,"N/A")</f>
        <v>45256.126518218625</v>
      </c>
      <c r="Z530" s="183"/>
      <c r="AA530" s="183"/>
      <c r="AB530" s="73" t="s">
        <v>2077</v>
      </c>
      <c r="AC530" s="153"/>
      <c r="AD530" s="331"/>
      <c r="AE530" s="57"/>
      <c r="AF530" s="88"/>
      <c r="AG530" s="182">
        <f>YEAR(V530)</f>
        <v>2024</v>
      </c>
      <c r="AH530" s="86" t="str">
        <f>+IF(AF530=$AI$22,MONTH(U530),"")</f>
        <v/>
      </c>
      <c r="AI530" s="86" t="str">
        <f>+IF(AG530=$AI$22,MONTH(V530),"")</f>
        <v/>
      </c>
      <c r="AJ530" s="86">
        <f>+IF(AG530=$AJ$22,MONTH(V530),"")</f>
        <v>12</v>
      </c>
      <c r="AK530" s="86" t="str">
        <f>+IF(AG530=$AK$22,MONTH(V530),"")</f>
        <v/>
      </c>
      <c r="AL530" s="86" t="str">
        <f>+IF(AG530=$AL$22,MONTH(V530),"")</f>
        <v/>
      </c>
      <c r="AM530" s="86" t="str">
        <f>+IF($AG530=$AM$22,MONTH($D530),"")</f>
        <v/>
      </c>
      <c r="AN530" s="89" t="str">
        <f>+IF($AG530=AN$22,MONTH($D530),"")</f>
        <v/>
      </c>
      <c r="AO530" s="89" t="str">
        <f>+IF($AG530=AO$22,MONTH($D530),"")</f>
        <v/>
      </c>
      <c r="AP530" s="89" t="str">
        <f>+IF($AG530=AP$22,MONTH($D530),"")</f>
        <v/>
      </c>
      <c r="AQ530" s="89" t="str">
        <f>+IF($AG530=AQ$22,MONTH($D530),"")</f>
        <v/>
      </c>
      <c r="AR530" s="89" t="str">
        <f>+IF($AG530=AR$22,MONTH($D530),"")</f>
        <v/>
      </c>
      <c r="AS530" s="89" t="str">
        <f>+IF($AG530=AS$22,MONTH($D530),"")</f>
        <v/>
      </c>
      <c r="AT530" s="89" t="str">
        <f>+IF($AG530=AT$22,MONTH($D530),"")</f>
        <v/>
      </c>
      <c r="AU530" s="89" t="str">
        <f>+IF($AG530=AU$22,MONTH($D530),"")</f>
        <v/>
      </c>
      <c r="AV530" s="89" t="str">
        <f>+IF($AG530=AV$22,MONTH($D530),"")</f>
        <v/>
      </c>
      <c r="AW530" s="86" t="str">
        <f>+IF($AG530=AW$22,MONTH($D530),"")</f>
        <v/>
      </c>
      <c r="AX530" s="86" t="str">
        <f>+IF($AG530=AX$22,MONTH($D530),"")</f>
        <v/>
      </c>
      <c r="AY530" s="89"/>
      <c r="AZ530" s="89"/>
      <c r="BA530" s="89"/>
      <c r="BB530" s="89"/>
      <c r="BC530" s="89"/>
      <c r="BD530" s="89"/>
      <c r="BE530" s="89"/>
      <c r="BF530" s="89"/>
      <c r="BG530" s="89"/>
      <c r="BH530" s="89"/>
      <c r="BI530" s="89"/>
      <c r="BJ530" s="89"/>
      <c r="BK530" s="89"/>
      <c r="BL530" s="89"/>
      <c r="BM530" s="89"/>
      <c r="BN530" s="89"/>
      <c r="BO530" s="89"/>
      <c r="BP530" s="89"/>
    </row>
    <row r="531" spans="1:68" s="56" customFormat="1" ht="28.5" hidden="1" customHeight="1">
      <c r="A531" s="204">
        <f>+IFERROR(VALUE(MID(AB531,4,4)),"")</f>
        <v>271</v>
      </c>
      <c r="B531" s="204">
        <f>VALUE(RIGHT(C531,LEN(C531)-2))</f>
        <v>2190</v>
      </c>
      <c r="C531" s="74" t="s">
        <v>2078</v>
      </c>
      <c r="D531" s="75">
        <v>45589</v>
      </c>
      <c r="E531" s="70" t="s">
        <v>277</v>
      </c>
      <c r="F531" s="70" t="s">
        <v>277</v>
      </c>
      <c r="G531" s="68"/>
      <c r="H531" s="282"/>
      <c r="I531" s="69" t="s">
        <v>2079</v>
      </c>
      <c r="J531" s="69"/>
      <c r="K531" s="68" t="s">
        <v>13</v>
      </c>
      <c r="L531" s="69" t="s">
        <v>129</v>
      </c>
      <c r="M531" s="71" t="s">
        <v>141</v>
      </c>
      <c r="N531" s="69" t="e" vm="1">
        <v>#VALUE!</v>
      </c>
      <c r="O531" s="84">
        <v>45593</v>
      </c>
      <c r="P531" s="72" t="s">
        <v>2080</v>
      </c>
      <c r="Q531" s="72" t="s">
        <v>259</v>
      </c>
      <c r="R531" s="162"/>
      <c r="S531" s="146"/>
      <c r="T531" s="68" t="s">
        <v>3</v>
      </c>
      <c r="U531" s="87"/>
      <c r="V531" s="183">
        <v>45628</v>
      </c>
      <c r="W531" s="150">
        <v>1816</v>
      </c>
      <c r="X531" s="150">
        <v>81.5</v>
      </c>
      <c r="Y531" s="83">
        <f>IF(SUM(W531:W531)&gt;0,X531/SUM(W531:W531)*1000000,"N/A")</f>
        <v>44878.854625550666</v>
      </c>
      <c r="Z531" s="183"/>
      <c r="AA531" s="183"/>
      <c r="AB531" s="73" t="s">
        <v>2081</v>
      </c>
      <c r="AC531" s="153"/>
      <c r="AD531" s="331"/>
      <c r="AE531" s="57"/>
      <c r="AF531" s="88"/>
      <c r="AG531" s="182">
        <f>YEAR(V531)</f>
        <v>2024</v>
      </c>
      <c r="AH531" s="86" t="str">
        <f>+IF(AF531=$AI$22,MONTH(U531),"")</f>
        <v/>
      </c>
      <c r="AI531" s="86" t="str">
        <f>+IF(AG531=$AI$22,MONTH(V531),"")</f>
        <v/>
      </c>
      <c r="AJ531" s="86">
        <f>+IF(AG531=$AJ$22,MONTH(V531),"")</f>
        <v>12</v>
      </c>
      <c r="AK531" s="86" t="str">
        <f>+IF(AG531=$AK$22,MONTH(V531),"")</f>
        <v/>
      </c>
      <c r="AL531" s="86" t="str">
        <f>+IF(AG531=$AL$22,MONTH(V531),"")</f>
        <v/>
      </c>
      <c r="AM531" s="86" t="str">
        <f>+IF($AG531=$AM$22,MONTH($D531),"")</f>
        <v/>
      </c>
      <c r="AN531" s="89" t="str">
        <f>+IF($AG531=AN$22,MONTH($D531),"")</f>
        <v/>
      </c>
      <c r="AO531" s="89" t="str">
        <f>+IF($AG531=AO$22,MONTH($D531),"")</f>
        <v/>
      </c>
      <c r="AP531" s="89" t="str">
        <f>+IF($AG531=AP$22,MONTH($D531),"")</f>
        <v/>
      </c>
      <c r="AQ531" s="89" t="str">
        <f>+IF($AG531=AQ$22,MONTH($D531),"")</f>
        <v/>
      </c>
      <c r="AR531" s="89" t="str">
        <f>+IF($AG531=AR$22,MONTH($D531),"")</f>
        <v/>
      </c>
      <c r="AS531" s="89" t="str">
        <f>+IF($AG531=AS$22,MONTH($D531),"")</f>
        <v/>
      </c>
      <c r="AT531" s="89" t="str">
        <f>+IF($AG531=AT$22,MONTH($D531),"")</f>
        <v/>
      </c>
      <c r="AU531" s="89" t="str">
        <f>+IF($AG531=AU$22,MONTH($D531),"")</f>
        <v/>
      </c>
      <c r="AV531" s="89" t="str">
        <f>+IF($AG531=AV$22,MONTH($D531),"")</f>
        <v/>
      </c>
      <c r="AW531" s="86" t="str">
        <f>+IF($AG531=AW$22,MONTH($D531),"")</f>
        <v/>
      </c>
      <c r="AX531" s="86" t="str">
        <f>+IF($AG531=AX$22,MONTH($D531),"")</f>
        <v/>
      </c>
      <c r="AY531" s="89"/>
      <c r="AZ531" s="89"/>
      <c r="BA531" s="89"/>
      <c r="BB531" s="89"/>
      <c r="BC531" s="89"/>
      <c r="BD531" s="89"/>
      <c r="BE531" s="89"/>
      <c r="BF531" s="89"/>
      <c r="BG531" s="89"/>
      <c r="BH531" s="89"/>
      <c r="BI531" s="89"/>
      <c r="BJ531" s="89"/>
      <c r="BK531" s="89"/>
      <c r="BL531" s="89"/>
      <c r="BM531" s="89"/>
      <c r="BN531" s="89"/>
      <c r="BO531" s="89"/>
      <c r="BP531" s="89"/>
    </row>
    <row r="532" spans="1:68" s="56" customFormat="1" ht="28.5" hidden="1" customHeight="1">
      <c r="A532" s="204">
        <f>+IFERROR(VALUE(MID(AB532,4,4)),"")</f>
        <v>399</v>
      </c>
      <c r="B532" s="204">
        <f>VALUE(RIGHT(C532,LEN(C532)-2))</f>
        <v>2189</v>
      </c>
      <c r="C532" s="74" t="s">
        <v>2082</v>
      </c>
      <c r="D532" s="75">
        <v>45586</v>
      </c>
      <c r="E532" s="70" t="s">
        <v>473</v>
      </c>
      <c r="F532" s="70" t="s">
        <v>473</v>
      </c>
      <c r="G532" s="68" t="s">
        <v>2002</v>
      </c>
      <c r="H532" s="307" t="s">
        <v>2003</v>
      </c>
      <c r="I532" s="162" t="s">
        <v>2083</v>
      </c>
      <c r="J532" s="162"/>
      <c r="K532" s="68" t="s">
        <v>12</v>
      </c>
      <c r="L532" s="69" t="s">
        <v>129</v>
      </c>
      <c r="M532" s="71" t="s">
        <v>141</v>
      </c>
      <c r="N532" s="69" t="e" vm="1">
        <v>#VALUE!</v>
      </c>
      <c r="O532" s="164">
        <v>45588</v>
      </c>
      <c r="P532" s="72" t="s">
        <v>377</v>
      </c>
      <c r="Q532" s="72" t="s">
        <v>694</v>
      </c>
      <c r="R532" s="162"/>
      <c r="S532" s="146"/>
      <c r="T532" s="68" t="s">
        <v>158</v>
      </c>
      <c r="U532" s="87">
        <v>0.01</v>
      </c>
      <c r="V532" s="183">
        <v>45603</v>
      </c>
      <c r="W532" s="73">
        <v>4317</v>
      </c>
      <c r="X532" s="73">
        <v>292.97000000000003</v>
      </c>
      <c r="Y532" s="83">
        <f>IF(SUM(W532:W532)&gt;0,X532/SUM(W532:W532)*1000000,"N/A")</f>
        <v>67864.257586286782</v>
      </c>
      <c r="Z532" s="183"/>
      <c r="AA532" s="183"/>
      <c r="AB532" s="73" t="s">
        <v>2084</v>
      </c>
      <c r="AC532" s="153"/>
      <c r="AD532" s="331"/>
      <c r="AE532" s="57"/>
      <c r="AF532" s="88"/>
      <c r="AG532" s="182">
        <f>YEAR(V532)</f>
        <v>2024</v>
      </c>
      <c r="AH532" s="86" t="str">
        <f>+IF(AF532=$AI$22,MONTH(U532),"")</f>
        <v/>
      </c>
      <c r="AI532" s="86" t="str">
        <f>+IF(AG532=$AI$22,MONTH(V532),"")</f>
        <v/>
      </c>
      <c r="AJ532" s="86">
        <f>+IF(AG532=$AJ$22,MONTH(V532),"")</f>
        <v>11</v>
      </c>
      <c r="AK532" s="86" t="str">
        <f>+IF(AG532=$AK$22,MONTH(V532),"")</f>
        <v/>
      </c>
      <c r="AL532" s="86"/>
      <c r="AM532" s="89"/>
      <c r="AN532" s="89"/>
      <c r="AO532" s="89"/>
      <c r="AP532" s="89"/>
      <c r="AQ532" s="89"/>
      <c r="AR532" s="89"/>
      <c r="AS532" s="89"/>
      <c r="AT532" s="89"/>
      <c r="AU532" s="89"/>
      <c r="AV532" s="89"/>
      <c r="AW532" s="86" t="str">
        <f>+IF($AG532=AW$22,MONTH($D532),"")</f>
        <v/>
      </c>
      <c r="AX532" s="86" t="str">
        <f>+IF($AG532=AX$22,MONTH($D532),"")</f>
        <v/>
      </c>
      <c r="AY532" s="89"/>
      <c r="AZ532" s="89"/>
      <c r="BA532" s="89"/>
      <c r="BB532" s="89"/>
      <c r="BC532" s="89"/>
      <c r="BD532" s="89"/>
      <c r="BE532" s="89"/>
      <c r="BF532" s="89"/>
      <c r="BG532" s="89"/>
      <c r="BH532" s="89"/>
      <c r="BI532" s="89"/>
      <c r="BJ532" s="89"/>
      <c r="BK532" s="89"/>
      <c r="BL532" s="89"/>
      <c r="BM532" s="89"/>
      <c r="BN532" s="89"/>
      <c r="BO532" s="89"/>
      <c r="BP532" s="89"/>
    </row>
    <row r="533" spans="1:68" s="56" customFormat="1" ht="28.5" hidden="1" customHeight="1">
      <c r="A533" s="204">
        <f>+IFERROR(VALUE(MID(AB533,4,4)),"")</f>
        <v>399</v>
      </c>
      <c r="B533" s="204">
        <f>VALUE(RIGHT(C533,LEN(C533)-2))</f>
        <v>2188</v>
      </c>
      <c r="C533" s="74" t="s">
        <v>2085</v>
      </c>
      <c r="D533" s="75">
        <v>45586</v>
      </c>
      <c r="E533" s="70" t="s">
        <v>473</v>
      </c>
      <c r="F533" s="70" t="s">
        <v>473</v>
      </c>
      <c r="G533" s="68" t="s">
        <v>2002</v>
      </c>
      <c r="H533" s="307" t="s">
        <v>2003</v>
      </c>
      <c r="I533" s="162" t="s">
        <v>2086</v>
      </c>
      <c r="J533" s="162"/>
      <c r="K533" s="68" t="s">
        <v>12</v>
      </c>
      <c r="L533" s="69" t="s">
        <v>129</v>
      </c>
      <c r="M533" s="71" t="s">
        <v>141</v>
      </c>
      <c r="N533" s="69" t="e" vm="1">
        <v>#VALUE!</v>
      </c>
      <c r="O533" s="164">
        <v>45588</v>
      </c>
      <c r="P533" s="72" t="s">
        <v>377</v>
      </c>
      <c r="Q533" s="72" t="s">
        <v>694</v>
      </c>
      <c r="R533" s="162"/>
      <c r="S533" s="146"/>
      <c r="T533" s="68" t="s">
        <v>155</v>
      </c>
      <c r="U533" s="87"/>
      <c r="V533" s="183">
        <v>45586</v>
      </c>
      <c r="W533" s="73"/>
      <c r="X533" s="73"/>
      <c r="Y533" s="83" t="str">
        <f>IF(SUM(W533:W533)&gt;0,X533/SUM(W533:W533)*1000000,"N/A")</f>
        <v>N/A</v>
      </c>
      <c r="Z533" s="183"/>
      <c r="AA533" s="183"/>
      <c r="AB533" s="73" t="s">
        <v>2087</v>
      </c>
      <c r="AC533" s="153"/>
      <c r="AD533" s="331"/>
      <c r="AE533" s="57"/>
      <c r="AF533" s="88"/>
      <c r="AG533" s="182">
        <f>YEAR(V533)</f>
        <v>2024</v>
      </c>
      <c r="AH533" s="86" t="str">
        <f>+IF(AF533=$AI$22,MONTH(U533),"")</f>
        <v/>
      </c>
      <c r="AI533" s="86" t="str">
        <f>+IF(AG533=$AI$22,MONTH(V533),"")</f>
        <v/>
      </c>
      <c r="AJ533" s="86">
        <f>+IF(AG533=$AJ$22,MONTH(V533),"")</f>
        <v>10</v>
      </c>
      <c r="AK533" s="86" t="str">
        <f>+IF(AG533=$AK$22,MONTH(V533),"")</f>
        <v/>
      </c>
      <c r="AL533" s="86"/>
      <c r="AM533" s="89"/>
      <c r="AN533" s="89"/>
      <c r="AO533" s="89"/>
      <c r="AP533" s="89"/>
      <c r="AQ533" s="89"/>
      <c r="AR533" s="89"/>
      <c r="AS533" s="89"/>
      <c r="AT533" s="89"/>
      <c r="AU533" s="89"/>
      <c r="AV533" s="89"/>
      <c r="AW533" s="86" t="str">
        <f>+IF($AG533=AW$22,MONTH($D533),"")</f>
        <v/>
      </c>
      <c r="AX533" s="86" t="str">
        <f>+IF($AG533=AX$22,MONTH($D533),"")</f>
        <v/>
      </c>
      <c r="AY533" s="89"/>
      <c r="AZ533" s="89"/>
      <c r="BA533" s="89"/>
      <c r="BB533" s="89"/>
      <c r="BC533" s="89"/>
      <c r="BD533" s="89"/>
      <c r="BE533" s="89"/>
      <c r="BF533" s="89"/>
      <c r="BG533" s="89"/>
      <c r="BH533" s="89"/>
      <c r="BI533" s="89"/>
      <c r="BJ533" s="89"/>
      <c r="BK533" s="89"/>
      <c r="BL533" s="89"/>
      <c r="BM533" s="89"/>
      <c r="BN533" s="89"/>
      <c r="BO533" s="89"/>
      <c r="BP533" s="89"/>
    </row>
    <row r="534" spans="1:68" s="56" customFormat="1" ht="28.5" hidden="1" customHeight="1">
      <c r="A534" s="204">
        <f>+IFERROR(VALUE(MID(AB534,4,4)),"")</f>
        <v>399</v>
      </c>
      <c r="B534" s="204">
        <f>VALUE(RIGHT(C534,LEN(C534)-2))</f>
        <v>2187</v>
      </c>
      <c r="C534" s="74" t="s">
        <v>2088</v>
      </c>
      <c r="D534" s="75">
        <v>45586</v>
      </c>
      <c r="E534" s="70" t="s">
        <v>473</v>
      </c>
      <c r="F534" s="70" t="s">
        <v>473</v>
      </c>
      <c r="G534" s="68" t="s">
        <v>2002</v>
      </c>
      <c r="H534" s="307" t="s">
        <v>2003</v>
      </c>
      <c r="I534" s="162" t="s">
        <v>2089</v>
      </c>
      <c r="J534" s="162"/>
      <c r="K534" s="68" t="s">
        <v>12</v>
      </c>
      <c r="L534" s="69" t="s">
        <v>129</v>
      </c>
      <c r="M534" s="71" t="s">
        <v>141</v>
      </c>
      <c r="N534" s="69" t="e" vm="1">
        <v>#VALUE!</v>
      </c>
      <c r="O534" s="164">
        <v>45588</v>
      </c>
      <c r="P534" s="72" t="s">
        <v>377</v>
      </c>
      <c r="Q534" s="72" t="s">
        <v>694</v>
      </c>
      <c r="R534" s="162"/>
      <c r="S534" s="146"/>
      <c r="T534" s="68" t="s">
        <v>155</v>
      </c>
      <c r="U534" s="87"/>
      <c r="V534" s="183">
        <v>45586</v>
      </c>
      <c r="W534" s="73"/>
      <c r="X534" s="73"/>
      <c r="Y534" s="83" t="str">
        <f>IF(SUM(W534:W534)&gt;0,X534/SUM(W534:W534)*1000000,"N/A")</f>
        <v>N/A</v>
      </c>
      <c r="Z534" s="183"/>
      <c r="AA534" s="183"/>
      <c r="AB534" s="73" t="s">
        <v>2090</v>
      </c>
      <c r="AC534" s="153"/>
      <c r="AD534" s="331"/>
      <c r="AE534" s="57"/>
      <c r="AF534" s="88"/>
      <c r="AG534" s="182">
        <f>YEAR(V534)</f>
        <v>2024</v>
      </c>
      <c r="AH534" s="86" t="str">
        <f>+IF(AF534=$AI$22,MONTH(U534),"")</f>
        <v/>
      </c>
      <c r="AI534" s="86" t="str">
        <f>+IF(AG534=$AI$22,MONTH(V534),"")</f>
        <v/>
      </c>
      <c r="AJ534" s="86">
        <f>+IF(AG534=$AJ$22,MONTH(V534),"")</f>
        <v>10</v>
      </c>
      <c r="AK534" s="86" t="str">
        <f>+IF(AG534=$AK$22,MONTH(V534),"")</f>
        <v/>
      </c>
      <c r="AL534" s="86"/>
      <c r="AM534" s="89"/>
      <c r="AN534" s="89"/>
      <c r="AO534" s="89"/>
      <c r="AP534" s="89"/>
      <c r="AQ534" s="89"/>
      <c r="AR534" s="89"/>
      <c r="AS534" s="89"/>
      <c r="AT534" s="89"/>
      <c r="AU534" s="89"/>
      <c r="AV534" s="89"/>
      <c r="AW534" s="86" t="str">
        <f>+IF($AG534=AW$22,MONTH($D534),"")</f>
        <v/>
      </c>
      <c r="AX534" s="86" t="str">
        <f>+IF($AG534=AX$22,MONTH($D534),"")</f>
        <v/>
      </c>
      <c r="AY534" s="89"/>
      <c r="AZ534" s="89"/>
      <c r="BA534" s="89"/>
      <c r="BB534" s="89"/>
      <c r="BC534" s="89"/>
      <c r="BD534" s="89"/>
      <c r="BE534" s="89"/>
      <c r="BF534" s="89"/>
      <c r="BG534" s="89"/>
      <c r="BH534" s="89"/>
      <c r="BI534" s="89"/>
      <c r="BJ534" s="89"/>
      <c r="BK534" s="89"/>
      <c r="BL534" s="89"/>
      <c r="BM534" s="89"/>
      <c r="BN534" s="89"/>
      <c r="BO534" s="89"/>
      <c r="BP534" s="89"/>
    </row>
    <row r="535" spans="1:68" s="56" customFormat="1" ht="31.5" hidden="1" customHeight="1">
      <c r="A535" s="204">
        <f>+IFERROR(VALUE(MID(AB535,4,4)),"")</f>
        <v>399</v>
      </c>
      <c r="B535" s="204">
        <f>VALUE(RIGHT(C535,LEN(C535)-2))</f>
        <v>2186</v>
      </c>
      <c r="C535" s="74" t="s">
        <v>2091</v>
      </c>
      <c r="D535" s="75">
        <v>45586</v>
      </c>
      <c r="E535" s="70" t="s">
        <v>473</v>
      </c>
      <c r="F535" s="70" t="s">
        <v>473</v>
      </c>
      <c r="G535" s="68" t="s">
        <v>2002</v>
      </c>
      <c r="H535" s="307" t="s">
        <v>2003</v>
      </c>
      <c r="I535" s="162" t="s">
        <v>2092</v>
      </c>
      <c r="J535" s="162"/>
      <c r="K535" s="68" t="s">
        <v>12</v>
      </c>
      <c r="L535" s="69" t="s">
        <v>129</v>
      </c>
      <c r="M535" s="71" t="s">
        <v>141</v>
      </c>
      <c r="N535" s="69" t="e" vm="1">
        <v>#VALUE!</v>
      </c>
      <c r="O535" s="164">
        <v>45588</v>
      </c>
      <c r="P535" s="72" t="s">
        <v>377</v>
      </c>
      <c r="Q535" s="72" t="s">
        <v>694</v>
      </c>
      <c r="R535" s="162"/>
      <c r="S535" s="146"/>
      <c r="T535" s="68" t="s">
        <v>155</v>
      </c>
      <c r="U535" s="87"/>
      <c r="V535" s="183">
        <v>45586</v>
      </c>
      <c r="W535" s="73"/>
      <c r="X535" s="73"/>
      <c r="Y535" s="83" t="str">
        <f>IF(SUM(W535:W535)&gt;0,X535/SUM(W535:W535)*1000000,"N/A")</f>
        <v>N/A</v>
      </c>
      <c r="Z535" s="183"/>
      <c r="AA535" s="183"/>
      <c r="AB535" s="73" t="s">
        <v>2093</v>
      </c>
      <c r="AC535" s="153"/>
      <c r="AD535" s="331"/>
      <c r="AE535" s="57"/>
      <c r="AF535" s="88"/>
      <c r="AG535" s="182">
        <f>YEAR(V535)</f>
        <v>2024</v>
      </c>
      <c r="AH535" s="86" t="str">
        <f>+IF(AF535=$AI$22,MONTH(U535),"")</f>
        <v/>
      </c>
      <c r="AI535" s="86" t="str">
        <f>+IF(AG535=$AI$22,MONTH(V535),"")</f>
        <v/>
      </c>
      <c r="AJ535" s="86">
        <f>+IF(AG535=$AJ$22,MONTH(V535),"")</f>
        <v>10</v>
      </c>
      <c r="AK535" s="86" t="str">
        <f>+IF(AG535=$AK$22,MONTH(V535),"")</f>
        <v/>
      </c>
      <c r="AL535" s="86"/>
      <c r="AM535" s="89"/>
      <c r="AN535" s="89"/>
      <c r="AO535" s="89"/>
      <c r="AP535" s="89"/>
      <c r="AQ535" s="89"/>
      <c r="AR535" s="89"/>
      <c r="AS535" s="89"/>
      <c r="AT535" s="89"/>
      <c r="AU535" s="89"/>
      <c r="AV535" s="89"/>
      <c r="AW535" s="86" t="str">
        <f>+IF($AG535=AW$22,MONTH($D535),"")</f>
        <v/>
      </c>
      <c r="AX535" s="86" t="str">
        <f>+IF($AG535=AX$22,MONTH($D535),"")</f>
        <v/>
      </c>
      <c r="AY535" s="89"/>
      <c r="AZ535" s="89"/>
      <c r="BA535" s="89"/>
      <c r="BB535" s="89"/>
      <c r="BC535" s="89"/>
      <c r="BD535" s="89"/>
      <c r="BE535" s="89"/>
      <c r="BF535" s="89"/>
      <c r="BG535" s="89"/>
      <c r="BH535" s="89"/>
      <c r="BI535" s="89"/>
      <c r="BJ535" s="89"/>
      <c r="BK535" s="89"/>
      <c r="BL535" s="89"/>
      <c r="BM535" s="89"/>
      <c r="BN535" s="89"/>
      <c r="BO535" s="89"/>
      <c r="BP535" s="89"/>
    </row>
    <row r="536" spans="1:68" s="56" customFormat="1" ht="34.5" hidden="1" customHeight="1">
      <c r="A536" s="204">
        <f>+IFERROR(VALUE(MID(AB536,4,4)),"")</f>
        <v>399</v>
      </c>
      <c r="B536" s="204">
        <f>VALUE(RIGHT(C536,LEN(C536)-2))</f>
        <v>2185</v>
      </c>
      <c r="C536" s="74" t="s">
        <v>2094</v>
      </c>
      <c r="D536" s="75">
        <v>45586</v>
      </c>
      <c r="E536" s="70" t="s">
        <v>473</v>
      </c>
      <c r="F536" s="70" t="s">
        <v>473</v>
      </c>
      <c r="G536" s="68" t="s">
        <v>2002</v>
      </c>
      <c r="H536" s="307" t="s">
        <v>2003</v>
      </c>
      <c r="I536" s="162" t="s">
        <v>2095</v>
      </c>
      <c r="J536" s="162"/>
      <c r="K536" s="68" t="s">
        <v>12</v>
      </c>
      <c r="L536" s="69" t="s">
        <v>129</v>
      </c>
      <c r="M536" s="71" t="s">
        <v>141</v>
      </c>
      <c r="N536" s="69" t="e" vm="1">
        <v>#VALUE!</v>
      </c>
      <c r="O536" s="164">
        <v>45588</v>
      </c>
      <c r="P536" s="72" t="s">
        <v>377</v>
      </c>
      <c r="Q536" s="72" t="s">
        <v>694</v>
      </c>
      <c r="R536" s="162"/>
      <c r="S536" s="146"/>
      <c r="T536" s="68" t="s">
        <v>165</v>
      </c>
      <c r="U536" s="87"/>
      <c r="V536" s="183">
        <v>45586</v>
      </c>
      <c r="W536" s="73">
        <v>770</v>
      </c>
      <c r="X536" s="73">
        <v>32</v>
      </c>
      <c r="Y536" s="83">
        <f>IF(SUM(W536:W536)&gt;0,X536/SUM(W536:W536)*1000000,"N/A")</f>
        <v>41558.441558441562</v>
      </c>
      <c r="Z536" s="183"/>
      <c r="AA536" s="183"/>
      <c r="AB536" s="73" t="s">
        <v>2096</v>
      </c>
      <c r="AC536" s="153"/>
      <c r="AD536" s="331"/>
      <c r="AE536" s="57"/>
      <c r="AF536" s="88"/>
      <c r="AG536" s="182">
        <f>YEAR(V536)</f>
        <v>2024</v>
      </c>
      <c r="AH536" s="86" t="str">
        <f>+IF(AF536=$AI$22,MONTH(U536),"")</f>
        <v/>
      </c>
      <c r="AI536" s="86" t="str">
        <f>+IF(AG536=$AI$22,MONTH(V536),"")</f>
        <v/>
      </c>
      <c r="AJ536" s="86">
        <f>+IF(AG536=$AJ$22,MONTH(V536),"")</f>
        <v>10</v>
      </c>
      <c r="AK536" s="86" t="str">
        <f>+IF(AG536=$AK$22,MONTH(V536),"")</f>
        <v/>
      </c>
      <c r="AL536" s="86"/>
      <c r="AM536" s="89"/>
      <c r="AN536" s="89"/>
      <c r="AO536" s="89"/>
      <c r="AP536" s="89"/>
      <c r="AQ536" s="89"/>
      <c r="AR536" s="89"/>
      <c r="AS536" s="89"/>
      <c r="AT536" s="89"/>
      <c r="AU536" s="89"/>
      <c r="AV536" s="89"/>
      <c r="AW536" s="86" t="str">
        <f>+IF($AG536=AW$22,MONTH($D536),"")</f>
        <v/>
      </c>
      <c r="AX536" s="86" t="str">
        <f>+IF($AG536=AX$22,MONTH($D536),"")</f>
        <v/>
      </c>
      <c r="AY536" s="89"/>
      <c r="AZ536" s="89"/>
      <c r="BA536" s="89"/>
      <c r="BB536" s="89"/>
      <c r="BC536" s="89"/>
      <c r="BD536" s="89"/>
      <c r="BE536" s="89"/>
      <c r="BF536" s="89"/>
      <c r="BG536" s="89"/>
      <c r="BH536" s="89"/>
      <c r="BI536" s="89"/>
      <c r="BJ536" s="89"/>
      <c r="BK536" s="89"/>
      <c r="BL536" s="89"/>
      <c r="BM536" s="89"/>
      <c r="BN536" s="89"/>
      <c r="BO536" s="89"/>
      <c r="BP536" s="89"/>
    </row>
    <row r="537" spans="1:68" s="56" customFormat="1" ht="30" hidden="1" customHeight="1">
      <c r="A537" s="204">
        <f>+IFERROR(VALUE(MID(AB537,4,4)),"")</f>
        <v>399</v>
      </c>
      <c r="B537" s="204">
        <f>VALUE(RIGHT(C537,LEN(C537)-2))</f>
        <v>2184</v>
      </c>
      <c r="C537" s="74" t="s">
        <v>2097</v>
      </c>
      <c r="D537" s="75">
        <v>45586</v>
      </c>
      <c r="E537" s="70" t="s">
        <v>473</v>
      </c>
      <c r="F537" s="70" t="s">
        <v>473</v>
      </c>
      <c r="G537" s="68" t="s">
        <v>2002</v>
      </c>
      <c r="H537" s="307" t="s">
        <v>2003</v>
      </c>
      <c r="I537" s="162" t="s">
        <v>2098</v>
      </c>
      <c r="J537" s="162"/>
      <c r="K537" s="68" t="s">
        <v>12</v>
      </c>
      <c r="L537" s="69" t="s">
        <v>129</v>
      </c>
      <c r="M537" s="71" t="s">
        <v>141</v>
      </c>
      <c r="N537" s="69" t="e" vm="1">
        <v>#VALUE!</v>
      </c>
      <c r="O537" s="164">
        <v>45643</v>
      </c>
      <c r="P537" s="72" t="s">
        <v>2024</v>
      </c>
      <c r="Q537" s="72" t="s">
        <v>694</v>
      </c>
      <c r="R537" s="162"/>
      <c r="S537" s="146"/>
      <c r="T537" s="68" t="s">
        <v>3</v>
      </c>
      <c r="U537" s="87"/>
      <c r="V537" s="183">
        <v>45682</v>
      </c>
      <c r="W537" s="73">
        <v>3062</v>
      </c>
      <c r="X537" s="73">
        <v>115</v>
      </c>
      <c r="Y537" s="83">
        <f>IF(SUM(W537:W537)&gt;0,X537/SUM(W537:W537)*1000000,"N/A")</f>
        <v>37557.152188112341</v>
      </c>
      <c r="Z537" s="183"/>
      <c r="AA537" s="183"/>
      <c r="AB537" s="73" t="s">
        <v>2099</v>
      </c>
      <c r="AC537" s="153"/>
      <c r="AD537" s="331"/>
      <c r="AE537" s="57"/>
      <c r="AF537" s="88"/>
      <c r="AG537" s="182">
        <f>YEAR(V537)</f>
        <v>2025</v>
      </c>
      <c r="AH537" s="86" t="str">
        <f>+IF(AF537=$AI$22,MONTH(U537),"")</f>
        <v/>
      </c>
      <c r="AI537" s="86">
        <f>+IF(AG537=$AI$22,MONTH(V537),"")</f>
        <v>1</v>
      </c>
      <c r="AJ537" s="86" t="str">
        <f>+IF(AG537=$AJ$22,MONTH(V537),"")</f>
        <v/>
      </c>
      <c r="AK537" s="86" t="str">
        <f>+IF(AG537=$AK$22,MONTH(V537),"")</f>
        <v/>
      </c>
      <c r="AL537" s="86"/>
      <c r="AM537" s="89"/>
      <c r="AN537" s="89"/>
      <c r="AO537" s="89"/>
      <c r="AP537" s="89"/>
      <c r="AQ537" s="89"/>
      <c r="AR537" s="89"/>
      <c r="AS537" s="89"/>
      <c r="AT537" s="89"/>
      <c r="AU537" s="89"/>
      <c r="AV537" s="89"/>
      <c r="AW537" s="86" t="str">
        <f>+IF($AG537=AW$22,MONTH($D537),"")</f>
        <v/>
      </c>
      <c r="AX537" s="86" t="str">
        <f>+IF($AG537=AX$22,MONTH($D537),"")</f>
        <v/>
      </c>
      <c r="AY537" s="89"/>
      <c r="AZ537" s="89"/>
      <c r="BA537" s="89"/>
      <c r="BB537" s="89"/>
      <c r="BC537" s="89"/>
      <c r="BD537" s="89"/>
      <c r="BE537" s="89"/>
      <c r="BF537" s="89"/>
      <c r="BG537" s="89"/>
      <c r="BH537" s="89"/>
      <c r="BI537" s="89"/>
      <c r="BJ537" s="89"/>
      <c r="BK537" s="89"/>
      <c r="BL537" s="89"/>
      <c r="BM537" s="89"/>
      <c r="BN537" s="89"/>
      <c r="BO537" s="89"/>
      <c r="BP537" s="89"/>
    </row>
    <row r="538" spans="1:68" s="56" customFormat="1" ht="40.5" hidden="1" customHeight="1">
      <c r="A538" s="204" t="str">
        <f>+IFERROR(VALUE(MID(AB538,4,4)),"")</f>
        <v/>
      </c>
      <c r="B538" s="204">
        <f>VALUE(RIGHT(C538,LEN(C538)-2))</f>
        <v>2183</v>
      </c>
      <c r="C538" s="74" t="s">
        <v>2100</v>
      </c>
      <c r="D538" s="75">
        <v>45582</v>
      </c>
      <c r="E538" s="70" t="s">
        <v>848</v>
      </c>
      <c r="F538" s="70" t="s">
        <v>848</v>
      </c>
      <c r="G538" s="68" t="s">
        <v>2101</v>
      </c>
      <c r="H538" s="282" t="s">
        <v>2102</v>
      </c>
      <c r="I538" s="69" t="s">
        <v>2103</v>
      </c>
      <c r="J538" s="69"/>
      <c r="K538" s="68" t="s">
        <v>90</v>
      </c>
      <c r="L538" s="69" t="s">
        <v>123</v>
      </c>
      <c r="M538" s="71" t="s">
        <v>141</v>
      </c>
      <c r="N538" s="69" t="e" vm="1">
        <v>#VALUE!</v>
      </c>
      <c r="O538" s="84">
        <v>45606</v>
      </c>
      <c r="P538" s="72" t="s">
        <v>2104</v>
      </c>
      <c r="Q538" s="72" t="s">
        <v>1210</v>
      </c>
      <c r="R538" s="162"/>
      <c r="S538" s="146"/>
      <c r="T538" s="68" t="s">
        <v>165</v>
      </c>
      <c r="U538" s="87"/>
      <c r="V538" s="183">
        <v>45582</v>
      </c>
      <c r="W538" s="150"/>
      <c r="X538" s="150">
        <v>51</v>
      </c>
      <c r="Y538" s="83" t="str">
        <f>IF(SUM(W538:W538)&gt;0,X538/SUM(W538:W538)*1000000,"N/A")</f>
        <v>N/A</v>
      </c>
      <c r="Z538" s="183"/>
      <c r="AA538" s="183"/>
      <c r="AB538" s="73"/>
      <c r="AC538" s="153"/>
      <c r="AD538" s="331"/>
      <c r="AE538" s="57"/>
      <c r="AF538" s="88"/>
      <c r="AG538" s="182">
        <f>YEAR(V538)</f>
        <v>2024</v>
      </c>
      <c r="AH538" s="86" t="str">
        <f>+IF(AF538=$AI$22,MONTH(U538),"")</f>
        <v/>
      </c>
      <c r="AI538" s="86" t="str">
        <f>+IF(AG538=$AI$22,MONTH(V538),"")</f>
        <v/>
      </c>
      <c r="AJ538" s="86">
        <f>+IF(AG538=$AJ$22,MONTH(V538),"")</f>
        <v>10</v>
      </c>
      <c r="AK538" s="86" t="str">
        <f>+IF(AG538=$AK$22,MONTH(V538),"")</f>
        <v/>
      </c>
      <c r="AL538" s="86" t="str">
        <f>+IF(AG538=$AL$22,MONTH(V538),"")</f>
        <v/>
      </c>
      <c r="AM538" s="86" t="str">
        <f>+IF($AG538=$AM$22,MONTH($D538),"")</f>
        <v/>
      </c>
      <c r="AN538" s="89" t="str">
        <f>+IF($AG538=AN$22,MONTH($D538),"")</f>
        <v/>
      </c>
      <c r="AO538" s="89" t="str">
        <f>+IF($AG538=AO$22,MONTH($D538),"")</f>
        <v/>
      </c>
      <c r="AP538" s="89" t="str">
        <f>+IF($AG538=AP$22,MONTH($D538),"")</f>
        <v/>
      </c>
      <c r="AQ538" s="89" t="str">
        <f>+IF($AG538=AQ$22,MONTH($D538),"")</f>
        <v/>
      </c>
      <c r="AR538" s="89" t="str">
        <f>+IF($AG538=AR$22,MONTH($D538),"")</f>
        <v/>
      </c>
      <c r="AS538" s="89" t="str">
        <f>+IF($AG538=AS$22,MONTH($D538),"")</f>
        <v/>
      </c>
      <c r="AT538" s="89" t="str">
        <f>+IF($AG538=AT$22,MONTH($D538),"")</f>
        <v/>
      </c>
      <c r="AU538" s="89" t="str">
        <f>+IF($AG538=AU$22,MONTH($D538),"")</f>
        <v/>
      </c>
      <c r="AV538" s="89" t="str">
        <f>+IF($AG538=AV$22,MONTH($D538),"")</f>
        <v/>
      </c>
      <c r="AW538" s="86" t="str">
        <f>+IF($AG538=AW$22,MONTH($D538),"")</f>
        <v/>
      </c>
      <c r="AX538" s="86" t="str">
        <f>+IF($AG538=AX$22,MONTH($D538),"")</f>
        <v/>
      </c>
      <c r="AY538" s="89"/>
      <c r="AZ538" s="89"/>
      <c r="BA538" s="89"/>
      <c r="BB538" s="89"/>
      <c r="BC538" s="89"/>
      <c r="BD538" s="89"/>
      <c r="BE538" s="89"/>
      <c r="BF538" s="89"/>
      <c r="BG538" s="89"/>
      <c r="BH538" s="89"/>
      <c r="BI538" s="89"/>
      <c r="BJ538" s="89"/>
      <c r="BK538" s="89"/>
      <c r="BL538" s="89"/>
      <c r="BM538" s="89"/>
      <c r="BN538" s="89"/>
      <c r="BO538" s="89"/>
      <c r="BP538" s="89"/>
    </row>
    <row r="539" spans="1:68" s="56" customFormat="1" ht="30" hidden="1" customHeight="1">
      <c r="A539" s="204" t="str">
        <f>+IFERROR(VALUE(MID(AB539,4,4)),"")</f>
        <v/>
      </c>
      <c r="B539" s="204">
        <f>VALUE(RIGHT(C539,LEN(C539)-2))</f>
        <v>2182</v>
      </c>
      <c r="C539" s="74" t="s">
        <v>2105</v>
      </c>
      <c r="D539" s="75">
        <v>45581</v>
      </c>
      <c r="E539" s="70" t="s">
        <v>1988</v>
      </c>
      <c r="F539" s="70" t="s">
        <v>1988</v>
      </c>
      <c r="G539" s="68" t="s">
        <v>1989</v>
      </c>
      <c r="H539" s="307" t="s">
        <v>1990</v>
      </c>
      <c r="I539" s="162" t="s">
        <v>2106</v>
      </c>
      <c r="J539" s="162"/>
      <c r="K539" s="68" t="s">
        <v>227</v>
      </c>
      <c r="L539" s="69" t="s">
        <v>123</v>
      </c>
      <c r="M539" s="71" t="s">
        <v>141</v>
      </c>
      <c r="N539" s="69" t="e" vm="1">
        <v>#VALUE!</v>
      </c>
      <c r="O539" s="164">
        <v>45582</v>
      </c>
      <c r="P539" s="72" t="s">
        <v>228</v>
      </c>
      <c r="Q539" s="72" t="s">
        <v>652</v>
      </c>
      <c r="R539" s="162"/>
      <c r="S539" s="146" t="s">
        <v>2107</v>
      </c>
      <c r="T539" s="68" t="s">
        <v>3</v>
      </c>
      <c r="U539" s="87"/>
      <c r="V539" s="183">
        <v>45582</v>
      </c>
      <c r="W539" s="73" t="s">
        <v>2108</v>
      </c>
      <c r="X539" s="73" t="s">
        <v>2108</v>
      </c>
      <c r="Y539" s="83" t="str">
        <f>IF(SUM(W539:W539)&gt;0,X539/SUM(W539:W539)*1000000,"N/A")</f>
        <v>N/A</v>
      </c>
      <c r="Z539" s="183"/>
      <c r="AA539" s="183"/>
      <c r="AB539" s="73"/>
      <c r="AC539" s="153"/>
      <c r="AD539" s="330"/>
      <c r="AE539" s="305"/>
      <c r="AF539" s="88"/>
      <c r="AG539" s="182">
        <f>YEAR(V539)</f>
        <v>2024</v>
      </c>
      <c r="AH539" s="86" t="str">
        <f>+IF(AF539=$AI$22,MONTH(U539),"")</f>
        <v/>
      </c>
      <c r="AI539" s="86" t="str">
        <f>+IF(AG539=$AI$22,MONTH(V539),"")</f>
        <v/>
      </c>
      <c r="AJ539" s="86">
        <f>+IF(AG539=$AJ$22,MONTH(V539),"")</f>
        <v>10</v>
      </c>
      <c r="AK539" s="86" t="str">
        <f>+IF(AG539=$AK$22,MONTH(V539),"")</f>
        <v/>
      </c>
      <c r="AL539" s="86"/>
      <c r="AM539" s="89"/>
      <c r="AN539" s="89"/>
      <c r="AO539" s="89"/>
      <c r="AP539" s="89"/>
      <c r="AQ539" s="89"/>
      <c r="AR539" s="89"/>
      <c r="AS539" s="89"/>
      <c r="AT539" s="89"/>
      <c r="AU539" s="89"/>
      <c r="AV539" s="89"/>
      <c r="AW539" s="86" t="str">
        <f>+IF($AG539=AW$22,MONTH($D539),"")</f>
        <v/>
      </c>
      <c r="AX539" s="86" t="str">
        <f>+IF($AG539=AX$22,MONTH($D539),"")</f>
        <v/>
      </c>
      <c r="AY539" s="89"/>
      <c r="AZ539" s="89"/>
      <c r="BA539" s="89"/>
      <c r="BB539" s="89"/>
      <c r="BC539" s="89"/>
      <c r="BD539" s="89"/>
      <c r="BE539" s="89"/>
      <c r="BF539" s="89"/>
      <c r="BG539" s="89"/>
      <c r="BH539" s="89"/>
      <c r="BI539" s="89"/>
      <c r="BJ539" s="89"/>
      <c r="BK539" s="89"/>
      <c r="BL539" s="89"/>
      <c r="BM539" s="89"/>
      <c r="BN539" s="89"/>
      <c r="BO539" s="89"/>
      <c r="BP539" s="89"/>
    </row>
    <row r="540" spans="1:68" s="320" customFormat="1" ht="36.75" hidden="1" customHeight="1">
      <c r="A540" s="204" t="str">
        <f>+IFERROR(VALUE(MID(AB540,4,4)),"")</f>
        <v/>
      </c>
      <c r="B540" s="204">
        <f>VALUE(RIGHT(C540,LEN(C540)-2))</f>
        <v>2181</v>
      </c>
      <c r="C540" s="74" t="s">
        <v>2109</v>
      </c>
      <c r="D540" s="75">
        <v>45580</v>
      </c>
      <c r="E540" s="70" t="s">
        <v>473</v>
      </c>
      <c r="F540" s="70" t="s">
        <v>473</v>
      </c>
      <c r="G540" s="68" t="s">
        <v>1983</v>
      </c>
      <c r="H540" s="59" t="s">
        <v>1984</v>
      </c>
      <c r="I540" s="162" t="s">
        <v>2110</v>
      </c>
      <c r="J540" s="162"/>
      <c r="K540" s="68" t="s">
        <v>13</v>
      </c>
      <c r="L540" s="69" t="s">
        <v>120</v>
      </c>
      <c r="M540" s="71" t="s">
        <v>141</v>
      </c>
      <c r="N540" s="69" t="e" vm="1">
        <v>#VALUE!</v>
      </c>
      <c r="O540" s="164">
        <v>45583</v>
      </c>
      <c r="P540" s="72" t="s">
        <v>213</v>
      </c>
      <c r="Q540" s="72" t="s">
        <v>259</v>
      </c>
      <c r="R540" s="162"/>
      <c r="S540" s="146"/>
      <c r="T540" s="68" t="s">
        <v>155</v>
      </c>
      <c r="U540" s="87"/>
      <c r="V540" s="183">
        <v>45568</v>
      </c>
      <c r="W540" s="73"/>
      <c r="X540" s="73"/>
      <c r="Y540" s="83" t="str">
        <f>IF(SUM(W540:W540)&gt;0,X540/SUM(W540:W540)*1000000,"N/A")</f>
        <v>N/A</v>
      </c>
      <c r="Z540" s="183"/>
      <c r="AA540" s="183"/>
      <c r="AB540" s="73"/>
      <c r="AC540" s="153"/>
      <c r="AD540" s="331"/>
      <c r="AE540" s="57"/>
      <c r="AF540" s="88"/>
      <c r="AG540" s="182">
        <f>YEAR(V540)</f>
        <v>2024</v>
      </c>
      <c r="AH540" s="86" t="str">
        <f>+IF(AF540=$AI$22,MONTH(U540),"")</f>
        <v/>
      </c>
      <c r="AI540" s="86" t="str">
        <f>+IF(AG540=$AI$22,MONTH(V540),"")</f>
        <v/>
      </c>
      <c r="AJ540" s="86">
        <f>+IF(AG540=$AJ$22,MONTH(V540),"")</f>
        <v>10</v>
      </c>
      <c r="AK540" s="86" t="str">
        <f>+IF(AG540=$AK$22,MONTH(V540),"")</f>
        <v/>
      </c>
      <c r="AL540" s="86"/>
      <c r="AM540" s="89"/>
      <c r="AN540" s="89"/>
      <c r="AO540" s="89"/>
      <c r="AP540" s="89"/>
      <c r="AQ540" s="89"/>
      <c r="AR540" s="89"/>
      <c r="AS540" s="89"/>
      <c r="AT540" s="89"/>
      <c r="AU540" s="89"/>
      <c r="AV540" s="89"/>
      <c r="AW540" s="86" t="str">
        <f>+IF($AG540=AW$22,MONTH($D540),"")</f>
        <v/>
      </c>
      <c r="AX540" s="86" t="str">
        <f>+IF($AG540=AX$22,MONTH($D540),"")</f>
        <v/>
      </c>
      <c r="AY540" s="89"/>
      <c r="AZ540" s="89"/>
      <c r="BA540" s="89"/>
      <c r="BB540" s="89"/>
      <c r="BC540" s="89"/>
      <c r="BD540" s="89"/>
      <c r="BE540" s="89"/>
      <c r="BF540" s="89"/>
      <c r="BG540" s="89"/>
      <c r="BH540" s="89"/>
      <c r="BI540" s="89"/>
      <c r="BJ540" s="89"/>
      <c r="BK540" s="89"/>
      <c r="BL540" s="89"/>
      <c r="BM540" s="89"/>
      <c r="BN540" s="89"/>
      <c r="BO540" s="89"/>
      <c r="BP540" s="89"/>
    </row>
    <row r="541" spans="1:68" s="56" customFormat="1" ht="30.75" hidden="1" customHeight="1">
      <c r="A541" s="204" t="str">
        <f>+IFERROR(VALUE(MID(AB541,4,4)),"")</f>
        <v/>
      </c>
      <c r="B541" s="204">
        <f>VALUE(RIGHT(C541,LEN(C541)-2))</f>
        <v>2180</v>
      </c>
      <c r="C541" s="74" t="s">
        <v>2111</v>
      </c>
      <c r="D541" s="75">
        <v>45579</v>
      </c>
      <c r="E541" s="70" t="s">
        <v>2112</v>
      </c>
      <c r="F541" s="70" t="s">
        <v>2113</v>
      </c>
      <c r="G541" s="68" t="s">
        <v>2114</v>
      </c>
      <c r="H541" s="59" t="s">
        <v>2115</v>
      </c>
      <c r="I541" s="69" t="s">
        <v>2116</v>
      </c>
      <c r="J541" s="69"/>
      <c r="K541" s="68" t="s">
        <v>9</v>
      </c>
      <c r="L541" s="69" t="s">
        <v>120</v>
      </c>
      <c r="M541" s="71" t="s">
        <v>113</v>
      </c>
      <c r="N541" s="69" t="e" vm="2">
        <v>#VALUE!</v>
      </c>
      <c r="O541" s="164">
        <v>45579</v>
      </c>
      <c r="P541" s="72" t="s">
        <v>294</v>
      </c>
      <c r="Q541" s="72" t="s">
        <v>623</v>
      </c>
      <c r="R541" s="162"/>
      <c r="S541" s="146"/>
      <c r="T541" s="68" t="s">
        <v>165</v>
      </c>
      <c r="U541" s="87"/>
      <c r="V541" s="183">
        <v>45601</v>
      </c>
      <c r="W541" s="73">
        <v>1010</v>
      </c>
      <c r="X541" s="73">
        <v>54.4</v>
      </c>
      <c r="Y541" s="83">
        <f>IF(SUM(W541:W541)&gt;0,X541/SUM(W541:W541)*1000000,"N/A")</f>
        <v>53861.38613861386</v>
      </c>
      <c r="Z541" s="183"/>
      <c r="AA541" s="183"/>
      <c r="AB541" s="73"/>
      <c r="AC541" s="153"/>
      <c r="AD541" s="331"/>
      <c r="AE541" s="57"/>
      <c r="AF541" s="88"/>
      <c r="AG541" s="182">
        <f>YEAR(V541)</f>
        <v>2024</v>
      </c>
      <c r="AH541" s="86" t="str">
        <f>+IF(AF541=$AI$22,MONTH(U541),"")</f>
        <v/>
      </c>
      <c r="AI541" s="86" t="str">
        <f>+IF(AG541=$AI$22,MONTH(V541),"")</f>
        <v/>
      </c>
      <c r="AJ541" s="86">
        <f>+IF(AG541=$AJ$22,MONTH(V541),"")</f>
        <v>11</v>
      </c>
      <c r="AK541" s="86" t="str">
        <f>+IF(AG541=$AK$22,MONTH(V541),"")</f>
        <v/>
      </c>
      <c r="AL541" s="86"/>
      <c r="AM541" s="89"/>
      <c r="AN541" s="89"/>
      <c r="AO541" s="89"/>
      <c r="AP541" s="89"/>
      <c r="AQ541" s="89"/>
      <c r="AR541" s="89"/>
      <c r="AS541" s="89"/>
      <c r="AT541" s="89"/>
      <c r="AU541" s="89"/>
      <c r="AV541" s="89"/>
      <c r="AW541" s="86" t="str">
        <f>+IF($AG541=AW$22,MONTH($D541),"")</f>
        <v/>
      </c>
      <c r="AX541" s="86" t="str">
        <f>+IF($AG541=AX$22,MONTH($D541),"")</f>
        <v/>
      </c>
      <c r="AY541" s="89"/>
      <c r="AZ541" s="89"/>
      <c r="BA541" s="89"/>
      <c r="BB541" s="89"/>
      <c r="BC541" s="89"/>
      <c r="BD541" s="89"/>
      <c r="BE541" s="89"/>
      <c r="BF541" s="89"/>
      <c r="BG541" s="89"/>
      <c r="BH541" s="89"/>
      <c r="BI541" s="89"/>
      <c r="BJ541" s="89"/>
      <c r="BK541" s="89"/>
      <c r="BL541" s="89"/>
      <c r="BM541" s="89"/>
      <c r="BN541" s="89"/>
      <c r="BO541" s="89"/>
      <c r="BP541" s="89"/>
    </row>
    <row r="542" spans="1:68" s="56" customFormat="1" ht="30.75" hidden="1" customHeight="1">
      <c r="A542" s="204">
        <f>+IFERROR(VALUE(MID(AB542,4,4)),"")</f>
        <v>399</v>
      </c>
      <c r="B542" s="204">
        <f>VALUE(RIGHT(C542,LEN(C542)-2))</f>
        <v>2179</v>
      </c>
      <c r="C542" s="74" t="s">
        <v>2117</v>
      </c>
      <c r="D542" s="75">
        <v>45576</v>
      </c>
      <c r="E542" s="70" t="s">
        <v>473</v>
      </c>
      <c r="F542" s="70" t="s">
        <v>473</v>
      </c>
      <c r="G542" s="68" t="s">
        <v>2002</v>
      </c>
      <c r="H542" s="307" t="s">
        <v>2003</v>
      </c>
      <c r="I542" s="162" t="s">
        <v>2118</v>
      </c>
      <c r="J542" s="162"/>
      <c r="K542" s="68" t="s">
        <v>12</v>
      </c>
      <c r="L542" s="69" t="s">
        <v>129</v>
      </c>
      <c r="M542" s="71" t="s">
        <v>141</v>
      </c>
      <c r="N542" s="69" t="e" vm="1">
        <v>#VALUE!</v>
      </c>
      <c r="O542" s="164">
        <v>45579</v>
      </c>
      <c r="P542" s="72" t="s">
        <v>377</v>
      </c>
      <c r="Q542" s="72" t="s">
        <v>694</v>
      </c>
      <c r="R542" s="162"/>
      <c r="S542" s="146"/>
      <c r="T542" s="68" t="s">
        <v>3</v>
      </c>
      <c r="U542" s="87"/>
      <c r="V542" s="183">
        <v>45682</v>
      </c>
      <c r="W542" s="73">
        <v>46</v>
      </c>
      <c r="X542" s="73">
        <v>2.5</v>
      </c>
      <c r="Y542" s="83">
        <f>IF(SUM(W542:W542)&gt;0,X542/SUM(W542:W542)*1000000,"N/A")</f>
        <v>54347.82608695652</v>
      </c>
      <c r="Z542" s="183"/>
      <c r="AA542" s="183"/>
      <c r="AB542" s="73" t="s">
        <v>2119</v>
      </c>
      <c r="AC542" s="153"/>
      <c r="AD542" s="331"/>
      <c r="AE542" s="57"/>
      <c r="AF542" s="88"/>
      <c r="AG542" s="182">
        <f>YEAR(V542)</f>
        <v>2025</v>
      </c>
      <c r="AH542" s="86" t="str">
        <f>+IF(AF542=$AI$22,MONTH(U542),"")</f>
        <v/>
      </c>
      <c r="AI542" s="86">
        <f>+IF(AG542=$AI$22,MONTH(V542),"")</f>
        <v>1</v>
      </c>
      <c r="AJ542" s="86" t="str">
        <f>+IF(AG542=$AJ$22,MONTH(V542),"")</f>
        <v/>
      </c>
      <c r="AK542" s="86" t="str">
        <f>+IF(AG542=$AK$22,MONTH(V542),"")</f>
        <v/>
      </c>
      <c r="AL542" s="86"/>
      <c r="AM542" s="89"/>
      <c r="AN542" s="89"/>
      <c r="AO542" s="89"/>
      <c r="AP542" s="89"/>
      <c r="AQ542" s="89"/>
      <c r="AR542" s="89"/>
      <c r="AS542" s="89"/>
      <c r="AT542" s="89"/>
      <c r="AU542" s="89"/>
      <c r="AV542" s="89"/>
      <c r="AW542" s="86" t="str">
        <f>+IF($AG542=AW$22,MONTH($D542),"")</f>
        <v/>
      </c>
      <c r="AX542" s="86" t="str">
        <f>+IF($AG542=AX$22,MONTH($D542),"")</f>
        <v/>
      </c>
      <c r="AY542" s="89"/>
      <c r="AZ542" s="89"/>
      <c r="BA542" s="89"/>
      <c r="BB542" s="89"/>
      <c r="BC542" s="89"/>
      <c r="BD542" s="89"/>
      <c r="BE542" s="89"/>
      <c r="BF542" s="89"/>
      <c r="BG542" s="89"/>
      <c r="BH542" s="89"/>
      <c r="BI542" s="89"/>
      <c r="BJ542" s="89"/>
      <c r="BK542" s="89"/>
      <c r="BL542" s="89"/>
      <c r="BM542" s="89"/>
      <c r="BN542" s="89"/>
      <c r="BO542" s="89"/>
      <c r="BP542" s="89"/>
    </row>
    <row r="543" spans="1:68" s="56" customFormat="1" ht="32.25" hidden="1" customHeight="1">
      <c r="A543" s="204" t="str">
        <f>+IFERROR(VALUE(MID(AB543,4,4)),"")</f>
        <v/>
      </c>
      <c r="B543" s="204">
        <f>VALUE(RIGHT(C543,LEN(C543)-2))</f>
        <v>2178</v>
      </c>
      <c r="C543" s="74" t="s">
        <v>2120</v>
      </c>
      <c r="D543" s="75">
        <v>45574</v>
      </c>
      <c r="E543" s="70" t="s">
        <v>76</v>
      </c>
      <c r="F543" s="70" t="s">
        <v>53</v>
      </c>
      <c r="G543" s="68" t="s">
        <v>2121</v>
      </c>
      <c r="H543" s="282" t="s">
        <v>2122</v>
      </c>
      <c r="I543" s="69" t="s">
        <v>2123</v>
      </c>
      <c r="J543" s="69"/>
      <c r="K543" s="68" t="s">
        <v>9</v>
      </c>
      <c r="L543" s="69" t="s">
        <v>120</v>
      </c>
      <c r="M543" s="71" t="s">
        <v>141</v>
      </c>
      <c r="N543" s="69" t="e" vm="1">
        <v>#VALUE!</v>
      </c>
      <c r="O543" s="84">
        <v>45579</v>
      </c>
      <c r="P543" s="82" t="s">
        <v>2124</v>
      </c>
      <c r="Q543" s="72" t="s">
        <v>623</v>
      </c>
      <c r="R543" s="162"/>
      <c r="S543" s="146"/>
      <c r="T543" s="68" t="s">
        <v>155</v>
      </c>
      <c r="U543" s="87"/>
      <c r="V543" s="80">
        <v>45576</v>
      </c>
      <c r="W543" s="73"/>
      <c r="X543" s="150"/>
      <c r="Y543" s="83" t="str">
        <f>IF(SUM(W543:W543)&gt;0,X543/SUM(W543:W543)*1000000,"N/A")</f>
        <v>N/A</v>
      </c>
      <c r="Z543" s="80"/>
      <c r="AA543" s="80"/>
      <c r="AB543" s="73"/>
      <c r="AC543" s="153"/>
      <c r="AD543" s="331"/>
      <c r="AE543" s="57"/>
      <c r="AF543" s="88"/>
      <c r="AG543" s="182">
        <f>YEAR(V543)</f>
        <v>2024</v>
      </c>
      <c r="AH543" s="86" t="str">
        <f>+IF(AF543=$AI$22,MONTH(U543),"")</f>
        <v/>
      </c>
      <c r="AI543" s="86" t="str">
        <f>+IF(AG543=$AI$22,MONTH(V543),"")</f>
        <v/>
      </c>
      <c r="AJ543" s="86">
        <f>+IF(AG543=$AJ$22,MONTH(V543),"")</f>
        <v>10</v>
      </c>
      <c r="AK543" s="86" t="str">
        <f>+IF(AG543=$AK$22,MONTH(V543),"")</f>
        <v/>
      </c>
      <c r="AL543" s="86" t="str">
        <f>+IF(AG543=$AL$22,MONTH(V543),"")</f>
        <v/>
      </c>
      <c r="AM543" s="86" t="str">
        <f>+IF($AG543=$AM$22,MONTH($D543),"")</f>
        <v/>
      </c>
      <c r="AN543" s="89"/>
      <c r="AO543" s="89"/>
      <c r="AP543" s="89"/>
      <c r="AQ543" s="89"/>
      <c r="AR543" s="89"/>
      <c r="AS543" s="89"/>
      <c r="AT543" s="89"/>
      <c r="AU543" s="89"/>
      <c r="AV543" s="89"/>
      <c r="AW543" s="86" t="str">
        <f>+IF($AG543=AW$22,MONTH($D543),"")</f>
        <v/>
      </c>
      <c r="AX543" s="86" t="str">
        <f>+IF($AG543=AX$22,MONTH($D543),"")</f>
        <v/>
      </c>
      <c r="AY543" s="89"/>
      <c r="AZ543" s="89"/>
      <c r="BA543" s="89"/>
      <c r="BB543" s="89"/>
      <c r="BC543" s="89"/>
      <c r="BD543" s="89"/>
      <c r="BE543" s="89"/>
      <c r="BF543" s="89"/>
      <c r="BG543" s="89"/>
      <c r="BH543" s="89"/>
      <c r="BI543" s="89"/>
      <c r="BJ543" s="89"/>
      <c r="BK543" s="89"/>
      <c r="BL543" s="89"/>
      <c r="BM543" s="89"/>
      <c r="BN543" s="89"/>
      <c r="BO543" s="89"/>
      <c r="BP543" s="89"/>
    </row>
    <row r="544" spans="1:68" s="89" customFormat="1" ht="29.25" hidden="1" customHeight="1">
      <c r="A544" s="204">
        <f>+IFERROR(VALUE(MID(AB544,4,4)),"")</f>
        <v>368</v>
      </c>
      <c r="B544" s="204">
        <f>VALUE(RIGHT(C544,LEN(C544)-2))</f>
        <v>2177</v>
      </c>
      <c r="C544" s="74" t="s">
        <v>2125</v>
      </c>
      <c r="D544" s="75">
        <v>45574</v>
      </c>
      <c r="E544" s="70" t="s">
        <v>262</v>
      </c>
      <c r="F544" s="70" t="s">
        <v>270</v>
      </c>
      <c r="G544" s="68" t="s">
        <v>1493</v>
      </c>
      <c r="H544" s="282" t="s">
        <v>1494</v>
      </c>
      <c r="I544" s="69" t="s">
        <v>2126</v>
      </c>
      <c r="J544" s="69"/>
      <c r="K544" s="68" t="s">
        <v>9</v>
      </c>
      <c r="L544" s="68" t="s">
        <v>120</v>
      </c>
      <c r="M544" s="68" t="s">
        <v>141</v>
      </c>
      <c r="N544" s="69" t="e" vm="1">
        <v>#VALUE!</v>
      </c>
      <c r="O544" s="84">
        <v>45747</v>
      </c>
      <c r="P544" s="72" t="s">
        <v>369</v>
      </c>
      <c r="Q544" s="72" t="s">
        <v>623</v>
      </c>
      <c r="R544" s="162"/>
      <c r="S544" s="146"/>
      <c r="T544" s="68" t="s">
        <v>3</v>
      </c>
      <c r="U544" s="87"/>
      <c r="V544" s="80">
        <v>45741</v>
      </c>
      <c r="W544" s="73">
        <v>756</v>
      </c>
      <c r="X544" s="214">
        <v>32.5</v>
      </c>
      <c r="Y544" s="169">
        <f>IF(SUM(W544:W544)&gt;0,X544/SUM(W544:W544)*1000000,"N/A")</f>
        <v>42989.417989417991</v>
      </c>
      <c r="Z544" s="80"/>
      <c r="AA544" s="80"/>
      <c r="AB544" s="73" t="s">
        <v>2127</v>
      </c>
      <c r="AC544" s="153"/>
      <c r="AD544" s="331"/>
      <c r="AE544" s="57"/>
      <c r="AF544" s="88"/>
      <c r="AG544" s="182">
        <f>YEAR(V544)</f>
        <v>2025</v>
      </c>
      <c r="AH544" s="86" t="str">
        <f>+IF(AF544=$AI$22,MONTH(U544),"")</f>
        <v/>
      </c>
      <c r="AI544" s="86">
        <f>+IF(AG544=$AI$22,MONTH(V544),"")</f>
        <v>3</v>
      </c>
      <c r="AJ544" s="86" t="str">
        <f>+IF(AG544=$AJ$22,MONTH(V544),"")</f>
        <v/>
      </c>
      <c r="AK544" s="86" t="str">
        <f>+IF(AG544=$AK$22,MONTH(V544),"")</f>
        <v/>
      </c>
      <c r="AL544" s="86" t="str">
        <f>+IF(AG544=$AL$22,MONTH(V544),"")</f>
        <v/>
      </c>
      <c r="AM544" s="86" t="str">
        <f>+IF($AG544=$AM$22,MONTH($D544),"")</f>
        <v/>
      </c>
      <c r="AN544" s="89" t="str">
        <f>+IF($AG544=AN$22,MONTH($D544),"")</f>
        <v/>
      </c>
      <c r="AO544" s="89" t="str">
        <f>+IF($AG544=AO$22,MONTH($D544),"")</f>
        <v/>
      </c>
      <c r="AP544" s="89" t="str">
        <f>+IF($AG544=AP$22,MONTH($D544),"")</f>
        <v/>
      </c>
      <c r="AQ544" s="89" t="str">
        <f>+IF($AG544=AQ$22,MONTH($D544),"")</f>
        <v/>
      </c>
      <c r="AR544" s="89" t="str">
        <f>+IF($AG544=AR$22,MONTH($D544),"")</f>
        <v/>
      </c>
      <c r="AS544" s="89" t="str">
        <f>+IF($AG544=AS$22,MONTH($D544),"")</f>
        <v/>
      </c>
      <c r="AT544" s="89" t="str">
        <f>+IF($AG544=AT$22,MONTH($D544),"")</f>
        <v/>
      </c>
      <c r="AU544" s="89" t="str">
        <f>+IF($AG544=AU$22,MONTH($D544),"")</f>
        <v/>
      </c>
      <c r="AV544" s="89" t="str">
        <f>+IF($AG544=AV$22,MONTH($D544),"")</f>
        <v/>
      </c>
      <c r="AW544" s="86" t="str">
        <f>+IF($AG544=AW$22,MONTH($D544),"")</f>
        <v/>
      </c>
      <c r="AX544" s="86" t="str">
        <f>+IF($AG544=AX$22,MONTH($D544),"")</f>
        <v/>
      </c>
    </row>
    <row r="545" spans="1:68" s="56" customFormat="1" ht="28.5" hidden="1" customHeight="1">
      <c r="A545" s="204">
        <f>+IFERROR(VALUE(MID(AB545,4,4)),"")</f>
        <v>368</v>
      </c>
      <c r="B545" s="204">
        <f>VALUE(RIGHT(C545,LEN(C545)-2))</f>
        <v>2176</v>
      </c>
      <c r="C545" s="74" t="s">
        <v>2128</v>
      </c>
      <c r="D545" s="75">
        <v>45574</v>
      </c>
      <c r="E545" s="70" t="s">
        <v>262</v>
      </c>
      <c r="F545" s="70" t="s">
        <v>270</v>
      </c>
      <c r="G545" s="68" t="s">
        <v>436</v>
      </c>
      <c r="H545" s="282" t="s">
        <v>437</v>
      </c>
      <c r="I545" s="69" t="s">
        <v>2129</v>
      </c>
      <c r="J545" s="69"/>
      <c r="K545" s="68" t="s">
        <v>9</v>
      </c>
      <c r="L545" s="69" t="s">
        <v>120</v>
      </c>
      <c r="M545" s="71" t="s">
        <v>141</v>
      </c>
      <c r="N545" s="69" t="e" vm="1">
        <v>#VALUE!</v>
      </c>
      <c r="O545" s="84">
        <v>45681</v>
      </c>
      <c r="P545" s="72" t="s">
        <v>369</v>
      </c>
      <c r="Q545" s="72" t="s">
        <v>623</v>
      </c>
      <c r="R545" s="162"/>
      <c r="S545" s="146"/>
      <c r="T545" s="68" t="s">
        <v>3</v>
      </c>
      <c r="U545" s="87"/>
      <c r="V545" s="80">
        <v>45810</v>
      </c>
      <c r="W545" s="73">
        <v>3906</v>
      </c>
      <c r="X545" s="214">
        <v>153.80000000000001</v>
      </c>
      <c r="Y545" s="169">
        <f>IF(SUM(W545:W545)&gt;0,X545/SUM(W545:W545)*1000000,"N/A")</f>
        <v>39375.320020481318</v>
      </c>
      <c r="Z545" s="80"/>
      <c r="AA545" s="80"/>
      <c r="AB545" s="73" t="s">
        <v>2130</v>
      </c>
      <c r="AC545" s="153"/>
      <c r="AD545" s="331"/>
      <c r="AE545" s="57"/>
      <c r="AF545" s="88"/>
      <c r="AG545" s="182">
        <f>YEAR(V545)</f>
        <v>2025</v>
      </c>
      <c r="AH545" s="86" t="str">
        <f>+IF(AF545=$AI$22,MONTH(U545),"")</f>
        <v/>
      </c>
      <c r="AI545" s="86">
        <f>+IF(AG545=$AI$22,MONTH(V545),"")</f>
        <v>6</v>
      </c>
      <c r="AJ545" s="86" t="str">
        <f>+IF(AG545=$AJ$22,MONTH(V545),"")</f>
        <v/>
      </c>
      <c r="AK545" s="86" t="str">
        <f>+IF(AG545=$AK$22,MONTH(V545),"")</f>
        <v/>
      </c>
      <c r="AL545" s="86" t="str">
        <f>+IF(AG545=$AL$22,MONTH(V545),"")</f>
        <v/>
      </c>
      <c r="AM545" s="86" t="str">
        <f>+IF($AG545=$AM$22,MONTH($D545),"")</f>
        <v/>
      </c>
      <c r="AN545" s="89" t="str">
        <f>+IF($AG545=AN$22,MONTH($D545),"")</f>
        <v/>
      </c>
      <c r="AO545" s="89" t="str">
        <f>+IF($AG545=AO$22,MONTH($D545),"")</f>
        <v/>
      </c>
      <c r="AP545" s="89" t="str">
        <f>+IF($AG545=AP$22,MONTH($D545),"")</f>
        <v/>
      </c>
      <c r="AQ545" s="89" t="str">
        <f>+IF($AG545=AQ$22,MONTH($D545),"")</f>
        <v/>
      </c>
      <c r="AR545" s="89" t="str">
        <f>+IF($AG545=AR$22,MONTH($D545),"")</f>
        <v/>
      </c>
      <c r="AS545" s="89" t="str">
        <f>+IF($AG545=AS$22,MONTH($D545),"")</f>
        <v/>
      </c>
      <c r="AT545" s="89" t="str">
        <f>+IF($AG545=AT$22,MONTH($D545),"")</f>
        <v/>
      </c>
      <c r="AU545" s="89" t="str">
        <f>+IF($AG545=AU$22,MONTH($D545),"")</f>
        <v/>
      </c>
      <c r="AV545" s="89" t="str">
        <f>+IF($AG545=AV$22,MONTH($D545),"")</f>
        <v/>
      </c>
      <c r="AW545" s="86" t="str">
        <f>+IF($AG545=AW$22,MONTH($D545),"")</f>
        <v/>
      </c>
      <c r="AX545" s="86" t="str">
        <f>+IF($AG545=AX$22,MONTH($D545),"")</f>
        <v/>
      </c>
      <c r="AY545" s="89"/>
      <c r="AZ545" s="89"/>
      <c r="BA545" s="89"/>
      <c r="BB545" s="89"/>
      <c r="BC545" s="89"/>
      <c r="BD545" s="89"/>
      <c r="BE545" s="89"/>
      <c r="BF545" s="89"/>
      <c r="BG545" s="89"/>
      <c r="BH545" s="89"/>
      <c r="BI545" s="89"/>
      <c r="BJ545" s="89"/>
      <c r="BK545" s="89"/>
      <c r="BL545" s="89"/>
      <c r="BM545" s="89"/>
      <c r="BN545" s="89"/>
      <c r="BO545" s="89"/>
      <c r="BP545" s="89"/>
    </row>
    <row r="546" spans="1:68" s="56" customFormat="1" ht="37.5" hidden="1" customHeight="1">
      <c r="A546" s="204" t="str">
        <f>+IFERROR(VALUE(MID(AB546,4,4)),"")</f>
        <v/>
      </c>
      <c r="B546" s="204">
        <f>VALUE(RIGHT(C546,LEN(C546)-2))</f>
        <v>2175</v>
      </c>
      <c r="C546" s="74" t="s">
        <v>2131</v>
      </c>
      <c r="D546" s="75">
        <v>45574</v>
      </c>
      <c r="E546" s="70" t="s">
        <v>473</v>
      </c>
      <c r="F546" s="70" t="s">
        <v>473</v>
      </c>
      <c r="G546" s="68" t="s">
        <v>1983</v>
      </c>
      <c r="H546" s="307" t="s">
        <v>1984</v>
      </c>
      <c r="I546" s="69" t="s">
        <v>2132</v>
      </c>
      <c r="J546" s="69"/>
      <c r="K546" s="68" t="s">
        <v>944</v>
      </c>
      <c r="L546" s="69" t="s">
        <v>120</v>
      </c>
      <c r="M546" s="71" t="s">
        <v>141</v>
      </c>
      <c r="N546" s="69" t="e" vm="1">
        <v>#VALUE!</v>
      </c>
      <c r="O546" s="84">
        <v>45574</v>
      </c>
      <c r="P546" s="72" t="s">
        <v>377</v>
      </c>
      <c r="Q546" s="72" t="s">
        <v>316</v>
      </c>
      <c r="R546" s="162"/>
      <c r="S546" s="146" t="s">
        <v>2133</v>
      </c>
      <c r="T546" s="68" t="s">
        <v>155</v>
      </c>
      <c r="U546" s="87"/>
      <c r="V546" s="80">
        <v>45603</v>
      </c>
      <c r="W546" s="73"/>
      <c r="X546" s="73"/>
      <c r="Y546" s="169" t="str">
        <f>IF(SUM(W546:W546)&gt;0,X546/SUM(W546:W546)*1000000,"N/A")</f>
        <v>N/A</v>
      </c>
      <c r="Z546" s="80"/>
      <c r="AA546" s="80"/>
      <c r="AB546" s="73"/>
      <c r="AC546" s="153"/>
      <c r="AD546" s="330"/>
      <c r="AE546" s="305"/>
      <c r="AF546" s="88"/>
      <c r="AG546" s="182">
        <f>YEAR(D546)</f>
        <v>2024</v>
      </c>
      <c r="AH546" s="86" t="str">
        <f>+IF(AF546=$AI$22,MONTH(U546),"")</f>
        <v/>
      </c>
      <c r="AI546" s="86" t="str">
        <f>+IF(AG546=$AI$22,MONTH(V546),"")</f>
        <v/>
      </c>
      <c r="AJ546" s="86">
        <f>+IF(AG546=$AJ$22,MONTH(V546),"")</f>
        <v>11</v>
      </c>
      <c r="AK546" s="86" t="str">
        <f>+IF(AG546=$AK$22,MONTH(V546),"")</f>
        <v/>
      </c>
      <c r="AL546" s="86" t="str">
        <f>+IF(AG546=$AL$22,MONTH(V546),"")</f>
        <v/>
      </c>
      <c r="AM546" s="86" t="str">
        <f>+IF($AG546=$AM$22,MONTH($D546),"")</f>
        <v/>
      </c>
      <c r="AN546" s="89" t="str">
        <f>+IF($AG546=AN$22,MONTH($D546),"")</f>
        <v/>
      </c>
      <c r="AO546" s="89" t="str">
        <f>+IF($AG546=AO$22,MONTH($D546),"")</f>
        <v/>
      </c>
      <c r="AP546" s="89" t="str">
        <f>+IF($AG546=AP$22,MONTH($D546),"")</f>
        <v/>
      </c>
      <c r="AQ546" s="89" t="str">
        <f>+IF($AG546=AQ$22,MONTH($D546),"")</f>
        <v/>
      </c>
      <c r="AR546" s="89" t="str">
        <f>+IF($AG546=AR$22,MONTH($D546),"")</f>
        <v/>
      </c>
      <c r="AS546" s="89" t="str">
        <f>+IF($AG546=AS$22,MONTH($D546),"")</f>
        <v/>
      </c>
      <c r="AT546" s="89" t="str">
        <f>+IF($AG546=AT$22,MONTH($D546),"")</f>
        <v/>
      </c>
      <c r="AU546" s="89" t="str">
        <f>+IF($AG546=AU$22,MONTH($D546),"")</f>
        <v/>
      </c>
      <c r="AV546" s="89" t="str">
        <f>+IF($AG546=AV$22,MONTH($D546),"")</f>
        <v/>
      </c>
      <c r="AW546" s="86" t="str">
        <f>+IF($AG546=AW$22,MONTH($D546),"")</f>
        <v/>
      </c>
      <c r="AX546" s="86" t="str">
        <f>+IF($AG546=AX$22,MONTH($D546),"")</f>
        <v/>
      </c>
      <c r="AY546" s="89"/>
      <c r="AZ546" s="89"/>
      <c r="BA546" s="89"/>
      <c r="BB546" s="89"/>
      <c r="BC546" s="89"/>
      <c r="BD546" s="89"/>
      <c r="BE546" s="89"/>
      <c r="BF546" s="89"/>
      <c r="BG546" s="89"/>
      <c r="BH546" s="89"/>
      <c r="BI546" s="89"/>
      <c r="BJ546" s="89"/>
      <c r="BK546" s="89"/>
      <c r="BL546" s="89"/>
      <c r="BM546" s="89"/>
      <c r="BN546" s="89"/>
      <c r="BO546" s="89"/>
      <c r="BP546" s="89"/>
    </row>
    <row r="547" spans="1:68" s="56" customFormat="1" ht="39" hidden="1" customHeight="1">
      <c r="A547" s="204" t="str">
        <f>+IFERROR(VALUE(MID(AB547,4,4)),"")</f>
        <v/>
      </c>
      <c r="B547" s="204">
        <f>VALUE(RIGHT(C547,LEN(C547)-2))</f>
        <v>2174</v>
      </c>
      <c r="C547" s="74" t="s">
        <v>2134</v>
      </c>
      <c r="D547" s="75">
        <v>45567</v>
      </c>
      <c r="E547" s="70" t="s">
        <v>53</v>
      </c>
      <c r="F547" s="70" t="s">
        <v>53</v>
      </c>
      <c r="G547" s="68" t="s">
        <v>210</v>
      </c>
      <c r="H547" s="304" t="s">
        <v>210</v>
      </c>
      <c r="I547" s="162" t="s">
        <v>2135</v>
      </c>
      <c r="J547" s="162"/>
      <c r="K547" s="68" t="s">
        <v>212</v>
      </c>
      <c r="L547" s="69" t="s">
        <v>123</v>
      </c>
      <c r="M547" s="71" t="s">
        <v>141</v>
      </c>
      <c r="N547" s="69" t="e" vm="1">
        <v>#VALUE!</v>
      </c>
      <c r="O547" s="164">
        <v>45622</v>
      </c>
      <c r="P547" s="72" t="s">
        <v>701</v>
      </c>
      <c r="Q547" s="72" t="s">
        <v>259</v>
      </c>
      <c r="R547" s="162"/>
      <c r="S547" s="146" t="s">
        <v>1882</v>
      </c>
      <c r="T547" s="68" t="s">
        <v>165</v>
      </c>
      <c r="U547" s="87"/>
      <c r="V547" s="183">
        <v>45910</v>
      </c>
      <c r="W547" s="73">
        <v>1000</v>
      </c>
      <c r="X547" s="73">
        <v>42</v>
      </c>
      <c r="Y547" s="83">
        <f>IF(SUM(W547:W547)&gt;0,X547/SUM(W547:W547)*1000000,"N/A")</f>
        <v>42000</v>
      </c>
      <c r="Z547" s="183"/>
      <c r="AA547" s="183"/>
      <c r="AB547" s="73"/>
      <c r="AC547" s="153"/>
      <c r="AD547" s="330"/>
      <c r="AE547" s="305"/>
      <c r="AF547" s="88"/>
      <c r="AG547" s="182">
        <f>YEAR(V547)</f>
        <v>2025</v>
      </c>
      <c r="AH547" s="86" t="str">
        <f>+IF(AF547=$AI$22,MONTH(U547),"")</f>
        <v/>
      </c>
      <c r="AI547" s="86">
        <f>+IF(AG547=$AI$22,MONTH(V547),"")</f>
        <v>9</v>
      </c>
      <c r="AJ547" s="86" t="str">
        <f>+IF(AG547=$AJ$22,MONTH(V547),"")</f>
        <v/>
      </c>
      <c r="AK547" s="86" t="str">
        <f>+IF(AG547=$AK$22,MONTH(V547),"")</f>
        <v/>
      </c>
      <c r="AL547" s="86"/>
      <c r="AM547" s="89"/>
      <c r="AN547" s="89"/>
      <c r="AO547" s="89"/>
      <c r="AP547" s="89"/>
      <c r="AQ547" s="89"/>
      <c r="AR547" s="89"/>
      <c r="AS547" s="89"/>
      <c r="AT547" s="89"/>
      <c r="AU547" s="89"/>
      <c r="AV547" s="89"/>
      <c r="AW547" s="86" t="str">
        <f>+IF($AG547=AW$22,MONTH($D547),"")</f>
        <v/>
      </c>
      <c r="AX547" s="86" t="str">
        <f>+IF($AG547=AX$22,MONTH($D547),"")</f>
        <v/>
      </c>
      <c r="AY547" s="89"/>
      <c r="AZ547" s="89"/>
      <c r="BA547" s="89"/>
      <c r="BB547" s="89"/>
      <c r="BC547" s="89"/>
      <c r="BD547" s="89"/>
      <c r="BE547" s="89"/>
      <c r="BF547" s="89"/>
      <c r="BG547" s="89"/>
      <c r="BH547" s="89"/>
      <c r="BI547" s="89"/>
      <c r="BJ547" s="89"/>
      <c r="BK547" s="89"/>
      <c r="BL547" s="89"/>
      <c r="BM547" s="89"/>
      <c r="BN547" s="89"/>
      <c r="BO547" s="89"/>
      <c r="BP547" s="89"/>
    </row>
    <row r="548" spans="1:68" s="56" customFormat="1" ht="54" hidden="1" customHeight="1">
      <c r="A548" s="204">
        <f>+IFERROR(VALUE(MID(AB548,4,4)),"")</f>
        <v>412</v>
      </c>
      <c r="B548" s="204">
        <f>VALUE(RIGHT(C548,LEN(C548)-2))</f>
        <v>2173</v>
      </c>
      <c r="C548" s="74" t="s">
        <v>2136</v>
      </c>
      <c r="D548" s="75">
        <v>45569</v>
      </c>
      <c r="E548" s="70" t="s">
        <v>1321</v>
      </c>
      <c r="F548" s="70" t="s">
        <v>353</v>
      </c>
      <c r="G548" s="68" t="s">
        <v>2137</v>
      </c>
      <c r="H548" s="282"/>
      <c r="I548" s="69" t="s">
        <v>2138</v>
      </c>
      <c r="J548" s="69"/>
      <c r="K548" s="68" t="s">
        <v>13</v>
      </c>
      <c r="L548" s="69" t="s">
        <v>120</v>
      </c>
      <c r="M548" s="71" t="s">
        <v>141</v>
      </c>
      <c r="N548" s="69" t="e" vm="1">
        <v>#VALUE!</v>
      </c>
      <c r="O548" s="84">
        <v>45587</v>
      </c>
      <c r="P548" s="82" t="s">
        <v>402</v>
      </c>
      <c r="Q548" s="72" t="s">
        <v>623</v>
      </c>
      <c r="R548" s="162"/>
      <c r="S548" s="146"/>
      <c r="T548" s="68" t="s">
        <v>3</v>
      </c>
      <c r="U548" s="87"/>
      <c r="V548" s="80">
        <v>45601</v>
      </c>
      <c r="W548" s="73">
        <v>4193</v>
      </c>
      <c r="X548" s="150">
        <v>206.4</v>
      </c>
      <c r="Y548" s="83">
        <f>IF(SUM(W548:W548)&gt;0,X548/SUM(W548:W548)*1000000,"N/A")</f>
        <v>49224.898640591462</v>
      </c>
      <c r="Z548" s="80"/>
      <c r="AA548" s="80"/>
      <c r="AB548" s="73" t="s">
        <v>2139</v>
      </c>
      <c r="AC548" s="153"/>
      <c r="AD548" s="331"/>
      <c r="AE548" s="57"/>
      <c r="AF548" s="88"/>
      <c r="AG548" s="182">
        <f>YEAR(V548)</f>
        <v>2024</v>
      </c>
      <c r="AH548" s="86" t="str">
        <f>+IF(AF548=$AI$22,MONTH(U548),"")</f>
        <v/>
      </c>
      <c r="AI548" s="86" t="str">
        <f>+IF(AG548=$AI$22,MONTH(V548),"")</f>
        <v/>
      </c>
      <c r="AJ548" s="86">
        <f>+IF(AG548=$AJ$22,MONTH(V548),"")</f>
        <v>11</v>
      </c>
      <c r="AK548" s="86" t="str">
        <f>+IF(AG548=$AK$22,MONTH(V548),"")</f>
        <v/>
      </c>
      <c r="AL548" s="86" t="str">
        <f>+IF(AG548=$AL$22,MONTH(V548),"")</f>
        <v/>
      </c>
      <c r="AM548" s="86" t="str">
        <f>+IF($AG548=$AM$22,MONTH($D548),"")</f>
        <v/>
      </c>
      <c r="AN548" s="89"/>
      <c r="AO548" s="89"/>
      <c r="AP548" s="89"/>
      <c r="AQ548" s="89"/>
      <c r="AR548" s="89"/>
      <c r="AS548" s="89"/>
      <c r="AT548" s="89"/>
      <c r="AU548" s="89"/>
      <c r="AV548" s="89"/>
      <c r="AW548" s="86" t="str">
        <f>+IF($AG548=AW$22,MONTH($D548),"")</f>
        <v/>
      </c>
      <c r="AX548" s="86" t="str">
        <f>+IF($AG548=AX$22,MONTH($D548),"")</f>
        <v/>
      </c>
      <c r="AY548" s="89"/>
      <c r="AZ548" s="89"/>
      <c r="BA548" s="89"/>
      <c r="BB548" s="89"/>
      <c r="BC548" s="89"/>
      <c r="BD548" s="89"/>
      <c r="BE548" s="89"/>
      <c r="BF548" s="89"/>
      <c r="BG548" s="89"/>
      <c r="BH548" s="89"/>
      <c r="BI548" s="89"/>
      <c r="BJ548" s="89"/>
      <c r="BK548" s="89"/>
      <c r="BL548" s="89"/>
      <c r="BM548" s="89"/>
      <c r="BN548" s="89"/>
      <c r="BO548" s="89"/>
      <c r="BP548" s="89"/>
    </row>
    <row r="549" spans="1:68" s="56" customFormat="1" ht="54" hidden="1" customHeight="1">
      <c r="A549" s="204" t="str">
        <f>+IFERROR(VALUE(MID(AB549,4,4)),"")</f>
        <v/>
      </c>
      <c r="B549" s="204">
        <f>VALUE(RIGHT(C549,LEN(C549)-2))</f>
        <v>2172</v>
      </c>
      <c r="C549" s="74" t="s">
        <v>2140</v>
      </c>
      <c r="D549" s="75">
        <v>45568</v>
      </c>
      <c r="E549" s="70" t="s">
        <v>473</v>
      </c>
      <c r="F549" s="70" t="s">
        <v>473</v>
      </c>
      <c r="G549" s="68" t="s">
        <v>1983</v>
      </c>
      <c r="H549" s="59" t="s">
        <v>1984</v>
      </c>
      <c r="I549" s="162" t="s">
        <v>2141</v>
      </c>
      <c r="J549" s="162"/>
      <c r="K549" s="68" t="s">
        <v>13</v>
      </c>
      <c r="L549" s="69" t="s">
        <v>120</v>
      </c>
      <c r="M549" s="71" t="s">
        <v>141</v>
      </c>
      <c r="N549" s="69" t="e" vm="1">
        <v>#VALUE!</v>
      </c>
      <c r="O549" s="164">
        <v>45586</v>
      </c>
      <c r="P549" s="82" t="s">
        <v>749</v>
      </c>
      <c r="Q549" s="72" t="s">
        <v>259</v>
      </c>
      <c r="R549" s="162"/>
      <c r="S549" s="146"/>
      <c r="T549" s="68" t="s">
        <v>165</v>
      </c>
      <c r="U549" s="87"/>
      <c r="V549" s="183">
        <v>45568</v>
      </c>
      <c r="W549" s="73">
        <v>8150</v>
      </c>
      <c r="X549" s="73">
        <v>357</v>
      </c>
      <c r="Y549" s="83">
        <f>IF(SUM(W549:W549)&gt;0,X549/SUM(W549:W549)*1000000,"N/A")</f>
        <v>43803.680981595091</v>
      </c>
      <c r="Z549" s="183"/>
      <c r="AA549" s="183"/>
      <c r="AB549" s="73"/>
      <c r="AC549" s="153"/>
      <c r="AD549" s="331"/>
      <c r="AE549" s="57"/>
      <c r="AF549" s="88"/>
      <c r="AG549" s="182">
        <f>YEAR(V549)</f>
        <v>2024</v>
      </c>
      <c r="AH549" s="86" t="str">
        <f>+IF(AF549=$AI$22,MONTH(U549),"")</f>
        <v/>
      </c>
      <c r="AI549" s="86" t="str">
        <f>+IF(AG549=$AI$22,MONTH(V549),"")</f>
        <v/>
      </c>
      <c r="AJ549" s="86">
        <f>+IF(AG549=$AJ$22,MONTH(V549),"")</f>
        <v>10</v>
      </c>
      <c r="AK549" s="86" t="str">
        <f>+IF(AG549=$AK$22,MONTH(V549),"")</f>
        <v/>
      </c>
      <c r="AL549" s="86"/>
      <c r="AM549" s="89"/>
      <c r="AN549" s="89"/>
      <c r="AO549" s="89"/>
      <c r="AP549" s="89"/>
      <c r="AQ549" s="89"/>
      <c r="AR549" s="89"/>
      <c r="AS549" s="89"/>
      <c r="AT549" s="89"/>
      <c r="AU549" s="89"/>
      <c r="AV549" s="89"/>
      <c r="AW549" s="86" t="str">
        <f>+IF($AG549=AW$22,MONTH($D549),"")</f>
        <v/>
      </c>
      <c r="AX549" s="86" t="str">
        <f>+IF($AG549=AX$22,MONTH($D549),"")</f>
        <v/>
      </c>
      <c r="AY549" s="89"/>
      <c r="AZ549" s="89"/>
      <c r="BA549" s="89"/>
      <c r="BB549" s="89"/>
      <c r="BC549" s="89"/>
      <c r="BD549" s="89"/>
      <c r="BE549" s="89"/>
      <c r="BF549" s="89"/>
      <c r="BG549" s="89"/>
      <c r="BH549" s="89"/>
      <c r="BI549" s="89"/>
      <c r="BJ549" s="89"/>
      <c r="BK549" s="89"/>
      <c r="BL549" s="89"/>
      <c r="BM549" s="89"/>
      <c r="BN549" s="89"/>
      <c r="BO549" s="89"/>
      <c r="BP549" s="89"/>
    </row>
    <row r="550" spans="1:68" s="56" customFormat="1" ht="54" hidden="1" customHeight="1">
      <c r="A550" s="204" t="str">
        <f>+IFERROR(VALUE(MID(AB550,4,4)),"")</f>
        <v/>
      </c>
      <c r="B550" s="204">
        <f>VALUE(RIGHT(C550,LEN(C550)-2))</f>
        <v>2171</v>
      </c>
      <c r="C550" s="74" t="s">
        <v>2142</v>
      </c>
      <c r="D550" s="75">
        <v>45567</v>
      </c>
      <c r="E550" s="70" t="s">
        <v>53</v>
      </c>
      <c r="F550" s="70" t="s">
        <v>313</v>
      </c>
      <c r="G550" s="68" t="s">
        <v>210</v>
      </c>
      <c r="H550" s="304" t="s">
        <v>210</v>
      </c>
      <c r="I550" s="162" t="s">
        <v>2143</v>
      </c>
      <c r="J550" s="162"/>
      <c r="K550" s="68" t="s">
        <v>9</v>
      </c>
      <c r="L550" s="69" t="s">
        <v>123</v>
      </c>
      <c r="M550" s="71" t="s">
        <v>141</v>
      </c>
      <c r="N550" s="69" t="e" vm="1">
        <v>#VALUE!</v>
      </c>
      <c r="O550" s="164">
        <v>45631</v>
      </c>
      <c r="P550" s="72" t="s">
        <v>2144</v>
      </c>
      <c r="Q550" s="72" t="s">
        <v>259</v>
      </c>
      <c r="R550" s="162"/>
      <c r="S550" s="146"/>
      <c r="T550" s="68" t="s">
        <v>155</v>
      </c>
      <c r="U550" s="87"/>
      <c r="V550" s="183">
        <v>45568</v>
      </c>
      <c r="W550" s="73"/>
      <c r="X550" s="73"/>
      <c r="Y550" s="83" t="str">
        <f>IF(SUM(W550:W550)&gt;0,X550/SUM(W550:W550)*1000000,"N/A")</f>
        <v>N/A</v>
      </c>
      <c r="Z550" s="183"/>
      <c r="AA550" s="183"/>
      <c r="AB550" s="73"/>
      <c r="AC550" s="153"/>
      <c r="AD550" s="330"/>
      <c r="AE550" s="305"/>
      <c r="AF550" s="88"/>
      <c r="AG550" s="182">
        <f>YEAR(V550)</f>
        <v>2024</v>
      </c>
      <c r="AH550" s="86" t="str">
        <f>+IF(AF550=$AI$22,MONTH(U550),"")</f>
        <v/>
      </c>
      <c r="AI550" s="86" t="str">
        <f>+IF(AG550=$AI$22,MONTH(V550),"")</f>
        <v/>
      </c>
      <c r="AJ550" s="86">
        <f>+IF(AG550=$AJ$22,MONTH(V550),"")</f>
        <v>10</v>
      </c>
      <c r="AK550" s="86" t="str">
        <f>+IF(AG550=$AK$22,MONTH(V550),"")</f>
        <v/>
      </c>
      <c r="AL550" s="86"/>
      <c r="AM550" s="89"/>
      <c r="AN550" s="89"/>
      <c r="AO550" s="89"/>
      <c r="AP550" s="89"/>
      <c r="AQ550" s="89"/>
      <c r="AR550" s="89"/>
      <c r="AS550" s="89"/>
      <c r="AT550" s="89"/>
      <c r="AU550" s="89"/>
      <c r="AV550" s="89"/>
      <c r="AW550" s="86" t="str">
        <f>+IF($AG550=AW$22,MONTH($D550),"")</f>
        <v/>
      </c>
      <c r="AX550" s="86" t="str">
        <f>+IF($AG550=AX$22,MONTH($D550),"")</f>
        <v/>
      </c>
      <c r="AY550" s="89"/>
      <c r="AZ550" s="89"/>
      <c r="BA550" s="89"/>
      <c r="BB550" s="89"/>
      <c r="BC550" s="89"/>
      <c r="BD550" s="89"/>
      <c r="BE550" s="89"/>
      <c r="BF550" s="89"/>
      <c r="BG550" s="89"/>
      <c r="BH550" s="89"/>
      <c r="BI550" s="89"/>
      <c r="BJ550" s="89"/>
      <c r="BK550" s="89"/>
      <c r="BL550" s="89"/>
      <c r="BM550" s="89"/>
      <c r="BN550" s="89"/>
      <c r="BO550" s="89"/>
      <c r="BP550" s="89"/>
    </row>
    <row r="551" spans="1:68" s="56" customFormat="1" ht="54" hidden="1" customHeight="1">
      <c r="A551" s="204">
        <f>+IFERROR(VALUE(MID(AB551,4,4)),"")</f>
        <v>357</v>
      </c>
      <c r="B551" s="204">
        <f>VALUE(RIGHT(C551,LEN(C551)-2))</f>
        <v>2170</v>
      </c>
      <c r="C551" s="74" t="s">
        <v>2145</v>
      </c>
      <c r="D551" s="75">
        <v>45568</v>
      </c>
      <c r="E551" s="70" t="s">
        <v>262</v>
      </c>
      <c r="F551" s="70" t="s">
        <v>263</v>
      </c>
      <c r="G551" s="68" t="s">
        <v>2146</v>
      </c>
      <c r="H551" s="307" t="s">
        <v>410</v>
      </c>
      <c r="I551" s="162" t="s">
        <v>2147</v>
      </c>
      <c r="J551" s="162"/>
      <c r="K551" s="68" t="s">
        <v>13</v>
      </c>
      <c r="L551" s="69" t="s">
        <v>129</v>
      </c>
      <c r="M551" s="71" t="s">
        <v>141</v>
      </c>
      <c r="N551" s="69" t="e" vm="1">
        <v>#VALUE!</v>
      </c>
      <c r="O551" s="164">
        <v>45572</v>
      </c>
      <c r="P551" s="72" t="s">
        <v>364</v>
      </c>
      <c r="Q551" s="72" t="s">
        <v>389</v>
      </c>
      <c r="R551" s="162"/>
      <c r="S551" s="146"/>
      <c r="T551" s="68" t="s">
        <v>155</v>
      </c>
      <c r="U551" s="87"/>
      <c r="V551" s="183">
        <v>45568</v>
      </c>
      <c r="W551" s="73"/>
      <c r="X551" s="73"/>
      <c r="Y551" s="83" t="str">
        <f>IF(SUM(W551:W551)&gt;0,X551/SUM(W551:W551)*1000000,"N/A")</f>
        <v>N/A</v>
      </c>
      <c r="Z551" s="183"/>
      <c r="AA551" s="183"/>
      <c r="AB551" s="73" t="s">
        <v>2148</v>
      </c>
      <c r="AC551" s="153"/>
      <c r="AD551" s="330"/>
      <c r="AE551" s="305"/>
      <c r="AF551" s="88"/>
      <c r="AG551" s="182">
        <f>YEAR(V551)</f>
        <v>2024</v>
      </c>
      <c r="AH551" s="86" t="str">
        <f>+IF(AF551=$AI$22,MONTH(U551),"")</f>
        <v/>
      </c>
      <c r="AI551" s="86" t="str">
        <f>+IF(AG551=$AI$22,MONTH(V551),"")</f>
        <v/>
      </c>
      <c r="AJ551" s="86">
        <f>+IF(AG551=$AJ$22,MONTH(V551),"")</f>
        <v>10</v>
      </c>
      <c r="AK551" s="86" t="str">
        <f>+IF(AG551=$AK$22,MONTH(V551),"")</f>
        <v/>
      </c>
      <c r="AL551" s="86"/>
      <c r="AM551" s="89"/>
      <c r="AN551" s="89"/>
      <c r="AO551" s="89"/>
      <c r="AP551" s="89"/>
      <c r="AQ551" s="89"/>
      <c r="AR551" s="89"/>
      <c r="AS551" s="89"/>
      <c r="AT551" s="89"/>
      <c r="AU551" s="89"/>
      <c r="AV551" s="89"/>
      <c r="AW551" s="86" t="str">
        <f>+IF($AG551=AW$22,MONTH($D551),"")</f>
        <v/>
      </c>
      <c r="AX551" s="86" t="str">
        <f>+IF($AG551=AX$22,MONTH($D551),"")</f>
        <v/>
      </c>
      <c r="AY551" s="89"/>
      <c r="AZ551" s="89"/>
      <c r="BA551" s="89"/>
      <c r="BB551" s="89"/>
      <c r="BC551" s="89"/>
      <c r="BD551" s="89"/>
      <c r="BE551" s="89"/>
      <c r="BF551" s="89"/>
      <c r="BG551" s="89"/>
      <c r="BH551" s="89"/>
      <c r="BI551" s="89"/>
      <c r="BJ551" s="89"/>
      <c r="BK551" s="89"/>
      <c r="BL551" s="89"/>
      <c r="BM551" s="89"/>
      <c r="BN551" s="89"/>
      <c r="BO551" s="89"/>
      <c r="BP551" s="89"/>
    </row>
    <row r="552" spans="1:68" s="56" customFormat="1" ht="54" hidden="1" customHeight="1">
      <c r="A552" s="204" t="str">
        <f>+IFERROR(VALUE(MID(AB552,4,4)),"")</f>
        <v/>
      </c>
      <c r="B552" s="204">
        <f>VALUE(RIGHT(C552,LEN(C552)-2))</f>
        <v>2169</v>
      </c>
      <c r="C552" s="74" t="s">
        <v>2149</v>
      </c>
      <c r="D552" s="75">
        <v>45568</v>
      </c>
      <c r="E552" s="70" t="s">
        <v>2150</v>
      </c>
      <c r="F552" s="70" t="s">
        <v>2150</v>
      </c>
      <c r="G552" s="68" t="s">
        <v>2151</v>
      </c>
      <c r="H552" s="307" t="s">
        <v>2152</v>
      </c>
      <c r="I552" s="162" t="s">
        <v>2153</v>
      </c>
      <c r="J552" s="162"/>
      <c r="K552" s="68" t="s">
        <v>12</v>
      </c>
      <c r="L552" s="69" t="s">
        <v>120</v>
      </c>
      <c r="M552" s="71" t="s">
        <v>113</v>
      </c>
      <c r="N552" s="69" t="e" vm="2">
        <v>#VALUE!</v>
      </c>
      <c r="O552" s="164">
        <v>45568</v>
      </c>
      <c r="P552" s="72" t="s">
        <v>483</v>
      </c>
      <c r="Q552" s="72" t="s">
        <v>623</v>
      </c>
      <c r="R552" s="162"/>
      <c r="S552" s="146"/>
      <c r="T552" s="68" t="s">
        <v>165</v>
      </c>
      <c r="U552" s="87"/>
      <c r="V552" s="183">
        <v>45814</v>
      </c>
      <c r="W552" s="73">
        <v>19198</v>
      </c>
      <c r="X552" s="73">
        <v>774</v>
      </c>
      <c r="Y552" s="83">
        <f>IF(SUM(W552:W552)&gt;0,X552/SUM(W552:W552)*1000000,"N/A")</f>
        <v>40316.699656214194</v>
      </c>
      <c r="Z552" s="183"/>
      <c r="AA552" s="183"/>
      <c r="AB552" s="73"/>
      <c r="AC552" s="153"/>
      <c r="AD552" s="330"/>
      <c r="AE552" s="305"/>
      <c r="AF552" s="88"/>
      <c r="AG552" s="182">
        <f>YEAR(V552)</f>
        <v>2025</v>
      </c>
      <c r="AH552" s="86" t="str">
        <f>+IF(AF552=$AI$22,MONTH(U552),"")</f>
        <v/>
      </c>
      <c r="AI552" s="86">
        <f>+IF(AG552=$AI$22,MONTH(V552),"")</f>
        <v>6</v>
      </c>
      <c r="AJ552" s="86" t="str">
        <f>+IF(AG552=$AJ$22,MONTH(V552),"")</f>
        <v/>
      </c>
      <c r="AK552" s="86" t="str">
        <f>+IF(AG552=$AK$22,MONTH(V552),"")</f>
        <v/>
      </c>
      <c r="AL552" s="86"/>
      <c r="AM552" s="89"/>
      <c r="AN552" s="89"/>
      <c r="AO552" s="89"/>
      <c r="AP552" s="89"/>
      <c r="AQ552" s="89"/>
      <c r="AR552" s="89"/>
      <c r="AS552" s="89"/>
      <c r="AT552" s="89"/>
      <c r="AU552" s="89"/>
      <c r="AV552" s="89"/>
      <c r="AW552" s="86" t="str">
        <f>+IF($AG552=AW$22,MONTH($D552),"")</f>
        <v/>
      </c>
      <c r="AX552" s="86" t="str">
        <f>+IF($AG552=AX$22,MONTH($D552),"")</f>
        <v/>
      </c>
      <c r="AY552" s="89"/>
      <c r="AZ552" s="89"/>
      <c r="BA552" s="89"/>
      <c r="BB552" s="89"/>
      <c r="BC552" s="89"/>
      <c r="BD552" s="89"/>
      <c r="BE552" s="89"/>
      <c r="BF552" s="89"/>
      <c r="BG552" s="89"/>
      <c r="BH552" s="89"/>
      <c r="BI552" s="89"/>
      <c r="BJ552" s="89"/>
      <c r="BK552" s="89"/>
      <c r="BL552" s="89"/>
      <c r="BM552" s="89"/>
      <c r="BN552" s="89"/>
      <c r="BO552" s="89"/>
      <c r="BP552" s="89"/>
    </row>
    <row r="553" spans="1:68" s="56" customFormat="1" ht="30" hidden="1" customHeight="1">
      <c r="A553" s="204" t="str">
        <f>+IFERROR(VALUE(MID(AB553,4,4)),"")</f>
        <v/>
      </c>
      <c r="B553" s="204">
        <f>VALUE(RIGHT(C553,LEN(C553)-2))</f>
        <v>2168</v>
      </c>
      <c r="C553" s="74" t="s">
        <v>2154</v>
      </c>
      <c r="D553" s="75">
        <v>45567</v>
      </c>
      <c r="E553" s="70" t="s">
        <v>479</v>
      </c>
      <c r="F553" s="70" t="s">
        <v>479</v>
      </c>
      <c r="G553" s="68" t="s">
        <v>698</v>
      </c>
      <c r="H553" s="307" t="s">
        <v>699</v>
      </c>
      <c r="I553" s="162" t="s">
        <v>2155</v>
      </c>
      <c r="J553" s="162"/>
      <c r="K553" s="68" t="s">
        <v>12</v>
      </c>
      <c r="L553" s="69" t="s">
        <v>129</v>
      </c>
      <c r="M553" s="71" t="s">
        <v>113</v>
      </c>
      <c r="N553" s="69" t="e" vm="2">
        <v>#VALUE!</v>
      </c>
      <c r="O553" s="164">
        <v>45568</v>
      </c>
      <c r="P553" s="72" t="s">
        <v>294</v>
      </c>
      <c r="Q553" s="72" t="s">
        <v>229</v>
      </c>
      <c r="R553" s="162"/>
      <c r="S553" s="146"/>
      <c r="T553" s="68" t="s">
        <v>165</v>
      </c>
      <c r="U553" s="87"/>
      <c r="V553" s="183">
        <v>45820</v>
      </c>
      <c r="W553" s="73">
        <v>769</v>
      </c>
      <c r="X553" s="73">
        <v>25.4</v>
      </c>
      <c r="Y553" s="83">
        <f>IF(SUM(W553:W553)&gt;0,X553/SUM(W553:W553)*1000000,"N/A")</f>
        <v>33029.908972691803</v>
      </c>
      <c r="Z553" s="183"/>
      <c r="AA553" s="183"/>
      <c r="AB553" s="73"/>
      <c r="AC553" s="153"/>
      <c r="AD553" s="330"/>
      <c r="AE553" s="305"/>
      <c r="AF553" s="88"/>
      <c r="AG553" s="182">
        <f>YEAR(V553)</f>
        <v>2025</v>
      </c>
      <c r="AH553" s="86" t="str">
        <f>+IF(AF553=$AI$22,MONTH(U553),"")</f>
        <v/>
      </c>
      <c r="AI553" s="86">
        <f>+IF(AG553=$AI$22,MONTH(V553),"")</f>
        <v>6</v>
      </c>
      <c r="AJ553" s="86" t="str">
        <f>+IF(AG553=$AJ$22,MONTH(V553),"")</f>
        <v/>
      </c>
      <c r="AK553" s="86" t="str">
        <f>+IF(AG553=$AK$22,MONTH(V553),"")</f>
        <v/>
      </c>
      <c r="AL553" s="86"/>
      <c r="AM553" s="89"/>
      <c r="AN553" s="89"/>
      <c r="AO553" s="89"/>
      <c r="AP553" s="89"/>
      <c r="AQ553" s="89"/>
      <c r="AR553" s="89"/>
      <c r="AS553" s="89"/>
      <c r="AT553" s="89"/>
      <c r="AU553" s="89"/>
      <c r="AV553" s="89"/>
      <c r="AW553" s="86" t="str">
        <f>+IF($AG553=AW$22,MONTH($D553),"")</f>
        <v/>
      </c>
      <c r="AX553" s="86" t="str">
        <f>+IF($AG553=AX$22,MONTH($D553),"")</f>
        <v/>
      </c>
      <c r="AY553" s="89"/>
      <c r="AZ553" s="89"/>
      <c r="BA553" s="89"/>
      <c r="BB553" s="89"/>
      <c r="BC553" s="89"/>
      <c r="BD553" s="89"/>
      <c r="BE553" s="89"/>
      <c r="BF553" s="89"/>
      <c r="BG553" s="89"/>
      <c r="BH553" s="89"/>
      <c r="BI553" s="89"/>
      <c r="BJ553" s="89"/>
      <c r="BK553" s="89"/>
      <c r="BL553" s="89"/>
      <c r="BM553" s="89"/>
      <c r="BN553" s="89"/>
      <c r="BO553" s="89"/>
      <c r="BP553" s="89"/>
    </row>
    <row r="554" spans="1:68" s="89" customFormat="1" ht="29.25" hidden="1" customHeight="1">
      <c r="A554" s="204" t="str">
        <f>+IFERROR(VALUE(MID(AB554,4,4)),"")</f>
        <v/>
      </c>
      <c r="B554" s="204">
        <f>VALUE(RIGHT(C554,LEN(C554)-2))</f>
        <v>2167</v>
      </c>
      <c r="C554" s="74" t="s">
        <v>2156</v>
      </c>
      <c r="D554" s="75">
        <v>45567</v>
      </c>
      <c r="E554" s="70" t="s">
        <v>53</v>
      </c>
      <c r="F554" s="70" t="s">
        <v>209</v>
      </c>
      <c r="G554" s="68" t="s">
        <v>210</v>
      </c>
      <c r="H554" s="304" t="s">
        <v>210</v>
      </c>
      <c r="I554" s="162" t="s">
        <v>2157</v>
      </c>
      <c r="J554" s="162"/>
      <c r="K554" s="68" t="s">
        <v>11</v>
      </c>
      <c r="L554" s="68" t="s">
        <v>123</v>
      </c>
      <c r="M554" s="68" t="s">
        <v>141</v>
      </c>
      <c r="N554" s="69" t="e" vm="1">
        <v>#VALUE!</v>
      </c>
      <c r="O554" s="164">
        <v>45621</v>
      </c>
      <c r="P554" s="72" t="s">
        <v>377</v>
      </c>
      <c r="Q554" s="72" t="s">
        <v>644</v>
      </c>
      <c r="R554" s="162"/>
      <c r="S554" s="146"/>
      <c r="T554" s="68" t="s">
        <v>155</v>
      </c>
      <c r="U554" s="87"/>
      <c r="V554" s="183">
        <v>45567</v>
      </c>
      <c r="W554" s="73"/>
      <c r="X554" s="73"/>
      <c r="Y554" s="83" t="str">
        <f>IF(SUM(W554:W554)&gt;0,X554/SUM(W554:W554)*1000000,"N/A")</f>
        <v>N/A</v>
      </c>
      <c r="Z554" s="183"/>
      <c r="AA554" s="183"/>
      <c r="AB554" s="73"/>
      <c r="AC554" s="153"/>
      <c r="AD554" s="330"/>
      <c r="AE554" s="305"/>
      <c r="AF554" s="88"/>
      <c r="AG554" s="182">
        <f>YEAR(V554)</f>
        <v>2024</v>
      </c>
      <c r="AH554" s="86" t="str">
        <f>+IF(AF554=$AI$22,MONTH(U554),"")</f>
        <v/>
      </c>
      <c r="AI554" s="86" t="str">
        <f>+IF(AG554=$AI$22,MONTH(V554),"")</f>
        <v/>
      </c>
      <c r="AJ554" s="86">
        <f>+IF(AG554=$AJ$22,MONTH(V554),"")</f>
        <v>10</v>
      </c>
      <c r="AK554" s="86" t="str">
        <f>+IF(AG554=$AK$22,MONTH(V554),"")</f>
        <v/>
      </c>
      <c r="AL554" s="86"/>
      <c r="AW554" s="86" t="str">
        <f>+IF($AG554=AW$22,MONTH($D554),"")</f>
        <v/>
      </c>
      <c r="AX554" s="86" t="str">
        <f>+IF($AG554=AX$22,MONTH($D554),"")</f>
        <v/>
      </c>
    </row>
    <row r="555" spans="1:68" s="89" customFormat="1" ht="30" hidden="1" customHeight="1">
      <c r="A555" s="204" t="str">
        <f>+IFERROR(VALUE(MID(AB555,4,4)),"")</f>
        <v/>
      </c>
      <c r="B555" s="204">
        <f>VALUE(RIGHT(C555,LEN(C555)-2))</f>
        <v>2166</v>
      </c>
      <c r="C555" s="74" t="s">
        <v>2158</v>
      </c>
      <c r="D555" s="75">
        <v>45566</v>
      </c>
      <c r="E555" s="70" t="s">
        <v>53</v>
      </c>
      <c r="F555" s="70" t="s">
        <v>630</v>
      </c>
      <c r="G555" s="68" t="s">
        <v>210</v>
      </c>
      <c r="H555" s="304" t="s">
        <v>210</v>
      </c>
      <c r="I555" s="162" t="s">
        <v>2159</v>
      </c>
      <c r="J555" s="162"/>
      <c r="K555" s="68" t="s">
        <v>212</v>
      </c>
      <c r="L555" s="68" t="s">
        <v>123</v>
      </c>
      <c r="M555" s="68" t="s">
        <v>141</v>
      </c>
      <c r="N555" s="69" t="e" vm="1">
        <v>#VALUE!</v>
      </c>
      <c r="O555" s="164">
        <v>45593</v>
      </c>
      <c r="P555" s="72" t="s">
        <v>285</v>
      </c>
      <c r="Q555" s="72" t="s">
        <v>694</v>
      </c>
      <c r="R555" s="162"/>
      <c r="S555" s="146"/>
      <c r="T555" s="68" t="s">
        <v>155</v>
      </c>
      <c r="U555" s="87"/>
      <c r="V555" s="183">
        <v>45566</v>
      </c>
      <c r="W555" s="73"/>
      <c r="X555" s="73"/>
      <c r="Y555" s="83" t="str">
        <f>IF(SUM(W555:W555)&gt;0,X555/SUM(W555:W555)*1000000,"N/A")</f>
        <v>N/A</v>
      </c>
      <c r="Z555" s="183"/>
      <c r="AA555" s="183"/>
      <c r="AB555" s="73"/>
      <c r="AC555" s="153"/>
      <c r="AD555" s="330"/>
      <c r="AE555" s="305"/>
      <c r="AF555" s="88"/>
      <c r="AG555" s="182">
        <f>YEAR(V555)</f>
        <v>2024</v>
      </c>
      <c r="AH555" s="86" t="str">
        <f>+IF(AF555=$AI$22,MONTH(U555),"")</f>
        <v/>
      </c>
      <c r="AI555" s="86" t="str">
        <f>+IF(AG555=$AI$22,MONTH(V555),"")</f>
        <v/>
      </c>
      <c r="AJ555" s="86">
        <f>+IF(AG555=$AJ$22,MONTH(V555),"")</f>
        <v>10</v>
      </c>
      <c r="AK555" s="86" t="str">
        <f>+IF(AG555=$AK$22,MONTH(V555),"")</f>
        <v/>
      </c>
      <c r="AL555" s="86"/>
      <c r="AW555" s="86" t="str">
        <f>+IF($AG555=AW$22,MONTH($D555),"")</f>
        <v/>
      </c>
      <c r="AX555" s="86" t="str">
        <f>+IF($AG555=AX$22,MONTH($D555),"")</f>
        <v/>
      </c>
    </row>
    <row r="556" spans="1:68" s="303" customFormat="1" ht="30.75" hidden="1" customHeight="1">
      <c r="A556" s="204">
        <f>+IFERROR(VALUE(MID(AB556,4,4)),"")</f>
        <v>417</v>
      </c>
      <c r="B556" s="204">
        <f>VALUE(RIGHT(C556,LEN(C556)-2))</f>
        <v>2165</v>
      </c>
      <c r="C556" s="74" t="s">
        <v>2160</v>
      </c>
      <c r="D556" s="75">
        <v>45565</v>
      </c>
      <c r="E556" s="70" t="s">
        <v>685</v>
      </c>
      <c r="F556" s="70" t="s">
        <v>685</v>
      </c>
      <c r="G556" s="68" t="s">
        <v>1682</v>
      </c>
      <c r="H556" s="282" t="s">
        <v>1683</v>
      </c>
      <c r="I556" s="162" t="s">
        <v>1684</v>
      </c>
      <c r="J556" s="162"/>
      <c r="K556" s="68" t="s">
        <v>13</v>
      </c>
      <c r="L556" s="69" t="s">
        <v>120</v>
      </c>
      <c r="M556" s="71" t="s">
        <v>141</v>
      </c>
      <c r="N556" s="69" t="e" vm="1">
        <v>#VALUE!</v>
      </c>
      <c r="O556" s="164">
        <v>45572</v>
      </c>
      <c r="P556" s="72" t="s">
        <v>737</v>
      </c>
      <c r="Q556" s="72" t="s">
        <v>240</v>
      </c>
      <c r="R556" s="162"/>
      <c r="S556" s="146"/>
      <c r="T556" s="68" t="s">
        <v>3</v>
      </c>
      <c r="U556" s="87"/>
      <c r="V556" s="183">
        <v>45594</v>
      </c>
      <c r="W556" s="73">
        <v>310</v>
      </c>
      <c r="X556" s="73">
        <v>18.5</v>
      </c>
      <c r="Y556" s="83">
        <f>IF(SUM(W556:W556)&gt;0,X556/SUM(W556:W556)*1000000,"N/A")</f>
        <v>59677.419354838712</v>
      </c>
      <c r="Z556" s="183"/>
      <c r="AA556" s="183"/>
      <c r="AB556" s="73" t="s">
        <v>2161</v>
      </c>
      <c r="AC556" s="153"/>
      <c r="AD556" s="331"/>
      <c r="AE556" s="57"/>
      <c r="AF556" s="88"/>
      <c r="AG556" s="182">
        <f>YEAR(V556)</f>
        <v>2024</v>
      </c>
      <c r="AH556" s="86" t="str">
        <f>+IF(AF556=$AI$22,MONTH(U556),"")</f>
        <v/>
      </c>
      <c r="AI556" s="86" t="str">
        <f>+IF(AG556=$AI$22,MONTH(V556),"")</f>
        <v/>
      </c>
      <c r="AJ556" s="86">
        <f>+IF(AG556=$AJ$22,MONTH(V556),"")</f>
        <v>10</v>
      </c>
      <c r="AK556" s="86" t="str">
        <f>+IF(AG556=$AK$22,MONTH(V556),"")</f>
        <v/>
      </c>
      <c r="AL556" s="86"/>
      <c r="AM556" s="89"/>
      <c r="AN556" s="89"/>
      <c r="AO556" s="89"/>
      <c r="AP556" s="89"/>
      <c r="AQ556" s="89"/>
      <c r="AR556" s="89"/>
      <c r="AS556" s="89"/>
      <c r="AT556" s="89"/>
      <c r="AU556" s="89"/>
      <c r="AV556" s="89"/>
      <c r="AW556" s="86" t="str">
        <f>+IF($AG556=AW$22,MONTH($D556),"")</f>
        <v/>
      </c>
      <c r="AX556" s="86" t="str">
        <f>+IF($AG556=AX$22,MONTH($D556),"")</f>
        <v/>
      </c>
      <c r="AY556" s="89"/>
      <c r="AZ556" s="89"/>
      <c r="BA556" s="89"/>
      <c r="BB556" s="89"/>
      <c r="BC556" s="89"/>
      <c r="BD556" s="89"/>
      <c r="BE556" s="89"/>
      <c r="BF556" s="89"/>
      <c r="BG556" s="89"/>
      <c r="BH556" s="89"/>
      <c r="BI556" s="89"/>
      <c r="BJ556" s="89"/>
      <c r="BK556" s="89"/>
      <c r="BL556" s="89"/>
      <c r="BM556" s="89"/>
      <c r="BN556" s="89"/>
      <c r="BO556" s="89"/>
      <c r="BP556" s="89"/>
    </row>
    <row r="557" spans="1:68" s="56" customFormat="1" ht="30" hidden="1" customHeight="1">
      <c r="A557" s="204" t="str">
        <f>+IFERROR(VALUE(MID(AB557,4,4)),"")</f>
        <v/>
      </c>
      <c r="B557" s="204">
        <f>VALUE(RIGHT(C557,LEN(C557)-2))</f>
        <v>2164</v>
      </c>
      <c r="C557" s="74" t="s">
        <v>2162</v>
      </c>
      <c r="D557" s="75">
        <v>45565</v>
      </c>
      <c r="E557" s="70" t="s">
        <v>1546</v>
      </c>
      <c r="F557" s="70" t="s">
        <v>263</v>
      </c>
      <c r="G557" s="68" t="s">
        <v>2163</v>
      </c>
      <c r="H557" s="282" t="s">
        <v>2164</v>
      </c>
      <c r="I557" s="69" t="s">
        <v>2165</v>
      </c>
      <c r="J557" s="69"/>
      <c r="K557" s="68" t="s">
        <v>12</v>
      </c>
      <c r="L557" s="69" t="s">
        <v>120</v>
      </c>
      <c r="M557" s="71" t="s">
        <v>141</v>
      </c>
      <c r="N557" s="69" t="e" vm="1">
        <v>#VALUE!</v>
      </c>
      <c r="O557" s="84">
        <v>45569</v>
      </c>
      <c r="P557" s="72" t="s">
        <v>274</v>
      </c>
      <c r="Q557" s="72" t="s">
        <v>623</v>
      </c>
      <c r="R557" s="162"/>
      <c r="S557" s="146" t="s">
        <v>2166</v>
      </c>
      <c r="T557" s="68" t="s">
        <v>165</v>
      </c>
      <c r="U557" s="87"/>
      <c r="V557" s="80">
        <v>45565</v>
      </c>
      <c r="W557" s="73">
        <v>4182</v>
      </c>
      <c r="X557" s="73">
        <f>5531*37900/1000000</f>
        <v>209.6249</v>
      </c>
      <c r="Y557" s="169">
        <f>IF(SUM(W557:W557)&gt;0,X557/SUM(W557:W557)*1000000,"N/A")</f>
        <v>50125.514108082258</v>
      </c>
      <c r="Z557" s="80"/>
      <c r="AA557" s="80"/>
      <c r="AB557" s="73"/>
      <c r="AC557" s="153"/>
      <c r="AD557" s="331"/>
      <c r="AE557" s="57"/>
      <c r="AF557" s="88"/>
      <c r="AG557" s="182">
        <f>YEAR(D557)</f>
        <v>2024</v>
      </c>
      <c r="AH557" s="86" t="str">
        <f>+IF(AF557=$AI$22,MONTH(U557),"")</f>
        <v/>
      </c>
      <c r="AI557" s="86" t="str">
        <f>+IF(AG557=$AI$22,MONTH(V557),"")</f>
        <v/>
      </c>
      <c r="AJ557" s="86">
        <f>+IF(AG557=$AJ$22,MONTH(V557),"")</f>
        <v>9</v>
      </c>
      <c r="AK557" s="86" t="str">
        <f>+IF(AG557=$AK$22,MONTH(V557),"")</f>
        <v/>
      </c>
      <c r="AL557" s="86" t="str">
        <f>+IF(AG557=$AL$22,MONTH(V557),"")</f>
        <v/>
      </c>
      <c r="AM557" s="86" t="str">
        <f>+IF($AG557=$AM$22,MONTH($D557),"")</f>
        <v/>
      </c>
      <c r="AN557" s="89" t="str">
        <f>+IF($AG557=AN$22,MONTH($D557),"")</f>
        <v/>
      </c>
      <c r="AO557" s="89" t="str">
        <f>+IF($AG557=AO$22,MONTH($D557),"")</f>
        <v/>
      </c>
      <c r="AP557" s="89" t="str">
        <f>+IF($AG557=AP$22,MONTH($D557),"")</f>
        <v/>
      </c>
      <c r="AQ557" s="89" t="str">
        <f>+IF($AG557=AQ$22,MONTH($D557),"")</f>
        <v/>
      </c>
      <c r="AR557" s="89" t="str">
        <f>+IF($AG557=AR$22,MONTH($D557),"")</f>
        <v/>
      </c>
      <c r="AS557" s="89" t="str">
        <f>+IF($AG557=AS$22,MONTH($D557),"")</f>
        <v/>
      </c>
      <c r="AT557" s="89" t="str">
        <f>+IF($AG557=AT$22,MONTH($D557),"")</f>
        <v/>
      </c>
      <c r="AU557" s="89" t="str">
        <f>+IF($AG557=AU$22,MONTH($D557),"")</f>
        <v/>
      </c>
      <c r="AV557" s="89" t="str">
        <f>+IF($AG557=AV$22,MONTH($D557),"")</f>
        <v/>
      </c>
      <c r="AW557" s="86" t="str">
        <f>+IF($AG557=AW$22,MONTH($D557),"")</f>
        <v/>
      </c>
      <c r="AX557" s="86" t="str">
        <f>+IF($AG557=AX$22,MONTH($D557),"")</f>
        <v/>
      </c>
      <c r="AY557" s="89"/>
      <c r="AZ557" s="89"/>
      <c r="BA557" s="89"/>
      <c r="BB557" s="89"/>
      <c r="BC557" s="89"/>
      <c r="BD557" s="89"/>
      <c r="BE557" s="89"/>
      <c r="BF557" s="89"/>
      <c r="BG557" s="89"/>
      <c r="BH557" s="89"/>
      <c r="BI557" s="89"/>
      <c r="BJ557" s="89"/>
      <c r="BK557" s="89"/>
      <c r="BL557" s="89"/>
      <c r="BM557" s="89"/>
      <c r="BN557" s="89"/>
      <c r="BO557" s="89"/>
      <c r="BP557" s="89"/>
    </row>
    <row r="558" spans="1:68" s="89" customFormat="1" ht="29.25" hidden="1" customHeight="1">
      <c r="A558" s="204">
        <f>+IFERROR(VALUE(MID(AB558,4,4)),"")</f>
        <v>399</v>
      </c>
      <c r="B558" s="204">
        <f>VALUE(RIGHT(C558,LEN(C558)-2))</f>
        <v>2163</v>
      </c>
      <c r="C558" s="74" t="s">
        <v>2167</v>
      </c>
      <c r="D558" s="75">
        <v>45565</v>
      </c>
      <c r="E558" s="70" t="s">
        <v>473</v>
      </c>
      <c r="F558" s="70" t="s">
        <v>473</v>
      </c>
      <c r="G558" s="68" t="s">
        <v>2002</v>
      </c>
      <c r="H558" s="307" t="s">
        <v>2003</v>
      </c>
      <c r="I558" s="162" t="s">
        <v>2168</v>
      </c>
      <c r="J558" s="162"/>
      <c r="K558" s="68" t="s">
        <v>12</v>
      </c>
      <c r="L558" s="68" t="s">
        <v>129</v>
      </c>
      <c r="M558" s="68" t="s">
        <v>141</v>
      </c>
      <c r="N558" s="69" t="e" vm="1">
        <v>#VALUE!</v>
      </c>
      <c r="O558" s="164">
        <v>45572</v>
      </c>
      <c r="P558" s="72" t="s">
        <v>377</v>
      </c>
      <c r="Q558" s="72" t="s">
        <v>694</v>
      </c>
      <c r="R558" s="162"/>
      <c r="S558" s="146"/>
      <c r="T558" s="68" t="s">
        <v>155</v>
      </c>
      <c r="U558" s="87"/>
      <c r="V558" s="183">
        <v>45685</v>
      </c>
      <c r="W558" s="73"/>
      <c r="X558" s="73"/>
      <c r="Y558" s="83" t="str">
        <f>IF(SUM(W558:W558)&gt;0,X558/SUM(W558:W558)*1000000,"N/A")</f>
        <v>N/A</v>
      </c>
      <c r="Z558" s="183"/>
      <c r="AA558" s="183"/>
      <c r="AB558" s="73" t="s">
        <v>2169</v>
      </c>
      <c r="AC558" s="153"/>
      <c r="AD558" s="331"/>
      <c r="AE558" s="57"/>
      <c r="AF558" s="88"/>
      <c r="AG558" s="182">
        <f>YEAR(V558)</f>
        <v>2025</v>
      </c>
      <c r="AH558" s="86" t="str">
        <f>+IF(AF558=$AI$22,MONTH(U558),"")</f>
        <v/>
      </c>
      <c r="AI558" s="86">
        <f>+IF(AG558=$AI$22,MONTH(V558),"")</f>
        <v>1</v>
      </c>
      <c r="AJ558" s="86" t="str">
        <f>+IF(AG558=$AJ$22,MONTH(V558),"")</f>
        <v/>
      </c>
      <c r="AK558" s="86" t="str">
        <f>+IF(AG558=$AK$22,MONTH(V558),"")</f>
        <v/>
      </c>
      <c r="AL558" s="86"/>
      <c r="AW558" s="86" t="str">
        <f>+IF($AG558=AW$22,MONTH($D558),"")</f>
        <v/>
      </c>
      <c r="AX558" s="86" t="str">
        <f>+IF($AG558=AX$22,MONTH($D558),"")</f>
        <v/>
      </c>
    </row>
    <row r="559" spans="1:68" s="56" customFormat="1" ht="30" hidden="1" customHeight="1">
      <c r="A559" s="204">
        <f>+IFERROR(VALUE(MID(AB559,4,4)),"")</f>
        <v>368</v>
      </c>
      <c r="B559" s="204">
        <f>VALUE(RIGHT(C559,LEN(C559)-2))</f>
        <v>2162</v>
      </c>
      <c r="C559" s="74" t="s">
        <v>2170</v>
      </c>
      <c r="D559" s="75">
        <v>45560</v>
      </c>
      <c r="E559" s="70" t="s">
        <v>262</v>
      </c>
      <c r="F559" s="70" t="s">
        <v>270</v>
      </c>
      <c r="G559" s="68" t="s">
        <v>2171</v>
      </c>
      <c r="H559" s="282" t="s">
        <v>2172</v>
      </c>
      <c r="I559" s="69" t="s">
        <v>2173</v>
      </c>
      <c r="J559" s="69"/>
      <c r="K559" s="68" t="s">
        <v>12</v>
      </c>
      <c r="L559" s="69" t="s">
        <v>120</v>
      </c>
      <c r="M559" s="71" t="s">
        <v>141</v>
      </c>
      <c r="N559" s="69" t="e" vm="1">
        <v>#VALUE!</v>
      </c>
      <c r="O559" s="84">
        <v>45372</v>
      </c>
      <c r="P559" s="72" t="s">
        <v>402</v>
      </c>
      <c r="Q559" s="72" t="s">
        <v>623</v>
      </c>
      <c r="R559" s="162"/>
      <c r="S559" s="146" t="s">
        <v>2166</v>
      </c>
      <c r="T559" s="68" t="s">
        <v>3</v>
      </c>
      <c r="U559" s="87"/>
      <c r="V559" s="80">
        <v>45560</v>
      </c>
      <c r="W559" s="73">
        <v>2503</v>
      </c>
      <c r="X559" s="73">
        <v>99.7</v>
      </c>
      <c r="Y559" s="169">
        <f>IF(SUM(W559:W559)&gt;0,X559/SUM(W559:W559)*1000000,"N/A")</f>
        <v>39832.201358369959</v>
      </c>
      <c r="Z559" s="80"/>
      <c r="AA559" s="80"/>
      <c r="AB559" s="73" t="s">
        <v>2174</v>
      </c>
      <c r="AC559" s="153"/>
      <c r="AD559" s="331"/>
      <c r="AE559" s="57"/>
      <c r="AF559" s="88"/>
      <c r="AG559" s="182">
        <f>YEAR(V559)</f>
        <v>2024</v>
      </c>
      <c r="AH559" s="86" t="str">
        <f>+IF(AF559=$AI$22,MONTH(U559),"")</f>
        <v/>
      </c>
      <c r="AI559" s="86" t="str">
        <f>+IF(AG559=$AI$22,MONTH(V559),"")</f>
        <v/>
      </c>
      <c r="AJ559" s="86">
        <f>+IF(AG559=$AJ$22,MONTH(V559),"")</f>
        <v>9</v>
      </c>
      <c r="AK559" s="86" t="str">
        <f>+IF(AG559=$AK$22,MONTH(V559),"")</f>
        <v/>
      </c>
      <c r="AL559" s="86" t="str">
        <f>+IF(AG559=$AL$22,MONTH(V559),"")</f>
        <v/>
      </c>
      <c r="AM559" s="86" t="str">
        <f>+IF($AG559=$AM$22,MONTH($D559),"")</f>
        <v/>
      </c>
      <c r="AN559" s="89" t="str">
        <f>+IF($AG559=AN$22,MONTH($D559),"")</f>
        <v/>
      </c>
      <c r="AO559" s="89" t="str">
        <f>+IF($AG559=AO$22,MONTH($D559),"")</f>
        <v/>
      </c>
      <c r="AP559" s="89" t="str">
        <f>+IF($AG559=AP$22,MONTH($D559),"")</f>
        <v/>
      </c>
      <c r="AQ559" s="89" t="str">
        <f>+IF($AG559=AQ$22,MONTH($D559),"")</f>
        <v/>
      </c>
      <c r="AR559" s="89" t="str">
        <f>+IF($AG559=AR$22,MONTH($D559),"")</f>
        <v/>
      </c>
      <c r="AS559" s="89" t="str">
        <f>+IF($AG559=AS$22,MONTH($D559),"")</f>
        <v/>
      </c>
      <c r="AT559" s="89" t="str">
        <f>+IF($AG559=AT$22,MONTH($D559),"")</f>
        <v/>
      </c>
      <c r="AU559" s="89" t="str">
        <f>+IF($AG559=AU$22,MONTH($D559),"")</f>
        <v/>
      </c>
      <c r="AV559" s="89" t="str">
        <f>+IF($AG559=AV$22,MONTH($D559),"")</f>
        <v/>
      </c>
      <c r="AW559" s="86" t="str">
        <f>+IF($AG559=AW$22,MONTH($D559),"")</f>
        <v/>
      </c>
      <c r="AX559" s="86" t="str">
        <f>+IF($AG559=AX$22,MONTH($D559),"")</f>
        <v/>
      </c>
      <c r="AY559" s="89"/>
      <c r="AZ559" s="89"/>
      <c r="BA559" s="89"/>
      <c r="BB559" s="89"/>
      <c r="BC559" s="89"/>
      <c r="BD559" s="89"/>
      <c r="BE559" s="89"/>
      <c r="BF559" s="89"/>
      <c r="BG559" s="89"/>
      <c r="BH559" s="89"/>
      <c r="BI559" s="89"/>
      <c r="BJ559" s="89"/>
      <c r="BK559" s="89"/>
      <c r="BL559" s="89"/>
      <c r="BM559" s="89"/>
      <c r="BN559" s="89"/>
      <c r="BO559" s="89"/>
      <c r="BP559" s="89"/>
    </row>
    <row r="560" spans="1:68" s="56" customFormat="1" ht="31.5" hidden="1" customHeight="1">
      <c r="A560" s="204">
        <f>+IFERROR(VALUE(MID(AB560,4,4)),"")</f>
        <v>407</v>
      </c>
      <c r="B560" s="204">
        <f>VALUE(RIGHT(C560,LEN(C560)-2))</f>
        <v>2161</v>
      </c>
      <c r="C560" s="74" t="s">
        <v>2175</v>
      </c>
      <c r="D560" s="75">
        <v>45561</v>
      </c>
      <c r="E560" s="70" t="s">
        <v>353</v>
      </c>
      <c r="F560" s="70" t="s">
        <v>354</v>
      </c>
      <c r="G560" s="68" t="s">
        <v>2176</v>
      </c>
      <c r="H560" s="282" t="s">
        <v>2177</v>
      </c>
      <c r="I560" s="162" t="s">
        <v>2178</v>
      </c>
      <c r="J560" s="162"/>
      <c r="K560" s="68" t="s">
        <v>9</v>
      </c>
      <c r="L560" s="69" t="s">
        <v>120</v>
      </c>
      <c r="M560" s="71" t="s">
        <v>141</v>
      </c>
      <c r="N560" s="69" t="e" vm="1">
        <v>#VALUE!</v>
      </c>
      <c r="O560" s="164">
        <v>45565</v>
      </c>
      <c r="P560" s="72" t="s">
        <v>369</v>
      </c>
      <c r="Q560" s="72" t="s">
        <v>694</v>
      </c>
      <c r="R560" s="162"/>
      <c r="S560" s="146"/>
      <c r="T560" s="68" t="s">
        <v>3</v>
      </c>
      <c r="U560" s="87">
        <v>0</v>
      </c>
      <c r="V560" s="183">
        <v>45561</v>
      </c>
      <c r="W560" s="73">
        <v>500</v>
      </c>
      <c r="X560" s="73">
        <v>23.8</v>
      </c>
      <c r="Y560" s="83">
        <f>IF(SUM(W560:W560)&gt;0,X560/SUM(W560:W560)*1000000,"N/A")</f>
        <v>47600</v>
      </c>
      <c r="Z560" s="183"/>
      <c r="AA560" s="183"/>
      <c r="AB560" s="73" t="s">
        <v>2179</v>
      </c>
      <c r="AC560" s="153"/>
      <c r="AD560" s="331"/>
      <c r="AE560" s="57"/>
      <c r="AF560" s="88"/>
      <c r="AG560" s="182">
        <f>YEAR(V560)</f>
        <v>2024</v>
      </c>
      <c r="AH560" s="86" t="str">
        <f>+IF(AF560=$AI$22,MONTH(U560),"")</f>
        <v/>
      </c>
      <c r="AI560" s="86" t="str">
        <f>+IF(AG560=$AI$22,MONTH(V560),"")</f>
        <v/>
      </c>
      <c r="AJ560" s="86">
        <f>+IF(AG560=$AJ$22,MONTH(V560),"")</f>
        <v>9</v>
      </c>
      <c r="AK560" s="86" t="str">
        <f>+IF(AG560=$AK$22,MONTH(V560),"")</f>
        <v/>
      </c>
      <c r="AL560" s="86"/>
      <c r="AM560" s="89"/>
      <c r="AN560" s="89"/>
      <c r="AO560" s="89"/>
      <c r="AP560" s="89"/>
      <c r="AQ560" s="89"/>
      <c r="AR560" s="89"/>
      <c r="AS560" s="89"/>
      <c r="AT560" s="89"/>
      <c r="AU560" s="89"/>
      <c r="AV560" s="89"/>
      <c r="AW560" s="86" t="str">
        <f>+IF($AG560=AW$22,MONTH($D560),"")</f>
        <v/>
      </c>
      <c r="AX560" s="86" t="str">
        <f>+IF($AG560=AX$22,MONTH($D560),"")</f>
        <v/>
      </c>
      <c r="AY560" s="89"/>
      <c r="AZ560" s="89"/>
      <c r="BA560" s="89"/>
      <c r="BB560" s="89"/>
      <c r="BC560" s="89"/>
      <c r="BD560" s="89"/>
      <c r="BE560" s="89"/>
      <c r="BF560" s="89"/>
      <c r="BG560" s="89"/>
      <c r="BH560" s="89"/>
      <c r="BI560" s="89"/>
      <c r="BJ560" s="89"/>
      <c r="BK560" s="89"/>
      <c r="BL560" s="89"/>
      <c r="BM560" s="89"/>
      <c r="BN560" s="89"/>
      <c r="BO560" s="89"/>
      <c r="BP560" s="89"/>
    </row>
    <row r="561" spans="1:68" s="56" customFormat="1" ht="30" hidden="1" customHeight="1">
      <c r="A561" s="204" t="str">
        <f>+IFERROR(VALUE(MID(AB561,4,4)),"")</f>
        <v/>
      </c>
      <c r="B561" s="204">
        <f>VALUE(RIGHT(C561,LEN(C561)-2))</f>
        <v>2160</v>
      </c>
      <c r="C561" s="74" t="s">
        <v>2180</v>
      </c>
      <c r="D561" s="75">
        <v>45561</v>
      </c>
      <c r="E561" s="70" t="s">
        <v>53</v>
      </c>
      <c r="F561" s="70" t="s">
        <v>313</v>
      </c>
      <c r="G561" s="68" t="s">
        <v>210</v>
      </c>
      <c r="H561" s="304" t="s">
        <v>210</v>
      </c>
      <c r="I561" s="162" t="s">
        <v>2181</v>
      </c>
      <c r="J561" s="162"/>
      <c r="K561" s="68" t="s">
        <v>227</v>
      </c>
      <c r="L561" s="69" t="s">
        <v>123</v>
      </c>
      <c r="M561" s="71" t="s">
        <v>141</v>
      </c>
      <c r="N561" s="69" t="e" vm="1">
        <v>#VALUE!</v>
      </c>
      <c r="O561" s="164">
        <v>45586</v>
      </c>
      <c r="P561" s="72" t="s">
        <v>412</v>
      </c>
      <c r="Q561" s="72" t="s">
        <v>1097</v>
      </c>
      <c r="R561" s="162"/>
      <c r="S561" s="146" t="s">
        <v>2107</v>
      </c>
      <c r="T561" s="68" t="s">
        <v>165</v>
      </c>
      <c r="U561" s="87"/>
      <c r="V561" s="183">
        <v>45628</v>
      </c>
      <c r="W561" s="73"/>
      <c r="X561" s="73"/>
      <c r="Y561" s="83" t="str">
        <f>IF(SUM(W561:W561)&gt;0,X561/SUM(W561:W561)*1000000,"N/A")</f>
        <v>N/A</v>
      </c>
      <c r="Z561" s="183"/>
      <c r="AA561" s="183"/>
      <c r="AB561" s="73"/>
      <c r="AC561" s="153"/>
      <c r="AD561" s="330"/>
      <c r="AE561" s="305"/>
      <c r="AF561" s="88"/>
      <c r="AG561" s="182">
        <f>YEAR(V561)</f>
        <v>2024</v>
      </c>
      <c r="AH561" s="86" t="str">
        <f>+IF(AF561=$AI$22,MONTH(U561),"")</f>
        <v/>
      </c>
      <c r="AI561" s="86" t="str">
        <f>+IF(AG561=$AI$22,MONTH(V561),"")</f>
        <v/>
      </c>
      <c r="AJ561" s="86">
        <f>+IF(AG561=$AJ$22,MONTH(V561),"")</f>
        <v>12</v>
      </c>
      <c r="AK561" s="86" t="str">
        <f>+IF(AG561=$AK$22,MONTH(V561),"")</f>
        <v/>
      </c>
      <c r="AL561" s="86"/>
      <c r="AM561" s="89"/>
      <c r="AN561" s="89"/>
      <c r="AO561" s="89"/>
      <c r="AP561" s="89"/>
      <c r="AQ561" s="89"/>
      <c r="AR561" s="89"/>
      <c r="AS561" s="89"/>
      <c r="AT561" s="89"/>
      <c r="AU561" s="89"/>
      <c r="AV561" s="89"/>
      <c r="AW561" s="86" t="str">
        <f>+IF($AG561=AW$22,MONTH($D561),"")</f>
        <v/>
      </c>
      <c r="AX561" s="86" t="str">
        <f>+IF($AG561=AX$22,MONTH($D561),"")</f>
        <v/>
      </c>
      <c r="AY561" s="89"/>
      <c r="AZ561" s="89"/>
      <c r="BA561" s="89"/>
      <c r="BB561" s="89"/>
      <c r="BC561" s="89"/>
      <c r="BD561" s="89"/>
      <c r="BE561" s="89"/>
      <c r="BF561" s="89"/>
      <c r="BG561" s="89"/>
      <c r="BH561" s="89"/>
      <c r="BI561" s="89"/>
      <c r="BJ561" s="89"/>
      <c r="BK561" s="89"/>
      <c r="BL561" s="89"/>
      <c r="BM561" s="89"/>
      <c r="BN561" s="89"/>
      <c r="BO561" s="89"/>
      <c r="BP561" s="89"/>
    </row>
    <row r="562" spans="1:68" s="56" customFormat="1" ht="30" hidden="1" customHeight="1">
      <c r="A562" s="204" t="str">
        <f>+IFERROR(VALUE(MID(AB562,4,4)),"")</f>
        <v/>
      </c>
      <c r="B562" s="204">
        <f>VALUE(RIGHT(C562,LEN(C562)-2))</f>
        <v>2159</v>
      </c>
      <c r="C562" s="74" t="s">
        <v>2182</v>
      </c>
      <c r="D562" s="75">
        <v>45561</v>
      </c>
      <c r="E562" s="70" t="s">
        <v>53</v>
      </c>
      <c r="F562" s="70" t="s">
        <v>252</v>
      </c>
      <c r="G562" s="68" t="s">
        <v>210</v>
      </c>
      <c r="H562" s="304" t="s">
        <v>210</v>
      </c>
      <c r="I562" s="162" t="s">
        <v>2183</v>
      </c>
      <c r="J562" s="162"/>
      <c r="K562" s="68" t="s">
        <v>212</v>
      </c>
      <c r="L562" s="69" t="s">
        <v>123</v>
      </c>
      <c r="M562" s="71" t="s">
        <v>141</v>
      </c>
      <c r="N562" s="69" t="e" vm="1">
        <v>#VALUE!</v>
      </c>
      <c r="O562" s="164">
        <v>45624</v>
      </c>
      <c r="P562" s="72" t="s">
        <v>213</v>
      </c>
      <c r="Q562" s="72" t="s">
        <v>694</v>
      </c>
      <c r="R562" s="162"/>
      <c r="S562" s="146"/>
      <c r="T562" s="68" t="s">
        <v>155</v>
      </c>
      <c r="U562" s="87"/>
      <c r="V562" s="183">
        <v>45561</v>
      </c>
      <c r="W562" s="73"/>
      <c r="X562" s="73"/>
      <c r="Y562" s="83" t="str">
        <f>IF(SUM(W562:W562)&gt;0,X562/SUM(W562:W562)*1000000,"N/A")</f>
        <v>N/A</v>
      </c>
      <c r="Z562" s="183"/>
      <c r="AA562" s="183"/>
      <c r="AB562" s="73"/>
      <c r="AC562" s="153"/>
      <c r="AD562" s="330"/>
      <c r="AE562" s="305"/>
      <c r="AF562" s="88"/>
      <c r="AG562" s="182">
        <f>YEAR(V562)</f>
        <v>2024</v>
      </c>
      <c r="AH562" s="86" t="str">
        <f>+IF(AF562=$AI$22,MONTH(U562),"")</f>
        <v/>
      </c>
      <c r="AI562" s="86" t="str">
        <f>+IF(AG562=$AI$22,MONTH(V562),"")</f>
        <v/>
      </c>
      <c r="AJ562" s="86">
        <f>+IF(AG562=$AJ$22,MONTH(V562),"")</f>
        <v>9</v>
      </c>
      <c r="AK562" s="86" t="str">
        <f>+IF(AG562=$AK$22,MONTH(V562),"")</f>
        <v/>
      </c>
      <c r="AL562" s="86"/>
      <c r="AM562" s="89"/>
      <c r="AN562" s="89"/>
      <c r="AO562" s="89"/>
      <c r="AP562" s="89"/>
      <c r="AQ562" s="89"/>
      <c r="AR562" s="89"/>
      <c r="AS562" s="89"/>
      <c r="AT562" s="89"/>
      <c r="AU562" s="89"/>
      <c r="AV562" s="89"/>
      <c r="AW562" s="86" t="str">
        <f>+IF($AG562=AW$22,MONTH($D562),"")</f>
        <v/>
      </c>
      <c r="AX562" s="86" t="str">
        <f>+IF($AG562=AX$22,MONTH($D562),"")</f>
        <v/>
      </c>
      <c r="AY562" s="89"/>
      <c r="AZ562" s="89"/>
      <c r="BA562" s="89"/>
      <c r="BB562" s="89"/>
      <c r="BC562" s="89"/>
      <c r="BD562" s="89"/>
      <c r="BE562" s="89"/>
      <c r="BF562" s="89"/>
      <c r="BG562" s="89"/>
      <c r="BH562" s="89"/>
      <c r="BI562" s="89"/>
      <c r="BJ562" s="89"/>
      <c r="BK562" s="89"/>
      <c r="BL562" s="89"/>
      <c r="BM562" s="89"/>
      <c r="BN562" s="89"/>
      <c r="BO562" s="89"/>
      <c r="BP562" s="89"/>
    </row>
    <row r="563" spans="1:68" s="320" customFormat="1" ht="29.25" hidden="1" customHeight="1">
      <c r="A563" s="204">
        <f>+IFERROR(VALUE(MID(AB563,4,4)),"")</f>
        <v>392</v>
      </c>
      <c r="B563" s="204">
        <f>VALUE(RIGHT(C563,LEN(C563)-2))</f>
        <v>2158</v>
      </c>
      <c r="C563" s="74" t="s">
        <v>2184</v>
      </c>
      <c r="D563" s="75">
        <v>45546</v>
      </c>
      <c r="E563" s="70" t="s">
        <v>332</v>
      </c>
      <c r="F563" s="70" t="s">
        <v>332</v>
      </c>
      <c r="G563" s="68" t="s">
        <v>333</v>
      </c>
      <c r="H563" s="304" t="s">
        <v>334</v>
      </c>
      <c r="I563" s="162" t="s">
        <v>2185</v>
      </c>
      <c r="J563" s="162"/>
      <c r="K563" s="68" t="s">
        <v>12</v>
      </c>
      <c r="L563" s="69" t="s">
        <v>129</v>
      </c>
      <c r="M563" s="71" t="s">
        <v>141</v>
      </c>
      <c r="N563" s="69" t="e" vm="1">
        <v>#VALUE!</v>
      </c>
      <c r="O563" s="164">
        <v>45559</v>
      </c>
      <c r="P563" s="72" t="s">
        <v>402</v>
      </c>
      <c r="Q563" s="72" t="s">
        <v>623</v>
      </c>
      <c r="R563" s="162"/>
      <c r="S563" s="146"/>
      <c r="T563" s="68" t="s">
        <v>3</v>
      </c>
      <c r="U563" s="87"/>
      <c r="V563" s="183">
        <v>45570</v>
      </c>
      <c r="W563" s="73">
        <v>204</v>
      </c>
      <c r="X563" s="73">
        <f>281*37969/1000000</f>
        <v>10.669288999999999</v>
      </c>
      <c r="Y563" s="83">
        <f>IF(SUM(W563:W563)&gt;0,X563/SUM(W563:W563)*1000000,"N/A")</f>
        <v>52300.436274509804</v>
      </c>
      <c r="Z563" s="183"/>
      <c r="AA563" s="183"/>
      <c r="AB563" s="73" t="s">
        <v>2186</v>
      </c>
      <c r="AC563" s="153"/>
      <c r="AD563" s="330"/>
      <c r="AE563" s="305"/>
      <c r="AF563" s="88"/>
      <c r="AG563" s="182">
        <f>YEAR(V563)</f>
        <v>2024</v>
      </c>
      <c r="AH563" s="86" t="str">
        <f>+IF(AF563=$AI$22,MONTH(U563),"")</f>
        <v/>
      </c>
      <c r="AI563" s="86" t="str">
        <f>+IF(AG563=$AI$22,MONTH(V563),"")</f>
        <v/>
      </c>
      <c r="AJ563" s="86">
        <f>+IF(AG563=$AJ$22,MONTH(V563),"")</f>
        <v>10</v>
      </c>
      <c r="AK563" s="86" t="str">
        <f>+IF(AG563=$AK$22,MONTH(V563),"")</f>
        <v/>
      </c>
      <c r="AL563" s="86"/>
      <c r="AM563" s="89"/>
      <c r="AN563" s="89"/>
      <c r="AO563" s="89"/>
      <c r="AP563" s="89"/>
      <c r="AQ563" s="89"/>
      <c r="AR563" s="89"/>
      <c r="AS563" s="89"/>
      <c r="AT563" s="89"/>
      <c r="AU563" s="89"/>
      <c r="AV563" s="89"/>
      <c r="AW563" s="86" t="str">
        <f>+IF($AG563=AW$22,MONTH($D563),"")</f>
        <v/>
      </c>
      <c r="AX563" s="86" t="str">
        <f>+IF($AG563=AX$22,MONTH($D563),"")</f>
        <v/>
      </c>
      <c r="AY563" s="89"/>
      <c r="AZ563" s="89"/>
      <c r="BA563" s="89"/>
      <c r="BB563" s="89"/>
      <c r="BC563" s="89"/>
      <c r="BD563" s="89"/>
      <c r="BE563" s="89"/>
      <c r="BF563" s="89"/>
      <c r="BG563" s="89"/>
      <c r="BH563" s="89"/>
      <c r="BI563" s="89"/>
      <c r="BJ563" s="89"/>
      <c r="BK563" s="89"/>
      <c r="BL563" s="89"/>
      <c r="BM563" s="89"/>
      <c r="BN563" s="89"/>
      <c r="BO563" s="89"/>
      <c r="BP563" s="89"/>
    </row>
    <row r="564" spans="1:68" s="303" customFormat="1" ht="30.75" hidden="1" customHeight="1">
      <c r="A564" s="204">
        <f>+IFERROR(VALUE(MID(AB564,4,4)),"")</f>
        <v>406</v>
      </c>
      <c r="B564" s="204">
        <f>VALUE(RIGHT(C564,LEN(C564)-2))</f>
        <v>2157</v>
      </c>
      <c r="C564" s="74" t="s">
        <v>2187</v>
      </c>
      <c r="D564" s="75">
        <v>45552</v>
      </c>
      <c r="E564" s="70" t="s">
        <v>353</v>
      </c>
      <c r="F564" s="70" t="s">
        <v>354</v>
      </c>
      <c r="G564" s="68" t="s">
        <v>2188</v>
      </c>
      <c r="H564" s="282" t="s">
        <v>2189</v>
      </c>
      <c r="I564" s="162" t="s">
        <v>2190</v>
      </c>
      <c r="J564" s="162"/>
      <c r="K564" s="68" t="s">
        <v>9</v>
      </c>
      <c r="L564" s="69" t="s">
        <v>120</v>
      </c>
      <c r="M564" s="71" t="s">
        <v>141</v>
      </c>
      <c r="N564" s="69" t="e" vm="1">
        <v>#VALUE!</v>
      </c>
      <c r="O564" s="164">
        <v>45553</v>
      </c>
      <c r="P564" s="72" t="s">
        <v>402</v>
      </c>
      <c r="Q564" s="72" t="s">
        <v>259</v>
      </c>
      <c r="R564" s="162"/>
      <c r="S564" s="146"/>
      <c r="T564" s="68" t="s">
        <v>3</v>
      </c>
      <c r="U564" s="87">
        <v>0</v>
      </c>
      <c r="V564" s="183">
        <v>45553</v>
      </c>
      <c r="W564" s="73">
        <v>20</v>
      </c>
      <c r="X564" s="73">
        <v>1.2</v>
      </c>
      <c r="Y564" s="83">
        <f>IF(SUM(W564:W564)&gt;0,X564/SUM(W564:W564)*1000000,"N/A")</f>
        <v>60000</v>
      </c>
      <c r="Z564" s="183"/>
      <c r="AA564" s="183"/>
      <c r="AB564" s="73" t="s">
        <v>2191</v>
      </c>
      <c r="AC564" s="153"/>
      <c r="AD564" s="331"/>
      <c r="AE564" s="57"/>
      <c r="AF564" s="88"/>
      <c r="AG564" s="182">
        <f>YEAR(V564)</f>
        <v>2024</v>
      </c>
      <c r="AH564" s="86" t="str">
        <f>+IF(AF564=$AI$22,MONTH(U564),"")</f>
        <v/>
      </c>
      <c r="AI564" s="86" t="str">
        <f>+IF(AG564=$AI$22,MONTH(V564),"")</f>
        <v/>
      </c>
      <c r="AJ564" s="86">
        <f>+IF(AG564=$AJ$22,MONTH(V564),"")</f>
        <v>9</v>
      </c>
      <c r="AK564" s="86" t="str">
        <f>+IF(AG564=$AK$22,MONTH(V564),"")</f>
        <v/>
      </c>
      <c r="AL564" s="86"/>
      <c r="AM564" s="89"/>
      <c r="AN564" s="89"/>
      <c r="AO564" s="89"/>
      <c r="AP564" s="89"/>
      <c r="AQ564" s="89"/>
      <c r="AR564" s="89"/>
      <c r="AS564" s="89"/>
      <c r="AT564" s="89"/>
      <c r="AU564" s="89"/>
      <c r="AV564" s="89"/>
      <c r="AW564" s="86" t="str">
        <f>+IF($AG564=AW$22,MONTH($D564),"")</f>
        <v/>
      </c>
      <c r="AX564" s="86" t="str">
        <f>+IF($AG564=AX$22,MONTH($D564),"")</f>
        <v/>
      </c>
      <c r="AY564" s="89"/>
      <c r="AZ564" s="89"/>
      <c r="BA564" s="89"/>
      <c r="BB564" s="89"/>
      <c r="BC564" s="89"/>
      <c r="BD564" s="89"/>
      <c r="BE564" s="89"/>
      <c r="BF564" s="89"/>
      <c r="BG564" s="89"/>
      <c r="BH564" s="89"/>
      <c r="BI564" s="89"/>
      <c r="BJ564" s="89"/>
      <c r="BK564" s="89"/>
      <c r="BL564" s="89"/>
      <c r="BM564" s="89"/>
      <c r="BN564" s="89"/>
      <c r="BO564" s="89"/>
      <c r="BP564" s="89"/>
    </row>
    <row r="565" spans="1:68" s="56" customFormat="1" ht="31.5" hidden="1" customHeight="1">
      <c r="A565" s="204">
        <f>+IFERROR(VALUE(MID(AB565,4,4)),"")</f>
        <v>399</v>
      </c>
      <c r="B565" s="204">
        <f>VALUE(RIGHT(C565,LEN(C565)-2))</f>
        <v>2156</v>
      </c>
      <c r="C565" s="74" t="s">
        <v>2192</v>
      </c>
      <c r="D565" s="75">
        <v>45551</v>
      </c>
      <c r="E565" s="70" t="s">
        <v>473</v>
      </c>
      <c r="F565" s="70" t="s">
        <v>473</v>
      </c>
      <c r="G565" s="68" t="s">
        <v>2002</v>
      </c>
      <c r="H565" s="307" t="s">
        <v>2003</v>
      </c>
      <c r="I565" s="162" t="s">
        <v>2193</v>
      </c>
      <c r="J565" s="162"/>
      <c r="K565" s="68" t="s">
        <v>12</v>
      </c>
      <c r="L565" s="69" t="s">
        <v>129</v>
      </c>
      <c r="M565" s="71" t="s">
        <v>141</v>
      </c>
      <c r="N565" s="69" t="e" vm="1">
        <v>#VALUE!</v>
      </c>
      <c r="O565" s="164">
        <v>45561</v>
      </c>
      <c r="P565" s="72" t="s">
        <v>377</v>
      </c>
      <c r="Q565" s="72" t="s">
        <v>694</v>
      </c>
      <c r="R565" s="162"/>
      <c r="S565" s="146"/>
      <c r="T565" s="68" t="s">
        <v>3</v>
      </c>
      <c r="U565" s="87"/>
      <c r="V565" s="183">
        <v>45682</v>
      </c>
      <c r="W565" s="73">
        <v>83</v>
      </c>
      <c r="X565" s="73">
        <v>4</v>
      </c>
      <c r="Y565" s="83">
        <f>IF(SUM(W565:W565)&gt;0,X565/SUM(W565:W565)*1000000,"N/A")</f>
        <v>48192.77108433735</v>
      </c>
      <c r="Z565" s="183"/>
      <c r="AA565" s="183"/>
      <c r="AB565" s="73" t="s">
        <v>2194</v>
      </c>
      <c r="AC565" s="153"/>
      <c r="AD565" s="331"/>
      <c r="AE565" s="57"/>
      <c r="AF565" s="88"/>
      <c r="AG565" s="182">
        <f>YEAR(V565)</f>
        <v>2025</v>
      </c>
      <c r="AH565" s="86" t="str">
        <f>+IF(AF565=$AI$22,MONTH(U565),"")</f>
        <v/>
      </c>
      <c r="AI565" s="86">
        <f>+IF(AG565=$AI$22,MONTH(V565),"")</f>
        <v>1</v>
      </c>
      <c r="AJ565" s="86" t="str">
        <f>+IF(AG565=$AJ$22,MONTH(V565),"")</f>
        <v/>
      </c>
      <c r="AK565" s="86" t="str">
        <f>+IF(AG565=$AK$22,MONTH(V565),"")</f>
        <v/>
      </c>
      <c r="AL565" s="86"/>
      <c r="AM565" s="89"/>
      <c r="AN565" s="89"/>
      <c r="AO565" s="89"/>
      <c r="AP565" s="89"/>
      <c r="AQ565" s="89"/>
      <c r="AR565" s="89"/>
      <c r="AS565" s="89"/>
      <c r="AT565" s="89"/>
      <c r="AU565" s="89"/>
      <c r="AV565" s="89"/>
      <c r="AW565" s="86" t="str">
        <f>+IF($AG565=AW$22,MONTH($D565),"")</f>
        <v/>
      </c>
      <c r="AX565" s="86" t="str">
        <f>+IF($AG565=AX$22,MONTH($D565),"")</f>
        <v/>
      </c>
      <c r="AY565" s="89"/>
      <c r="AZ565" s="89"/>
      <c r="BA565" s="89"/>
      <c r="BB565" s="89"/>
      <c r="BC565" s="89"/>
      <c r="BD565" s="89"/>
      <c r="BE565" s="89"/>
      <c r="BF565" s="89"/>
      <c r="BG565" s="89"/>
      <c r="BH565" s="89"/>
      <c r="BI565" s="89"/>
      <c r="BJ565" s="89"/>
      <c r="BK565" s="89"/>
      <c r="BL565" s="89"/>
      <c r="BM565" s="89"/>
      <c r="BN565" s="89"/>
      <c r="BO565" s="89"/>
      <c r="BP565" s="89"/>
    </row>
    <row r="566" spans="1:68" s="56" customFormat="1" ht="30" hidden="1" customHeight="1">
      <c r="A566" s="204" t="str">
        <f>+IFERROR(VALUE(MID(AB566,4,4)),"")</f>
        <v/>
      </c>
      <c r="B566" s="204">
        <f>VALUE(RIGHT(C566,LEN(C566)-2))</f>
        <v>2155</v>
      </c>
      <c r="C566" s="74" t="s">
        <v>2195</v>
      </c>
      <c r="D566" s="75">
        <v>45546</v>
      </c>
      <c r="E566" s="70" t="s">
        <v>332</v>
      </c>
      <c r="F566" s="70" t="s">
        <v>332</v>
      </c>
      <c r="G566" s="68" t="s">
        <v>333</v>
      </c>
      <c r="H566" s="59" t="s">
        <v>334</v>
      </c>
      <c r="I566" s="162" t="s">
        <v>2196</v>
      </c>
      <c r="J566" s="162"/>
      <c r="K566" s="68" t="s">
        <v>13</v>
      </c>
      <c r="L566" s="69" t="s">
        <v>129</v>
      </c>
      <c r="M566" s="71" t="s">
        <v>141</v>
      </c>
      <c r="N566" s="69" t="e" vm="1">
        <v>#VALUE!</v>
      </c>
      <c r="O566" s="164">
        <v>45681</v>
      </c>
      <c r="P566" s="72" t="s">
        <v>402</v>
      </c>
      <c r="Q566" s="72" t="s">
        <v>623</v>
      </c>
      <c r="R566" s="162"/>
      <c r="S566" s="146"/>
      <c r="T566" s="68" t="s">
        <v>158</v>
      </c>
      <c r="U566" s="87">
        <v>0.1</v>
      </c>
      <c r="V566" s="183">
        <v>45683</v>
      </c>
      <c r="W566" s="73">
        <v>2283</v>
      </c>
      <c r="X566" s="73">
        <f>2298*38400/1000000</f>
        <v>88.243200000000002</v>
      </c>
      <c r="Y566" s="83">
        <f>IF(SUM(W566:W566)&gt;0,X566/SUM(W566:W566)*1000000,"N/A")</f>
        <v>38652.29960578186</v>
      </c>
      <c r="Z566" s="183"/>
      <c r="AA566" s="183"/>
      <c r="AB566" s="73"/>
      <c r="AC566" s="153"/>
      <c r="AD566" s="331"/>
      <c r="AE566" s="57"/>
      <c r="AF566" s="88"/>
      <c r="AG566" s="182">
        <f>YEAR(V566)</f>
        <v>2025</v>
      </c>
      <c r="AH566" s="86" t="str">
        <f>+IF(AF566=$AI$22,MONTH(U566),"")</f>
        <v/>
      </c>
      <c r="AI566" s="86">
        <f>+IF(AG566=$AI$22,MONTH(V566),"")</f>
        <v>1</v>
      </c>
      <c r="AJ566" s="86" t="str">
        <f>+IF(AG566=$AJ$22,MONTH(V566),"")</f>
        <v/>
      </c>
      <c r="AK566" s="86" t="str">
        <f>+IF(AG566=$AK$22,MONTH(V566),"")</f>
        <v/>
      </c>
      <c r="AL566" s="86"/>
      <c r="AM566" s="89"/>
      <c r="AN566" s="89"/>
      <c r="AO566" s="89"/>
      <c r="AP566" s="89"/>
      <c r="AQ566" s="89"/>
      <c r="AR566" s="89"/>
      <c r="AS566" s="89"/>
      <c r="AT566" s="89"/>
      <c r="AU566" s="89"/>
      <c r="AV566" s="89"/>
      <c r="AW566" s="86" t="str">
        <f>+IF($AG566=AW$22,MONTH($D566),"")</f>
        <v/>
      </c>
      <c r="AX566" s="86" t="str">
        <f>+IF($AG566=AX$22,MONTH($D566),"")</f>
        <v/>
      </c>
      <c r="AY566" s="89"/>
      <c r="AZ566" s="89"/>
      <c r="BA566" s="89"/>
      <c r="BB566" s="89"/>
      <c r="BC566" s="89"/>
      <c r="BD566" s="89"/>
      <c r="BE566" s="89"/>
      <c r="BF566" s="89"/>
      <c r="BG566" s="89"/>
      <c r="BH566" s="89"/>
      <c r="BI566" s="89"/>
      <c r="BJ566" s="89"/>
      <c r="BK566" s="89"/>
      <c r="BL566" s="89"/>
      <c r="BM566" s="89"/>
      <c r="BN566" s="89"/>
      <c r="BO566" s="89"/>
      <c r="BP566" s="89"/>
    </row>
    <row r="567" spans="1:68" s="303" customFormat="1" ht="30.75" hidden="1" customHeight="1">
      <c r="A567" s="204" t="str">
        <f>+IFERROR(VALUE(MID(AB567,4,4)),"")</f>
        <v/>
      </c>
      <c r="B567" s="204">
        <f>VALUE(RIGHT(C567,LEN(C567)-2))</f>
        <v>2154</v>
      </c>
      <c r="C567" s="74" t="s">
        <v>2197</v>
      </c>
      <c r="D567" s="75">
        <v>45547</v>
      </c>
      <c r="E567" s="70" t="s">
        <v>473</v>
      </c>
      <c r="F567" s="70" t="s">
        <v>473</v>
      </c>
      <c r="G567" s="68" t="s">
        <v>2002</v>
      </c>
      <c r="H567" s="307" t="s">
        <v>2003</v>
      </c>
      <c r="I567" s="162" t="s">
        <v>2198</v>
      </c>
      <c r="J567" s="162"/>
      <c r="K567" s="68" t="s">
        <v>13</v>
      </c>
      <c r="L567" s="69" t="s">
        <v>120</v>
      </c>
      <c r="M567" s="71" t="s">
        <v>141</v>
      </c>
      <c r="N567" s="69" t="e" vm="1">
        <v>#VALUE!</v>
      </c>
      <c r="O567" s="164">
        <v>45560</v>
      </c>
      <c r="P567" s="72" t="s">
        <v>689</v>
      </c>
      <c r="Q567" s="72" t="s">
        <v>2199</v>
      </c>
      <c r="R567" s="162"/>
      <c r="S567" s="146"/>
      <c r="T567" s="68" t="s">
        <v>165</v>
      </c>
      <c r="U567" s="87"/>
      <c r="V567" s="183">
        <v>45561</v>
      </c>
      <c r="W567" s="73">
        <v>308</v>
      </c>
      <c r="X567" s="73">
        <v>16.399999999999999</v>
      </c>
      <c r="Y567" s="83">
        <f>IF(SUM(W567:W567)&gt;0,X567/SUM(W567:W567)*1000000,"N/A")</f>
        <v>53246.753246753244</v>
      </c>
      <c r="Z567" s="183"/>
      <c r="AA567" s="183"/>
      <c r="AB567" s="73"/>
      <c r="AC567" s="153"/>
      <c r="AD567" s="331"/>
      <c r="AE567" s="57"/>
      <c r="AF567" s="88"/>
      <c r="AG567" s="182">
        <f>YEAR(V567)</f>
        <v>2024</v>
      </c>
      <c r="AH567" s="86" t="str">
        <f>+IF(AF567=$AI$22,MONTH(U567),"")</f>
        <v/>
      </c>
      <c r="AI567" s="86" t="str">
        <f>+IF(AG567=$AI$22,MONTH(V567),"")</f>
        <v/>
      </c>
      <c r="AJ567" s="86">
        <f>+IF(AG567=$AJ$22,MONTH(V567),"")</f>
        <v>9</v>
      </c>
      <c r="AK567" s="86" t="str">
        <f>+IF(AG567=$AK$22,MONTH(V567),"")</f>
        <v/>
      </c>
      <c r="AL567" s="86"/>
      <c r="AM567" s="89"/>
      <c r="AN567" s="89"/>
      <c r="AO567" s="89"/>
      <c r="AP567" s="89"/>
      <c r="AQ567" s="89"/>
      <c r="AR567" s="89"/>
      <c r="AS567" s="89"/>
      <c r="AT567" s="89"/>
      <c r="AU567" s="89"/>
      <c r="AV567" s="89"/>
      <c r="AW567" s="86" t="str">
        <f>+IF($AG567=AW$22,MONTH($D567),"")</f>
        <v/>
      </c>
      <c r="AX567" s="86" t="str">
        <f>+IF($AG567=AX$22,MONTH($D567),"")</f>
        <v/>
      </c>
      <c r="AY567" s="89"/>
      <c r="AZ567" s="89"/>
      <c r="BA567" s="89"/>
      <c r="BB567" s="89"/>
      <c r="BC567" s="89"/>
      <c r="BD567" s="89"/>
      <c r="BE567" s="89"/>
      <c r="BF567" s="89"/>
      <c r="BG567" s="89"/>
      <c r="BH567" s="89"/>
      <c r="BI567" s="89"/>
      <c r="BJ567" s="89"/>
      <c r="BK567" s="89"/>
      <c r="BL567" s="89"/>
      <c r="BM567" s="89"/>
      <c r="BN567" s="89"/>
      <c r="BO567" s="89"/>
      <c r="BP567" s="89"/>
    </row>
    <row r="568" spans="1:68" s="303" customFormat="1" ht="30.75" hidden="1" customHeight="1">
      <c r="A568" s="204" t="str">
        <f>+IFERROR(VALUE(MID(AB568,4,4)),"")</f>
        <v/>
      </c>
      <c r="B568" s="204">
        <f>VALUE(RIGHT(C568,LEN(C568)-2))</f>
        <v>2153</v>
      </c>
      <c r="C568" s="74" t="s">
        <v>2200</v>
      </c>
      <c r="D568" s="75">
        <v>45547</v>
      </c>
      <c r="E568" s="70" t="s">
        <v>262</v>
      </c>
      <c r="F568" s="70" t="s">
        <v>270</v>
      </c>
      <c r="G568" s="68" t="s">
        <v>1493</v>
      </c>
      <c r="H568" s="282" t="s">
        <v>1494</v>
      </c>
      <c r="I568" s="162" t="s">
        <v>2201</v>
      </c>
      <c r="J568" s="162"/>
      <c r="K568" s="68" t="s">
        <v>42</v>
      </c>
      <c r="L568" s="69" t="s">
        <v>120</v>
      </c>
      <c r="M568" s="71" t="s">
        <v>141</v>
      </c>
      <c r="N568" s="69" t="e" vm="1">
        <v>#VALUE!</v>
      </c>
      <c r="O568" s="164">
        <v>45561</v>
      </c>
      <c r="P568" s="72" t="s">
        <v>369</v>
      </c>
      <c r="Q568" s="72" t="s">
        <v>1097</v>
      </c>
      <c r="R568" s="162"/>
      <c r="S568" s="146"/>
      <c r="T568" s="68" t="s">
        <v>165</v>
      </c>
      <c r="U568" s="87"/>
      <c r="V568" s="183">
        <v>45987</v>
      </c>
      <c r="W568" s="73">
        <v>566</v>
      </c>
      <c r="X568" s="73">
        <v>33.799999999999997</v>
      </c>
      <c r="Y568" s="83">
        <f>IF(SUM(W568:W568)&gt;0,X568/SUM(W568:W568)*1000000,"N/A")</f>
        <v>59717.314487632502</v>
      </c>
      <c r="Z568" s="183"/>
      <c r="AA568" s="183"/>
      <c r="AB568" s="73"/>
      <c r="AC568" s="153"/>
      <c r="AD568" s="331"/>
      <c r="AE568" s="57"/>
      <c r="AF568" s="88"/>
      <c r="AG568" s="182">
        <f>YEAR(V568)</f>
        <v>2025</v>
      </c>
      <c r="AH568" s="86" t="str">
        <f>+IF(AF568=$AI$22,MONTH(U568),"")</f>
        <v/>
      </c>
      <c r="AI568" s="86">
        <f>+IF(AG568=$AI$22,MONTH(V568),"")</f>
        <v>11</v>
      </c>
      <c r="AJ568" s="86" t="str">
        <f>+IF(AG568=$AJ$22,MONTH(V568),"")</f>
        <v/>
      </c>
      <c r="AK568" s="86" t="str">
        <f>+IF(AG568=$AK$22,MONTH(V568),"")</f>
        <v/>
      </c>
      <c r="AL568" s="86"/>
      <c r="AM568" s="89"/>
      <c r="AN568" s="89"/>
      <c r="AO568" s="89"/>
      <c r="AP568" s="89"/>
      <c r="AQ568" s="89"/>
      <c r="AR568" s="89"/>
      <c r="AS568" s="89"/>
      <c r="AT568" s="89"/>
      <c r="AU568" s="89"/>
      <c r="AV568" s="89"/>
      <c r="AW568" s="86" t="str">
        <f>+IF($AG568=AW$22,MONTH($D568),"")</f>
        <v/>
      </c>
      <c r="AX568" s="86" t="str">
        <f>+IF($AG568=AX$22,MONTH($D568),"")</f>
        <v/>
      </c>
      <c r="AY568" s="89"/>
      <c r="AZ568" s="89"/>
      <c r="BA568" s="89"/>
      <c r="BB568" s="89"/>
      <c r="BC568" s="89"/>
      <c r="BD568" s="89"/>
      <c r="BE568" s="89"/>
      <c r="BF568" s="89"/>
      <c r="BG568" s="89"/>
      <c r="BH568" s="89"/>
      <c r="BI568" s="89"/>
      <c r="BJ568" s="89"/>
      <c r="BK568" s="89"/>
      <c r="BL568" s="89"/>
      <c r="BM568" s="89"/>
      <c r="BN568" s="89"/>
      <c r="BO568" s="89"/>
      <c r="BP568" s="89"/>
    </row>
    <row r="569" spans="1:68" s="303" customFormat="1" ht="30.75" hidden="1" customHeight="1">
      <c r="A569" s="204" t="str">
        <f>+IFERROR(VALUE(MID(AB569,4,4)),"")</f>
        <v/>
      </c>
      <c r="B569" s="204">
        <f>VALUE(RIGHT(C569,LEN(C569)-2))</f>
        <v>2152</v>
      </c>
      <c r="C569" s="74" t="s">
        <v>2202</v>
      </c>
      <c r="D569" s="75">
        <v>45546</v>
      </c>
      <c r="E569" s="70" t="s">
        <v>277</v>
      </c>
      <c r="F569" s="70" t="s">
        <v>277</v>
      </c>
      <c r="G569" s="68" t="s">
        <v>2203</v>
      </c>
      <c r="H569" s="59" t="s">
        <v>256</v>
      </c>
      <c r="I569" s="69" t="s">
        <v>2204</v>
      </c>
      <c r="J569" s="69"/>
      <c r="K569" s="68" t="s">
        <v>212</v>
      </c>
      <c r="L569" s="69" t="s">
        <v>123</v>
      </c>
      <c r="M569" s="71" t="s">
        <v>141</v>
      </c>
      <c r="N569" s="69" t="e" vm="1">
        <v>#VALUE!</v>
      </c>
      <c r="O569" s="84">
        <v>45649</v>
      </c>
      <c r="P569" s="72" t="s">
        <v>228</v>
      </c>
      <c r="Q569" s="72" t="s">
        <v>316</v>
      </c>
      <c r="R569" s="162"/>
      <c r="S569" s="146"/>
      <c r="T569" s="68" t="s">
        <v>165</v>
      </c>
      <c r="U569" s="87"/>
      <c r="V569" s="80">
        <v>45649</v>
      </c>
      <c r="W569" s="73"/>
      <c r="X569" s="73"/>
      <c r="Y569" s="83" t="str">
        <f>IF(SUM(W569:W569)&gt;0,X569/SUM(W569:W569)*1000000,"N/A")</f>
        <v>N/A</v>
      </c>
      <c r="Z569" s="80"/>
      <c r="AA569" s="80"/>
      <c r="AB569" s="73"/>
      <c r="AC569" s="153"/>
      <c r="AD569" s="331"/>
      <c r="AE569" s="57"/>
      <c r="AF569" s="88"/>
      <c r="AG569" s="182">
        <f>YEAR(V569)</f>
        <v>2024</v>
      </c>
      <c r="AH569" s="86" t="str">
        <f>+IF(AF569=$AI$22,MONTH(U569),"")</f>
        <v/>
      </c>
      <c r="AI569" s="86" t="str">
        <f>+IF(AG569=$AI$22,MONTH(V569),"")</f>
        <v/>
      </c>
      <c r="AJ569" s="86">
        <f>+IF(AG569=$AJ$22,MONTH(V569),"")</f>
        <v>12</v>
      </c>
      <c r="AK569" s="86" t="str">
        <f>+IF(AG569=$AK$22,MONTH(V569),"")</f>
        <v/>
      </c>
      <c r="AL569" s="86" t="str">
        <f>+IF(AG569=$AL$22,MONTH(V569),"")</f>
        <v/>
      </c>
      <c r="AM569" s="86" t="str">
        <f>+IF($AG569=$AM$22,MONTH($D569),"")</f>
        <v/>
      </c>
      <c r="AN569" s="89" t="str">
        <f>+IF($AG569=AN$22,MONTH($D569),"")</f>
        <v/>
      </c>
      <c r="AO569" s="89" t="str">
        <f>+IF($AG569=AO$22,MONTH($D569),"")</f>
        <v/>
      </c>
      <c r="AP569" s="89" t="str">
        <f>+IF($AG569=AP$22,MONTH($D569),"")</f>
        <v/>
      </c>
      <c r="AQ569" s="89" t="str">
        <f>+IF($AG569=AQ$22,MONTH($D569),"")</f>
        <v/>
      </c>
      <c r="AR569" s="89" t="str">
        <f>+IF($AG569=AR$22,MONTH($D569),"")</f>
        <v/>
      </c>
      <c r="AS569" s="89" t="str">
        <f>+IF($AG569=AS$22,MONTH($D569),"")</f>
        <v/>
      </c>
      <c r="AT569" s="89" t="str">
        <f>+IF($AG569=AT$22,MONTH($D569),"")</f>
        <v/>
      </c>
      <c r="AU569" s="89" t="str">
        <f>+IF($AG569=AU$22,MONTH($D569),"")</f>
        <v/>
      </c>
      <c r="AV569" s="89" t="str">
        <f>+IF($AG569=AV$22,MONTH($D569),"")</f>
        <v/>
      </c>
      <c r="AW569" s="86" t="str">
        <f>+IF($AG569=AW$22,MONTH($D569),"")</f>
        <v/>
      </c>
      <c r="AX569" s="86" t="str">
        <f>+IF($AG569=AX$22,MONTH($D569),"")</f>
        <v/>
      </c>
      <c r="AY569" s="89"/>
      <c r="AZ569" s="89"/>
      <c r="BA569" s="89"/>
      <c r="BB569" s="89"/>
      <c r="BC569" s="89"/>
      <c r="BD569" s="89"/>
      <c r="BE569" s="89"/>
      <c r="BF569" s="89"/>
      <c r="BG569" s="89"/>
      <c r="BH569" s="89"/>
      <c r="BI569" s="89"/>
      <c r="BJ569" s="89"/>
      <c r="BK569" s="89"/>
      <c r="BL569" s="89"/>
      <c r="BM569" s="89"/>
      <c r="BN569" s="89"/>
      <c r="BO569" s="89"/>
      <c r="BP569" s="89"/>
    </row>
    <row r="570" spans="1:68" s="303" customFormat="1" ht="30.75" hidden="1" customHeight="1">
      <c r="A570" s="204" t="str">
        <f>+IFERROR(VALUE(MID(AB570,4,4)),"")</f>
        <v/>
      </c>
      <c r="B570" s="204">
        <f>VALUE(RIGHT(C570,LEN(C570)-2))</f>
        <v>2151</v>
      </c>
      <c r="C570" s="74" t="s">
        <v>2205</v>
      </c>
      <c r="D570" s="75">
        <v>45540</v>
      </c>
      <c r="E570" s="70" t="s">
        <v>353</v>
      </c>
      <c r="F570" s="70" t="s">
        <v>353</v>
      </c>
      <c r="G570" s="68" t="s">
        <v>2206</v>
      </c>
      <c r="H570" s="59" t="s">
        <v>2207</v>
      </c>
      <c r="I570" s="162" t="s">
        <v>2208</v>
      </c>
      <c r="J570" s="162"/>
      <c r="K570" s="68" t="s">
        <v>9</v>
      </c>
      <c r="L570" s="69" t="s">
        <v>123</v>
      </c>
      <c r="M570" s="71" t="s">
        <v>141</v>
      </c>
      <c r="N570" s="69" t="e" vm="1">
        <v>#VALUE!</v>
      </c>
      <c r="O570" s="164">
        <v>45559</v>
      </c>
      <c r="P570" s="72" t="s">
        <v>213</v>
      </c>
      <c r="Q570" s="72" t="s">
        <v>694</v>
      </c>
      <c r="R570" s="162"/>
      <c r="S570" s="146"/>
      <c r="T570" s="68" t="s">
        <v>155</v>
      </c>
      <c r="U570" s="87" t="s">
        <v>2209</v>
      </c>
      <c r="V570" s="183">
        <v>45551</v>
      </c>
      <c r="W570" s="73"/>
      <c r="X570" s="73"/>
      <c r="Y570" s="83" t="str">
        <f>IF(SUM(W570:W570)&gt;0,X570/SUM(W570:W570)*1000000,"N/A")</f>
        <v>N/A</v>
      </c>
      <c r="Z570" s="183"/>
      <c r="AA570" s="183"/>
      <c r="AB570" s="73"/>
      <c r="AC570" s="153"/>
      <c r="AD570" s="331"/>
      <c r="AE570" s="57"/>
      <c r="AF570" s="88"/>
      <c r="AG570" s="182">
        <f>YEAR(V570)</f>
        <v>2024</v>
      </c>
      <c r="AH570" s="86" t="str">
        <f>+IF(AF570=$AI$22,MONTH(U570),"")</f>
        <v/>
      </c>
      <c r="AI570" s="86" t="str">
        <f>+IF(AG570=$AI$22,MONTH(V570),"")</f>
        <v/>
      </c>
      <c r="AJ570" s="86">
        <f>+IF(AG570=$AJ$22,MONTH(V570),"")</f>
        <v>9</v>
      </c>
      <c r="AK570" s="86" t="str">
        <f>+IF(AG570=$AK$22,MONTH(V570),"")</f>
        <v/>
      </c>
      <c r="AL570" s="86"/>
      <c r="AM570" s="89"/>
      <c r="AN570" s="89"/>
      <c r="AO570" s="89"/>
      <c r="AP570" s="89"/>
      <c r="AQ570" s="89"/>
      <c r="AR570" s="89"/>
      <c r="AS570" s="89"/>
      <c r="AT570" s="89"/>
      <c r="AU570" s="89"/>
      <c r="AV570" s="89"/>
      <c r="AW570" s="86" t="str">
        <f>+IF($AG570=AW$22,MONTH($D570),"")</f>
        <v/>
      </c>
      <c r="AX570" s="86" t="str">
        <f>+IF($AG570=AX$22,MONTH($D570),"")</f>
        <v/>
      </c>
      <c r="AY570" s="89"/>
      <c r="AZ570" s="89"/>
      <c r="BA570" s="89"/>
      <c r="BB570" s="89"/>
      <c r="BC570" s="89"/>
      <c r="BD570" s="89"/>
      <c r="BE570" s="89"/>
      <c r="BF570" s="89"/>
      <c r="BG570" s="89"/>
      <c r="BH570" s="89"/>
      <c r="BI570" s="89"/>
      <c r="BJ570" s="89"/>
      <c r="BK570" s="89"/>
      <c r="BL570" s="89"/>
      <c r="BM570" s="89"/>
      <c r="BN570" s="89"/>
      <c r="BO570" s="89"/>
      <c r="BP570" s="89"/>
    </row>
    <row r="571" spans="1:68" s="303" customFormat="1" ht="30.75" hidden="1" customHeight="1">
      <c r="A571" s="204">
        <f>+IFERROR(VALUE(MID(AB571,4,4)),"")</f>
        <v>399</v>
      </c>
      <c r="B571" s="204">
        <f>VALUE(RIGHT(C571,LEN(C571)-2))</f>
        <v>2150</v>
      </c>
      <c r="C571" s="74" t="s">
        <v>2210</v>
      </c>
      <c r="D571" s="75">
        <v>45545</v>
      </c>
      <c r="E571" s="70" t="s">
        <v>473</v>
      </c>
      <c r="F571" s="70" t="s">
        <v>473</v>
      </c>
      <c r="G571" s="68" t="s">
        <v>2002</v>
      </c>
      <c r="H571" s="307" t="s">
        <v>2003</v>
      </c>
      <c r="I571" s="162" t="s">
        <v>2211</v>
      </c>
      <c r="J571" s="162"/>
      <c r="K571" s="68" t="s">
        <v>12</v>
      </c>
      <c r="L571" s="69" t="s">
        <v>129</v>
      </c>
      <c r="M571" s="71" t="s">
        <v>141</v>
      </c>
      <c r="N571" s="69" t="e" vm="1">
        <v>#VALUE!</v>
      </c>
      <c r="O571" s="164">
        <v>45560</v>
      </c>
      <c r="P571" s="72" t="s">
        <v>377</v>
      </c>
      <c r="Q571" s="72" t="s">
        <v>694</v>
      </c>
      <c r="R571" s="162"/>
      <c r="S571" s="146"/>
      <c r="T571" s="68" t="s">
        <v>165</v>
      </c>
      <c r="U571" s="87"/>
      <c r="V571" s="183">
        <v>45609</v>
      </c>
      <c r="W571" s="73">
        <v>834</v>
      </c>
      <c r="X571" s="73">
        <v>38.200000000000003</v>
      </c>
      <c r="Y571" s="83">
        <f>IF(SUM(W571:W571)&gt;0,X571/SUM(W571:W571)*1000000,"N/A")</f>
        <v>45803.357314148685</v>
      </c>
      <c r="Z571" s="183"/>
      <c r="AA571" s="183"/>
      <c r="AB571" s="73" t="s">
        <v>2212</v>
      </c>
      <c r="AC571" s="153"/>
      <c r="AD571" s="331"/>
      <c r="AE571" s="57"/>
      <c r="AF571" s="88"/>
      <c r="AG571" s="182">
        <f>YEAR(V571)</f>
        <v>2024</v>
      </c>
      <c r="AH571" s="86" t="str">
        <f>+IF(AF571=$AI$22,MONTH(U571),"")</f>
        <v/>
      </c>
      <c r="AI571" s="86" t="str">
        <f>+IF(AG571=$AI$22,MONTH(V571),"")</f>
        <v/>
      </c>
      <c r="AJ571" s="86">
        <f>+IF(AG571=$AJ$22,MONTH(V571),"")</f>
        <v>11</v>
      </c>
      <c r="AK571" s="86" t="str">
        <f>+IF(AG571=$AK$22,MONTH(V571),"")</f>
        <v/>
      </c>
      <c r="AL571" s="86"/>
      <c r="AM571" s="89"/>
      <c r="AN571" s="89"/>
      <c r="AO571" s="89"/>
      <c r="AP571" s="89"/>
      <c r="AQ571" s="89"/>
      <c r="AR571" s="89"/>
      <c r="AS571" s="89"/>
      <c r="AT571" s="89"/>
      <c r="AU571" s="89"/>
      <c r="AV571" s="89"/>
      <c r="AW571" s="86" t="str">
        <f>+IF($AG571=AW$22,MONTH($D571),"")</f>
        <v/>
      </c>
      <c r="AX571" s="86" t="str">
        <f>+IF($AG571=AX$22,MONTH($D571),"")</f>
        <v/>
      </c>
      <c r="AY571" s="89"/>
      <c r="AZ571" s="89"/>
      <c r="BA571" s="89"/>
      <c r="BB571" s="89"/>
      <c r="BC571" s="89"/>
      <c r="BD571" s="89"/>
      <c r="BE571" s="89"/>
      <c r="BF571" s="89"/>
      <c r="BG571" s="89"/>
      <c r="BH571" s="89"/>
      <c r="BI571" s="89"/>
      <c r="BJ571" s="89"/>
      <c r="BK571" s="89"/>
      <c r="BL571" s="89"/>
      <c r="BM571" s="89"/>
      <c r="BN571" s="89"/>
      <c r="BO571" s="89"/>
      <c r="BP571" s="89"/>
    </row>
    <row r="572" spans="1:68" s="303" customFormat="1" ht="45" hidden="1" customHeight="1">
      <c r="A572" s="204" t="str">
        <f>+IFERROR(VALUE(MID(AB572,4,4)),"")</f>
        <v/>
      </c>
      <c r="B572" s="204">
        <f>VALUE(RIGHT(C572,LEN(C572)-2))</f>
        <v>2149</v>
      </c>
      <c r="C572" s="74" t="s">
        <v>2213</v>
      </c>
      <c r="D572" s="75">
        <v>45547</v>
      </c>
      <c r="E572" s="70" t="s">
        <v>685</v>
      </c>
      <c r="F572" s="70" t="s">
        <v>685</v>
      </c>
      <c r="G572" s="68" t="s">
        <v>210</v>
      </c>
      <c r="H572" s="59" t="s">
        <v>210</v>
      </c>
      <c r="I572" s="162" t="s">
        <v>2214</v>
      </c>
      <c r="J572" s="162"/>
      <c r="K572" s="68" t="s">
        <v>12</v>
      </c>
      <c r="L572" s="69" t="s">
        <v>123</v>
      </c>
      <c r="M572" s="71" t="s">
        <v>141</v>
      </c>
      <c r="N572" s="69" t="e" vm="1">
        <v>#VALUE!</v>
      </c>
      <c r="O572" s="164">
        <v>45580</v>
      </c>
      <c r="P572" s="72" t="s">
        <v>402</v>
      </c>
      <c r="Q572" s="72" t="s">
        <v>694</v>
      </c>
      <c r="R572" s="162"/>
      <c r="S572" s="146" t="s">
        <v>1882</v>
      </c>
      <c r="T572" s="68" t="s">
        <v>165</v>
      </c>
      <c r="U572" s="87">
        <v>0.01</v>
      </c>
      <c r="V572" s="183">
        <v>45712</v>
      </c>
      <c r="W572" s="150">
        <v>1687</v>
      </c>
      <c r="X572" s="150">
        <v>74</v>
      </c>
      <c r="Y572" s="83">
        <f>IF(SUM(W572:W572)&gt;0,X572/SUM(W572:W572)*1000000,"N/A")</f>
        <v>43864.848844101951</v>
      </c>
      <c r="Z572" s="183"/>
      <c r="AA572" s="183"/>
      <c r="AB572" s="73"/>
      <c r="AC572" s="153"/>
      <c r="AD572" s="331"/>
      <c r="AE572" s="57"/>
      <c r="AF572" s="88"/>
      <c r="AG572" s="182">
        <f>YEAR(V572)</f>
        <v>2025</v>
      </c>
      <c r="AH572" s="86" t="str">
        <f>+IF(AF572=$AI$22,MONTH(U572),"")</f>
        <v/>
      </c>
      <c r="AI572" s="86">
        <f>+IF(AG572=$AI$22,MONTH(V572),"")</f>
        <v>2</v>
      </c>
      <c r="AJ572" s="86" t="str">
        <f>+IF(AG572=$AJ$22,MONTH(V572),"")</f>
        <v/>
      </c>
      <c r="AK572" s="86" t="str">
        <f>+IF(AG572=$AK$22,MONTH(V572),"")</f>
        <v/>
      </c>
      <c r="AL572" s="86"/>
      <c r="AM572" s="89"/>
      <c r="AN572" s="89"/>
      <c r="AO572" s="89"/>
      <c r="AP572" s="89"/>
      <c r="AQ572" s="89"/>
      <c r="AR572" s="89"/>
      <c r="AS572" s="89"/>
      <c r="AT572" s="89"/>
      <c r="AU572" s="89"/>
      <c r="AV572" s="89"/>
      <c r="AW572" s="86" t="str">
        <f>+IF($AG572=AW$22,MONTH($D572),"")</f>
        <v/>
      </c>
      <c r="AX572" s="86" t="str">
        <f>+IF($AG572=AX$22,MONTH($D572),"")</f>
        <v/>
      </c>
      <c r="AY572" s="89"/>
      <c r="AZ572" s="89"/>
      <c r="BA572" s="89"/>
      <c r="BB572" s="89"/>
      <c r="BC572" s="89"/>
      <c r="BD572" s="89"/>
      <c r="BE572" s="89"/>
      <c r="BF572" s="89"/>
      <c r="BG572" s="89"/>
      <c r="BH572" s="89"/>
      <c r="BI572" s="89"/>
      <c r="BJ572" s="89"/>
      <c r="BK572" s="89"/>
      <c r="BL572" s="89"/>
      <c r="BM572" s="89"/>
      <c r="BN572" s="89"/>
      <c r="BO572" s="89"/>
      <c r="BP572" s="89"/>
    </row>
    <row r="573" spans="1:68" s="56" customFormat="1" ht="42" hidden="1" customHeight="1">
      <c r="A573" s="204" t="str">
        <f>+IFERROR(VALUE(MID(AB573,4,4)),"")</f>
        <v/>
      </c>
      <c r="B573" s="204">
        <f>VALUE(RIGHT(C573,LEN(C573)-2))</f>
        <v>2148</v>
      </c>
      <c r="C573" s="74" t="s">
        <v>2215</v>
      </c>
      <c r="D573" s="75">
        <v>45547</v>
      </c>
      <c r="E573" s="70" t="s">
        <v>53</v>
      </c>
      <c r="F573" s="70" t="s">
        <v>1379</v>
      </c>
      <c r="G573" s="68" t="s">
        <v>210</v>
      </c>
      <c r="H573" s="59" t="s">
        <v>210</v>
      </c>
      <c r="I573" s="162" t="s">
        <v>2216</v>
      </c>
      <c r="J573" s="162"/>
      <c r="K573" s="68" t="s">
        <v>389</v>
      </c>
      <c r="L573" s="69" t="s">
        <v>123</v>
      </c>
      <c r="M573" s="71" t="s">
        <v>141</v>
      </c>
      <c r="N573" s="69" t="e" vm="1">
        <v>#VALUE!</v>
      </c>
      <c r="O573" s="164">
        <v>45607</v>
      </c>
      <c r="P573" s="72" t="s">
        <v>649</v>
      </c>
      <c r="Q573" s="72" t="s">
        <v>694</v>
      </c>
      <c r="R573" s="162"/>
      <c r="S573" s="146" t="s">
        <v>2217</v>
      </c>
      <c r="T573" s="68" t="s">
        <v>165</v>
      </c>
      <c r="U573" s="87"/>
      <c r="V573" s="183"/>
      <c r="W573" s="357">
        <v>68800</v>
      </c>
      <c r="X573" s="73">
        <v>5899</v>
      </c>
      <c r="Y573" s="83">
        <f>IF(SUM(W573:W573)&gt;0,X573/SUM(W573:W573)*1000000,"N/A")</f>
        <v>85741.27906976745</v>
      </c>
      <c r="Z573" s="183"/>
      <c r="AA573" s="183"/>
      <c r="AB573" s="73"/>
      <c r="AC573" s="153"/>
      <c r="AD573" s="331"/>
      <c r="AE573" s="57"/>
      <c r="AF573" s="88"/>
      <c r="AG573" s="182">
        <f>YEAR(V573)</f>
        <v>1900</v>
      </c>
      <c r="AH573" s="86" t="str">
        <f>+IF(AF573=$AI$22,MONTH(U573),"")</f>
        <v/>
      </c>
      <c r="AI573" s="86" t="str">
        <f>+IF(AG573=$AI$22,MONTH(V573),"")</f>
        <v/>
      </c>
      <c r="AJ573" s="86" t="str">
        <f>+IF(AG573=$AJ$22,MONTH(V573),"")</f>
        <v/>
      </c>
      <c r="AK573" s="86" t="str">
        <f>+IF(AG573=$AK$22,MONTH(V573),"")</f>
        <v/>
      </c>
      <c r="AL573" s="86"/>
      <c r="AM573" s="89"/>
      <c r="AN573" s="89"/>
      <c r="AO573" s="89"/>
      <c r="AP573" s="89"/>
      <c r="AQ573" s="89"/>
      <c r="AR573" s="89"/>
      <c r="AS573" s="89"/>
      <c r="AT573" s="89"/>
      <c r="AU573" s="89"/>
      <c r="AV573" s="89"/>
      <c r="AW573" s="86" t="str">
        <f>+IF($AG573=AW$22,MONTH($D573),"")</f>
        <v/>
      </c>
      <c r="AX573" s="86" t="str">
        <f>+IF($AG573=AX$22,MONTH($D573),"")</f>
        <v/>
      </c>
      <c r="AY573" s="89"/>
      <c r="AZ573" s="89"/>
      <c r="BA573" s="89"/>
      <c r="BB573" s="89"/>
      <c r="BC573" s="89"/>
      <c r="BD573" s="89"/>
      <c r="BE573" s="89"/>
      <c r="BF573" s="89"/>
      <c r="BG573" s="89"/>
      <c r="BH573" s="89"/>
      <c r="BI573" s="89"/>
      <c r="BJ573" s="89"/>
      <c r="BK573" s="89"/>
      <c r="BL573" s="89"/>
      <c r="BM573" s="89"/>
      <c r="BN573" s="89"/>
      <c r="BO573" s="89"/>
      <c r="BP573" s="89"/>
    </row>
    <row r="574" spans="1:68" s="56" customFormat="1" ht="30" hidden="1" customHeight="1">
      <c r="A574" s="204">
        <f>+IFERROR(VALUE(MID(AB574,4,4)),"")</f>
        <v>399</v>
      </c>
      <c r="B574" s="204">
        <f>VALUE(RIGHT(C574,LEN(C574)-2))</f>
        <v>2147</v>
      </c>
      <c r="C574" s="74" t="s">
        <v>2218</v>
      </c>
      <c r="D574" s="75">
        <v>45545</v>
      </c>
      <c r="E574" s="70" t="s">
        <v>473</v>
      </c>
      <c r="F574" s="70" t="s">
        <v>473</v>
      </c>
      <c r="G574" s="68" t="s">
        <v>2002</v>
      </c>
      <c r="H574" s="307" t="s">
        <v>2003</v>
      </c>
      <c r="I574" s="162" t="s">
        <v>2219</v>
      </c>
      <c r="J574" s="162"/>
      <c r="K574" s="68" t="s">
        <v>12</v>
      </c>
      <c r="L574" s="69" t="s">
        <v>129</v>
      </c>
      <c r="M574" s="71" t="s">
        <v>141</v>
      </c>
      <c r="N574" s="69" t="e" vm="1">
        <v>#VALUE!</v>
      </c>
      <c r="O574" s="164">
        <v>45560</v>
      </c>
      <c r="P574" s="72" t="s">
        <v>377</v>
      </c>
      <c r="Q574" s="72" t="s">
        <v>694</v>
      </c>
      <c r="R574" s="162"/>
      <c r="S574" s="146"/>
      <c r="T574" s="68" t="s">
        <v>3</v>
      </c>
      <c r="U574" s="87"/>
      <c r="V574" s="183">
        <v>45681</v>
      </c>
      <c r="W574" s="73">
        <v>390</v>
      </c>
      <c r="X574" s="73">
        <v>20</v>
      </c>
      <c r="Y574" s="83">
        <f>IF(SUM(W574:W574)&gt;0,X574/SUM(W574:W574)*1000000,"N/A")</f>
        <v>51282.051282051281</v>
      </c>
      <c r="Z574" s="183"/>
      <c r="AA574" s="183"/>
      <c r="AB574" s="73" t="s">
        <v>2220</v>
      </c>
      <c r="AC574" s="153"/>
      <c r="AD574" s="331"/>
      <c r="AE574" s="57"/>
      <c r="AF574" s="88"/>
      <c r="AG574" s="182">
        <f>YEAR(V574)</f>
        <v>2025</v>
      </c>
      <c r="AH574" s="86" t="str">
        <f>+IF(AF574=$AI$22,MONTH(U574),"")</f>
        <v/>
      </c>
      <c r="AI574" s="86">
        <f>+IF(AG574=$AI$22,MONTH(V574),"")</f>
        <v>1</v>
      </c>
      <c r="AJ574" s="86" t="str">
        <f>+IF(AG574=$AJ$22,MONTH(V574),"")</f>
        <v/>
      </c>
      <c r="AK574" s="86" t="str">
        <f>+IF(AG574=$AK$22,MONTH(V574),"")</f>
        <v/>
      </c>
      <c r="AL574" s="86"/>
      <c r="AM574" s="89"/>
      <c r="AN574" s="89"/>
      <c r="AO574" s="89"/>
      <c r="AP574" s="89"/>
      <c r="AQ574" s="89"/>
      <c r="AR574" s="89"/>
      <c r="AS574" s="89"/>
      <c r="AT574" s="89"/>
      <c r="AU574" s="89"/>
      <c r="AV574" s="89"/>
      <c r="AW574" s="86" t="str">
        <f>+IF($AG574=AW$22,MONTH($D574),"")</f>
        <v/>
      </c>
      <c r="AX574" s="86" t="str">
        <f>+IF($AG574=AX$22,MONTH($D574),"")</f>
        <v/>
      </c>
      <c r="AY574" s="89"/>
      <c r="AZ574" s="89"/>
      <c r="BA574" s="89"/>
      <c r="BB574" s="89"/>
      <c r="BC574" s="89"/>
      <c r="BD574" s="89"/>
      <c r="BE574" s="89"/>
      <c r="BF574" s="89"/>
      <c r="BG574" s="89"/>
      <c r="BH574" s="89"/>
      <c r="BI574" s="89"/>
      <c r="BJ574" s="89"/>
      <c r="BK574" s="89"/>
      <c r="BL574" s="89"/>
      <c r="BM574" s="89"/>
      <c r="BN574" s="89"/>
      <c r="BO574" s="89"/>
      <c r="BP574" s="89"/>
    </row>
    <row r="575" spans="1:68" s="56" customFormat="1" ht="30" hidden="1" customHeight="1">
      <c r="A575" s="204">
        <f>+IFERROR(VALUE(MID(AB575,4,4)),"")</f>
        <v>399</v>
      </c>
      <c r="B575" s="204">
        <f>VALUE(RIGHT(C575,LEN(C575)-2))</f>
        <v>2146</v>
      </c>
      <c r="C575" s="74" t="s">
        <v>2221</v>
      </c>
      <c r="D575" s="75">
        <v>45545</v>
      </c>
      <c r="E575" s="70" t="s">
        <v>473</v>
      </c>
      <c r="F575" s="70" t="s">
        <v>473</v>
      </c>
      <c r="G575" s="68" t="s">
        <v>2002</v>
      </c>
      <c r="H575" s="307" t="s">
        <v>2003</v>
      </c>
      <c r="I575" s="162" t="s">
        <v>2222</v>
      </c>
      <c r="J575" s="162"/>
      <c r="K575" s="68" t="s">
        <v>12</v>
      </c>
      <c r="L575" s="69" t="s">
        <v>129</v>
      </c>
      <c r="M575" s="71" t="s">
        <v>141</v>
      </c>
      <c r="N575" s="69" t="e" vm="1">
        <v>#VALUE!</v>
      </c>
      <c r="O575" s="164">
        <v>45561</v>
      </c>
      <c r="P575" s="72" t="s">
        <v>377</v>
      </c>
      <c r="Q575" s="72" t="s">
        <v>694</v>
      </c>
      <c r="R575" s="162"/>
      <c r="S575" s="146"/>
      <c r="T575" s="68" t="s">
        <v>3</v>
      </c>
      <c r="U575" s="87"/>
      <c r="V575" s="183">
        <v>45681</v>
      </c>
      <c r="W575" s="73">
        <v>97</v>
      </c>
      <c r="X575" s="73">
        <v>4.8</v>
      </c>
      <c r="Y575" s="83">
        <f>IF(SUM(W575:W575)&gt;0,X575/SUM(W575:W575)*1000000,"N/A")</f>
        <v>49484.536082474224</v>
      </c>
      <c r="Z575" s="183"/>
      <c r="AA575" s="183"/>
      <c r="AB575" s="73" t="s">
        <v>2223</v>
      </c>
      <c r="AC575" s="153"/>
      <c r="AD575" s="331"/>
      <c r="AE575" s="57"/>
      <c r="AF575" s="88"/>
      <c r="AG575" s="182">
        <f>YEAR(V575)</f>
        <v>2025</v>
      </c>
      <c r="AH575" s="86" t="str">
        <f>+IF(AF575=$AI$22,MONTH(U575),"")</f>
        <v/>
      </c>
      <c r="AI575" s="86">
        <f>+IF(AG575=$AI$22,MONTH(V575),"")</f>
        <v>1</v>
      </c>
      <c r="AJ575" s="86" t="str">
        <f>+IF(AG575=$AJ$22,MONTH(V575),"")</f>
        <v/>
      </c>
      <c r="AK575" s="86" t="str">
        <f>+IF(AG575=$AK$22,MONTH(V575),"")</f>
        <v/>
      </c>
      <c r="AL575" s="86"/>
      <c r="AM575" s="89"/>
      <c r="AN575" s="89"/>
      <c r="AO575" s="89"/>
      <c r="AP575" s="89"/>
      <c r="AQ575" s="89"/>
      <c r="AR575" s="89"/>
      <c r="AS575" s="89"/>
      <c r="AT575" s="89"/>
      <c r="AU575" s="89"/>
      <c r="AV575" s="89"/>
      <c r="AW575" s="86" t="str">
        <f>+IF($AG575=AW$22,MONTH($D575),"")</f>
        <v/>
      </c>
      <c r="AX575" s="86" t="str">
        <f>+IF($AG575=AX$22,MONTH($D575),"")</f>
        <v/>
      </c>
      <c r="AY575" s="89"/>
      <c r="AZ575" s="89"/>
      <c r="BA575" s="89"/>
      <c r="BB575" s="89"/>
      <c r="BC575" s="89"/>
      <c r="BD575" s="89"/>
      <c r="BE575" s="89"/>
      <c r="BF575" s="89"/>
      <c r="BG575" s="89"/>
      <c r="BH575" s="89"/>
      <c r="BI575" s="89"/>
      <c r="BJ575" s="89"/>
      <c r="BK575" s="89"/>
      <c r="BL575" s="89"/>
      <c r="BM575" s="89"/>
      <c r="BN575" s="89"/>
      <c r="BO575" s="89"/>
      <c r="BP575" s="89"/>
    </row>
    <row r="576" spans="1:68" s="56" customFormat="1" ht="30" hidden="1" customHeight="1">
      <c r="A576" s="204">
        <f>+IFERROR(VALUE(MID(AB576,4,4)),"")</f>
        <v>399</v>
      </c>
      <c r="B576" s="204">
        <f>VALUE(RIGHT(C576,LEN(C576)-2))</f>
        <v>2145</v>
      </c>
      <c r="C576" s="74" t="s">
        <v>2224</v>
      </c>
      <c r="D576" s="75">
        <v>45545</v>
      </c>
      <c r="E576" s="70" t="s">
        <v>473</v>
      </c>
      <c r="F576" s="70" t="s">
        <v>473</v>
      </c>
      <c r="G576" s="68" t="s">
        <v>2002</v>
      </c>
      <c r="H576" s="307" t="s">
        <v>2003</v>
      </c>
      <c r="I576" s="162" t="s">
        <v>2225</v>
      </c>
      <c r="J576" s="162"/>
      <c r="K576" s="68" t="s">
        <v>12</v>
      </c>
      <c r="L576" s="69" t="s">
        <v>129</v>
      </c>
      <c r="M576" s="71" t="s">
        <v>141</v>
      </c>
      <c r="N576" s="69" t="e" vm="1">
        <v>#VALUE!</v>
      </c>
      <c r="O576" s="164">
        <v>45561</v>
      </c>
      <c r="P576" s="72" t="s">
        <v>377</v>
      </c>
      <c r="Q576" s="72" t="s">
        <v>694</v>
      </c>
      <c r="R576" s="162"/>
      <c r="S576" s="146"/>
      <c r="T576" s="68" t="s">
        <v>3</v>
      </c>
      <c r="U576" s="87"/>
      <c r="V576" s="183">
        <v>45681</v>
      </c>
      <c r="W576" s="73">
        <v>278</v>
      </c>
      <c r="X576" s="73">
        <v>15.1</v>
      </c>
      <c r="Y576" s="83">
        <f>IF(SUM(W576:W576)&gt;0,X576/SUM(W576:W576)*1000000,"N/A")</f>
        <v>54316.546762589925</v>
      </c>
      <c r="Z576" s="183"/>
      <c r="AA576" s="183"/>
      <c r="AB576" s="73" t="s">
        <v>2226</v>
      </c>
      <c r="AC576" s="153"/>
      <c r="AD576" s="331"/>
      <c r="AE576" s="57"/>
      <c r="AF576" s="88"/>
      <c r="AG576" s="182">
        <f>YEAR(V576)</f>
        <v>2025</v>
      </c>
      <c r="AH576" s="86" t="str">
        <f>+IF(AF576=$AI$22,MONTH(U576),"")</f>
        <v/>
      </c>
      <c r="AI576" s="86">
        <f>+IF(AG576=$AI$22,MONTH(V576),"")</f>
        <v>1</v>
      </c>
      <c r="AJ576" s="86" t="str">
        <f>+IF(AG576=$AJ$22,MONTH(V576),"")</f>
        <v/>
      </c>
      <c r="AK576" s="86" t="str">
        <f>+IF(AG576=$AK$22,MONTH(V576),"")</f>
        <v/>
      </c>
      <c r="AL576" s="86"/>
      <c r="AM576" s="89"/>
      <c r="AN576" s="89"/>
      <c r="AO576" s="89"/>
      <c r="AP576" s="89"/>
      <c r="AQ576" s="89"/>
      <c r="AR576" s="89"/>
      <c r="AS576" s="89"/>
      <c r="AT576" s="89"/>
      <c r="AU576" s="89"/>
      <c r="AV576" s="89"/>
      <c r="AW576" s="86" t="str">
        <f>+IF($AG576=AW$22,MONTH($D576),"")</f>
        <v/>
      </c>
      <c r="AX576" s="86" t="str">
        <f>+IF($AG576=AX$22,MONTH($D576),"")</f>
        <v/>
      </c>
      <c r="AY576" s="89"/>
      <c r="AZ576" s="89"/>
      <c r="BA576" s="89"/>
      <c r="BB576" s="89"/>
      <c r="BC576" s="89"/>
      <c r="BD576" s="89"/>
      <c r="BE576" s="89"/>
      <c r="BF576" s="89"/>
      <c r="BG576" s="89"/>
      <c r="BH576" s="89"/>
      <c r="BI576" s="89"/>
      <c r="BJ576" s="89"/>
      <c r="BK576" s="89"/>
      <c r="BL576" s="89"/>
      <c r="BM576" s="89"/>
      <c r="BN576" s="89"/>
      <c r="BO576" s="89"/>
      <c r="BP576" s="89"/>
    </row>
    <row r="577" spans="1:68" s="89" customFormat="1" ht="29.25" hidden="1" customHeight="1">
      <c r="A577" s="204">
        <f>+IFERROR(VALUE(MID(AB577,4,4)),"")</f>
        <v>390</v>
      </c>
      <c r="B577" s="204">
        <f>VALUE(RIGHT(C577,LEN(C577)-2))</f>
        <v>2144</v>
      </c>
      <c r="C577" s="74" t="s">
        <v>2227</v>
      </c>
      <c r="D577" s="75">
        <v>45545</v>
      </c>
      <c r="E577" s="70" t="s">
        <v>262</v>
      </c>
      <c r="F577" s="70" t="s">
        <v>262</v>
      </c>
      <c r="G577" s="68" t="s">
        <v>2228</v>
      </c>
      <c r="H577" s="282" t="s">
        <v>2229</v>
      </c>
      <c r="I577" s="162" t="s">
        <v>2230</v>
      </c>
      <c r="J577" s="162"/>
      <c r="K577" s="68" t="s">
        <v>389</v>
      </c>
      <c r="L577" s="68" t="s">
        <v>120</v>
      </c>
      <c r="M577" s="68" t="s">
        <v>141</v>
      </c>
      <c r="N577" s="69" t="e" vm="1">
        <v>#VALUE!</v>
      </c>
      <c r="O577" s="164">
        <v>45560</v>
      </c>
      <c r="P577" s="72" t="s">
        <v>2231</v>
      </c>
      <c r="Q577" s="72" t="s">
        <v>389</v>
      </c>
      <c r="R577" s="162"/>
      <c r="S577" s="146"/>
      <c r="T577" s="68" t="s">
        <v>3</v>
      </c>
      <c r="U577" s="87"/>
      <c r="V577" s="183">
        <v>45561</v>
      </c>
      <c r="W577" s="73">
        <v>1797</v>
      </c>
      <c r="X577" s="73">
        <v>72.242999999999995</v>
      </c>
      <c r="Y577" s="83">
        <f>IF(SUM(W577:W577)&gt;0,X577/SUM(W577:W577)*1000000,"N/A")</f>
        <v>40202.003338898161</v>
      </c>
      <c r="Z577" s="183"/>
      <c r="AA577" s="183"/>
      <c r="AB577" s="73" t="s">
        <v>2232</v>
      </c>
      <c r="AC577" s="153"/>
      <c r="AD577" s="331"/>
      <c r="AE577" s="57"/>
      <c r="AF577" s="88"/>
      <c r="AG577" s="182">
        <f>YEAR(V577)</f>
        <v>2024</v>
      </c>
      <c r="AH577" s="86" t="str">
        <f>+IF(AF577=$AI$22,MONTH(U577),"")</f>
        <v/>
      </c>
      <c r="AI577" s="86" t="str">
        <f>+IF(AG577=$AI$22,MONTH(V577),"")</f>
        <v/>
      </c>
      <c r="AJ577" s="86">
        <f>+IF(AG577=$AJ$22,MONTH(V577),"")</f>
        <v>9</v>
      </c>
      <c r="AK577" s="86" t="str">
        <f>+IF(AG577=$AK$22,MONTH(V577),"")</f>
        <v/>
      </c>
      <c r="AL577" s="86"/>
      <c r="AW577" s="86" t="str">
        <f>+IF($AG577=AW$22,MONTH($D577),"")</f>
        <v/>
      </c>
      <c r="AX577" s="86" t="str">
        <f>+IF($AG577=AX$22,MONTH($D577),"")</f>
        <v/>
      </c>
    </row>
    <row r="578" spans="1:68" s="303" customFormat="1" ht="30.75" hidden="1" customHeight="1">
      <c r="A578" s="204">
        <f>+IFERROR(VALUE(MID(AB578,4,4)),"")</f>
        <v>405</v>
      </c>
      <c r="B578" s="204">
        <f>VALUE(RIGHT(C578,LEN(C578)-2))</f>
        <v>2143</v>
      </c>
      <c r="C578" s="74" t="s">
        <v>2233</v>
      </c>
      <c r="D578" s="75">
        <v>45544</v>
      </c>
      <c r="E578" s="70" t="s">
        <v>935</v>
      </c>
      <c r="F578" s="70" t="s">
        <v>346</v>
      </c>
      <c r="G578" s="68" t="s">
        <v>936</v>
      </c>
      <c r="H578" s="59"/>
      <c r="I578" s="162" t="s">
        <v>2234</v>
      </c>
      <c r="J578" s="162"/>
      <c r="K578" s="68" t="s">
        <v>9</v>
      </c>
      <c r="L578" s="69" t="s">
        <v>120</v>
      </c>
      <c r="M578" s="71" t="s">
        <v>141</v>
      </c>
      <c r="N578" s="69" t="e" vm="1">
        <v>#VALUE!</v>
      </c>
      <c r="O578" s="164">
        <v>45561</v>
      </c>
      <c r="P578" s="72" t="s">
        <v>377</v>
      </c>
      <c r="Q578" s="72" t="s">
        <v>694</v>
      </c>
      <c r="R578" s="162"/>
      <c r="S578" s="146"/>
      <c r="T578" s="68" t="s">
        <v>3</v>
      </c>
      <c r="U578" s="87"/>
      <c r="V578" s="183">
        <v>45561</v>
      </c>
      <c r="W578" s="73">
        <v>223</v>
      </c>
      <c r="X578" s="73">
        <v>13.8</v>
      </c>
      <c r="Y578" s="83">
        <f>IF(SUM(W578:W578)&gt;0,X578/SUM(W578:W578)*1000000,"N/A")</f>
        <v>61883.408071748883</v>
      </c>
      <c r="Z578" s="183"/>
      <c r="AA578" s="183"/>
      <c r="AB578" s="73" t="s">
        <v>2235</v>
      </c>
      <c r="AC578" s="153"/>
      <c r="AD578" s="331"/>
      <c r="AE578" s="57"/>
      <c r="AF578" s="88"/>
      <c r="AG578" s="182">
        <f>YEAR(V578)</f>
        <v>2024</v>
      </c>
      <c r="AH578" s="86" t="str">
        <f>+IF(AF578=$AI$22,MONTH(U578),"")</f>
        <v/>
      </c>
      <c r="AI578" s="86" t="str">
        <f>+IF(AG578=$AI$22,MONTH(V578),"")</f>
        <v/>
      </c>
      <c r="AJ578" s="86">
        <f>+IF(AG578=$AJ$22,MONTH(V578),"")</f>
        <v>9</v>
      </c>
      <c r="AK578" s="86" t="str">
        <f>+IF(AG578=$AK$22,MONTH(V578),"")</f>
        <v/>
      </c>
      <c r="AL578" s="86"/>
      <c r="AM578" s="89"/>
      <c r="AN578" s="89"/>
      <c r="AO578" s="89"/>
      <c r="AP578" s="89"/>
      <c r="AQ578" s="89"/>
      <c r="AR578" s="89"/>
      <c r="AS578" s="89"/>
      <c r="AT578" s="89"/>
      <c r="AU578" s="89"/>
      <c r="AV578" s="89"/>
      <c r="AW578" s="86" t="str">
        <f>+IF($AG578=AW$22,MONTH($D578),"")</f>
        <v/>
      </c>
      <c r="AX578" s="86" t="str">
        <f>+IF($AG578=AX$22,MONTH($D578),"")</f>
        <v/>
      </c>
      <c r="AY578" s="89"/>
      <c r="AZ578" s="89"/>
      <c r="BA578" s="89"/>
      <c r="BB578" s="89"/>
      <c r="BC578" s="89"/>
      <c r="BD578" s="89"/>
      <c r="BE578" s="89"/>
      <c r="BF578" s="89"/>
      <c r="BG578" s="89"/>
      <c r="BH578" s="89"/>
      <c r="BI578" s="89"/>
      <c r="BJ578" s="89"/>
      <c r="BK578" s="89"/>
      <c r="BL578" s="89"/>
      <c r="BM578" s="89"/>
      <c r="BN578" s="89"/>
      <c r="BO578" s="89"/>
      <c r="BP578" s="89"/>
    </row>
    <row r="579" spans="1:68" s="320" customFormat="1" ht="29.25" hidden="1" customHeight="1">
      <c r="A579" s="204" t="str">
        <f>+IFERROR(VALUE(MID(AB579,4,4)),"")</f>
        <v/>
      </c>
      <c r="B579" s="204">
        <f>VALUE(RIGHT(C579,LEN(C579)-2))</f>
        <v>2142</v>
      </c>
      <c r="C579" s="74" t="s">
        <v>2236</v>
      </c>
      <c r="D579" s="75">
        <v>45540</v>
      </c>
      <c r="E579" s="70" t="s">
        <v>353</v>
      </c>
      <c r="F579" s="70" t="s">
        <v>353</v>
      </c>
      <c r="G579" s="68" t="s">
        <v>2237</v>
      </c>
      <c r="H579" s="59" t="s">
        <v>2207</v>
      </c>
      <c r="I579" s="162" t="s">
        <v>2238</v>
      </c>
      <c r="J579" s="162"/>
      <c r="K579" s="68" t="s">
        <v>9</v>
      </c>
      <c r="L579" s="69" t="s">
        <v>120</v>
      </c>
      <c r="M579" s="71" t="s">
        <v>141</v>
      </c>
      <c r="N579" s="69" t="e" vm="1">
        <v>#VALUE!</v>
      </c>
      <c r="O579" s="164">
        <v>45548</v>
      </c>
      <c r="P579" s="72" t="s">
        <v>377</v>
      </c>
      <c r="Q579" s="72" t="s">
        <v>694</v>
      </c>
      <c r="R579" s="162"/>
      <c r="S579" s="146"/>
      <c r="T579" s="68" t="s">
        <v>165</v>
      </c>
      <c r="U579" s="87"/>
      <c r="V579" s="183">
        <v>45548</v>
      </c>
      <c r="W579" s="73">
        <v>952</v>
      </c>
      <c r="X579" s="73">
        <v>48.7</v>
      </c>
      <c r="Y579" s="83">
        <f>IF(SUM(W579:W579)&gt;0,X579/SUM(W579:W579)*1000000,"N/A")</f>
        <v>51155.462184873955</v>
      </c>
      <c r="Z579" s="183"/>
      <c r="AA579" s="183"/>
      <c r="AB579" s="73"/>
      <c r="AC579" s="153"/>
      <c r="AD579" s="331"/>
      <c r="AE579" s="57"/>
      <c r="AF579" s="88"/>
      <c r="AG579" s="182">
        <f>YEAR(V579)</f>
        <v>2024</v>
      </c>
      <c r="AH579" s="86" t="str">
        <f>+IF(AF579=$AI$22,MONTH(U579),"")</f>
        <v/>
      </c>
      <c r="AI579" s="86" t="str">
        <f>+IF(AG579=$AI$22,MONTH(V579),"")</f>
        <v/>
      </c>
      <c r="AJ579" s="86">
        <f>+IF(AG579=$AJ$22,MONTH(V579),"")</f>
        <v>9</v>
      </c>
      <c r="AK579" s="86" t="str">
        <f>+IF(AG579=$AK$22,MONTH(V579),"")</f>
        <v/>
      </c>
      <c r="AL579" s="86"/>
      <c r="AM579" s="89"/>
      <c r="AN579" s="89"/>
      <c r="AO579" s="89"/>
      <c r="AP579" s="89"/>
      <c r="AQ579" s="89"/>
      <c r="AR579" s="89"/>
      <c r="AS579" s="89"/>
      <c r="AT579" s="89"/>
      <c r="AU579" s="89"/>
      <c r="AV579" s="89"/>
      <c r="AW579" s="86" t="str">
        <f>+IF($AG579=AW$22,MONTH($D579),"")</f>
        <v/>
      </c>
      <c r="AX579" s="86" t="str">
        <f>+IF($AG579=AX$22,MONTH($D579),"")</f>
        <v/>
      </c>
      <c r="AY579" s="89"/>
      <c r="AZ579" s="89"/>
      <c r="BA579" s="89"/>
      <c r="BB579" s="89"/>
      <c r="BC579" s="89"/>
      <c r="BD579" s="89"/>
      <c r="BE579" s="89"/>
      <c r="BF579" s="89"/>
      <c r="BG579" s="89"/>
      <c r="BH579" s="89"/>
      <c r="BI579" s="89"/>
      <c r="BJ579" s="89"/>
      <c r="BK579" s="89"/>
      <c r="BL579" s="89"/>
      <c r="BM579" s="89"/>
      <c r="BN579" s="89"/>
      <c r="BO579" s="89"/>
      <c r="BP579" s="89"/>
    </row>
    <row r="580" spans="1:68" s="89" customFormat="1" ht="29.25" hidden="1" customHeight="1">
      <c r="A580" s="204" t="str">
        <f>+IFERROR(VALUE(MID(AB580,4,4)),"")</f>
        <v/>
      </c>
      <c r="B580" s="204">
        <f>VALUE(RIGHT(C580,LEN(C580)-2))</f>
        <v>2141</v>
      </c>
      <c r="C580" s="74" t="s">
        <v>2239</v>
      </c>
      <c r="D580" s="75">
        <v>45534</v>
      </c>
      <c r="E580" s="70" t="s">
        <v>53</v>
      </c>
      <c r="F580" s="70" t="s">
        <v>313</v>
      </c>
      <c r="G580" s="68" t="s">
        <v>210</v>
      </c>
      <c r="H580" s="321"/>
      <c r="I580" s="162" t="s">
        <v>2240</v>
      </c>
      <c r="J580" s="162"/>
      <c r="K580" s="68" t="s">
        <v>9</v>
      </c>
      <c r="L580" s="68" t="s">
        <v>123</v>
      </c>
      <c r="M580" s="68" t="s">
        <v>141</v>
      </c>
      <c r="N580" s="69" t="e" vm="1">
        <v>#VALUE!</v>
      </c>
      <c r="O580" s="164">
        <v>45561</v>
      </c>
      <c r="P580" s="72" t="s">
        <v>213</v>
      </c>
      <c r="Q580" s="72" t="s">
        <v>623</v>
      </c>
      <c r="R580" s="162"/>
      <c r="S580" s="146"/>
      <c r="T580" s="68" t="s">
        <v>155</v>
      </c>
      <c r="U580" s="87"/>
      <c r="V580" s="183">
        <v>45530</v>
      </c>
      <c r="W580" s="73"/>
      <c r="X580" s="73"/>
      <c r="Y580" s="83" t="str">
        <f>IF(SUM(W580:W580)&gt;0,X580/SUM(W580:W580)*1000000,"N/A")</f>
        <v>N/A</v>
      </c>
      <c r="Z580" s="183"/>
      <c r="AA580" s="183"/>
      <c r="AB580" s="73"/>
      <c r="AC580" s="153"/>
      <c r="AD580" s="330"/>
      <c r="AE580" s="305"/>
      <c r="AF580" s="88"/>
      <c r="AG580" s="182">
        <f>YEAR(V580)</f>
        <v>2024</v>
      </c>
      <c r="AH580" s="86" t="str">
        <f>+IF(AF580=$AI$22,MONTH(U580),"")</f>
        <v/>
      </c>
      <c r="AI580" s="86" t="str">
        <f>+IF(AG580=$AI$22,MONTH(V580),"")</f>
        <v/>
      </c>
      <c r="AJ580" s="86">
        <f>+IF(AG580=$AJ$22,MONTH(V580),"")</f>
        <v>8</v>
      </c>
      <c r="AK580" s="86" t="str">
        <f>+IF(AG580=$AK$22,MONTH(V580),"")</f>
        <v/>
      </c>
      <c r="AL580" s="86"/>
      <c r="AW580" s="86" t="str">
        <f>+IF($AG580=AW$22,MONTH($D580),"")</f>
        <v/>
      </c>
      <c r="AX580" s="86" t="str">
        <f>+IF($AG580=AX$22,MONTH($D580),"")</f>
        <v/>
      </c>
    </row>
    <row r="581" spans="1:68" s="89" customFormat="1" ht="29.25" hidden="1" customHeight="1">
      <c r="A581" s="204">
        <f>+IFERROR(VALUE(MID(AB581,4,4)),"")</f>
        <v>357</v>
      </c>
      <c r="B581" s="204">
        <f>VALUE(RIGHT(C581,LEN(C581)-2))</f>
        <v>2140</v>
      </c>
      <c r="C581" s="74" t="s">
        <v>2241</v>
      </c>
      <c r="D581" s="75">
        <v>45534</v>
      </c>
      <c r="E581" s="70" t="s">
        <v>262</v>
      </c>
      <c r="F581" s="70" t="s">
        <v>263</v>
      </c>
      <c r="G581" s="68" t="s">
        <v>2242</v>
      </c>
      <c r="H581" s="307" t="s">
        <v>2243</v>
      </c>
      <c r="I581" s="69" t="s">
        <v>2244</v>
      </c>
      <c r="J581" s="69"/>
      <c r="K581" s="68" t="s">
        <v>389</v>
      </c>
      <c r="L581" s="68" t="s">
        <v>129</v>
      </c>
      <c r="M581" s="68" t="s">
        <v>141</v>
      </c>
      <c r="N581" s="69" t="e" vm="1">
        <v>#VALUE!</v>
      </c>
      <c r="O581" s="84">
        <v>45539</v>
      </c>
      <c r="P581" s="72" t="s">
        <v>364</v>
      </c>
      <c r="Q581" s="72" t="s">
        <v>389</v>
      </c>
      <c r="R581" s="162"/>
      <c r="S581" s="146" t="s">
        <v>899</v>
      </c>
      <c r="T581" s="68" t="s">
        <v>165</v>
      </c>
      <c r="U581" s="87"/>
      <c r="V581" s="80">
        <v>45628</v>
      </c>
      <c r="W581" s="73"/>
      <c r="X581" s="73"/>
      <c r="Y581" s="169" t="str">
        <f>IF(SUM(W581:W581)&gt;0,X581/SUM(W581:W581)*1000000,"N/A")</f>
        <v>N/A</v>
      </c>
      <c r="Z581" s="80"/>
      <c r="AA581" s="80"/>
      <c r="AB581" s="73" t="s">
        <v>2245</v>
      </c>
      <c r="AC581" s="153"/>
      <c r="AD581" s="330" t="s">
        <v>134</v>
      </c>
      <c r="AE581" s="305"/>
      <c r="AF581" s="88"/>
      <c r="AG581" s="182">
        <f>YEAR(D581)</f>
        <v>2024</v>
      </c>
      <c r="AH581" s="86" t="str">
        <f>+IF(AF581=$AI$22,MONTH(U581),"")</f>
        <v/>
      </c>
      <c r="AI581" s="86" t="str">
        <f>+IF(AG581=$AI$22,MONTH(V581),"")</f>
        <v/>
      </c>
      <c r="AJ581" s="86">
        <f>+IF(AG581=$AJ$22,MONTH(V581),"")</f>
        <v>12</v>
      </c>
      <c r="AK581" s="86" t="str">
        <f>+IF(AG581=$AK$22,MONTH(V581),"")</f>
        <v/>
      </c>
      <c r="AL581" s="86" t="str">
        <f>+IF(AG581=$AL$22,MONTH(V581),"")</f>
        <v/>
      </c>
      <c r="AM581" s="86" t="str">
        <f>+IF($AG581=$AM$22,MONTH($D581),"")</f>
        <v/>
      </c>
      <c r="AN581" s="89" t="str">
        <f>+IF($AG581=AN$22,MONTH($D581),"")</f>
        <v/>
      </c>
      <c r="AO581" s="89" t="str">
        <f>+IF($AG581=AO$22,MONTH($D581),"")</f>
        <v/>
      </c>
      <c r="AP581" s="89" t="str">
        <f>+IF($AG581=AP$22,MONTH($D581),"")</f>
        <v/>
      </c>
      <c r="AQ581" s="89" t="str">
        <f>+IF($AG581=AQ$22,MONTH($D581),"")</f>
        <v/>
      </c>
      <c r="AR581" s="89" t="str">
        <f>+IF($AG581=AR$22,MONTH($D581),"")</f>
        <v/>
      </c>
      <c r="AS581" s="89" t="str">
        <f>+IF($AG581=AS$22,MONTH($D581),"")</f>
        <v/>
      </c>
      <c r="AT581" s="89" t="str">
        <f>+IF($AG581=AT$22,MONTH($D581),"")</f>
        <v/>
      </c>
      <c r="AU581" s="89" t="str">
        <f>+IF($AG581=AU$22,MONTH($D581),"")</f>
        <v/>
      </c>
      <c r="AV581" s="89" t="str">
        <f>+IF($AG581=AV$22,MONTH($D581),"")</f>
        <v/>
      </c>
      <c r="AW581" s="86" t="str">
        <f>+IF($AG581=AW$22,MONTH($D581),"")</f>
        <v/>
      </c>
      <c r="AX581" s="86" t="str">
        <f>+IF($AG581=AX$22,MONTH($D581),"")</f>
        <v/>
      </c>
    </row>
    <row r="582" spans="1:68" s="347" customFormat="1" ht="29.25" hidden="1" customHeight="1">
      <c r="A582" s="204">
        <f>+IFERROR(VALUE(MID(AB582,4,4)),"")</f>
        <v>392</v>
      </c>
      <c r="B582" s="204">
        <f>VALUE(RIGHT(C582,LEN(C582)-2))</f>
        <v>2139</v>
      </c>
      <c r="C582" s="74" t="s">
        <v>2246</v>
      </c>
      <c r="D582" s="75">
        <v>45534</v>
      </c>
      <c r="E582" s="70" t="s">
        <v>332</v>
      </c>
      <c r="F582" s="70" t="s">
        <v>332</v>
      </c>
      <c r="G582" s="68" t="s">
        <v>333</v>
      </c>
      <c r="H582" s="59" t="s">
        <v>334</v>
      </c>
      <c r="I582" s="162" t="s">
        <v>2247</v>
      </c>
      <c r="J582" s="162"/>
      <c r="K582" s="68" t="s">
        <v>9</v>
      </c>
      <c r="L582" s="69" t="s">
        <v>129</v>
      </c>
      <c r="M582" s="71" t="s">
        <v>141</v>
      </c>
      <c r="N582" s="69" t="e" vm="1">
        <v>#VALUE!</v>
      </c>
      <c r="O582" s="164">
        <v>45537</v>
      </c>
      <c r="P582" s="72" t="s">
        <v>402</v>
      </c>
      <c r="Q582" s="72" t="s">
        <v>259</v>
      </c>
      <c r="R582" s="162"/>
      <c r="S582" s="146"/>
      <c r="T582" s="68" t="s">
        <v>3</v>
      </c>
      <c r="U582" s="87">
        <v>0</v>
      </c>
      <c r="V582" s="183">
        <v>45539</v>
      </c>
      <c r="W582" s="73">
        <v>54</v>
      </c>
      <c r="X582" s="73">
        <f>88*37970/1000000</f>
        <v>3.3413599999999999</v>
      </c>
      <c r="Y582" s="83">
        <f>IF(SUM(W582:W582)&gt;0,X582/SUM(W582:W582)*1000000,"N/A")</f>
        <v>61877.037037037036</v>
      </c>
      <c r="Z582" s="183"/>
      <c r="AA582" s="183"/>
      <c r="AB582" s="73" t="s">
        <v>2248</v>
      </c>
      <c r="AC582" s="153"/>
      <c r="AD582" s="331"/>
      <c r="AE582" s="57"/>
      <c r="AF582" s="88"/>
      <c r="AG582" s="182">
        <f>YEAR(V582)</f>
        <v>2024</v>
      </c>
      <c r="AH582" s="86" t="str">
        <f>+IF(AF582=$AI$22,MONTH(U582),"")</f>
        <v/>
      </c>
      <c r="AI582" s="86" t="str">
        <f>+IF(AG582=$AI$22,MONTH(V582),"")</f>
        <v/>
      </c>
      <c r="AJ582" s="86">
        <f>+IF(AG582=$AJ$22,MONTH(V582),"")</f>
        <v>9</v>
      </c>
      <c r="AK582" s="86" t="str">
        <f>+IF(AG582=$AK$22,MONTH(V582),"")</f>
        <v/>
      </c>
      <c r="AL582" s="86"/>
      <c r="AM582" s="89"/>
      <c r="AN582" s="89"/>
      <c r="AO582" s="89"/>
      <c r="AP582" s="89"/>
      <c r="AQ582" s="89"/>
      <c r="AR582" s="89"/>
      <c r="AS582" s="89"/>
      <c r="AT582" s="89"/>
      <c r="AU582" s="89"/>
      <c r="AV582" s="89"/>
      <c r="AW582" s="86" t="str">
        <f>+IF($AG582=AW$22,MONTH($D582),"")</f>
        <v/>
      </c>
      <c r="AX582" s="86" t="str">
        <f>+IF($AG582=AX$22,MONTH($D582),"")</f>
        <v/>
      </c>
      <c r="AY582" s="89"/>
      <c r="AZ582" s="89"/>
      <c r="BA582" s="89"/>
      <c r="BB582" s="89"/>
      <c r="BC582" s="89"/>
      <c r="BD582" s="89"/>
      <c r="BE582" s="89"/>
      <c r="BF582" s="89"/>
      <c r="BG582" s="89"/>
      <c r="BH582" s="89"/>
      <c r="BI582" s="89"/>
      <c r="BJ582" s="89"/>
      <c r="BK582" s="89"/>
      <c r="BL582" s="89"/>
      <c r="BM582" s="89"/>
      <c r="BN582" s="89"/>
      <c r="BO582" s="89"/>
      <c r="BP582" s="89"/>
    </row>
    <row r="583" spans="1:68" s="320" customFormat="1" ht="29.25" hidden="1" customHeight="1">
      <c r="A583" s="204" t="str">
        <f>+IFERROR(VALUE(MID(AB583,4,4)),"")</f>
        <v/>
      </c>
      <c r="B583" s="204">
        <f>VALUE(RIGHT(C583,LEN(C583)-2))</f>
        <v>2138</v>
      </c>
      <c r="C583" s="74" t="s">
        <v>2249</v>
      </c>
      <c r="D583" s="75">
        <v>45534</v>
      </c>
      <c r="E583" s="70" t="s">
        <v>479</v>
      </c>
      <c r="F583" s="70" t="s">
        <v>479</v>
      </c>
      <c r="G583" s="68" t="s">
        <v>2250</v>
      </c>
      <c r="H583" s="59" t="s">
        <v>2251</v>
      </c>
      <c r="I583" s="69" t="s">
        <v>2252</v>
      </c>
      <c r="J583" s="69"/>
      <c r="K583" s="68" t="s">
        <v>9</v>
      </c>
      <c r="L583" s="69" t="s">
        <v>129</v>
      </c>
      <c r="M583" s="71" t="s">
        <v>113</v>
      </c>
      <c r="N583" s="69" t="e" vm="2">
        <v>#VALUE!</v>
      </c>
      <c r="O583" s="164">
        <v>45534</v>
      </c>
      <c r="P583" s="72" t="s">
        <v>483</v>
      </c>
      <c r="Q583" s="72" t="s">
        <v>623</v>
      </c>
      <c r="R583" s="162"/>
      <c r="S583" s="146" t="s">
        <v>2253</v>
      </c>
      <c r="T583" s="94" t="s">
        <v>165</v>
      </c>
      <c r="U583" s="87"/>
      <c r="V583" s="183">
        <v>45536</v>
      </c>
      <c r="W583" s="73">
        <v>1800</v>
      </c>
      <c r="X583" s="73">
        <v>70.400000000000006</v>
      </c>
      <c r="Y583" s="83">
        <f>IF(SUM(W583:W583)&gt;0,X583/SUM(W583:W583)*1000000,"N/A")</f>
        <v>39111.111111111117</v>
      </c>
      <c r="Z583" s="183"/>
      <c r="AA583" s="183"/>
      <c r="AB583" s="73"/>
      <c r="AC583" s="153"/>
      <c r="AD583" s="331"/>
      <c r="AE583" s="57"/>
      <c r="AF583" s="88"/>
      <c r="AG583" s="182">
        <f>YEAR(V583)</f>
        <v>2024</v>
      </c>
      <c r="AH583" s="86" t="str">
        <f>+IF(AF583=$AI$22,MONTH(U583),"")</f>
        <v/>
      </c>
      <c r="AI583" s="86" t="str">
        <f>+IF(AG583=$AI$22,MONTH(V583),"")</f>
        <v/>
      </c>
      <c r="AJ583" s="86">
        <f>+IF(AG583=$AJ$22,MONTH(V583),"")</f>
        <v>9</v>
      </c>
      <c r="AK583" s="86" t="str">
        <f>+IF(AG583=$AK$22,MONTH(V583),"")</f>
        <v/>
      </c>
      <c r="AL583" s="86"/>
      <c r="AM583" s="89"/>
      <c r="AN583" s="89"/>
      <c r="AO583" s="89"/>
      <c r="AP583" s="89"/>
      <c r="AQ583" s="89"/>
      <c r="AR583" s="89"/>
      <c r="AS583" s="89"/>
      <c r="AT583" s="89"/>
      <c r="AU583" s="89"/>
      <c r="AV583" s="89"/>
      <c r="AW583" s="86" t="str">
        <f>+IF($AG583=AW$22,MONTH($D583),"")</f>
        <v/>
      </c>
      <c r="AX583" s="86" t="str">
        <f>+IF($AG583=AX$22,MONTH($D583),"")</f>
        <v/>
      </c>
      <c r="AY583" s="89"/>
      <c r="AZ583" s="89"/>
      <c r="BA583" s="89"/>
      <c r="BB583" s="89"/>
      <c r="BC583" s="89"/>
      <c r="BD583" s="89"/>
      <c r="BE583" s="89"/>
      <c r="BF583" s="89"/>
      <c r="BG583" s="89"/>
      <c r="BH583" s="89"/>
      <c r="BI583" s="89"/>
      <c r="BJ583" s="89"/>
      <c r="BK583" s="89"/>
      <c r="BL583" s="89"/>
      <c r="BM583" s="89"/>
      <c r="BN583" s="89"/>
      <c r="BO583" s="89"/>
      <c r="BP583" s="89"/>
    </row>
    <row r="584" spans="1:68" s="56" customFormat="1" ht="44.25" hidden="1" customHeight="1">
      <c r="A584" s="204">
        <f>+IFERROR(VALUE(MID(AB584,4,4)),"")</f>
        <v>399</v>
      </c>
      <c r="B584" s="204">
        <f>VALUE(RIGHT(C584,LEN(C584)-2))</f>
        <v>2137</v>
      </c>
      <c r="C584" s="74" t="s">
        <v>2254</v>
      </c>
      <c r="D584" s="75">
        <v>45531</v>
      </c>
      <c r="E584" s="70" t="s">
        <v>473</v>
      </c>
      <c r="F584" s="70" t="s">
        <v>473</v>
      </c>
      <c r="G584" s="68" t="s">
        <v>2255</v>
      </c>
      <c r="H584" s="307" t="s">
        <v>1848</v>
      </c>
      <c r="I584" s="69" t="s">
        <v>2256</v>
      </c>
      <c r="J584" s="69"/>
      <c r="K584" s="68" t="s">
        <v>12</v>
      </c>
      <c r="L584" s="69" t="s">
        <v>129</v>
      </c>
      <c r="M584" s="71" t="s">
        <v>141</v>
      </c>
      <c r="N584" s="69" t="e" vm="1">
        <v>#VALUE!</v>
      </c>
      <c r="O584" s="84">
        <v>45547</v>
      </c>
      <c r="P584" s="72" t="s">
        <v>377</v>
      </c>
      <c r="Q584" s="72" t="s">
        <v>316</v>
      </c>
      <c r="R584" s="162"/>
      <c r="S584" s="146"/>
      <c r="T584" s="68" t="s">
        <v>3</v>
      </c>
      <c r="U584" s="87"/>
      <c r="V584" s="80">
        <v>45681</v>
      </c>
      <c r="W584" s="73">
        <v>620</v>
      </c>
      <c r="X584" s="73">
        <v>28.26</v>
      </c>
      <c r="Y584" s="169">
        <f>IF(SUM(W584:W584)&gt;0,X584/SUM(W584:W584)*1000000,"N/A")</f>
        <v>45580.645161290326</v>
      </c>
      <c r="Z584" s="80"/>
      <c r="AA584" s="80"/>
      <c r="AB584" s="73" t="s">
        <v>2257</v>
      </c>
      <c r="AC584" s="153"/>
      <c r="AD584" s="330"/>
      <c r="AE584" s="305"/>
      <c r="AF584" s="88"/>
      <c r="AG584" s="182">
        <f>YEAR(V584)</f>
        <v>2025</v>
      </c>
      <c r="AH584" s="86" t="str">
        <f>+IF(AF584=$AI$22,MONTH(U584),"")</f>
        <v/>
      </c>
      <c r="AI584" s="86">
        <f>+IF(AG584=$AI$22,MONTH(V584),"")</f>
        <v>1</v>
      </c>
      <c r="AJ584" s="86" t="str">
        <f>+IF(AG584=$AJ$22,MONTH(V584),"")</f>
        <v/>
      </c>
      <c r="AK584" s="86" t="str">
        <f>+IF(AG584=$AK$22,MONTH(V584),"")</f>
        <v/>
      </c>
      <c r="AL584" s="86" t="str">
        <f>+IF(AG584=$AL$22,MONTH(V584),"")</f>
        <v/>
      </c>
      <c r="AM584" s="86" t="str">
        <f>+IF($AG584=$AM$22,MONTH($D584),"")</f>
        <v/>
      </c>
      <c r="AN584" s="89" t="str">
        <f>+IF($AG584=AN$22,MONTH($D584),"")</f>
        <v/>
      </c>
      <c r="AO584" s="89" t="str">
        <f>+IF($AG584=AO$22,MONTH($D584),"")</f>
        <v/>
      </c>
      <c r="AP584" s="89" t="str">
        <f>+IF($AG584=AP$22,MONTH($D584),"")</f>
        <v/>
      </c>
      <c r="AQ584" s="89" t="str">
        <f>+IF($AG584=AQ$22,MONTH($D584),"")</f>
        <v/>
      </c>
      <c r="AR584" s="89" t="str">
        <f>+IF($AG584=AR$22,MONTH($D584),"")</f>
        <v/>
      </c>
      <c r="AS584" s="89" t="str">
        <f>+IF($AG584=AS$22,MONTH($D584),"")</f>
        <v/>
      </c>
      <c r="AT584" s="89" t="str">
        <f>+IF($AG584=AT$22,MONTH($D584),"")</f>
        <v/>
      </c>
      <c r="AU584" s="89" t="str">
        <f>+IF($AG584=AU$22,MONTH($D584),"")</f>
        <v/>
      </c>
      <c r="AV584" s="89" t="str">
        <f>+IF($AG584=AV$22,MONTH($D584),"")</f>
        <v/>
      </c>
      <c r="AW584" s="86" t="str">
        <f>+IF($AG584=AW$22,MONTH($D584),"")</f>
        <v/>
      </c>
      <c r="AX584" s="86" t="str">
        <f>+IF($AG584=AX$22,MONTH($D584),"")</f>
        <v/>
      </c>
      <c r="AY584" s="89"/>
      <c r="AZ584" s="89"/>
      <c r="BA584" s="89"/>
      <c r="BB584" s="89"/>
      <c r="BC584" s="89"/>
      <c r="BD584" s="89"/>
      <c r="BE584" s="89"/>
      <c r="BF584" s="89"/>
      <c r="BG584" s="89"/>
      <c r="BH584" s="89"/>
      <c r="BI584" s="89"/>
      <c r="BJ584" s="89"/>
      <c r="BK584" s="89"/>
      <c r="BL584" s="89"/>
      <c r="BM584" s="89"/>
      <c r="BN584" s="89"/>
      <c r="BO584" s="89"/>
      <c r="BP584" s="89"/>
    </row>
    <row r="585" spans="1:68" s="320" customFormat="1" ht="29.25" hidden="1" customHeight="1">
      <c r="A585" s="204">
        <f>+IFERROR(VALUE(MID(AB585,4,4)),"")</f>
        <v>399</v>
      </c>
      <c r="B585" s="204">
        <f>VALUE(RIGHT(C585,LEN(C585)-2))</f>
        <v>2136</v>
      </c>
      <c r="C585" s="74" t="s">
        <v>2258</v>
      </c>
      <c r="D585" s="75">
        <v>45531</v>
      </c>
      <c r="E585" s="70" t="s">
        <v>473</v>
      </c>
      <c r="F585" s="70" t="s">
        <v>473</v>
      </c>
      <c r="G585" s="68" t="s">
        <v>2255</v>
      </c>
      <c r="H585" s="307" t="s">
        <v>1848</v>
      </c>
      <c r="I585" s="69" t="s">
        <v>2259</v>
      </c>
      <c r="J585" s="69"/>
      <c r="K585" s="68" t="s">
        <v>944</v>
      </c>
      <c r="L585" s="69" t="s">
        <v>129</v>
      </c>
      <c r="M585" s="71" t="s">
        <v>141</v>
      </c>
      <c r="N585" s="69" t="e" vm="1">
        <v>#VALUE!</v>
      </c>
      <c r="O585" s="84">
        <v>45547</v>
      </c>
      <c r="P585" s="72" t="s">
        <v>377</v>
      </c>
      <c r="Q585" s="72" t="s">
        <v>316</v>
      </c>
      <c r="R585" s="162"/>
      <c r="S585" s="146" t="s">
        <v>2260</v>
      </c>
      <c r="T585" s="68" t="s">
        <v>168</v>
      </c>
      <c r="U585" s="87"/>
      <c r="V585" s="80">
        <v>45603</v>
      </c>
      <c r="W585" s="73"/>
      <c r="X585" s="73"/>
      <c r="Y585" s="169" t="str">
        <f>IF(SUM(W585:W585)&gt;0,X585/SUM(W585:W585)*1000000,"N/A")</f>
        <v>N/A</v>
      </c>
      <c r="Z585" s="80"/>
      <c r="AA585" s="80"/>
      <c r="AB585" s="73" t="s">
        <v>2261</v>
      </c>
      <c r="AC585" s="153"/>
      <c r="AD585" s="330"/>
      <c r="AE585" s="305"/>
      <c r="AF585" s="88"/>
      <c r="AG585" s="182">
        <f>YEAR(D585)</f>
        <v>2024</v>
      </c>
      <c r="AH585" s="86" t="str">
        <f>+IF(AF585=$AI$22,MONTH(U585),"")</f>
        <v/>
      </c>
      <c r="AI585" s="86" t="str">
        <f>+IF(AG585=$AI$22,MONTH(V585),"")</f>
        <v/>
      </c>
      <c r="AJ585" s="86">
        <f>+IF(AG585=$AJ$22,MONTH(V585),"")</f>
        <v>11</v>
      </c>
      <c r="AK585" s="86" t="str">
        <f>+IF(AG585=$AK$22,MONTH(V585),"")</f>
        <v/>
      </c>
      <c r="AL585" s="86" t="str">
        <f>+IF(AG585=$AL$22,MONTH(V585),"")</f>
        <v/>
      </c>
      <c r="AM585" s="86" t="str">
        <f>+IF($AG585=$AM$22,MONTH($D585),"")</f>
        <v/>
      </c>
      <c r="AN585" s="89" t="str">
        <f>+IF($AG585=AN$22,MONTH($D585),"")</f>
        <v/>
      </c>
      <c r="AO585" s="89" t="str">
        <f>+IF($AG585=AO$22,MONTH($D585),"")</f>
        <v/>
      </c>
      <c r="AP585" s="89" t="str">
        <f>+IF($AG585=AP$22,MONTH($D585),"")</f>
        <v/>
      </c>
      <c r="AQ585" s="89" t="str">
        <f>+IF($AG585=AQ$22,MONTH($D585),"")</f>
        <v/>
      </c>
      <c r="AR585" s="89" t="str">
        <f>+IF($AG585=AR$22,MONTH($D585),"")</f>
        <v/>
      </c>
      <c r="AS585" s="89" t="str">
        <f>+IF($AG585=AS$22,MONTH($D585),"")</f>
        <v/>
      </c>
      <c r="AT585" s="89" t="str">
        <f>+IF($AG585=AT$22,MONTH($D585),"")</f>
        <v/>
      </c>
      <c r="AU585" s="89" t="str">
        <f>+IF($AG585=AU$22,MONTH($D585),"")</f>
        <v/>
      </c>
      <c r="AV585" s="89" t="str">
        <f>+IF($AG585=AV$22,MONTH($D585),"")</f>
        <v/>
      </c>
      <c r="AW585" s="86" t="str">
        <f>+IF($AG585=AW$22,MONTH($D585),"")</f>
        <v/>
      </c>
      <c r="AX585" s="86" t="str">
        <f>+IF($AG585=AX$22,MONTH($D585),"")</f>
        <v/>
      </c>
      <c r="AY585" s="89"/>
      <c r="AZ585" s="89"/>
      <c r="BA585" s="89"/>
      <c r="BB585" s="89"/>
      <c r="BC585" s="89"/>
      <c r="BD585" s="89"/>
      <c r="BE585" s="89"/>
      <c r="BF585" s="89"/>
      <c r="BG585" s="89"/>
      <c r="BH585" s="89"/>
      <c r="BI585" s="89"/>
      <c r="BJ585" s="89"/>
      <c r="BK585" s="89"/>
      <c r="BL585" s="89"/>
      <c r="BM585" s="89"/>
      <c r="BN585" s="89"/>
      <c r="BO585" s="89"/>
      <c r="BP585" s="89"/>
    </row>
    <row r="586" spans="1:68" s="56" customFormat="1" ht="31.5" hidden="1" customHeight="1">
      <c r="A586" s="204" t="str">
        <f>+IFERROR(VALUE(MID(AB586,4,4)),"")</f>
        <v/>
      </c>
      <c r="B586" s="204">
        <f>VALUE(RIGHT(C586,LEN(C586)-2))</f>
        <v>2135</v>
      </c>
      <c r="C586" s="74" t="s">
        <v>2262</v>
      </c>
      <c r="D586" s="75">
        <v>45531</v>
      </c>
      <c r="E586" s="68" t="s">
        <v>2263</v>
      </c>
      <c r="F586" s="68" t="s">
        <v>2264</v>
      </c>
      <c r="G586" s="68" t="s">
        <v>2265</v>
      </c>
      <c r="H586" s="282" t="s">
        <v>2266</v>
      </c>
      <c r="I586" s="69" t="s">
        <v>2267</v>
      </c>
      <c r="J586" s="69"/>
      <c r="K586" s="68" t="s">
        <v>13</v>
      </c>
      <c r="L586" s="69" t="s">
        <v>123</v>
      </c>
      <c r="M586" s="71" t="s">
        <v>141</v>
      </c>
      <c r="N586" s="69" t="e" vm="1">
        <v>#VALUE!</v>
      </c>
      <c r="O586" s="84">
        <v>45625</v>
      </c>
      <c r="P586" s="69" t="s">
        <v>701</v>
      </c>
      <c r="Q586" s="69" t="s">
        <v>623</v>
      </c>
      <c r="R586" s="69"/>
      <c r="S586" s="146"/>
      <c r="T586" s="68" t="s">
        <v>165</v>
      </c>
      <c r="U586" s="87"/>
      <c r="V586" s="80">
        <v>45718</v>
      </c>
      <c r="W586" s="73">
        <v>25756</v>
      </c>
      <c r="X586" s="73">
        <v>1130</v>
      </c>
      <c r="Y586" s="83">
        <f>IF(SUM(W586:W586)&gt;0,X586/SUM(W586:W586)*1000000,"N/A")</f>
        <v>43873.27224724336</v>
      </c>
      <c r="Z586" s="80"/>
      <c r="AA586" s="80"/>
      <c r="AB586" s="73"/>
      <c r="AC586" s="75"/>
      <c r="AD586" s="332"/>
      <c r="AE586" s="68"/>
      <c r="AF586" s="73"/>
      <c r="AG586" s="182">
        <f>YEAR(V586)</f>
        <v>2025</v>
      </c>
      <c r="AH586" s="86" t="str">
        <f>+IF(AF586=$AI$22,MONTH(U586),"")</f>
        <v/>
      </c>
      <c r="AI586" s="86">
        <f>+IF(AG586=$AI$22,MONTH(V586),"")</f>
        <v>3</v>
      </c>
      <c r="AJ586" s="86" t="str">
        <f>+IF(AG586=$AJ$22,MONTH(V586),"")</f>
        <v/>
      </c>
      <c r="AK586" s="86" t="str">
        <f>+IF(AG586=$AK$22,MONTH(V586),"")</f>
        <v/>
      </c>
      <c r="AL586" s="86" t="str">
        <f>+IF(AG586=$AL$22,MONTH(V586),"")</f>
        <v/>
      </c>
      <c r="AM586" s="86" t="str">
        <f>+IF($AG586=$AM$22,MONTH($D586),"")</f>
        <v/>
      </c>
      <c r="AN586" s="89" t="str">
        <f>+IF($AG586=AN$22,MONTH($D586),"")</f>
        <v/>
      </c>
      <c r="AO586" s="184" t="str">
        <f>+IF($AG586=AO$22,MONTH($D586),"")</f>
        <v/>
      </c>
      <c r="AP586" s="184" t="str">
        <f>+IF($AG586=AP$22,MONTH($D586),"")</f>
        <v/>
      </c>
      <c r="AQ586" s="184" t="str">
        <f>+IF($AG586=AQ$22,MONTH($D586),"")</f>
        <v/>
      </c>
      <c r="AR586" s="184" t="str">
        <f>+IF($AG586=AR$22,MONTH($D586),"")</f>
        <v/>
      </c>
      <c r="AS586" s="184" t="str">
        <f>+IF($AG586=AS$22,MONTH($D586),"")</f>
        <v/>
      </c>
      <c r="AT586" s="86" t="str">
        <f>+IF($AG586=AT$22,MONTH($D586),"")</f>
        <v/>
      </c>
      <c r="AU586" s="86" t="str">
        <f>+IF($AG586=AU$22,MONTH($D586),"")</f>
        <v/>
      </c>
      <c r="AV586" s="86" t="str">
        <f>+IF($AG586=AV$22,MONTH($D586),"")</f>
        <v/>
      </c>
      <c r="AW586" s="86" t="str">
        <f>+IF($AG586=AW$22,MONTH($D586),"")</f>
        <v/>
      </c>
      <c r="AX586" s="86" t="str">
        <f>+IF($AG586=AX$22,MONTH($D586),"")</f>
        <v/>
      </c>
      <c r="AY586" s="89"/>
      <c r="AZ586" s="89"/>
      <c r="BA586" s="89"/>
      <c r="BB586" s="89"/>
      <c r="BC586" s="89"/>
      <c r="BD586" s="89"/>
      <c r="BE586" s="89"/>
      <c r="BF586" s="89"/>
      <c r="BG586" s="89"/>
      <c r="BH586" s="89"/>
      <c r="BI586" s="89"/>
      <c r="BJ586" s="89"/>
      <c r="BK586" s="89"/>
      <c r="BL586" s="89"/>
      <c r="BM586" s="89"/>
      <c r="BN586" s="89"/>
      <c r="BO586" s="89"/>
      <c r="BP586" s="89"/>
    </row>
    <row r="587" spans="1:68" s="56" customFormat="1" ht="26.25" hidden="1" customHeight="1">
      <c r="A587" s="204" t="str">
        <f>+IFERROR(VALUE(MID(AB587,4,4)),"")</f>
        <v/>
      </c>
      <c r="B587" s="204">
        <f>VALUE(RIGHT(C587,LEN(C587)-2))</f>
        <v>2134</v>
      </c>
      <c r="C587" s="74" t="s">
        <v>2268</v>
      </c>
      <c r="D587" s="75">
        <v>45527</v>
      </c>
      <c r="E587" s="70" t="s">
        <v>394</v>
      </c>
      <c r="F587" s="70" t="s">
        <v>2269</v>
      </c>
      <c r="G587" s="68" t="s">
        <v>2270</v>
      </c>
      <c r="H587" s="304" t="s">
        <v>2271</v>
      </c>
      <c r="I587" s="69" t="s">
        <v>2272</v>
      </c>
      <c r="J587" s="69"/>
      <c r="K587" s="95" t="s">
        <v>13</v>
      </c>
      <c r="L587" s="69" t="s">
        <v>120</v>
      </c>
      <c r="M587" s="71" t="s">
        <v>141</v>
      </c>
      <c r="N587" s="69" t="e" vm="1">
        <v>#VALUE!</v>
      </c>
      <c r="O587" s="84">
        <v>45560</v>
      </c>
      <c r="P587" s="82" t="s">
        <v>2273</v>
      </c>
      <c r="Q587" s="82" t="s">
        <v>623</v>
      </c>
      <c r="R587" s="69"/>
      <c r="S587" s="146"/>
      <c r="T587" s="68" t="s">
        <v>165</v>
      </c>
      <c r="U587" s="87"/>
      <c r="V587" s="80">
        <v>45561</v>
      </c>
      <c r="W587" s="73">
        <v>298</v>
      </c>
      <c r="X587" s="73">
        <v>13.7</v>
      </c>
      <c r="Y587" s="83">
        <f>IF(SUM(W587:W587)&gt;0,X587/SUM(W587:W587)*1000000,"N/A")</f>
        <v>45973.154362416106</v>
      </c>
      <c r="Z587" s="80"/>
      <c r="AA587" s="80"/>
      <c r="AB587" s="73"/>
      <c r="AC587" s="153"/>
      <c r="AD587" s="330"/>
      <c r="AE587" s="305"/>
      <c r="AF587" s="88"/>
      <c r="AG587" s="182">
        <f>YEAR(V587)</f>
        <v>2024</v>
      </c>
      <c r="AH587" s="86" t="str">
        <f>+IF(AF587=$AI$22,MONTH(U587),"")</f>
        <v/>
      </c>
      <c r="AI587" s="86" t="str">
        <f>+IF(AG587=$AI$22,MONTH(V587),"")</f>
        <v/>
      </c>
      <c r="AJ587" s="86">
        <f>+IF(AG587=$AJ$22,MONTH(V587),"")</f>
        <v>9</v>
      </c>
      <c r="AK587" s="86" t="str">
        <f>+IF(AG587=$AK$22,MONTH(V587),"")</f>
        <v/>
      </c>
      <c r="AL587" s="86" t="str">
        <f>+IF(AG587=$AL$22,MONTH(V587),"")</f>
        <v/>
      </c>
      <c r="AM587" s="86" t="str">
        <f>+IF($AG587=$AM$22,MONTH($D587),"")</f>
        <v/>
      </c>
      <c r="AN587" s="89" t="str">
        <f>+IF($AG587=AN$22,MONTH($D587),"")</f>
        <v/>
      </c>
      <c r="AO587" s="89" t="str">
        <f>+IF($AG587=AO$22,MONTH($D587),"")</f>
        <v/>
      </c>
      <c r="AP587" s="89" t="str">
        <f>+IF($AG587=AP$22,MONTH($D587),"")</f>
        <v/>
      </c>
      <c r="AQ587" s="89" t="str">
        <f>+IF($AG587=AQ$22,MONTH($D587),"")</f>
        <v/>
      </c>
      <c r="AR587" s="89" t="str">
        <f>+IF($AG587=AR$22,MONTH($D587),"")</f>
        <v/>
      </c>
      <c r="AS587" s="89" t="str">
        <f>+IF($AG587=AS$22,MONTH($D587),"")</f>
        <v/>
      </c>
      <c r="AT587" s="89" t="str">
        <f>+IF($AG587=AT$22,MONTH($D587),"")</f>
        <v/>
      </c>
      <c r="AU587" s="89" t="str">
        <f>+IF($AG587=AU$22,MONTH($D587),"")</f>
        <v/>
      </c>
      <c r="AV587" s="89" t="str">
        <f>+IF($AG587=AV$22,MONTH($D587),"")</f>
        <v/>
      </c>
      <c r="AW587" s="86" t="str">
        <f>+IF($AG587=AW$22,MONTH($D587),"")</f>
        <v/>
      </c>
      <c r="AX587" s="86" t="str">
        <f>+IF($AG587=AX$22,MONTH($D587),"")</f>
        <v/>
      </c>
      <c r="AY587" s="89"/>
      <c r="AZ587" s="89"/>
      <c r="BA587" s="89"/>
      <c r="BB587" s="89"/>
      <c r="BC587" s="89"/>
      <c r="BD587" s="89"/>
      <c r="BE587" s="89"/>
      <c r="BF587" s="89"/>
      <c r="BG587" s="89"/>
      <c r="BH587" s="89"/>
      <c r="BI587" s="89"/>
      <c r="BJ587" s="89"/>
      <c r="BK587" s="89"/>
      <c r="BL587" s="89"/>
      <c r="BM587" s="89"/>
      <c r="BN587" s="89"/>
      <c r="BO587" s="89"/>
      <c r="BP587" s="89"/>
    </row>
    <row r="588" spans="1:68" s="56" customFormat="1" ht="27" hidden="1" customHeight="1">
      <c r="A588" s="204" t="str">
        <f>+IFERROR(VALUE(MID(AB588,4,4)),"")</f>
        <v/>
      </c>
      <c r="B588" s="204">
        <f>VALUE(RIGHT(C588,LEN(C588)-2))</f>
        <v>2133</v>
      </c>
      <c r="C588" s="74" t="s">
        <v>2274</v>
      </c>
      <c r="D588" s="75">
        <v>45519</v>
      </c>
      <c r="E588" s="70" t="s">
        <v>2275</v>
      </c>
      <c r="F588" s="70" t="s">
        <v>2275</v>
      </c>
      <c r="G588" s="68" t="s">
        <v>2276</v>
      </c>
      <c r="H588" s="304" t="s">
        <v>2277</v>
      </c>
      <c r="I588" s="69" t="s">
        <v>2278</v>
      </c>
      <c r="J588" s="69"/>
      <c r="K588" s="95" t="s">
        <v>9</v>
      </c>
      <c r="L588" s="69" t="s">
        <v>120</v>
      </c>
      <c r="M588" s="71" t="s">
        <v>141</v>
      </c>
      <c r="N588" s="69" t="e" vm="1">
        <v>#VALUE!</v>
      </c>
      <c r="O588" s="84">
        <v>45579</v>
      </c>
      <c r="P588" s="82" t="s">
        <v>749</v>
      </c>
      <c r="Q588" s="82" t="s">
        <v>240</v>
      </c>
      <c r="R588" s="69"/>
      <c r="S588" s="146"/>
      <c r="T588" s="68" t="s">
        <v>168</v>
      </c>
      <c r="U588" s="87">
        <v>0.01</v>
      </c>
      <c r="V588" s="80">
        <v>45531</v>
      </c>
      <c r="W588" s="73">
        <v>1709</v>
      </c>
      <c r="X588" s="73">
        <v>74.7</v>
      </c>
      <c r="Y588" s="83">
        <f>IF(SUM(W588:W588)&gt;0,X588/SUM(W588:W588)*1000000,"N/A")</f>
        <v>43709.771796372152</v>
      </c>
      <c r="Z588" s="80"/>
      <c r="AA588" s="80"/>
      <c r="AB588" s="73"/>
      <c r="AC588" s="153"/>
      <c r="AD588" s="330"/>
      <c r="AE588" s="305"/>
      <c r="AF588" s="88"/>
      <c r="AG588" s="182">
        <f>YEAR(V588)</f>
        <v>2024</v>
      </c>
      <c r="AH588" s="86" t="str">
        <f>+IF(AF588=$AI$22,MONTH(U588),"")</f>
        <v/>
      </c>
      <c r="AI588" s="86" t="str">
        <f>+IF(AG588=$AI$22,MONTH(V588),"")</f>
        <v/>
      </c>
      <c r="AJ588" s="86">
        <f>+IF(AG588=$AJ$22,MONTH(V588),"")</f>
        <v>8</v>
      </c>
      <c r="AK588" s="86" t="str">
        <f>+IF(AG588=$AK$22,MONTH(V588),"")</f>
        <v/>
      </c>
      <c r="AL588" s="86" t="str">
        <f>+IF(AG588=$AL$22,MONTH(V588),"")</f>
        <v/>
      </c>
      <c r="AM588" s="86" t="str">
        <f>+IF($AG588=$AM$22,MONTH($D588),"")</f>
        <v/>
      </c>
      <c r="AN588" s="89" t="str">
        <f>+IF($AG588=AN$22,MONTH($D588),"")</f>
        <v/>
      </c>
      <c r="AO588" s="89" t="str">
        <f>+IF($AG588=AO$22,MONTH($D588),"")</f>
        <v/>
      </c>
      <c r="AP588" s="89" t="str">
        <f>+IF($AG588=AP$22,MONTH($D588),"")</f>
        <v/>
      </c>
      <c r="AQ588" s="89" t="str">
        <f>+IF($AG588=AQ$22,MONTH($D588),"")</f>
        <v/>
      </c>
      <c r="AR588" s="89" t="str">
        <f>+IF($AG588=AR$22,MONTH($D588),"")</f>
        <v/>
      </c>
      <c r="AS588" s="89" t="str">
        <f>+IF($AG588=AS$22,MONTH($D588),"")</f>
        <v/>
      </c>
      <c r="AT588" s="89" t="str">
        <f>+IF($AG588=AT$22,MONTH($D588),"")</f>
        <v/>
      </c>
      <c r="AU588" s="89" t="str">
        <f>+IF($AG588=AU$22,MONTH($D588),"")</f>
        <v/>
      </c>
      <c r="AV588" s="89" t="str">
        <f>+IF($AG588=AV$22,MONTH($D588),"")</f>
        <v/>
      </c>
      <c r="AW588" s="86" t="str">
        <f>+IF($AG588=AW$22,MONTH($D588),"")</f>
        <v/>
      </c>
      <c r="AX588" s="86" t="str">
        <f>+IF($AG588=AX$22,MONTH($D588),"")</f>
        <v/>
      </c>
      <c r="AY588" s="89"/>
      <c r="AZ588" s="89"/>
      <c r="BA588" s="89"/>
      <c r="BB588" s="89"/>
      <c r="BC588" s="89"/>
      <c r="BD588" s="89"/>
      <c r="BE588" s="89"/>
      <c r="BF588" s="89"/>
      <c r="BG588" s="89"/>
      <c r="BH588" s="89"/>
      <c r="BI588" s="89"/>
      <c r="BJ588" s="89"/>
      <c r="BK588" s="89"/>
      <c r="BL588" s="89"/>
      <c r="BM588" s="89"/>
      <c r="BN588" s="89"/>
      <c r="BO588" s="89"/>
      <c r="BP588" s="89"/>
    </row>
    <row r="589" spans="1:68" s="56" customFormat="1" ht="30.75" hidden="1" customHeight="1">
      <c r="A589" s="204" t="str">
        <f>+IFERROR(VALUE(MID(AB589,4,4)),"")</f>
        <v/>
      </c>
      <c r="B589" s="204">
        <f>VALUE(RIGHT(C589,LEN(C589)-2))</f>
        <v>2132</v>
      </c>
      <c r="C589" s="74" t="s">
        <v>2279</v>
      </c>
      <c r="D589" s="75">
        <v>45526</v>
      </c>
      <c r="E589" s="70" t="s">
        <v>53</v>
      </c>
      <c r="F589" s="70" t="s">
        <v>313</v>
      </c>
      <c r="G589" s="68" t="s">
        <v>210</v>
      </c>
      <c r="H589" s="59" t="s">
        <v>210</v>
      </c>
      <c r="I589" s="162" t="s">
        <v>2280</v>
      </c>
      <c r="J589" s="162"/>
      <c r="K589" s="68" t="s">
        <v>12</v>
      </c>
      <c r="L589" s="69" t="s">
        <v>123</v>
      </c>
      <c r="M589" s="71" t="s">
        <v>141</v>
      </c>
      <c r="N589" s="69" t="e" vm="1">
        <v>#VALUE!</v>
      </c>
      <c r="O589" s="164">
        <v>45590</v>
      </c>
      <c r="P589" s="72" t="s">
        <v>228</v>
      </c>
      <c r="Q589" s="72" t="s">
        <v>623</v>
      </c>
      <c r="R589" s="162"/>
      <c r="S589" s="146" t="s">
        <v>2217</v>
      </c>
      <c r="T589" s="68" t="s">
        <v>165</v>
      </c>
      <c r="U589" s="87"/>
      <c r="V589" s="183">
        <v>45776</v>
      </c>
      <c r="W589" s="73">
        <v>9415</v>
      </c>
      <c r="X589" s="73">
        <v>479</v>
      </c>
      <c r="Y589" s="83">
        <f>IF(SUM(W589:W589)&gt;0,X589/SUM(W589:W589)*1000000,"N/A")</f>
        <v>50876.261285183216</v>
      </c>
      <c r="Z589" s="183"/>
      <c r="AA589" s="183"/>
      <c r="AB589" s="73"/>
      <c r="AC589" s="153"/>
      <c r="AD589" s="330"/>
      <c r="AE589" s="305"/>
      <c r="AF589" s="88"/>
      <c r="AG589" s="182">
        <f>YEAR(V589)</f>
        <v>2025</v>
      </c>
      <c r="AH589" s="86" t="str">
        <f>+IF(AF589=$AI$22,MONTH(U589),"")</f>
        <v/>
      </c>
      <c r="AI589" s="86">
        <f>+IF(AG589=$AI$22,MONTH(V589),"")</f>
        <v>4</v>
      </c>
      <c r="AJ589" s="86" t="str">
        <f>+IF(AG589=$AJ$22,MONTH(V589),"")</f>
        <v/>
      </c>
      <c r="AK589" s="86" t="str">
        <f>+IF(AG589=$AK$22,MONTH(V589),"")</f>
        <v/>
      </c>
      <c r="AL589" s="86"/>
      <c r="AM589" s="89"/>
      <c r="AN589" s="89"/>
      <c r="AO589" s="89"/>
      <c r="AP589" s="89"/>
      <c r="AQ589" s="89"/>
      <c r="AR589" s="89"/>
      <c r="AS589" s="89"/>
      <c r="AT589" s="89"/>
      <c r="AU589" s="89"/>
      <c r="AV589" s="89"/>
      <c r="AW589" s="86" t="str">
        <f>+IF($AG589=AW$22,MONTH($D589),"")</f>
        <v/>
      </c>
      <c r="AX589" s="86" t="str">
        <f>+IF($AG589=AX$22,MONTH($D589),"")</f>
        <v/>
      </c>
      <c r="AY589" s="89"/>
      <c r="AZ589" s="89"/>
      <c r="BA589" s="89"/>
      <c r="BB589" s="89"/>
      <c r="BC589" s="89"/>
      <c r="BD589" s="89"/>
      <c r="BE589" s="89"/>
      <c r="BF589" s="89"/>
      <c r="BG589" s="89"/>
      <c r="BH589" s="89"/>
      <c r="BI589" s="89"/>
      <c r="BJ589" s="89"/>
      <c r="BK589" s="89"/>
      <c r="BL589" s="89"/>
      <c r="BM589" s="89"/>
      <c r="BN589" s="89"/>
      <c r="BO589" s="89"/>
      <c r="BP589" s="89"/>
    </row>
    <row r="590" spans="1:68" s="56" customFormat="1" ht="44.25" hidden="1" customHeight="1">
      <c r="A590" s="204" t="str">
        <f>+IFERROR(VALUE(MID(AB590,4,4)),"")</f>
        <v/>
      </c>
      <c r="B590" s="204">
        <f>VALUE(RIGHT(C590,LEN(C590)-2))</f>
        <v>2131</v>
      </c>
      <c r="C590" s="74" t="s">
        <v>2281</v>
      </c>
      <c r="D590" s="75">
        <v>45526</v>
      </c>
      <c r="E590" s="70" t="s">
        <v>51</v>
      </c>
      <c r="F590" s="70" t="s">
        <v>51</v>
      </c>
      <c r="G590" s="68"/>
      <c r="H590" s="321"/>
      <c r="I590" s="162" t="s">
        <v>2282</v>
      </c>
      <c r="J590" s="162"/>
      <c r="K590" s="68" t="s">
        <v>13</v>
      </c>
      <c r="L590" s="69" t="s">
        <v>123</v>
      </c>
      <c r="M590" s="71" t="s">
        <v>141</v>
      </c>
      <c r="N590" s="69" t="e" vm="1">
        <v>#VALUE!</v>
      </c>
      <c r="O590" s="164">
        <v>45527</v>
      </c>
      <c r="P590" s="72" t="s">
        <v>274</v>
      </c>
      <c r="Q590" s="72" t="s">
        <v>623</v>
      </c>
      <c r="R590" s="162"/>
      <c r="S590" s="146"/>
      <c r="T590" s="68" t="s">
        <v>165</v>
      </c>
      <c r="U590" s="87"/>
      <c r="V590" s="183">
        <v>45527</v>
      </c>
      <c r="W590" s="73">
        <v>133</v>
      </c>
      <c r="X590" s="73">
        <v>6.3</v>
      </c>
      <c r="Y590" s="83">
        <f>IF(SUM(W590:W590)&gt;0,X590/SUM(W590:W590)*1000000,"N/A")</f>
        <v>47368.42105263158</v>
      </c>
      <c r="Z590" s="183"/>
      <c r="AA590" s="183"/>
      <c r="AB590" s="73"/>
      <c r="AC590" s="153"/>
      <c r="AD590" s="330"/>
      <c r="AE590" s="305"/>
      <c r="AF590" s="88"/>
      <c r="AG590" s="182">
        <f>YEAR(V590)</f>
        <v>2024</v>
      </c>
      <c r="AH590" s="86" t="str">
        <f>+IF(AF590=$AI$22,MONTH(U590),"")</f>
        <v/>
      </c>
      <c r="AI590" s="86" t="str">
        <f>+IF(AG590=$AI$22,MONTH(V590),"")</f>
        <v/>
      </c>
      <c r="AJ590" s="86">
        <f>+IF(AG590=$AJ$22,MONTH(V590),"")</f>
        <v>8</v>
      </c>
      <c r="AK590" s="86" t="str">
        <f>+IF(AG590=$AK$22,MONTH(V590),"")</f>
        <v/>
      </c>
      <c r="AL590" s="86"/>
      <c r="AM590" s="89"/>
      <c r="AN590" s="89"/>
      <c r="AO590" s="89"/>
      <c r="AP590" s="89"/>
      <c r="AQ590" s="89"/>
      <c r="AR590" s="89"/>
      <c r="AS590" s="89"/>
      <c r="AT590" s="89"/>
      <c r="AU590" s="89"/>
      <c r="AV590" s="89"/>
      <c r="AW590" s="86" t="str">
        <f>+IF($AG590=AW$22,MONTH($D590),"")</f>
        <v/>
      </c>
      <c r="AX590" s="86" t="str">
        <f>+IF($AG590=AX$22,MONTH($D590),"")</f>
        <v/>
      </c>
      <c r="AY590" s="89"/>
      <c r="AZ590" s="89"/>
      <c r="BA590" s="89"/>
      <c r="BB590" s="89"/>
      <c r="BC590" s="89"/>
      <c r="BD590" s="89"/>
      <c r="BE590" s="89"/>
      <c r="BF590" s="89"/>
      <c r="BG590" s="89"/>
      <c r="BH590" s="89"/>
      <c r="BI590" s="89"/>
      <c r="BJ590" s="89"/>
      <c r="BK590" s="89"/>
      <c r="BL590" s="89"/>
      <c r="BM590" s="89"/>
      <c r="BN590" s="89"/>
      <c r="BO590" s="89"/>
      <c r="BP590" s="89"/>
    </row>
    <row r="591" spans="1:68" s="56" customFormat="1" ht="24" hidden="1" customHeight="1">
      <c r="A591" s="204" t="str">
        <f>+IFERROR(VALUE(MID(AB591,4,4)),"")</f>
        <v/>
      </c>
      <c r="B591" s="204">
        <f>VALUE(RIGHT(C591,LEN(C591)-2))</f>
        <v>2130</v>
      </c>
      <c r="C591" s="74" t="s">
        <v>2283</v>
      </c>
      <c r="D591" s="75">
        <v>45524</v>
      </c>
      <c r="E591" s="70" t="s">
        <v>479</v>
      </c>
      <c r="F591" s="70" t="s">
        <v>479</v>
      </c>
      <c r="G591" s="68" t="s">
        <v>216</v>
      </c>
      <c r="H591" s="59"/>
      <c r="I591" s="69" t="s">
        <v>2284</v>
      </c>
      <c r="J591" s="69"/>
      <c r="K591" s="68" t="s">
        <v>27</v>
      </c>
      <c r="L591" s="69" t="s">
        <v>129</v>
      </c>
      <c r="M591" s="71" t="s">
        <v>113</v>
      </c>
      <c r="N591" s="69" t="e" vm="2">
        <v>#VALUE!</v>
      </c>
      <c r="O591" s="164">
        <v>45534</v>
      </c>
      <c r="P591" s="72" t="s">
        <v>294</v>
      </c>
      <c r="Q591" s="72" t="s">
        <v>623</v>
      </c>
      <c r="R591" s="162"/>
      <c r="S591" s="146" t="s">
        <v>2253</v>
      </c>
      <c r="T591" s="68" t="s">
        <v>165</v>
      </c>
      <c r="U591" s="87"/>
      <c r="V591" s="183">
        <v>45540</v>
      </c>
      <c r="W591" s="73">
        <v>9290</v>
      </c>
      <c r="X591" s="73">
        <v>289.39999999999998</v>
      </c>
      <c r="Y591" s="83">
        <f>IF(SUM(W591:W591)&gt;0,X591/SUM(W591:W591)*1000000,"N/A")</f>
        <v>31151.776103336917</v>
      </c>
      <c r="Z591" s="183"/>
      <c r="AA591" s="183"/>
      <c r="AB591" s="73"/>
      <c r="AC591" s="153"/>
      <c r="AD591" s="331"/>
      <c r="AE591" s="57"/>
      <c r="AF591" s="88"/>
      <c r="AG591" s="182">
        <f>YEAR(V591)</f>
        <v>2024</v>
      </c>
      <c r="AH591" s="86" t="str">
        <f>+IF(AF591=$AI$22,MONTH(U591),"")</f>
        <v/>
      </c>
      <c r="AI591" s="86" t="str">
        <f>+IF(AG591=$AI$22,MONTH(V591),"")</f>
        <v/>
      </c>
      <c r="AJ591" s="86">
        <f>+IF(AG591=$AJ$22,MONTH(V591),"")</f>
        <v>9</v>
      </c>
      <c r="AK591" s="86" t="str">
        <f>+IF(AG591=$AK$22,MONTH(V591),"")</f>
        <v/>
      </c>
      <c r="AL591" s="86"/>
      <c r="AM591" s="89"/>
      <c r="AN591" s="89"/>
      <c r="AO591" s="89"/>
      <c r="AP591" s="89"/>
      <c r="AQ591" s="89"/>
      <c r="AR591" s="89"/>
      <c r="AS591" s="89"/>
      <c r="AT591" s="89"/>
      <c r="AU591" s="89"/>
      <c r="AV591" s="89"/>
      <c r="AW591" s="86" t="str">
        <f>+IF($AG591=AW$22,MONTH($D591),"")</f>
        <v/>
      </c>
      <c r="AX591" s="86" t="str">
        <f>+IF($AG591=AX$22,MONTH($D591),"")</f>
        <v/>
      </c>
      <c r="AY591" s="89"/>
      <c r="AZ591" s="89"/>
      <c r="BA591" s="89"/>
      <c r="BB591" s="89"/>
      <c r="BC591" s="89"/>
      <c r="BD591" s="89"/>
      <c r="BE591" s="89"/>
      <c r="BF591" s="89"/>
      <c r="BG591" s="89"/>
      <c r="BH591" s="89"/>
      <c r="BI591" s="89"/>
      <c r="BJ591" s="89"/>
      <c r="BK591" s="89"/>
      <c r="BL591" s="89"/>
      <c r="BM591" s="89"/>
      <c r="BN591" s="89"/>
      <c r="BO591" s="89"/>
      <c r="BP591" s="89"/>
    </row>
    <row r="592" spans="1:68" s="89" customFormat="1" ht="29.25" hidden="1" customHeight="1">
      <c r="A592" s="204" t="str">
        <f>+IFERROR(VALUE(MID(AB592,4,4)),"")</f>
        <v/>
      </c>
      <c r="B592" s="204">
        <f>VALUE(RIGHT(C592,LEN(C592)-2))</f>
        <v>2129</v>
      </c>
      <c r="C592" s="74" t="s">
        <v>2285</v>
      </c>
      <c r="D592" s="75">
        <v>45462</v>
      </c>
      <c r="E592" s="68" t="s">
        <v>1621</v>
      </c>
      <c r="F592" s="68" t="s">
        <v>2286</v>
      </c>
      <c r="G592" s="68" t="s">
        <v>2287</v>
      </c>
      <c r="H592" s="59" t="s">
        <v>2288</v>
      </c>
      <c r="I592" s="69" t="s">
        <v>2289</v>
      </c>
      <c r="J592" s="69"/>
      <c r="K592" s="68" t="s">
        <v>13</v>
      </c>
      <c r="L592" s="69" t="s">
        <v>123</v>
      </c>
      <c r="M592" s="68" t="s">
        <v>113</v>
      </c>
      <c r="N592" s="69" t="e" vm="4">
        <v>#VALUE!</v>
      </c>
      <c r="O592" s="84">
        <v>45525</v>
      </c>
      <c r="P592" s="69" t="s">
        <v>1629</v>
      </c>
      <c r="Q592" s="69" t="s">
        <v>623</v>
      </c>
      <c r="R592" s="69"/>
      <c r="S592" s="146" t="s">
        <v>2290</v>
      </c>
      <c r="T592" s="68" t="s">
        <v>168</v>
      </c>
      <c r="U592" s="87"/>
      <c r="V592" s="80">
        <v>45723</v>
      </c>
      <c r="W592" s="73">
        <v>107641</v>
      </c>
      <c r="X592" s="73">
        <v>5275</v>
      </c>
      <c r="Y592" s="83">
        <f>IF(SUM(W592:W592)&gt;0,X592/SUM(W592:W592)*1000000,"N/A")</f>
        <v>49005.490472961043</v>
      </c>
      <c r="Z592" s="80"/>
      <c r="AA592" s="80"/>
      <c r="AB592" s="73"/>
      <c r="AC592" s="75"/>
      <c r="AD592" s="332"/>
      <c r="AE592" s="68"/>
      <c r="AF592" s="73"/>
      <c r="AG592" s="182">
        <f>YEAR(V592)</f>
        <v>2025</v>
      </c>
      <c r="AH592" s="86" t="str">
        <f>+IF(AF592=$AI$22,MONTH(U592),"")</f>
        <v/>
      </c>
      <c r="AI592" s="86">
        <f>+IF(AG592=$AI$22,MONTH(V592),"")</f>
        <v>3</v>
      </c>
      <c r="AJ592" s="86" t="str">
        <f>+IF(AG592=$AJ$22,MONTH(V592),"")</f>
        <v/>
      </c>
      <c r="AK592" s="86" t="str">
        <f>+IF(AG592=$AK$22,MONTH(V592),"")</f>
        <v/>
      </c>
      <c r="AL592" s="86" t="str">
        <f>+IF(AG592=$AL$22,MONTH(V592),"")</f>
        <v/>
      </c>
      <c r="AM592" s="86" t="str">
        <f>+IF($AG592=$AM$22,MONTH($D592),"")</f>
        <v/>
      </c>
      <c r="AN592" s="89" t="str">
        <f>+IF($AG592=AN$22,MONTH($D592),"")</f>
        <v/>
      </c>
      <c r="AO592" s="184" t="str">
        <f>+IF($AG592=AO$22,MONTH($D592),"")</f>
        <v/>
      </c>
      <c r="AP592" s="184" t="str">
        <f>+IF($AG592=AP$22,MONTH($D592),"")</f>
        <v/>
      </c>
      <c r="AQ592" s="184" t="str">
        <f>+IF($AG592=AQ$22,MONTH($D592),"")</f>
        <v/>
      </c>
      <c r="AR592" s="184" t="str">
        <f>+IF($AG592=AR$22,MONTH($D592),"")</f>
        <v/>
      </c>
      <c r="AS592" s="184" t="str">
        <f>+IF($AG592=AS$22,MONTH($D592),"")</f>
        <v/>
      </c>
      <c r="AT592" s="86" t="str">
        <f>+IF($AG592=AT$22,MONTH($D592),"")</f>
        <v/>
      </c>
      <c r="AU592" s="86" t="str">
        <f>+IF($AG592=AU$22,MONTH($D592),"")</f>
        <v/>
      </c>
      <c r="AV592" s="86" t="str">
        <f>+IF($AG592=AV$22,MONTH($D592),"")</f>
        <v/>
      </c>
      <c r="AW592" s="86" t="str">
        <f>+IF($AG592=AW$22,MONTH($D592),"")</f>
        <v/>
      </c>
      <c r="AX592" s="86" t="str">
        <f>+IF($AG592=AX$22,MONTH($D592),"")</f>
        <v/>
      </c>
    </row>
    <row r="593" spans="1:68" s="56" customFormat="1" ht="26.25" hidden="1" customHeight="1">
      <c r="A593" s="204">
        <f>+IFERROR(VALUE(MID(AB593,4,4)),"")</f>
        <v>409</v>
      </c>
      <c r="B593" s="204">
        <f>VALUE(RIGHT(C593,LEN(C593)-2))</f>
        <v>2128</v>
      </c>
      <c r="C593" s="74" t="s">
        <v>2291</v>
      </c>
      <c r="D593" s="75">
        <v>45512</v>
      </c>
      <c r="E593" s="70" t="s">
        <v>353</v>
      </c>
      <c r="F593" s="70" t="s">
        <v>354</v>
      </c>
      <c r="G593" s="68" t="s">
        <v>355</v>
      </c>
      <c r="H593" s="282" t="s">
        <v>356</v>
      </c>
      <c r="I593" s="162" t="s">
        <v>2292</v>
      </c>
      <c r="J593" s="162"/>
      <c r="K593" s="68" t="s">
        <v>33</v>
      </c>
      <c r="L593" s="69" t="s">
        <v>120</v>
      </c>
      <c r="M593" s="71" t="s">
        <v>141</v>
      </c>
      <c r="N593" s="69" t="e" vm="1">
        <v>#VALUE!</v>
      </c>
      <c r="O593" s="164">
        <v>45516</v>
      </c>
      <c r="P593" s="72" t="s">
        <v>274</v>
      </c>
      <c r="Q593" s="72" t="s">
        <v>623</v>
      </c>
      <c r="R593" s="162"/>
      <c r="S593" s="146"/>
      <c r="T593" s="68" t="s">
        <v>3</v>
      </c>
      <c r="U593" s="87"/>
      <c r="V593" s="183">
        <v>45600</v>
      </c>
      <c r="W593" s="73">
        <v>1348</v>
      </c>
      <c r="X593" s="73">
        <v>94</v>
      </c>
      <c r="Y593" s="83">
        <f>IF(SUM(W593:W593)&gt;0,X593/SUM(W593:W593)*1000000,"N/A")</f>
        <v>69732.937685459954</v>
      </c>
      <c r="Z593" s="183"/>
      <c r="AA593" s="183"/>
      <c r="AB593" s="73" t="s">
        <v>2293</v>
      </c>
      <c r="AC593" s="153"/>
      <c r="AD593" s="331"/>
      <c r="AE593" s="57"/>
      <c r="AF593" s="88"/>
      <c r="AG593" s="182">
        <f>YEAR(V593)</f>
        <v>2024</v>
      </c>
      <c r="AH593" s="86" t="str">
        <f>+IF(AF593=$AI$22,MONTH(U593),"")</f>
        <v/>
      </c>
      <c r="AI593" s="86" t="str">
        <f>+IF(AG593=$AI$22,MONTH(V593),"")</f>
        <v/>
      </c>
      <c r="AJ593" s="86">
        <f>+IF(AG593=$AJ$22,MONTH(V593),"")</f>
        <v>11</v>
      </c>
      <c r="AK593" s="86" t="str">
        <f>+IF(AG593=$AK$22,MONTH(V593),"")</f>
        <v/>
      </c>
      <c r="AL593" s="86" t="str">
        <f>+IF(AG593=$AL$22,MONTH(V593),"")</f>
        <v/>
      </c>
      <c r="AM593" s="86" t="str">
        <f>+IF($AG593=$AM$22,MONTH($D593),"")</f>
        <v/>
      </c>
      <c r="AN593" s="89"/>
      <c r="AO593" s="89"/>
      <c r="AP593" s="89"/>
      <c r="AQ593" s="89"/>
      <c r="AR593" s="89"/>
      <c r="AS593" s="89"/>
      <c r="AT593" s="89"/>
      <c r="AU593" s="89"/>
      <c r="AV593" s="89"/>
      <c r="AW593" s="86" t="str">
        <f>+IF($AG593=AW$22,MONTH($D593),"")</f>
        <v/>
      </c>
      <c r="AX593" s="86" t="str">
        <f>+IF($AG593=AX$22,MONTH($D593),"")</f>
        <v/>
      </c>
      <c r="AY593" s="89"/>
      <c r="AZ593" s="89"/>
      <c r="BA593" s="89"/>
      <c r="BB593" s="89"/>
      <c r="BC593" s="89"/>
      <c r="BD593" s="89"/>
      <c r="BE593" s="89"/>
      <c r="BF593" s="89"/>
      <c r="BG593" s="89"/>
      <c r="BH593" s="89"/>
      <c r="BI593" s="89"/>
      <c r="BJ593" s="89"/>
      <c r="BK593" s="89"/>
      <c r="BL593" s="89"/>
      <c r="BM593" s="89"/>
      <c r="BN593" s="89"/>
      <c r="BO593" s="89"/>
      <c r="BP593" s="89"/>
    </row>
    <row r="594" spans="1:68" s="56" customFormat="1" ht="26.25" hidden="1" customHeight="1">
      <c r="A594" s="204" t="str">
        <f>+IFERROR(VALUE(MID(AB594,4,4)),"")</f>
        <v/>
      </c>
      <c r="B594" s="204">
        <f>VALUE(RIGHT(C594,LEN(C594)-2))</f>
        <v>2127</v>
      </c>
      <c r="C594" s="74" t="s">
        <v>2294</v>
      </c>
      <c r="D594" s="75">
        <v>45512</v>
      </c>
      <c r="E594" s="70" t="s">
        <v>473</v>
      </c>
      <c r="F594" s="70" t="s">
        <v>473</v>
      </c>
      <c r="G594" s="68" t="s">
        <v>2002</v>
      </c>
      <c r="H594" s="307" t="s">
        <v>2003</v>
      </c>
      <c r="I594" s="69" t="s">
        <v>2295</v>
      </c>
      <c r="J594" s="69"/>
      <c r="K594" s="68" t="s">
        <v>9</v>
      </c>
      <c r="L594" s="69" t="s">
        <v>120</v>
      </c>
      <c r="M594" s="71" t="s">
        <v>141</v>
      </c>
      <c r="N594" s="69" t="e" vm="1">
        <v>#VALUE!</v>
      </c>
      <c r="O594" s="84">
        <v>45516</v>
      </c>
      <c r="P594" s="72" t="s">
        <v>595</v>
      </c>
      <c r="Q594" s="72" t="s">
        <v>259</v>
      </c>
      <c r="R594" s="162"/>
      <c r="S594" s="146"/>
      <c r="T594" s="68" t="s">
        <v>165</v>
      </c>
      <c r="U594" s="87"/>
      <c r="V594" s="80">
        <v>45518</v>
      </c>
      <c r="W594" s="73">
        <v>125</v>
      </c>
      <c r="X594" s="73">
        <v>6.5</v>
      </c>
      <c r="Y594" s="169">
        <f>IF(SUM(W594:W594)&gt;0,X594/SUM(W594:W594)*1000000,"N/A")</f>
        <v>52000</v>
      </c>
      <c r="Z594" s="80"/>
      <c r="AA594" s="80"/>
      <c r="AB594" s="73"/>
      <c r="AC594" s="153"/>
      <c r="AD594" s="330"/>
      <c r="AE594" s="305"/>
      <c r="AF594" s="88"/>
      <c r="AG594" s="182">
        <f>YEAR(D594)</f>
        <v>2024</v>
      </c>
      <c r="AH594" s="86" t="str">
        <f>+IF(AF594=$AI$22,MONTH(U594),"")</f>
        <v/>
      </c>
      <c r="AI594" s="86" t="str">
        <f>+IF(AG594=$AI$22,MONTH(V594),"")</f>
        <v/>
      </c>
      <c r="AJ594" s="86">
        <f>+IF(AG594=$AJ$22,MONTH(V594),"")</f>
        <v>8</v>
      </c>
      <c r="AK594" s="86" t="str">
        <f>+IF(AG594=$AK$22,MONTH(V594),"")</f>
        <v/>
      </c>
      <c r="AL594" s="86" t="str">
        <f>+IF(AG594=$AL$22,MONTH(V594),"")</f>
        <v/>
      </c>
      <c r="AM594" s="86" t="str">
        <f>+IF($AG594=$AM$22,MONTH($D594),"")</f>
        <v/>
      </c>
      <c r="AN594" s="89" t="str">
        <f>+IF($AG594=AN$22,MONTH($D594),"")</f>
        <v/>
      </c>
      <c r="AO594" s="89" t="str">
        <f>+IF($AG594=AO$22,MONTH($D594),"")</f>
        <v/>
      </c>
      <c r="AP594" s="89" t="str">
        <f>+IF($AG594=AP$22,MONTH($D594),"")</f>
        <v/>
      </c>
      <c r="AQ594" s="89" t="str">
        <f>+IF($AG594=AQ$22,MONTH($D594),"")</f>
        <v/>
      </c>
      <c r="AR594" s="89" t="str">
        <f>+IF($AG594=AR$22,MONTH($D594),"")</f>
        <v/>
      </c>
      <c r="AS594" s="89" t="str">
        <f>+IF($AG594=AS$22,MONTH($D594),"")</f>
        <v/>
      </c>
      <c r="AT594" s="89" t="str">
        <f>+IF($AG594=AT$22,MONTH($D594),"")</f>
        <v/>
      </c>
      <c r="AU594" s="89" t="str">
        <f>+IF($AG594=AU$22,MONTH($D594),"")</f>
        <v/>
      </c>
      <c r="AV594" s="89" t="str">
        <f>+IF($AG594=AV$22,MONTH($D594),"")</f>
        <v/>
      </c>
      <c r="AW594" s="86" t="str">
        <f>+IF($AG594=AW$22,MONTH($D594),"")</f>
        <v/>
      </c>
      <c r="AX594" s="86" t="str">
        <f>+IF($AG594=AX$22,MONTH($D594),"")</f>
        <v/>
      </c>
      <c r="AY594" s="89"/>
      <c r="AZ594" s="89"/>
      <c r="BA594" s="89"/>
      <c r="BB594" s="89"/>
      <c r="BC594" s="89"/>
      <c r="BD594" s="89"/>
      <c r="BE594" s="89"/>
      <c r="BF594" s="89"/>
      <c r="BG594" s="89"/>
      <c r="BH594" s="89"/>
      <c r="BI594" s="89"/>
      <c r="BJ594" s="89"/>
      <c r="BK594" s="89"/>
      <c r="BL594" s="89"/>
      <c r="BM594" s="89"/>
      <c r="BN594" s="89"/>
      <c r="BO594" s="89"/>
      <c r="BP594" s="89"/>
    </row>
    <row r="595" spans="1:68" s="56" customFormat="1" ht="26.25" hidden="1" customHeight="1">
      <c r="A595" s="204" t="str">
        <f>+IFERROR(VALUE(MID(AB595,4,4)),"")</f>
        <v/>
      </c>
      <c r="B595" s="204">
        <f>+B596</f>
        <v>2126</v>
      </c>
      <c r="C595" s="74" t="s">
        <v>2296</v>
      </c>
      <c r="D595" s="75">
        <v>45706</v>
      </c>
      <c r="E595" s="70" t="s">
        <v>51</v>
      </c>
      <c r="F595" s="70" t="s">
        <v>51</v>
      </c>
      <c r="G595" s="68" t="s">
        <v>2072</v>
      </c>
      <c r="H595" s="307"/>
      <c r="I595" s="69" t="s">
        <v>2297</v>
      </c>
      <c r="J595" s="69"/>
      <c r="K595" s="68" t="s">
        <v>13</v>
      </c>
      <c r="L595" s="69" t="s">
        <v>120</v>
      </c>
      <c r="M595" s="71" t="s">
        <v>141</v>
      </c>
      <c r="N595" s="69" t="e" vm="1">
        <v>#VALUE!</v>
      </c>
      <c r="O595" s="84">
        <v>45706</v>
      </c>
      <c r="P595" s="72" t="s">
        <v>1781</v>
      </c>
      <c r="Q595" s="72" t="s">
        <v>623</v>
      </c>
      <c r="R595" s="162"/>
      <c r="S595" s="146"/>
      <c r="T595" s="68" t="s">
        <v>165</v>
      </c>
      <c r="U595" s="87"/>
      <c r="V595" s="183">
        <v>45765</v>
      </c>
      <c r="W595" s="73">
        <v>72</v>
      </c>
      <c r="X595" s="150">
        <f>110*38500/1000000</f>
        <v>4.2350000000000003</v>
      </c>
      <c r="Y595" s="83">
        <f>IF(SUM(W595:W595)&gt;0,X595/SUM(W595:W595)*1000000,"N/A")</f>
        <v>58819.444444444453</v>
      </c>
      <c r="Z595" s="183"/>
      <c r="AA595" s="183"/>
      <c r="AB595" s="73"/>
      <c r="AC595" s="153"/>
      <c r="AD595" s="330"/>
      <c r="AE595" s="305"/>
      <c r="AF595" s="88"/>
      <c r="AG595" s="182">
        <f>YEAR(V595)</f>
        <v>2025</v>
      </c>
      <c r="AH595" s="86" t="str">
        <f>+IF(AF595=$AI$22,MONTH(U595),"")</f>
        <v/>
      </c>
      <c r="AI595" s="86">
        <f>+IF(AG595=$AI$22,MONTH(V595),"")</f>
        <v>4</v>
      </c>
      <c r="AJ595" s="86" t="str">
        <f>+IF(AG595=$AJ$22,MONTH(V595),"")</f>
        <v/>
      </c>
      <c r="AK595" s="86" t="str">
        <f>+IF(AG595=$AK$22,MONTH(V595),"")</f>
        <v/>
      </c>
      <c r="AL595" s="86" t="str">
        <f>+IF(AG595=$AL$22,MONTH(V595),"")</f>
        <v/>
      </c>
      <c r="AM595" s="86" t="str">
        <f>+IF($AG595=$AM$22,MONTH($D595),"")</f>
        <v/>
      </c>
      <c r="AN595" s="89" t="str">
        <f>+IF($AG595=AN$22,MONTH($D595),"")</f>
        <v/>
      </c>
      <c r="AO595" s="89" t="str">
        <f>+IF($AG595=AO$22,MONTH($D595),"")</f>
        <v/>
      </c>
      <c r="AP595" s="89" t="str">
        <f>+IF($AG595=AP$22,MONTH($D595),"")</f>
        <v/>
      </c>
      <c r="AQ595" s="89" t="str">
        <f>+IF($AG595=AQ$22,MONTH($D595),"")</f>
        <v/>
      </c>
      <c r="AR595" s="89" t="str">
        <f>+IF($AG595=AR$22,MONTH($D595),"")</f>
        <v/>
      </c>
      <c r="AS595" s="89" t="str">
        <f>+IF($AG595=AS$22,MONTH($D595),"")</f>
        <v/>
      </c>
      <c r="AT595" s="89" t="str">
        <f>+IF($AG595=AT$22,MONTH($D595),"")</f>
        <v/>
      </c>
      <c r="AU595" s="89" t="str">
        <f>+IF($AG595=AU$22,MONTH($D595),"")</f>
        <v/>
      </c>
      <c r="AV595" s="89" t="str">
        <f>+IF($AG595=AV$22,MONTH($D595),"")</f>
        <v/>
      </c>
      <c r="AW595" s="86" t="str">
        <f>+IF($AG595=AW$22,MONTH($D595),"")</f>
        <v/>
      </c>
      <c r="AX595" s="86" t="str">
        <f>+IF($AG595=AX$22,MONTH($D595),"")</f>
        <v/>
      </c>
      <c r="AY595" s="89"/>
      <c r="AZ595" s="89"/>
      <c r="BA595" s="89"/>
      <c r="BB595" s="89"/>
      <c r="BC595" s="89"/>
      <c r="BD595" s="89"/>
      <c r="BE595" s="89"/>
      <c r="BF595" s="89"/>
      <c r="BG595" s="89"/>
      <c r="BH595" s="89"/>
      <c r="BI595" s="89"/>
      <c r="BJ595" s="89"/>
      <c r="BK595" s="89"/>
      <c r="BL595" s="89"/>
      <c r="BM595" s="89"/>
      <c r="BN595" s="89"/>
      <c r="BO595" s="89"/>
      <c r="BP595" s="89"/>
    </row>
    <row r="596" spans="1:68" s="56" customFormat="1" ht="26.25" hidden="1" customHeight="1">
      <c r="A596" s="204">
        <f>+IFERROR(VALUE(MID(AB596,4,4)),"")</f>
        <v>389</v>
      </c>
      <c r="B596" s="204">
        <f>VALUE(RIGHT(C596,LEN(C596)-2))</f>
        <v>2126</v>
      </c>
      <c r="C596" s="74" t="s">
        <v>2298</v>
      </c>
      <c r="D596" s="75">
        <v>45511</v>
      </c>
      <c r="E596" s="70" t="s">
        <v>262</v>
      </c>
      <c r="F596" s="70" t="s">
        <v>270</v>
      </c>
      <c r="G596" s="68" t="s">
        <v>2299</v>
      </c>
      <c r="H596" s="282" t="s">
        <v>2300</v>
      </c>
      <c r="I596" s="69" t="s">
        <v>2301</v>
      </c>
      <c r="J596" s="69"/>
      <c r="K596" s="68" t="s">
        <v>14</v>
      </c>
      <c r="L596" s="69" t="s">
        <v>120</v>
      </c>
      <c r="M596" s="71" t="s">
        <v>141</v>
      </c>
      <c r="N596" s="69" t="e" vm="1">
        <v>#VALUE!</v>
      </c>
      <c r="O596" s="84">
        <v>45512</v>
      </c>
      <c r="P596" s="72" t="s">
        <v>666</v>
      </c>
      <c r="Q596" s="72" t="s">
        <v>229</v>
      </c>
      <c r="R596" s="162"/>
      <c r="S596" s="146"/>
      <c r="T596" s="68" t="s">
        <v>165</v>
      </c>
      <c r="U596" s="87"/>
      <c r="V596" s="80">
        <v>45512</v>
      </c>
      <c r="W596" s="73">
        <v>65</v>
      </c>
      <c r="X596" s="73">
        <v>3.26</v>
      </c>
      <c r="Y596" s="169">
        <f>IF(SUM(W596:W596)&gt;0,X596/SUM(W596:W596)*1000000,"N/A")</f>
        <v>50153.846153846156</v>
      </c>
      <c r="Z596" s="80"/>
      <c r="AA596" s="80"/>
      <c r="AB596" s="73" t="s">
        <v>2302</v>
      </c>
      <c r="AC596" s="153"/>
      <c r="AD596" s="331"/>
      <c r="AE596" s="57"/>
      <c r="AF596" s="88"/>
      <c r="AG596" s="182">
        <f>YEAR(D596)</f>
        <v>2024</v>
      </c>
      <c r="AH596" s="86" t="str">
        <f>+IF(AF596=$AI$22,MONTH(U596),"")</f>
        <v/>
      </c>
      <c r="AI596" s="86" t="str">
        <f>+IF(AG596=$AI$22,MONTH(V596),"")</f>
        <v/>
      </c>
      <c r="AJ596" s="86">
        <f>+IF(AG596=$AJ$22,MONTH(V596),"")</f>
        <v>8</v>
      </c>
      <c r="AK596" s="86" t="str">
        <f>+IF(AG596=$AK$22,MONTH(V596),"")</f>
        <v/>
      </c>
      <c r="AL596" s="86" t="str">
        <f>+IF(AG596=$AL$22,MONTH(V596),"")</f>
        <v/>
      </c>
      <c r="AM596" s="86" t="str">
        <f>+IF($AG596=$AM$22,MONTH($D596),"")</f>
        <v/>
      </c>
      <c r="AN596" s="89" t="str">
        <f>+IF($AG596=AN$22,MONTH($D596),"")</f>
        <v/>
      </c>
      <c r="AO596" s="89" t="str">
        <f>+IF($AG596=AO$22,MONTH($D596),"")</f>
        <v/>
      </c>
      <c r="AP596" s="89" t="str">
        <f>+IF($AG596=AP$22,MONTH($D596),"")</f>
        <v/>
      </c>
      <c r="AQ596" s="89" t="str">
        <f>+IF($AG596=AQ$22,MONTH($D596),"")</f>
        <v/>
      </c>
      <c r="AR596" s="89" t="str">
        <f>+IF($AG596=AR$22,MONTH($D596),"")</f>
        <v/>
      </c>
      <c r="AS596" s="89" t="str">
        <f>+IF($AG596=AS$22,MONTH($D596),"")</f>
        <v/>
      </c>
      <c r="AT596" s="89" t="str">
        <f>+IF($AG596=AT$22,MONTH($D596),"")</f>
        <v/>
      </c>
      <c r="AU596" s="89" t="str">
        <f>+IF($AG596=AU$22,MONTH($D596),"")</f>
        <v/>
      </c>
      <c r="AV596" s="89" t="str">
        <f>+IF($AG596=AV$22,MONTH($D596),"")</f>
        <v/>
      </c>
      <c r="AW596" s="86" t="str">
        <f>+IF($AG596=AW$22,MONTH($D596),"")</f>
        <v/>
      </c>
      <c r="AX596" s="86" t="str">
        <f>+IF($AG596=AX$22,MONTH($D596),"")</f>
        <v/>
      </c>
      <c r="AY596" s="89"/>
      <c r="AZ596" s="89"/>
      <c r="BA596" s="89"/>
      <c r="BB596" s="89"/>
      <c r="BC596" s="89"/>
      <c r="BD596" s="89"/>
      <c r="BE596" s="89"/>
      <c r="BF596" s="89"/>
      <c r="BG596" s="89"/>
      <c r="BH596" s="89"/>
      <c r="BI596" s="89"/>
      <c r="BJ596" s="89"/>
      <c r="BK596" s="89"/>
      <c r="BL596" s="89"/>
      <c r="BM596" s="89"/>
      <c r="BN596" s="89"/>
      <c r="BO596" s="89"/>
      <c r="BP596" s="89"/>
    </row>
    <row r="597" spans="1:68" s="56" customFormat="1" ht="26.25" hidden="1" customHeight="1">
      <c r="A597" s="204">
        <f>+IFERROR(VALUE(MID(AB597,4,4)),"")</f>
        <v>390</v>
      </c>
      <c r="B597" s="204">
        <f>VALUE(RIGHT(C597,LEN(C597)-2))</f>
        <v>2125</v>
      </c>
      <c r="C597" s="74" t="s">
        <v>2303</v>
      </c>
      <c r="D597" s="75">
        <v>45511</v>
      </c>
      <c r="E597" s="70" t="s">
        <v>262</v>
      </c>
      <c r="F597" s="70" t="s">
        <v>270</v>
      </c>
      <c r="G597" s="68" t="s">
        <v>2304</v>
      </c>
      <c r="H597" s="282" t="s">
        <v>2305</v>
      </c>
      <c r="I597" s="69" t="s">
        <v>2306</v>
      </c>
      <c r="J597" s="69"/>
      <c r="K597" s="68" t="s">
        <v>13</v>
      </c>
      <c r="L597" s="69" t="s">
        <v>120</v>
      </c>
      <c r="M597" s="71" t="s">
        <v>141</v>
      </c>
      <c r="N597" s="69" t="e" vm="1">
        <v>#VALUE!</v>
      </c>
      <c r="O597" s="84">
        <v>45540</v>
      </c>
      <c r="P597" s="72" t="s">
        <v>402</v>
      </c>
      <c r="Q597" s="72" t="s">
        <v>623</v>
      </c>
      <c r="R597" s="162"/>
      <c r="S597" s="146"/>
      <c r="T597" s="94" t="s">
        <v>3</v>
      </c>
      <c r="U597" s="87"/>
      <c r="V597" s="80">
        <v>45585</v>
      </c>
      <c r="W597" s="73">
        <v>7081</v>
      </c>
      <c r="X597" s="73">
        <v>282.245</v>
      </c>
      <c r="Y597" s="169">
        <f>IF(SUM(W597:W597)&gt;0,X597/SUM(W597:W597)*1000000,"N/A")</f>
        <v>39859.483123852558</v>
      </c>
      <c r="Z597" s="80"/>
      <c r="AA597" s="80"/>
      <c r="AB597" s="73" t="s">
        <v>2307</v>
      </c>
      <c r="AC597" s="153"/>
      <c r="AD597" s="331"/>
      <c r="AE597" s="57"/>
      <c r="AF597" s="88"/>
      <c r="AG597" s="182">
        <f>YEAR(V597)</f>
        <v>2024</v>
      </c>
      <c r="AH597" s="86" t="str">
        <f>+IF(AF597=$AI$22,MONTH(U597),"")</f>
        <v/>
      </c>
      <c r="AI597" s="86" t="str">
        <f>+IF(AG597=$AI$22,MONTH(V597),"")</f>
        <v/>
      </c>
      <c r="AJ597" s="86">
        <f>+IF(AG597=$AJ$22,MONTH(V597),"")</f>
        <v>10</v>
      </c>
      <c r="AK597" s="86" t="str">
        <f>+IF(AG597=$AK$22,MONTH(V597),"")</f>
        <v/>
      </c>
      <c r="AL597" s="86" t="str">
        <f>+IF(AG597=$AL$22,MONTH(V597),"")</f>
        <v/>
      </c>
      <c r="AM597" s="86" t="str">
        <f>+IF($AG597=$AM$22,MONTH($D597),"")</f>
        <v/>
      </c>
      <c r="AN597" s="89" t="str">
        <f>+IF($AG597=AN$22,MONTH($D597),"")</f>
        <v/>
      </c>
      <c r="AO597" s="89" t="str">
        <f>+IF($AG597=AO$22,MONTH($D597),"")</f>
        <v/>
      </c>
      <c r="AP597" s="89" t="str">
        <f>+IF($AG597=AP$22,MONTH($D597),"")</f>
        <v/>
      </c>
      <c r="AQ597" s="89" t="str">
        <f>+IF($AG597=AQ$22,MONTH($D597),"")</f>
        <v/>
      </c>
      <c r="AR597" s="89" t="str">
        <f>+IF($AG597=AR$22,MONTH($D597),"")</f>
        <v/>
      </c>
      <c r="AS597" s="89" t="str">
        <f>+IF($AG597=AS$22,MONTH($D597),"")</f>
        <v/>
      </c>
      <c r="AT597" s="89" t="str">
        <f>+IF($AG597=AT$22,MONTH($D597),"")</f>
        <v/>
      </c>
      <c r="AU597" s="89" t="str">
        <f>+IF($AG597=AU$22,MONTH($D597),"")</f>
        <v/>
      </c>
      <c r="AV597" s="89" t="str">
        <f>+IF($AG597=AV$22,MONTH($D597),"")</f>
        <v/>
      </c>
      <c r="AW597" s="86" t="str">
        <f>+IF($AG597=AW$22,MONTH($D597),"")</f>
        <v/>
      </c>
      <c r="AX597" s="86" t="str">
        <f>+IF($AG597=AX$22,MONTH($D597),"")</f>
        <v/>
      </c>
      <c r="AY597" s="89"/>
      <c r="AZ597" s="89"/>
      <c r="BA597" s="89"/>
      <c r="BB597" s="89"/>
      <c r="BC597" s="89"/>
      <c r="BD597" s="89"/>
      <c r="BE597" s="89"/>
      <c r="BF597" s="89"/>
      <c r="BG597" s="89"/>
      <c r="BH597" s="89"/>
      <c r="BI597" s="89"/>
      <c r="BJ597" s="89"/>
      <c r="BK597" s="89"/>
      <c r="BL597" s="89"/>
      <c r="BM597" s="89"/>
      <c r="BN597" s="89"/>
      <c r="BO597" s="89"/>
      <c r="BP597" s="89"/>
    </row>
    <row r="598" spans="1:68" s="56" customFormat="1" ht="30.75" hidden="1" customHeight="1">
      <c r="A598" s="204" t="str">
        <f>+IFERROR(VALUE(MID(AB598,4,4)),"")</f>
        <v/>
      </c>
      <c r="B598" s="204">
        <f>VALUE(RIGHT(C598,LEN(C598)-2))</f>
        <v>2124</v>
      </c>
      <c r="C598" s="74" t="s">
        <v>2308</v>
      </c>
      <c r="D598" s="75">
        <v>45510</v>
      </c>
      <c r="E598" s="70" t="s">
        <v>51</v>
      </c>
      <c r="F598" s="70" t="s">
        <v>51</v>
      </c>
      <c r="G598" s="68"/>
      <c r="H598" s="321"/>
      <c r="I598" s="162" t="s">
        <v>2309</v>
      </c>
      <c r="J598" s="162"/>
      <c r="K598" s="68" t="s">
        <v>13</v>
      </c>
      <c r="L598" s="69" t="s">
        <v>123</v>
      </c>
      <c r="M598" s="71" t="s">
        <v>141</v>
      </c>
      <c r="N598" s="69" t="e" vm="1">
        <v>#VALUE!</v>
      </c>
      <c r="O598" s="72" t="s">
        <v>213</v>
      </c>
      <c r="P598" s="72" t="s">
        <v>213</v>
      </c>
      <c r="Q598" s="72" t="s">
        <v>623</v>
      </c>
      <c r="R598" s="162"/>
      <c r="S598" s="146"/>
      <c r="T598" s="68" t="s">
        <v>155</v>
      </c>
      <c r="U598" s="87"/>
      <c r="V598" s="183">
        <v>45510</v>
      </c>
      <c r="W598" s="73"/>
      <c r="X598" s="73"/>
      <c r="Y598" s="83" t="str">
        <f>IF(SUM(W598:W598)&gt;0,X598/SUM(W598:W598)*1000000,"N/A")</f>
        <v>N/A</v>
      </c>
      <c r="Z598" s="183"/>
      <c r="AA598" s="183"/>
      <c r="AB598" s="73"/>
      <c r="AC598" s="153"/>
      <c r="AD598" s="330"/>
      <c r="AE598" s="305"/>
      <c r="AF598" s="88"/>
      <c r="AG598" s="182">
        <f>YEAR(V598)</f>
        <v>2024</v>
      </c>
      <c r="AH598" s="86" t="str">
        <f>+IF(AF598=$AI$22,MONTH(U598),"")</f>
        <v/>
      </c>
      <c r="AI598" s="86" t="str">
        <f>+IF(AG598=$AI$22,MONTH(V598),"")</f>
        <v/>
      </c>
      <c r="AJ598" s="86">
        <f>+IF(AG598=$AJ$22,MONTH(V598),"")</f>
        <v>8</v>
      </c>
      <c r="AK598" s="86" t="str">
        <f>+IF(AG598=$AK$22,MONTH(V598),"")</f>
        <v/>
      </c>
      <c r="AL598" s="86"/>
      <c r="AM598" s="89"/>
      <c r="AN598" s="89"/>
      <c r="AO598" s="89"/>
      <c r="AP598" s="89"/>
      <c r="AQ598" s="89"/>
      <c r="AR598" s="89"/>
      <c r="AS598" s="89"/>
      <c r="AT598" s="89"/>
      <c r="AU598" s="89"/>
      <c r="AV598" s="89"/>
      <c r="AW598" s="86" t="str">
        <f>+IF($AG598=AW$22,MONTH($D598),"")</f>
        <v/>
      </c>
      <c r="AX598" s="86" t="str">
        <f>+IF($AG598=AX$22,MONTH($D598),"")</f>
        <v/>
      </c>
      <c r="AY598" s="89"/>
      <c r="AZ598" s="89"/>
      <c r="BA598" s="89"/>
      <c r="BB598" s="89"/>
      <c r="BC598" s="89"/>
      <c r="BD598" s="89"/>
      <c r="BE598" s="89"/>
      <c r="BF598" s="89"/>
      <c r="BG598" s="89"/>
      <c r="BH598" s="89"/>
      <c r="BI598" s="89"/>
      <c r="BJ598" s="89"/>
      <c r="BK598" s="89"/>
      <c r="BL598" s="89"/>
      <c r="BM598" s="89"/>
      <c r="BN598" s="89"/>
      <c r="BO598" s="89"/>
      <c r="BP598" s="89"/>
    </row>
    <row r="599" spans="1:68" s="56" customFormat="1" ht="26.25" hidden="1" customHeight="1">
      <c r="A599" s="204" t="str">
        <f>+IFERROR(VALUE(MID(AB599,4,4)),"")</f>
        <v/>
      </c>
      <c r="B599" s="204">
        <f>VALUE(RIGHT(C599,LEN(C599)-2))</f>
        <v>2123</v>
      </c>
      <c r="C599" s="74" t="s">
        <v>2310</v>
      </c>
      <c r="D599" s="75">
        <v>45510</v>
      </c>
      <c r="E599" s="70" t="s">
        <v>53</v>
      </c>
      <c r="F599" s="70" t="s">
        <v>313</v>
      </c>
      <c r="G599" s="68" t="s">
        <v>210</v>
      </c>
      <c r="H599" s="59" t="s">
        <v>210</v>
      </c>
      <c r="I599" s="162" t="s">
        <v>2311</v>
      </c>
      <c r="J599" s="162"/>
      <c r="K599" s="68" t="s">
        <v>13</v>
      </c>
      <c r="L599" s="69" t="s">
        <v>123</v>
      </c>
      <c r="M599" s="71" t="s">
        <v>141</v>
      </c>
      <c r="N599" s="69" t="e" vm="1">
        <v>#VALUE!</v>
      </c>
      <c r="O599" s="164">
        <v>45579</v>
      </c>
      <c r="P599" s="72" t="s">
        <v>649</v>
      </c>
      <c r="Q599" s="72" t="s">
        <v>694</v>
      </c>
      <c r="R599" s="162"/>
      <c r="S599" s="146" t="s">
        <v>1882</v>
      </c>
      <c r="T599" s="68" t="s">
        <v>165</v>
      </c>
      <c r="U599" s="87"/>
      <c r="V599" s="183">
        <v>45782</v>
      </c>
      <c r="W599" s="150">
        <v>28123</v>
      </c>
      <c r="X599" s="150">
        <v>1319</v>
      </c>
      <c r="Y599" s="83">
        <f>IF(SUM(W599:W599)&gt;0,X599/SUM(W599:W599)*1000000,"N/A")</f>
        <v>46901.112968033282</v>
      </c>
      <c r="Z599" s="183"/>
      <c r="AA599" s="183"/>
      <c r="AB599" s="73"/>
      <c r="AC599" s="153"/>
      <c r="AD599" s="330"/>
      <c r="AE599" s="305"/>
      <c r="AF599" s="88"/>
      <c r="AG599" s="182">
        <f>YEAR(V599)</f>
        <v>2025</v>
      </c>
      <c r="AH599" s="86" t="str">
        <f>+IF(AF599=$AI$22,MONTH(U599),"")</f>
        <v/>
      </c>
      <c r="AI599" s="86">
        <f>+IF(AG599=$AI$22,MONTH(V599),"")</f>
        <v>5</v>
      </c>
      <c r="AJ599" s="86" t="str">
        <f>+IF(AG599=$AJ$22,MONTH(V599),"")</f>
        <v/>
      </c>
      <c r="AK599" s="86" t="str">
        <f>+IF(AG599=$AK$22,MONTH(V599),"")</f>
        <v/>
      </c>
      <c r="AL599" s="86"/>
      <c r="AM599" s="89"/>
      <c r="AN599" s="89"/>
      <c r="AO599" s="89"/>
      <c r="AP599" s="89"/>
      <c r="AQ599" s="89"/>
      <c r="AR599" s="89"/>
      <c r="AS599" s="89"/>
      <c r="AT599" s="89"/>
      <c r="AU599" s="89"/>
      <c r="AV599" s="89"/>
      <c r="AW599" s="86" t="str">
        <f>+IF($AG599=AW$22,MONTH($D599),"")</f>
        <v/>
      </c>
      <c r="AX599" s="86" t="str">
        <f>+IF($AG599=AX$22,MONTH($D599),"")</f>
        <v/>
      </c>
      <c r="AY599" s="89"/>
      <c r="AZ599" s="89"/>
      <c r="BA599" s="89"/>
      <c r="BB599" s="89"/>
      <c r="BC599" s="89"/>
      <c r="BD599" s="89"/>
      <c r="BE599" s="89"/>
      <c r="BF599" s="89"/>
      <c r="BG599" s="89"/>
      <c r="BH599" s="89"/>
      <c r="BI599" s="89"/>
      <c r="BJ599" s="89"/>
      <c r="BK599" s="89"/>
      <c r="BL599" s="89"/>
      <c r="BM599" s="89"/>
      <c r="BN599" s="89"/>
      <c r="BO599" s="89"/>
      <c r="BP599" s="89"/>
    </row>
    <row r="600" spans="1:68" s="56" customFormat="1" ht="26.25" hidden="1" customHeight="1">
      <c r="A600" s="204" t="str">
        <f>+IFERROR(VALUE(MID(AB600,4,4)),"")</f>
        <v/>
      </c>
      <c r="B600" s="204">
        <f>VALUE(RIGHT(C600,LEN(C600)-2))</f>
        <v>2122</v>
      </c>
      <c r="C600" s="74" t="s">
        <v>2312</v>
      </c>
      <c r="D600" s="75">
        <v>45509</v>
      </c>
      <c r="E600" s="70" t="s">
        <v>1321</v>
      </c>
      <c r="F600" s="70" t="s">
        <v>2065</v>
      </c>
      <c r="G600" s="68" t="s">
        <v>2313</v>
      </c>
      <c r="H600" s="282" t="s">
        <v>2314</v>
      </c>
      <c r="I600" s="69" t="s">
        <v>2315</v>
      </c>
      <c r="J600" s="69"/>
      <c r="K600" s="68" t="s">
        <v>11</v>
      </c>
      <c r="L600" s="69" t="s">
        <v>120</v>
      </c>
      <c r="M600" s="71" t="s">
        <v>141</v>
      </c>
      <c r="N600" s="69" t="e" vm="1">
        <v>#VALUE!</v>
      </c>
      <c r="O600" s="84">
        <v>45512</v>
      </c>
      <c r="P600" s="82" t="s">
        <v>2316</v>
      </c>
      <c r="Q600" s="72" t="s">
        <v>623</v>
      </c>
      <c r="R600" s="162"/>
      <c r="S600" s="146" t="s">
        <v>2317</v>
      </c>
      <c r="T600" s="68" t="s">
        <v>155</v>
      </c>
      <c r="U600" s="87"/>
      <c r="V600" s="80">
        <v>45590</v>
      </c>
      <c r="W600" s="73"/>
      <c r="X600" s="150"/>
      <c r="Y600" s="83" t="str">
        <f>IF(SUM(W600:W600)&gt;0,X600/SUM(W600:W600)*1000000,"N/A")</f>
        <v>N/A</v>
      </c>
      <c r="Z600" s="80"/>
      <c r="AA600" s="80"/>
      <c r="AB600" s="73"/>
      <c r="AC600" s="153"/>
      <c r="AD600" s="331"/>
      <c r="AE600" s="57"/>
      <c r="AF600" s="88"/>
      <c r="AG600" s="182">
        <f>YEAR(V600)</f>
        <v>2024</v>
      </c>
      <c r="AH600" s="86" t="str">
        <f>+IF(AF600=$AI$22,MONTH(U600),"")</f>
        <v/>
      </c>
      <c r="AI600" s="86" t="str">
        <f>+IF(AG600=$AI$22,MONTH(V600),"")</f>
        <v/>
      </c>
      <c r="AJ600" s="86">
        <f>+IF(AG600=$AJ$22,MONTH(V600),"")</f>
        <v>10</v>
      </c>
      <c r="AK600" s="86" t="str">
        <f>+IF(AG600=$AK$22,MONTH(V600),"")</f>
        <v/>
      </c>
      <c r="AL600" s="86" t="str">
        <f>+IF(AG600=$AL$22,MONTH(V600),"")</f>
        <v/>
      </c>
      <c r="AM600" s="86" t="str">
        <f>+IF($AG600=$AM$22,MONTH($D600),"")</f>
        <v/>
      </c>
      <c r="AN600" s="89"/>
      <c r="AO600" s="89"/>
      <c r="AP600" s="89"/>
      <c r="AQ600" s="89"/>
      <c r="AR600" s="89"/>
      <c r="AS600" s="89"/>
      <c r="AT600" s="89"/>
      <c r="AU600" s="89"/>
      <c r="AV600" s="89"/>
      <c r="AW600" s="86" t="str">
        <f>+IF($AG600=AW$22,MONTH($D600),"")</f>
        <v/>
      </c>
      <c r="AX600" s="86" t="str">
        <f>+IF($AG600=AX$22,MONTH($D600),"")</f>
        <v/>
      </c>
      <c r="AY600" s="89"/>
      <c r="AZ600" s="89"/>
      <c r="BA600" s="89"/>
      <c r="BB600" s="89"/>
      <c r="BC600" s="89"/>
      <c r="BD600" s="89"/>
      <c r="BE600" s="89"/>
      <c r="BF600" s="89"/>
      <c r="BG600" s="89"/>
      <c r="BH600" s="89"/>
      <c r="BI600" s="89"/>
      <c r="BJ600" s="89"/>
      <c r="BK600" s="89"/>
      <c r="BL600" s="89"/>
      <c r="BM600" s="89"/>
      <c r="BN600" s="89"/>
      <c r="BO600" s="89"/>
      <c r="BP600" s="89"/>
    </row>
    <row r="601" spans="1:68" s="320" customFormat="1" ht="29.25" hidden="1" customHeight="1">
      <c r="A601" s="204" t="str">
        <f>+IFERROR(VALUE(MID(AB601,4,4)),"")</f>
        <v/>
      </c>
      <c r="B601" s="204">
        <f>VALUE(RIGHT(C601,LEN(C601)-2))</f>
        <v>2121</v>
      </c>
      <c r="C601" s="74" t="s">
        <v>2318</v>
      </c>
      <c r="D601" s="75">
        <v>45509</v>
      </c>
      <c r="E601" s="70" t="s">
        <v>353</v>
      </c>
      <c r="F601" s="70" t="s">
        <v>2319</v>
      </c>
      <c r="G601" s="68" t="s">
        <v>2320</v>
      </c>
      <c r="H601" s="282" t="s">
        <v>2321</v>
      </c>
      <c r="I601" s="162" t="s">
        <v>2322</v>
      </c>
      <c r="J601" s="162"/>
      <c r="K601" s="68" t="s">
        <v>212</v>
      </c>
      <c r="L601" s="69" t="s">
        <v>123</v>
      </c>
      <c r="M601" s="71" t="s">
        <v>141</v>
      </c>
      <c r="N601" s="69" t="e" vm="1">
        <v>#VALUE!</v>
      </c>
      <c r="O601" s="164">
        <v>45546</v>
      </c>
      <c r="P601" s="72" t="s">
        <v>1703</v>
      </c>
      <c r="Q601" s="72" t="s">
        <v>694</v>
      </c>
      <c r="R601" s="162"/>
      <c r="S601" s="146"/>
      <c r="T601" s="68" t="s">
        <v>155</v>
      </c>
      <c r="U601" s="87"/>
      <c r="V601" s="183">
        <v>45510</v>
      </c>
      <c r="W601" s="73"/>
      <c r="X601" s="73"/>
      <c r="Y601" s="83" t="str">
        <f>IF(SUM(W601:W601)&gt;0,X601/SUM(W601:W601)*1000000,"N/A")</f>
        <v>N/A</v>
      </c>
      <c r="Z601" s="183"/>
      <c r="AA601" s="183"/>
      <c r="AB601" s="73"/>
      <c r="AC601" s="153"/>
      <c r="AD601" s="331"/>
      <c r="AE601" s="57"/>
      <c r="AF601" s="88"/>
      <c r="AG601" s="182">
        <f>YEAR(V601)</f>
        <v>2024</v>
      </c>
      <c r="AH601" s="86" t="str">
        <f>+IF(AF601=$AI$22,MONTH(U601),"")</f>
        <v/>
      </c>
      <c r="AI601" s="86" t="str">
        <f>+IF(AG601=$AI$22,MONTH(V601),"")</f>
        <v/>
      </c>
      <c r="AJ601" s="86">
        <f>+IF(AG601=$AJ$22,MONTH(V601),"")</f>
        <v>8</v>
      </c>
      <c r="AK601" s="86" t="str">
        <f>+IF(AG601=$AK$22,MONTH(V601),"")</f>
        <v/>
      </c>
      <c r="AL601" s="86" t="str">
        <f>+IF(AG601=$AL$22,MONTH(V601),"")</f>
        <v/>
      </c>
      <c r="AM601" s="86" t="str">
        <f>+IF($AG601=$AM$22,MONTH($D601),"")</f>
        <v/>
      </c>
      <c r="AN601" s="89"/>
      <c r="AO601" s="89"/>
      <c r="AP601" s="89"/>
      <c r="AQ601" s="89"/>
      <c r="AR601" s="89"/>
      <c r="AS601" s="89"/>
      <c r="AT601" s="89"/>
      <c r="AU601" s="89"/>
      <c r="AV601" s="89"/>
      <c r="AW601" s="86" t="str">
        <f>+IF($AG601=AW$22,MONTH($D601),"")</f>
        <v/>
      </c>
      <c r="AX601" s="86" t="str">
        <f>+IF($AG601=AX$22,MONTH($D601),"")</f>
        <v/>
      </c>
      <c r="AY601" s="89"/>
      <c r="AZ601" s="89"/>
      <c r="BA601" s="89"/>
      <c r="BB601" s="89"/>
      <c r="BC601" s="89"/>
      <c r="BD601" s="89"/>
      <c r="BE601" s="89"/>
      <c r="BF601" s="89"/>
      <c r="BG601" s="89"/>
      <c r="BH601" s="89"/>
      <c r="BI601" s="89"/>
      <c r="BJ601" s="89"/>
      <c r="BK601" s="89"/>
      <c r="BL601" s="89"/>
      <c r="BM601" s="89"/>
      <c r="BN601" s="89"/>
      <c r="BO601" s="89"/>
      <c r="BP601" s="89"/>
    </row>
    <row r="602" spans="1:68" s="320" customFormat="1" ht="26.25" hidden="1" customHeight="1">
      <c r="A602" s="204">
        <f>+IFERROR(VALUE(MID(AB602,4,4)),"")</f>
        <v>397</v>
      </c>
      <c r="B602" s="204">
        <f>VALUE(RIGHT(C602,LEN(C602)-2))</f>
        <v>2120</v>
      </c>
      <c r="C602" s="74" t="s">
        <v>2323</v>
      </c>
      <c r="D602" s="75">
        <v>45510</v>
      </c>
      <c r="E602" s="70" t="s">
        <v>96</v>
      </c>
      <c r="F602" s="70" t="s">
        <v>96</v>
      </c>
      <c r="G602" s="68" t="s">
        <v>1433</v>
      </c>
      <c r="H602" s="307"/>
      <c r="I602" s="162" t="s">
        <v>2324</v>
      </c>
      <c r="J602" s="162"/>
      <c r="K602" s="68" t="s">
        <v>9</v>
      </c>
      <c r="L602" s="69" t="s">
        <v>120</v>
      </c>
      <c r="M602" s="71" t="s">
        <v>141</v>
      </c>
      <c r="N602" s="69" t="e" vm="1">
        <v>#VALUE!</v>
      </c>
      <c r="O602" s="164">
        <v>45512</v>
      </c>
      <c r="P602" s="72" t="s">
        <v>377</v>
      </c>
      <c r="Q602" s="72" t="s">
        <v>316</v>
      </c>
      <c r="R602" s="162"/>
      <c r="S602" s="146"/>
      <c r="T602" s="68" t="s">
        <v>3</v>
      </c>
      <c r="U602" s="87"/>
      <c r="V602" s="183">
        <v>45516</v>
      </c>
      <c r="W602" s="73">
        <v>700</v>
      </c>
      <c r="X602" s="73">
        <f>1400*37590/1000000</f>
        <v>52.625999999999998</v>
      </c>
      <c r="Y602" s="83">
        <f>IF(SUM(W602:W602)&gt;0,X602/SUM(W602:W602)*1000000,"N/A")</f>
        <v>75180</v>
      </c>
      <c r="Z602" s="183"/>
      <c r="AA602" s="183"/>
      <c r="AB602" s="73" t="s">
        <v>2325</v>
      </c>
      <c r="AC602" s="153"/>
      <c r="AD602" s="331"/>
      <c r="AE602" s="57"/>
      <c r="AF602" s="88"/>
      <c r="AG602" s="182">
        <f>YEAR(V602)</f>
        <v>2024</v>
      </c>
      <c r="AH602" s="86" t="str">
        <f>+IF(AF602=$AI$22,MONTH(U602),"")</f>
        <v/>
      </c>
      <c r="AI602" s="86" t="str">
        <f>+IF(AG602=$AI$22,MONTH(V602),"")</f>
        <v/>
      </c>
      <c r="AJ602" s="86">
        <f>+IF(AG602=$AJ$22,MONTH(V602),"")</f>
        <v>8</v>
      </c>
      <c r="AK602" s="86" t="str">
        <f>+IF(AG602=$AK$22,MONTH(V602),"")</f>
        <v/>
      </c>
      <c r="AL602" s="86"/>
      <c r="AM602" s="89"/>
      <c r="AN602" s="89"/>
      <c r="AO602" s="89"/>
      <c r="AP602" s="89"/>
      <c r="AQ602" s="89"/>
      <c r="AR602" s="89"/>
      <c r="AS602" s="89"/>
      <c r="AT602" s="89"/>
      <c r="AU602" s="89"/>
      <c r="AV602" s="89"/>
      <c r="AW602" s="86" t="str">
        <f>+IF($AG602=AW$22,MONTH($D602),"")</f>
        <v/>
      </c>
      <c r="AX602" s="86" t="str">
        <f>+IF($AG602=AX$22,MONTH($D602),"")</f>
        <v/>
      </c>
      <c r="AY602" s="89"/>
      <c r="AZ602" s="89"/>
      <c r="BA602" s="89"/>
      <c r="BB602" s="89"/>
      <c r="BC602" s="89"/>
      <c r="BD602" s="89"/>
      <c r="BE602" s="89"/>
      <c r="BF602" s="89"/>
      <c r="BG602" s="89"/>
      <c r="BH602" s="89"/>
      <c r="BI602" s="89"/>
      <c r="BJ602" s="89"/>
      <c r="BK602" s="89"/>
      <c r="BL602" s="89"/>
      <c r="BM602" s="89"/>
      <c r="BN602" s="89"/>
      <c r="BO602" s="89"/>
      <c r="BP602" s="89"/>
    </row>
    <row r="603" spans="1:68" s="56" customFormat="1" ht="13.5" hidden="1">
      <c r="A603" s="204" t="str">
        <f>+IFERROR(VALUE(MID(AB603,4,4)),"")</f>
        <v/>
      </c>
      <c r="B603" s="204">
        <f>VALUE(RIGHT(C603,LEN(C603)-2))</f>
        <v>2119</v>
      </c>
      <c r="C603" s="74" t="s">
        <v>2326</v>
      </c>
      <c r="D603" s="75">
        <v>45509</v>
      </c>
      <c r="E603" s="70" t="s">
        <v>53</v>
      </c>
      <c r="F603" s="70" t="s">
        <v>209</v>
      </c>
      <c r="G603" s="68" t="s">
        <v>210</v>
      </c>
      <c r="H603" s="59"/>
      <c r="I603" s="162" t="s">
        <v>2327</v>
      </c>
      <c r="J603" s="162"/>
      <c r="K603" s="68" t="s">
        <v>275</v>
      </c>
      <c r="L603" s="69" t="s">
        <v>123</v>
      </c>
      <c r="M603" s="71" t="s">
        <v>141</v>
      </c>
      <c r="N603" s="69" t="e" vm="1">
        <v>#VALUE!</v>
      </c>
      <c r="O603" s="164">
        <v>45572</v>
      </c>
      <c r="P603" s="72" t="s">
        <v>377</v>
      </c>
      <c r="Q603" s="72" t="s">
        <v>694</v>
      </c>
      <c r="R603" s="162"/>
      <c r="S603" s="146" t="s">
        <v>2328</v>
      </c>
      <c r="T603" s="68" t="s">
        <v>155</v>
      </c>
      <c r="U603" s="87"/>
      <c r="V603" s="183">
        <v>45510</v>
      </c>
      <c r="W603" s="73"/>
      <c r="X603" s="73"/>
      <c r="Y603" s="83" t="str">
        <f>IF(SUM(W603:W603)&gt;0,X603/SUM(W603:W603)*1000000,"N/A")</f>
        <v>N/A</v>
      </c>
      <c r="Z603" s="183"/>
      <c r="AA603" s="183"/>
      <c r="AB603" s="73"/>
      <c r="AC603" s="153"/>
      <c r="AD603" s="331"/>
      <c r="AE603" s="57"/>
      <c r="AF603" s="88"/>
      <c r="AG603" s="182">
        <f>YEAR(V603)</f>
        <v>2024</v>
      </c>
      <c r="AH603" s="86" t="str">
        <f>+IF(AF603=$AI$22,MONTH(U603),"")</f>
        <v/>
      </c>
      <c r="AI603" s="86" t="str">
        <f>+IF(AG603=$AI$22,MONTH(V603),"")</f>
        <v/>
      </c>
      <c r="AJ603" s="86">
        <f>+IF(AG603=$AJ$22,MONTH(V603),"")</f>
        <v>8</v>
      </c>
      <c r="AK603" s="86" t="str">
        <f>+IF(AG603=$AK$22,MONTH(V603),"")</f>
        <v/>
      </c>
      <c r="AL603" s="86"/>
      <c r="AM603" s="89"/>
      <c r="AN603" s="89"/>
      <c r="AO603" s="89"/>
      <c r="AP603" s="89"/>
      <c r="AQ603" s="89"/>
      <c r="AR603" s="89"/>
      <c r="AS603" s="89"/>
      <c r="AT603" s="89"/>
      <c r="AU603" s="89"/>
      <c r="AV603" s="89"/>
      <c r="AW603" s="86" t="str">
        <f>+IF($AG603=AW$22,MONTH($D603),"")</f>
        <v/>
      </c>
      <c r="AX603" s="86" t="str">
        <f>+IF($AG603=AX$22,MONTH($D603),"")</f>
        <v/>
      </c>
      <c r="AY603" s="89"/>
      <c r="AZ603" s="89"/>
      <c r="BA603" s="89"/>
      <c r="BB603" s="89"/>
      <c r="BC603" s="89"/>
      <c r="BD603" s="89"/>
      <c r="BE603" s="89"/>
      <c r="BF603" s="89"/>
      <c r="BG603" s="89"/>
      <c r="BH603" s="89"/>
      <c r="BI603" s="89"/>
      <c r="BJ603" s="89"/>
      <c r="BK603" s="89"/>
      <c r="BL603" s="89"/>
      <c r="BM603" s="89"/>
      <c r="BN603" s="89"/>
      <c r="BO603" s="89"/>
      <c r="BP603" s="89"/>
    </row>
    <row r="604" spans="1:68" s="89" customFormat="1" ht="30" hidden="1" customHeight="1">
      <c r="A604" s="204" t="str">
        <f>+IFERROR(VALUE(MID(AB604,4,4)),"")</f>
        <v/>
      </c>
      <c r="B604" s="204">
        <f>VALUE(RIGHT(C604,LEN(C604)-2))</f>
        <v>2118</v>
      </c>
      <c r="C604" s="74" t="s">
        <v>2329</v>
      </c>
      <c r="D604" s="75">
        <v>45509</v>
      </c>
      <c r="E604" s="70" t="s">
        <v>262</v>
      </c>
      <c r="F604" s="70" t="s">
        <v>270</v>
      </c>
      <c r="G604" s="68" t="s">
        <v>2304</v>
      </c>
      <c r="H604" s="307" t="s">
        <v>2305</v>
      </c>
      <c r="I604" s="162" t="s">
        <v>2330</v>
      </c>
      <c r="J604" s="162"/>
      <c r="K604" s="68" t="s">
        <v>9</v>
      </c>
      <c r="L604" s="68" t="s">
        <v>120</v>
      </c>
      <c r="M604" s="68" t="s">
        <v>141</v>
      </c>
      <c r="N604" s="69" t="e" vm="1">
        <v>#VALUE!</v>
      </c>
      <c r="O604" s="84">
        <v>45747</v>
      </c>
      <c r="P604" s="72" t="s">
        <v>2331</v>
      </c>
      <c r="Q604" s="72" t="s">
        <v>259</v>
      </c>
      <c r="R604" s="162"/>
      <c r="S604" s="146"/>
      <c r="T604" s="68" t="s">
        <v>149</v>
      </c>
      <c r="U604" s="87"/>
      <c r="V604" s="183">
        <v>45510</v>
      </c>
      <c r="W604" s="73"/>
      <c r="X604" s="73"/>
      <c r="Y604" s="83" t="str">
        <f>IF(SUM(W604:W604)&gt;0,X604/SUM(W604:W604)*1000000,"N/A")</f>
        <v>N/A</v>
      </c>
      <c r="Z604" s="183"/>
      <c r="AA604" s="183"/>
      <c r="AB604" s="73"/>
      <c r="AC604" s="153"/>
      <c r="AD604" s="331"/>
      <c r="AE604" s="57"/>
      <c r="AF604" s="88"/>
      <c r="AG604" s="182">
        <f>YEAR(V604)</f>
        <v>2024</v>
      </c>
      <c r="AH604" s="86" t="str">
        <f>+IF(AF604=$AI$22,MONTH(U604),"")</f>
        <v/>
      </c>
      <c r="AI604" s="86" t="str">
        <f>+IF(AG604=$AI$22,MONTH(V604),"")</f>
        <v/>
      </c>
      <c r="AJ604" s="86">
        <f>+IF(AG604=$AJ$22,MONTH(V604),"")</f>
        <v>8</v>
      </c>
      <c r="AK604" s="86" t="str">
        <f>+IF(AG604=$AK$22,MONTH(V604),"")</f>
        <v/>
      </c>
      <c r="AL604" s="86"/>
      <c r="AW604" s="86" t="str">
        <f>+IF($AG604=AW$22,MONTH($D604),"")</f>
        <v/>
      </c>
      <c r="AX604" s="86" t="str">
        <f>+IF($AG604=AX$22,MONTH($D604),"")</f>
        <v/>
      </c>
    </row>
    <row r="605" spans="1:68" s="56" customFormat="1" ht="30" hidden="1" customHeight="1">
      <c r="A605" s="204" t="str">
        <f>+IFERROR(VALUE(MID(AB605,4,4)),"")</f>
        <v/>
      </c>
      <c r="B605" s="204">
        <f>VALUE(RIGHT(C605,LEN(C605)-2))</f>
        <v>2117</v>
      </c>
      <c r="C605" s="74" t="s">
        <v>2332</v>
      </c>
      <c r="D605" s="75">
        <v>45509</v>
      </c>
      <c r="E605" s="70" t="s">
        <v>479</v>
      </c>
      <c r="F605" s="70" t="s">
        <v>479</v>
      </c>
      <c r="G605" s="68" t="s">
        <v>2059</v>
      </c>
      <c r="H605" s="307" t="s">
        <v>2060</v>
      </c>
      <c r="I605" s="69" t="s">
        <v>2333</v>
      </c>
      <c r="J605" s="69"/>
      <c r="K605" s="95" t="s">
        <v>9</v>
      </c>
      <c r="L605" s="69" t="s">
        <v>129</v>
      </c>
      <c r="M605" s="71" t="s">
        <v>113</v>
      </c>
      <c r="N605" s="69" t="e" vm="2">
        <v>#VALUE!</v>
      </c>
      <c r="O605" s="84">
        <v>45520</v>
      </c>
      <c r="P605" s="82" t="s">
        <v>483</v>
      </c>
      <c r="Q605" s="82" t="s">
        <v>259</v>
      </c>
      <c r="R605" s="69"/>
      <c r="S605" s="146"/>
      <c r="T605" s="68" t="s">
        <v>165</v>
      </c>
      <c r="U605" s="87">
        <v>0</v>
      </c>
      <c r="V605" s="183">
        <v>45527</v>
      </c>
      <c r="W605" s="150">
        <v>776</v>
      </c>
      <c r="X605" s="150">
        <v>24.1</v>
      </c>
      <c r="Y605" s="169">
        <f>IF(SUM(W605:W605)&gt;0,X605/SUM(W605:W605)*1000000,"N/A")</f>
        <v>31056.701030927834</v>
      </c>
      <c r="Z605" s="183"/>
      <c r="AA605" s="183"/>
      <c r="AB605" s="73"/>
      <c r="AC605" s="153"/>
      <c r="AD605" s="331"/>
      <c r="AE605" s="57"/>
      <c r="AF605" s="88"/>
      <c r="AG605" s="182">
        <f>YEAR(V605)</f>
        <v>2024</v>
      </c>
      <c r="AH605" s="86" t="str">
        <f>+IF(AF605=$AI$22,MONTH(U605),"")</f>
        <v/>
      </c>
      <c r="AI605" s="86" t="str">
        <f>+IF(AG605=$AI$22,MONTH(V605),"")</f>
        <v/>
      </c>
      <c r="AJ605" s="86">
        <f>+IF(AG605=$AJ$22,MONTH(V605),"")</f>
        <v>8</v>
      </c>
      <c r="AK605" s="86" t="str">
        <f>+IF(AG605=$AK$22,MONTH(V605),"")</f>
        <v/>
      </c>
      <c r="AL605" s="86" t="str">
        <f>+IF(AG605=$AL$22,MONTH(V605),"")</f>
        <v/>
      </c>
      <c r="AM605" s="86" t="str">
        <f>+IF($AG605=$AM$22,MONTH($D605),"")</f>
        <v/>
      </c>
      <c r="AN605" s="89" t="str">
        <f>+IF($AG605=AN$22,MONTH($D605),"")</f>
        <v/>
      </c>
      <c r="AO605" s="89" t="str">
        <f>+IF($AG605=AO$22,MONTH($D605),"")</f>
        <v/>
      </c>
      <c r="AP605" s="89" t="str">
        <f>+IF($AG605=AP$22,MONTH($D605),"")</f>
        <v/>
      </c>
      <c r="AQ605" s="89" t="str">
        <f>+IF($AG605=AQ$22,MONTH($D605),"")</f>
        <v/>
      </c>
      <c r="AR605" s="89" t="str">
        <f>+IF($AG605=AR$22,MONTH($D605),"")</f>
        <v/>
      </c>
      <c r="AS605" s="89" t="str">
        <f>+IF($AG605=AS$22,MONTH($D605),"")</f>
        <v/>
      </c>
      <c r="AT605" s="89" t="str">
        <f>+IF($AG605=AT$22,MONTH($D605),"")</f>
        <v/>
      </c>
      <c r="AU605" s="89" t="str">
        <f>+IF($AG605=AU$22,MONTH($D605),"")</f>
        <v/>
      </c>
      <c r="AV605" s="89" t="str">
        <f>+IF($AG605=AV$22,MONTH($D605),"")</f>
        <v/>
      </c>
      <c r="AW605" s="86" t="str">
        <f>+IF($AG605=AW$22,MONTH($D605),"")</f>
        <v/>
      </c>
      <c r="AX605" s="86" t="str">
        <f>+IF($AG605=AX$22,MONTH($D605),"")</f>
        <v/>
      </c>
      <c r="AY605" s="89"/>
      <c r="AZ605" s="89"/>
      <c r="BA605" s="89"/>
      <c r="BB605" s="89"/>
      <c r="BC605" s="89"/>
      <c r="BD605" s="89"/>
      <c r="BE605" s="89"/>
      <c r="BF605" s="89"/>
      <c r="BG605" s="89"/>
      <c r="BH605" s="89"/>
      <c r="BI605" s="89"/>
      <c r="BJ605" s="89"/>
      <c r="BK605" s="89"/>
      <c r="BL605" s="89"/>
      <c r="BM605" s="89"/>
      <c r="BN605" s="89"/>
      <c r="BO605" s="89"/>
      <c r="BP605" s="89"/>
    </row>
    <row r="606" spans="1:68" s="89" customFormat="1" ht="32.25" hidden="1" customHeight="1">
      <c r="A606" s="204" t="str">
        <f>+IFERROR(VALUE(MID(AB606,4,4)),"")</f>
        <v/>
      </c>
      <c r="B606" s="204">
        <f>VALUE(RIGHT(C606,LEN(C606)-2))</f>
        <v>2116</v>
      </c>
      <c r="C606" s="74" t="s">
        <v>2334</v>
      </c>
      <c r="D606" s="75">
        <v>45509</v>
      </c>
      <c r="E606" s="70" t="s">
        <v>479</v>
      </c>
      <c r="F606" s="70" t="s">
        <v>479</v>
      </c>
      <c r="G606" s="68" t="s">
        <v>2059</v>
      </c>
      <c r="H606" s="307" t="s">
        <v>2060</v>
      </c>
      <c r="I606" s="69" t="s">
        <v>2335</v>
      </c>
      <c r="J606" s="69"/>
      <c r="K606" s="95" t="s">
        <v>9</v>
      </c>
      <c r="L606" s="68" t="s">
        <v>129</v>
      </c>
      <c r="M606" s="68" t="s">
        <v>113</v>
      </c>
      <c r="N606" s="69" t="e" vm="2">
        <v>#VALUE!</v>
      </c>
      <c r="O606" s="84">
        <v>45520</v>
      </c>
      <c r="P606" s="82" t="s">
        <v>483</v>
      </c>
      <c r="Q606" s="82" t="s">
        <v>259</v>
      </c>
      <c r="R606" s="69"/>
      <c r="S606" s="146"/>
      <c r="T606" s="68" t="s">
        <v>165</v>
      </c>
      <c r="U606" s="87"/>
      <c r="V606" s="183">
        <v>45820</v>
      </c>
      <c r="W606" s="150">
        <v>1604</v>
      </c>
      <c r="X606" s="150">
        <v>52</v>
      </c>
      <c r="Y606" s="169">
        <f>IF(SUM(W606:W606)&gt;0,X606/SUM(W606:W606)*1000000,"N/A")</f>
        <v>32418.952618453866</v>
      </c>
      <c r="Z606" s="183"/>
      <c r="AA606" s="183"/>
      <c r="AB606" s="73"/>
      <c r="AC606" s="153"/>
      <c r="AD606" s="331"/>
      <c r="AE606" s="57"/>
      <c r="AF606" s="88"/>
      <c r="AG606" s="182">
        <f>YEAR(V606)</f>
        <v>2025</v>
      </c>
      <c r="AH606" s="86" t="str">
        <f>+IF(AF606=$AI$22,MONTH(U606),"")</f>
        <v/>
      </c>
      <c r="AI606" s="86">
        <f>+IF(AG606=$AI$22,MONTH(V606),"")</f>
        <v>6</v>
      </c>
      <c r="AJ606" s="86" t="str">
        <f>+IF(AG606=$AJ$22,MONTH(V606),"")</f>
        <v/>
      </c>
      <c r="AK606" s="86" t="str">
        <f>+IF(AG606=$AK$22,MONTH(V606),"")</f>
        <v/>
      </c>
      <c r="AL606" s="86" t="str">
        <f>+IF(AG606=$AL$22,MONTH(V606),"")</f>
        <v/>
      </c>
      <c r="AM606" s="86" t="str">
        <f>+IF($AG606=$AM$22,MONTH($D606),"")</f>
        <v/>
      </c>
      <c r="AN606" s="89" t="str">
        <f>+IF($AG606=AN$22,MONTH($D606),"")</f>
        <v/>
      </c>
      <c r="AO606" s="89" t="str">
        <f>+IF($AG606=AO$22,MONTH($D606),"")</f>
        <v/>
      </c>
      <c r="AP606" s="89" t="str">
        <f>+IF($AG606=AP$22,MONTH($D606),"")</f>
        <v/>
      </c>
      <c r="AQ606" s="89" t="str">
        <f>+IF($AG606=AQ$22,MONTH($D606),"")</f>
        <v/>
      </c>
      <c r="AR606" s="89" t="str">
        <f>+IF($AG606=AR$22,MONTH($D606),"")</f>
        <v/>
      </c>
      <c r="AS606" s="89" t="str">
        <f>+IF($AG606=AS$22,MONTH($D606),"")</f>
        <v/>
      </c>
      <c r="AT606" s="89" t="str">
        <f>+IF($AG606=AT$22,MONTH($D606),"")</f>
        <v/>
      </c>
      <c r="AU606" s="89" t="str">
        <f>+IF($AG606=AU$22,MONTH($D606),"")</f>
        <v/>
      </c>
      <c r="AV606" s="89" t="str">
        <f>+IF($AG606=AV$22,MONTH($D606),"")</f>
        <v/>
      </c>
      <c r="AW606" s="86" t="str">
        <f>+IF($AG606=AW$22,MONTH($D606),"")</f>
        <v/>
      </c>
      <c r="AX606" s="86" t="str">
        <f>+IF($AG606=AX$22,MONTH($D606),"")</f>
        <v/>
      </c>
    </row>
    <row r="607" spans="1:68" s="89" customFormat="1" ht="29.25" hidden="1" customHeight="1">
      <c r="A607" s="204" t="str">
        <f>+IFERROR(VALUE(MID(AB607,4,4)),"")</f>
        <v/>
      </c>
      <c r="B607" s="204">
        <f>VALUE(RIGHT(C607,LEN(C607)-2))</f>
        <v>2115</v>
      </c>
      <c r="C607" s="74" t="s">
        <v>2336</v>
      </c>
      <c r="D607" s="75">
        <v>45503</v>
      </c>
      <c r="E607" s="70" t="s">
        <v>262</v>
      </c>
      <c r="F607" s="70" t="s">
        <v>263</v>
      </c>
      <c r="G607" s="68" t="s">
        <v>2337</v>
      </c>
      <c r="H607" s="307" t="s">
        <v>410</v>
      </c>
      <c r="I607" s="162" t="s">
        <v>2338</v>
      </c>
      <c r="J607" s="162"/>
      <c r="K607" s="68" t="s">
        <v>9</v>
      </c>
      <c r="L607" s="68" t="s">
        <v>129</v>
      </c>
      <c r="M607" s="68" t="s">
        <v>141</v>
      </c>
      <c r="N607" s="69" t="e" vm="1">
        <v>#VALUE!</v>
      </c>
      <c r="O607" s="164">
        <v>45506</v>
      </c>
      <c r="P607" s="72" t="s">
        <v>2339</v>
      </c>
      <c r="Q607" s="72" t="s">
        <v>259</v>
      </c>
      <c r="R607" s="162"/>
      <c r="S607" s="146"/>
      <c r="T607" s="68" t="s">
        <v>155</v>
      </c>
      <c r="U607" s="87"/>
      <c r="V607" s="183">
        <v>45509</v>
      </c>
      <c r="W607" s="73"/>
      <c r="X607" s="73"/>
      <c r="Y607" s="83" t="str">
        <f>IF(SUM(W607:W607)&gt;0,X607/SUM(W607:W607)*1000000,"N/A")</f>
        <v>N/A</v>
      </c>
      <c r="Z607" s="183"/>
      <c r="AA607" s="183"/>
      <c r="AB607" s="73"/>
      <c r="AC607" s="153"/>
      <c r="AD607" s="330"/>
      <c r="AE607" s="305"/>
      <c r="AF607" s="88"/>
      <c r="AG607" s="182">
        <f>YEAR(V607)</f>
        <v>2024</v>
      </c>
      <c r="AH607" s="86" t="str">
        <f>+IF(AF607=$AI$22,MONTH(U607),"")</f>
        <v/>
      </c>
      <c r="AI607" s="86" t="str">
        <f>+IF(AG607=$AI$22,MONTH(V607),"")</f>
        <v/>
      </c>
      <c r="AJ607" s="86">
        <f>+IF(AG607=$AJ$22,MONTH(V607),"")</f>
        <v>8</v>
      </c>
      <c r="AK607" s="86" t="str">
        <f>+IF(AG607=$AK$22,MONTH(V607),"")</f>
        <v/>
      </c>
      <c r="AL607" s="86"/>
      <c r="AW607" s="86" t="str">
        <f>+IF($AG607=AW$22,MONTH($D607),"")</f>
        <v/>
      </c>
      <c r="AX607" s="86" t="str">
        <f>+IF($AG607=AX$22,MONTH($D607),"")</f>
        <v/>
      </c>
    </row>
    <row r="608" spans="1:68" s="89" customFormat="1" ht="29.25" hidden="1" customHeight="1">
      <c r="A608" s="204" t="str">
        <f>+IFERROR(VALUE(MID(AB608,4,4)),"")</f>
        <v/>
      </c>
      <c r="B608" s="204">
        <f>VALUE(RIGHT(C608,LEN(C608)-2))</f>
        <v>2114</v>
      </c>
      <c r="C608" s="74" t="s">
        <v>2340</v>
      </c>
      <c r="D608" s="75">
        <v>45503</v>
      </c>
      <c r="E608" s="70" t="s">
        <v>53</v>
      </c>
      <c r="F608" s="70" t="s">
        <v>2341</v>
      </c>
      <c r="G608" s="68" t="s">
        <v>210</v>
      </c>
      <c r="H608" s="307" t="s">
        <v>256</v>
      </c>
      <c r="I608" s="69" t="s">
        <v>2342</v>
      </c>
      <c r="J608" s="69"/>
      <c r="K608" s="68" t="s">
        <v>212</v>
      </c>
      <c r="L608" s="68" t="s">
        <v>123</v>
      </c>
      <c r="M608" s="68" t="s">
        <v>141</v>
      </c>
      <c r="N608" s="69" t="e" vm="1">
        <v>#VALUE!</v>
      </c>
      <c r="O608" s="84">
        <v>45544</v>
      </c>
      <c r="P608" s="72" t="s">
        <v>701</v>
      </c>
      <c r="Q608" s="72" t="s">
        <v>240</v>
      </c>
      <c r="R608" s="162"/>
      <c r="S608" s="146"/>
      <c r="T608" s="68" t="s">
        <v>155</v>
      </c>
      <c r="U608" s="87"/>
      <c r="V608" s="80">
        <v>45505</v>
      </c>
      <c r="W608" s="73"/>
      <c r="X608" s="73"/>
      <c r="Y608" s="169" t="str">
        <f>IF(SUM(W608:W608)&gt;0,X608/SUM(W608:W608)*1000000,"N/A")</f>
        <v>N/A</v>
      </c>
      <c r="Z608" s="80"/>
      <c r="AA608" s="80"/>
      <c r="AB608" s="73"/>
      <c r="AC608" s="153"/>
      <c r="AD608" s="330"/>
      <c r="AE608" s="305"/>
      <c r="AF608" s="88"/>
      <c r="AG608" s="182">
        <f>YEAR(V608)</f>
        <v>2024</v>
      </c>
      <c r="AH608" s="86" t="str">
        <f>+IF(AF608=$AI$22,MONTH(U608),"")</f>
        <v/>
      </c>
      <c r="AI608" s="86" t="str">
        <f>+IF(AG608=$AI$22,MONTH(V608),"")</f>
        <v/>
      </c>
      <c r="AJ608" s="86">
        <f>+IF(AG608=$AJ$22,MONTH(V608),"")</f>
        <v>8</v>
      </c>
      <c r="AK608" s="86" t="str">
        <f>+IF(AG608=$AK$22,MONTH(V608),"")</f>
        <v/>
      </c>
      <c r="AL608" s="86" t="str">
        <f>+IF(AG608=$AL$22,MONTH(V608),"")</f>
        <v/>
      </c>
      <c r="AM608" s="86" t="str">
        <f>+IF($AG608=$AM$22,MONTH($D608),"")</f>
        <v/>
      </c>
      <c r="AN608" s="89" t="str">
        <f>+IF($AG608=AN$22,MONTH($D608),"")</f>
        <v/>
      </c>
      <c r="AO608" s="89" t="str">
        <f>+IF($AG608=AO$22,MONTH($D608),"")</f>
        <v/>
      </c>
      <c r="AP608" s="89" t="str">
        <f>+IF($AG608=AP$22,MONTH($D608),"")</f>
        <v/>
      </c>
      <c r="AQ608" s="89" t="str">
        <f>+IF($AG608=AQ$22,MONTH($D608),"")</f>
        <v/>
      </c>
      <c r="AR608" s="89" t="str">
        <f>+IF($AG608=AR$22,MONTH($D608),"")</f>
        <v/>
      </c>
      <c r="AS608" s="89" t="str">
        <f>+IF($AG608=AS$22,MONTH($D608),"")</f>
        <v/>
      </c>
      <c r="AT608" s="89" t="str">
        <f>+IF($AG608=AT$22,MONTH($D608),"")</f>
        <v/>
      </c>
      <c r="AU608" s="89" t="str">
        <f>+IF($AG608=AU$22,MONTH($D608),"")</f>
        <v/>
      </c>
      <c r="AV608" s="89" t="str">
        <f>+IF($AG608=AV$22,MONTH($D608),"")</f>
        <v/>
      </c>
      <c r="AW608" s="86" t="str">
        <f>+IF($AG608=AW$22,MONTH($D608),"")</f>
        <v/>
      </c>
      <c r="AX608" s="86" t="str">
        <f>+IF($AG608=AX$22,MONTH($D608),"")</f>
        <v/>
      </c>
    </row>
    <row r="609" spans="1:68" s="89" customFormat="1" ht="47.25" hidden="1" customHeight="1">
      <c r="A609" s="204" t="str">
        <f>+IFERROR(VALUE(MID(AB609,4,4)),"")</f>
        <v/>
      </c>
      <c r="B609" s="204">
        <f>VALUE(RIGHT(C609,LEN(C609)-2))</f>
        <v>2113</v>
      </c>
      <c r="C609" s="74" t="s">
        <v>2343</v>
      </c>
      <c r="D609" s="75">
        <v>45503</v>
      </c>
      <c r="E609" s="70" t="s">
        <v>473</v>
      </c>
      <c r="F609" s="70" t="s">
        <v>473</v>
      </c>
      <c r="G609" s="68" t="s">
        <v>2002</v>
      </c>
      <c r="H609" s="307" t="s">
        <v>2003</v>
      </c>
      <c r="I609" s="69" t="s">
        <v>2344</v>
      </c>
      <c r="J609" s="69"/>
      <c r="K609" s="68" t="s">
        <v>13</v>
      </c>
      <c r="L609" s="68" t="s">
        <v>120</v>
      </c>
      <c r="M609" s="68" t="s">
        <v>141</v>
      </c>
      <c r="N609" s="69" t="e" vm="1">
        <v>#VALUE!</v>
      </c>
      <c r="O609" s="84">
        <v>45513</v>
      </c>
      <c r="P609" s="72" t="s">
        <v>689</v>
      </c>
      <c r="Q609" s="72" t="s">
        <v>316</v>
      </c>
      <c r="R609" s="162"/>
      <c r="S609" s="146"/>
      <c r="T609" s="68" t="s">
        <v>165</v>
      </c>
      <c r="U609" s="87"/>
      <c r="V609" s="80">
        <v>45513</v>
      </c>
      <c r="W609" s="73">
        <v>994</v>
      </c>
      <c r="X609" s="73">
        <v>34.1</v>
      </c>
      <c r="Y609" s="169">
        <f>IF(SUM(W609:W609)&gt;0,X609/SUM(W609:W609)*1000000,"N/A")</f>
        <v>34305.835010060364</v>
      </c>
      <c r="Z609" s="80"/>
      <c r="AA609" s="80"/>
      <c r="AB609" s="73"/>
      <c r="AC609" s="153"/>
      <c r="AD609" s="330"/>
      <c r="AE609" s="305"/>
      <c r="AF609" s="88"/>
      <c r="AG609" s="182">
        <f>YEAR(V609)</f>
        <v>2024</v>
      </c>
      <c r="AH609" s="86" t="str">
        <f>+IF(AF609=$AI$22,MONTH(U609),"")</f>
        <v/>
      </c>
      <c r="AI609" s="86" t="str">
        <f>+IF(AG609=$AI$22,MONTH(V609),"")</f>
        <v/>
      </c>
      <c r="AJ609" s="86">
        <f>+IF(AG609=$AJ$22,MONTH(V609),"")</f>
        <v>8</v>
      </c>
      <c r="AK609" s="86" t="str">
        <f>+IF(AG609=$AK$22,MONTH(V609),"")</f>
        <v/>
      </c>
      <c r="AL609" s="86" t="str">
        <f>+IF(AG609=$AL$22,MONTH(V609),"")</f>
        <v/>
      </c>
      <c r="AM609" s="86" t="str">
        <f>+IF($AG609=$AM$22,MONTH($D609),"")</f>
        <v/>
      </c>
      <c r="AN609" s="89" t="str">
        <f>+IF($AG609=AN$22,MONTH($D609),"")</f>
        <v/>
      </c>
      <c r="AO609" s="89" t="str">
        <f>+IF($AG609=AO$22,MONTH($D609),"")</f>
        <v/>
      </c>
      <c r="AP609" s="89" t="str">
        <f>+IF($AG609=AP$22,MONTH($D609),"")</f>
        <v/>
      </c>
      <c r="AQ609" s="89" t="str">
        <f>+IF($AG609=AQ$22,MONTH($D609),"")</f>
        <v/>
      </c>
      <c r="AR609" s="89" t="str">
        <f>+IF($AG609=AR$22,MONTH($D609),"")</f>
        <v/>
      </c>
      <c r="AS609" s="89" t="str">
        <f>+IF($AG609=AS$22,MONTH($D609),"")</f>
        <v/>
      </c>
      <c r="AT609" s="89" t="str">
        <f>+IF($AG609=AT$22,MONTH($D609),"")</f>
        <v/>
      </c>
      <c r="AU609" s="89" t="str">
        <f>+IF($AG609=AU$22,MONTH($D609),"")</f>
        <v/>
      </c>
      <c r="AV609" s="89" t="str">
        <f>+IF($AG609=AV$22,MONTH($D609),"")</f>
        <v/>
      </c>
      <c r="AW609" s="86" t="str">
        <f>+IF($AG609=AW$22,MONTH($D609),"")</f>
        <v/>
      </c>
      <c r="AX609" s="86" t="str">
        <f>+IF($AG609=AX$22,MONTH($D609),"")</f>
        <v/>
      </c>
    </row>
    <row r="610" spans="1:68" s="320" customFormat="1" ht="29.25" hidden="1" customHeight="1">
      <c r="A610" s="204">
        <f>+IFERROR(VALUE(MID(AB610,4,4)),"")</f>
        <v>432</v>
      </c>
      <c r="B610" s="204">
        <f>VALUE(RIGHT(C610,LEN(C610)-2))</f>
        <v>2112</v>
      </c>
      <c r="C610" s="74" t="s">
        <v>2345</v>
      </c>
      <c r="D610" s="75">
        <v>45503</v>
      </c>
      <c r="E610" s="70" t="s">
        <v>685</v>
      </c>
      <c r="F610" s="70" t="s">
        <v>685</v>
      </c>
      <c r="G610" s="68" t="s">
        <v>210</v>
      </c>
      <c r="H610" s="307"/>
      <c r="I610" s="69" t="s">
        <v>2346</v>
      </c>
      <c r="J610" s="69"/>
      <c r="K610" s="68" t="s">
        <v>13</v>
      </c>
      <c r="L610" s="69" t="s">
        <v>123</v>
      </c>
      <c r="M610" s="71" t="s">
        <v>141</v>
      </c>
      <c r="N610" s="69" t="e" vm="1">
        <v>#VALUE!</v>
      </c>
      <c r="O610" s="84">
        <v>45722</v>
      </c>
      <c r="P610" s="72" t="s">
        <v>689</v>
      </c>
      <c r="Q610" s="72" t="s">
        <v>316</v>
      </c>
      <c r="R610" s="162"/>
      <c r="S610" s="146"/>
      <c r="T610" s="68" t="s">
        <v>3</v>
      </c>
      <c r="U610" s="87"/>
      <c r="V610" s="80">
        <v>45772</v>
      </c>
      <c r="W610" s="73">
        <v>5791</v>
      </c>
      <c r="X610" s="73">
        <v>346.70699999999999</v>
      </c>
      <c r="Y610" s="169">
        <f>IF(SUM(W610:W610)&gt;0,X610/SUM(W610:W610)*1000000,"N/A")</f>
        <v>59869.970644102919</v>
      </c>
      <c r="Z610" s="80"/>
      <c r="AA610" s="80"/>
      <c r="AB610" s="73" t="s">
        <v>2347</v>
      </c>
      <c r="AC610" s="153"/>
      <c r="AD610" s="330"/>
      <c r="AE610" s="305"/>
      <c r="AF610" s="88"/>
      <c r="AG610" s="182">
        <f>YEAR(V610)</f>
        <v>2025</v>
      </c>
      <c r="AH610" s="86" t="str">
        <f>+IF(AF610=$AI$22,MONTH(U610),"")</f>
        <v/>
      </c>
      <c r="AI610" s="86">
        <f>+IF(AG610=$AI$22,MONTH(V610),"")</f>
        <v>4</v>
      </c>
      <c r="AJ610" s="86" t="str">
        <f>+IF(AG610=$AJ$22,MONTH(V610),"")</f>
        <v/>
      </c>
      <c r="AK610" s="86" t="str">
        <f>+IF(AG610=$AK$22,MONTH(V610),"")</f>
        <v/>
      </c>
      <c r="AL610" s="86" t="str">
        <f>+IF(AG610=$AL$22,MONTH(V610),"")</f>
        <v/>
      </c>
      <c r="AM610" s="86" t="str">
        <f>+IF($AG610=$AM$22,MONTH($D610),"")</f>
        <v/>
      </c>
      <c r="AN610" s="89" t="str">
        <f>+IF($AG610=AN$22,MONTH($D610),"")</f>
        <v/>
      </c>
      <c r="AO610" s="89" t="str">
        <f>+IF($AG610=AO$22,MONTH($D610),"")</f>
        <v/>
      </c>
      <c r="AP610" s="89" t="str">
        <f>+IF($AG610=AP$22,MONTH($D610),"")</f>
        <v/>
      </c>
      <c r="AQ610" s="89" t="str">
        <f>+IF($AG610=AQ$22,MONTH($D610),"")</f>
        <v/>
      </c>
      <c r="AR610" s="89" t="str">
        <f>+IF($AG610=AR$22,MONTH($D610),"")</f>
        <v/>
      </c>
      <c r="AS610" s="89" t="str">
        <f>+IF($AG610=AS$22,MONTH($D610),"")</f>
        <v/>
      </c>
      <c r="AT610" s="89" t="str">
        <f>+IF($AG610=AT$22,MONTH($D610),"")</f>
        <v/>
      </c>
      <c r="AU610" s="89" t="str">
        <f>+IF($AG610=AU$22,MONTH($D610),"")</f>
        <v/>
      </c>
      <c r="AV610" s="89" t="str">
        <f>+IF($AG610=AV$22,MONTH($D610),"")</f>
        <v/>
      </c>
      <c r="AW610" s="86" t="str">
        <f>+IF($AG610=AW$22,MONTH($D610),"")</f>
        <v/>
      </c>
      <c r="AX610" s="86" t="str">
        <f>+IF($AG610=AX$22,MONTH($D610),"")</f>
        <v/>
      </c>
      <c r="AY610" s="89"/>
      <c r="AZ610" s="89"/>
      <c r="BA610" s="89"/>
      <c r="BB610" s="89"/>
      <c r="BC610" s="89"/>
      <c r="BD610" s="89"/>
      <c r="BE610" s="89"/>
      <c r="BF610" s="89"/>
      <c r="BG610" s="89"/>
      <c r="BH610" s="89"/>
      <c r="BI610" s="89"/>
      <c r="BJ610" s="89"/>
      <c r="BK610" s="89"/>
      <c r="BL610" s="89"/>
      <c r="BM610" s="89"/>
      <c r="BN610" s="89"/>
      <c r="BO610" s="89"/>
      <c r="BP610" s="89"/>
    </row>
    <row r="611" spans="1:68" s="320" customFormat="1" ht="29.25" hidden="1" customHeight="1">
      <c r="A611" s="204">
        <f>+IFERROR(VALUE(MID(AB611,4,4)),"")</f>
        <v>393</v>
      </c>
      <c r="B611" s="204">
        <f>VALUE(RIGHT(C611,LEN(C611)-2))</f>
        <v>2111</v>
      </c>
      <c r="C611" s="74" t="s">
        <v>2348</v>
      </c>
      <c r="D611" s="75">
        <v>45503</v>
      </c>
      <c r="E611" s="70" t="s">
        <v>2349</v>
      </c>
      <c r="F611" s="70" t="s">
        <v>313</v>
      </c>
      <c r="G611" s="68" t="s">
        <v>2350</v>
      </c>
      <c r="H611" s="307" t="s">
        <v>2351</v>
      </c>
      <c r="I611" s="69" t="s">
        <v>2352</v>
      </c>
      <c r="J611" s="69"/>
      <c r="K611" s="68" t="s">
        <v>9</v>
      </c>
      <c r="L611" s="69" t="s">
        <v>120</v>
      </c>
      <c r="M611" s="71" t="s">
        <v>141</v>
      </c>
      <c r="N611" s="69" t="e" vm="1">
        <v>#VALUE!</v>
      </c>
      <c r="O611" s="84">
        <v>45504</v>
      </c>
      <c r="P611" s="72" t="s">
        <v>402</v>
      </c>
      <c r="Q611" s="72" t="s">
        <v>316</v>
      </c>
      <c r="R611" s="162"/>
      <c r="S611" s="146"/>
      <c r="T611" s="68" t="s">
        <v>3</v>
      </c>
      <c r="U611" s="87"/>
      <c r="V611" s="80">
        <v>45505</v>
      </c>
      <c r="W611" s="73">
        <v>40</v>
      </c>
      <c r="X611" s="73">
        <f>65*37500/1000000</f>
        <v>2.4375</v>
      </c>
      <c r="Y611" s="169">
        <f>IF(SUM(W611:W611)&gt;0,X611/SUM(W611:W611)*1000000,"N/A")</f>
        <v>60937.5</v>
      </c>
      <c r="Z611" s="80"/>
      <c r="AA611" s="80"/>
      <c r="AB611" s="73" t="s">
        <v>2353</v>
      </c>
      <c r="AC611" s="153"/>
      <c r="AD611" s="330"/>
      <c r="AE611" s="305"/>
      <c r="AF611" s="88"/>
      <c r="AG611" s="182">
        <f>YEAR(V611)</f>
        <v>2024</v>
      </c>
      <c r="AH611" s="86" t="str">
        <f>+IF(AF611=$AI$22,MONTH(U611),"")</f>
        <v/>
      </c>
      <c r="AI611" s="86" t="str">
        <f>+IF(AG611=$AI$22,MONTH(V611),"")</f>
        <v/>
      </c>
      <c r="AJ611" s="86">
        <f>+IF(AG611=$AJ$22,MONTH(V611),"")</f>
        <v>8</v>
      </c>
      <c r="AK611" s="86" t="str">
        <f>+IF(AG611=$AK$22,MONTH(V611),"")</f>
        <v/>
      </c>
      <c r="AL611" s="86" t="str">
        <f>+IF(AG611=$AL$22,MONTH(V611),"")</f>
        <v/>
      </c>
      <c r="AM611" s="86" t="str">
        <f>+IF($AG611=$AM$22,MONTH($D611),"")</f>
        <v/>
      </c>
      <c r="AN611" s="89" t="str">
        <f>+IF($AG611=AN$22,MONTH($D611),"")</f>
        <v/>
      </c>
      <c r="AO611" s="89" t="str">
        <f>+IF($AG611=AO$22,MONTH($D611),"")</f>
        <v/>
      </c>
      <c r="AP611" s="89" t="str">
        <f>+IF($AG611=AP$22,MONTH($D611),"")</f>
        <v/>
      </c>
      <c r="AQ611" s="89" t="str">
        <f>+IF($AG611=AQ$22,MONTH($D611),"")</f>
        <v/>
      </c>
      <c r="AR611" s="89" t="str">
        <f>+IF($AG611=AR$22,MONTH($D611),"")</f>
        <v/>
      </c>
      <c r="AS611" s="89" t="str">
        <f>+IF($AG611=AS$22,MONTH($D611),"")</f>
        <v/>
      </c>
      <c r="AT611" s="89" t="str">
        <f>+IF($AG611=AT$22,MONTH($D611),"")</f>
        <v/>
      </c>
      <c r="AU611" s="89" t="str">
        <f>+IF($AG611=AU$22,MONTH($D611),"")</f>
        <v/>
      </c>
      <c r="AV611" s="89" t="str">
        <f>+IF($AG611=AV$22,MONTH($D611),"")</f>
        <v/>
      </c>
      <c r="AW611" s="86" t="str">
        <f>+IF($AG611=AW$22,MONTH($D611),"")</f>
        <v/>
      </c>
      <c r="AX611" s="86" t="str">
        <f>+IF($AG611=AX$22,MONTH($D611),"")</f>
        <v/>
      </c>
      <c r="AY611" s="89"/>
      <c r="AZ611" s="89"/>
      <c r="BA611" s="89"/>
      <c r="BB611" s="89"/>
      <c r="BC611" s="89"/>
      <c r="BD611" s="89"/>
      <c r="BE611" s="89"/>
      <c r="BF611" s="89"/>
      <c r="BG611" s="89"/>
      <c r="BH611" s="89"/>
      <c r="BI611" s="89"/>
      <c r="BJ611" s="89"/>
      <c r="BK611" s="89"/>
      <c r="BL611" s="89"/>
      <c r="BM611" s="89"/>
      <c r="BN611" s="89"/>
      <c r="BO611" s="89"/>
      <c r="BP611" s="89"/>
    </row>
    <row r="612" spans="1:68" s="89" customFormat="1" ht="30" hidden="1" customHeight="1">
      <c r="A612" s="204"/>
      <c r="B612" s="204">
        <f>VALUE(RIGHT(C612,LEN(C612)-2))</f>
        <v>2110</v>
      </c>
      <c r="C612" s="74" t="s">
        <v>2354</v>
      </c>
      <c r="D612" s="75">
        <v>45503</v>
      </c>
      <c r="E612" s="70" t="s">
        <v>262</v>
      </c>
      <c r="F612" s="70" t="s">
        <v>262</v>
      </c>
      <c r="G612" s="68" t="s">
        <v>415</v>
      </c>
      <c r="H612" s="307"/>
      <c r="I612" s="69" t="s">
        <v>2355</v>
      </c>
      <c r="J612" s="69"/>
      <c r="K612" s="68" t="s">
        <v>212</v>
      </c>
      <c r="L612" s="68" t="s">
        <v>129</v>
      </c>
      <c r="M612" s="68" t="s">
        <v>141</v>
      </c>
      <c r="N612" s="69" t="e" vm="1">
        <v>#VALUE!</v>
      </c>
      <c r="O612" s="84">
        <v>45513</v>
      </c>
      <c r="P612" s="72" t="s">
        <v>2356</v>
      </c>
      <c r="Q612" s="72" t="s">
        <v>623</v>
      </c>
      <c r="R612" s="162"/>
      <c r="S612" s="146"/>
      <c r="T612" s="68" t="s">
        <v>155</v>
      </c>
      <c r="U612" s="87"/>
      <c r="V612" s="80">
        <v>45505</v>
      </c>
      <c r="W612" s="73"/>
      <c r="X612" s="73"/>
      <c r="Y612" s="169" t="str">
        <f>IF(SUM(W612:W612)&gt;0,X612/SUM(W612:W612)*1000000,"N/A")</f>
        <v>N/A</v>
      </c>
      <c r="Z612" s="80"/>
      <c r="AA612" s="80"/>
      <c r="AB612" s="73" t="s">
        <v>2357</v>
      </c>
      <c r="AC612" s="153"/>
      <c r="AD612" s="330"/>
      <c r="AE612" s="305"/>
      <c r="AF612" s="88"/>
      <c r="AG612" s="182">
        <f>YEAR(V612)</f>
        <v>2024</v>
      </c>
      <c r="AH612" s="86" t="str">
        <f>+IF(AF612=$AI$22,MONTH(U612),"")</f>
        <v/>
      </c>
      <c r="AI612" s="86" t="str">
        <f>+IF(AG612=$AI$22,MONTH(V612),"")</f>
        <v/>
      </c>
      <c r="AJ612" s="86">
        <f>+IF(AG612=$AJ$22,MONTH(V612),"")</f>
        <v>8</v>
      </c>
      <c r="AK612" s="86" t="str">
        <f>+IF(AG612=$AK$22,MONTH(V612),"")</f>
        <v/>
      </c>
      <c r="AL612" s="86" t="str">
        <f>+IF(AG612=$AL$22,MONTH(V612),"")</f>
        <v/>
      </c>
      <c r="AM612" s="86" t="str">
        <f>+IF($AG612=$AM$22,MONTH($D612),"")</f>
        <v/>
      </c>
      <c r="AN612" s="89" t="str">
        <f>+IF($AG612=AN$22,MONTH($D612),"")</f>
        <v/>
      </c>
      <c r="AO612" s="89" t="str">
        <f>+IF($AG612=AO$22,MONTH($D612),"")</f>
        <v/>
      </c>
      <c r="AP612" s="89" t="str">
        <f>+IF($AG612=AP$22,MONTH($D612),"")</f>
        <v/>
      </c>
      <c r="AQ612" s="89" t="str">
        <f>+IF($AG612=AQ$22,MONTH($D612),"")</f>
        <v/>
      </c>
      <c r="AR612" s="89" t="str">
        <f>+IF($AG612=AR$22,MONTH($D612),"")</f>
        <v/>
      </c>
      <c r="AS612" s="89" t="str">
        <f>+IF($AG612=AS$22,MONTH($D612),"")</f>
        <v/>
      </c>
      <c r="AT612" s="89" t="str">
        <f>+IF($AG612=AT$22,MONTH($D612),"")</f>
        <v/>
      </c>
      <c r="AU612" s="89" t="str">
        <f>+IF($AG612=AU$22,MONTH($D612),"")</f>
        <v/>
      </c>
      <c r="AV612" s="89" t="str">
        <f>+IF($AG612=AV$22,MONTH($D612),"")</f>
        <v/>
      </c>
      <c r="AW612" s="86" t="str">
        <f>+IF($AG612=AW$22,MONTH($D612),"")</f>
        <v/>
      </c>
      <c r="AX612" s="86" t="str">
        <f>+IF($AG612=AX$22,MONTH($D612),"")</f>
        <v/>
      </c>
    </row>
    <row r="613" spans="1:68" s="89" customFormat="1" ht="30" hidden="1" customHeight="1">
      <c r="A613" s="204">
        <f>+IFERROR(VALUE(MID(AB613,4,4)),"")</f>
        <v>399</v>
      </c>
      <c r="B613" s="204">
        <f>VALUE(RIGHT(C613,LEN(C613)-2))</f>
        <v>2109</v>
      </c>
      <c r="C613" s="74" t="s">
        <v>2358</v>
      </c>
      <c r="D613" s="75">
        <v>45502</v>
      </c>
      <c r="E613" s="70" t="s">
        <v>473</v>
      </c>
      <c r="F613" s="70" t="s">
        <v>473</v>
      </c>
      <c r="G613" s="68" t="s">
        <v>2255</v>
      </c>
      <c r="H613" s="307" t="s">
        <v>2003</v>
      </c>
      <c r="I613" s="69" t="s">
        <v>2359</v>
      </c>
      <c r="J613" s="69"/>
      <c r="K613" s="68" t="s">
        <v>212</v>
      </c>
      <c r="L613" s="68" t="s">
        <v>123</v>
      </c>
      <c r="M613" s="68" t="s">
        <v>141</v>
      </c>
      <c r="N613" s="69" t="e" vm="1">
        <v>#VALUE!</v>
      </c>
      <c r="O613" s="84">
        <v>45527</v>
      </c>
      <c r="P613" s="72" t="s">
        <v>377</v>
      </c>
      <c r="Q613" s="72" t="s">
        <v>316</v>
      </c>
      <c r="R613" s="162"/>
      <c r="S613" s="146"/>
      <c r="T613" s="68" t="s">
        <v>3</v>
      </c>
      <c r="U613" s="87"/>
      <c r="V613" s="80">
        <v>45532</v>
      </c>
      <c r="W613" s="73"/>
      <c r="X613" s="73"/>
      <c r="Y613" s="169" t="str">
        <f>IF(SUM(W613:W613)&gt;0,X613/SUM(W613:W613)*1000000,"N/A")</f>
        <v>N/A</v>
      </c>
      <c r="Z613" s="80"/>
      <c r="AA613" s="80"/>
      <c r="AB613" s="73" t="s">
        <v>2360</v>
      </c>
      <c r="AC613" s="153"/>
      <c r="AD613" s="330"/>
      <c r="AE613" s="305"/>
      <c r="AF613" s="88"/>
      <c r="AG613" s="182">
        <f>YEAR(V613)</f>
        <v>2024</v>
      </c>
      <c r="AH613" s="86" t="str">
        <f>+IF(AF613=$AI$22,MONTH(U613),"")</f>
        <v/>
      </c>
      <c r="AI613" s="86" t="str">
        <f>+IF(AG613=$AI$22,MONTH(V613),"")</f>
        <v/>
      </c>
      <c r="AJ613" s="86">
        <f>+IF(AG613=$AJ$22,MONTH(V613),"")</f>
        <v>8</v>
      </c>
      <c r="AK613" s="86" t="str">
        <f>+IF(AG613=$AK$22,MONTH(V613),"")</f>
        <v/>
      </c>
      <c r="AL613" s="86" t="str">
        <f>+IF(AG613=$AL$22,MONTH(V613),"")</f>
        <v/>
      </c>
      <c r="AM613" s="86" t="str">
        <f>+IF($AG613=$AM$22,MONTH($D613),"")</f>
        <v/>
      </c>
      <c r="AN613" s="89" t="str">
        <f>+IF($AG613=AN$22,MONTH($D613),"")</f>
        <v/>
      </c>
      <c r="AO613" s="89" t="str">
        <f>+IF($AG613=AO$22,MONTH($D613),"")</f>
        <v/>
      </c>
      <c r="AP613" s="89" t="str">
        <f>+IF($AG613=AP$22,MONTH($D613),"")</f>
        <v/>
      </c>
      <c r="AQ613" s="89" t="str">
        <f>+IF($AG613=AQ$22,MONTH($D613),"")</f>
        <v/>
      </c>
      <c r="AR613" s="89" t="str">
        <f>+IF($AG613=AR$22,MONTH($D613),"")</f>
        <v/>
      </c>
      <c r="AS613" s="89" t="str">
        <f>+IF($AG613=AS$22,MONTH($D613),"")</f>
        <v/>
      </c>
      <c r="AT613" s="89" t="str">
        <f>+IF($AG613=AT$22,MONTH($D613),"")</f>
        <v/>
      </c>
      <c r="AU613" s="89" t="str">
        <f>+IF($AG613=AU$22,MONTH($D613),"")</f>
        <v/>
      </c>
      <c r="AV613" s="89" t="str">
        <f>+IF($AG613=AV$22,MONTH($D613),"")</f>
        <v/>
      </c>
      <c r="AW613" s="86" t="str">
        <f>+IF($AG613=AW$22,MONTH($D613),"")</f>
        <v/>
      </c>
      <c r="AX613" s="86" t="str">
        <f>+IF($AG613=AX$22,MONTH($D613),"")</f>
        <v/>
      </c>
    </row>
    <row r="614" spans="1:68" s="89" customFormat="1" ht="27.75" hidden="1" customHeight="1">
      <c r="A614" s="204" t="str">
        <f>+IFERROR(VALUE(MID(AB614,4,4)),"")</f>
        <v/>
      </c>
      <c r="B614" s="204">
        <f>VALUE(RIGHT(C614,LEN(C614)-2))</f>
        <v>2108</v>
      </c>
      <c r="C614" s="74" t="s">
        <v>2361</v>
      </c>
      <c r="D614" s="75">
        <v>45498</v>
      </c>
      <c r="E614" s="70" t="s">
        <v>53</v>
      </c>
      <c r="F614" s="70" t="s">
        <v>630</v>
      </c>
      <c r="G614" s="68" t="s">
        <v>210</v>
      </c>
      <c r="H614" s="304"/>
      <c r="I614" s="162" t="s">
        <v>2362</v>
      </c>
      <c r="J614" s="162"/>
      <c r="K614" s="68" t="s">
        <v>315</v>
      </c>
      <c r="L614" s="68" t="s">
        <v>123</v>
      </c>
      <c r="M614" s="68" t="s">
        <v>141</v>
      </c>
      <c r="N614" s="69" t="e" vm="1">
        <v>#VALUE!</v>
      </c>
      <c r="O614" s="164">
        <v>45544</v>
      </c>
      <c r="P614" s="82" t="s">
        <v>1641</v>
      </c>
      <c r="Q614" s="72" t="s">
        <v>694</v>
      </c>
      <c r="R614" s="162"/>
      <c r="S614" s="146"/>
      <c r="T614" s="68" t="s">
        <v>155</v>
      </c>
      <c r="U614" s="87"/>
      <c r="V614" s="183">
        <v>45498</v>
      </c>
      <c r="W614" s="73"/>
      <c r="X614" s="73"/>
      <c r="Y614" s="83" t="str">
        <f>IF(SUM(W614:W614)&gt;0,X614/SUM(W614:W614)*1000000,"N/A")</f>
        <v>N/A</v>
      </c>
      <c r="Z614" s="183"/>
      <c r="AA614" s="183"/>
      <c r="AB614" s="73"/>
      <c r="AC614" s="153"/>
      <c r="AD614" s="330"/>
      <c r="AE614" s="305"/>
      <c r="AF614" s="88"/>
      <c r="AG614" s="182">
        <f>YEAR(V614)</f>
        <v>2024</v>
      </c>
      <c r="AH614" s="86" t="str">
        <f>+IF(AF614=$AI$22,MONTH(U614),"")</f>
        <v/>
      </c>
      <c r="AI614" s="86" t="str">
        <f>+IF(AG614=$AI$22,MONTH(V614),"")</f>
        <v/>
      </c>
      <c r="AJ614" s="86">
        <f>+IF(AG614=$AJ$22,MONTH(V614),"")</f>
        <v>7</v>
      </c>
      <c r="AK614" s="86" t="str">
        <f>+IF(AG614=$AK$22,MONTH(V614),"")</f>
        <v/>
      </c>
      <c r="AL614" s="86"/>
      <c r="AW614" s="86" t="str">
        <f>+IF($AG614=AW$22,MONTH($D614),"")</f>
        <v/>
      </c>
      <c r="AX614" s="86" t="str">
        <f>+IF($AG614=AX$22,MONTH($D614),"")</f>
        <v/>
      </c>
    </row>
    <row r="615" spans="1:68" s="89" customFormat="1" ht="27" hidden="1" customHeight="1">
      <c r="A615" s="204"/>
      <c r="B615" s="204">
        <f>VALUE(RIGHT(C615,LEN(C615)-2))</f>
        <v>2107</v>
      </c>
      <c r="C615" s="74" t="s">
        <v>2363</v>
      </c>
      <c r="D615" s="75">
        <v>45498</v>
      </c>
      <c r="E615" s="70" t="s">
        <v>53</v>
      </c>
      <c r="F615" s="70" t="s">
        <v>630</v>
      </c>
      <c r="G615" s="68" t="s">
        <v>210</v>
      </c>
      <c r="H615" s="304"/>
      <c r="I615" s="162" t="s">
        <v>2364</v>
      </c>
      <c r="J615" s="162"/>
      <c r="K615" s="68" t="s">
        <v>9</v>
      </c>
      <c r="L615" s="68" t="s">
        <v>123</v>
      </c>
      <c r="M615" s="68" t="s">
        <v>141</v>
      </c>
      <c r="N615" s="69" t="e" vm="1">
        <v>#VALUE!</v>
      </c>
      <c r="O615" s="164">
        <v>45530</v>
      </c>
      <c r="P615" s="72" t="s">
        <v>377</v>
      </c>
      <c r="Q615" s="72" t="s">
        <v>694</v>
      </c>
      <c r="R615" s="162"/>
      <c r="S615" s="146"/>
      <c r="T615" s="68" t="s">
        <v>155</v>
      </c>
      <c r="U615" s="87"/>
      <c r="V615" s="183">
        <v>45498</v>
      </c>
      <c r="W615" s="73"/>
      <c r="X615" s="73"/>
      <c r="Y615" s="83" t="str">
        <f>IF(SUM(W615:W615)&gt;0,X615/SUM(W615:W615)*1000000,"N/A")</f>
        <v>N/A</v>
      </c>
      <c r="Z615" s="183"/>
      <c r="AA615" s="183"/>
      <c r="AB615" s="73"/>
      <c r="AC615" s="153"/>
      <c r="AD615" s="330"/>
      <c r="AE615" s="305"/>
      <c r="AF615" s="88"/>
      <c r="AG615" s="182">
        <f>YEAR(V615)</f>
        <v>2024</v>
      </c>
      <c r="AH615" s="86" t="str">
        <f>+IF(AF615=$AI$22,MONTH(U615),"")</f>
        <v/>
      </c>
      <c r="AI615" s="86" t="str">
        <f>+IF(AG615=$AI$22,MONTH(V615),"")</f>
        <v/>
      </c>
      <c r="AJ615" s="86">
        <f>+IF(AG615=$AJ$22,MONTH(V615),"")</f>
        <v>7</v>
      </c>
      <c r="AK615" s="86" t="str">
        <f>+IF(AG615=$AK$22,MONTH(V615),"")</f>
        <v/>
      </c>
      <c r="AL615" s="86"/>
      <c r="AW615" s="86" t="str">
        <f>+IF($AG615=AW$22,MONTH($D615),"")</f>
        <v/>
      </c>
      <c r="AX615" s="86" t="str">
        <f>+IF($AG615=AX$22,MONTH($D615),"")</f>
        <v/>
      </c>
    </row>
    <row r="616" spans="1:68" s="56" customFormat="1" ht="31.5" hidden="1" customHeight="1">
      <c r="A616" s="204"/>
      <c r="B616" s="204">
        <f>VALUE(RIGHT(C616,LEN(C616)-2))</f>
        <v>2106</v>
      </c>
      <c r="C616" s="74" t="s">
        <v>2365</v>
      </c>
      <c r="D616" s="75">
        <v>45498</v>
      </c>
      <c r="E616" s="70" t="s">
        <v>53</v>
      </c>
      <c r="F616" s="70" t="s">
        <v>630</v>
      </c>
      <c r="G616" s="68" t="s">
        <v>210</v>
      </c>
      <c r="H616" s="304"/>
      <c r="I616" s="162" t="s">
        <v>2366</v>
      </c>
      <c r="J616" s="162"/>
      <c r="K616" s="68" t="s">
        <v>9</v>
      </c>
      <c r="L616" s="69" t="s">
        <v>123</v>
      </c>
      <c r="M616" s="71" t="s">
        <v>141</v>
      </c>
      <c r="N616" s="69" t="e" vm="1">
        <v>#VALUE!</v>
      </c>
      <c r="O616" s="164">
        <v>45530</v>
      </c>
      <c r="P616" s="72" t="s">
        <v>377</v>
      </c>
      <c r="Q616" s="72" t="s">
        <v>694</v>
      </c>
      <c r="R616" s="162"/>
      <c r="S616" s="146"/>
      <c r="T616" s="68" t="s">
        <v>155</v>
      </c>
      <c r="U616" s="87"/>
      <c r="V616" s="183">
        <v>45498</v>
      </c>
      <c r="W616" s="73"/>
      <c r="X616" s="73"/>
      <c r="Y616" s="83" t="str">
        <f>IF(SUM(W616:W616)&gt;0,X616/SUM(W616:W616)*1000000,"N/A")</f>
        <v>N/A</v>
      </c>
      <c r="Z616" s="183"/>
      <c r="AA616" s="183"/>
      <c r="AB616" s="73"/>
      <c r="AC616" s="153"/>
      <c r="AD616" s="330"/>
      <c r="AE616" s="305"/>
      <c r="AF616" s="88"/>
      <c r="AG616" s="182">
        <f>YEAR(V616)</f>
        <v>2024</v>
      </c>
      <c r="AH616" s="86" t="str">
        <f>+IF(AF616=$AI$22,MONTH(U616),"")</f>
        <v/>
      </c>
      <c r="AI616" s="86" t="str">
        <f>+IF(AG616=$AI$22,MONTH(V616),"")</f>
        <v/>
      </c>
      <c r="AJ616" s="86">
        <f>+IF(AG616=$AJ$22,MONTH(V616),"")</f>
        <v>7</v>
      </c>
      <c r="AK616" s="86" t="str">
        <f>+IF(AG616=$AK$22,MONTH(V616),"")</f>
        <v/>
      </c>
      <c r="AL616" s="86"/>
      <c r="AM616" s="89"/>
      <c r="AN616" s="89"/>
      <c r="AO616" s="89"/>
      <c r="AP616" s="89"/>
      <c r="AQ616" s="89"/>
      <c r="AR616" s="89"/>
      <c r="AS616" s="89"/>
      <c r="AT616" s="89"/>
      <c r="AU616" s="89"/>
      <c r="AV616" s="89"/>
      <c r="AW616" s="86" t="str">
        <f>+IF($AG616=AW$22,MONTH($D616),"")</f>
        <v/>
      </c>
      <c r="AX616" s="86" t="str">
        <f>+IF($AG616=AX$22,MONTH($D616),"")</f>
        <v/>
      </c>
      <c r="AY616" s="89"/>
      <c r="AZ616" s="89"/>
      <c r="BA616" s="89"/>
      <c r="BB616" s="89"/>
      <c r="BC616" s="89"/>
      <c r="BD616" s="89"/>
      <c r="BE616" s="89"/>
      <c r="BF616" s="89"/>
      <c r="BG616" s="89"/>
      <c r="BH616" s="89"/>
      <c r="BI616" s="89"/>
      <c r="BJ616" s="89"/>
      <c r="BK616" s="89"/>
      <c r="BL616" s="89"/>
      <c r="BM616" s="89"/>
      <c r="BN616" s="89"/>
      <c r="BO616" s="89"/>
      <c r="BP616" s="89"/>
    </row>
    <row r="617" spans="1:68" s="89" customFormat="1" ht="29.25" hidden="1" customHeight="1">
      <c r="A617" s="204">
        <f>+IFERROR(VALUE(MID(AB617,4,4)),"")</f>
        <v>400</v>
      </c>
      <c r="B617" s="204">
        <f>VALUE(RIGHT(C617,LEN(C617)-2))</f>
        <v>2105</v>
      </c>
      <c r="C617" s="74" t="s">
        <v>2367</v>
      </c>
      <c r="D617" s="75">
        <v>45497</v>
      </c>
      <c r="E617" s="70" t="s">
        <v>473</v>
      </c>
      <c r="F617" s="70" t="s">
        <v>473</v>
      </c>
      <c r="G617" s="68" t="s">
        <v>2368</v>
      </c>
      <c r="H617" s="307" t="s">
        <v>2003</v>
      </c>
      <c r="I617" s="69" t="s">
        <v>2369</v>
      </c>
      <c r="J617" s="389"/>
      <c r="K617" s="95" t="s">
        <v>798</v>
      </c>
      <c r="L617" s="68" t="s">
        <v>123</v>
      </c>
      <c r="M617" s="68" t="s">
        <v>141</v>
      </c>
      <c r="N617" s="69" t="e" vm="1">
        <v>#VALUE!</v>
      </c>
      <c r="O617" s="84">
        <v>45511</v>
      </c>
      <c r="P617" s="82" t="s">
        <v>2370</v>
      </c>
      <c r="Q617" s="82" t="s">
        <v>316</v>
      </c>
      <c r="R617" s="69"/>
      <c r="S617" s="146"/>
      <c r="T617" s="68" t="s">
        <v>3</v>
      </c>
      <c r="U617" s="87"/>
      <c r="V617" s="183">
        <v>45534</v>
      </c>
      <c r="W617" s="73">
        <v>3686</v>
      </c>
      <c r="X617" s="150">
        <v>157.5</v>
      </c>
      <c r="Y617" s="169">
        <f>IF(SUM(W617:W617)&gt;0,X617/SUM(W617:W617)*1000000,"N/A")</f>
        <v>42729.245794899616</v>
      </c>
      <c r="Z617" s="183"/>
      <c r="AA617" s="183"/>
      <c r="AB617" s="73" t="s">
        <v>2371</v>
      </c>
      <c r="AC617" s="153"/>
      <c r="AD617" s="330"/>
      <c r="AE617" s="305"/>
      <c r="AF617" s="88"/>
      <c r="AG617" s="182">
        <f>YEAR(V617)</f>
        <v>2024</v>
      </c>
      <c r="AH617" s="86" t="str">
        <f>+IF(AF617=$AI$22,MONTH(U617),"")</f>
        <v/>
      </c>
      <c r="AI617" s="86" t="str">
        <f>+IF(AG617=$AI$22,MONTH(V617),"")</f>
        <v/>
      </c>
      <c r="AJ617" s="86">
        <f>+IF(AG617=$AJ$22,MONTH(V617),"")</f>
        <v>8</v>
      </c>
      <c r="AK617" s="86" t="str">
        <f>+IF(AG617=$AK$22,MONTH(V617),"")</f>
        <v/>
      </c>
      <c r="AL617" s="86" t="str">
        <f>+IF(AG617=$AL$22,MONTH(V617),"")</f>
        <v/>
      </c>
      <c r="AM617" s="86" t="str">
        <f>+IF($AG617=$AM$22,MONTH($D617),"")</f>
        <v/>
      </c>
      <c r="AN617" s="89" t="str">
        <f>+IF($AG617=AN$22,MONTH($D617),"")</f>
        <v/>
      </c>
      <c r="AO617" s="89" t="str">
        <f>+IF($AG617=AO$22,MONTH($D617),"")</f>
        <v/>
      </c>
      <c r="AP617" s="89" t="str">
        <f>+IF($AG617=AP$22,MONTH($D617),"")</f>
        <v/>
      </c>
      <c r="AQ617" s="89" t="str">
        <f>+IF($AG617=AQ$22,MONTH($D617),"")</f>
        <v/>
      </c>
      <c r="AR617" s="89" t="str">
        <f>+IF($AG617=AR$22,MONTH($D617),"")</f>
        <v/>
      </c>
      <c r="AS617" s="89" t="str">
        <f>+IF($AG617=AS$22,MONTH($D617),"")</f>
        <v/>
      </c>
      <c r="AT617" s="89" t="str">
        <f>+IF($AG617=AT$22,MONTH($D617),"")</f>
        <v/>
      </c>
      <c r="AU617" s="89" t="str">
        <f>+IF($AG617=AU$22,MONTH($D617),"")</f>
        <v/>
      </c>
      <c r="AV617" s="89" t="str">
        <f>+IF($AG617=AV$22,MONTH($D617),"")</f>
        <v/>
      </c>
      <c r="AW617" s="86" t="str">
        <f>+IF($AG617=AW$22,MONTH($D617),"")</f>
        <v/>
      </c>
      <c r="AX617" s="86" t="str">
        <f>+IF($AG617=AX$22,MONTH($D617),"")</f>
        <v/>
      </c>
    </row>
    <row r="618" spans="1:68" s="89" customFormat="1" ht="30" hidden="1" customHeight="1">
      <c r="A618" s="204"/>
      <c r="B618" s="204">
        <f>VALUE(RIGHT(C618,LEN(C618)-2))</f>
        <v>2104</v>
      </c>
      <c r="C618" s="74" t="s">
        <v>2372</v>
      </c>
      <c r="D618" s="75">
        <v>45496</v>
      </c>
      <c r="E618" s="70" t="s">
        <v>479</v>
      </c>
      <c r="F618" s="70" t="s">
        <v>479</v>
      </c>
      <c r="G618" s="68" t="s">
        <v>2373</v>
      </c>
      <c r="H618" s="282" t="s">
        <v>2374</v>
      </c>
      <c r="I618" s="69" t="s">
        <v>2375</v>
      </c>
      <c r="J618" s="69"/>
      <c r="K618" s="95" t="s">
        <v>13</v>
      </c>
      <c r="L618" s="68" t="s">
        <v>129</v>
      </c>
      <c r="M618" s="68" t="s">
        <v>113</v>
      </c>
      <c r="N618" s="69" t="e" vm="2">
        <v>#VALUE!</v>
      </c>
      <c r="O618" s="84">
        <v>45513</v>
      </c>
      <c r="P618" s="82" t="s">
        <v>818</v>
      </c>
      <c r="Q618" s="82" t="s">
        <v>229</v>
      </c>
      <c r="R618" s="69"/>
      <c r="S618" s="146"/>
      <c r="T618" s="68" t="s">
        <v>165</v>
      </c>
      <c r="U618" s="87"/>
      <c r="V618" s="183">
        <v>45540</v>
      </c>
      <c r="W618" s="73">
        <v>4513</v>
      </c>
      <c r="X618" s="150">
        <v>138</v>
      </c>
      <c r="Y618" s="169">
        <f>IF(SUM(W618:W618)&gt;0,X618/SUM(W618:W618)*1000000,"N/A")</f>
        <v>30578.329270994906</v>
      </c>
      <c r="Z618" s="183"/>
      <c r="AA618" s="183"/>
      <c r="AB618" s="73"/>
      <c r="AC618" s="153"/>
      <c r="AD618" s="331"/>
      <c r="AE618" s="57"/>
      <c r="AF618" s="88"/>
      <c r="AG618" s="182">
        <f>YEAR(V618)</f>
        <v>2024</v>
      </c>
      <c r="AH618" s="86" t="str">
        <f>+IF(AF618=$AI$22,MONTH(U618),"")</f>
        <v/>
      </c>
      <c r="AI618" s="86" t="str">
        <f>+IF(AG618=$AI$22,MONTH(V618),"")</f>
        <v/>
      </c>
      <c r="AJ618" s="86">
        <f>+IF(AG618=$AJ$22,MONTH(V618),"")</f>
        <v>9</v>
      </c>
      <c r="AK618" s="86" t="str">
        <f>+IF(AG618=$AK$22,MONTH(V618),"")</f>
        <v/>
      </c>
      <c r="AL618" s="86" t="str">
        <f>+IF(AG618=$AL$22,MONTH(V618),"")</f>
        <v/>
      </c>
      <c r="AM618" s="86" t="str">
        <f>+IF($AG618=$AM$22,MONTH($D618),"")</f>
        <v/>
      </c>
      <c r="AN618" s="89" t="str">
        <f>+IF($AG618=AN$22,MONTH($D618),"")</f>
        <v/>
      </c>
      <c r="AO618" s="89" t="str">
        <f>+IF($AG618=AO$22,MONTH($D618),"")</f>
        <v/>
      </c>
      <c r="AP618" s="89" t="str">
        <f>+IF($AG618=AP$22,MONTH($D618),"")</f>
        <v/>
      </c>
      <c r="AQ618" s="89" t="str">
        <f>+IF($AG618=AQ$22,MONTH($D618),"")</f>
        <v/>
      </c>
      <c r="AR618" s="89" t="str">
        <f>+IF($AG618=AR$22,MONTH($D618),"")</f>
        <v/>
      </c>
      <c r="AS618" s="89" t="str">
        <f>+IF($AG618=AS$22,MONTH($D618),"")</f>
        <v/>
      </c>
      <c r="AT618" s="89" t="str">
        <f>+IF($AG618=AT$22,MONTH($D618),"")</f>
        <v/>
      </c>
      <c r="AU618" s="89" t="str">
        <f>+IF($AG618=AU$22,MONTH($D618),"")</f>
        <v/>
      </c>
      <c r="AV618" s="89" t="str">
        <f>+IF($AG618=AV$22,MONTH($D618),"")</f>
        <v/>
      </c>
      <c r="AW618" s="86" t="str">
        <f>+IF($AG618=AW$22,MONTH($D618),"")</f>
        <v/>
      </c>
      <c r="AX618" s="86" t="str">
        <f>+IF($AG618=AX$22,MONTH($D618),"")</f>
        <v/>
      </c>
    </row>
    <row r="619" spans="1:68" s="89" customFormat="1" ht="27.75" hidden="1" customHeight="1">
      <c r="A619" s="204">
        <f>+IFERROR(VALUE(MID(AB619,4,4)),"")</f>
        <v>403</v>
      </c>
      <c r="B619" s="204">
        <f>VALUE(RIGHT(C619,LEN(C619)-2))</f>
        <v>2103</v>
      </c>
      <c r="C619" s="74" t="s">
        <v>2376</v>
      </c>
      <c r="D619" s="75">
        <v>45496</v>
      </c>
      <c r="E619" s="70" t="s">
        <v>685</v>
      </c>
      <c r="F619" s="70" t="s">
        <v>685</v>
      </c>
      <c r="G619" s="68" t="s">
        <v>931</v>
      </c>
      <c r="H619" s="59" t="s">
        <v>2377</v>
      </c>
      <c r="I619" s="69" t="s">
        <v>2378</v>
      </c>
      <c r="J619" s="69"/>
      <c r="K619" s="95" t="s">
        <v>798</v>
      </c>
      <c r="L619" s="68" t="s">
        <v>120</v>
      </c>
      <c r="M619" s="68" t="s">
        <v>141</v>
      </c>
      <c r="N619" s="69" t="e" vm="1">
        <v>#VALUE!</v>
      </c>
      <c r="O619" s="84">
        <v>45497</v>
      </c>
      <c r="P619" s="82" t="s">
        <v>689</v>
      </c>
      <c r="Q619" s="82" t="s">
        <v>229</v>
      </c>
      <c r="R619" s="69"/>
      <c r="S619" s="146" t="s">
        <v>2379</v>
      </c>
      <c r="T619" s="68" t="s">
        <v>3</v>
      </c>
      <c r="U619" s="87"/>
      <c r="V619" s="183">
        <v>45547</v>
      </c>
      <c r="W619" s="73">
        <v>1292</v>
      </c>
      <c r="X619" s="150">
        <v>62.7</v>
      </c>
      <c r="Y619" s="169">
        <f>IF(SUM(W619:W619)&gt;0,X619/SUM(W619:W619)*1000000,"N/A")</f>
        <v>48529.411764705881</v>
      </c>
      <c r="Z619" s="183"/>
      <c r="AA619" s="183"/>
      <c r="AB619" s="73" t="s">
        <v>2380</v>
      </c>
      <c r="AC619" s="153"/>
      <c r="AD619" s="331"/>
      <c r="AE619" s="57"/>
      <c r="AF619" s="88"/>
      <c r="AG619" s="182">
        <f>YEAR(V619)</f>
        <v>2024</v>
      </c>
      <c r="AH619" s="86" t="str">
        <f>+IF(AF619=$AI$22,MONTH(U619),"")</f>
        <v/>
      </c>
      <c r="AI619" s="86" t="str">
        <f>+IF(AG619=$AI$22,MONTH(V619),"")</f>
        <v/>
      </c>
      <c r="AJ619" s="86">
        <f>+IF(AG619=$AJ$22,MONTH(V619),"")</f>
        <v>9</v>
      </c>
      <c r="AK619" s="86" t="str">
        <f>+IF(AG619=$AK$22,MONTH(V619),"")</f>
        <v/>
      </c>
      <c r="AL619" s="86" t="str">
        <f>+IF(AG619=$AL$22,MONTH(V619),"")</f>
        <v/>
      </c>
      <c r="AM619" s="86" t="str">
        <f>+IF($AG619=$AM$22,MONTH($D619),"")</f>
        <v/>
      </c>
      <c r="AN619" s="89" t="str">
        <f>+IF($AG619=AN$22,MONTH($D619),"")</f>
        <v/>
      </c>
      <c r="AO619" s="89" t="str">
        <f>+IF($AG619=AO$22,MONTH($D619),"")</f>
        <v/>
      </c>
      <c r="AP619" s="89" t="str">
        <f>+IF($AG619=AP$22,MONTH($D619),"")</f>
        <v/>
      </c>
      <c r="AQ619" s="89" t="str">
        <f>+IF($AG619=AQ$22,MONTH($D619),"")</f>
        <v/>
      </c>
      <c r="AR619" s="89" t="str">
        <f>+IF($AG619=AR$22,MONTH($D619),"")</f>
        <v/>
      </c>
      <c r="AS619" s="89" t="str">
        <f>+IF($AG619=AS$22,MONTH($D619),"")</f>
        <v/>
      </c>
      <c r="AT619" s="89" t="str">
        <f>+IF($AG619=AT$22,MONTH($D619),"")</f>
        <v/>
      </c>
      <c r="AU619" s="89" t="str">
        <f>+IF($AG619=AU$22,MONTH($D619),"")</f>
        <v/>
      </c>
      <c r="AV619" s="89" t="str">
        <f>+IF($AG619=AV$22,MONTH($D619),"")</f>
        <v/>
      </c>
      <c r="AW619" s="86" t="str">
        <f>+IF($AG619=AW$22,MONTH($D619),"")</f>
        <v/>
      </c>
      <c r="AX619" s="86" t="str">
        <f>+IF($AG619=AX$22,MONTH($D619),"")</f>
        <v/>
      </c>
    </row>
    <row r="620" spans="1:68" s="89" customFormat="1" ht="27" hidden="1" customHeight="1">
      <c r="A620" s="204">
        <f>+IFERROR(VALUE(MID(AB620,4,4)),"")</f>
        <v>396</v>
      </c>
      <c r="B620" s="204">
        <f>VALUE(RIGHT(C620,LEN(C620)-2))</f>
        <v>2102</v>
      </c>
      <c r="C620" s="74" t="s">
        <v>2381</v>
      </c>
      <c r="D620" s="75">
        <v>45496</v>
      </c>
      <c r="E620" s="70" t="s">
        <v>262</v>
      </c>
      <c r="F620" s="70" t="s">
        <v>270</v>
      </c>
      <c r="G620" s="68" t="s">
        <v>1493</v>
      </c>
      <c r="H620" s="59" t="s">
        <v>1494</v>
      </c>
      <c r="I620" s="162" t="s">
        <v>2382</v>
      </c>
      <c r="J620" s="162"/>
      <c r="K620" s="68" t="s">
        <v>9</v>
      </c>
      <c r="L620" s="69" t="s">
        <v>120</v>
      </c>
      <c r="M620" s="71" t="s">
        <v>141</v>
      </c>
      <c r="N620" s="69" t="e" vm="1">
        <v>#VALUE!</v>
      </c>
      <c r="O620" s="164">
        <v>45505</v>
      </c>
      <c r="P620" s="72" t="s">
        <v>369</v>
      </c>
      <c r="Q620" s="72" t="s">
        <v>259</v>
      </c>
      <c r="R620" s="162"/>
      <c r="S620" s="146"/>
      <c r="T620" s="68" t="s">
        <v>3</v>
      </c>
      <c r="U620" s="87"/>
      <c r="V620" s="183">
        <v>45516</v>
      </c>
      <c r="W620" s="73">
        <v>457</v>
      </c>
      <c r="X620" s="73">
        <v>23</v>
      </c>
      <c r="Y620" s="83">
        <f>IF(SUM(W620:W620)&gt;0,X620/SUM(W620:W620)*1000000,"N/A")</f>
        <v>50328.227571115975</v>
      </c>
      <c r="Z620" s="183"/>
      <c r="AA620" s="183"/>
      <c r="AB620" s="73" t="s">
        <v>2383</v>
      </c>
      <c r="AC620" s="153"/>
      <c r="AD620" s="331"/>
      <c r="AE620" s="57"/>
      <c r="AF620" s="88"/>
      <c r="AG620" s="182">
        <f>YEAR(V620)</f>
        <v>2024</v>
      </c>
      <c r="AH620" s="86" t="str">
        <f>+IF(AF620=$AI$22,MONTH(U620),"")</f>
        <v/>
      </c>
      <c r="AI620" s="86" t="str">
        <f>+IF(AG620=$AI$22,MONTH(V620),"")</f>
        <v/>
      </c>
      <c r="AJ620" s="86">
        <f>+IF(AG620=$AJ$22,MONTH(V620),"")</f>
        <v>8</v>
      </c>
      <c r="AK620" s="86" t="str">
        <f>+IF(AG620=$AK$22,MONTH(V620),"")</f>
        <v/>
      </c>
      <c r="AL620" s="86"/>
      <c r="AW620" s="86" t="str">
        <f>+IF($AG620=AW$22,MONTH($D620),"")</f>
        <v/>
      </c>
      <c r="AX620" s="86" t="str">
        <f>+IF($AG620=AX$22,MONTH($D620),"")</f>
        <v/>
      </c>
    </row>
    <row r="621" spans="1:68" s="56" customFormat="1" ht="30.75" hidden="1" customHeight="1">
      <c r="A621" s="204" t="str">
        <f>+IFERROR(VALUE(MID(AB621,4,4)),"")</f>
        <v/>
      </c>
      <c r="B621" s="204">
        <f>VALUE(RIGHT(C621,LEN(C621)-2))</f>
        <v>2101</v>
      </c>
      <c r="C621" s="74" t="s">
        <v>2384</v>
      </c>
      <c r="D621" s="75">
        <v>45496</v>
      </c>
      <c r="E621" s="70" t="s">
        <v>2385</v>
      </c>
      <c r="F621" s="70" t="s">
        <v>685</v>
      </c>
      <c r="G621" s="68"/>
      <c r="H621" s="59"/>
      <c r="I621" s="69" t="s">
        <v>2386</v>
      </c>
      <c r="J621" s="69"/>
      <c r="K621" s="68" t="s">
        <v>13</v>
      </c>
      <c r="L621" s="69" t="s">
        <v>120</v>
      </c>
      <c r="M621" s="71" t="s">
        <v>141</v>
      </c>
      <c r="N621" s="69" t="e" vm="1">
        <v>#VALUE!</v>
      </c>
      <c r="O621" s="84">
        <v>45509</v>
      </c>
      <c r="P621" s="72" t="s">
        <v>1629</v>
      </c>
      <c r="Q621" s="72" t="s">
        <v>259</v>
      </c>
      <c r="R621" s="162"/>
      <c r="S621" s="146"/>
      <c r="T621" s="68" t="s">
        <v>155</v>
      </c>
      <c r="U621" s="87"/>
      <c r="V621" s="80">
        <v>45496</v>
      </c>
      <c r="W621" s="73"/>
      <c r="X621" s="73"/>
      <c r="Y621" s="83" t="str">
        <f>IF(SUM(W621:W621)&gt;0,X621/SUM(W621:W621)*1000000,"N/A")</f>
        <v>N/A</v>
      </c>
      <c r="Z621" s="80"/>
      <c r="AA621" s="80"/>
      <c r="AB621" s="73"/>
      <c r="AC621" s="153"/>
      <c r="AD621" s="331"/>
      <c r="AE621" s="57"/>
      <c r="AF621" s="88"/>
      <c r="AG621" s="182">
        <f>YEAR(V621)</f>
        <v>2024</v>
      </c>
      <c r="AH621" s="86" t="str">
        <f>+IF(AF621=$AI$22,MONTH(U621),"")</f>
        <v/>
      </c>
      <c r="AI621" s="86" t="str">
        <f>+IF(AG621=$AI$22,MONTH(V621),"")</f>
        <v/>
      </c>
      <c r="AJ621" s="86">
        <f>+IF(AG621=$AJ$22,MONTH(V621),"")</f>
        <v>7</v>
      </c>
      <c r="AK621" s="86" t="str">
        <f>+IF(AG621=$AK$22,MONTH(V621),"")</f>
        <v/>
      </c>
      <c r="AL621" s="86"/>
      <c r="AM621" s="89"/>
      <c r="AN621" s="89"/>
      <c r="AO621" s="89"/>
      <c r="AP621" s="89"/>
      <c r="AQ621" s="89"/>
      <c r="AR621" s="89"/>
      <c r="AS621" s="89"/>
      <c r="AT621" s="89"/>
      <c r="AU621" s="89"/>
      <c r="AV621" s="89"/>
      <c r="AW621" s="86" t="str">
        <f>+IF($AG621=AW$22,MONTH($D621),"")</f>
        <v/>
      </c>
      <c r="AX621" s="86" t="str">
        <f>+IF($AG621=AX$22,MONTH($D621),"")</f>
        <v/>
      </c>
      <c r="AY621" s="89"/>
      <c r="AZ621" s="89"/>
      <c r="BA621" s="89"/>
      <c r="BB621" s="89"/>
      <c r="BC621" s="89"/>
      <c r="BD621" s="89"/>
      <c r="BE621" s="89"/>
      <c r="BF621" s="89"/>
      <c r="BG621" s="89"/>
      <c r="BH621" s="89"/>
      <c r="BI621" s="89"/>
      <c r="BJ621" s="89"/>
      <c r="BK621" s="89"/>
      <c r="BL621" s="89"/>
      <c r="BM621" s="89"/>
      <c r="BN621" s="89"/>
      <c r="BO621" s="89"/>
      <c r="BP621" s="89"/>
    </row>
    <row r="622" spans="1:68" s="89" customFormat="1" ht="29.25" hidden="1" customHeight="1">
      <c r="A622" s="204" t="str">
        <f>+IFERROR(VALUE(MID(AB622,4,4)),"")</f>
        <v/>
      </c>
      <c r="B622" s="204">
        <f>VALUE(RIGHT(C622,LEN(C622)-2))</f>
        <v>2100</v>
      </c>
      <c r="C622" s="74" t="s">
        <v>2387</v>
      </c>
      <c r="D622" s="75">
        <v>45495</v>
      </c>
      <c r="E622" s="70" t="s">
        <v>1221</v>
      </c>
      <c r="F622" s="70" t="s">
        <v>1222</v>
      </c>
      <c r="G622" s="68" t="s">
        <v>1223</v>
      </c>
      <c r="H622" s="282" t="s">
        <v>1224</v>
      </c>
      <c r="I622" s="162" t="s">
        <v>2388</v>
      </c>
      <c r="J622" s="162"/>
      <c r="K622" s="68" t="s">
        <v>798</v>
      </c>
      <c r="L622" s="68" t="s">
        <v>123</v>
      </c>
      <c r="M622" s="68" t="s">
        <v>141</v>
      </c>
      <c r="N622" s="69" t="e" vm="1">
        <v>#VALUE!</v>
      </c>
      <c r="O622" s="164">
        <v>45509</v>
      </c>
      <c r="P622" s="72" t="s">
        <v>1641</v>
      </c>
      <c r="Q622" s="72" t="s">
        <v>259</v>
      </c>
      <c r="R622" s="162"/>
      <c r="S622" s="146"/>
      <c r="T622" s="94" t="s">
        <v>165</v>
      </c>
      <c r="U622" s="87"/>
      <c r="V622" s="183">
        <v>45575</v>
      </c>
      <c r="W622" s="73">
        <v>4152</v>
      </c>
      <c r="X622" s="73">
        <f>5846*37600/1000000</f>
        <v>219.80959999999999</v>
      </c>
      <c r="Y622" s="83">
        <f>IF(SUM(W622:W622)&gt;0,X622/SUM(W622:W622)*1000000,"N/A")</f>
        <v>52940.655105973026</v>
      </c>
      <c r="Z622" s="183"/>
      <c r="AA622" s="183"/>
      <c r="AB622" s="73"/>
      <c r="AC622" s="153"/>
      <c r="AD622" s="331"/>
      <c r="AE622" s="57"/>
      <c r="AF622" s="88"/>
      <c r="AG622" s="182">
        <f>YEAR(V622)</f>
        <v>2024</v>
      </c>
      <c r="AH622" s="86" t="str">
        <f>+IF(AF622=$AI$22,MONTH(U622),"")</f>
        <v/>
      </c>
      <c r="AI622" s="86" t="str">
        <f>+IF(AG622=$AI$22,MONTH(V622),"")</f>
        <v/>
      </c>
      <c r="AJ622" s="86">
        <f>+IF(AG622=$AJ$22,MONTH(V622),"")</f>
        <v>10</v>
      </c>
      <c r="AK622" s="86" t="str">
        <f>+IF(AG622=$AK$22,MONTH(V622),"")</f>
        <v/>
      </c>
      <c r="AL622" s="86"/>
      <c r="AW622" s="86" t="str">
        <f>+IF($AG622=AW$22,MONTH($D622),"")</f>
        <v/>
      </c>
      <c r="AX622" s="86" t="str">
        <f>+IF($AG622=AX$22,MONTH($D622),"")</f>
        <v/>
      </c>
    </row>
    <row r="623" spans="1:68" s="56" customFormat="1" ht="25.5" hidden="1" customHeight="1">
      <c r="A623" s="204" t="str">
        <f>+IFERROR(VALUE(MID(AB623,4,4)),"")</f>
        <v/>
      </c>
      <c r="B623" s="204">
        <f>VALUE(RIGHT(C623,LEN(C623)-2))</f>
        <v>2099</v>
      </c>
      <c r="C623" s="74" t="s">
        <v>2389</v>
      </c>
      <c r="D623" s="75">
        <v>45492</v>
      </c>
      <c r="E623" s="70" t="s">
        <v>939</v>
      </c>
      <c r="F623" s="70" t="s">
        <v>940</v>
      </c>
      <c r="G623" s="68" t="s">
        <v>2390</v>
      </c>
      <c r="H623" s="282" t="s">
        <v>2391</v>
      </c>
      <c r="I623" s="69" t="s">
        <v>2392</v>
      </c>
      <c r="J623" s="69"/>
      <c r="K623" s="68" t="s">
        <v>9</v>
      </c>
      <c r="L623" s="69" t="s">
        <v>123</v>
      </c>
      <c r="M623" s="71" t="s">
        <v>141</v>
      </c>
      <c r="N623" s="69" t="e" vm="1">
        <v>#VALUE!</v>
      </c>
      <c r="O623" s="84">
        <v>45671</v>
      </c>
      <c r="P623" s="72" t="s">
        <v>701</v>
      </c>
      <c r="Q623" s="72" t="s">
        <v>229</v>
      </c>
      <c r="R623" s="162"/>
      <c r="S623" s="146"/>
      <c r="T623" s="68" t="s">
        <v>165</v>
      </c>
      <c r="U623" s="87"/>
      <c r="V623" s="80">
        <v>45914</v>
      </c>
      <c r="W623" s="73">
        <v>21035</v>
      </c>
      <c r="X623" s="73">
        <v>1033</v>
      </c>
      <c r="Y623" s="83">
        <f>IF(SUM(W623:W623)&gt;0,X623/SUM(W623:W623)*1000000,"N/A")</f>
        <v>49108.628476348938</v>
      </c>
      <c r="Z623" s="80"/>
      <c r="AA623" s="80"/>
      <c r="AB623" s="73"/>
      <c r="AC623" s="153"/>
      <c r="AD623" s="331"/>
      <c r="AE623" s="57"/>
      <c r="AF623" s="88"/>
      <c r="AG623" s="182">
        <f>YEAR(V623)</f>
        <v>2025</v>
      </c>
      <c r="AH623" s="86" t="str">
        <f>+IF(AF623=$AI$22,MONTH(U623),"")</f>
        <v/>
      </c>
      <c r="AI623" s="86">
        <f>+IF(AG623=$AI$22,MONTH(V623),"")</f>
        <v>9</v>
      </c>
      <c r="AJ623" s="86" t="str">
        <f>+IF(AG623=$AJ$22,MONTH(V623),"")</f>
        <v/>
      </c>
      <c r="AK623" s="86" t="str">
        <f>+IF(AG623=$AK$22,MONTH(V623),"")</f>
        <v/>
      </c>
      <c r="AL623" s="86" t="str">
        <f>+IF(AG623=$AL$22,MONTH(V623),"")</f>
        <v/>
      </c>
      <c r="AM623" s="86" t="str">
        <f>+IF($AG623=$AM$22,MONTH($D623),"")</f>
        <v/>
      </c>
      <c r="AN623" s="89" t="str">
        <f>+IF($AG623=AN$22,MONTH($D623),"")</f>
        <v/>
      </c>
      <c r="AO623" s="89" t="str">
        <f>+IF($AG623=AO$22,MONTH($D623),"")</f>
        <v/>
      </c>
      <c r="AP623" s="89" t="str">
        <f>+IF($AG623=AP$22,MONTH($D623),"")</f>
        <v/>
      </c>
      <c r="AQ623" s="89" t="str">
        <f>+IF($AG623=AQ$22,MONTH($D623),"")</f>
        <v/>
      </c>
      <c r="AR623" s="89" t="str">
        <f>+IF($AG623=AR$22,MONTH($D623),"")</f>
        <v/>
      </c>
      <c r="AS623" s="89" t="str">
        <f>+IF($AG623=AS$22,MONTH($D623),"")</f>
        <v/>
      </c>
      <c r="AT623" s="89" t="str">
        <f>+IF($AG623=AT$22,MONTH($D623),"")</f>
        <v/>
      </c>
      <c r="AU623" s="89" t="str">
        <f>+IF($AG623=AU$22,MONTH($D623),"")</f>
        <v/>
      </c>
      <c r="AV623" s="89" t="str">
        <f>+IF($AG623=AV$22,MONTH($D623),"")</f>
        <v/>
      </c>
      <c r="AW623" s="86" t="str">
        <f>+IF($AG623=AW$22,MONTH($D623),"")</f>
        <v/>
      </c>
      <c r="AX623" s="86" t="str">
        <f>+IF($AG623=AX$22,MONTH($D623),"")</f>
        <v/>
      </c>
      <c r="AY623" s="89"/>
      <c r="AZ623" s="89"/>
      <c r="BA623" s="89"/>
      <c r="BB623" s="89"/>
      <c r="BC623" s="89"/>
      <c r="BD623" s="89"/>
      <c r="BE623" s="89"/>
      <c r="BF623" s="89"/>
      <c r="BG623" s="89"/>
      <c r="BH623" s="89"/>
      <c r="BI623" s="89"/>
      <c r="BJ623" s="167"/>
      <c r="BK623" s="167"/>
      <c r="BL623" s="167"/>
      <c r="BM623" s="167"/>
      <c r="BN623" s="89"/>
      <c r="BO623" s="89"/>
      <c r="BP623" s="89"/>
    </row>
    <row r="624" spans="1:68" s="56" customFormat="1" ht="25.5" hidden="1" customHeight="1">
      <c r="A624" s="204">
        <f>+IFERROR(VALUE(MID(AB624,4,4)),"")</f>
        <v>352</v>
      </c>
      <c r="B624" s="204">
        <f>VALUE(RIGHT(C624,LEN(C624)-2))</f>
        <v>2098</v>
      </c>
      <c r="C624" s="74" t="s">
        <v>2393</v>
      </c>
      <c r="D624" s="75">
        <v>45488</v>
      </c>
      <c r="E624" s="70" t="s">
        <v>53</v>
      </c>
      <c r="F624" s="70" t="s">
        <v>1909</v>
      </c>
      <c r="G624" s="68" t="s">
        <v>210</v>
      </c>
      <c r="H624" s="59"/>
      <c r="I624" s="162" t="s">
        <v>2394</v>
      </c>
      <c r="J624" s="162"/>
      <c r="K624" s="68" t="s">
        <v>12</v>
      </c>
      <c r="L624" s="69" t="s">
        <v>129</v>
      </c>
      <c r="M624" s="71" t="s">
        <v>141</v>
      </c>
      <c r="N624" s="69" t="e" vm="1">
        <v>#VALUE!</v>
      </c>
      <c r="O624" s="164">
        <v>45512</v>
      </c>
      <c r="P624" s="72" t="s">
        <v>2395</v>
      </c>
      <c r="Q624" s="72" t="s">
        <v>259</v>
      </c>
      <c r="R624" s="162"/>
      <c r="S624" s="146"/>
      <c r="T624" s="68" t="s">
        <v>155</v>
      </c>
      <c r="U624" s="87"/>
      <c r="V624" s="183">
        <v>45488</v>
      </c>
      <c r="W624" s="73"/>
      <c r="X624" s="73"/>
      <c r="Y624" s="83" t="str">
        <f>IF(SUM(W624:W624)&gt;0,X624/SUM(W624:W624)*1000000,"N/A")</f>
        <v>N/A</v>
      </c>
      <c r="Z624" s="183"/>
      <c r="AA624" s="183"/>
      <c r="AB624" s="73" t="s">
        <v>2396</v>
      </c>
      <c r="AC624" s="153"/>
      <c r="AD624" s="331"/>
      <c r="AE624" s="57"/>
      <c r="AF624" s="88"/>
      <c r="AG624" s="182">
        <f>YEAR(V624)</f>
        <v>2024</v>
      </c>
      <c r="AH624" s="86" t="str">
        <f>+IF(AF624=$AI$22,MONTH(U624),"")</f>
        <v/>
      </c>
      <c r="AI624" s="86" t="str">
        <f>+IF(AG624=$AI$22,MONTH(V624),"")</f>
        <v/>
      </c>
      <c r="AJ624" s="86">
        <f>+IF(AG624=$AJ$22,MONTH(V624),"")</f>
        <v>7</v>
      </c>
      <c r="AK624" s="86" t="str">
        <f>+IF(AG624=$AK$22,MONTH(V624),"")</f>
        <v/>
      </c>
      <c r="AL624" s="86"/>
      <c r="AM624" s="89"/>
      <c r="AN624" s="89"/>
      <c r="AO624" s="89"/>
      <c r="AP624" s="89"/>
      <c r="AQ624" s="89"/>
      <c r="AR624" s="89"/>
      <c r="AS624" s="89"/>
      <c r="AT624" s="89"/>
      <c r="AU624" s="89"/>
      <c r="AV624" s="89"/>
      <c r="AW624" s="86" t="str">
        <f>+IF($AG624=AW$22,MONTH($D624),"")</f>
        <v/>
      </c>
      <c r="AX624" s="86" t="str">
        <f>+IF($AG624=AX$22,MONTH($D624),"")</f>
        <v/>
      </c>
      <c r="AY624" s="89"/>
      <c r="AZ624" s="89"/>
      <c r="BA624" s="89"/>
      <c r="BB624" s="89"/>
      <c r="BC624" s="89"/>
      <c r="BD624" s="89"/>
      <c r="BE624" s="89"/>
      <c r="BF624" s="89"/>
      <c r="BG624" s="89"/>
      <c r="BH624" s="89"/>
      <c r="BI624" s="89"/>
      <c r="BJ624" s="167"/>
      <c r="BK624" s="167"/>
      <c r="BL624" s="167"/>
      <c r="BM624" s="167"/>
      <c r="BN624" s="89"/>
      <c r="BO624" s="89"/>
      <c r="BP624" s="89"/>
    </row>
    <row r="625" spans="1:68" s="342" customFormat="1" ht="33.75" hidden="1" customHeight="1">
      <c r="A625" s="204" t="str">
        <f>+IFERROR(VALUE(MID(AB625,4,4)),"")</f>
        <v/>
      </c>
      <c r="B625" s="204">
        <f>VALUE(RIGHT(C625,LEN(C625)-2))</f>
        <v>2097</v>
      </c>
      <c r="C625" s="74" t="s">
        <v>2397</v>
      </c>
      <c r="D625" s="75">
        <v>45447</v>
      </c>
      <c r="E625" s="70" t="s">
        <v>2398</v>
      </c>
      <c r="F625" s="70" t="s">
        <v>2398</v>
      </c>
      <c r="G625" s="68" t="s">
        <v>2399</v>
      </c>
      <c r="H625" s="307" t="s">
        <v>2400</v>
      </c>
      <c r="I625" s="69" t="s">
        <v>2401</v>
      </c>
      <c r="J625" s="69"/>
      <c r="K625" s="68" t="s">
        <v>798</v>
      </c>
      <c r="L625" s="69" t="s">
        <v>123</v>
      </c>
      <c r="M625" s="71" t="s">
        <v>141</v>
      </c>
      <c r="N625" s="69" t="e" vm="1">
        <v>#VALUE!</v>
      </c>
      <c r="O625" s="84">
        <v>45491</v>
      </c>
      <c r="P625" s="72" t="s">
        <v>701</v>
      </c>
      <c r="Q625" s="72" t="s">
        <v>229</v>
      </c>
      <c r="R625" s="162"/>
      <c r="S625" s="146"/>
      <c r="T625" s="68" t="s">
        <v>165</v>
      </c>
      <c r="U625" s="87"/>
      <c r="V625" s="80">
        <v>45667</v>
      </c>
      <c r="W625" s="73">
        <v>2311</v>
      </c>
      <c r="X625" s="73">
        <v>119.8</v>
      </c>
      <c r="Y625" s="169">
        <f>IF(SUM(W625:W625)&gt;0,X625/SUM(W625:W625)*1000000,"N/A")</f>
        <v>51839.030722630894</v>
      </c>
      <c r="Z625" s="80"/>
      <c r="AA625" s="80"/>
      <c r="AB625" s="73"/>
      <c r="AC625" s="153">
        <v>45505</v>
      </c>
      <c r="AD625" s="330" t="s">
        <v>2402</v>
      </c>
      <c r="AE625" s="305"/>
      <c r="AF625" s="88"/>
      <c r="AG625" s="182">
        <f>YEAR(V625)</f>
        <v>2025</v>
      </c>
      <c r="AH625" s="86" t="str">
        <f>+IF(AF625=$AI$22,MONTH(U625),"")</f>
        <v/>
      </c>
      <c r="AI625" s="86">
        <f>+IF(AG625=$AI$22,MONTH(V625),"")</f>
        <v>1</v>
      </c>
      <c r="AJ625" s="86" t="str">
        <f>+IF(AG625=$AJ$22,MONTH(V625),"")</f>
        <v/>
      </c>
      <c r="AK625" s="86" t="str">
        <f>+IF(AG625=$AK$22,MONTH(V625),"")</f>
        <v/>
      </c>
      <c r="AL625" s="86" t="str">
        <f>+IF(AG625=$AL$22,MONTH(V625),"")</f>
        <v/>
      </c>
      <c r="AM625" s="86" t="str">
        <f>+IF($AG625=$AM$22,MONTH($D625),"")</f>
        <v/>
      </c>
      <c r="AN625" s="89" t="str">
        <f>+IF($AG625=AN$22,MONTH($D625),"")</f>
        <v/>
      </c>
      <c r="AO625" s="89" t="str">
        <f>+IF($AG625=AO$22,MONTH($D625),"")</f>
        <v/>
      </c>
      <c r="AP625" s="89" t="str">
        <f>+IF($AG625=AP$22,MONTH($D625),"")</f>
        <v/>
      </c>
      <c r="AQ625" s="89" t="str">
        <f>+IF($AG625=AQ$22,MONTH($D625),"")</f>
        <v/>
      </c>
      <c r="AR625" s="89" t="str">
        <f>+IF($AG625=AR$22,MONTH($D625),"")</f>
        <v/>
      </c>
      <c r="AS625" s="89" t="str">
        <f>+IF($AG625=AS$22,MONTH($D625),"")</f>
        <v/>
      </c>
      <c r="AT625" s="89" t="str">
        <f>+IF($AG625=AT$22,MONTH($D625),"")</f>
        <v/>
      </c>
      <c r="AU625" s="89" t="str">
        <f>+IF($AG625=AU$22,MONTH($D625),"")</f>
        <v/>
      </c>
      <c r="AV625" s="89" t="str">
        <f>+IF($AG625=AV$22,MONTH($D625),"")</f>
        <v/>
      </c>
      <c r="AW625" s="86" t="str">
        <f>+IF($AG625=AW$22,MONTH($D625),"")</f>
        <v/>
      </c>
      <c r="AX625" s="86" t="str">
        <f>+IF($AG625=AX$22,MONTH($D625),"")</f>
        <v/>
      </c>
      <c r="AY625" s="89"/>
      <c r="AZ625" s="89"/>
      <c r="BA625" s="89"/>
      <c r="BB625" s="89"/>
      <c r="BC625" s="89"/>
      <c r="BD625" s="89"/>
      <c r="BE625" s="89"/>
      <c r="BF625" s="89"/>
      <c r="BG625" s="89"/>
      <c r="BH625" s="89"/>
      <c r="BI625" s="89"/>
      <c r="BJ625" s="89"/>
      <c r="BK625" s="89"/>
      <c r="BL625" s="89"/>
      <c r="BM625" s="89"/>
      <c r="BN625" s="167"/>
      <c r="BO625" s="167"/>
      <c r="BP625" s="167"/>
    </row>
    <row r="626" spans="1:68" s="342" customFormat="1" ht="49.5" hidden="1" customHeight="1">
      <c r="A626" s="204">
        <f>+IFERROR(VALUE(MID(AB626,4,4)),"")</f>
        <v>401</v>
      </c>
      <c r="B626" s="204">
        <f>VALUE(RIGHT(C626,LEN(C626)-2))</f>
        <v>2096</v>
      </c>
      <c r="C626" s="74" t="s">
        <v>2403</v>
      </c>
      <c r="D626" s="75">
        <v>45488</v>
      </c>
      <c r="E626" s="70" t="s">
        <v>1903</v>
      </c>
      <c r="F626" s="70" t="s">
        <v>51</v>
      </c>
      <c r="G626" s="68" t="s">
        <v>2404</v>
      </c>
      <c r="H626" s="59" t="s">
        <v>2405</v>
      </c>
      <c r="I626" s="69" t="s">
        <v>2406</v>
      </c>
      <c r="J626" s="69"/>
      <c r="K626" s="68" t="s">
        <v>607</v>
      </c>
      <c r="L626" s="69" t="s">
        <v>120</v>
      </c>
      <c r="M626" s="71" t="s">
        <v>141</v>
      </c>
      <c r="N626" s="69" t="e" vm="1">
        <v>#VALUE!</v>
      </c>
      <c r="O626" s="84">
        <v>45505</v>
      </c>
      <c r="P626" s="72" t="s">
        <v>364</v>
      </c>
      <c r="Q626" s="72" t="s">
        <v>229</v>
      </c>
      <c r="R626" s="162"/>
      <c r="S626" s="146"/>
      <c r="T626" s="68" t="s">
        <v>3</v>
      </c>
      <c r="U626" s="87"/>
      <c r="V626" s="80">
        <v>45545</v>
      </c>
      <c r="W626" s="73">
        <v>3154</v>
      </c>
      <c r="X626" s="73">
        <v>155</v>
      </c>
      <c r="Y626" s="83">
        <f>IF(SUM(W626:W626)&gt;0,X626/SUM(W626:W626)*1000000,"N/A")</f>
        <v>49143.944197844008</v>
      </c>
      <c r="Z626" s="80"/>
      <c r="AA626" s="80"/>
      <c r="AB626" s="73" t="s">
        <v>2407</v>
      </c>
      <c r="AC626" s="153"/>
      <c r="AD626" s="331"/>
      <c r="AE626" s="57"/>
      <c r="AF626" s="88"/>
      <c r="AG626" s="182">
        <f>YEAR(V626)</f>
        <v>2024</v>
      </c>
      <c r="AH626" s="86" t="str">
        <f>+IF(AF626=$AI$22,MONTH(U626),"")</f>
        <v/>
      </c>
      <c r="AI626" s="86" t="str">
        <f>+IF(AG626=$AI$22,MONTH(V626),"")</f>
        <v/>
      </c>
      <c r="AJ626" s="86">
        <f>+IF(AG626=$AJ$22,MONTH(V626),"")</f>
        <v>9</v>
      </c>
      <c r="AK626" s="86" t="str">
        <f>+IF(AG626=$AK$22,MONTH(V626),"")</f>
        <v/>
      </c>
      <c r="AL626" s="86"/>
      <c r="AM626" s="89"/>
      <c r="AN626" s="89"/>
      <c r="AO626" s="89"/>
      <c r="AP626" s="89"/>
      <c r="AQ626" s="89"/>
      <c r="AR626" s="89"/>
      <c r="AS626" s="89"/>
      <c r="AT626" s="89"/>
      <c r="AU626" s="89"/>
      <c r="AV626" s="89"/>
      <c r="AW626" s="86" t="str">
        <f>+IF($AG626=AW$22,MONTH($D626),"")</f>
        <v/>
      </c>
      <c r="AX626" s="86" t="str">
        <f>+IF($AG626=AX$22,MONTH($D626),"")</f>
        <v/>
      </c>
      <c r="AY626" s="89"/>
      <c r="AZ626" s="89"/>
      <c r="BA626" s="89"/>
      <c r="BB626" s="89"/>
      <c r="BC626" s="89"/>
      <c r="BD626" s="89"/>
      <c r="BE626" s="89"/>
      <c r="BF626" s="89"/>
      <c r="BG626" s="89"/>
      <c r="BH626" s="89"/>
      <c r="BI626" s="89"/>
      <c r="BJ626" s="89"/>
      <c r="BK626" s="89"/>
      <c r="BL626" s="89"/>
      <c r="BM626" s="89"/>
      <c r="BN626" s="167"/>
      <c r="BO626" s="167"/>
      <c r="BP626" s="167"/>
    </row>
    <row r="627" spans="1:68" s="56" customFormat="1" ht="22.5" hidden="1" customHeight="1">
      <c r="A627" s="204" t="str">
        <f>+IFERROR(VALUE(MID(AB627,4,4)),"")</f>
        <v/>
      </c>
      <c r="B627" s="204">
        <f>VALUE(RIGHT(C627,LEN(C627)-2))</f>
        <v>2095</v>
      </c>
      <c r="C627" s="74" t="s">
        <v>2408</v>
      </c>
      <c r="D627" s="75">
        <v>45485</v>
      </c>
      <c r="E627" s="70" t="s">
        <v>939</v>
      </c>
      <c r="F627" s="70" t="s">
        <v>940</v>
      </c>
      <c r="G627" s="68" t="s">
        <v>2409</v>
      </c>
      <c r="H627" s="59"/>
      <c r="I627" s="69" t="s">
        <v>2410</v>
      </c>
      <c r="J627" s="69"/>
      <c r="K627" s="68" t="s">
        <v>11</v>
      </c>
      <c r="L627" s="69" t="s">
        <v>123</v>
      </c>
      <c r="M627" s="71" t="s">
        <v>141</v>
      </c>
      <c r="N627" s="69" t="e" vm="1">
        <v>#VALUE!</v>
      </c>
      <c r="O627" s="84">
        <v>45618</v>
      </c>
      <c r="P627" s="164" t="s">
        <v>701</v>
      </c>
      <c r="Q627" s="72" t="s">
        <v>240</v>
      </c>
      <c r="R627" s="162"/>
      <c r="S627" s="146" t="s">
        <v>2411</v>
      </c>
      <c r="T627" s="68" t="s">
        <v>165</v>
      </c>
      <c r="U627" s="87"/>
      <c r="V627" s="80">
        <v>45618</v>
      </c>
      <c r="W627" s="73">
        <v>1287</v>
      </c>
      <c r="X627" s="73">
        <v>57</v>
      </c>
      <c r="Y627" s="83">
        <f>IF(SUM(W627:W627)&gt;0,X627/SUM(W627:W627)*1000000,"N/A")</f>
        <v>44289.044289044286</v>
      </c>
      <c r="Z627" s="80"/>
      <c r="AA627" s="80"/>
      <c r="AB627" s="73"/>
      <c r="AC627" s="153"/>
      <c r="AD627" s="331"/>
      <c r="AE627" s="57"/>
      <c r="AF627" s="88"/>
      <c r="AG627" s="182">
        <f>YEAR(V627)</f>
        <v>2024</v>
      </c>
      <c r="AH627" s="86" t="str">
        <f>+IF(AF627=$AI$22,MONTH(U627),"")</f>
        <v/>
      </c>
      <c r="AI627" s="86" t="str">
        <f>+IF(AG627=$AI$22,MONTH(V627),"")</f>
        <v/>
      </c>
      <c r="AJ627" s="86">
        <f>+IF(AG627=$AJ$22,MONTH(V627),"")</f>
        <v>11</v>
      </c>
      <c r="AK627" s="86" t="str">
        <f>+IF(AG627=$AK$22,MONTH(V627),"")</f>
        <v/>
      </c>
      <c r="AL627" s="86" t="str">
        <f>+IF(AG627=$AL$22,MONTH(V627),"")</f>
        <v/>
      </c>
      <c r="AM627" s="86" t="str">
        <f>+IF($AG627=$AM$22,MONTH($D627),"")</f>
        <v/>
      </c>
      <c r="AN627" s="89" t="str">
        <f>+IF($AG627=AN$22,MONTH($D627),"")</f>
        <v/>
      </c>
      <c r="AO627" s="89" t="str">
        <f>+IF($AG627=AO$22,MONTH($D627),"")</f>
        <v/>
      </c>
      <c r="AP627" s="89" t="str">
        <f>+IF($AG627=AP$22,MONTH($D627),"")</f>
        <v/>
      </c>
      <c r="AQ627" s="89" t="str">
        <f>+IF($AG627=AQ$22,MONTH($D627),"")</f>
        <v/>
      </c>
      <c r="AR627" s="89" t="str">
        <f>+IF($AG627=AR$22,MONTH($D627),"")</f>
        <v/>
      </c>
      <c r="AS627" s="89" t="str">
        <f>+IF($AG627=AS$22,MONTH($D627),"")</f>
        <v/>
      </c>
      <c r="AT627" s="89" t="str">
        <f>+IF($AG627=AT$22,MONTH($D627),"")</f>
        <v/>
      </c>
      <c r="AU627" s="89" t="str">
        <f>+IF($AG627=AU$22,MONTH($D627),"")</f>
        <v/>
      </c>
      <c r="AV627" s="89" t="str">
        <f>+IF($AG627=AV$22,MONTH($D627),"")</f>
        <v/>
      </c>
      <c r="AW627" s="86" t="str">
        <f>+IF($AG627=AW$22,MONTH($D627),"")</f>
        <v/>
      </c>
      <c r="AX627" s="86" t="str">
        <f>+IF($AG627=AX$22,MONTH($D627),"")</f>
        <v/>
      </c>
      <c r="AY627" s="89"/>
      <c r="AZ627" s="89"/>
      <c r="BA627" s="89"/>
      <c r="BB627" s="89"/>
      <c r="BC627" s="89"/>
      <c r="BD627" s="89"/>
      <c r="BE627" s="89"/>
      <c r="BF627" s="89"/>
      <c r="BG627" s="89"/>
      <c r="BH627" s="89"/>
      <c r="BI627" s="89"/>
      <c r="BJ627" s="89"/>
      <c r="BK627" s="89"/>
      <c r="BL627" s="89"/>
      <c r="BM627" s="89"/>
      <c r="BN627" s="89"/>
      <c r="BO627" s="89"/>
      <c r="BP627" s="89"/>
    </row>
    <row r="628" spans="1:68" s="56" customFormat="1" ht="32.25" hidden="1" customHeight="1">
      <c r="A628" s="204">
        <f>+IFERROR(VALUE(MID(AB628,4,4)),"")</f>
        <v>271</v>
      </c>
      <c r="B628" s="204">
        <f>VALUE(RIGHT(C628,LEN(C628)-2))</f>
        <v>2094</v>
      </c>
      <c r="C628" s="74" t="s">
        <v>2412</v>
      </c>
      <c r="D628" s="75">
        <v>45484</v>
      </c>
      <c r="E628" s="70" t="s">
        <v>277</v>
      </c>
      <c r="F628" s="70" t="s">
        <v>277</v>
      </c>
      <c r="G628" s="68" t="s">
        <v>278</v>
      </c>
      <c r="H628" s="304" t="s">
        <v>2413</v>
      </c>
      <c r="I628" s="69" t="s">
        <v>1398</v>
      </c>
      <c r="J628" s="69"/>
      <c r="K628" s="68" t="s">
        <v>45</v>
      </c>
      <c r="L628" s="69" t="s">
        <v>129</v>
      </c>
      <c r="M628" s="71" t="s">
        <v>141</v>
      </c>
      <c r="N628" s="69" t="e" vm="1">
        <v>#VALUE!</v>
      </c>
      <c r="O628" s="84">
        <v>45497</v>
      </c>
      <c r="P628" s="72" t="s">
        <v>402</v>
      </c>
      <c r="Q628" s="72" t="s">
        <v>316</v>
      </c>
      <c r="R628" s="162"/>
      <c r="S628" s="146"/>
      <c r="T628" s="68" t="s">
        <v>3</v>
      </c>
      <c r="U628" s="87"/>
      <c r="V628" s="183">
        <v>45502</v>
      </c>
      <c r="W628" s="73">
        <v>1131</v>
      </c>
      <c r="X628" s="73">
        <v>51</v>
      </c>
      <c r="Y628" s="83">
        <f>IF(SUM(W628:W628)&gt;0,X628/SUM(W628:W628)*1000000,"N/A")</f>
        <v>45092.838196286466</v>
      </c>
      <c r="Z628" s="183"/>
      <c r="AA628" s="183"/>
      <c r="AB628" s="73" t="s">
        <v>2414</v>
      </c>
      <c r="AC628" s="153"/>
      <c r="AD628" s="330"/>
      <c r="AE628" s="305"/>
      <c r="AF628" s="88"/>
      <c r="AG628" s="182">
        <f>YEAR(V628)</f>
        <v>2024</v>
      </c>
      <c r="AH628" s="86" t="str">
        <f>+IF(AF628=$AI$22,MONTH(U628),"")</f>
        <v/>
      </c>
      <c r="AI628" s="86" t="str">
        <f>+IF(AG628=$AI$22,MONTH(V628),"")</f>
        <v/>
      </c>
      <c r="AJ628" s="86">
        <f>+IF(AG628=$AJ$22,MONTH(V628),"")</f>
        <v>7</v>
      </c>
      <c r="AK628" s="86" t="str">
        <f>+IF(AG628=$AK$22,MONTH(V628),"")</f>
        <v/>
      </c>
      <c r="AL628" s="86" t="str">
        <f>+IF(AG628=$AL$22,MONTH(V628),"")</f>
        <v/>
      </c>
      <c r="AM628" s="86" t="str">
        <f>+IF($AG628=$AM$22,MONTH($D628),"")</f>
        <v/>
      </c>
      <c r="AN628" s="89" t="str">
        <f>+IF($AG628=AN$22,MONTH($D628),"")</f>
        <v/>
      </c>
      <c r="AO628" s="89" t="str">
        <f>+IF($AG628=AO$22,MONTH($D628),"")</f>
        <v/>
      </c>
      <c r="AP628" s="89" t="str">
        <f>+IF($AG628=AP$22,MONTH($D628),"")</f>
        <v/>
      </c>
      <c r="AQ628" s="89" t="str">
        <f>+IF($AG628=AQ$22,MONTH($D628),"")</f>
        <v/>
      </c>
      <c r="AR628" s="89" t="str">
        <f>+IF($AG628=AR$22,MONTH($D628),"")</f>
        <v/>
      </c>
      <c r="AS628" s="89" t="str">
        <f>+IF($AG628=AS$22,MONTH($D628),"")</f>
        <v/>
      </c>
      <c r="AT628" s="89" t="str">
        <f>+IF($AG628=AT$22,MONTH($D628),"")</f>
        <v/>
      </c>
      <c r="AU628" s="89" t="str">
        <f>+IF($AG628=AU$22,MONTH($D628),"")</f>
        <v/>
      </c>
      <c r="AV628" s="89" t="str">
        <f>+IF($AG628=AV$22,MONTH($D628),"")</f>
        <v/>
      </c>
      <c r="AW628" s="86" t="str">
        <f>+IF($AG628=AW$22,MONTH($D628),"")</f>
        <v/>
      </c>
      <c r="AX628" s="86" t="str">
        <f>+IF($AG628=AX$22,MONTH($D628),"")</f>
        <v/>
      </c>
      <c r="AY628" s="89"/>
      <c r="AZ628" s="89"/>
      <c r="BA628" s="89"/>
      <c r="BB628" s="89"/>
      <c r="BC628" s="89"/>
      <c r="BD628" s="89"/>
      <c r="BE628" s="89"/>
      <c r="BF628" s="89"/>
      <c r="BG628" s="89"/>
      <c r="BH628" s="89"/>
      <c r="BI628" s="89"/>
      <c r="BJ628" s="167"/>
      <c r="BK628" s="167"/>
      <c r="BL628" s="167"/>
      <c r="BM628" s="167"/>
      <c r="BN628" s="89"/>
      <c r="BO628" s="89"/>
      <c r="BP628" s="89"/>
    </row>
    <row r="629" spans="1:68" s="56" customFormat="1" ht="25.5" hidden="1" customHeight="1">
      <c r="A629" s="204">
        <f>+IFERROR(VALUE(MID(AB629,4,4)),"")</f>
        <v>271</v>
      </c>
      <c r="B629" s="204">
        <f>VALUE(RIGHT(C629,LEN(C629)-2))</f>
        <v>2093</v>
      </c>
      <c r="C629" s="74" t="s">
        <v>2415</v>
      </c>
      <c r="D629" s="75">
        <v>45484</v>
      </c>
      <c r="E629" s="70" t="s">
        <v>277</v>
      </c>
      <c r="F629" s="70" t="s">
        <v>277</v>
      </c>
      <c r="G629" s="68" t="s">
        <v>2416</v>
      </c>
      <c r="H629" s="282" t="s">
        <v>2417</v>
      </c>
      <c r="I629" s="162" t="s">
        <v>2418</v>
      </c>
      <c r="J629" s="162"/>
      <c r="K629" s="68" t="s">
        <v>11</v>
      </c>
      <c r="L629" s="69" t="s">
        <v>129</v>
      </c>
      <c r="M629" s="71" t="s">
        <v>141</v>
      </c>
      <c r="N629" s="69" t="e" vm="1">
        <v>#VALUE!</v>
      </c>
      <c r="O629" s="84">
        <v>45497</v>
      </c>
      <c r="P629" s="72" t="s">
        <v>1232</v>
      </c>
      <c r="Q629" s="72" t="s">
        <v>623</v>
      </c>
      <c r="R629" s="162"/>
      <c r="S629" s="146"/>
      <c r="T629" s="68" t="s">
        <v>3</v>
      </c>
      <c r="U629" s="87"/>
      <c r="V629" s="183">
        <v>45497</v>
      </c>
      <c r="W629" s="73">
        <v>1534</v>
      </c>
      <c r="X629" s="73">
        <v>64</v>
      </c>
      <c r="Y629" s="83">
        <f>IF(SUM(W629:W629)&gt;0,X629/SUM(W629:W629)*1000000,"N/A")</f>
        <v>41720.990873533243</v>
      </c>
      <c r="Z629" s="183"/>
      <c r="AA629" s="183"/>
      <c r="AB629" s="73" t="s">
        <v>2419</v>
      </c>
      <c r="AC629" s="153"/>
      <c r="AD629" s="331"/>
      <c r="AE629" s="57"/>
      <c r="AF629" s="88"/>
      <c r="AG629" s="182">
        <f>YEAR(V629)</f>
        <v>2024</v>
      </c>
      <c r="AH629" s="86" t="str">
        <f>+IF(AF629=$AI$22,MONTH(U629),"")</f>
        <v/>
      </c>
      <c r="AI629" s="86" t="str">
        <f>+IF(AG629=$AI$22,MONTH(V629),"")</f>
        <v/>
      </c>
      <c r="AJ629" s="86">
        <f>+IF(AG629=$AJ$22,MONTH(V629),"")</f>
        <v>7</v>
      </c>
      <c r="AK629" s="86" t="str">
        <f>+IF(AG629=$AK$22,MONTH(V629),"")</f>
        <v/>
      </c>
      <c r="AL629" s="86" t="str">
        <f>+IF(AG629=$AL$22,MONTH(V629),"")</f>
        <v/>
      </c>
      <c r="AM629" s="86" t="str">
        <f>+IF($AG629=$AM$22,MONTH($D629),"")</f>
        <v/>
      </c>
      <c r="AN629" s="89" t="str">
        <f>+IF($AG629=AN$22,MONTH($D629),"")</f>
        <v/>
      </c>
      <c r="AO629" s="89" t="str">
        <f>+IF($AG629=AO$22,MONTH($D629),"")</f>
        <v/>
      </c>
      <c r="AP629" s="89" t="str">
        <f>+IF($AG629=AP$22,MONTH($D629),"")</f>
        <v/>
      </c>
      <c r="AQ629" s="89" t="str">
        <f>+IF($AG629=AQ$22,MONTH($D629),"")</f>
        <v/>
      </c>
      <c r="AR629" s="89" t="str">
        <f>+IF($AG629=AR$22,MONTH($D629),"")</f>
        <v/>
      </c>
      <c r="AS629" s="89" t="str">
        <f>+IF($AG629=AS$22,MONTH($D629),"")</f>
        <v/>
      </c>
      <c r="AT629" s="89" t="str">
        <f>+IF($AG629=AT$22,MONTH($D629),"")</f>
        <v/>
      </c>
      <c r="AU629" s="89" t="str">
        <f>+IF($AG629=AU$22,MONTH($D629),"")</f>
        <v/>
      </c>
      <c r="AV629" s="89" t="str">
        <f>+IF($AG629=AV$22,MONTH($D629),"")</f>
        <v/>
      </c>
      <c r="AW629" s="86" t="str">
        <f>+IF($AG629=AW$22,MONTH($D629),"")</f>
        <v/>
      </c>
      <c r="AX629" s="86" t="str">
        <f>+IF($AG629=AX$22,MONTH($D629),"")</f>
        <v/>
      </c>
      <c r="AY629" s="89"/>
      <c r="AZ629" s="89"/>
      <c r="BA629" s="89"/>
      <c r="BB629" s="89"/>
      <c r="BC629" s="89"/>
      <c r="BD629" s="89"/>
      <c r="BE629" s="89"/>
      <c r="BF629" s="89"/>
      <c r="BG629" s="89"/>
      <c r="BH629" s="89"/>
      <c r="BI629" s="89"/>
      <c r="BJ629" s="89"/>
      <c r="BK629" s="89"/>
      <c r="BL629" s="89"/>
      <c r="BM629" s="89"/>
      <c r="BN629" s="89"/>
      <c r="BO629" s="89"/>
      <c r="BP629" s="89"/>
    </row>
    <row r="630" spans="1:68" s="166" customFormat="1" ht="21.75" hidden="1" customHeight="1">
      <c r="A630" s="204">
        <f>+IFERROR(VALUE(MID(AB630,4,4)),"")</f>
        <v>274</v>
      </c>
      <c r="B630" s="204">
        <f>VALUE(RIGHT(C630,LEN(C630)-2))</f>
        <v>2092</v>
      </c>
      <c r="C630" s="340" t="s">
        <v>2420</v>
      </c>
      <c r="D630" s="75">
        <v>44915</v>
      </c>
      <c r="E630" s="70" t="s">
        <v>1054</v>
      </c>
      <c r="F630" s="70" t="s">
        <v>252</v>
      </c>
      <c r="G630" s="68" t="s">
        <v>1055</v>
      </c>
      <c r="H630" s="59" t="s">
        <v>1056</v>
      </c>
      <c r="I630" s="69" t="s">
        <v>2421</v>
      </c>
      <c r="J630" s="69"/>
      <c r="K630" s="68" t="s">
        <v>13</v>
      </c>
      <c r="L630" s="69" t="s">
        <v>129</v>
      </c>
      <c r="M630" s="71" t="s">
        <v>141</v>
      </c>
      <c r="N630" s="69" t="e" vm="1">
        <v>#VALUE!</v>
      </c>
      <c r="O630" s="84">
        <v>45484</v>
      </c>
      <c r="P630" s="72" t="s">
        <v>364</v>
      </c>
      <c r="Q630" s="82" t="s">
        <v>623</v>
      </c>
      <c r="R630" s="69"/>
      <c r="S630" s="146" t="s">
        <v>2422</v>
      </c>
      <c r="T630" s="68" t="s">
        <v>3</v>
      </c>
      <c r="U630" s="87"/>
      <c r="V630" s="80">
        <v>45484</v>
      </c>
      <c r="W630" s="73">
        <v>565</v>
      </c>
      <c r="X630" s="73">
        <v>13.1</v>
      </c>
      <c r="Y630" s="83">
        <f>IF(SUM(W630:W630)&gt;0,X630/SUM(W630:W630)*1000000,"N/A")</f>
        <v>23185.840707964602</v>
      </c>
      <c r="Z630" s="80"/>
      <c r="AA630" s="80"/>
      <c r="AB630" s="73" t="s">
        <v>2423</v>
      </c>
      <c r="AC630" s="153"/>
      <c r="AD630" s="331"/>
      <c r="AE630" s="57"/>
      <c r="AF630" s="88"/>
      <c r="AG630" s="182">
        <f>YEAR(V630)</f>
        <v>2024</v>
      </c>
      <c r="AH630" s="86" t="str">
        <f>+IF(AF630=$AI$22,MONTH(U630),"")</f>
        <v/>
      </c>
      <c r="AI630" s="86" t="str">
        <f>+IF(AG630=$AI$22,MONTH(V630),"")</f>
        <v/>
      </c>
      <c r="AJ630" s="86">
        <f>+IF(AG630=$AJ$22,MONTH(V630),"")</f>
        <v>7</v>
      </c>
      <c r="AK630" s="86" t="str">
        <f>+IF(AG630=$AK$22,MONTH(V630),"")</f>
        <v/>
      </c>
      <c r="AL630" s="86" t="str">
        <f>+IF(AG630=$AL$22,MONTH(V630),"")</f>
        <v/>
      </c>
      <c r="AM630" s="86" t="str">
        <f>+IF($AG630=$AM$22,MONTH($D630),"")</f>
        <v/>
      </c>
      <c r="AN630" s="89" t="str">
        <f>+IF($AG630=AN$22,MONTH($D630),"")</f>
        <v/>
      </c>
      <c r="AO630" s="89" t="str">
        <f>+IF($AG630=AO$22,MONTH($D630),"")</f>
        <v/>
      </c>
      <c r="AP630" s="89" t="str">
        <f>+IF($AG630=AP$22,MONTH($D630),"")</f>
        <v/>
      </c>
      <c r="AQ630" s="89" t="str">
        <f>+IF($AG630=AQ$22,MONTH($D630),"")</f>
        <v/>
      </c>
      <c r="AR630" s="89" t="str">
        <f>+IF($AG630=AR$22,MONTH($D630),"")</f>
        <v/>
      </c>
      <c r="AS630" s="89" t="str">
        <f>+IF($AG630=AS$22,MONTH($D630),"")</f>
        <v/>
      </c>
      <c r="AT630" s="89" t="str">
        <f>+IF($AG630=AT$22,MONTH($D630),"")</f>
        <v/>
      </c>
      <c r="AU630" s="89" t="str">
        <f>+IF($AG630=AU$22,MONTH($D630),"")</f>
        <v/>
      </c>
      <c r="AV630" s="89" t="str">
        <f>+IF($AG630=AV$22,MONTH($D630),"")</f>
        <v/>
      </c>
      <c r="AW630" s="86" t="str">
        <f>+IF($AG630=AW$22,MONTH($D630),"")</f>
        <v/>
      </c>
      <c r="AX630" s="86" t="str">
        <f>+IF($AG630=AX$22,MONTH($D630),"")</f>
        <v/>
      </c>
      <c r="AY630" s="89"/>
      <c r="AZ630" s="89"/>
      <c r="BA630" s="89"/>
      <c r="BB630" s="89"/>
      <c r="BC630" s="89"/>
      <c r="BD630" s="89"/>
      <c r="BE630" s="89"/>
      <c r="BF630" s="89"/>
      <c r="BG630" s="89"/>
      <c r="BH630" s="89"/>
      <c r="BI630" s="89"/>
      <c r="BJ630" s="89"/>
      <c r="BK630" s="89"/>
      <c r="BL630" s="89"/>
      <c r="BM630" s="89"/>
      <c r="BN630" s="167"/>
      <c r="BO630" s="167"/>
      <c r="BP630" s="167"/>
    </row>
    <row r="631" spans="1:68" s="56" customFormat="1" ht="25.5" hidden="1" customHeight="1">
      <c r="A631" s="204" t="str">
        <f>+IFERROR(VALUE(MID(AB631,4,4)),"")</f>
        <v/>
      </c>
      <c r="B631" s="204">
        <f>VALUE(RIGHT(C631,LEN(C631)-2))</f>
        <v>2091</v>
      </c>
      <c r="C631" s="74" t="s">
        <v>2424</v>
      </c>
      <c r="D631" s="75">
        <v>45483</v>
      </c>
      <c r="E631" s="70" t="s">
        <v>1621</v>
      </c>
      <c r="F631" s="70" t="s">
        <v>2425</v>
      </c>
      <c r="G631" s="68" t="s">
        <v>2426</v>
      </c>
      <c r="H631" s="307"/>
      <c r="I631" s="69" t="s">
        <v>2427</v>
      </c>
      <c r="J631" s="69"/>
      <c r="K631" s="68" t="s">
        <v>944</v>
      </c>
      <c r="L631" s="69" t="s">
        <v>123</v>
      </c>
      <c r="M631" s="71" t="s">
        <v>141</v>
      </c>
      <c r="N631" s="69" t="e" vm="1">
        <v>#VALUE!</v>
      </c>
      <c r="O631" s="84">
        <v>45586</v>
      </c>
      <c r="P631" s="72" t="s">
        <v>1781</v>
      </c>
      <c r="Q631" s="72" t="s">
        <v>316</v>
      </c>
      <c r="R631" s="162"/>
      <c r="S631" s="146" t="s">
        <v>2428</v>
      </c>
      <c r="T631" s="68" t="s">
        <v>165</v>
      </c>
      <c r="U631" s="87"/>
      <c r="V631" s="80">
        <v>45625</v>
      </c>
      <c r="W631" s="73">
        <v>27162</v>
      </c>
      <c r="X631" s="73">
        <v>1252</v>
      </c>
      <c r="Y631" s="169">
        <f>IF(SUM(W631:W631)&gt;0,X631/SUM(W631:W631)*1000000,"N/A")</f>
        <v>46093.807525219054</v>
      </c>
      <c r="Z631" s="80"/>
      <c r="AA631" s="80"/>
      <c r="AB631" s="73"/>
      <c r="AC631" s="153"/>
      <c r="AD631" s="330"/>
      <c r="AE631" s="305"/>
      <c r="AF631" s="88"/>
      <c r="AG631" s="182">
        <f>YEAR(V631)</f>
        <v>2024</v>
      </c>
      <c r="AH631" s="86" t="str">
        <f>+IF(AF631=$AI$22,MONTH(U631),"")</f>
        <v/>
      </c>
      <c r="AI631" s="86" t="str">
        <f>+IF(AG631=$AI$22,MONTH(V631),"")</f>
        <v/>
      </c>
      <c r="AJ631" s="86">
        <f>+IF(AG631=$AJ$22,MONTH(V631),"")</f>
        <v>11</v>
      </c>
      <c r="AK631" s="86" t="str">
        <f>+IF(AG631=$AK$22,MONTH(V631),"")</f>
        <v/>
      </c>
      <c r="AL631" s="86" t="str">
        <f>+IF(AG631=$AL$22,MONTH(V631),"")</f>
        <v/>
      </c>
      <c r="AM631" s="86" t="str">
        <f>+IF($AG631=$AM$22,MONTH($D631),"")</f>
        <v/>
      </c>
      <c r="AN631" s="89" t="str">
        <f>+IF($AG631=AN$22,MONTH($D631),"")</f>
        <v/>
      </c>
      <c r="AO631" s="89" t="str">
        <f>+IF($AG631=AO$22,MONTH($D631),"")</f>
        <v/>
      </c>
      <c r="AP631" s="89" t="str">
        <f>+IF($AG631=AP$22,MONTH($D631),"")</f>
        <v/>
      </c>
      <c r="AQ631" s="89" t="str">
        <f>+IF($AG631=AQ$22,MONTH($D631),"")</f>
        <v/>
      </c>
      <c r="AR631" s="89" t="str">
        <f>+IF($AG631=AR$22,MONTH($D631),"")</f>
        <v/>
      </c>
      <c r="AS631" s="89" t="str">
        <f>+IF($AG631=AS$22,MONTH($D631),"")</f>
        <v/>
      </c>
      <c r="AT631" s="89" t="str">
        <f>+IF($AG631=AT$22,MONTH($D631),"")</f>
        <v/>
      </c>
      <c r="AU631" s="89" t="str">
        <f>+IF($AG631=AU$22,MONTH($D631),"")</f>
        <v/>
      </c>
      <c r="AV631" s="89" t="str">
        <f>+IF($AG631=AV$22,MONTH($D631),"")</f>
        <v/>
      </c>
      <c r="AW631" s="86" t="str">
        <f>+IF($AG631=AW$22,MONTH($D631),"")</f>
        <v/>
      </c>
      <c r="AX631" s="86" t="str">
        <f>+IF($AG631=AX$22,MONTH($D631),"")</f>
        <v/>
      </c>
      <c r="AY631" s="89"/>
      <c r="AZ631" s="89"/>
      <c r="BA631" s="89"/>
      <c r="BB631" s="89"/>
      <c r="BC631" s="89"/>
      <c r="BD631" s="89"/>
      <c r="BE631" s="89"/>
      <c r="BF631" s="89"/>
      <c r="BG631" s="89"/>
      <c r="BH631" s="89"/>
      <c r="BI631" s="89"/>
      <c r="BJ631" s="89"/>
      <c r="BK631" s="89"/>
      <c r="BL631" s="89"/>
      <c r="BM631" s="89"/>
      <c r="BN631" s="89"/>
      <c r="BO631" s="89"/>
      <c r="BP631" s="89"/>
    </row>
    <row r="632" spans="1:68" s="89" customFormat="1" ht="26.25" hidden="1" customHeight="1">
      <c r="A632" s="204">
        <f>+IFERROR(VALUE(MID(AB632,4,4)),"")</f>
        <v>388</v>
      </c>
      <c r="B632" s="204">
        <f>VALUE(RIGHT(C632,LEN(C632)-2))</f>
        <v>2090</v>
      </c>
      <c r="C632" s="74" t="s">
        <v>2429</v>
      </c>
      <c r="D632" s="75">
        <v>45476</v>
      </c>
      <c r="E632" s="70" t="s">
        <v>262</v>
      </c>
      <c r="F632" s="70" t="s">
        <v>270</v>
      </c>
      <c r="G632" s="68" t="s">
        <v>1493</v>
      </c>
      <c r="H632" s="59" t="s">
        <v>1494</v>
      </c>
      <c r="I632" s="162" t="s">
        <v>2430</v>
      </c>
      <c r="J632" s="162"/>
      <c r="K632" s="68" t="s">
        <v>42</v>
      </c>
      <c r="L632" s="68" t="s">
        <v>120</v>
      </c>
      <c r="M632" s="68" t="s">
        <v>141</v>
      </c>
      <c r="N632" s="69" t="e" vm="1">
        <v>#VALUE!</v>
      </c>
      <c r="O632" s="164">
        <v>45481</v>
      </c>
      <c r="P632" s="72" t="s">
        <v>369</v>
      </c>
      <c r="Q632" s="72" t="s">
        <v>1097</v>
      </c>
      <c r="R632" s="162"/>
      <c r="S632" s="146"/>
      <c r="T632" s="68" t="s">
        <v>3</v>
      </c>
      <c r="U632" s="87"/>
      <c r="V632" s="183">
        <v>45789</v>
      </c>
      <c r="W632" s="73">
        <v>462</v>
      </c>
      <c r="X632" s="73">
        <v>24.15</v>
      </c>
      <c r="Y632" s="83">
        <f>IF(SUM(W632:W632)&gt;0,X632/SUM(W632:W632)*1000000,"N/A")</f>
        <v>52272.727272727272</v>
      </c>
      <c r="Z632" s="183"/>
      <c r="AA632" s="183"/>
      <c r="AB632" s="73" t="s">
        <v>2431</v>
      </c>
      <c r="AC632" s="153"/>
      <c r="AD632" s="331"/>
      <c r="AE632" s="57"/>
      <c r="AF632" s="88"/>
      <c r="AG632" s="182">
        <f>YEAR(V632)</f>
        <v>2025</v>
      </c>
      <c r="AH632" s="86" t="str">
        <f>+IF(AF632=$AI$22,MONTH(U632),"")</f>
        <v/>
      </c>
      <c r="AI632" s="86">
        <f>+IF(AG632=$AI$22,MONTH(V632),"")</f>
        <v>5</v>
      </c>
      <c r="AJ632" s="86" t="str">
        <f>+IF(AG632=$AJ$22,MONTH(V632),"")</f>
        <v/>
      </c>
      <c r="AK632" s="86" t="str">
        <f>+IF(AG632=$AK$22,MONTH(V632),"")</f>
        <v/>
      </c>
      <c r="AL632" s="86"/>
      <c r="AW632" s="86" t="str">
        <f>+IF($AG632=AW$22,MONTH($D632),"")</f>
        <v/>
      </c>
      <c r="AX632" s="86" t="str">
        <f>+IF($AG632=AX$22,MONTH($D632),"")</f>
        <v/>
      </c>
    </row>
    <row r="633" spans="1:68" s="89" customFormat="1" ht="26.25" hidden="1" customHeight="1">
      <c r="A633" s="204">
        <f>+IFERROR(VALUE(MID(AB633,4,4)),"")</f>
        <v>415</v>
      </c>
      <c r="B633" s="204">
        <f>+B634</f>
        <v>2089</v>
      </c>
      <c r="C633" s="74" t="s">
        <v>2432</v>
      </c>
      <c r="D633" s="75">
        <v>45687</v>
      </c>
      <c r="E633" s="70" t="s">
        <v>51</v>
      </c>
      <c r="F633" s="70" t="s">
        <v>51</v>
      </c>
      <c r="G633" s="68" t="s">
        <v>2072</v>
      </c>
      <c r="H633" s="282"/>
      <c r="I633" s="69" t="s">
        <v>2433</v>
      </c>
      <c r="J633" s="69"/>
      <c r="K633" s="68" t="s">
        <v>11</v>
      </c>
      <c r="L633" s="68" t="s">
        <v>120</v>
      </c>
      <c r="M633" s="68" t="s">
        <v>141</v>
      </c>
      <c r="N633" s="69" t="e" vm="1">
        <v>#VALUE!</v>
      </c>
      <c r="O633" s="84">
        <v>45692</v>
      </c>
      <c r="P633" s="72" t="s">
        <v>1781</v>
      </c>
      <c r="Q633" s="72" t="s">
        <v>623</v>
      </c>
      <c r="R633" s="162"/>
      <c r="S633" s="146"/>
      <c r="T633" s="68" t="s">
        <v>3</v>
      </c>
      <c r="U633" s="87"/>
      <c r="V633" s="183">
        <v>45692</v>
      </c>
      <c r="W633" s="73">
        <v>164</v>
      </c>
      <c r="X633" s="150">
        <v>7.8</v>
      </c>
      <c r="Y633" s="83">
        <f>IF(SUM(W633:W633)&gt;0,X633/SUM(W633:W633)*1000000,"N/A")</f>
        <v>47560.975609756097</v>
      </c>
      <c r="Z633" s="183"/>
      <c r="AA633" s="183"/>
      <c r="AB633" s="73" t="s">
        <v>2434</v>
      </c>
      <c r="AC633" s="153"/>
      <c r="AD633" s="331"/>
      <c r="AE633" s="57"/>
      <c r="AF633" s="88"/>
      <c r="AG633" s="182">
        <f>YEAR(V633)</f>
        <v>2025</v>
      </c>
      <c r="AH633" s="86" t="str">
        <f>+IF(AF633=$AI$22,MONTH(U633),"")</f>
        <v/>
      </c>
      <c r="AI633" s="86">
        <f>+IF(AG633=$AI$22,MONTH(V633),"")</f>
        <v>2</v>
      </c>
      <c r="AJ633" s="86" t="str">
        <f>+IF(AG633=$AJ$22,MONTH(V633),"")</f>
        <v/>
      </c>
      <c r="AK633" s="86" t="str">
        <f>+IF(AG633=$AK$22,MONTH(V633),"")</f>
        <v/>
      </c>
      <c r="AL633" s="86" t="str">
        <f>+IF(AG633=$AL$22,MONTH(V633),"")</f>
        <v/>
      </c>
      <c r="AM633" s="86" t="str">
        <f>+IF($AG633=$AM$22,MONTH($D633),"")</f>
        <v/>
      </c>
      <c r="AN633" s="89" t="str">
        <f>+IF($AG633=AN$22,MONTH($D633),"")</f>
        <v/>
      </c>
      <c r="AO633" s="89" t="str">
        <f>+IF($AG633=AO$22,MONTH($D633),"")</f>
        <v/>
      </c>
      <c r="AP633" s="89" t="str">
        <f>+IF($AG633=AP$22,MONTH($D633),"")</f>
        <v/>
      </c>
      <c r="AQ633" s="89" t="str">
        <f>+IF($AG633=AQ$22,MONTH($D633),"")</f>
        <v/>
      </c>
      <c r="AR633" s="89" t="str">
        <f>+IF($AG633=AR$22,MONTH($D633),"")</f>
        <v/>
      </c>
      <c r="AS633" s="89" t="str">
        <f>+IF($AG633=AS$22,MONTH($D633),"")</f>
        <v/>
      </c>
      <c r="AT633" s="89" t="str">
        <f>+IF($AG633=AT$22,MONTH($D633),"")</f>
        <v/>
      </c>
      <c r="AU633" s="89" t="str">
        <f>+IF($AG633=AU$22,MONTH($D633),"")</f>
        <v/>
      </c>
      <c r="AV633" s="89" t="str">
        <f>+IF($AG633=AV$22,MONTH($D633),"")</f>
        <v/>
      </c>
      <c r="AW633" s="86" t="str">
        <f>+IF($AG633=AW$22,MONTH($D633),"")</f>
        <v/>
      </c>
      <c r="AX633" s="86" t="str">
        <f>+IF($AG633=AX$22,MONTH($D633),"")</f>
        <v/>
      </c>
    </row>
    <row r="634" spans="1:68" s="320" customFormat="1" ht="30" hidden="1" customHeight="1">
      <c r="A634" s="204"/>
      <c r="B634" s="204">
        <f>VALUE(RIGHT(C634,LEN(C634)-2))</f>
        <v>2089</v>
      </c>
      <c r="C634" s="74" t="s">
        <v>2435</v>
      </c>
      <c r="D634" s="75">
        <v>45475</v>
      </c>
      <c r="E634" s="70" t="s">
        <v>53</v>
      </c>
      <c r="F634" s="70" t="s">
        <v>2436</v>
      </c>
      <c r="G634" s="68" t="s">
        <v>210</v>
      </c>
      <c r="H634" s="307" t="s">
        <v>256</v>
      </c>
      <c r="I634" s="69" t="s">
        <v>2437</v>
      </c>
      <c r="J634" s="69"/>
      <c r="K634" s="68" t="s">
        <v>275</v>
      </c>
      <c r="L634" s="69" t="s">
        <v>123</v>
      </c>
      <c r="M634" s="71" t="s">
        <v>141</v>
      </c>
      <c r="N634" s="69" t="e" vm="1">
        <v>#VALUE!</v>
      </c>
      <c r="O634" s="84">
        <v>45518</v>
      </c>
      <c r="P634" s="72" t="s">
        <v>228</v>
      </c>
      <c r="Q634" s="72" t="s">
        <v>316</v>
      </c>
      <c r="R634" s="162"/>
      <c r="S634" s="146" t="s">
        <v>2438</v>
      </c>
      <c r="T634" s="68" t="s">
        <v>155</v>
      </c>
      <c r="U634" s="87"/>
      <c r="V634" s="80">
        <v>45481</v>
      </c>
      <c r="W634" s="73"/>
      <c r="X634" s="73"/>
      <c r="Y634" s="169" t="str">
        <f>IF(SUM(W634:W634)&gt;0,X634/SUM(W634:W634)*1000000,"N/A")</f>
        <v>N/A</v>
      </c>
      <c r="Z634" s="80"/>
      <c r="AA634" s="80"/>
      <c r="AB634" s="73"/>
      <c r="AC634" s="153"/>
      <c r="AD634" s="330"/>
      <c r="AE634" s="305"/>
      <c r="AF634" s="88"/>
      <c r="AG634" s="182">
        <f>YEAR(V634)</f>
        <v>2024</v>
      </c>
      <c r="AH634" s="86" t="str">
        <f>+IF(AF634=$AI$22,MONTH(U634),"")</f>
        <v/>
      </c>
      <c r="AI634" s="86" t="str">
        <f>+IF(AG634=$AI$22,MONTH(V634),"")</f>
        <v/>
      </c>
      <c r="AJ634" s="86">
        <f>+IF(AG634=$AJ$22,MONTH(V634),"")</f>
        <v>7</v>
      </c>
      <c r="AK634" s="86" t="str">
        <f>+IF(AG634=$AK$22,MONTH(V634),"")</f>
        <v/>
      </c>
      <c r="AL634" s="86" t="str">
        <f>+IF(AG634=$AL$22,MONTH(V634),"")</f>
        <v/>
      </c>
      <c r="AM634" s="86" t="str">
        <f>+IF($AG634=$AM$22,MONTH($D634),"")</f>
        <v/>
      </c>
      <c r="AN634" s="89" t="str">
        <f>+IF($AG634=AN$22,MONTH($D634),"")</f>
        <v/>
      </c>
      <c r="AO634" s="89" t="str">
        <f>+IF($AG634=AO$22,MONTH($D634),"")</f>
        <v/>
      </c>
      <c r="AP634" s="89" t="str">
        <f>+IF($AG634=AP$22,MONTH($D634),"")</f>
        <v/>
      </c>
      <c r="AQ634" s="89" t="str">
        <f>+IF($AG634=AQ$22,MONTH($D634),"")</f>
        <v/>
      </c>
      <c r="AR634" s="89" t="str">
        <f>+IF($AG634=AR$22,MONTH($D634),"")</f>
        <v/>
      </c>
      <c r="AS634" s="89" t="str">
        <f>+IF($AG634=AS$22,MONTH($D634),"")</f>
        <v/>
      </c>
      <c r="AT634" s="89" t="str">
        <f>+IF($AG634=AT$22,MONTH($D634),"")</f>
        <v/>
      </c>
      <c r="AU634" s="89" t="str">
        <f>+IF($AG634=AU$22,MONTH($D634),"")</f>
        <v/>
      </c>
      <c r="AV634" s="89" t="str">
        <f>+IF($AG634=AV$22,MONTH($D634),"")</f>
        <v/>
      </c>
      <c r="AW634" s="86" t="str">
        <f>+IF($AG634=AW$22,MONTH($D634),"")</f>
        <v/>
      </c>
      <c r="AX634" s="86" t="str">
        <f>+IF($AG634=AX$22,MONTH($D634),"")</f>
        <v/>
      </c>
      <c r="AY634" s="89"/>
      <c r="AZ634" s="89"/>
      <c r="BA634" s="89"/>
      <c r="BB634" s="89"/>
      <c r="BC634" s="89"/>
      <c r="BD634" s="89"/>
      <c r="BE634" s="89"/>
      <c r="BF634" s="89"/>
      <c r="BG634" s="89"/>
      <c r="BH634" s="89"/>
      <c r="BI634" s="89"/>
      <c r="BJ634" s="89"/>
      <c r="BK634" s="89"/>
      <c r="BL634" s="89"/>
      <c r="BM634" s="89"/>
      <c r="BN634" s="89"/>
      <c r="BO634" s="89"/>
      <c r="BP634" s="89"/>
    </row>
    <row r="635" spans="1:68" s="89" customFormat="1" ht="29.25" hidden="1" customHeight="1">
      <c r="A635" s="204"/>
      <c r="B635" s="204">
        <f>VALUE(RIGHT(C635,LEN(C635)-2))</f>
        <v>2088</v>
      </c>
      <c r="C635" s="74" t="s">
        <v>2439</v>
      </c>
      <c r="D635" s="75">
        <v>45475</v>
      </c>
      <c r="E635" s="70" t="s">
        <v>1634</v>
      </c>
      <c r="F635" s="70" t="s">
        <v>2440</v>
      </c>
      <c r="G635" s="68" t="s">
        <v>2441</v>
      </c>
      <c r="H635" s="307" t="s">
        <v>1637</v>
      </c>
      <c r="I635" s="69" t="s">
        <v>2442</v>
      </c>
      <c r="J635" s="69"/>
      <c r="K635" s="68" t="s">
        <v>944</v>
      </c>
      <c r="L635" s="68" t="s">
        <v>120</v>
      </c>
      <c r="M635" s="68" t="s">
        <v>141</v>
      </c>
      <c r="N635" s="69" t="e" vm="2">
        <v>#VALUE!</v>
      </c>
      <c r="O635" s="84" t="s">
        <v>213</v>
      </c>
      <c r="P635" s="72" t="s">
        <v>483</v>
      </c>
      <c r="Q635" s="72" t="s">
        <v>316</v>
      </c>
      <c r="R635" s="162"/>
      <c r="S635" s="146"/>
      <c r="T635" s="68" t="s">
        <v>165</v>
      </c>
      <c r="U635" s="87">
        <v>0</v>
      </c>
      <c r="V635" s="80">
        <v>45499</v>
      </c>
      <c r="W635" s="73">
        <v>9000</v>
      </c>
      <c r="X635" s="73">
        <v>575</v>
      </c>
      <c r="Y635" s="169">
        <f>IF(SUM(W635:W635)&gt;0,X635/SUM(W635:W635)*1000000,"N/A")</f>
        <v>63888.888888888883</v>
      </c>
      <c r="Z635" s="80"/>
      <c r="AA635" s="80"/>
      <c r="AB635" s="73"/>
      <c r="AC635" s="153"/>
      <c r="AD635" s="330"/>
      <c r="AE635" s="305"/>
      <c r="AF635" s="88"/>
      <c r="AG635" s="182">
        <f>YEAR(V635)</f>
        <v>2024</v>
      </c>
      <c r="AH635" s="86" t="str">
        <f>+IF(AF635=$AI$22,MONTH(U635),"")</f>
        <v/>
      </c>
      <c r="AI635" s="86" t="str">
        <f>+IF(AG635=$AI$22,MONTH(V635),"")</f>
        <v/>
      </c>
      <c r="AJ635" s="86">
        <f>+IF(AG635=$AJ$22,MONTH(V635),"")</f>
        <v>7</v>
      </c>
      <c r="AK635" s="86" t="str">
        <f>+IF(AG635=$AK$22,MONTH(V635),"")</f>
        <v/>
      </c>
      <c r="AL635" s="86" t="str">
        <f>+IF(AG635=$AL$22,MONTH(V635),"")</f>
        <v/>
      </c>
      <c r="AM635" s="86" t="str">
        <f>+IF($AG635=$AM$22,MONTH($D635),"")</f>
        <v/>
      </c>
      <c r="AN635" s="89" t="str">
        <f>+IF($AG635=AN$22,MONTH($D635),"")</f>
        <v/>
      </c>
      <c r="AO635" s="89" t="str">
        <f>+IF($AG635=AO$22,MONTH($D635),"")</f>
        <v/>
      </c>
      <c r="AP635" s="89" t="str">
        <f>+IF($AG635=AP$22,MONTH($D635),"")</f>
        <v/>
      </c>
      <c r="AQ635" s="89" t="str">
        <f>+IF($AG635=AQ$22,MONTH($D635),"")</f>
        <v/>
      </c>
      <c r="AR635" s="89" t="str">
        <f>+IF($AG635=AR$22,MONTH($D635),"")</f>
        <v/>
      </c>
      <c r="AS635" s="89" t="str">
        <f>+IF($AG635=AS$22,MONTH($D635),"")</f>
        <v/>
      </c>
      <c r="AT635" s="89" t="str">
        <f>+IF($AG635=AT$22,MONTH($D635),"")</f>
        <v/>
      </c>
      <c r="AU635" s="89" t="str">
        <f>+IF($AG635=AU$22,MONTH($D635),"")</f>
        <v/>
      </c>
      <c r="AV635" s="89" t="str">
        <f>+IF($AG635=AV$22,MONTH($D635),"")</f>
        <v/>
      </c>
      <c r="AW635" s="86" t="str">
        <f>+IF($AG635=AW$22,MONTH($D635),"")</f>
        <v/>
      </c>
      <c r="AX635" s="86" t="str">
        <f>+IF($AG635=AX$22,MONTH($D635),"")</f>
        <v/>
      </c>
    </row>
    <row r="636" spans="1:68" s="89" customFormat="1" ht="29.25" hidden="1" customHeight="1">
      <c r="A636" s="204"/>
      <c r="B636" s="204">
        <f>VALUE(RIGHT(C636,LEN(C636)-2))</f>
        <v>2087</v>
      </c>
      <c r="C636" s="74" t="s">
        <v>2443</v>
      </c>
      <c r="D636" s="75">
        <v>45475</v>
      </c>
      <c r="E636" s="70" t="s">
        <v>2444</v>
      </c>
      <c r="F636" s="70" t="s">
        <v>2444</v>
      </c>
      <c r="G636" s="68" t="s">
        <v>210</v>
      </c>
      <c r="H636" s="307" t="s">
        <v>256</v>
      </c>
      <c r="I636" s="69" t="s">
        <v>2445</v>
      </c>
      <c r="J636" s="69"/>
      <c r="K636" s="68" t="s">
        <v>13</v>
      </c>
      <c r="L636" s="68" t="s">
        <v>123</v>
      </c>
      <c r="M636" s="68" t="s">
        <v>141</v>
      </c>
      <c r="N636" s="69" t="e" vm="1">
        <v>#VALUE!</v>
      </c>
      <c r="O636" s="84">
        <v>45524</v>
      </c>
      <c r="P636" s="72" t="s">
        <v>701</v>
      </c>
      <c r="Q636" s="72" t="s">
        <v>240</v>
      </c>
      <c r="R636" s="162"/>
      <c r="S636" s="146"/>
      <c r="T636" s="68" t="s">
        <v>165</v>
      </c>
      <c r="U636" s="87"/>
      <c r="V636" s="80">
        <v>45562</v>
      </c>
      <c r="W636" s="73">
        <v>16061</v>
      </c>
      <c r="X636" s="73">
        <v>667</v>
      </c>
      <c r="Y636" s="169">
        <f>IF(SUM(W636:W636)&gt;0,X636/SUM(W636:W636)*1000000,"N/A")</f>
        <v>41529.170039225457</v>
      </c>
      <c r="Z636" s="80"/>
      <c r="AA636" s="80"/>
      <c r="AB636" s="73"/>
      <c r="AC636" s="153"/>
      <c r="AD636" s="330"/>
      <c r="AE636" s="305"/>
      <c r="AF636" s="88"/>
      <c r="AG636" s="182">
        <f>YEAR(V636)</f>
        <v>2024</v>
      </c>
      <c r="AH636" s="86" t="str">
        <f>+IF(AF636=$AI$22,MONTH(U636),"")</f>
        <v/>
      </c>
      <c r="AI636" s="86" t="str">
        <f>+IF(AG636=$AI$22,MONTH(V636),"")</f>
        <v/>
      </c>
      <c r="AJ636" s="86">
        <f>+IF(AG636=$AJ$22,MONTH(V636),"")</f>
        <v>9</v>
      </c>
      <c r="AK636" s="86" t="str">
        <f>+IF(AG636=$AK$22,MONTH(V636),"")</f>
        <v/>
      </c>
      <c r="AL636" s="86" t="str">
        <f>+IF(AG636=$AL$22,MONTH(V636),"")</f>
        <v/>
      </c>
      <c r="AM636" s="86" t="str">
        <f>+IF($AG636=$AM$22,MONTH($D636),"")</f>
        <v/>
      </c>
      <c r="AN636" s="89" t="str">
        <f>+IF($AG636=AN$22,MONTH($D636),"")</f>
        <v/>
      </c>
      <c r="AO636" s="89" t="str">
        <f>+IF($AG636=AO$22,MONTH($D636),"")</f>
        <v/>
      </c>
      <c r="AP636" s="89" t="str">
        <f>+IF($AG636=AP$22,MONTH($D636),"")</f>
        <v/>
      </c>
      <c r="AQ636" s="89" t="str">
        <f>+IF($AG636=AQ$22,MONTH($D636),"")</f>
        <v/>
      </c>
      <c r="AR636" s="89" t="str">
        <f>+IF($AG636=AR$22,MONTH($D636),"")</f>
        <v/>
      </c>
      <c r="AS636" s="89" t="str">
        <f>+IF($AG636=AS$22,MONTH($D636),"")</f>
        <v/>
      </c>
      <c r="AT636" s="89" t="str">
        <f>+IF($AG636=AT$22,MONTH($D636),"")</f>
        <v/>
      </c>
      <c r="AU636" s="89" t="str">
        <f>+IF($AG636=AU$22,MONTH($D636),"")</f>
        <v/>
      </c>
      <c r="AV636" s="89" t="str">
        <f>+IF($AG636=AV$22,MONTH($D636),"")</f>
        <v/>
      </c>
      <c r="AW636" s="86" t="str">
        <f>+IF($AG636=AW$22,MONTH($D636),"")</f>
        <v/>
      </c>
      <c r="AX636" s="86" t="str">
        <f>+IF($AG636=AX$22,MONTH($D636),"")</f>
        <v/>
      </c>
    </row>
    <row r="637" spans="1:68" s="89" customFormat="1" ht="29.25" hidden="1" customHeight="1">
      <c r="A637" s="204"/>
      <c r="B637" s="204">
        <f>VALUE(RIGHT(C637,LEN(C637)-2))</f>
        <v>2086</v>
      </c>
      <c r="C637" s="74" t="s">
        <v>2446</v>
      </c>
      <c r="D637" s="75">
        <v>45475</v>
      </c>
      <c r="E637" s="70" t="s">
        <v>1321</v>
      </c>
      <c r="F637" s="70" t="s">
        <v>460</v>
      </c>
      <c r="G637" s="68" t="s">
        <v>2447</v>
      </c>
      <c r="H637" s="307"/>
      <c r="I637" s="69" t="s">
        <v>2448</v>
      </c>
      <c r="J637" s="69"/>
      <c r="K637" s="68" t="s">
        <v>13</v>
      </c>
      <c r="L637" s="68" t="s">
        <v>123</v>
      </c>
      <c r="M637" s="68" t="s">
        <v>141</v>
      </c>
      <c r="N637" s="69" t="e" vm="1">
        <v>#VALUE!</v>
      </c>
      <c r="O637" s="84">
        <v>45539</v>
      </c>
      <c r="P637" s="72" t="s">
        <v>1154</v>
      </c>
      <c r="Q637" s="72" t="s">
        <v>220</v>
      </c>
      <c r="R637" s="162"/>
      <c r="S637" s="146"/>
      <c r="T637" s="68" t="s">
        <v>165</v>
      </c>
      <c r="U637" s="87"/>
      <c r="V637" s="80">
        <v>45539</v>
      </c>
      <c r="W637" s="73">
        <v>23904</v>
      </c>
      <c r="X637" s="73">
        <v>1292</v>
      </c>
      <c r="Y637" s="169">
        <f>IF(SUM(W637:W637)&gt;0,X637/SUM(W637:W637)*1000000,"N/A")</f>
        <v>54049.531459170015</v>
      </c>
      <c r="Z637" s="80"/>
      <c r="AA637" s="80"/>
      <c r="AB637" s="73"/>
      <c r="AC637" s="153"/>
      <c r="AD637" s="330"/>
      <c r="AE637" s="305"/>
      <c r="AF637" s="88"/>
      <c r="AG637" s="182">
        <f>YEAR(V637)</f>
        <v>2024</v>
      </c>
      <c r="AH637" s="86" t="str">
        <f>+IF(AF637=$AI$22,MONTH(U637),"")</f>
        <v/>
      </c>
      <c r="AI637" s="86" t="str">
        <f>+IF(AG637=$AI$22,MONTH(V637),"")</f>
        <v/>
      </c>
      <c r="AJ637" s="86">
        <f>+IF(AG637=$AJ$22,MONTH(V637),"")</f>
        <v>9</v>
      </c>
      <c r="AK637" s="86" t="str">
        <f>+IF(AG637=$AK$22,MONTH(V637),"")</f>
        <v/>
      </c>
      <c r="AL637" s="86" t="str">
        <f>+IF(AG637=$AL$22,MONTH(V637),"")</f>
        <v/>
      </c>
      <c r="AM637" s="86" t="str">
        <f>+IF($AG637=$AM$22,MONTH($D637),"")</f>
        <v/>
      </c>
      <c r="AN637" s="89" t="str">
        <f>+IF($AG637=AN$22,MONTH($D637),"")</f>
        <v/>
      </c>
      <c r="AO637" s="89" t="str">
        <f>+IF($AG637=AO$22,MONTH($D637),"")</f>
        <v/>
      </c>
      <c r="AP637" s="89" t="str">
        <f>+IF($AG637=AP$22,MONTH($D637),"")</f>
        <v/>
      </c>
      <c r="AQ637" s="89" t="str">
        <f>+IF($AG637=AQ$22,MONTH($D637),"")</f>
        <v/>
      </c>
      <c r="AR637" s="89" t="str">
        <f>+IF($AG637=AR$22,MONTH($D637),"")</f>
        <v/>
      </c>
      <c r="AS637" s="89" t="str">
        <f>+IF($AG637=AS$22,MONTH($D637),"")</f>
        <v/>
      </c>
      <c r="AT637" s="89" t="str">
        <f>+IF($AG637=AT$22,MONTH($D637),"")</f>
        <v/>
      </c>
      <c r="AU637" s="89" t="str">
        <f>+IF($AG637=AU$22,MONTH($D637),"")</f>
        <v/>
      </c>
      <c r="AV637" s="89" t="str">
        <f>+IF($AG637=AV$22,MONTH($D637),"")</f>
        <v/>
      </c>
      <c r="AW637" s="86" t="str">
        <f>+IF($AG637=AW$22,MONTH($D637),"")</f>
        <v/>
      </c>
      <c r="AX637" s="86" t="str">
        <f>+IF($AG637=AX$22,MONTH($D637),"")</f>
        <v/>
      </c>
    </row>
    <row r="638" spans="1:68" s="89" customFormat="1" ht="29.25" hidden="1" customHeight="1">
      <c r="A638" s="204">
        <f>+IFERROR(VALUE(MID(AB638,4,4)),"")</f>
        <v>395</v>
      </c>
      <c r="B638" s="204">
        <f>VALUE(RIGHT(C638,LEN(C638)-2))</f>
        <v>2085</v>
      </c>
      <c r="C638" s="74" t="s">
        <v>2449</v>
      </c>
      <c r="D638" s="75">
        <v>45475</v>
      </c>
      <c r="E638" s="70" t="s">
        <v>473</v>
      </c>
      <c r="F638" s="70" t="s">
        <v>473</v>
      </c>
      <c r="G638" s="68" t="s">
        <v>1983</v>
      </c>
      <c r="H638" s="307" t="s">
        <v>2450</v>
      </c>
      <c r="I638" s="69" t="s">
        <v>2451</v>
      </c>
      <c r="J638" s="69"/>
      <c r="K638" s="68" t="s">
        <v>13</v>
      </c>
      <c r="L638" s="68" t="s">
        <v>123</v>
      </c>
      <c r="M638" s="68" t="s">
        <v>141</v>
      </c>
      <c r="N638" s="69" t="e" vm="1">
        <v>#VALUE!</v>
      </c>
      <c r="O638" s="84">
        <v>45483</v>
      </c>
      <c r="P638" s="72" t="s">
        <v>2024</v>
      </c>
      <c r="Q638" s="72" t="s">
        <v>316</v>
      </c>
      <c r="R638" s="162"/>
      <c r="S638" s="146" t="s">
        <v>2452</v>
      </c>
      <c r="T638" s="68" t="s">
        <v>3</v>
      </c>
      <c r="U638" s="87"/>
      <c r="V638" s="80">
        <v>45510</v>
      </c>
      <c r="W638" s="73">
        <v>2394</v>
      </c>
      <c r="X638" s="73">
        <v>115.4</v>
      </c>
      <c r="Y638" s="169">
        <f>IF(SUM(W638:W638)&gt;0,X638/SUM(W638:W638)*1000000,"N/A")</f>
        <v>48203.842940685048</v>
      </c>
      <c r="Z638" s="80"/>
      <c r="AA638" s="80"/>
      <c r="AB638" s="73" t="s">
        <v>2453</v>
      </c>
      <c r="AC638" s="153"/>
      <c r="AD638" s="330"/>
      <c r="AE638" s="305"/>
      <c r="AF638" s="88"/>
      <c r="AG638" s="182">
        <f>YEAR(V638)</f>
        <v>2024</v>
      </c>
      <c r="AH638" s="86" t="str">
        <f>+IF(AF638=$AI$22,MONTH(U638),"")</f>
        <v/>
      </c>
      <c r="AI638" s="86" t="str">
        <f>+IF(AG638=$AI$22,MONTH(V638),"")</f>
        <v/>
      </c>
      <c r="AJ638" s="86">
        <f>+IF(AG638=$AJ$22,MONTH(V638),"")</f>
        <v>8</v>
      </c>
      <c r="AK638" s="86" t="str">
        <f>+IF(AG638=$AK$22,MONTH(V638),"")</f>
        <v/>
      </c>
      <c r="AL638" s="86" t="str">
        <f>+IF(AG638=$AL$22,MONTH(V638),"")</f>
        <v/>
      </c>
      <c r="AM638" s="86" t="str">
        <f>+IF($AG638=$AM$22,MONTH($D638),"")</f>
        <v/>
      </c>
      <c r="AN638" s="89" t="str">
        <f>+IF($AG638=AN$22,MONTH($D638),"")</f>
        <v/>
      </c>
      <c r="AO638" s="89" t="str">
        <f>+IF($AG638=AO$22,MONTH($D638),"")</f>
        <v/>
      </c>
      <c r="AP638" s="89" t="str">
        <f>+IF($AG638=AP$22,MONTH($D638),"")</f>
        <v/>
      </c>
      <c r="AQ638" s="89" t="str">
        <f>+IF($AG638=AQ$22,MONTH($D638),"")</f>
        <v/>
      </c>
      <c r="AR638" s="89" t="str">
        <f>+IF($AG638=AR$22,MONTH($D638),"")</f>
        <v/>
      </c>
      <c r="AS638" s="89" t="str">
        <f>+IF($AG638=AS$22,MONTH($D638),"")</f>
        <v/>
      </c>
      <c r="AT638" s="89" t="str">
        <f>+IF($AG638=AT$22,MONTH($D638),"")</f>
        <v/>
      </c>
      <c r="AU638" s="89" t="str">
        <f>+IF($AG638=AU$22,MONTH($D638),"")</f>
        <v/>
      </c>
      <c r="AV638" s="89" t="str">
        <f>+IF($AG638=AV$22,MONTH($D638),"")</f>
        <v/>
      </c>
      <c r="AW638" s="86" t="str">
        <f>+IF($AG638=AW$22,MONTH($D638),"")</f>
        <v/>
      </c>
      <c r="AX638" s="86" t="str">
        <f>+IF($AG638=AX$22,MONTH($D638),"")</f>
        <v/>
      </c>
    </row>
    <row r="639" spans="1:68" s="89" customFormat="1" ht="29.25" hidden="1" customHeight="1">
      <c r="A639" s="204"/>
      <c r="B639" s="204">
        <f>VALUE(RIGHT(C639,LEN(C639)-2))</f>
        <v>2084</v>
      </c>
      <c r="C639" s="74" t="s">
        <v>2454</v>
      </c>
      <c r="D639" s="75">
        <v>45474</v>
      </c>
      <c r="E639" s="70" t="s">
        <v>50</v>
      </c>
      <c r="F639" s="70" t="s">
        <v>50</v>
      </c>
      <c r="G639" s="68" t="s">
        <v>2455</v>
      </c>
      <c r="H639" s="282" t="s">
        <v>2456</v>
      </c>
      <c r="I639" s="69" t="s">
        <v>2457</v>
      </c>
      <c r="J639" s="69"/>
      <c r="K639" s="68" t="s">
        <v>13</v>
      </c>
      <c r="L639" s="68" t="s">
        <v>123</v>
      </c>
      <c r="M639" s="68" t="s">
        <v>141</v>
      </c>
      <c r="N639" s="69" t="e" vm="1">
        <v>#VALUE!</v>
      </c>
      <c r="O639" s="84">
        <v>45527</v>
      </c>
      <c r="P639" s="72" t="s">
        <v>289</v>
      </c>
      <c r="Q639" s="72" t="s">
        <v>623</v>
      </c>
      <c r="R639" s="162"/>
      <c r="S639" s="176">
        <v>0.75</v>
      </c>
      <c r="T639" s="68" t="s">
        <v>165</v>
      </c>
      <c r="U639" s="87"/>
      <c r="V639" s="80">
        <v>45475</v>
      </c>
      <c r="W639" s="73">
        <v>2550</v>
      </c>
      <c r="X639" s="73">
        <f>3279*37780/1000000</f>
        <v>123.88061999999999</v>
      </c>
      <c r="Y639" s="83">
        <f>IF(SUM(W639:W639)&gt;0,X639/SUM(W639:W639)*1000000,"N/A")</f>
        <v>48580.635294117645</v>
      </c>
      <c r="Z639" s="80"/>
      <c r="AA639" s="80"/>
      <c r="AB639" s="73"/>
      <c r="AC639" s="153"/>
      <c r="AD639" s="331"/>
      <c r="AE639" s="57"/>
      <c r="AF639" s="88"/>
      <c r="AG639" s="182">
        <f>YEAR(V639)</f>
        <v>2024</v>
      </c>
      <c r="AH639" s="86" t="str">
        <f>+IF(AF639=$AI$22,MONTH(U639),"")</f>
        <v/>
      </c>
      <c r="AI639" s="86" t="str">
        <f>+IF(AG639=$AI$22,MONTH(V639),"")</f>
        <v/>
      </c>
      <c r="AJ639" s="86">
        <f>+IF(AG639=$AJ$22,MONTH(V639),"")</f>
        <v>7</v>
      </c>
      <c r="AK639" s="86" t="str">
        <f>+IF(AG639=$AK$22,MONTH(V639),"")</f>
        <v/>
      </c>
      <c r="AL639" s="86" t="str">
        <f>+IF(AG639=$AL$22,MONTH(V639),"")</f>
        <v/>
      </c>
      <c r="AM639" s="86" t="str">
        <f>+IF($AG639=$AM$22,MONTH($D639),"")</f>
        <v/>
      </c>
      <c r="AN639" s="89" t="str">
        <f>+IF($AG639=AN$22,MONTH($D639),"")</f>
        <v/>
      </c>
      <c r="AO639" s="89" t="str">
        <f>+IF($AG639=AO$22,MONTH($D639),"")</f>
        <v/>
      </c>
      <c r="AP639" s="89" t="str">
        <f>+IF($AG639=AP$22,MONTH($D639),"")</f>
        <v/>
      </c>
      <c r="AQ639" s="89" t="str">
        <f>+IF($AG639=AQ$22,MONTH($D639),"")</f>
        <v/>
      </c>
      <c r="AR639" s="89" t="str">
        <f>+IF($AG639=AR$22,MONTH($D639),"")</f>
        <v/>
      </c>
      <c r="AS639" s="89" t="str">
        <f>+IF($AG639=AS$22,MONTH($D639),"")</f>
        <v/>
      </c>
      <c r="AT639" s="89" t="str">
        <f>+IF($AG639=AT$22,MONTH($D639),"")</f>
        <v/>
      </c>
      <c r="AU639" s="89" t="str">
        <f>+IF($AG639=AU$22,MONTH($D639),"")</f>
        <v/>
      </c>
      <c r="AV639" s="89" t="str">
        <f>+IF($AG639=AV$22,MONTH($D639),"")</f>
        <v/>
      </c>
      <c r="AW639" s="86"/>
      <c r="AX639" s="86"/>
    </row>
    <row r="640" spans="1:68" s="89" customFormat="1" ht="29.25" hidden="1" customHeight="1">
      <c r="A640" s="204" t="str">
        <f>+IFERROR(VALUE(MID(AB640,4,4)),"")</f>
        <v/>
      </c>
      <c r="B640" s="204">
        <f>VALUE(RIGHT(C640,LEN(C640)-2))</f>
        <v>2083</v>
      </c>
      <c r="C640" s="74" t="s">
        <v>2458</v>
      </c>
      <c r="D640" s="75">
        <v>45468</v>
      </c>
      <c r="E640" s="70" t="s">
        <v>745</v>
      </c>
      <c r="F640" s="70" t="s">
        <v>1289</v>
      </c>
      <c r="G640" s="68" t="s">
        <v>2459</v>
      </c>
      <c r="H640" s="282" t="s">
        <v>2460</v>
      </c>
      <c r="I640" s="162" t="s">
        <v>2461</v>
      </c>
      <c r="J640" s="162"/>
      <c r="K640" s="68" t="s">
        <v>9</v>
      </c>
      <c r="L640" s="68" t="s">
        <v>120</v>
      </c>
      <c r="M640" s="68" t="s">
        <v>141</v>
      </c>
      <c r="N640" s="69" t="e" vm="1">
        <v>#VALUE!</v>
      </c>
      <c r="O640" s="164">
        <v>45471</v>
      </c>
      <c r="P640" s="72" t="s">
        <v>1154</v>
      </c>
      <c r="Q640" s="72" t="s">
        <v>623</v>
      </c>
      <c r="R640" s="162"/>
      <c r="S640" s="146"/>
      <c r="T640" s="68" t="s">
        <v>155</v>
      </c>
      <c r="U640" s="87"/>
      <c r="V640" s="183">
        <v>45469</v>
      </c>
      <c r="W640" s="73"/>
      <c r="X640" s="73"/>
      <c r="Y640" s="83" t="str">
        <f>IF(SUM(W640:W640)&gt;0,X640/SUM(W640:W640)*1000000,"N/A")</f>
        <v>N/A</v>
      </c>
      <c r="Z640" s="183"/>
      <c r="AA640" s="183"/>
      <c r="AB640" s="73"/>
      <c r="AC640" s="153"/>
      <c r="AD640" s="331"/>
      <c r="AE640" s="57"/>
      <c r="AF640" s="88"/>
      <c r="AG640" s="182">
        <f>YEAR(V640)</f>
        <v>2024</v>
      </c>
      <c r="AH640" s="86" t="str">
        <f>+IF(AF640=$AI$22,MONTH(U640),"")</f>
        <v/>
      </c>
      <c r="AI640" s="86" t="str">
        <f>+IF(AG640=$AI$22,MONTH(V640),"")</f>
        <v/>
      </c>
      <c r="AJ640" s="86">
        <f>+IF(AG640=$AJ$22,MONTH(V640),"")</f>
        <v>6</v>
      </c>
      <c r="AK640" s="86" t="str">
        <f>+IF(AG640=$AK$22,MONTH(V640),"")</f>
        <v/>
      </c>
      <c r="AL640" s="86" t="str">
        <f>+IF(AG640=$AL$22,MONTH(V640),"")</f>
        <v/>
      </c>
      <c r="AM640" s="86" t="str">
        <f>+IF($AG640=$AM$22,MONTH($D640),"")</f>
        <v/>
      </c>
      <c r="AN640" s="89" t="str">
        <f>+IF($AG640=AN$22,MONTH($D640),"")</f>
        <v/>
      </c>
      <c r="AO640" s="89" t="str">
        <f>+IF($AG640=AO$22,MONTH($D640),"")</f>
        <v/>
      </c>
      <c r="AP640" s="89" t="str">
        <f>+IF($AG640=AP$22,MONTH($D640),"")</f>
        <v/>
      </c>
      <c r="AQ640" s="89" t="str">
        <f>+IF($AG640=AQ$22,MONTH($D640),"")</f>
        <v/>
      </c>
      <c r="AR640" s="89" t="str">
        <f>+IF($AG640=AR$22,MONTH($D640),"")</f>
        <v/>
      </c>
      <c r="AS640" s="89" t="str">
        <f>+IF($AG640=AS$22,MONTH($D640),"")</f>
        <v/>
      </c>
      <c r="AT640" s="89" t="str">
        <f>+IF($AG640=AT$22,MONTH($D640),"")</f>
        <v/>
      </c>
      <c r="AU640" s="89" t="str">
        <f>+IF($AG640=AU$22,MONTH($D640),"")</f>
        <v/>
      </c>
      <c r="AV640" s="89" t="str">
        <f>+IF($AG640=AV$22,MONTH($D640),"")</f>
        <v/>
      </c>
      <c r="AW640" s="86" t="str">
        <f>+IF($AG640=AW$22,MONTH($D640),"")</f>
        <v/>
      </c>
      <c r="AX640" s="86" t="str">
        <f>+IF($AG640=AX$22,MONTH($D640),"")</f>
        <v/>
      </c>
      <c r="BJ640" s="182"/>
      <c r="BK640" s="182"/>
      <c r="BL640" s="182"/>
      <c r="BM640" s="182"/>
    </row>
    <row r="641" spans="1:68" s="319" customFormat="1" ht="43.5" hidden="1" customHeight="1">
      <c r="A641" s="204" t="str">
        <f>+IFERROR(VALUE(MID(AB641,4,4)),"")</f>
        <v/>
      </c>
      <c r="B641" s="204">
        <f>VALUE(RIGHT(C641,LEN(C641)-2))</f>
        <v>2082</v>
      </c>
      <c r="C641" s="74" t="s">
        <v>2462</v>
      </c>
      <c r="D641" s="75">
        <v>45464</v>
      </c>
      <c r="E641" s="70" t="s">
        <v>473</v>
      </c>
      <c r="F641" s="70" t="s">
        <v>473</v>
      </c>
      <c r="G641" s="68" t="s">
        <v>2463</v>
      </c>
      <c r="H641" s="307" t="s">
        <v>2450</v>
      </c>
      <c r="I641" s="69" t="s">
        <v>2464</v>
      </c>
      <c r="J641" s="69"/>
      <c r="K641" s="68" t="s">
        <v>212</v>
      </c>
      <c r="L641" s="69" t="s">
        <v>120</v>
      </c>
      <c r="M641" s="71" t="s">
        <v>141</v>
      </c>
      <c r="N641" s="69" t="e" vm="1">
        <v>#VALUE!</v>
      </c>
      <c r="O641" s="84">
        <v>45470</v>
      </c>
      <c r="P641" s="72" t="s">
        <v>2356</v>
      </c>
      <c r="Q641" s="72" t="s">
        <v>316</v>
      </c>
      <c r="R641" s="162"/>
      <c r="S641" s="146"/>
      <c r="T641" s="68" t="s">
        <v>155</v>
      </c>
      <c r="U641" s="87"/>
      <c r="V641" s="80">
        <v>45467</v>
      </c>
      <c r="W641" s="73"/>
      <c r="X641" s="73"/>
      <c r="Y641" s="169" t="str">
        <f>IF(SUM(W641:W641)&gt;0,X641/SUM(W641:W641)*1000000,"N/A")</f>
        <v>N/A</v>
      </c>
      <c r="Z641" s="80"/>
      <c r="AA641" s="80"/>
      <c r="AB641" s="73"/>
      <c r="AC641" s="153"/>
      <c r="AD641" s="330" t="s">
        <v>2465</v>
      </c>
      <c r="AE641" s="305"/>
      <c r="AF641" s="88"/>
      <c r="AG641" s="182">
        <f>YEAR(V641)</f>
        <v>2024</v>
      </c>
      <c r="AH641" s="86" t="str">
        <f>+IF(AF641=$AI$22,MONTH(U641),"")</f>
        <v/>
      </c>
      <c r="AI641" s="86" t="str">
        <f>+IF(AG641=$AI$22,MONTH(V641),"")</f>
        <v/>
      </c>
      <c r="AJ641" s="86">
        <f>+IF(AG641=$AJ$22,MONTH(V641),"")</f>
        <v>6</v>
      </c>
      <c r="AK641" s="86" t="str">
        <f>+IF(AG641=$AK$22,MONTH(V641),"")</f>
        <v/>
      </c>
      <c r="AL641" s="86" t="str">
        <f>+IF(AG641=$AL$22,MONTH(V641),"")</f>
        <v/>
      </c>
      <c r="AM641" s="86" t="str">
        <f>+IF($AG641=$AM$22,MONTH($D641),"")</f>
        <v/>
      </c>
      <c r="AN641" s="89" t="str">
        <f>+IF($AG641=AN$22,MONTH($D641),"")</f>
        <v/>
      </c>
      <c r="AO641" s="89" t="str">
        <f>+IF($AG641=AO$22,MONTH($D641),"")</f>
        <v/>
      </c>
      <c r="AP641" s="89" t="str">
        <f>+IF($AG641=AP$22,MONTH($D641),"")</f>
        <v/>
      </c>
      <c r="AQ641" s="89" t="str">
        <f>+IF($AG641=AQ$22,MONTH($D641),"")</f>
        <v/>
      </c>
      <c r="AR641" s="89" t="str">
        <f>+IF($AG641=AR$22,MONTH($D641),"")</f>
        <v/>
      </c>
      <c r="AS641" s="89" t="str">
        <f>+IF($AG641=AS$22,MONTH($D641),"")</f>
        <v/>
      </c>
      <c r="AT641" s="89" t="str">
        <f>+IF($AG641=AT$22,MONTH($D641),"")</f>
        <v/>
      </c>
      <c r="AU641" s="89" t="str">
        <f>+IF($AG641=AU$22,MONTH($D641),"")</f>
        <v/>
      </c>
      <c r="AV641" s="89" t="str">
        <f>+IF($AG641=AV$22,MONTH($D641),"")</f>
        <v/>
      </c>
      <c r="AW641" s="86" t="str">
        <f>+IF($AG641=AW$22,MONTH($D641),"")</f>
        <v/>
      </c>
      <c r="AX641" s="86" t="str">
        <f>+IF($AG641=AX$22,MONTH($D641),"")</f>
        <v/>
      </c>
      <c r="AY641" s="89"/>
      <c r="AZ641" s="89"/>
      <c r="BA641" s="89"/>
      <c r="BB641" s="89"/>
      <c r="BC641" s="89"/>
      <c r="BD641" s="89"/>
      <c r="BE641" s="89"/>
      <c r="BF641" s="89"/>
      <c r="BG641" s="89"/>
      <c r="BH641" s="89"/>
      <c r="BI641" s="89"/>
      <c r="BJ641" s="182"/>
      <c r="BK641" s="182"/>
      <c r="BL641" s="182"/>
      <c r="BM641" s="182"/>
      <c r="BN641" s="182"/>
      <c r="BO641" s="182"/>
      <c r="BP641" s="182"/>
    </row>
    <row r="642" spans="1:68" s="319" customFormat="1" ht="29.25" hidden="1" customHeight="1">
      <c r="A642" s="204">
        <f>+IFERROR(VALUE(MID(AB642,4,4)),"")</f>
        <v>361</v>
      </c>
      <c r="B642" s="204">
        <f>VALUE(RIGHT(C642,LEN(C642)-2))</f>
        <v>2081</v>
      </c>
      <c r="C642" s="74" t="s">
        <v>2466</v>
      </c>
      <c r="D642" s="75">
        <v>45461</v>
      </c>
      <c r="E642" s="70" t="s">
        <v>939</v>
      </c>
      <c r="F642" s="70" t="s">
        <v>940</v>
      </c>
      <c r="G642" s="68" t="s">
        <v>2409</v>
      </c>
      <c r="H642" s="59"/>
      <c r="I642" s="69" t="s">
        <v>2467</v>
      </c>
      <c r="J642" s="69"/>
      <c r="K642" s="68" t="s">
        <v>13</v>
      </c>
      <c r="L642" s="69" t="s">
        <v>123</v>
      </c>
      <c r="M642" s="71" t="s">
        <v>141</v>
      </c>
      <c r="N642" s="69" t="e" vm="1">
        <v>#VALUE!</v>
      </c>
      <c r="O642" s="84">
        <v>45464</v>
      </c>
      <c r="P642" s="164" t="s">
        <v>1154</v>
      </c>
      <c r="Q642" s="72" t="s">
        <v>259</v>
      </c>
      <c r="R642" s="162"/>
      <c r="S642" s="146"/>
      <c r="T642" s="68" t="s">
        <v>165</v>
      </c>
      <c r="U642" s="87"/>
      <c r="V642" s="80">
        <v>45464</v>
      </c>
      <c r="W642" s="73">
        <v>743</v>
      </c>
      <c r="X642" s="73">
        <v>30</v>
      </c>
      <c r="Y642" s="83">
        <f>IF(SUM(W642:W642)&gt;0,X642/SUM(W642:W642)*1000000,"N/A")</f>
        <v>40376.850605652755</v>
      </c>
      <c r="Z642" s="80"/>
      <c r="AA642" s="80"/>
      <c r="AB642" s="73" t="s">
        <v>2468</v>
      </c>
      <c r="AC642" s="153">
        <v>45544</v>
      </c>
      <c r="AD642" s="331" t="s">
        <v>2469</v>
      </c>
      <c r="AE642" s="57"/>
      <c r="AF642" s="88"/>
      <c r="AG642" s="182">
        <f>YEAR(V642)</f>
        <v>2024</v>
      </c>
      <c r="AH642" s="86" t="str">
        <f>+IF(AF642=$AI$22,MONTH(U642),"")</f>
        <v/>
      </c>
      <c r="AI642" s="86" t="str">
        <f>+IF(AG642=$AI$22,MONTH(V642),"")</f>
        <v/>
      </c>
      <c r="AJ642" s="86">
        <f>+IF(AG642=$AJ$22,MONTH(V642),"")</f>
        <v>6</v>
      </c>
      <c r="AK642" s="86" t="str">
        <f>+IF(AG642=$AK$22,MONTH(V642),"")</f>
        <v/>
      </c>
      <c r="AL642" s="86" t="str">
        <f>+IF(AG642=$AL$22,MONTH(V642),"")</f>
        <v/>
      </c>
      <c r="AM642" s="86" t="str">
        <f>+IF($AG642=$AM$22,MONTH($D642),"")</f>
        <v/>
      </c>
      <c r="AN642" s="89" t="str">
        <f>+IF($AG642=AN$22,MONTH($D642),"")</f>
        <v/>
      </c>
      <c r="AO642" s="89" t="str">
        <f>+IF($AG642=AO$22,MONTH($D642),"")</f>
        <v/>
      </c>
      <c r="AP642" s="89" t="str">
        <f>+IF($AG642=AP$22,MONTH($D642),"")</f>
        <v/>
      </c>
      <c r="AQ642" s="89" t="str">
        <f>+IF($AG642=AQ$22,MONTH($D642),"")</f>
        <v/>
      </c>
      <c r="AR642" s="89" t="str">
        <f>+IF($AG642=AR$22,MONTH($D642),"")</f>
        <v/>
      </c>
      <c r="AS642" s="89" t="str">
        <f>+IF($AG642=AS$22,MONTH($D642),"")</f>
        <v/>
      </c>
      <c r="AT642" s="89" t="str">
        <f>+IF($AG642=AT$22,MONTH($D642),"")</f>
        <v/>
      </c>
      <c r="AU642" s="89" t="str">
        <f>+IF($AG642=AU$22,MONTH($D642),"")</f>
        <v/>
      </c>
      <c r="AV642" s="89" t="str">
        <f>+IF($AG642=AV$22,MONTH($D642),"")</f>
        <v/>
      </c>
      <c r="AW642" s="86" t="str">
        <f>+IF($AG642=AW$22,MONTH($D642),"")</f>
        <v/>
      </c>
      <c r="AX642" s="86" t="str">
        <f>+IF($AG642=AX$22,MONTH($D642),"")</f>
        <v/>
      </c>
      <c r="AY642" s="89"/>
      <c r="AZ642" s="89"/>
      <c r="BA642" s="89"/>
      <c r="BB642" s="89"/>
      <c r="BC642" s="89"/>
      <c r="BD642" s="89"/>
      <c r="BE642" s="89"/>
      <c r="BF642" s="89"/>
      <c r="BG642" s="89"/>
      <c r="BH642" s="89"/>
      <c r="BI642" s="89"/>
      <c r="BJ642" s="182"/>
      <c r="BK642" s="182"/>
      <c r="BL642" s="182"/>
      <c r="BM642" s="182"/>
      <c r="BN642" s="182"/>
      <c r="BO642" s="182"/>
      <c r="BP642" s="182"/>
    </row>
    <row r="643" spans="1:68" s="319" customFormat="1" ht="27" hidden="1" customHeight="1">
      <c r="A643" s="204">
        <f>+IFERROR(VALUE(MID(AB643,4,4)),"")</f>
        <v>387</v>
      </c>
      <c r="B643" s="204">
        <f>VALUE(RIGHT(C643,LEN(C643)-2))</f>
        <v>2080</v>
      </c>
      <c r="C643" s="74" t="s">
        <v>2470</v>
      </c>
      <c r="D643" s="75">
        <v>45462</v>
      </c>
      <c r="E643" s="68" t="s">
        <v>1621</v>
      </c>
      <c r="F643" s="68" t="s">
        <v>2286</v>
      </c>
      <c r="G643" s="68" t="s">
        <v>2287</v>
      </c>
      <c r="H643" s="59" t="s">
        <v>2288</v>
      </c>
      <c r="I643" s="69" t="s">
        <v>2471</v>
      </c>
      <c r="J643" s="69"/>
      <c r="K643" s="68" t="s">
        <v>13</v>
      </c>
      <c r="L643" s="69" t="s">
        <v>120</v>
      </c>
      <c r="M643" s="71" t="s">
        <v>113</v>
      </c>
      <c r="N643" s="69" t="e" vm="4">
        <v>#VALUE!</v>
      </c>
      <c r="O643" s="84">
        <v>45473</v>
      </c>
      <c r="P643" s="69" t="s">
        <v>1629</v>
      </c>
      <c r="Q643" s="69" t="s">
        <v>623</v>
      </c>
      <c r="R643" s="69"/>
      <c r="S643" s="146"/>
      <c r="T643" s="68" t="s">
        <v>3</v>
      </c>
      <c r="U643" s="87"/>
      <c r="V643" s="80">
        <v>45474</v>
      </c>
      <c r="W643" s="73">
        <v>213</v>
      </c>
      <c r="X643" s="216">
        <v>10.1</v>
      </c>
      <c r="Y643" s="83">
        <f>IF(SUM(W643:W643)&gt;0,X643/SUM(W643:W643)*1000000,"N/A")</f>
        <v>47417.840375586857</v>
      </c>
      <c r="Z643" s="80"/>
      <c r="AA643" s="80"/>
      <c r="AB643" s="73" t="s">
        <v>2472</v>
      </c>
      <c r="AC643" s="75"/>
      <c r="AD643" s="332"/>
      <c r="AE643" s="68"/>
      <c r="AF643" s="73"/>
      <c r="AG643" s="182">
        <f>YEAR(V643)</f>
        <v>2024</v>
      </c>
      <c r="AH643" s="86" t="str">
        <f>+IF(AF643=$AI$22,MONTH(U643),"")</f>
        <v/>
      </c>
      <c r="AI643" s="86" t="str">
        <f>+IF(AG643=$AI$22,MONTH(V643),"")</f>
        <v/>
      </c>
      <c r="AJ643" s="86">
        <f>+IF(AG643=$AJ$22,MONTH(V643),"")</f>
        <v>7</v>
      </c>
      <c r="AK643" s="86" t="str">
        <f>+IF(AG643=$AK$22,MONTH(V643),"")</f>
        <v/>
      </c>
      <c r="AL643" s="86" t="str">
        <f>+IF(AG643=$AL$22,MONTH(V643),"")</f>
        <v/>
      </c>
      <c r="AM643" s="86" t="str">
        <f>+IF($AG643=$AM$22,MONTH($D643),"")</f>
        <v/>
      </c>
      <c r="AN643" s="89" t="str">
        <f>+IF($AG643=AN$22,MONTH($D643),"")</f>
        <v/>
      </c>
      <c r="AO643" s="184" t="str">
        <f>+IF($AG643=AO$22,MONTH($D643),"")</f>
        <v/>
      </c>
      <c r="AP643" s="184" t="str">
        <f>+IF($AG643=AP$22,MONTH($D643),"")</f>
        <v/>
      </c>
      <c r="AQ643" s="184" t="str">
        <f>+IF($AG643=AQ$22,MONTH($D643),"")</f>
        <v/>
      </c>
      <c r="AR643" s="184" t="str">
        <f>+IF($AG643=AR$22,MONTH($D643),"")</f>
        <v/>
      </c>
      <c r="AS643" s="184" t="str">
        <f>+IF($AG643=AS$22,MONTH($D643),"")</f>
        <v/>
      </c>
      <c r="AT643" s="86" t="str">
        <f>+IF($AG643=AT$22,MONTH($D643),"")</f>
        <v/>
      </c>
      <c r="AU643" s="86" t="str">
        <f>+IF($AG643=AU$22,MONTH($D643),"")</f>
        <v/>
      </c>
      <c r="AV643" s="86" t="str">
        <f>+IF($AG643=AV$22,MONTH($D643),"")</f>
        <v/>
      </c>
      <c r="AW643" s="86" t="str">
        <f>+IF($AG643=AW$22,MONTH($D643),"")</f>
        <v/>
      </c>
      <c r="AX643" s="86" t="str">
        <f>+IF($AG643=AX$22,MONTH($D643),"")</f>
        <v/>
      </c>
      <c r="AY643" s="89"/>
      <c r="AZ643" s="89"/>
      <c r="BA643" s="89"/>
      <c r="BB643" s="89"/>
      <c r="BC643" s="89"/>
      <c r="BD643" s="89"/>
      <c r="BE643" s="89"/>
      <c r="BF643" s="89"/>
      <c r="BG643" s="89"/>
      <c r="BH643" s="89"/>
      <c r="BI643" s="89"/>
      <c r="BJ643" s="89"/>
      <c r="BK643" s="89"/>
      <c r="BL643" s="89"/>
      <c r="BM643" s="89"/>
      <c r="BN643" s="182"/>
      <c r="BO643" s="182"/>
      <c r="BP643" s="182"/>
    </row>
    <row r="644" spans="1:68" s="89" customFormat="1" ht="35.25" hidden="1" customHeight="1">
      <c r="A644" s="204">
        <f>+IFERROR(VALUE(MID(AB644,4,4)),"")</f>
        <v>387</v>
      </c>
      <c r="B644" s="204">
        <f>VALUE(RIGHT(C644,LEN(C644)-2))</f>
        <v>2079</v>
      </c>
      <c r="C644" s="74" t="s">
        <v>2473</v>
      </c>
      <c r="D644" s="75">
        <v>45462</v>
      </c>
      <c r="E644" s="68" t="s">
        <v>1621</v>
      </c>
      <c r="F644" s="68" t="s">
        <v>2286</v>
      </c>
      <c r="G644" s="68" t="s">
        <v>2287</v>
      </c>
      <c r="H644" s="59" t="s">
        <v>2288</v>
      </c>
      <c r="I644" s="69" t="s">
        <v>2289</v>
      </c>
      <c r="J644" s="69"/>
      <c r="K644" s="68" t="s">
        <v>13</v>
      </c>
      <c r="L644" s="68" t="s">
        <v>120</v>
      </c>
      <c r="M644" s="68" t="s">
        <v>113</v>
      </c>
      <c r="N644" s="69" t="e" vm="4">
        <v>#VALUE!</v>
      </c>
      <c r="O644" s="84">
        <v>45473</v>
      </c>
      <c r="P644" s="69" t="s">
        <v>1629</v>
      </c>
      <c r="Q644" s="69" t="s">
        <v>623</v>
      </c>
      <c r="R644" s="69"/>
      <c r="S644" s="146"/>
      <c r="T644" s="68" t="s">
        <v>3</v>
      </c>
      <c r="U644" s="87"/>
      <c r="V644" s="80">
        <v>45474</v>
      </c>
      <c r="W644" s="73">
        <v>213</v>
      </c>
      <c r="X644" s="216">
        <v>10.1</v>
      </c>
      <c r="Y644" s="83">
        <f>IF(SUM(W644:W644)&gt;0,X644/SUM(W644:W644)*1000000,"N/A")</f>
        <v>47417.840375586857</v>
      </c>
      <c r="Z644" s="80"/>
      <c r="AA644" s="80"/>
      <c r="AB644" s="73" t="s">
        <v>2472</v>
      </c>
      <c r="AC644" s="75"/>
      <c r="AD644" s="332"/>
      <c r="AE644" s="68"/>
      <c r="AF644" s="73"/>
      <c r="AG644" s="182">
        <f>YEAR(V644)</f>
        <v>2024</v>
      </c>
      <c r="AH644" s="86" t="str">
        <f>+IF(AF644=$AI$22,MONTH(U644),"")</f>
        <v/>
      </c>
      <c r="AI644" s="86" t="str">
        <f>+IF(AG644=$AI$22,MONTH(V644),"")</f>
        <v/>
      </c>
      <c r="AJ644" s="86">
        <f>+IF(AG644=$AJ$22,MONTH(V644),"")</f>
        <v>7</v>
      </c>
      <c r="AK644" s="86" t="str">
        <f>+IF(AG644=$AK$22,MONTH(V644),"")</f>
        <v/>
      </c>
      <c r="AL644" s="86" t="str">
        <f>+IF(AG644=$AL$22,MONTH(V644),"")</f>
        <v/>
      </c>
      <c r="AM644" s="86" t="str">
        <f>+IF($AG644=$AM$22,MONTH($D644),"")</f>
        <v/>
      </c>
      <c r="AN644" s="89" t="str">
        <f>+IF($AG644=AN$22,MONTH($D644),"")</f>
        <v/>
      </c>
      <c r="AO644" s="184" t="str">
        <f>+IF($AG644=AO$22,MONTH($D644),"")</f>
        <v/>
      </c>
      <c r="AP644" s="184" t="str">
        <f>+IF($AG644=AP$22,MONTH($D644),"")</f>
        <v/>
      </c>
      <c r="AQ644" s="184" t="str">
        <f>+IF($AG644=AQ$22,MONTH($D644),"")</f>
        <v/>
      </c>
      <c r="AR644" s="184" t="str">
        <f>+IF($AG644=AR$22,MONTH($D644),"")</f>
        <v/>
      </c>
      <c r="AS644" s="184" t="str">
        <f>+IF($AG644=AS$22,MONTH($D644),"")</f>
        <v/>
      </c>
      <c r="AT644" s="86" t="str">
        <f>+IF($AG644=AT$22,MONTH($D644),"")</f>
        <v/>
      </c>
      <c r="AU644" s="86" t="str">
        <f>+IF($AG644=AU$22,MONTH($D644),"")</f>
        <v/>
      </c>
      <c r="AV644" s="86" t="str">
        <f>+IF($AG644=AV$22,MONTH($D644),"")</f>
        <v/>
      </c>
      <c r="AW644" s="86" t="str">
        <f>+IF($AG644=AW$22,MONTH($D644),"")</f>
        <v/>
      </c>
      <c r="AX644" s="86" t="str">
        <f>+IF($AG644=AX$22,MONTH($D644),"")</f>
        <v/>
      </c>
    </row>
    <row r="645" spans="1:68" s="89" customFormat="1" ht="26.25" hidden="1" customHeight="1">
      <c r="A645" s="204" t="str">
        <f>+IFERROR(VALUE(MID(AB645,4,4)),"")</f>
        <v/>
      </c>
      <c r="B645" s="204">
        <f>VALUE(RIGHT(C645,LEN(C645)-2))</f>
        <v>2078</v>
      </c>
      <c r="C645" s="74" t="s">
        <v>2474</v>
      </c>
      <c r="D645" s="75">
        <v>45461</v>
      </c>
      <c r="E645" s="70" t="s">
        <v>332</v>
      </c>
      <c r="F645" s="70" t="s">
        <v>332</v>
      </c>
      <c r="G645" s="68" t="s">
        <v>333</v>
      </c>
      <c r="H645" s="59" t="s">
        <v>334</v>
      </c>
      <c r="I645" s="162" t="s">
        <v>2475</v>
      </c>
      <c r="J645" s="162"/>
      <c r="K645" s="68" t="s">
        <v>13</v>
      </c>
      <c r="L645" s="68" t="s">
        <v>129</v>
      </c>
      <c r="M645" s="68" t="s">
        <v>141</v>
      </c>
      <c r="N645" s="69" t="e" vm="1">
        <v>#VALUE!</v>
      </c>
      <c r="O645" s="164">
        <v>45464</v>
      </c>
      <c r="P645" s="72" t="s">
        <v>382</v>
      </c>
      <c r="Q645" s="72" t="s">
        <v>240</v>
      </c>
      <c r="R645" s="162"/>
      <c r="S645" s="146"/>
      <c r="T645" s="68" t="s">
        <v>165</v>
      </c>
      <c r="U645" s="87"/>
      <c r="V645" s="183">
        <v>45470</v>
      </c>
      <c r="W645" s="73">
        <v>1081</v>
      </c>
      <c r="X645" s="73">
        <v>44.8</v>
      </c>
      <c r="Y645" s="83">
        <f>IF(SUM(W645:W645)&gt;0,X645/SUM(W645:W645)*1000000,"N/A")</f>
        <v>41443.108233117484</v>
      </c>
      <c r="Z645" s="183"/>
      <c r="AA645" s="183"/>
      <c r="AB645" s="73"/>
      <c r="AC645" s="153"/>
      <c r="AD645" s="331" t="s">
        <v>2476</v>
      </c>
      <c r="AE645" s="57"/>
      <c r="AF645" s="88"/>
      <c r="AG645" s="182">
        <f>YEAR(V645)</f>
        <v>2024</v>
      </c>
      <c r="AH645" s="86" t="str">
        <f>+IF(AF645=$AI$22,MONTH(U645),"")</f>
        <v/>
      </c>
      <c r="AI645" s="86" t="str">
        <f>+IF(AG645=$AI$22,MONTH(V645),"")</f>
        <v/>
      </c>
      <c r="AJ645" s="86">
        <f>+IF(AG645=$AJ$22,MONTH(V645),"")</f>
        <v>6</v>
      </c>
      <c r="AK645" s="86" t="str">
        <f>+IF(AG645=$AK$22,MONTH(V645),"")</f>
        <v/>
      </c>
      <c r="AL645" s="86"/>
      <c r="AW645" s="86" t="str">
        <f>+IF($AG645=AW$22,MONTH($D645),"")</f>
        <v/>
      </c>
      <c r="AX645" s="86" t="str">
        <f>+IF($AG645=AX$22,MONTH($D645),"")</f>
        <v/>
      </c>
    </row>
    <row r="646" spans="1:68" s="89" customFormat="1" ht="26.25" hidden="1" customHeight="1">
      <c r="A646" s="204" t="str">
        <f>+IFERROR(VALUE(MID(AB646,4,4)),"")</f>
        <v/>
      </c>
      <c r="B646" s="204">
        <f>VALUE(RIGHT(C646,LEN(C646)-2))</f>
        <v>2077</v>
      </c>
      <c r="C646" s="74" t="s">
        <v>2477</v>
      </c>
      <c r="D646" s="75">
        <v>45460</v>
      </c>
      <c r="E646" s="70" t="s">
        <v>53</v>
      </c>
      <c r="F646" s="70" t="s">
        <v>313</v>
      </c>
      <c r="G646" s="68" t="s">
        <v>210</v>
      </c>
      <c r="H646" s="59" t="s">
        <v>256</v>
      </c>
      <c r="I646" s="69" t="s">
        <v>2478</v>
      </c>
      <c r="J646" s="69"/>
      <c r="K646" s="68" t="s">
        <v>798</v>
      </c>
      <c r="L646" s="68" t="s">
        <v>123</v>
      </c>
      <c r="M646" s="68" t="s">
        <v>141</v>
      </c>
      <c r="N646" s="69" t="e" vm="1">
        <v>#VALUE!</v>
      </c>
      <c r="O646" s="84">
        <v>45533</v>
      </c>
      <c r="P646" s="72" t="s">
        <v>2370</v>
      </c>
      <c r="Q646" s="72" t="s">
        <v>229</v>
      </c>
      <c r="R646" s="162"/>
      <c r="S646" s="146" t="s">
        <v>2479</v>
      </c>
      <c r="T646" s="68" t="s">
        <v>165</v>
      </c>
      <c r="U646" s="87"/>
      <c r="V646" s="80">
        <v>45602</v>
      </c>
      <c r="W646" s="73">
        <v>8466</v>
      </c>
      <c r="X646" s="73">
        <v>421</v>
      </c>
      <c r="Y646" s="83">
        <f>IF(SUM(W646:W646)&gt;0,X646/SUM(W646:W646)*1000000,"N/A")</f>
        <v>49728.325064965742</v>
      </c>
      <c r="Z646" s="80"/>
      <c r="AA646" s="80"/>
      <c r="AB646" s="73"/>
      <c r="AC646" s="153"/>
      <c r="AD646" s="331"/>
      <c r="AE646" s="57"/>
      <c r="AF646" s="88"/>
      <c r="AG646" s="182">
        <f>YEAR(V646)</f>
        <v>2024</v>
      </c>
      <c r="AH646" s="86" t="str">
        <f>+IF(AF646=$AI$22,MONTH(U646),"")</f>
        <v/>
      </c>
      <c r="AI646" s="86" t="str">
        <f>+IF(AG646=$AI$22,MONTH(V646),"")</f>
        <v/>
      </c>
      <c r="AJ646" s="86">
        <f>+IF(AG646=$AJ$22,MONTH(V646),"")</f>
        <v>11</v>
      </c>
      <c r="AK646" s="86" t="str">
        <f>+IF(AG646=$AK$22,MONTH(V646),"")</f>
        <v/>
      </c>
      <c r="AL646" s="86" t="str">
        <f>+IF(AG646=$AL$22,MONTH(V646),"")</f>
        <v/>
      </c>
      <c r="AM646" s="86" t="str">
        <f>+IF($AG646=$AM$22,MONTH($D646),"")</f>
        <v/>
      </c>
      <c r="AN646" s="89" t="str">
        <f>+IF($AG646=AN$22,MONTH($D646),"")</f>
        <v/>
      </c>
      <c r="AO646" s="89" t="str">
        <f>+IF($AG646=AO$22,MONTH($D646),"")</f>
        <v/>
      </c>
      <c r="AP646" s="89" t="str">
        <f>+IF($AG646=AP$22,MONTH($D646),"")</f>
        <v/>
      </c>
      <c r="AQ646" s="89" t="str">
        <f>+IF($AG646=AQ$22,MONTH($D646),"")</f>
        <v/>
      </c>
      <c r="AR646" s="89" t="str">
        <f>+IF($AG646=AR$22,MONTH($D646),"")</f>
        <v/>
      </c>
      <c r="AS646" s="89" t="str">
        <f>+IF($AG646=AS$22,MONTH($D646),"")</f>
        <v/>
      </c>
      <c r="AT646" s="89" t="str">
        <f>+IF($AG646=AT$22,MONTH($D646),"")</f>
        <v/>
      </c>
      <c r="AU646" s="89" t="str">
        <f>+IF($AG646=AU$22,MONTH($D646),"")</f>
        <v/>
      </c>
      <c r="AV646" s="89" t="str">
        <f>+IF($AG646=AV$22,MONTH($D646),"")</f>
        <v/>
      </c>
      <c r="AW646" s="86" t="str">
        <f>+IF($AG646=AW$22,MONTH($D646),"")</f>
        <v/>
      </c>
      <c r="AX646" s="86" t="str">
        <f>+IF($AG646=AX$22,MONTH($D646),"")</f>
        <v/>
      </c>
    </row>
    <row r="647" spans="1:68" s="56" customFormat="1" ht="25.5" hidden="1" customHeight="1">
      <c r="A647" s="204">
        <f>+IFERROR(VALUE(MID(AB647,4,4)),"")</f>
        <v>398</v>
      </c>
      <c r="B647" s="204">
        <f>VALUE(RIGHT(C647,LEN(C647)-2))</f>
        <v>2076</v>
      </c>
      <c r="C647" s="74" t="s">
        <v>2480</v>
      </c>
      <c r="D647" s="75">
        <v>45460</v>
      </c>
      <c r="E647" s="70" t="s">
        <v>479</v>
      </c>
      <c r="F647" s="70" t="s">
        <v>479</v>
      </c>
      <c r="G647" s="68" t="s">
        <v>1737</v>
      </c>
      <c r="H647" s="307" t="s">
        <v>2481</v>
      </c>
      <c r="I647" s="162" t="s">
        <v>2482</v>
      </c>
      <c r="J647" s="162"/>
      <c r="K647" s="68" t="s">
        <v>9</v>
      </c>
      <c r="L647" s="69" t="s">
        <v>129</v>
      </c>
      <c r="M647" s="71" t="s">
        <v>113</v>
      </c>
      <c r="N647" s="69" t="e" vm="2">
        <v>#VALUE!</v>
      </c>
      <c r="O647" s="164">
        <v>45485</v>
      </c>
      <c r="P647" s="72" t="s">
        <v>2483</v>
      </c>
      <c r="Q647" s="72" t="s">
        <v>229</v>
      </c>
      <c r="R647" s="162"/>
      <c r="S647" s="146"/>
      <c r="T647" s="68" t="s">
        <v>3</v>
      </c>
      <c r="U647" s="87"/>
      <c r="V647" s="183">
        <v>45515</v>
      </c>
      <c r="W647" s="73">
        <v>10211</v>
      </c>
      <c r="X647" s="73">
        <v>302.60000000000002</v>
      </c>
      <c r="Y647" s="83">
        <f>IF(SUM(W647:W647)&gt;0,X647/SUM(W647:W647)*1000000,"N/A")</f>
        <v>29634.707668200965</v>
      </c>
      <c r="Z647" s="183"/>
      <c r="AA647" s="183"/>
      <c r="AB647" s="73" t="s">
        <v>2484</v>
      </c>
      <c r="AC647" s="153"/>
      <c r="AD647" s="330"/>
      <c r="AE647" s="305"/>
      <c r="AF647" s="88"/>
      <c r="AG647" s="182">
        <f>YEAR(V647)</f>
        <v>2024</v>
      </c>
      <c r="AH647" s="86" t="str">
        <f>+IF(AF647=$AI$22,MONTH(U647),"")</f>
        <v/>
      </c>
      <c r="AI647" s="86" t="str">
        <f>+IF(AG647=$AI$22,MONTH(V647),"")</f>
        <v/>
      </c>
      <c r="AJ647" s="86">
        <f>+IF(AG647=$AJ$22,MONTH(V647),"")</f>
        <v>8</v>
      </c>
      <c r="AK647" s="86" t="str">
        <f>+IF(AG647=$AK$22,MONTH(V647),"")</f>
        <v/>
      </c>
      <c r="AL647" s="86"/>
      <c r="AM647" s="89"/>
      <c r="AN647" s="89"/>
      <c r="AO647" s="89"/>
      <c r="AP647" s="89"/>
      <c r="AQ647" s="89"/>
      <c r="AR647" s="89"/>
      <c r="AS647" s="89"/>
      <c r="AT647" s="89"/>
      <c r="AU647" s="89"/>
      <c r="AV647" s="89"/>
      <c r="AW647" s="86" t="str">
        <f>+IF($AG647=AW$22,MONTH($D647),"")</f>
        <v/>
      </c>
      <c r="AX647" s="86" t="str">
        <f>+IF($AG647=AX$22,MONTH($D647),"")</f>
        <v/>
      </c>
      <c r="AY647" s="89"/>
      <c r="AZ647" s="89"/>
      <c r="BA647" s="89"/>
      <c r="BB647" s="89"/>
      <c r="BC647" s="89"/>
      <c r="BD647" s="89"/>
      <c r="BE647" s="89"/>
      <c r="BF647" s="89"/>
      <c r="BG647" s="89"/>
      <c r="BH647" s="89"/>
      <c r="BI647" s="89"/>
      <c r="BJ647" s="89"/>
      <c r="BK647" s="89"/>
      <c r="BL647" s="89"/>
      <c r="BM647" s="89"/>
      <c r="BN647" s="89"/>
      <c r="BO647" s="89"/>
      <c r="BP647" s="89"/>
    </row>
    <row r="648" spans="1:68" s="56" customFormat="1" ht="36.75" hidden="1" customHeight="1">
      <c r="A648" s="204" t="str">
        <f>+IFERROR(VALUE(MID(AB648,4,4)),"")</f>
        <v/>
      </c>
      <c r="B648" s="204">
        <f>VALUE(RIGHT(C648,LEN(C648)-2))</f>
        <v>2075</v>
      </c>
      <c r="C648" s="74" t="s">
        <v>2485</v>
      </c>
      <c r="D648" s="75">
        <v>45456</v>
      </c>
      <c r="E648" s="70" t="s">
        <v>473</v>
      </c>
      <c r="F648" s="70" t="s">
        <v>473</v>
      </c>
      <c r="G648" s="68" t="s">
        <v>2463</v>
      </c>
      <c r="H648" s="307" t="s">
        <v>2450</v>
      </c>
      <c r="I648" s="69" t="s">
        <v>2486</v>
      </c>
      <c r="J648" s="69"/>
      <c r="K648" s="68" t="s">
        <v>9</v>
      </c>
      <c r="L648" s="69" t="s">
        <v>120</v>
      </c>
      <c r="M648" s="71" t="s">
        <v>141</v>
      </c>
      <c r="N648" s="69" t="e" vm="1">
        <v>#VALUE!</v>
      </c>
      <c r="O648" s="84">
        <v>45467</v>
      </c>
      <c r="P648" s="72" t="s">
        <v>377</v>
      </c>
      <c r="Q648" s="72" t="s">
        <v>316</v>
      </c>
      <c r="R648" s="162"/>
      <c r="S648" s="146"/>
      <c r="T648" s="68" t="s">
        <v>165</v>
      </c>
      <c r="U648" s="87"/>
      <c r="V648" s="80">
        <v>45469</v>
      </c>
      <c r="W648" s="73">
        <v>2996</v>
      </c>
      <c r="X648" s="73">
        <v>151.6</v>
      </c>
      <c r="Y648" s="169">
        <f>IF(SUM(W648:W648)&gt;0,X648/SUM(W648:W648)*1000000,"N/A")</f>
        <v>50600.801068090783</v>
      </c>
      <c r="Z648" s="80"/>
      <c r="AA648" s="80"/>
      <c r="AB648" s="73"/>
      <c r="AC648" s="153">
        <v>45488</v>
      </c>
      <c r="AD648" s="330" t="s">
        <v>2487</v>
      </c>
      <c r="AE648" s="305"/>
      <c r="AF648" s="88"/>
      <c r="AG648" s="182">
        <f>YEAR(V648)</f>
        <v>2024</v>
      </c>
      <c r="AH648" s="86" t="str">
        <f>+IF(AF648=$AI$22,MONTH(U648),"")</f>
        <v/>
      </c>
      <c r="AI648" s="86" t="str">
        <f>+IF(AG648=$AI$22,MONTH(V648),"")</f>
        <v/>
      </c>
      <c r="AJ648" s="86">
        <f>+IF(AG648=$AJ$22,MONTH(V648),"")</f>
        <v>6</v>
      </c>
      <c r="AK648" s="86" t="str">
        <f>+IF(AG648=$AK$22,MONTH(V648),"")</f>
        <v/>
      </c>
      <c r="AL648" s="86" t="str">
        <f>+IF(AG648=$AL$22,MONTH(V648),"")</f>
        <v/>
      </c>
      <c r="AM648" s="86" t="str">
        <f>+IF($AG648=$AM$22,MONTH($D648),"")</f>
        <v/>
      </c>
      <c r="AN648" s="89" t="str">
        <f>+IF($AG648=AN$22,MONTH($D648),"")</f>
        <v/>
      </c>
      <c r="AO648" s="89" t="str">
        <f>+IF($AG648=AO$22,MONTH($D648),"")</f>
        <v/>
      </c>
      <c r="AP648" s="89" t="str">
        <f>+IF($AG648=AP$22,MONTH($D648),"")</f>
        <v/>
      </c>
      <c r="AQ648" s="89" t="str">
        <f>+IF($AG648=AQ$22,MONTH($D648),"")</f>
        <v/>
      </c>
      <c r="AR648" s="89" t="str">
        <f>+IF($AG648=AR$22,MONTH($D648),"")</f>
        <v/>
      </c>
      <c r="AS648" s="89" t="str">
        <f>+IF($AG648=AS$22,MONTH($D648),"")</f>
        <v/>
      </c>
      <c r="AT648" s="89" t="str">
        <f>+IF($AG648=AT$22,MONTH($D648),"")</f>
        <v/>
      </c>
      <c r="AU648" s="89" t="str">
        <f>+IF($AG648=AU$22,MONTH($D648),"")</f>
        <v/>
      </c>
      <c r="AV648" s="89" t="str">
        <f>+IF($AG648=AV$22,MONTH($D648),"")</f>
        <v/>
      </c>
      <c r="AW648" s="86" t="str">
        <f>+IF($AG648=AW$22,MONTH($D648),"")</f>
        <v/>
      </c>
      <c r="AX648" s="86" t="str">
        <f>+IF($AG648=AX$22,MONTH($D648),"")</f>
        <v/>
      </c>
      <c r="AY648" s="89"/>
      <c r="AZ648" s="89"/>
      <c r="BA648" s="89"/>
      <c r="BB648" s="89"/>
      <c r="BC648" s="89"/>
      <c r="BD648" s="89"/>
      <c r="BE648" s="89"/>
      <c r="BF648" s="89"/>
      <c r="BG648" s="89"/>
      <c r="BH648" s="89"/>
      <c r="BI648" s="89"/>
      <c r="BJ648" s="89"/>
      <c r="BK648" s="89"/>
      <c r="BL648" s="89"/>
      <c r="BM648" s="89"/>
      <c r="BN648" s="89"/>
      <c r="BO648" s="89"/>
      <c r="BP648" s="89"/>
    </row>
    <row r="649" spans="1:68" s="56" customFormat="1" ht="28.5" hidden="1" customHeight="1">
      <c r="A649" s="204" t="str">
        <f>+IFERROR(VALUE(MID(AB649,4,4)),"")</f>
        <v/>
      </c>
      <c r="B649" s="204">
        <f>VALUE(RIGHT(C649,LEN(C649)-2))</f>
        <v>2074</v>
      </c>
      <c r="C649" s="74" t="s">
        <v>2488</v>
      </c>
      <c r="D649" s="75">
        <v>45450</v>
      </c>
      <c r="E649" s="70" t="s">
        <v>479</v>
      </c>
      <c r="F649" s="70" t="s">
        <v>479</v>
      </c>
      <c r="G649" s="68" t="s">
        <v>2489</v>
      </c>
      <c r="H649" s="307" t="s">
        <v>1420</v>
      </c>
      <c r="I649" s="162" t="s">
        <v>2490</v>
      </c>
      <c r="J649" s="162"/>
      <c r="K649" s="68" t="s">
        <v>9</v>
      </c>
      <c r="L649" s="69" t="s">
        <v>129</v>
      </c>
      <c r="M649" s="71" t="s">
        <v>113</v>
      </c>
      <c r="N649" s="69" t="e" vm="2">
        <v>#VALUE!</v>
      </c>
      <c r="O649" s="164">
        <v>45456</v>
      </c>
      <c r="P649" s="72" t="s">
        <v>2483</v>
      </c>
      <c r="Q649" s="72" t="s">
        <v>229</v>
      </c>
      <c r="R649" s="162"/>
      <c r="S649" s="146"/>
      <c r="T649" s="68" t="s">
        <v>165</v>
      </c>
      <c r="U649" s="87"/>
      <c r="V649" s="183">
        <v>45456</v>
      </c>
      <c r="W649" s="73">
        <v>982</v>
      </c>
      <c r="X649" s="73">
        <v>34.4</v>
      </c>
      <c r="Y649" s="83">
        <f>IF(SUM(W649:W649)&gt;0,X649/SUM(W649:W649)*1000000,"N/A")</f>
        <v>35030.54989816701</v>
      </c>
      <c r="Z649" s="183"/>
      <c r="AA649" s="183"/>
      <c r="AB649" s="73"/>
      <c r="AC649" s="153">
        <v>45509</v>
      </c>
      <c r="AD649" s="330" t="s">
        <v>2491</v>
      </c>
      <c r="AE649" s="305"/>
      <c r="AF649" s="88"/>
      <c r="AG649" s="182">
        <f>YEAR(V649)</f>
        <v>2024</v>
      </c>
      <c r="AH649" s="86" t="str">
        <f>+IF(AF649=$AI$22,MONTH(U649),"")</f>
        <v/>
      </c>
      <c r="AI649" s="86" t="str">
        <f>+IF(AG649=$AI$22,MONTH(V649),"")</f>
        <v/>
      </c>
      <c r="AJ649" s="86">
        <f>+IF(AG649=$AJ$22,MONTH(V649),"")</f>
        <v>6</v>
      </c>
      <c r="AK649" s="86" t="str">
        <f>+IF(AG649=$AK$22,MONTH(V649),"")</f>
        <v/>
      </c>
      <c r="AL649" s="86"/>
      <c r="AM649" s="89"/>
      <c r="AN649" s="89"/>
      <c r="AO649" s="89"/>
      <c r="AP649" s="89"/>
      <c r="AQ649" s="89"/>
      <c r="AR649" s="89"/>
      <c r="AS649" s="89"/>
      <c r="AT649" s="89"/>
      <c r="AU649" s="89"/>
      <c r="AV649" s="89"/>
      <c r="AW649" s="86" t="str">
        <f>+IF($AG649=AW$22,MONTH($D649),"")</f>
        <v/>
      </c>
      <c r="AX649" s="86" t="str">
        <f>+IF($AG649=AX$22,MONTH($D649),"")</f>
        <v/>
      </c>
      <c r="AY649" s="89"/>
      <c r="AZ649" s="89"/>
      <c r="BA649" s="89"/>
      <c r="BB649" s="89"/>
      <c r="BC649" s="89"/>
      <c r="BD649" s="89"/>
      <c r="BE649" s="89"/>
      <c r="BF649" s="89"/>
      <c r="BG649" s="89"/>
      <c r="BH649" s="89"/>
      <c r="BI649" s="89"/>
      <c r="BJ649" s="89"/>
      <c r="BK649" s="89"/>
      <c r="BL649" s="89"/>
      <c r="BM649" s="89"/>
      <c r="BN649" s="89"/>
      <c r="BO649" s="89"/>
      <c r="BP649" s="89"/>
    </row>
    <row r="650" spans="1:68" s="56" customFormat="1" ht="26.25" hidden="1" customHeight="1">
      <c r="A650" s="204">
        <f>+IFERROR(VALUE(MID(AB650,4,4)),"")</f>
        <v>389</v>
      </c>
      <c r="B650" s="204">
        <f>VALUE(RIGHT(C650,LEN(C650)-2))</f>
        <v>2073</v>
      </c>
      <c r="C650" s="74" t="s">
        <v>2492</v>
      </c>
      <c r="D650" s="75">
        <v>45455</v>
      </c>
      <c r="E650" s="70" t="s">
        <v>262</v>
      </c>
      <c r="F650" s="70" t="s">
        <v>270</v>
      </c>
      <c r="G650" s="68" t="s">
        <v>2299</v>
      </c>
      <c r="H650" s="282" t="s">
        <v>2300</v>
      </c>
      <c r="I650" s="69" t="s">
        <v>2493</v>
      </c>
      <c r="J650" s="69"/>
      <c r="K650" s="68" t="s">
        <v>14</v>
      </c>
      <c r="L650" s="69" t="s">
        <v>120</v>
      </c>
      <c r="M650" s="71" t="s">
        <v>141</v>
      </c>
      <c r="N650" s="69" t="e" vm="1">
        <v>#VALUE!</v>
      </c>
      <c r="O650" s="84">
        <v>45462</v>
      </c>
      <c r="P650" s="72" t="s">
        <v>666</v>
      </c>
      <c r="Q650" s="72" t="s">
        <v>623</v>
      </c>
      <c r="R650" s="162"/>
      <c r="S650" s="146"/>
      <c r="T650" s="68" t="s">
        <v>3</v>
      </c>
      <c r="U650" s="87"/>
      <c r="V650" s="80">
        <v>45456</v>
      </c>
      <c r="W650" s="73">
        <v>1999</v>
      </c>
      <c r="X650" s="73">
        <v>97.7</v>
      </c>
      <c r="Y650" s="169">
        <f>IF(SUM(W650:W650)&gt;0,X650/SUM(W650:W650)*1000000,"N/A")</f>
        <v>48874.437218609302</v>
      </c>
      <c r="Z650" s="80"/>
      <c r="AA650" s="80"/>
      <c r="AB650" s="73" t="s">
        <v>2494</v>
      </c>
      <c r="AC650" s="153"/>
      <c r="AD650" s="331"/>
      <c r="AE650" s="57"/>
      <c r="AF650" s="88"/>
      <c r="AG650" s="182">
        <f>YEAR(V650)</f>
        <v>2024</v>
      </c>
      <c r="AH650" s="86" t="str">
        <f>+IF(AF650=$AI$22,MONTH(U650),"")</f>
        <v/>
      </c>
      <c r="AI650" s="86" t="str">
        <f>+IF(AG650=$AI$22,MONTH(V650),"")</f>
        <v/>
      </c>
      <c r="AJ650" s="86">
        <f>+IF(AG650=$AJ$22,MONTH(V650),"")</f>
        <v>6</v>
      </c>
      <c r="AK650" s="86" t="str">
        <f>+IF(AG650=$AK$22,MONTH(V650),"")</f>
        <v/>
      </c>
      <c r="AL650" s="86" t="str">
        <f>+IF(AG650=$AL$22,MONTH(V650),"")</f>
        <v/>
      </c>
      <c r="AM650" s="86" t="str">
        <f>+IF($AG650=$AM$22,MONTH($D650),"")</f>
        <v/>
      </c>
      <c r="AN650" s="89" t="str">
        <f>+IF($AG650=AN$22,MONTH($D650),"")</f>
        <v/>
      </c>
      <c r="AO650" s="89" t="str">
        <f>+IF($AG650=AO$22,MONTH($D650),"")</f>
        <v/>
      </c>
      <c r="AP650" s="89" t="str">
        <f>+IF($AG650=AP$22,MONTH($D650),"")</f>
        <v/>
      </c>
      <c r="AQ650" s="89" t="str">
        <f>+IF($AG650=AQ$22,MONTH($D650),"")</f>
        <v/>
      </c>
      <c r="AR650" s="89" t="str">
        <f>+IF($AG650=AR$22,MONTH($D650),"")</f>
        <v/>
      </c>
      <c r="AS650" s="89" t="str">
        <f>+IF($AG650=AS$22,MONTH($D650),"")</f>
        <v/>
      </c>
      <c r="AT650" s="89" t="str">
        <f>+IF($AG650=AT$22,MONTH($D650),"")</f>
        <v/>
      </c>
      <c r="AU650" s="89" t="str">
        <f>+IF($AG650=AU$22,MONTH($D650),"")</f>
        <v/>
      </c>
      <c r="AV650" s="89" t="str">
        <f>+IF($AG650=AV$22,MONTH($D650),"")</f>
        <v/>
      </c>
      <c r="AW650" s="86" t="str">
        <f>+IF($AG650=AW$22,MONTH($D650),"")</f>
        <v/>
      </c>
      <c r="AX650" s="86" t="str">
        <f>+IF($AG650=AX$22,MONTH($D650),"")</f>
        <v/>
      </c>
      <c r="AY650" s="89"/>
      <c r="AZ650" s="89"/>
      <c r="BA650" s="89"/>
      <c r="BB650" s="89"/>
      <c r="BC650" s="89"/>
      <c r="BD650" s="89"/>
      <c r="BE650" s="89"/>
      <c r="BF650" s="89"/>
      <c r="BG650" s="89"/>
      <c r="BH650" s="89"/>
      <c r="BI650" s="89"/>
      <c r="BJ650" s="182"/>
      <c r="BK650" s="182"/>
      <c r="BL650" s="182"/>
      <c r="BM650" s="182"/>
      <c r="BN650" s="89"/>
      <c r="BO650" s="89"/>
      <c r="BP650" s="89"/>
    </row>
    <row r="651" spans="1:68" s="182" customFormat="1" ht="36.75" hidden="1" customHeight="1">
      <c r="A651" s="204">
        <f>+IFERROR(VALUE(MID(AB651,4,4)),"")</f>
        <v>404</v>
      </c>
      <c r="B651" s="204">
        <f>VALUE(RIGHT(C651,LEN(C651)-2))</f>
        <v>2072</v>
      </c>
      <c r="C651" s="74" t="s">
        <v>2495</v>
      </c>
      <c r="D651" s="75">
        <v>45455</v>
      </c>
      <c r="E651" s="70" t="s">
        <v>479</v>
      </c>
      <c r="F651" s="70" t="s">
        <v>479</v>
      </c>
      <c r="G651" s="68" t="s">
        <v>2496</v>
      </c>
      <c r="H651" s="307" t="s">
        <v>2497</v>
      </c>
      <c r="I651" s="162" t="s">
        <v>2498</v>
      </c>
      <c r="J651" s="162"/>
      <c r="K651" s="68" t="s">
        <v>9</v>
      </c>
      <c r="L651" s="69" t="s">
        <v>129</v>
      </c>
      <c r="M651" s="71" t="s">
        <v>113</v>
      </c>
      <c r="N651" s="69" t="e" vm="2">
        <v>#VALUE!</v>
      </c>
      <c r="O651" s="164">
        <v>45464</v>
      </c>
      <c r="P651" s="72" t="s">
        <v>2499</v>
      </c>
      <c r="Q651" s="72" t="s">
        <v>229</v>
      </c>
      <c r="R651" s="162"/>
      <c r="S651" s="146"/>
      <c r="T651" s="68" t="s">
        <v>3</v>
      </c>
      <c r="U651" s="87"/>
      <c r="V651" s="183">
        <v>45551</v>
      </c>
      <c r="W651" s="73">
        <v>857</v>
      </c>
      <c r="X651" s="73">
        <v>31.7</v>
      </c>
      <c r="Y651" s="83">
        <f>IF(SUM(W651:W651)&gt;0,X651/SUM(W651:W651)*1000000,"N/A")</f>
        <v>36989.498249708282</v>
      </c>
      <c r="Z651" s="183"/>
      <c r="AA651" s="183"/>
      <c r="AB651" s="73" t="s">
        <v>2500</v>
      </c>
      <c r="AC651" s="153"/>
      <c r="AD651" s="330" t="s">
        <v>2501</v>
      </c>
      <c r="AE651" s="305"/>
      <c r="AF651" s="88"/>
      <c r="AG651" s="182">
        <f>YEAR(V651)</f>
        <v>2024</v>
      </c>
      <c r="AH651" s="86" t="str">
        <f>+IF(AF651=$AI$22,MONTH(U651),"")</f>
        <v/>
      </c>
      <c r="AI651" s="86" t="str">
        <f>+IF(AG651=$AI$22,MONTH(V651),"")</f>
        <v/>
      </c>
      <c r="AJ651" s="86">
        <f>+IF(AG651=$AJ$22,MONTH(V651),"")</f>
        <v>9</v>
      </c>
      <c r="AK651" s="86" t="str">
        <f>+IF(AG651=$AK$22,MONTH(V651),"")</f>
        <v/>
      </c>
      <c r="AL651" s="86"/>
      <c r="AM651" s="89"/>
      <c r="AN651" s="89"/>
      <c r="AO651" s="89"/>
      <c r="AP651" s="89"/>
      <c r="AQ651" s="89"/>
      <c r="AR651" s="89"/>
      <c r="AS651" s="89"/>
      <c r="AT651" s="89"/>
      <c r="AU651" s="89"/>
      <c r="AV651" s="89"/>
      <c r="AW651" s="86" t="str">
        <f>+IF($AG651=AW$22,MONTH($D651),"")</f>
        <v/>
      </c>
      <c r="AX651" s="86" t="str">
        <f>+IF($AG651=AX$22,MONTH($D651),"")</f>
        <v/>
      </c>
      <c r="AY651" s="89"/>
      <c r="AZ651" s="89"/>
      <c r="BA651" s="89"/>
      <c r="BB651" s="89"/>
      <c r="BC651" s="89"/>
      <c r="BD651" s="89"/>
      <c r="BE651" s="89"/>
      <c r="BF651" s="89"/>
      <c r="BG651" s="89"/>
      <c r="BH651" s="89"/>
      <c r="BI651" s="89"/>
      <c r="BJ651" s="89"/>
      <c r="BK651" s="89"/>
      <c r="BL651" s="89"/>
      <c r="BM651" s="89"/>
    </row>
    <row r="652" spans="1:68" s="89" customFormat="1" ht="27.75" hidden="1" customHeight="1">
      <c r="A652" s="204">
        <f>+IFERROR(VALUE(MID(AB652,4,4)),"")</f>
        <v>400</v>
      </c>
      <c r="B652" s="204">
        <f>VALUE(RIGHT(C652,LEN(C652)-2))</f>
        <v>2071</v>
      </c>
      <c r="C652" s="74" t="s">
        <v>2502</v>
      </c>
      <c r="D652" s="75">
        <v>45455</v>
      </c>
      <c r="E652" s="70" t="s">
        <v>473</v>
      </c>
      <c r="F652" s="70" t="s">
        <v>473</v>
      </c>
      <c r="G652" s="68" t="s">
        <v>2503</v>
      </c>
      <c r="H652" s="304" t="s">
        <v>2003</v>
      </c>
      <c r="I652" s="69" t="s">
        <v>2504</v>
      </c>
      <c r="J652" s="389"/>
      <c r="K652" s="95" t="s">
        <v>798</v>
      </c>
      <c r="L652" s="69" t="s">
        <v>123</v>
      </c>
      <c r="M652" s="71" t="s">
        <v>141</v>
      </c>
      <c r="N652" s="69" t="e" vm="1">
        <v>#VALUE!</v>
      </c>
      <c r="O652" s="164">
        <v>45462</v>
      </c>
      <c r="P652" s="72" t="s">
        <v>2370</v>
      </c>
      <c r="Q652" s="72" t="s">
        <v>316</v>
      </c>
      <c r="R652" s="162"/>
      <c r="S652" s="146" t="s">
        <v>2505</v>
      </c>
      <c r="T652" s="68" t="s">
        <v>3</v>
      </c>
      <c r="U652" s="87"/>
      <c r="V652" s="80">
        <v>45534</v>
      </c>
      <c r="W652" s="73">
        <v>3719</v>
      </c>
      <c r="X652" s="150">
        <v>159.5</v>
      </c>
      <c r="Y652" s="83">
        <f>IF(SUM(W652:W652)&gt;0,X652/SUM(W652:W652)*1000000,"N/A")</f>
        <v>42887.873084162406</v>
      </c>
      <c r="Z652" s="80"/>
      <c r="AA652" s="80"/>
      <c r="AB652" s="73" t="s">
        <v>2371</v>
      </c>
      <c r="AC652" s="153"/>
      <c r="AD652" s="330"/>
      <c r="AE652" s="305"/>
      <c r="AF652" s="88"/>
      <c r="AG652" s="182">
        <f>YEAR(V652)</f>
        <v>2024</v>
      </c>
      <c r="AH652" s="86" t="str">
        <f>+IF(AF652=$AI$22,MONTH(U652),"")</f>
        <v/>
      </c>
      <c r="AI652" s="86" t="str">
        <f>+IF(AG652=$AI$22,MONTH(V652),"")</f>
        <v/>
      </c>
      <c r="AJ652" s="86">
        <f>+IF(AG652=$AJ$22,MONTH(V652),"")</f>
        <v>8</v>
      </c>
      <c r="AK652" s="86" t="str">
        <f>+IF(AG652=$AK$22,MONTH(V652),"")</f>
        <v/>
      </c>
      <c r="AL652" s="86"/>
      <c r="AW652" s="86" t="str">
        <f>+IF($AG652=AW$22,MONTH($D652),"")</f>
        <v/>
      </c>
      <c r="AX652" s="86" t="str">
        <f>+IF($AG652=AX$22,MONTH($D652),"")</f>
        <v/>
      </c>
    </row>
    <row r="653" spans="1:68" s="56" customFormat="1" ht="33" hidden="1" customHeight="1">
      <c r="A653" s="204">
        <f>+IFERROR(VALUE(MID(AB653,4,4)),"")</f>
        <v>364</v>
      </c>
      <c r="B653" s="204">
        <f>VALUE(RIGHT(C653,LEN(C653)-2))</f>
        <v>2070</v>
      </c>
      <c r="C653" s="74" t="s">
        <v>2506</v>
      </c>
      <c r="D653" s="75">
        <v>45454</v>
      </c>
      <c r="E653" s="70" t="s">
        <v>262</v>
      </c>
      <c r="F653" s="70" t="s">
        <v>270</v>
      </c>
      <c r="G653" s="68" t="s">
        <v>1415</v>
      </c>
      <c r="H653" s="307" t="s">
        <v>494</v>
      </c>
      <c r="I653" s="69" t="s">
        <v>2507</v>
      </c>
      <c r="J653" s="69"/>
      <c r="K653" s="68" t="s">
        <v>9</v>
      </c>
      <c r="L653" s="69" t="s">
        <v>120</v>
      </c>
      <c r="M653" s="71" t="s">
        <v>141</v>
      </c>
      <c r="N653" s="69" t="e" vm="1">
        <v>#VALUE!</v>
      </c>
      <c r="O653" s="84">
        <v>45457</v>
      </c>
      <c r="P653" s="72" t="s">
        <v>402</v>
      </c>
      <c r="Q653" s="72" t="s">
        <v>220</v>
      </c>
      <c r="R653" s="162"/>
      <c r="S653" s="146"/>
      <c r="T653" s="68" t="s">
        <v>165</v>
      </c>
      <c r="U653" s="87"/>
      <c r="V653" s="80">
        <v>45454</v>
      </c>
      <c r="W653" s="73">
        <v>317</v>
      </c>
      <c r="X653" s="73">
        <v>18</v>
      </c>
      <c r="Y653" s="169">
        <f>IF(SUM(W653:W653)&gt;0,X653/SUM(W653:W653)*1000000,"N/A")</f>
        <v>56782.334384858048</v>
      </c>
      <c r="Z653" s="80"/>
      <c r="AA653" s="80"/>
      <c r="AB653" s="73" t="s">
        <v>2508</v>
      </c>
      <c r="AC653" s="153">
        <v>45544</v>
      </c>
      <c r="AD653" s="330" t="s">
        <v>2509</v>
      </c>
      <c r="AE653" s="305"/>
      <c r="AF653" s="88"/>
      <c r="AG653" s="182">
        <f>YEAR(V653)</f>
        <v>2024</v>
      </c>
      <c r="AH653" s="86" t="str">
        <f>+IF(AF653=$AI$22,MONTH(U653),"")</f>
        <v/>
      </c>
      <c r="AI653" s="86" t="str">
        <f>+IF(AG653=$AI$22,MONTH(V653),"")</f>
        <v/>
      </c>
      <c r="AJ653" s="86">
        <f>+IF(AG653=$AJ$22,MONTH(V653),"")</f>
        <v>6</v>
      </c>
      <c r="AK653" s="86" t="str">
        <f>+IF(AG653=$AK$22,MONTH(V653),"")</f>
        <v/>
      </c>
      <c r="AL653" s="86" t="str">
        <f>+IF(AG653=$AL$22,MONTH(V653),"")</f>
        <v/>
      </c>
      <c r="AM653" s="86" t="str">
        <f>+IF($AG653=$AM$22,MONTH($D653),"")</f>
        <v/>
      </c>
      <c r="AN653" s="89" t="str">
        <f>+IF($AG653=AN$22,MONTH($D653),"")</f>
        <v/>
      </c>
      <c r="AO653" s="89" t="str">
        <f>+IF($AG653=AO$22,MONTH($D653),"")</f>
        <v/>
      </c>
      <c r="AP653" s="89" t="str">
        <f>+IF($AG653=AP$22,MONTH($D653),"")</f>
        <v/>
      </c>
      <c r="AQ653" s="89" t="str">
        <f>+IF($AG653=AQ$22,MONTH($D653),"")</f>
        <v/>
      </c>
      <c r="AR653" s="89" t="str">
        <f>+IF($AG653=AR$22,MONTH($D653),"")</f>
        <v/>
      </c>
      <c r="AS653" s="89" t="str">
        <f>+IF($AG653=AS$22,MONTH($D653),"")</f>
        <v/>
      </c>
      <c r="AT653" s="89" t="str">
        <f>+IF($AG653=AT$22,MONTH($D653),"")</f>
        <v/>
      </c>
      <c r="AU653" s="89" t="str">
        <f>+IF($AG653=AU$22,MONTH($D653),"")</f>
        <v/>
      </c>
      <c r="AV653" s="89" t="str">
        <f>+IF($AG653=AV$22,MONTH($D653),"")</f>
        <v/>
      </c>
      <c r="AW653" s="86" t="str">
        <f>+IF($AG653=AW$22,MONTH($D653),"")</f>
        <v/>
      </c>
      <c r="AX653" s="86" t="str">
        <f>+IF($AG653=AX$22,MONTH($D653),"")</f>
        <v/>
      </c>
      <c r="AY653" s="89"/>
      <c r="AZ653" s="89"/>
      <c r="BA653" s="89"/>
      <c r="BB653" s="89"/>
      <c r="BC653" s="89"/>
      <c r="BD653" s="89"/>
      <c r="BE653" s="89"/>
      <c r="BF653" s="89"/>
      <c r="BG653" s="89"/>
      <c r="BH653" s="89"/>
      <c r="BI653" s="89"/>
      <c r="BJ653" s="89"/>
      <c r="BK653" s="89"/>
      <c r="BL653" s="89"/>
      <c r="BM653" s="89"/>
      <c r="BN653" s="89"/>
      <c r="BO653" s="89"/>
      <c r="BP653" s="89"/>
    </row>
    <row r="654" spans="1:68" s="56" customFormat="1" ht="33.75" hidden="1" customHeight="1">
      <c r="A654" s="204">
        <f>+IFERROR(VALUE(MID(AB654,4,4)),"")</f>
        <v>364</v>
      </c>
      <c r="B654" s="204">
        <f>VALUE(RIGHT(C654,LEN(C654)-2))</f>
        <v>2069</v>
      </c>
      <c r="C654" s="74" t="s">
        <v>2510</v>
      </c>
      <c r="D654" s="75">
        <v>45454</v>
      </c>
      <c r="E654" s="70" t="s">
        <v>262</v>
      </c>
      <c r="F654" s="70" t="s">
        <v>270</v>
      </c>
      <c r="G654" s="68" t="s">
        <v>1415</v>
      </c>
      <c r="H654" s="307" t="s">
        <v>494</v>
      </c>
      <c r="I654" s="69" t="s">
        <v>2511</v>
      </c>
      <c r="J654" s="69"/>
      <c r="K654" s="68" t="s">
        <v>9</v>
      </c>
      <c r="L654" s="69" t="s">
        <v>120</v>
      </c>
      <c r="M654" s="71" t="s">
        <v>141</v>
      </c>
      <c r="N654" s="69" t="e" vm="1">
        <v>#VALUE!</v>
      </c>
      <c r="O654" s="84">
        <v>45457</v>
      </c>
      <c r="P654" s="72" t="s">
        <v>382</v>
      </c>
      <c r="Q654" s="72" t="s">
        <v>220</v>
      </c>
      <c r="R654" s="162"/>
      <c r="S654" s="146"/>
      <c r="T654" s="68" t="s">
        <v>165</v>
      </c>
      <c r="U654" s="87"/>
      <c r="V654" s="80">
        <v>45454</v>
      </c>
      <c r="W654" s="73">
        <v>283</v>
      </c>
      <c r="X654" s="73">
        <v>17</v>
      </c>
      <c r="Y654" s="169">
        <f>IF(SUM(W654:W654)&gt;0,X654/SUM(W654:W654)*1000000,"N/A")</f>
        <v>60070.671378091873</v>
      </c>
      <c r="Z654" s="80"/>
      <c r="AA654" s="80"/>
      <c r="AB654" s="73" t="s">
        <v>2512</v>
      </c>
      <c r="AC654" s="153"/>
      <c r="AD654" s="330" t="s">
        <v>2513</v>
      </c>
      <c r="AE654" s="305"/>
      <c r="AF654" s="88"/>
      <c r="AG654" s="182">
        <f>YEAR(V654)</f>
        <v>2024</v>
      </c>
      <c r="AH654" s="86" t="str">
        <f>+IF(AF654=$AI$22,MONTH(U654),"")</f>
        <v/>
      </c>
      <c r="AI654" s="86" t="str">
        <f>+IF(AG654=$AI$22,MONTH(V654),"")</f>
        <v/>
      </c>
      <c r="AJ654" s="86">
        <f>+IF(AG654=$AJ$22,MONTH(V654),"")</f>
        <v>6</v>
      </c>
      <c r="AK654" s="86" t="str">
        <f>+IF(AG654=$AK$22,MONTH(V654),"")</f>
        <v/>
      </c>
      <c r="AL654" s="86" t="str">
        <f>+IF(AG654=$AL$22,MONTH(V654),"")</f>
        <v/>
      </c>
      <c r="AM654" s="86" t="str">
        <f>+IF($AG654=$AM$22,MONTH($D654),"")</f>
        <v/>
      </c>
      <c r="AN654" s="89" t="str">
        <f>+IF($AG654=AN$22,MONTH($D654),"")</f>
        <v/>
      </c>
      <c r="AO654" s="89" t="str">
        <f>+IF($AG654=AO$22,MONTH($D654),"")</f>
        <v/>
      </c>
      <c r="AP654" s="89" t="str">
        <f>+IF($AG654=AP$22,MONTH($D654),"")</f>
        <v/>
      </c>
      <c r="AQ654" s="89" t="str">
        <f>+IF($AG654=AQ$22,MONTH($D654),"")</f>
        <v/>
      </c>
      <c r="AR654" s="89" t="str">
        <f>+IF($AG654=AR$22,MONTH($D654),"")</f>
        <v/>
      </c>
      <c r="AS654" s="89" t="str">
        <f>+IF($AG654=AS$22,MONTH($D654),"")</f>
        <v/>
      </c>
      <c r="AT654" s="89" t="str">
        <f>+IF($AG654=AT$22,MONTH($D654),"")</f>
        <v/>
      </c>
      <c r="AU654" s="89" t="str">
        <f>+IF($AG654=AU$22,MONTH($D654),"")</f>
        <v/>
      </c>
      <c r="AV654" s="89" t="str">
        <f>+IF($AG654=AV$22,MONTH($D654),"")</f>
        <v/>
      </c>
      <c r="AW654" s="86" t="str">
        <f>+IF($AG654=AW$22,MONTH($D654),"")</f>
        <v/>
      </c>
      <c r="AX654" s="86" t="str">
        <f>+IF($AG654=AX$22,MONTH($D654),"")</f>
        <v/>
      </c>
      <c r="AY654" s="89"/>
      <c r="AZ654" s="89"/>
      <c r="BA654" s="89"/>
      <c r="BB654" s="89"/>
      <c r="BC654" s="89"/>
      <c r="BD654" s="89"/>
      <c r="BE654" s="89"/>
      <c r="BF654" s="89"/>
      <c r="BG654" s="89"/>
      <c r="BH654" s="89"/>
      <c r="BI654" s="89"/>
      <c r="BJ654" s="89"/>
      <c r="BK654" s="89"/>
      <c r="BL654" s="89"/>
      <c r="BM654" s="89"/>
      <c r="BN654" s="89"/>
      <c r="BO654" s="89"/>
      <c r="BP654" s="89"/>
    </row>
    <row r="655" spans="1:68" s="320" customFormat="1" ht="29.25" hidden="1" customHeight="1">
      <c r="A655" s="204">
        <f>+IFERROR(VALUE(MID(AB655,4,4)),"")</f>
        <v>352</v>
      </c>
      <c r="B655" s="204">
        <f>VALUE(RIGHT(C655,LEN(C655)-2))</f>
        <v>2068</v>
      </c>
      <c r="C655" s="74" t="s">
        <v>2514</v>
      </c>
      <c r="D655" s="75">
        <v>45450</v>
      </c>
      <c r="E655" s="70" t="s">
        <v>53</v>
      </c>
      <c r="F655" s="70" t="s">
        <v>630</v>
      </c>
      <c r="G655" s="68" t="s">
        <v>210</v>
      </c>
      <c r="H655" s="321" t="s">
        <v>210</v>
      </c>
      <c r="I655" s="69" t="s">
        <v>2515</v>
      </c>
      <c r="J655" s="69"/>
      <c r="K655" s="68" t="s">
        <v>16</v>
      </c>
      <c r="L655" s="69" t="s">
        <v>129</v>
      </c>
      <c r="M655" s="71" t="s">
        <v>141</v>
      </c>
      <c r="N655" s="69" t="e" vm="1">
        <v>#VALUE!</v>
      </c>
      <c r="O655" s="164">
        <v>45463</v>
      </c>
      <c r="P655" s="72" t="s">
        <v>228</v>
      </c>
      <c r="Q655" s="72" t="s">
        <v>316</v>
      </c>
      <c r="R655" s="162"/>
      <c r="S655" s="146" t="s">
        <v>2516</v>
      </c>
      <c r="T655" s="68" t="s">
        <v>155</v>
      </c>
      <c r="U655" s="87"/>
      <c r="V655" s="183">
        <v>45454</v>
      </c>
      <c r="W655" s="73"/>
      <c r="X655" s="73"/>
      <c r="Y655" s="83" t="str">
        <f>IF(SUM(W655:W655)&gt;0,X655/SUM(W655:W655)*1000000,"N/A")</f>
        <v>N/A</v>
      </c>
      <c r="Z655" s="183"/>
      <c r="AA655" s="183"/>
      <c r="AB655" s="73" t="s">
        <v>2517</v>
      </c>
      <c r="AC655" s="153"/>
      <c r="AD655" s="330"/>
      <c r="AE655" s="305"/>
      <c r="AF655" s="88"/>
      <c r="AG655" s="182">
        <f>YEAR(V655)</f>
        <v>2024</v>
      </c>
      <c r="AH655" s="86" t="str">
        <f>+IF(AF655=$AI$22,MONTH(U655),"")</f>
        <v/>
      </c>
      <c r="AI655" s="86" t="str">
        <f>+IF(AG655=$AI$22,MONTH(V655),"")</f>
        <v/>
      </c>
      <c r="AJ655" s="86">
        <f>+IF(AG655=$AJ$22,MONTH(V655),"")</f>
        <v>6</v>
      </c>
      <c r="AK655" s="86" t="str">
        <f>+IF(AG655=$AK$22,MONTH(V655),"")</f>
        <v/>
      </c>
      <c r="AL655" s="86"/>
      <c r="AM655" s="89"/>
      <c r="AN655" s="89"/>
      <c r="AO655" s="89"/>
      <c r="AP655" s="89"/>
      <c r="AQ655" s="89"/>
      <c r="AR655" s="89"/>
      <c r="AS655" s="89"/>
      <c r="AT655" s="89"/>
      <c r="AU655" s="89"/>
      <c r="AV655" s="89"/>
      <c r="AW655" s="86" t="str">
        <f>+IF($AG655=AW$22,MONTH($D655),"")</f>
        <v/>
      </c>
      <c r="AX655" s="86" t="str">
        <f>+IF($AG655=AX$22,MONTH($D655),"")</f>
        <v/>
      </c>
      <c r="AY655" s="89"/>
      <c r="AZ655" s="89"/>
      <c r="BA655" s="89"/>
      <c r="BB655" s="89"/>
      <c r="BC655" s="89"/>
      <c r="BD655" s="89"/>
      <c r="BE655" s="89"/>
      <c r="BF655" s="89"/>
      <c r="BG655" s="89"/>
      <c r="BH655" s="89"/>
      <c r="BI655" s="89"/>
      <c r="BJ655" s="89"/>
      <c r="BK655" s="89"/>
      <c r="BL655" s="89"/>
      <c r="BM655" s="89"/>
      <c r="BN655" s="89"/>
      <c r="BO655" s="89"/>
      <c r="BP655" s="89"/>
    </row>
    <row r="656" spans="1:68" s="56" customFormat="1" ht="28.5" hidden="1" customHeight="1">
      <c r="A656" s="204"/>
      <c r="B656" s="204">
        <f>VALUE(RIGHT(C656,LEN(C656)-2))</f>
        <v>2067</v>
      </c>
      <c r="C656" s="74" t="s">
        <v>2518</v>
      </c>
      <c r="D656" s="75">
        <v>45448</v>
      </c>
      <c r="E656" s="70" t="s">
        <v>53</v>
      </c>
      <c r="F656" s="70" t="s">
        <v>630</v>
      </c>
      <c r="G656" s="68"/>
      <c r="H656" s="59" t="s">
        <v>256</v>
      </c>
      <c r="I656" s="69" t="s">
        <v>2519</v>
      </c>
      <c r="J656" s="69"/>
      <c r="K656" s="68" t="s">
        <v>14</v>
      </c>
      <c r="L656" s="69" t="s">
        <v>123</v>
      </c>
      <c r="M656" s="71" t="s">
        <v>141</v>
      </c>
      <c r="N656" s="69" t="e" vm="1">
        <v>#VALUE!</v>
      </c>
      <c r="O656" s="84">
        <v>45481</v>
      </c>
      <c r="P656" s="72" t="s">
        <v>228</v>
      </c>
      <c r="Q656" s="72" t="s">
        <v>694</v>
      </c>
      <c r="R656" s="162"/>
      <c r="S656" s="146"/>
      <c r="T656" s="68" t="s">
        <v>155</v>
      </c>
      <c r="U656" s="87"/>
      <c r="V656" s="80">
        <v>45454</v>
      </c>
      <c r="W656" s="73"/>
      <c r="X656" s="73"/>
      <c r="Y656" s="83" t="str">
        <f>IF(SUM(W656:W656)&gt;0,X656/SUM(W656:W656)*1000000,"N/A")</f>
        <v>N/A</v>
      </c>
      <c r="Z656" s="80"/>
      <c r="AA656" s="80"/>
      <c r="AB656" s="73"/>
      <c r="AC656" s="153"/>
      <c r="AD656" s="331"/>
      <c r="AE656" s="57"/>
      <c r="AF656" s="88"/>
      <c r="AG656" s="182">
        <f>YEAR(V656)</f>
        <v>2024</v>
      </c>
      <c r="AH656" s="86" t="str">
        <f>+IF(AF656=$AI$22,MONTH(U656),"")</f>
        <v/>
      </c>
      <c r="AI656" s="86" t="str">
        <f>+IF(AG656=$AI$22,MONTH(V656),"")</f>
        <v/>
      </c>
      <c r="AJ656" s="86">
        <f>+IF(AG656=$AJ$22,MONTH(V656),"")</f>
        <v>6</v>
      </c>
      <c r="AK656" s="86" t="str">
        <f>+IF(AG656=$AK$22,MONTH(V656),"")</f>
        <v/>
      </c>
      <c r="AL656" s="86" t="str">
        <f>+IF(AG656=$AL$22,MONTH(V656),"")</f>
        <v/>
      </c>
      <c r="AM656" s="86" t="str">
        <f>+IF($AG656=$AM$22,MONTH($D656),"")</f>
        <v/>
      </c>
      <c r="AN656" s="89" t="str">
        <f>+IF($AG656=AN$22,MONTH($D656),"")</f>
        <v/>
      </c>
      <c r="AO656" s="89" t="str">
        <f>+IF($AG656=AO$22,MONTH($D656),"")</f>
        <v/>
      </c>
      <c r="AP656" s="89" t="str">
        <f>+IF($AG656=AP$22,MONTH($D656),"")</f>
        <v/>
      </c>
      <c r="AQ656" s="89" t="str">
        <f>+IF($AG656=AQ$22,MONTH($D656),"")</f>
        <v/>
      </c>
      <c r="AR656" s="89" t="str">
        <f>+IF($AG656=AR$22,MONTH($D656),"")</f>
        <v/>
      </c>
      <c r="AS656" s="89" t="str">
        <f>+IF($AG656=AS$22,MONTH($D656),"")</f>
        <v/>
      </c>
      <c r="AT656" s="89" t="str">
        <f>+IF($AG656=AT$22,MONTH($D656),"")</f>
        <v/>
      </c>
      <c r="AU656" s="89" t="str">
        <f>+IF($AG656=AU$22,MONTH($D656),"")</f>
        <v/>
      </c>
      <c r="AV656" s="89" t="str">
        <f>+IF($AG656=AV$22,MONTH($D656),"")</f>
        <v/>
      </c>
      <c r="AW656" s="86" t="str">
        <f>+IF($AG656=AW$22,MONTH($D656),"")</f>
        <v/>
      </c>
      <c r="AX656" s="86" t="str">
        <f>+IF($AG656=AX$22,MONTH($D656),"")</f>
        <v/>
      </c>
      <c r="AY656" s="89"/>
      <c r="AZ656" s="89"/>
      <c r="BA656" s="89"/>
      <c r="BB656" s="89"/>
      <c r="BC656" s="89"/>
      <c r="BD656" s="89"/>
      <c r="BE656" s="89"/>
      <c r="BF656" s="89"/>
      <c r="BG656" s="89"/>
      <c r="BH656" s="89"/>
      <c r="BI656" s="89"/>
      <c r="BJ656" s="89"/>
      <c r="BK656" s="89"/>
      <c r="BL656" s="89"/>
      <c r="BM656" s="89"/>
      <c r="BN656" s="89"/>
      <c r="BO656" s="89"/>
      <c r="BP656" s="89"/>
    </row>
    <row r="657" spans="1:68" s="89" customFormat="1" ht="27.75" hidden="1" customHeight="1">
      <c r="A657" s="204" t="str">
        <f>+IFERROR(VALUE(MID(AB657,4,4)),"")</f>
        <v/>
      </c>
      <c r="B657" s="204">
        <f>VALUE(RIGHT(C657,LEN(C657)-2))</f>
        <v>2066</v>
      </c>
      <c r="C657" s="74" t="s">
        <v>2520</v>
      </c>
      <c r="D657" s="75">
        <v>45449</v>
      </c>
      <c r="E657" s="70" t="s">
        <v>473</v>
      </c>
      <c r="F657" s="70" t="s">
        <v>473</v>
      </c>
      <c r="G657" s="68" t="s">
        <v>2521</v>
      </c>
      <c r="H657" s="307" t="s">
        <v>2522</v>
      </c>
      <c r="I657" s="69" t="s">
        <v>2523</v>
      </c>
      <c r="J657" s="69"/>
      <c r="K657" s="68" t="s">
        <v>13</v>
      </c>
      <c r="L657" s="68" t="s">
        <v>120</v>
      </c>
      <c r="M657" s="68" t="s">
        <v>141</v>
      </c>
      <c r="N657" s="69" t="e" vm="1">
        <v>#VALUE!</v>
      </c>
      <c r="O657" s="84">
        <v>45453</v>
      </c>
      <c r="P657" s="72" t="s">
        <v>2524</v>
      </c>
      <c r="Q657" s="72" t="s">
        <v>316</v>
      </c>
      <c r="R657" s="162"/>
      <c r="S657" s="146"/>
      <c r="T657" s="68" t="s">
        <v>165</v>
      </c>
      <c r="U657" s="87"/>
      <c r="V657" s="80">
        <v>45450</v>
      </c>
      <c r="W657" s="73">
        <v>155</v>
      </c>
      <c r="X657" s="73">
        <v>6.2</v>
      </c>
      <c r="Y657" s="169">
        <f>IF(SUM(W657:W657)&gt;0,X657/SUM(W657:W657)*1000000,"N/A")</f>
        <v>40000</v>
      </c>
      <c r="Z657" s="80"/>
      <c r="AA657" s="80"/>
      <c r="AB657" s="73"/>
      <c r="AC657" s="153"/>
      <c r="AD657" s="330" t="s">
        <v>2525</v>
      </c>
      <c r="AE657" s="305"/>
      <c r="AF657" s="88"/>
      <c r="AG657" s="182">
        <f>YEAR(V657)</f>
        <v>2024</v>
      </c>
      <c r="AH657" s="86" t="str">
        <f>+IF(AF657=$AI$22,MONTH(U657),"")</f>
        <v/>
      </c>
      <c r="AI657" s="86" t="str">
        <f>+IF(AG657=$AI$22,MONTH(V657),"")</f>
        <v/>
      </c>
      <c r="AJ657" s="86">
        <f>+IF(AG657=$AJ$22,MONTH(V657),"")</f>
        <v>6</v>
      </c>
      <c r="AK657" s="86" t="str">
        <f>+IF(AG657=$AK$22,MONTH(V657),"")</f>
        <v/>
      </c>
      <c r="AL657" s="86" t="str">
        <f>+IF(AG657=$AL$22,MONTH(V657),"")</f>
        <v/>
      </c>
      <c r="AM657" s="86" t="str">
        <f>+IF($AG657=$AM$22,MONTH($D657),"")</f>
        <v/>
      </c>
      <c r="AN657" s="89" t="str">
        <f>+IF($AG657=AN$22,MONTH($D657),"")</f>
        <v/>
      </c>
      <c r="AO657" s="89" t="str">
        <f>+IF($AG657=AO$22,MONTH($D657),"")</f>
        <v/>
      </c>
      <c r="AP657" s="89" t="str">
        <f>+IF($AG657=AP$22,MONTH($D657),"")</f>
        <v/>
      </c>
      <c r="AQ657" s="89" t="str">
        <f>+IF($AG657=AQ$22,MONTH($D657),"")</f>
        <v/>
      </c>
      <c r="AR657" s="89" t="str">
        <f>+IF($AG657=AR$22,MONTH($D657),"")</f>
        <v/>
      </c>
      <c r="AS657" s="89" t="str">
        <f>+IF($AG657=AS$22,MONTH($D657),"")</f>
        <v/>
      </c>
      <c r="AT657" s="89" t="str">
        <f>+IF($AG657=AT$22,MONTH($D657),"")</f>
        <v/>
      </c>
      <c r="AU657" s="89" t="str">
        <f>+IF($AG657=AU$22,MONTH($D657),"")</f>
        <v/>
      </c>
      <c r="AV657" s="89" t="str">
        <f>+IF($AG657=AV$22,MONTH($D657),"")</f>
        <v/>
      </c>
      <c r="AW657" s="86" t="str">
        <f>+IF($AG657=AW$22,MONTH($D657),"")</f>
        <v/>
      </c>
      <c r="AX657" s="86" t="str">
        <f>+IF($AG657=AX$22,MONTH($D657),"")</f>
        <v/>
      </c>
    </row>
    <row r="658" spans="1:68" s="56" customFormat="1" ht="27.75" hidden="1" customHeight="1">
      <c r="A658" s="204" t="str">
        <f>+IFERROR(VALUE(MID(AB658,4,4)),"")</f>
        <v/>
      </c>
      <c r="B658" s="204">
        <f>VALUE(RIGHT(C658,LEN(C658)-2))</f>
        <v>2065</v>
      </c>
      <c r="C658" s="74" t="s">
        <v>2526</v>
      </c>
      <c r="D658" s="75">
        <v>45449</v>
      </c>
      <c r="E658" s="70" t="s">
        <v>473</v>
      </c>
      <c r="F658" s="70" t="s">
        <v>473</v>
      </c>
      <c r="G658" s="68" t="s">
        <v>1983</v>
      </c>
      <c r="H658" s="307" t="s">
        <v>2450</v>
      </c>
      <c r="I658" s="69" t="s">
        <v>2527</v>
      </c>
      <c r="J658" s="69"/>
      <c r="K658" s="68" t="s">
        <v>13</v>
      </c>
      <c r="L658" s="69" t="s">
        <v>123</v>
      </c>
      <c r="M658" s="71" t="s">
        <v>141</v>
      </c>
      <c r="N658" s="69" t="e" vm="1">
        <v>#VALUE!</v>
      </c>
      <c r="O658" s="84">
        <v>45464</v>
      </c>
      <c r="P658" s="72" t="s">
        <v>2024</v>
      </c>
      <c r="Q658" s="72" t="s">
        <v>316</v>
      </c>
      <c r="R658" s="162"/>
      <c r="S658" s="146"/>
      <c r="T658" s="68" t="s">
        <v>168</v>
      </c>
      <c r="U658" s="87"/>
      <c r="V658" s="80">
        <v>45450</v>
      </c>
      <c r="W658" s="73"/>
      <c r="X658" s="73"/>
      <c r="Y658" s="169" t="str">
        <f>IF(SUM(W658:W658)&gt;0,X658/SUM(W658:W658)*1000000,"N/A")</f>
        <v>N/A</v>
      </c>
      <c r="Z658" s="80"/>
      <c r="AA658" s="80"/>
      <c r="AB658" s="73"/>
      <c r="AC658" s="153"/>
      <c r="AD658" s="330"/>
      <c r="AE658" s="305"/>
      <c r="AF658" s="88"/>
      <c r="AG658" s="182">
        <f>YEAR(V658)</f>
        <v>2024</v>
      </c>
      <c r="AH658" s="86" t="str">
        <f>+IF(AF658=$AI$22,MONTH(U658),"")</f>
        <v/>
      </c>
      <c r="AI658" s="86" t="str">
        <f>+IF(AG658=$AI$22,MONTH(V658),"")</f>
        <v/>
      </c>
      <c r="AJ658" s="86">
        <f>+IF(AG658=$AJ$22,MONTH(V658),"")</f>
        <v>6</v>
      </c>
      <c r="AK658" s="86" t="str">
        <f>+IF(AG658=$AK$22,MONTH(V658),"")</f>
        <v/>
      </c>
      <c r="AL658" s="86" t="str">
        <f>+IF(AG658=$AL$22,MONTH(V658),"")</f>
        <v/>
      </c>
      <c r="AM658" s="86" t="str">
        <f>+IF($AG658=$AM$22,MONTH($D658),"")</f>
        <v/>
      </c>
      <c r="AN658" s="89" t="str">
        <f>+IF($AG658=AN$22,MONTH($D658),"")</f>
        <v/>
      </c>
      <c r="AO658" s="89" t="str">
        <f>+IF($AG658=AO$22,MONTH($D658),"")</f>
        <v/>
      </c>
      <c r="AP658" s="89" t="str">
        <f>+IF($AG658=AP$22,MONTH($D658),"")</f>
        <v/>
      </c>
      <c r="AQ658" s="89" t="str">
        <f>+IF($AG658=AQ$22,MONTH($D658),"")</f>
        <v/>
      </c>
      <c r="AR658" s="89" t="str">
        <f>+IF($AG658=AR$22,MONTH($D658),"")</f>
        <v/>
      </c>
      <c r="AS658" s="89" t="str">
        <f>+IF($AG658=AS$22,MONTH($D658),"")</f>
        <v/>
      </c>
      <c r="AT658" s="89" t="str">
        <f>+IF($AG658=AT$22,MONTH($D658),"")</f>
        <v/>
      </c>
      <c r="AU658" s="89" t="str">
        <f>+IF($AG658=AU$22,MONTH($D658),"")</f>
        <v/>
      </c>
      <c r="AV658" s="89" t="str">
        <f>+IF($AG658=AV$22,MONTH($D658),"")</f>
        <v/>
      </c>
      <c r="AW658" s="86" t="str">
        <f>+IF($AG658=AW$22,MONTH($D658),"")</f>
        <v/>
      </c>
      <c r="AX658" s="86" t="str">
        <f>+IF($AG658=AX$22,MONTH($D658),"")</f>
        <v/>
      </c>
      <c r="AY658" s="89"/>
      <c r="AZ658" s="89"/>
      <c r="BA658" s="89"/>
      <c r="BB658" s="89"/>
      <c r="BC658" s="89"/>
      <c r="BD658" s="89"/>
      <c r="BE658" s="89"/>
      <c r="BF658" s="89"/>
      <c r="BG658" s="89"/>
      <c r="BH658" s="89"/>
      <c r="BI658" s="89"/>
      <c r="BJ658" s="89"/>
      <c r="BK658" s="89"/>
      <c r="BL658" s="89"/>
      <c r="BM658" s="89"/>
      <c r="BN658" s="89"/>
      <c r="BO658" s="89"/>
      <c r="BP658" s="89"/>
    </row>
    <row r="659" spans="1:68" s="56" customFormat="1" ht="25.5" hidden="1" customHeight="1">
      <c r="A659" s="204">
        <f>+IFERROR(VALUE(MID(AB659,4,4)),"")</f>
        <v>392</v>
      </c>
      <c r="B659" s="204">
        <f>VALUE(RIGHT(C659,LEN(C659)-2))</f>
        <v>2064</v>
      </c>
      <c r="C659" s="74" t="s">
        <v>2528</v>
      </c>
      <c r="D659" s="75">
        <v>45449</v>
      </c>
      <c r="E659" s="70" t="s">
        <v>332</v>
      </c>
      <c r="F659" s="70" t="s">
        <v>332</v>
      </c>
      <c r="G659" s="68" t="s">
        <v>2529</v>
      </c>
      <c r="H659" s="59" t="s">
        <v>210</v>
      </c>
      <c r="I659" s="162" t="s">
        <v>2530</v>
      </c>
      <c r="J659" s="162"/>
      <c r="K659" s="68" t="s">
        <v>212</v>
      </c>
      <c r="L659" s="69" t="s">
        <v>123</v>
      </c>
      <c r="M659" s="71" t="s">
        <v>141</v>
      </c>
      <c r="N659" s="69" t="e" vm="1">
        <v>#VALUE!</v>
      </c>
      <c r="O659" s="164">
        <v>45464</v>
      </c>
      <c r="P659" s="72" t="s">
        <v>228</v>
      </c>
      <c r="Q659" s="72" t="s">
        <v>316</v>
      </c>
      <c r="R659" s="162"/>
      <c r="S659" s="146"/>
      <c r="T659" s="68" t="s">
        <v>3</v>
      </c>
      <c r="U659" s="87"/>
      <c r="V659" s="183">
        <v>45478</v>
      </c>
      <c r="W659" s="73"/>
      <c r="X659" s="73"/>
      <c r="Y659" s="83" t="str">
        <f>IF(SUM(W659:W659)&gt;0,X659/SUM(W659:W659)*1000000,"N/A")</f>
        <v>N/A</v>
      </c>
      <c r="Z659" s="183"/>
      <c r="AA659" s="183"/>
      <c r="AB659" s="73" t="s">
        <v>2531</v>
      </c>
      <c r="AC659" s="153"/>
      <c r="AD659" s="331"/>
      <c r="AE659" s="57"/>
      <c r="AF659" s="88"/>
      <c r="AG659" s="182">
        <f>YEAR(V659)</f>
        <v>2024</v>
      </c>
      <c r="AH659" s="86" t="str">
        <f>+IF(AF659=$AI$22,MONTH(U659),"")</f>
        <v/>
      </c>
      <c r="AI659" s="86" t="str">
        <f>+IF(AG659=$AI$22,MONTH(V659),"")</f>
        <v/>
      </c>
      <c r="AJ659" s="86">
        <f>+IF(AG659=$AJ$22,MONTH(V659),"")</f>
        <v>7</v>
      </c>
      <c r="AK659" s="86" t="str">
        <f>+IF(AG659=$AK$22,MONTH(V659),"")</f>
        <v/>
      </c>
      <c r="AL659" s="86"/>
      <c r="AM659" s="89"/>
      <c r="AN659" s="89"/>
      <c r="AO659" s="89"/>
      <c r="AP659" s="89"/>
      <c r="AQ659" s="89"/>
      <c r="AR659" s="89"/>
      <c r="AS659" s="89"/>
      <c r="AT659" s="89"/>
      <c r="AU659" s="89"/>
      <c r="AV659" s="89"/>
      <c r="AW659" s="86" t="str">
        <f>+IF($AG659=AW$22,MONTH($D659),"")</f>
        <v/>
      </c>
      <c r="AX659" s="86" t="str">
        <f>+IF($AG659=AX$22,MONTH($D659),"")</f>
        <v/>
      </c>
      <c r="AY659" s="89"/>
      <c r="AZ659" s="89"/>
      <c r="BA659" s="89"/>
      <c r="BB659" s="89"/>
      <c r="BC659" s="89"/>
      <c r="BD659" s="89"/>
      <c r="BE659" s="89"/>
      <c r="BF659" s="89"/>
      <c r="BG659" s="89"/>
      <c r="BH659" s="89"/>
      <c r="BI659" s="89"/>
      <c r="BJ659" s="89"/>
      <c r="BK659" s="89"/>
      <c r="BL659" s="89"/>
      <c r="BM659" s="89"/>
      <c r="BN659" s="89"/>
      <c r="BO659" s="89"/>
      <c r="BP659" s="89"/>
    </row>
    <row r="660" spans="1:68" s="89" customFormat="1" ht="30" hidden="1" customHeight="1">
      <c r="A660" s="204">
        <f>+IFERROR(VALUE(MID(AB660,4,4)),"")</f>
        <v>366</v>
      </c>
      <c r="B660" s="204">
        <f>VALUE(RIGHT(C660,LEN(C660)-2))</f>
        <v>2063</v>
      </c>
      <c r="C660" s="74" t="s">
        <v>2532</v>
      </c>
      <c r="D660" s="75">
        <v>45447</v>
      </c>
      <c r="E660" s="70" t="s">
        <v>479</v>
      </c>
      <c r="F660" s="70" t="s">
        <v>479</v>
      </c>
      <c r="G660" s="68" t="s">
        <v>2059</v>
      </c>
      <c r="H660" s="307" t="s">
        <v>2060</v>
      </c>
      <c r="I660" s="162" t="s">
        <v>2533</v>
      </c>
      <c r="J660" s="162"/>
      <c r="K660" s="68" t="s">
        <v>9</v>
      </c>
      <c r="L660" s="68" t="s">
        <v>129</v>
      </c>
      <c r="M660" s="68" t="s">
        <v>113</v>
      </c>
      <c r="N660" s="69" t="e" vm="2">
        <v>#VALUE!</v>
      </c>
      <c r="O660" s="164">
        <v>45450</v>
      </c>
      <c r="P660" s="72" t="s">
        <v>2534</v>
      </c>
      <c r="Q660" s="72" t="s">
        <v>316</v>
      </c>
      <c r="R660" s="162"/>
      <c r="S660" s="146"/>
      <c r="T660" s="68" t="s">
        <v>3</v>
      </c>
      <c r="U660" s="87"/>
      <c r="V660" s="183">
        <v>45453</v>
      </c>
      <c r="W660" s="73">
        <v>376</v>
      </c>
      <c r="X660" s="73">
        <v>15.6</v>
      </c>
      <c r="Y660" s="83">
        <f>IF(SUM(W660:W660)&gt;0,X660/SUM(W660:W660)*1000000,"N/A")</f>
        <v>41489.361702127659</v>
      </c>
      <c r="Z660" s="183"/>
      <c r="AA660" s="183"/>
      <c r="AB660" s="73" t="s">
        <v>2535</v>
      </c>
      <c r="AC660" s="153"/>
      <c r="AD660" s="330"/>
      <c r="AE660" s="305"/>
      <c r="AF660" s="88"/>
      <c r="AG660" s="182">
        <f>YEAR(V660)</f>
        <v>2024</v>
      </c>
      <c r="AH660" s="86" t="str">
        <f>+IF(AF660=$AI$22,MONTH(U660),"")</f>
        <v/>
      </c>
      <c r="AI660" s="86" t="str">
        <f>+IF(AG660=$AI$22,MONTH(V660),"")</f>
        <v/>
      </c>
      <c r="AJ660" s="86">
        <f>+IF(AG660=$AJ$22,MONTH(V660),"")</f>
        <v>6</v>
      </c>
      <c r="AK660" s="86" t="str">
        <f>+IF(AG660=$AK$22,MONTH(V660),"")</f>
        <v/>
      </c>
      <c r="AL660" s="86"/>
      <c r="AW660" s="86" t="str">
        <f>+IF($AG660=AW$22,MONTH($D660),"")</f>
        <v/>
      </c>
      <c r="AX660" s="86" t="str">
        <f>+IF($AG660=AX$22,MONTH($D660),"")</f>
        <v/>
      </c>
    </row>
    <row r="661" spans="1:68" s="89" customFormat="1" ht="27.75" hidden="1" customHeight="1">
      <c r="A661" s="204"/>
      <c r="B661" s="204">
        <f>VALUE(RIGHT(C661,LEN(C661)-2))</f>
        <v>2062</v>
      </c>
      <c r="C661" s="74" t="s">
        <v>2536</v>
      </c>
      <c r="D661" s="75">
        <v>45448</v>
      </c>
      <c r="E661" s="70" t="s">
        <v>479</v>
      </c>
      <c r="F661" s="70" t="s">
        <v>479</v>
      </c>
      <c r="G661" s="68" t="s">
        <v>2059</v>
      </c>
      <c r="H661" s="307" t="s">
        <v>2060</v>
      </c>
      <c r="I661" s="162" t="s">
        <v>2537</v>
      </c>
      <c r="J661" s="162"/>
      <c r="K661" s="68" t="s">
        <v>9</v>
      </c>
      <c r="L661" s="68" t="s">
        <v>129</v>
      </c>
      <c r="M661" s="68" t="s">
        <v>113</v>
      </c>
      <c r="N661" s="69" t="e" vm="2">
        <v>#VALUE!</v>
      </c>
      <c r="O661" s="164">
        <v>45464</v>
      </c>
      <c r="P661" s="72" t="s">
        <v>2534</v>
      </c>
      <c r="Q661" s="72" t="s">
        <v>623</v>
      </c>
      <c r="R661" s="162"/>
      <c r="S661" s="146" t="s">
        <v>2538</v>
      </c>
      <c r="T661" s="68" t="s">
        <v>165</v>
      </c>
      <c r="U661" s="87"/>
      <c r="V661" s="183">
        <v>45820</v>
      </c>
      <c r="W661" s="150">
        <v>1050</v>
      </c>
      <c r="X661" s="150">
        <v>33.6</v>
      </c>
      <c r="Y661" s="83">
        <f>IF(SUM(W661:W661)&gt;0,X661/SUM(W661:W661)*1000000,"N/A")</f>
        <v>32000</v>
      </c>
      <c r="Z661" s="80"/>
      <c r="AA661" s="80"/>
      <c r="AB661" s="73"/>
      <c r="AC661" s="153"/>
      <c r="AD661" s="331"/>
      <c r="AE661" s="57"/>
      <c r="AF661" s="88"/>
      <c r="AG661" s="182">
        <f>YEAR(V661)</f>
        <v>2025</v>
      </c>
      <c r="AH661" s="86" t="str">
        <f>+IF(AF661=$AI$22,MONTH(U661),"")</f>
        <v/>
      </c>
      <c r="AI661" s="86">
        <f>+IF(AG661=$AI$22,MONTH(V661),"")</f>
        <v>6</v>
      </c>
      <c r="AJ661" s="86" t="str">
        <f>+IF(AG661=$AJ$22,MONTH(V661),"")</f>
        <v/>
      </c>
      <c r="AK661" s="86" t="str">
        <f>+IF(AG661=$AK$22,MONTH(V661),"")</f>
        <v/>
      </c>
      <c r="AL661" s="86"/>
      <c r="AW661" s="86" t="str">
        <f>+IF($AG661=AW$22,MONTH($D661),"")</f>
        <v/>
      </c>
      <c r="AX661" s="86" t="str">
        <f>+IF($AG661=AX$22,MONTH($D661),"")</f>
        <v/>
      </c>
    </row>
    <row r="662" spans="1:68" s="89" customFormat="1" ht="32.25" hidden="1" customHeight="1">
      <c r="A662" s="204"/>
      <c r="B662" s="204">
        <f>VALUE(RIGHT(C662,LEN(C662)-2))</f>
        <v>2061</v>
      </c>
      <c r="C662" s="74" t="s">
        <v>2539</v>
      </c>
      <c r="D662" s="75">
        <v>45447</v>
      </c>
      <c r="E662" s="70" t="s">
        <v>2398</v>
      </c>
      <c r="F662" s="70" t="s">
        <v>2398</v>
      </c>
      <c r="G662" s="68" t="s">
        <v>2540</v>
      </c>
      <c r="H662" s="307" t="s">
        <v>2541</v>
      </c>
      <c r="I662" s="69" t="s">
        <v>2542</v>
      </c>
      <c r="J662" s="69"/>
      <c r="K662" s="68" t="s">
        <v>798</v>
      </c>
      <c r="L662" s="68" t="s">
        <v>123</v>
      </c>
      <c r="M662" s="68" t="s">
        <v>141</v>
      </c>
      <c r="N662" s="69" t="e" vm="1">
        <v>#VALUE!</v>
      </c>
      <c r="O662" s="84">
        <v>45727</v>
      </c>
      <c r="P662" s="72" t="s">
        <v>701</v>
      </c>
      <c r="Q662" s="72" t="s">
        <v>229</v>
      </c>
      <c r="R662" s="162"/>
      <c r="S662" s="146"/>
      <c r="T662" s="68" t="s">
        <v>165</v>
      </c>
      <c r="U662" s="87"/>
      <c r="V662" s="80">
        <v>45908</v>
      </c>
      <c r="W662" s="73">
        <v>2305</v>
      </c>
      <c r="X662" s="73">
        <f>3160*39110/1000000</f>
        <v>123.58759999999999</v>
      </c>
      <c r="Y662" s="169">
        <f>IF(SUM(W662:W662)&gt;0,X662/SUM(W662:W662)*1000000,"N/A")</f>
        <v>53617.180043383945</v>
      </c>
      <c r="Z662" s="80"/>
      <c r="AA662" s="80"/>
      <c r="AB662" s="73"/>
      <c r="AC662" s="153"/>
      <c r="AD662" s="330"/>
      <c r="AE662" s="305"/>
      <c r="AF662" s="88"/>
      <c r="AG662" s="182">
        <f>YEAR(V662)</f>
        <v>2025</v>
      </c>
      <c r="AH662" s="86" t="str">
        <f>+IF(AF662=$AI$22,MONTH(U662),"")</f>
        <v/>
      </c>
      <c r="AI662" s="86">
        <f>+IF(AG662=$AI$22,MONTH(V662),"")</f>
        <v>9</v>
      </c>
      <c r="AJ662" s="86" t="str">
        <f>+IF(AG662=$AJ$22,MONTH(V662),"")</f>
        <v/>
      </c>
      <c r="AK662" s="86" t="str">
        <f>+IF(AG662=$AK$22,MONTH(V662),"")</f>
        <v/>
      </c>
      <c r="AL662" s="86" t="str">
        <f>+IF(AG662=$AL$22,MONTH(V662),"")</f>
        <v/>
      </c>
      <c r="AM662" s="86" t="str">
        <f>+IF($AG662=$AM$22,MONTH($D662),"")</f>
        <v/>
      </c>
      <c r="AN662" s="89" t="str">
        <f>+IF($AG662=AN$22,MONTH($D662),"")</f>
        <v/>
      </c>
      <c r="AO662" s="89" t="str">
        <f>+IF($AG662=AO$22,MONTH($D662),"")</f>
        <v/>
      </c>
      <c r="AP662" s="89" t="str">
        <f>+IF($AG662=AP$22,MONTH($D662),"")</f>
        <v/>
      </c>
      <c r="AQ662" s="89" t="str">
        <f>+IF($AG662=AQ$22,MONTH($D662),"")</f>
        <v/>
      </c>
      <c r="AR662" s="89" t="str">
        <f>+IF($AG662=AR$22,MONTH($D662),"")</f>
        <v/>
      </c>
      <c r="AS662" s="89" t="str">
        <f>+IF($AG662=AS$22,MONTH($D662),"")</f>
        <v/>
      </c>
      <c r="AT662" s="89" t="str">
        <f>+IF($AG662=AT$22,MONTH($D662),"")</f>
        <v/>
      </c>
      <c r="AU662" s="89" t="str">
        <f>+IF($AG662=AU$22,MONTH($D662),"")</f>
        <v/>
      </c>
      <c r="AV662" s="89" t="str">
        <f>+IF($AG662=AV$22,MONTH($D662),"")</f>
        <v/>
      </c>
      <c r="AW662" s="86" t="str">
        <f>+IF($AG662=AW$22,MONTH($D662),"")</f>
        <v/>
      </c>
      <c r="AX662" s="86" t="str">
        <f>+IF($AG662=AX$22,MONTH($D662),"")</f>
        <v/>
      </c>
    </row>
    <row r="663" spans="1:68" s="89" customFormat="1" ht="27.75" hidden="1" customHeight="1">
      <c r="A663" s="204">
        <f>+IFERROR(VALUE(MID(AB663,4,4)),"")</f>
        <v>364</v>
      </c>
      <c r="B663" s="204">
        <f>VALUE(RIGHT(C663,LEN(C663)-2))</f>
        <v>2060</v>
      </c>
      <c r="C663" s="74" t="s">
        <v>2543</v>
      </c>
      <c r="D663" s="75">
        <v>45442</v>
      </c>
      <c r="E663" s="70" t="s">
        <v>262</v>
      </c>
      <c r="F663" s="70" t="s">
        <v>270</v>
      </c>
      <c r="G663" s="68" t="s">
        <v>1415</v>
      </c>
      <c r="H663" s="307" t="s">
        <v>494</v>
      </c>
      <c r="I663" s="69" t="s">
        <v>2544</v>
      </c>
      <c r="J663" s="69"/>
      <c r="K663" s="68" t="s">
        <v>9</v>
      </c>
      <c r="L663" s="68" t="s">
        <v>120</v>
      </c>
      <c r="M663" s="68" t="s">
        <v>141</v>
      </c>
      <c r="N663" s="69" t="e" vm="1">
        <v>#VALUE!</v>
      </c>
      <c r="O663" s="84">
        <v>45447</v>
      </c>
      <c r="P663" s="72" t="s">
        <v>701</v>
      </c>
      <c r="Q663" s="72" t="s">
        <v>1097</v>
      </c>
      <c r="R663" s="162"/>
      <c r="S663" s="146"/>
      <c r="T663" s="68" t="s">
        <v>3</v>
      </c>
      <c r="U663" s="87"/>
      <c r="V663" s="80">
        <v>45514</v>
      </c>
      <c r="W663" s="73">
        <v>114</v>
      </c>
      <c r="X663" s="73">
        <v>7</v>
      </c>
      <c r="Y663" s="169">
        <f>IF(SUM(W663:W663)&gt;0,X663/SUM(W663:W663)*1000000,"N/A")</f>
        <v>61403.508771929824</v>
      </c>
      <c r="Z663" s="80"/>
      <c r="AA663" s="80"/>
      <c r="AB663" s="73" t="s">
        <v>2545</v>
      </c>
      <c r="AC663" s="153">
        <v>45541</v>
      </c>
      <c r="AD663" s="330" t="s">
        <v>2509</v>
      </c>
      <c r="AE663" s="305"/>
      <c r="AF663" s="88"/>
      <c r="AG663" s="182">
        <f>YEAR(V663)</f>
        <v>2024</v>
      </c>
      <c r="AH663" s="86" t="str">
        <f>+IF(AF663=$AI$22,MONTH(U663),"")</f>
        <v/>
      </c>
      <c r="AI663" s="86" t="str">
        <f>+IF(AG663=$AI$22,MONTH(V663),"")</f>
        <v/>
      </c>
      <c r="AJ663" s="86">
        <f>+IF(AG663=$AJ$22,MONTH(V663),"")</f>
        <v>8</v>
      </c>
      <c r="AK663" s="86" t="str">
        <f>+IF(AG663=$AK$22,MONTH(V663),"")</f>
        <v/>
      </c>
      <c r="AL663" s="86" t="str">
        <f>+IF(AG663=$AL$22,MONTH(V663),"")</f>
        <v/>
      </c>
      <c r="AM663" s="86" t="str">
        <f>+IF($AG663=$AM$22,MONTH($D663),"")</f>
        <v/>
      </c>
      <c r="AN663" s="89" t="str">
        <f>+IF($AG663=AN$22,MONTH($D663),"")</f>
        <v/>
      </c>
      <c r="AO663" s="89" t="str">
        <f>+IF($AG663=AO$22,MONTH($D663),"")</f>
        <v/>
      </c>
      <c r="AP663" s="89" t="str">
        <f>+IF($AG663=AP$22,MONTH($D663),"")</f>
        <v/>
      </c>
      <c r="AQ663" s="89" t="str">
        <f>+IF($AG663=AQ$22,MONTH($D663),"")</f>
        <v/>
      </c>
      <c r="AR663" s="89" t="str">
        <f>+IF($AG663=AR$22,MONTH($D663),"")</f>
        <v/>
      </c>
      <c r="AS663" s="89" t="str">
        <f>+IF($AG663=AS$22,MONTH($D663),"")</f>
        <v/>
      </c>
      <c r="AT663" s="89" t="str">
        <f>+IF($AG663=AT$22,MONTH($D663),"")</f>
        <v/>
      </c>
      <c r="AU663" s="89" t="str">
        <f>+IF($AG663=AU$22,MONTH($D663),"")</f>
        <v/>
      </c>
      <c r="AV663" s="89" t="str">
        <f>+IF($AG663=AV$22,MONTH($D663),"")</f>
        <v/>
      </c>
      <c r="AW663" s="86" t="str">
        <f>+IF($AG663=AW$22,MONTH($D663),"")</f>
        <v/>
      </c>
      <c r="AX663" s="86" t="str">
        <f>+IF($AG663=AX$22,MONTH($D663),"")</f>
        <v/>
      </c>
    </row>
    <row r="664" spans="1:68" s="89" customFormat="1" ht="26.25" hidden="1" customHeight="1">
      <c r="A664" s="204" t="str">
        <f>+IFERROR(VALUE(MID(AB664,4,4)),"")</f>
        <v/>
      </c>
      <c r="B664" s="204">
        <f>VALUE(RIGHT(C664,LEN(C664)-2))</f>
        <v>2059</v>
      </c>
      <c r="C664" s="74" t="s">
        <v>2546</v>
      </c>
      <c r="D664" s="75">
        <v>45443</v>
      </c>
      <c r="E664" s="70" t="s">
        <v>2547</v>
      </c>
      <c r="F664" s="70" t="s">
        <v>2547</v>
      </c>
      <c r="G664" s="68" t="s">
        <v>2548</v>
      </c>
      <c r="H664" s="321" t="s">
        <v>2549</v>
      </c>
      <c r="I664" s="69" t="s">
        <v>2550</v>
      </c>
      <c r="J664" s="69"/>
      <c r="K664" s="68" t="s">
        <v>27</v>
      </c>
      <c r="L664" s="68" t="s">
        <v>123</v>
      </c>
      <c r="M664" s="68" t="s">
        <v>141</v>
      </c>
      <c r="N664" s="69" t="e" vm="1">
        <v>#VALUE!</v>
      </c>
      <c r="O664" s="84">
        <v>45467</v>
      </c>
      <c r="P664" s="84" t="s">
        <v>2370</v>
      </c>
      <c r="Q664" s="72" t="s">
        <v>623</v>
      </c>
      <c r="R664" s="162"/>
      <c r="S664" s="146"/>
      <c r="T664" s="68" t="s">
        <v>165</v>
      </c>
      <c r="U664" s="87"/>
      <c r="V664" s="80">
        <v>45484</v>
      </c>
      <c r="W664" s="73">
        <v>17617</v>
      </c>
      <c r="X664" s="73">
        <f>21107*37500/1000000</f>
        <v>791.51250000000005</v>
      </c>
      <c r="Y664" s="169">
        <f>IF(SUM(W664:W664)&gt;0,X664/SUM(W664:W664)*1000000,"N/A")</f>
        <v>44928.903899642391</v>
      </c>
      <c r="Z664" s="80"/>
      <c r="AA664" s="80"/>
      <c r="AB664" s="73"/>
      <c r="AC664" s="153">
        <v>45541</v>
      </c>
      <c r="AD664" s="330"/>
      <c r="AE664" s="305"/>
      <c r="AF664" s="88"/>
      <c r="AG664" s="182">
        <f>YEAR(V664)</f>
        <v>2024</v>
      </c>
      <c r="AH664" s="86" t="str">
        <f>+IF(AF664=$AI$22,MONTH(U664),"")</f>
        <v/>
      </c>
      <c r="AI664" s="86" t="str">
        <f>+IF(AG664=$AI$22,MONTH(V664),"")</f>
        <v/>
      </c>
      <c r="AJ664" s="86">
        <f>+IF(AG664=$AJ$22,MONTH(V664),"")</f>
        <v>7</v>
      </c>
      <c r="AK664" s="86" t="str">
        <f>+IF(AG664=$AK$22,MONTH(V664),"")</f>
        <v/>
      </c>
      <c r="AL664" s="86" t="str">
        <f>+IF(AG664=$AL$22,MONTH(V664),"")</f>
        <v/>
      </c>
      <c r="AM664" s="86" t="str">
        <f>+IF($AG664=$AM$22,MONTH($D664),"")</f>
        <v/>
      </c>
      <c r="AN664" s="89" t="str">
        <f>+IF($AG664=AN$22,MONTH($D664),"")</f>
        <v/>
      </c>
      <c r="AO664" s="89" t="str">
        <f>+IF($AG664=AO$22,MONTH($D664),"")</f>
        <v/>
      </c>
      <c r="AP664" s="89" t="str">
        <f>+IF($AG664=AP$22,MONTH($D664),"")</f>
        <v/>
      </c>
      <c r="AQ664" s="89" t="str">
        <f>+IF($AG664=AQ$22,MONTH($D664),"")</f>
        <v/>
      </c>
      <c r="AR664" s="89" t="str">
        <f>+IF($AG664=AR$22,MONTH($D664),"")</f>
        <v/>
      </c>
      <c r="AS664" s="89" t="str">
        <f>+IF($AG664=AS$22,MONTH($D664),"")</f>
        <v/>
      </c>
      <c r="AT664" s="89" t="str">
        <f>+IF($AG664=AT$22,MONTH($D664),"")</f>
        <v/>
      </c>
      <c r="AU664" s="89" t="str">
        <f>+IF($AG664=AU$22,MONTH($D664),"")</f>
        <v/>
      </c>
      <c r="AV664" s="89" t="str">
        <f>+IF($AG664=AV$22,MONTH($D664),"")</f>
        <v/>
      </c>
      <c r="AW664" s="86" t="str">
        <f>+IF($AG664=AW$22,MONTH($D664),"")</f>
        <v/>
      </c>
      <c r="AX664" s="86" t="str">
        <f>+IF($AG664=AX$22,MONTH($D664),"")</f>
        <v/>
      </c>
    </row>
    <row r="665" spans="1:68" s="56" customFormat="1" ht="31.5" hidden="1" customHeight="1">
      <c r="A665" s="204">
        <f>+IFERROR(VALUE(MID(AB665,4,4)),"")</f>
        <v>360</v>
      </c>
      <c r="B665" s="204">
        <f>VALUE(RIGHT(C665,LEN(C665)-2))</f>
        <v>2058</v>
      </c>
      <c r="C665" s="74" t="s">
        <v>2551</v>
      </c>
      <c r="D665" s="75">
        <v>45442</v>
      </c>
      <c r="E665" s="70" t="s">
        <v>53</v>
      </c>
      <c r="F665" s="70" t="s">
        <v>630</v>
      </c>
      <c r="G665" s="68" t="s">
        <v>210</v>
      </c>
      <c r="H665" s="321" t="s">
        <v>210</v>
      </c>
      <c r="I665" s="69" t="s">
        <v>2552</v>
      </c>
      <c r="J665" s="69"/>
      <c r="K665" s="68" t="s">
        <v>14</v>
      </c>
      <c r="L665" s="69" t="s">
        <v>129</v>
      </c>
      <c r="M665" s="71" t="s">
        <v>141</v>
      </c>
      <c r="N665" s="69" t="e" vm="1">
        <v>#VALUE!</v>
      </c>
      <c r="O665" s="164">
        <v>45474</v>
      </c>
      <c r="P665" s="72" t="s">
        <v>689</v>
      </c>
      <c r="Q665" s="72" t="s">
        <v>240</v>
      </c>
      <c r="R665" s="162"/>
      <c r="S665" s="146"/>
      <c r="T665" s="68" t="s">
        <v>3</v>
      </c>
      <c r="U665" s="87"/>
      <c r="V665" s="183">
        <v>45540</v>
      </c>
      <c r="W665" s="73">
        <v>3533</v>
      </c>
      <c r="X665" s="73">
        <v>152.62</v>
      </c>
      <c r="Y665" s="83">
        <f>IF(SUM(W665:W665)&gt;0,X665/SUM(W665:W665)*1000000,"N/A")</f>
        <v>43198.414944806114</v>
      </c>
      <c r="Z665" s="183"/>
      <c r="AA665" s="183"/>
      <c r="AB665" s="73" t="s">
        <v>2553</v>
      </c>
      <c r="AC665" s="153"/>
      <c r="AD665" s="330"/>
      <c r="AE665" s="305"/>
      <c r="AF665" s="88"/>
      <c r="AG665" s="182">
        <f>YEAR(V665)</f>
        <v>2024</v>
      </c>
      <c r="AH665" s="86" t="str">
        <f>+IF(AF665=$AI$22,MONTH(U665),"")</f>
        <v/>
      </c>
      <c r="AI665" s="86" t="str">
        <f>+IF(AG665=$AI$22,MONTH(V665),"")</f>
        <v/>
      </c>
      <c r="AJ665" s="86">
        <f>+IF(AG665=$AJ$22,MONTH(V665),"")</f>
        <v>9</v>
      </c>
      <c r="AK665" s="86" t="str">
        <f>+IF(AG665=$AK$22,MONTH(V665),"")</f>
        <v/>
      </c>
      <c r="AL665" s="86"/>
      <c r="AM665" s="89"/>
      <c r="AN665" s="89"/>
      <c r="AO665" s="89"/>
      <c r="AP665" s="89"/>
      <c r="AQ665" s="89"/>
      <c r="AR665" s="89"/>
      <c r="AS665" s="89"/>
      <c r="AT665" s="89"/>
      <c r="AU665" s="89"/>
      <c r="AV665" s="89"/>
      <c r="AW665" s="86" t="str">
        <f>+IF($AG665=AW$22,MONTH($D665),"")</f>
        <v/>
      </c>
      <c r="AX665" s="86" t="str">
        <f>+IF($AG665=AX$22,MONTH($D665),"")</f>
        <v/>
      </c>
      <c r="AY665" s="89"/>
      <c r="AZ665" s="89"/>
      <c r="BA665" s="89"/>
      <c r="BB665" s="89"/>
      <c r="BC665" s="89"/>
      <c r="BD665" s="89"/>
      <c r="BE665" s="89"/>
      <c r="BF665" s="89"/>
      <c r="BG665" s="89"/>
      <c r="BH665" s="89"/>
      <c r="BI665" s="89"/>
      <c r="BJ665" s="89"/>
      <c r="BK665" s="89"/>
      <c r="BL665" s="89"/>
      <c r="BM665" s="89"/>
      <c r="BN665" s="89"/>
      <c r="BO665" s="89"/>
      <c r="BP665" s="89"/>
    </row>
    <row r="666" spans="1:68" s="56" customFormat="1" ht="38.25" hidden="1" customHeight="1">
      <c r="A666" s="204"/>
      <c r="B666" s="204">
        <f>VALUE(RIGHT(C666,LEN(C666)-2))</f>
        <v>2057</v>
      </c>
      <c r="C666" s="74" t="s">
        <v>2554</v>
      </c>
      <c r="D666" s="75">
        <v>45440</v>
      </c>
      <c r="E666" s="70" t="s">
        <v>262</v>
      </c>
      <c r="F666" s="70" t="s">
        <v>270</v>
      </c>
      <c r="G666" s="68" t="s">
        <v>2555</v>
      </c>
      <c r="H666" s="307"/>
      <c r="I666" s="69" t="s">
        <v>2556</v>
      </c>
      <c r="J666" s="69"/>
      <c r="K666" s="68" t="s">
        <v>9</v>
      </c>
      <c r="L666" s="69" t="s">
        <v>120</v>
      </c>
      <c r="M666" s="71" t="s">
        <v>141</v>
      </c>
      <c r="N666" s="69" t="e" vm="1">
        <v>#VALUE!</v>
      </c>
      <c r="O666" s="84">
        <v>45446</v>
      </c>
      <c r="P666" s="84" t="s">
        <v>2557</v>
      </c>
      <c r="Q666" s="72" t="s">
        <v>623</v>
      </c>
      <c r="R666" s="162"/>
      <c r="S666" s="146"/>
      <c r="T666" s="68" t="s">
        <v>165</v>
      </c>
      <c r="U666" s="87"/>
      <c r="V666" s="80">
        <v>45495</v>
      </c>
      <c r="W666" s="73">
        <v>118</v>
      </c>
      <c r="X666" s="73">
        <v>8.57</v>
      </c>
      <c r="Y666" s="169">
        <f>IF(SUM(W666:W666)&gt;0,X666/SUM(W666:W666)*1000000,"N/A")</f>
        <v>72627.118644067799</v>
      </c>
      <c r="Z666" s="80"/>
      <c r="AA666" s="80"/>
      <c r="AB666" s="73"/>
      <c r="AC666" s="153">
        <v>45541</v>
      </c>
      <c r="AD666" s="330" t="s">
        <v>2558</v>
      </c>
      <c r="AE666" s="305"/>
      <c r="AF666" s="88"/>
      <c r="AG666" s="182">
        <f>YEAR(V666)</f>
        <v>2024</v>
      </c>
      <c r="AH666" s="86" t="str">
        <f>+IF(AF666=$AI$22,MONTH(U666),"")</f>
        <v/>
      </c>
      <c r="AI666" s="86" t="str">
        <f>+IF(AG666=$AI$22,MONTH(V666),"")</f>
        <v/>
      </c>
      <c r="AJ666" s="86">
        <f>+IF(AG666=$AJ$22,MONTH(V666),"")</f>
        <v>7</v>
      </c>
      <c r="AK666" s="86" t="str">
        <f>+IF(AG666=$AK$22,MONTH(V666),"")</f>
        <v/>
      </c>
      <c r="AL666" s="86" t="str">
        <f>+IF(AG666=$AL$22,MONTH(V666),"")</f>
        <v/>
      </c>
      <c r="AM666" s="86" t="str">
        <f>+IF($AG666=$AM$22,MONTH($D666),"")</f>
        <v/>
      </c>
      <c r="AN666" s="89" t="str">
        <f>+IF($AG666=AN$22,MONTH($D666),"")</f>
        <v/>
      </c>
      <c r="AO666" s="89" t="str">
        <f>+IF($AG666=AO$22,MONTH($D666),"")</f>
        <v/>
      </c>
      <c r="AP666" s="89" t="str">
        <f>+IF($AG666=AP$22,MONTH($D666),"")</f>
        <v/>
      </c>
      <c r="AQ666" s="89" t="str">
        <f>+IF($AG666=AQ$22,MONTH($D666),"")</f>
        <v/>
      </c>
      <c r="AR666" s="89" t="str">
        <f>+IF($AG666=AR$22,MONTH($D666),"")</f>
        <v/>
      </c>
      <c r="AS666" s="89" t="str">
        <f>+IF($AG666=AS$22,MONTH($D666),"")</f>
        <v/>
      </c>
      <c r="AT666" s="89" t="str">
        <f>+IF($AG666=AT$22,MONTH($D666),"")</f>
        <v/>
      </c>
      <c r="AU666" s="89" t="str">
        <f>+IF($AG666=AU$22,MONTH($D666),"")</f>
        <v/>
      </c>
      <c r="AV666" s="89" t="str">
        <f>+IF($AG666=AV$22,MONTH($D666),"")</f>
        <v/>
      </c>
      <c r="AW666" s="86" t="str">
        <f>+IF($AG666=AW$22,MONTH($D666),"")</f>
        <v/>
      </c>
      <c r="AX666" s="86" t="str">
        <f>+IF($AG666=AX$22,MONTH($D666),"")</f>
        <v/>
      </c>
      <c r="AY666" s="89"/>
      <c r="AZ666" s="89"/>
      <c r="BA666" s="89"/>
      <c r="BB666" s="89"/>
      <c r="BC666" s="89"/>
      <c r="BD666" s="89"/>
      <c r="BE666" s="89"/>
      <c r="BF666" s="89"/>
      <c r="BG666" s="89"/>
      <c r="BH666" s="89"/>
      <c r="BI666" s="89"/>
      <c r="BJ666" s="89"/>
      <c r="BK666" s="89"/>
      <c r="BL666" s="89"/>
      <c r="BM666" s="89"/>
      <c r="BN666" s="89"/>
      <c r="BO666" s="89"/>
      <c r="BP666" s="89"/>
    </row>
    <row r="667" spans="1:68" s="89" customFormat="1" ht="29.25" hidden="1" customHeight="1">
      <c r="A667" s="204">
        <f>+IFERROR(VALUE(MID(AB667,4,4)),"")</f>
        <v>394</v>
      </c>
      <c r="B667" s="204">
        <f>VALUE(RIGHT(C667,LEN(C667)-2))</f>
        <v>2056</v>
      </c>
      <c r="C667" s="74" t="s">
        <v>2559</v>
      </c>
      <c r="D667" s="75">
        <v>45439</v>
      </c>
      <c r="E667" s="70" t="s">
        <v>848</v>
      </c>
      <c r="F667" s="70" t="s">
        <v>848</v>
      </c>
      <c r="G667" s="68" t="s">
        <v>2560</v>
      </c>
      <c r="H667" s="282" t="s">
        <v>2561</v>
      </c>
      <c r="I667" s="69" t="s">
        <v>2562</v>
      </c>
      <c r="J667" s="69"/>
      <c r="K667" s="68" t="s">
        <v>90</v>
      </c>
      <c r="L667" s="68" t="s">
        <v>123</v>
      </c>
      <c r="M667" s="68" t="s">
        <v>141</v>
      </c>
      <c r="N667" s="69" t="e" vm="1">
        <v>#VALUE!</v>
      </c>
      <c r="O667" s="84">
        <v>45449</v>
      </c>
      <c r="P667" s="72" t="s">
        <v>2104</v>
      </c>
      <c r="Q667" s="72" t="s">
        <v>1210</v>
      </c>
      <c r="R667" s="162"/>
      <c r="S667" s="146" t="s">
        <v>1207</v>
      </c>
      <c r="T667" s="68" t="s">
        <v>3</v>
      </c>
      <c r="U667" s="87"/>
      <c r="V667" s="183">
        <v>45505</v>
      </c>
      <c r="W667" s="150">
        <v>118</v>
      </c>
      <c r="X667" s="150">
        <v>8.6</v>
      </c>
      <c r="Y667" s="83">
        <f>IF(SUM(W667:W667)&gt;0,X667/SUM(W667:W667)*1000000,"N/A")</f>
        <v>72881.355932203398</v>
      </c>
      <c r="Z667" s="183"/>
      <c r="AA667" s="183"/>
      <c r="AB667" s="73" t="s">
        <v>2563</v>
      </c>
      <c r="AC667" s="153"/>
      <c r="AD667" s="331"/>
      <c r="AE667" s="57"/>
      <c r="AF667" s="88"/>
      <c r="AG667" s="182">
        <f>YEAR(V667)</f>
        <v>2024</v>
      </c>
      <c r="AH667" s="86" t="str">
        <f>+IF(AF667=$AI$22,MONTH(U667),"")</f>
        <v/>
      </c>
      <c r="AI667" s="86" t="str">
        <f>+IF(AG667=$AI$22,MONTH(V667),"")</f>
        <v/>
      </c>
      <c r="AJ667" s="86">
        <f>+IF(AG667=$AJ$22,MONTH(V667),"")</f>
        <v>8</v>
      </c>
      <c r="AK667" s="86" t="str">
        <f>+IF(AG667=$AK$22,MONTH(V667),"")</f>
        <v/>
      </c>
      <c r="AL667" s="86" t="str">
        <f>+IF(AG667=$AL$22,MONTH(V667),"")</f>
        <v/>
      </c>
      <c r="AM667" s="86" t="str">
        <f>+IF($AG667=$AM$22,MONTH($D667),"")</f>
        <v/>
      </c>
      <c r="AN667" s="89" t="str">
        <f>+IF($AG667=AN$22,MONTH($D667),"")</f>
        <v/>
      </c>
      <c r="AO667" s="89" t="str">
        <f>+IF($AG667=AO$22,MONTH($D667),"")</f>
        <v/>
      </c>
      <c r="AP667" s="89" t="str">
        <f>+IF($AG667=AP$22,MONTH($D667),"")</f>
        <v/>
      </c>
      <c r="AQ667" s="89" t="str">
        <f>+IF($AG667=AQ$22,MONTH($D667),"")</f>
        <v/>
      </c>
      <c r="AR667" s="89" t="str">
        <f>+IF($AG667=AR$22,MONTH($D667),"")</f>
        <v/>
      </c>
      <c r="AS667" s="89" t="str">
        <f>+IF($AG667=AS$22,MONTH($D667),"")</f>
        <v/>
      </c>
      <c r="AT667" s="89" t="str">
        <f>+IF($AG667=AT$22,MONTH($D667),"")</f>
        <v/>
      </c>
      <c r="AU667" s="89" t="str">
        <f>+IF($AG667=AU$22,MONTH($D667),"")</f>
        <v/>
      </c>
      <c r="AV667" s="89" t="str">
        <f>+IF($AG667=AV$22,MONTH($D667),"")</f>
        <v/>
      </c>
      <c r="AW667" s="86" t="str">
        <f>+IF($AG667=AW$22,MONTH($D667),"")</f>
        <v/>
      </c>
      <c r="AX667" s="86" t="str">
        <f>+IF($AG667=AX$22,MONTH($D667),"")</f>
        <v/>
      </c>
    </row>
    <row r="668" spans="1:68" s="56" customFormat="1" ht="33.75" hidden="1" customHeight="1">
      <c r="A668" s="204" t="str">
        <f>+IFERROR(VALUE(MID(AB668,4,4)),"")</f>
        <v/>
      </c>
      <c r="B668" s="204">
        <f>VALUE(RIGHT(C668,LEN(C668)-2))</f>
        <v>2055</v>
      </c>
      <c r="C668" s="74" t="s">
        <v>2564</v>
      </c>
      <c r="D668" s="75">
        <v>45435</v>
      </c>
      <c r="E668" s="70" t="s">
        <v>53</v>
      </c>
      <c r="F668" s="70" t="s">
        <v>252</v>
      </c>
      <c r="G668" s="68" t="s">
        <v>2565</v>
      </c>
      <c r="H668" s="59" t="s">
        <v>256</v>
      </c>
      <c r="I668" s="69" t="s">
        <v>2566</v>
      </c>
      <c r="J668" s="69"/>
      <c r="K668" s="68" t="s">
        <v>13</v>
      </c>
      <c r="L668" s="69" t="s">
        <v>123</v>
      </c>
      <c r="M668" s="71" t="s">
        <v>141</v>
      </c>
      <c r="N668" s="69" t="e" vm="1">
        <v>#VALUE!</v>
      </c>
      <c r="O668" s="84">
        <v>45504</v>
      </c>
      <c r="P668" s="72" t="s">
        <v>377</v>
      </c>
      <c r="Q668" s="72" t="s">
        <v>1097</v>
      </c>
      <c r="R668" s="162"/>
      <c r="S668" s="146" t="s">
        <v>2217</v>
      </c>
      <c r="T668" s="68" t="s">
        <v>165</v>
      </c>
      <c r="U668" s="87"/>
      <c r="V668" s="80">
        <v>45712</v>
      </c>
      <c r="W668" s="73">
        <v>18644</v>
      </c>
      <c r="X668" s="73">
        <v>864</v>
      </c>
      <c r="Y668" s="83">
        <f>IF(SUM(W668:W668)&gt;0,X668/SUM(W668:W668)*1000000,"N/A")</f>
        <v>46341.986698133449</v>
      </c>
      <c r="Z668" s="80"/>
      <c r="AA668" s="80"/>
      <c r="AB668" s="73"/>
      <c r="AC668" s="153"/>
      <c r="AD668" s="331"/>
      <c r="AE668" s="57"/>
      <c r="AF668" s="88"/>
      <c r="AG668" s="182">
        <f>YEAR(V668)</f>
        <v>2025</v>
      </c>
      <c r="AH668" s="86" t="str">
        <f>+IF(AF668=$AI$22,MONTH(U668),"")</f>
        <v/>
      </c>
      <c r="AI668" s="86">
        <f>+IF(AG668=$AI$22,MONTH(V668),"")</f>
        <v>2</v>
      </c>
      <c r="AJ668" s="86" t="str">
        <f>+IF(AG668=$AJ$22,MONTH(V668),"")</f>
        <v/>
      </c>
      <c r="AK668" s="86" t="str">
        <f>+IF(AG668=$AK$22,MONTH(V668),"")</f>
        <v/>
      </c>
      <c r="AL668" s="86" t="str">
        <f>+IF(AG668=$AL$22,MONTH(V668),"")</f>
        <v/>
      </c>
      <c r="AM668" s="86" t="str">
        <f>+IF($AG668=$AM$22,MONTH($D668),"")</f>
        <v/>
      </c>
      <c r="AN668" s="89" t="str">
        <f>+IF($AG668=AN$22,MONTH($D668),"")</f>
        <v/>
      </c>
      <c r="AO668" s="89" t="str">
        <f>+IF($AG668=AO$22,MONTH($D668),"")</f>
        <v/>
      </c>
      <c r="AP668" s="89" t="str">
        <f>+IF($AG668=AP$22,MONTH($D668),"")</f>
        <v/>
      </c>
      <c r="AQ668" s="89" t="str">
        <f>+IF($AG668=AQ$22,MONTH($D668),"")</f>
        <v/>
      </c>
      <c r="AR668" s="89" t="str">
        <f>+IF($AG668=AR$22,MONTH($D668),"")</f>
        <v/>
      </c>
      <c r="AS668" s="89" t="str">
        <f>+IF($AG668=AS$22,MONTH($D668),"")</f>
        <v/>
      </c>
      <c r="AT668" s="89" t="str">
        <f>+IF($AG668=AT$22,MONTH($D668),"")</f>
        <v/>
      </c>
      <c r="AU668" s="89" t="str">
        <f>+IF($AG668=AU$22,MONTH($D668),"")</f>
        <v/>
      </c>
      <c r="AV668" s="89" t="str">
        <f>+IF($AG668=AV$22,MONTH($D668),"")</f>
        <v/>
      </c>
      <c r="AW668" s="86" t="str">
        <f>+IF($AG668=AW$22,MONTH($D668),"")</f>
        <v/>
      </c>
      <c r="AX668" s="86" t="str">
        <f>+IF($AG668=AX$22,MONTH($D668),"")</f>
        <v/>
      </c>
      <c r="AY668" s="89"/>
      <c r="AZ668" s="89"/>
      <c r="BA668" s="89"/>
      <c r="BB668" s="89"/>
      <c r="BC668" s="89"/>
      <c r="BD668" s="89"/>
      <c r="BE668" s="89"/>
      <c r="BF668" s="89"/>
      <c r="BG668" s="89"/>
      <c r="BH668" s="89"/>
      <c r="BI668" s="89"/>
      <c r="BJ668" s="89"/>
      <c r="BK668" s="89"/>
      <c r="BL668" s="89"/>
      <c r="BM668" s="89"/>
      <c r="BN668" s="89"/>
      <c r="BO668" s="89"/>
      <c r="BP668" s="89"/>
    </row>
    <row r="669" spans="1:68" s="56" customFormat="1" ht="29.25" hidden="1" customHeight="1">
      <c r="A669" s="204" t="str">
        <f>+IFERROR(VALUE(MID(AB669,4,4)),"")</f>
        <v/>
      </c>
      <c r="B669" s="204">
        <f>VALUE(RIGHT(C669,LEN(C669)-2))</f>
        <v>2054</v>
      </c>
      <c r="C669" s="74" t="s">
        <v>2567</v>
      </c>
      <c r="D669" s="75">
        <v>45434</v>
      </c>
      <c r="E669" s="70" t="s">
        <v>53</v>
      </c>
      <c r="F669" s="70" t="s">
        <v>313</v>
      </c>
      <c r="G669" s="68" t="s">
        <v>210</v>
      </c>
      <c r="H669" s="59"/>
      <c r="I669" s="162" t="s">
        <v>2568</v>
      </c>
      <c r="J669" s="162"/>
      <c r="K669" s="68" t="s">
        <v>212</v>
      </c>
      <c r="L669" s="69" t="s">
        <v>123</v>
      </c>
      <c r="M669" s="71" t="s">
        <v>141</v>
      </c>
      <c r="N669" s="69" t="e" vm="1">
        <v>#VALUE!</v>
      </c>
      <c r="O669" s="164">
        <v>45498</v>
      </c>
      <c r="P669" s="72" t="s">
        <v>377</v>
      </c>
      <c r="Q669" s="72" t="s">
        <v>652</v>
      </c>
      <c r="R669" s="162"/>
      <c r="S669" s="146" t="s">
        <v>2217</v>
      </c>
      <c r="T669" s="68" t="s">
        <v>165</v>
      </c>
      <c r="U669" s="87"/>
      <c r="V669" s="183">
        <v>45957</v>
      </c>
      <c r="W669" s="73">
        <v>1000</v>
      </c>
      <c r="X669" s="73">
        <v>40</v>
      </c>
      <c r="Y669" s="83">
        <f>IF(SUM(W669:W669)&gt;0,X669/SUM(W669:W669)*1000000,"N/A")</f>
        <v>40000</v>
      </c>
      <c r="Z669" s="183"/>
      <c r="AA669" s="183"/>
      <c r="AB669" s="73"/>
      <c r="AC669" s="153"/>
      <c r="AD669" s="331"/>
      <c r="AE669" s="57"/>
      <c r="AF669" s="88"/>
      <c r="AG669" s="182">
        <f>YEAR(V669)</f>
        <v>2025</v>
      </c>
      <c r="AH669" s="86" t="str">
        <f>+IF(AF669=$AI$22,MONTH(U669),"")</f>
        <v/>
      </c>
      <c r="AI669" s="86">
        <f>+IF(AG669=$AI$22,MONTH(V669),"")</f>
        <v>10</v>
      </c>
      <c r="AJ669" s="86" t="str">
        <f>+IF(AG669=$AJ$22,MONTH(V669),"")</f>
        <v/>
      </c>
      <c r="AK669" s="86" t="str">
        <f>+IF(AG669=$AK$22,MONTH(V669),"")</f>
        <v/>
      </c>
      <c r="AL669" s="86"/>
      <c r="AM669" s="89"/>
      <c r="AN669" s="89"/>
      <c r="AO669" s="89"/>
      <c r="AP669" s="89"/>
      <c r="AQ669" s="89"/>
      <c r="AR669" s="89"/>
      <c r="AS669" s="89"/>
      <c r="AT669" s="89"/>
      <c r="AU669" s="89"/>
      <c r="AV669" s="89"/>
      <c r="AW669" s="86" t="str">
        <f>+IF($AG669=AW$22,MONTH($D669),"")</f>
        <v/>
      </c>
      <c r="AX669" s="86" t="str">
        <f>+IF($AG669=AX$22,MONTH($D669),"")</f>
        <v/>
      </c>
      <c r="AY669" s="89"/>
      <c r="AZ669" s="89"/>
      <c r="BA669" s="89"/>
      <c r="BB669" s="89"/>
      <c r="BC669" s="89"/>
      <c r="BD669" s="89"/>
      <c r="BE669" s="89"/>
      <c r="BF669" s="89"/>
      <c r="BG669" s="89"/>
      <c r="BH669" s="89"/>
      <c r="BI669" s="89"/>
      <c r="BJ669" s="89"/>
      <c r="BK669" s="89"/>
      <c r="BL669" s="89"/>
      <c r="BM669" s="89"/>
      <c r="BN669" s="89"/>
      <c r="BO669" s="89"/>
      <c r="BP669" s="89"/>
    </row>
    <row r="670" spans="1:68" s="56" customFormat="1" ht="30" hidden="1" customHeight="1">
      <c r="A670" s="204">
        <f>+IFERROR(VALUE(MID(AB670,4,4)),"")</f>
        <v>370</v>
      </c>
      <c r="B670" s="204">
        <f>VALUE(RIGHT(C670,LEN(C670)-2))</f>
        <v>2053</v>
      </c>
      <c r="C670" s="74" t="s">
        <v>2569</v>
      </c>
      <c r="D670" s="75">
        <v>45434</v>
      </c>
      <c r="E670" s="70" t="s">
        <v>353</v>
      </c>
      <c r="F670" s="70" t="s">
        <v>2570</v>
      </c>
      <c r="G670" s="68" t="s">
        <v>2237</v>
      </c>
      <c r="H670" s="304" t="s">
        <v>2207</v>
      </c>
      <c r="I670" s="162" t="s">
        <v>2571</v>
      </c>
      <c r="J670" s="162"/>
      <c r="K670" s="68" t="s">
        <v>16</v>
      </c>
      <c r="L670" s="69" t="s">
        <v>120</v>
      </c>
      <c r="M670" s="71" t="s">
        <v>141</v>
      </c>
      <c r="N670" s="69" t="e" vm="1">
        <v>#VALUE!</v>
      </c>
      <c r="O670" s="164">
        <v>45434</v>
      </c>
      <c r="P670" s="72" t="s">
        <v>2572</v>
      </c>
      <c r="Q670" s="72" t="s">
        <v>259</v>
      </c>
      <c r="R670" s="162"/>
      <c r="S670" s="146"/>
      <c r="T670" s="68" t="s">
        <v>3</v>
      </c>
      <c r="U670" s="87"/>
      <c r="V670" s="183">
        <v>45434</v>
      </c>
      <c r="W670" s="73">
        <v>40</v>
      </c>
      <c r="X670" s="73">
        <v>1.84</v>
      </c>
      <c r="Y670" s="83">
        <f>IF(SUM(W670:W670)&gt;0,X670/SUM(W670:W670)*1000000,"N/A")</f>
        <v>46000</v>
      </c>
      <c r="Z670" s="183"/>
      <c r="AA670" s="183"/>
      <c r="AB670" s="73" t="s">
        <v>2573</v>
      </c>
      <c r="AC670" s="153"/>
      <c r="AD670" s="330"/>
      <c r="AE670" s="305"/>
      <c r="AF670" s="88"/>
      <c r="AG670" s="182">
        <f>YEAR(V670)</f>
        <v>2024</v>
      </c>
      <c r="AH670" s="86" t="str">
        <f>+IF(AF670=$AI$22,MONTH(U670),"")</f>
        <v/>
      </c>
      <c r="AI670" s="86" t="str">
        <f>+IF(AG670=$AI$22,MONTH(V670),"")</f>
        <v/>
      </c>
      <c r="AJ670" s="86">
        <f>+IF(AG670=$AJ$22,MONTH(V670),"")</f>
        <v>5</v>
      </c>
      <c r="AK670" s="86" t="str">
        <f>+IF(AG670=$AK$22,MONTH(V670),"")</f>
        <v/>
      </c>
      <c r="AL670" s="86"/>
      <c r="AM670" s="89"/>
      <c r="AN670" s="89"/>
      <c r="AO670" s="89"/>
      <c r="AP670" s="89"/>
      <c r="AQ670" s="89"/>
      <c r="AR670" s="89"/>
      <c r="AS670" s="89"/>
      <c r="AT670" s="89"/>
      <c r="AU670" s="89"/>
      <c r="AV670" s="89"/>
      <c r="AW670" s="86" t="str">
        <f>+IF($AG670=AW$22,MONTH($D670),"")</f>
        <v/>
      </c>
      <c r="AX670" s="86" t="str">
        <f>+IF($AG670=AX$22,MONTH($D670),"")</f>
        <v/>
      </c>
      <c r="AY670" s="89"/>
      <c r="AZ670" s="89"/>
      <c r="BA670" s="89"/>
      <c r="BB670" s="89"/>
      <c r="BC670" s="89"/>
      <c r="BD670" s="89"/>
      <c r="BE670" s="89"/>
      <c r="BF670" s="89"/>
      <c r="BG670" s="89"/>
      <c r="BH670" s="89"/>
      <c r="BI670" s="89"/>
      <c r="BJ670" s="89"/>
      <c r="BK670" s="89"/>
      <c r="BL670" s="89"/>
      <c r="BM670" s="89"/>
      <c r="BN670" s="89"/>
      <c r="BO670" s="89"/>
      <c r="BP670" s="89"/>
    </row>
    <row r="671" spans="1:68" s="56" customFormat="1" ht="21" hidden="1" customHeight="1">
      <c r="A671" s="204" t="str">
        <f>+IFERROR(VALUE(MID(AB671,4,4)),"")</f>
        <v/>
      </c>
      <c r="B671" s="204">
        <f>VALUE(RIGHT(C671,LEN(C671)-2))</f>
        <v>2052</v>
      </c>
      <c r="C671" s="74" t="s">
        <v>2574</v>
      </c>
      <c r="D671" s="75">
        <v>45434</v>
      </c>
      <c r="E671" s="70" t="s">
        <v>262</v>
      </c>
      <c r="F671" s="70" t="s">
        <v>263</v>
      </c>
      <c r="G671" s="68" t="s">
        <v>2575</v>
      </c>
      <c r="H671" s="307" t="s">
        <v>2576</v>
      </c>
      <c r="I671" s="69" t="s">
        <v>2577</v>
      </c>
      <c r="J671" s="69"/>
      <c r="K671" s="68" t="s">
        <v>389</v>
      </c>
      <c r="L671" s="69" t="s">
        <v>129</v>
      </c>
      <c r="M671" s="71" t="s">
        <v>141</v>
      </c>
      <c r="N671" s="69" t="e" vm="1">
        <v>#VALUE!</v>
      </c>
      <c r="O671" s="84">
        <v>45453</v>
      </c>
      <c r="P671" s="72" t="s">
        <v>364</v>
      </c>
      <c r="Q671" s="72" t="s">
        <v>389</v>
      </c>
      <c r="R671" s="162"/>
      <c r="S671" s="146" t="s">
        <v>899</v>
      </c>
      <c r="T671" s="68" t="s">
        <v>165</v>
      </c>
      <c r="U671" s="87"/>
      <c r="V671" s="80">
        <v>45434</v>
      </c>
      <c r="W671" s="73"/>
      <c r="X671" s="73"/>
      <c r="Y671" s="169" t="str">
        <f>IF(SUM(W671:W671)&gt;0,X671/SUM(W671:W671)*1000000,"N/A")</f>
        <v>N/A</v>
      </c>
      <c r="Z671" s="80"/>
      <c r="AA671" s="80"/>
      <c r="AB671" s="73"/>
      <c r="AC671" s="153"/>
      <c r="AD671" s="330" t="s">
        <v>134</v>
      </c>
      <c r="AE671" s="305"/>
      <c r="AF671" s="88"/>
      <c r="AG671" s="182">
        <f>YEAR(V671)</f>
        <v>2024</v>
      </c>
      <c r="AH671" s="86" t="str">
        <f>+IF(AF671=$AI$22,MONTH(U671),"")</f>
        <v/>
      </c>
      <c r="AI671" s="86" t="str">
        <f>+IF(AG671=$AI$22,MONTH(V671),"")</f>
        <v/>
      </c>
      <c r="AJ671" s="86">
        <f>+IF(AG671=$AJ$22,MONTH(V671),"")</f>
        <v>5</v>
      </c>
      <c r="AK671" s="86" t="str">
        <f>+IF(AG671=$AK$22,MONTH(V671),"")</f>
        <v/>
      </c>
      <c r="AL671" s="86" t="str">
        <f>+IF(AG671=$AL$22,MONTH(V671),"")</f>
        <v/>
      </c>
      <c r="AM671" s="86" t="str">
        <f>+IF($AG671=$AM$22,MONTH($D671),"")</f>
        <v/>
      </c>
      <c r="AN671" s="89" t="str">
        <f>+IF($AG671=AN$22,MONTH($D671),"")</f>
        <v/>
      </c>
      <c r="AO671" s="89" t="str">
        <f>+IF($AG671=AO$22,MONTH($D671),"")</f>
        <v/>
      </c>
      <c r="AP671" s="89" t="str">
        <f>+IF($AG671=AP$22,MONTH($D671),"")</f>
        <v/>
      </c>
      <c r="AQ671" s="89" t="str">
        <f>+IF($AG671=AQ$22,MONTH($D671),"")</f>
        <v/>
      </c>
      <c r="AR671" s="89" t="str">
        <f>+IF($AG671=AR$22,MONTH($D671),"")</f>
        <v/>
      </c>
      <c r="AS671" s="89" t="str">
        <f>+IF($AG671=AS$22,MONTH($D671),"")</f>
        <v/>
      </c>
      <c r="AT671" s="89" t="str">
        <f>+IF($AG671=AT$22,MONTH($D671),"")</f>
        <v/>
      </c>
      <c r="AU671" s="89" t="str">
        <f>+IF($AG671=AU$22,MONTH($D671),"")</f>
        <v/>
      </c>
      <c r="AV671" s="89" t="str">
        <f>+IF($AG671=AV$22,MONTH($D671),"")</f>
        <v/>
      </c>
      <c r="AW671" s="86" t="str">
        <f>+IF($AG671=AW$22,MONTH($D671),"")</f>
        <v/>
      </c>
      <c r="AX671" s="86" t="str">
        <f>+IF($AG671=AX$22,MONTH($D671),"")</f>
        <v/>
      </c>
      <c r="AY671" s="89"/>
      <c r="AZ671" s="89"/>
      <c r="BA671" s="89"/>
      <c r="BB671" s="89"/>
      <c r="BC671" s="89"/>
      <c r="BD671" s="89"/>
      <c r="BE671" s="89"/>
      <c r="BF671" s="89"/>
      <c r="BG671" s="89"/>
      <c r="BH671" s="89"/>
      <c r="BI671" s="89"/>
      <c r="BJ671" s="89"/>
      <c r="BK671" s="89"/>
      <c r="BL671" s="89"/>
      <c r="BM671" s="89"/>
      <c r="BN671" s="89"/>
      <c r="BO671" s="89"/>
      <c r="BP671" s="89"/>
    </row>
    <row r="672" spans="1:68" s="89" customFormat="1" ht="30" hidden="1" customHeight="1">
      <c r="A672" s="204">
        <f>+IFERROR(VALUE(MID(AB672,4,4)),"")</f>
        <v>364</v>
      </c>
      <c r="B672" s="204">
        <f>VALUE(RIGHT(C672,LEN(C672)-2))</f>
        <v>2051</v>
      </c>
      <c r="C672" s="74" t="s">
        <v>2578</v>
      </c>
      <c r="D672" s="75">
        <v>45432</v>
      </c>
      <c r="E672" s="70" t="s">
        <v>262</v>
      </c>
      <c r="F672" s="70" t="s">
        <v>262</v>
      </c>
      <c r="G672" s="68" t="s">
        <v>2228</v>
      </c>
      <c r="H672" s="307" t="s">
        <v>2229</v>
      </c>
      <c r="I672" s="69" t="s">
        <v>2579</v>
      </c>
      <c r="J672" s="69"/>
      <c r="K672" s="68" t="s">
        <v>13</v>
      </c>
      <c r="L672" s="68" t="s">
        <v>120</v>
      </c>
      <c r="M672" s="68" t="s">
        <v>141</v>
      </c>
      <c r="N672" s="69" t="e" vm="1">
        <v>#VALUE!</v>
      </c>
      <c r="O672" s="84">
        <v>45435</v>
      </c>
      <c r="P672" s="72" t="s">
        <v>2580</v>
      </c>
      <c r="Q672" s="72" t="s">
        <v>229</v>
      </c>
      <c r="R672" s="162"/>
      <c r="S672" s="146"/>
      <c r="T672" s="68" t="s">
        <v>3</v>
      </c>
      <c r="U672" s="87"/>
      <c r="V672" s="80">
        <v>45478</v>
      </c>
      <c r="W672" s="73">
        <v>402</v>
      </c>
      <c r="X672" s="73">
        <v>23.5</v>
      </c>
      <c r="Y672" s="169">
        <f>IF(SUM(W672:W672)&gt;0,X672/SUM(W672:W672)*1000000,"N/A")</f>
        <v>58457.711442786065</v>
      </c>
      <c r="Z672" s="80"/>
      <c r="AA672" s="80"/>
      <c r="AB672" s="73" t="s">
        <v>2581</v>
      </c>
      <c r="AC672" s="153"/>
      <c r="AD672" s="330"/>
      <c r="AE672" s="305"/>
      <c r="AF672" s="88"/>
      <c r="AG672" s="182">
        <f>YEAR(V672)</f>
        <v>2024</v>
      </c>
      <c r="AH672" s="86" t="str">
        <f>+IF(AF672=$AI$22,MONTH(U672),"")</f>
        <v/>
      </c>
      <c r="AI672" s="86" t="str">
        <f>+IF(AG672=$AI$22,MONTH(V672),"")</f>
        <v/>
      </c>
      <c r="AJ672" s="86">
        <f>+IF(AG672=$AJ$22,MONTH(V672),"")</f>
        <v>7</v>
      </c>
      <c r="AK672" s="86" t="str">
        <f>+IF(AG672=$AK$22,MONTH(V672),"")</f>
        <v/>
      </c>
      <c r="AL672" s="86" t="str">
        <f>+IF(AG672=$AL$22,MONTH(V672),"")</f>
        <v/>
      </c>
      <c r="AM672" s="86" t="str">
        <f>+IF($AG672=$AM$22,MONTH($D672),"")</f>
        <v/>
      </c>
      <c r="AN672" s="89" t="str">
        <f>+IF($AG672=AN$22,MONTH($D672),"")</f>
        <v/>
      </c>
      <c r="AO672" s="89" t="str">
        <f>+IF($AG672=AO$22,MONTH($D672),"")</f>
        <v/>
      </c>
      <c r="AP672" s="89" t="str">
        <f>+IF($AG672=AP$22,MONTH($D672),"")</f>
        <v/>
      </c>
      <c r="AQ672" s="89" t="str">
        <f>+IF($AG672=AQ$22,MONTH($D672),"")</f>
        <v/>
      </c>
      <c r="AR672" s="89" t="str">
        <f>+IF($AG672=AR$22,MONTH($D672),"")</f>
        <v/>
      </c>
      <c r="AS672" s="89" t="str">
        <f>+IF($AG672=AS$22,MONTH($D672),"")</f>
        <v/>
      </c>
      <c r="AT672" s="89" t="str">
        <f>+IF($AG672=AT$22,MONTH($D672),"")</f>
        <v/>
      </c>
      <c r="AU672" s="89" t="str">
        <f>+IF($AG672=AU$22,MONTH($D672),"")</f>
        <v/>
      </c>
      <c r="AV672" s="89" t="str">
        <f>+IF($AG672=AV$22,MONTH($D672),"")</f>
        <v/>
      </c>
      <c r="AW672" s="86" t="str">
        <f>+IF($AG672=AW$22,MONTH($D672),"")</f>
        <v/>
      </c>
      <c r="AX672" s="86" t="str">
        <f>+IF($AG672=AX$22,MONTH($D672),"")</f>
        <v/>
      </c>
    </row>
    <row r="673" spans="1:68" s="89" customFormat="1" ht="38.25" hidden="1" customHeight="1">
      <c r="A673" s="204">
        <f>+IFERROR(VALUE(MID(AB673,4,4)),"")</f>
        <v>364</v>
      </c>
      <c r="B673" s="204">
        <f>VALUE(RIGHT(C673,LEN(C673)-2))</f>
        <v>2050</v>
      </c>
      <c r="C673" s="74" t="s">
        <v>2582</v>
      </c>
      <c r="D673" s="75">
        <v>45432</v>
      </c>
      <c r="E673" s="70" t="s">
        <v>262</v>
      </c>
      <c r="F673" s="70" t="s">
        <v>262</v>
      </c>
      <c r="G673" s="68" t="s">
        <v>2228</v>
      </c>
      <c r="H673" s="307" t="s">
        <v>2229</v>
      </c>
      <c r="I673" s="69" t="s">
        <v>2583</v>
      </c>
      <c r="J673" s="69"/>
      <c r="K673" s="68" t="s">
        <v>9</v>
      </c>
      <c r="L673" s="68" t="s">
        <v>120</v>
      </c>
      <c r="M673" s="68" t="s">
        <v>141</v>
      </c>
      <c r="N673" s="69" t="e" vm="1">
        <v>#VALUE!</v>
      </c>
      <c r="O673" s="84">
        <v>45435</v>
      </c>
      <c r="P673" s="72" t="s">
        <v>2584</v>
      </c>
      <c r="Q673" s="72" t="s">
        <v>623</v>
      </c>
      <c r="R673" s="162"/>
      <c r="S673" s="146"/>
      <c r="T673" s="68" t="s">
        <v>3</v>
      </c>
      <c r="U673" s="87"/>
      <c r="V673" s="80">
        <v>45506</v>
      </c>
      <c r="W673" s="73">
        <v>1015</v>
      </c>
      <c r="X673" s="73">
        <v>60</v>
      </c>
      <c r="Y673" s="169">
        <f>IF(SUM(W673:W673)&gt;0,X673/SUM(W673:W673)*1000000,"N/A")</f>
        <v>59113.300492610833</v>
      </c>
      <c r="Z673" s="80"/>
      <c r="AA673" s="80"/>
      <c r="AB673" s="73" t="s">
        <v>2585</v>
      </c>
      <c r="AC673" s="153"/>
      <c r="AD673" s="330"/>
      <c r="AE673" s="305"/>
      <c r="AF673" s="88"/>
      <c r="AG673" s="182">
        <f>YEAR(V673)</f>
        <v>2024</v>
      </c>
      <c r="AH673" s="86" t="str">
        <f>+IF(AF673=$AI$22,MONTH(U673),"")</f>
        <v/>
      </c>
      <c r="AI673" s="86" t="str">
        <f>+IF(AG673=$AI$22,MONTH(V673),"")</f>
        <v/>
      </c>
      <c r="AJ673" s="86">
        <f>+IF(AG673=$AJ$22,MONTH(V673),"")</f>
        <v>8</v>
      </c>
      <c r="AK673" s="86" t="str">
        <f>+IF(AG673=$AK$22,MONTH(V673),"")</f>
        <v/>
      </c>
      <c r="AL673" s="86" t="str">
        <f>+IF(AG673=$AL$22,MONTH(V673),"")</f>
        <v/>
      </c>
      <c r="AM673" s="86" t="str">
        <f>+IF($AG673=$AM$22,MONTH($D673),"")</f>
        <v/>
      </c>
      <c r="AN673" s="89" t="str">
        <f>+IF($AG673=AN$22,MONTH($D673),"")</f>
        <v/>
      </c>
      <c r="AO673" s="89" t="str">
        <f>+IF($AG673=AO$22,MONTH($D673),"")</f>
        <v/>
      </c>
      <c r="AP673" s="89" t="str">
        <f>+IF($AG673=AP$22,MONTH($D673),"")</f>
        <v/>
      </c>
      <c r="AQ673" s="89" t="str">
        <f>+IF($AG673=AQ$22,MONTH($D673),"")</f>
        <v/>
      </c>
      <c r="AR673" s="89" t="str">
        <f>+IF($AG673=AR$22,MONTH($D673),"")</f>
        <v/>
      </c>
      <c r="AS673" s="89" t="str">
        <f>+IF($AG673=AS$22,MONTH($D673),"")</f>
        <v/>
      </c>
      <c r="AT673" s="89" t="str">
        <f>+IF($AG673=AT$22,MONTH($D673),"")</f>
        <v/>
      </c>
      <c r="AU673" s="89" t="str">
        <f>+IF($AG673=AU$22,MONTH($D673),"")</f>
        <v/>
      </c>
      <c r="AV673" s="89" t="str">
        <f>+IF($AG673=AV$22,MONTH($D673),"")</f>
        <v/>
      </c>
      <c r="AW673" s="86" t="str">
        <f>+IF($AG673=AW$22,MONTH($D673),"")</f>
        <v/>
      </c>
      <c r="AX673" s="86" t="str">
        <f>+IF($AG673=AX$22,MONTH($D673),"")</f>
        <v/>
      </c>
    </row>
    <row r="674" spans="1:68" s="89" customFormat="1" ht="29.25" hidden="1" customHeight="1">
      <c r="A674" s="204" t="str">
        <f>+IFERROR(VALUE(MID(AB674,4,4)),"")</f>
        <v/>
      </c>
      <c r="B674" s="204">
        <f>VALUE(RIGHT(C674,LEN(C674)-2))</f>
        <v>2049</v>
      </c>
      <c r="C674" s="74" t="s">
        <v>2586</v>
      </c>
      <c r="D674" s="75">
        <v>45431</v>
      </c>
      <c r="E674" s="70" t="s">
        <v>473</v>
      </c>
      <c r="F674" s="70" t="s">
        <v>473</v>
      </c>
      <c r="G674" s="68" t="s">
        <v>2503</v>
      </c>
      <c r="H674" s="307" t="s">
        <v>2003</v>
      </c>
      <c r="I674" s="69" t="s">
        <v>2587</v>
      </c>
      <c r="J674" s="69"/>
      <c r="K674" s="68" t="s">
        <v>9</v>
      </c>
      <c r="L674" s="68" t="s">
        <v>120</v>
      </c>
      <c r="M674" s="68" t="s">
        <v>141</v>
      </c>
      <c r="N674" s="69" t="e" vm="1">
        <v>#VALUE!</v>
      </c>
      <c r="O674" s="84">
        <v>45448</v>
      </c>
      <c r="P674" s="72" t="s">
        <v>1629</v>
      </c>
      <c r="Q674" s="72" t="s">
        <v>316</v>
      </c>
      <c r="R674" s="162"/>
      <c r="S674" s="146"/>
      <c r="T674" s="68" t="s">
        <v>155</v>
      </c>
      <c r="U674" s="87"/>
      <c r="V674" s="80">
        <v>45432</v>
      </c>
      <c r="W674" s="73"/>
      <c r="X674" s="73"/>
      <c r="Y674" s="169" t="str">
        <f>IF(SUM(W674:W674)&gt;0,X674/SUM(W674:W674)*1000000,"N/A")</f>
        <v>N/A</v>
      </c>
      <c r="Z674" s="80"/>
      <c r="AA674" s="80"/>
      <c r="AB674" s="73"/>
      <c r="AC674" s="153"/>
      <c r="AD674" s="330"/>
      <c r="AE674" s="305"/>
      <c r="AF674" s="88"/>
      <c r="AG674" s="182">
        <f>YEAR(V674)</f>
        <v>2024</v>
      </c>
      <c r="AH674" s="86" t="str">
        <f>+IF(AF674=$AI$22,MONTH(U674),"")</f>
        <v/>
      </c>
      <c r="AI674" s="86" t="str">
        <f>+IF(AG674=$AI$22,MONTH(V674),"")</f>
        <v/>
      </c>
      <c r="AJ674" s="86">
        <f>+IF(AG674=$AJ$22,MONTH(V674),"")</f>
        <v>5</v>
      </c>
      <c r="AK674" s="86" t="str">
        <f>+IF(AG674=$AK$22,MONTH(V674),"")</f>
        <v/>
      </c>
      <c r="AL674" s="86" t="str">
        <f>+IF(AG674=$AL$22,MONTH(V674),"")</f>
        <v/>
      </c>
      <c r="AM674" s="86" t="str">
        <f>+IF($AG674=$AM$22,MONTH($D674),"")</f>
        <v/>
      </c>
      <c r="AN674" s="89" t="str">
        <f>+IF($AG674=AN$22,MONTH($D674),"")</f>
        <v/>
      </c>
      <c r="AO674" s="89" t="str">
        <f>+IF($AG674=AO$22,MONTH($D674),"")</f>
        <v/>
      </c>
      <c r="AP674" s="89" t="str">
        <f>+IF($AG674=AP$22,MONTH($D674),"")</f>
        <v/>
      </c>
      <c r="AQ674" s="89" t="str">
        <f>+IF($AG674=AQ$22,MONTH($D674),"")</f>
        <v/>
      </c>
      <c r="AR674" s="89" t="str">
        <f>+IF($AG674=AR$22,MONTH($D674),"")</f>
        <v/>
      </c>
      <c r="AS674" s="89" t="str">
        <f>+IF($AG674=AS$22,MONTH($D674),"")</f>
        <v/>
      </c>
      <c r="AT674" s="89" t="str">
        <f>+IF($AG674=AT$22,MONTH($D674),"")</f>
        <v/>
      </c>
      <c r="AU674" s="89" t="str">
        <f>+IF($AG674=AU$22,MONTH($D674),"")</f>
        <v/>
      </c>
      <c r="AV674" s="89" t="str">
        <f>+IF($AG674=AV$22,MONTH($D674),"")</f>
        <v/>
      </c>
      <c r="AW674" s="86" t="str">
        <f>+IF($AG674=AW$22,MONTH($D674),"")</f>
        <v/>
      </c>
      <c r="AX674" s="86" t="str">
        <f>+IF($AG674=AX$22,MONTH($D674),"")</f>
        <v/>
      </c>
    </row>
    <row r="675" spans="1:68" s="89" customFormat="1" ht="38.25" hidden="1" customHeight="1">
      <c r="A675" s="204" t="str">
        <f>+IFERROR(VALUE(MID(AB675,4,4)),"")</f>
        <v/>
      </c>
      <c r="B675" s="204">
        <f>VALUE(RIGHT(C675,LEN(C675)-2))</f>
        <v>2048</v>
      </c>
      <c r="C675" s="74" t="s">
        <v>2588</v>
      </c>
      <c r="D675" s="75">
        <v>45427</v>
      </c>
      <c r="E675" s="70" t="s">
        <v>473</v>
      </c>
      <c r="F675" s="70" t="s">
        <v>473</v>
      </c>
      <c r="G675" s="68" t="s">
        <v>2589</v>
      </c>
      <c r="H675" s="307" t="s">
        <v>2590</v>
      </c>
      <c r="I675" s="69" t="s">
        <v>2591</v>
      </c>
      <c r="J675" s="69"/>
      <c r="K675" s="68" t="s">
        <v>212</v>
      </c>
      <c r="L675" s="68" t="s">
        <v>123</v>
      </c>
      <c r="M675" s="68" t="s">
        <v>141</v>
      </c>
      <c r="N675" s="69" t="e" vm="1">
        <v>#VALUE!</v>
      </c>
      <c r="O675" s="84">
        <v>45455</v>
      </c>
      <c r="P675" s="72" t="s">
        <v>2592</v>
      </c>
      <c r="Q675" s="72" t="s">
        <v>652</v>
      </c>
      <c r="R675" s="162"/>
      <c r="S675" s="146"/>
      <c r="T675" s="68" t="s">
        <v>165</v>
      </c>
      <c r="U675" s="87">
        <v>0</v>
      </c>
      <c r="V675" s="80">
        <v>45432</v>
      </c>
      <c r="W675" s="73">
        <v>1000</v>
      </c>
      <c r="X675" s="73">
        <v>42</v>
      </c>
      <c r="Y675" s="169">
        <f>IF(SUM(W675:W675)&gt;0,X675/SUM(W675:W675)*1000000,"N/A")</f>
        <v>42000</v>
      </c>
      <c r="Z675" s="80"/>
      <c r="AA675" s="80"/>
      <c r="AB675" s="73"/>
      <c r="AC675" s="153"/>
      <c r="AD675" s="330"/>
      <c r="AE675" s="305"/>
      <c r="AF675" s="88"/>
      <c r="AG675" s="182">
        <f>YEAR(V675)</f>
        <v>2024</v>
      </c>
      <c r="AH675" s="86" t="str">
        <f>+IF(AF675=$AI$22,MONTH(U675),"")</f>
        <v/>
      </c>
      <c r="AI675" s="86" t="str">
        <f>+IF(AG675=$AI$22,MONTH(V675),"")</f>
        <v/>
      </c>
      <c r="AJ675" s="86">
        <f>+IF(AG675=$AJ$22,MONTH(V675),"")</f>
        <v>5</v>
      </c>
      <c r="AK675" s="86" t="str">
        <f>+IF(AG675=$AK$22,MONTH(V675),"")</f>
        <v/>
      </c>
      <c r="AL675" s="86" t="str">
        <f>+IF(AG675=$AL$22,MONTH(V675),"")</f>
        <v/>
      </c>
      <c r="AM675" s="86" t="str">
        <f>+IF($AG675=$AM$22,MONTH($D675),"")</f>
        <v/>
      </c>
      <c r="AN675" s="89" t="str">
        <f>+IF($AG675=AN$22,MONTH($D675),"")</f>
        <v/>
      </c>
      <c r="AO675" s="89" t="str">
        <f>+IF($AG675=AO$22,MONTH($D675),"")</f>
        <v/>
      </c>
      <c r="AP675" s="89" t="str">
        <f>+IF($AG675=AP$22,MONTH($D675),"")</f>
        <v/>
      </c>
      <c r="AQ675" s="89" t="str">
        <f>+IF($AG675=AQ$22,MONTH($D675),"")</f>
        <v/>
      </c>
      <c r="AR675" s="89" t="str">
        <f>+IF($AG675=AR$22,MONTH($D675),"")</f>
        <v/>
      </c>
      <c r="AS675" s="89" t="str">
        <f>+IF($AG675=AS$22,MONTH($D675),"")</f>
        <v/>
      </c>
      <c r="AT675" s="89" t="str">
        <f>+IF($AG675=AT$22,MONTH($D675),"")</f>
        <v/>
      </c>
      <c r="AU675" s="89" t="str">
        <f>+IF($AG675=AU$22,MONTH($D675),"")</f>
        <v/>
      </c>
      <c r="AV675" s="89" t="str">
        <f>+IF($AG675=AV$22,MONTH($D675),"")</f>
        <v/>
      </c>
      <c r="AW675" s="86" t="str">
        <f>+IF($AG675=AW$22,MONTH($D675),"")</f>
        <v/>
      </c>
      <c r="AX675" s="86" t="str">
        <f>+IF($AG675=AX$22,MONTH($D675),"")</f>
        <v/>
      </c>
    </row>
    <row r="676" spans="1:68" s="56" customFormat="1" ht="25.5" hidden="1" customHeight="1">
      <c r="A676" s="204">
        <f>+IFERROR(VALUE(MID(AB676,4,4)),"")</f>
        <v>386</v>
      </c>
      <c r="B676" s="204">
        <f>VALUE(RIGHT(C676,LEN(C676)-2))</f>
        <v>2047</v>
      </c>
      <c r="C676" s="74" t="s">
        <v>2593</v>
      </c>
      <c r="D676" s="75">
        <v>45422</v>
      </c>
      <c r="E676" s="70" t="s">
        <v>685</v>
      </c>
      <c r="F676" s="70" t="s">
        <v>685</v>
      </c>
      <c r="G676" s="68" t="s">
        <v>931</v>
      </c>
      <c r="H676" s="59" t="s">
        <v>2377</v>
      </c>
      <c r="I676" s="69" t="s">
        <v>2594</v>
      </c>
      <c r="J676" s="69"/>
      <c r="K676" s="95" t="s">
        <v>798</v>
      </c>
      <c r="L676" s="69" t="s">
        <v>120</v>
      </c>
      <c r="M676" s="71" t="s">
        <v>141</v>
      </c>
      <c r="N676" s="69" t="e" vm="1">
        <v>#VALUE!</v>
      </c>
      <c r="O676" s="84">
        <v>45426</v>
      </c>
      <c r="P676" s="82" t="s">
        <v>402</v>
      </c>
      <c r="Q676" s="82" t="s">
        <v>229</v>
      </c>
      <c r="R676" s="69"/>
      <c r="S676" s="146" t="s">
        <v>2379</v>
      </c>
      <c r="T676" s="68" t="s">
        <v>3</v>
      </c>
      <c r="U676" s="87"/>
      <c r="V676" s="183">
        <v>45426</v>
      </c>
      <c r="W676" s="150">
        <v>828</v>
      </c>
      <c r="X676" s="150">
        <v>39.9</v>
      </c>
      <c r="Y676" s="169">
        <f>IF(SUM(W676:W676)&gt;0,X676/SUM(W676:W676)*1000000,"N/A")</f>
        <v>48188.405797101448</v>
      </c>
      <c r="Z676" s="183"/>
      <c r="AA676" s="183"/>
      <c r="AB676" s="73" t="s">
        <v>2595</v>
      </c>
      <c r="AC676" s="153"/>
      <c r="AD676" s="331"/>
      <c r="AE676" s="57"/>
      <c r="AF676" s="88"/>
      <c r="AG676" s="182">
        <f>YEAR(V676)</f>
        <v>2024</v>
      </c>
      <c r="AH676" s="86" t="str">
        <f>+IF(AF676=$AI$22,MONTH(U676),"")</f>
        <v/>
      </c>
      <c r="AI676" s="86" t="str">
        <f>+IF(AG676=$AI$22,MONTH(V676),"")</f>
        <v/>
      </c>
      <c r="AJ676" s="86">
        <f>+IF(AG676=$AJ$22,MONTH(V676),"")</f>
        <v>5</v>
      </c>
      <c r="AK676" s="86" t="str">
        <f>+IF(AG676=$AK$22,MONTH(V676),"")</f>
        <v/>
      </c>
      <c r="AL676" s="86" t="str">
        <f>+IF(AG676=$AL$22,MONTH(V676),"")</f>
        <v/>
      </c>
      <c r="AM676" s="86" t="str">
        <f>+IF($AG676=$AM$22,MONTH($D676),"")</f>
        <v/>
      </c>
      <c r="AN676" s="89" t="str">
        <f>+IF($AG676=AN$22,MONTH($D676),"")</f>
        <v/>
      </c>
      <c r="AO676" s="89" t="str">
        <f>+IF($AG676=AO$22,MONTH($D676),"")</f>
        <v/>
      </c>
      <c r="AP676" s="89" t="str">
        <f>+IF($AG676=AP$22,MONTH($D676),"")</f>
        <v/>
      </c>
      <c r="AQ676" s="89" t="str">
        <f>+IF($AG676=AQ$22,MONTH($D676),"")</f>
        <v/>
      </c>
      <c r="AR676" s="89" t="str">
        <f>+IF($AG676=AR$22,MONTH($D676),"")</f>
        <v/>
      </c>
      <c r="AS676" s="89" t="str">
        <f>+IF($AG676=AS$22,MONTH($D676),"")</f>
        <v/>
      </c>
      <c r="AT676" s="89" t="str">
        <f>+IF($AG676=AT$22,MONTH($D676),"")</f>
        <v/>
      </c>
      <c r="AU676" s="89" t="str">
        <f>+IF($AG676=AU$22,MONTH($D676),"")</f>
        <v/>
      </c>
      <c r="AV676" s="89" t="str">
        <f>+IF($AG676=AV$22,MONTH($D676),"")</f>
        <v/>
      </c>
      <c r="AW676" s="86" t="str">
        <f>+IF($AG676=AW$22,MONTH($D676),"")</f>
        <v/>
      </c>
      <c r="AX676" s="86" t="str">
        <f>+IF($AG676=AX$22,MONTH($D676),"")</f>
        <v/>
      </c>
      <c r="AY676" s="89"/>
      <c r="AZ676" s="89"/>
      <c r="BA676" s="89"/>
      <c r="BB676" s="89"/>
      <c r="BC676" s="89"/>
      <c r="BD676" s="89"/>
      <c r="BE676" s="89"/>
      <c r="BF676" s="89"/>
      <c r="BG676" s="89"/>
      <c r="BH676" s="89"/>
      <c r="BI676" s="89"/>
      <c r="BJ676" s="89"/>
      <c r="BK676" s="89"/>
      <c r="BL676" s="89"/>
      <c r="BM676" s="89"/>
      <c r="BN676" s="89"/>
      <c r="BO676" s="89"/>
      <c r="BP676" s="89"/>
    </row>
    <row r="677" spans="1:68" s="320" customFormat="1" ht="27" hidden="1" customHeight="1">
      <c r="A677" s="204" t="str">
        <f>+IFERROR(VALUE(MID(AB677,4,4)),"")</f>
        <v/>
      </c>
      <c r="B677" s="204">
        <f>VALUE(RIGHT(C677,LEN(C677)-2))</f>
        <v>2046</v>
      </c>
      <c r="C677" s="74" t="s">
        <v>2596</v>
      </c>
      <c r="D677" s="75">
        <v>45422</v>
      </c>
      <c r="E677" s="70" t="s">
        <v>262</v>
      </c>
      <c r="F677" s="70" t="s">
        <v>262</v>
      </c>
      <c r="G677" s="68" t="s">
        <v>2597</v>
      </c>
      <c r="H677" s="307" t="s">
        <v>494</v>
      </c>
      <c r="I677" s="69" t="s">
        <v>2598</v>
      </c>
      <c r="J677" s="69"/>
      <c r="K677" s="68" t="s">
        <v>212</v>
      </c>
      <c r="L677" s="69" t="s">
        <v>123</v>
      </c>
      <c r="M677" s="71" t="s">
        <v>141</v>
      </c>
      <c r="N677" s="69" t="e" vm="1">
        <v>#VALUE!</v>
      </c>
      <c r="O677" s="84" t="s">
        <v>213</v>
      </c>
      <c r="P677" s="72" t="s">
        <v>402</v>
      </c>
      <c r="Q677" s="72" t="s">
        <v>652</v>
      </c>
      <c r="R677" s="162"/>
      <c r="S677" s="146"/>
      <c r="T677" s="68" t="s">
        <v>155</v>
      </c>
      <c r="U677" s="87"/>
      <c r="V677" s="80">
        <v>45432</v>
      </c>
      <c r="W677" s="73"/>
      <c r="X677" s="73"/>
      <c r="Y677" s="169" t="str">
        <f>IF(SUM(W677:W677)&gt;0,X677/SUM(W677:W677)*1000000,"N/A")</f>
        <v>N/A</v>
      </c>
      <c r="Z677" s="80"/>
      <c r="AA677" s="80"/>
      <c r="AB677" s="73"/>
      <c r="AC677" s="153"/>
      <c r="AD677" s="330"/>
      <c r="AE677" s="305"/>
      <c r="AF677" s="88" t="s">
        <v>2599</v>
      </c>
      <c r="AG677" s="182">
        <f>YEAR(V677)</f>
        <v>2024</v>
      </c>
      <c r="AH677" s="86" t="str">
        <f>+IF(AF677=$AI$22,MONTH(U677),"")</f>
        <v/>
      </c>
      <c r="AI677" s="86" t="str">
        <f>+IF(AG677=$AI$22,MONTH(V677),"")</f>
        <v/>
      </c>
      <c r="AJ677" s="86">
        <f>+IF(AG677=$AJ$22,MONTH(V677),"")</f>
        <v>5</v>
      </c>
      <c r="AK677" s="86" t="str">
        <f>+IF(AG677=$AK$22,MONTH(V677),"")</f>
        <v/>
      </c>
      <c r="AL677" s="86" t="str">
        <f>+IF(AG677=$AL$22,MONTH(V677),"")</f>
        <v/>
      </c>
      <c r="AM677" s="86" t="str">
        <f>+IF($AG677=$AM$22,MONTH($D677),"")</f>
        <v/>
      </c>
      <c r="AN677" s="89" t="str">
        <f>+IF($AG677=AN$22,MONTH($D677),"")</f>
        <v/>
      </c>
      <c r="AO677" s="89" t="str">
        <f>+IF($AG677=AO$22,MONTH($D677),"")</f>
        <v/>
      </c>
      <c r="AP677" s="89" t="str">
        <f>+IF($AG677=AP$22,MONTH($D677),"")</f>
        <v/>
      </c>
      <c r="AQ677" s="89" t="str">
        <f>+IF($AG677=AQ$22,MONTH($D677),"")</f>
        <v/>
      </c>
      <c r="AR677" s="89" t="str">
        <f>+IF($AG677=AR$22,MONTH($D677),"")</f>
        <v/>
      </c>
      <c r="AS677" s="89" t="str">
        <f>+IF($AG677=AS$22,MONTH($D677),"")</f>
        <v/>
      </c>
      <c r="AT677" s="89" t="str">
        <f>+IF($AG677=AT$22,MONTH($D677),"")</f>
        <v/>
      </c>
      <c r="AU677" s="89" t="str">
        <f>+IF($AG677=AU$22,MONTH($D677),"")</f>
        <v/>
      </c>
      <c r="AV677" s="89" t="str">
        <f>+IF($AG677=AV$22,MONTH($D677),"")</f>
        <v/>
      </c>
      <c r="AW677" s="86" t="str">
        <f>+IF($AG677=AW$22,MONTH($D677),"")</f>
        <v/>
      </c>
      <c r="AX677" s="86" t="str">
        <f>+IF($AG677=AX$22,MONTH($D677),"")</f>
        <v/>
      </c>
      <c r="AY677" s="89"/>
      <c r="AZ677" s="89"/>
      <c r="BA677" s="89"/>
      <c r="BB677" s="89"/>
      <c r="BC677" s="89"/>
      <c r="BD677" s="89"/>
      <c r="BE677" s="89"/>
      <c r="BF677" s="89"/>
      <c r="BG677" s="89"/>
      <c r="BH677" s="89"/>
      <c r="BI677" s="89"/>
      <c r="BJ677" s="89"/>
      <c r="BK677" s="89"/>
      <c r="BL677" s="89"/>
      <c r="BM677" s="89"/>
      <c r="BN677" s="89"/>
      <c r="BO677" s="89"/>
      <c r="BP677" s="89"/>
    </row>
    <row r="678" spans="1:68" s="89" customFormat="1" ht="27" hidden="1" customHeight="1">
      <c r="A678" s="204">
        <f>+IFERROR(VALUE(MID(AB678,4,4)),"")</f>
        <v>402</v>
      </c>
      <c r="B678" s="204">
        <f>VALUE(RIGHT(C678,LEN(C678)-2))</f>
        <v>2045</v>
      </c>
      <c r="C678" s="74" t="s">
        <v>2600</v>
      </c>
      <c r="D678" s="75">
        <v>45420</v>
      </c>
      <c r="E678" s="70" t="s">
        <v>685</v>
      </c>
      <c r="F678" s="70" t="s">
        <v>685</v>
      </c>
      <c r="G678" s="68" t="s">
        <v>1253</v>
      </c>
      <c r="H678" s="282" t="s">
        <v>1254</v>
      </c>
      <c r="I678" s="69" t="s">
        <v>2601</v>
      </c>
      <c r="J678" s="69"/>
      <c r="K678" s="68" t="s">
        <v>13</v>
      </c>
      <c r="L678" s="68" t="s">
        <v>120</v>
      </c>
      <c r="M678" s="68" t="s">
        <v>141</v>
      </c>
      <c r="N678" s="69" t="e" vm="1">
        <v>#VALUE!</v>
      </c>
      <c r="O678" s="84">
        <v>45496</v>
      </c>
      <c r="P678" s="72" t="s">
        <v>364</v>
      </c>
      <c r="Q678" s="72" t="s">
        <v>229</v>
      </c>
      <c r="R678" s="162"/>
      <c r="S678" s="146"/>
      <c r="T678" s="68" t="s">
        <v>3</v>
      </c>
      <c r="U678" s="87"/>
      <c r="V678" s="80">
        <v>45545</v>
      </c>
      <c r="W678" s="73">
        <v>12014</v>
      </c>
      <c r="X678" s="73">
        <v>574</v>
      </c>
      <c r="Y678" s="169">
        <f>IF(SUM(W678:W678)&gt;0,X678/SUM(W678:W678)*1000000,"N/A")</f>
        <v>47777.592808390211</v>
      </c>
      <c r="Z678" s="80"/>
      <c r="AA678" s="80"/>
      <c r="AB678" s="73" t="s">
        <v>2602</v>
      </c>
      <c r="AC678" s="153"/>
      <c r="AD678" s="331"/>
      <c r="AE678" s="57"/>
      <c r="AF678" s="88"/>
      <c r="AG678" s="182">
        <f>YEAR(V678)</f>
        <v>2024</v>
      </c>
      <c r="AH678" s="86" t="str">
        <f>+IF(AF678=$AI$22,MONTH(U678),"")</f>
        <v/>
      </c>
      <c r="AI678" s="86" t="str">
        <f>+IF(AG678=$AI$22,MONTH(V678),"")</f>
        <v/>
      </c>
      <c r="AJ678" s="86">
        <f>+IF(AG678=$AJ$22,MONTH(V678),"")</f>
        <v>9</v>
      </c>
      <c r="AK678" s="86" t="str">
        <f>+IF(AG678=$AK$22,MONTH(V678),"")</f>
        <v/>
      </c>
      <c r="AL678" s="86" t="str">
        <f>+IF(AG678=$AL$22,MONTH(V678),"")</f>
        <v/>
      </c>
      <c r="AM678" s="86" t="str">
        <f>+IF($AG678=$AM$22,MONTH($D678),"")</f>
        <v/>
      </c>
      <c r="AN678" s="89" t="str">
        <f>+IF($AG678=AN$22,MONTH($D678),"")</f>
        <v/>
      </c>
      <c r="AO678" s="89" t="str">
        <f>+IF($AG678=AO$22,MONTH($D678),"")</f>
        <v/>
      </c>
      <c r="AP678" s="89" t="str">
        <f>+IF($AG678=AP$22,MONTH($D678),"")</f>
        <v/>
      </c>
      <c r="AQ678" s="89" t="str">
        <f>+IF($AG678=AQ$22,MONTH($D678),"")</f>
        <v/>
      </c>
      <c r="AR678" s="89" t="str">
        <f>+IF($AG678=AR$22,MONTH($D678),"")</f>
        <v/>
      </c>
      <c r="AS678" s="89" t="str">
        <f>+IF($AG678=AS$22,MONTH($D678),"")</f>
        <v/>
      </c>
      <c r="AT678" s="89" t="str">
        <f>+IF($AG678=AT$22,MONTH($D678),"")</f>
        <v/>
      </c>
      <c r="AU678" s="89" t="str">
        <f>+IF($AG678=AU$22,MONTH($D678),"")</f>
        <v/>
      </c>
      <c r="AV678" s="89" t="str">
        <f>+IF($AG678=AV$22,MONTH($D678),"")</f>
        <v/>
      </c>
      <c r="AW678" s="86" t="str">
        <f>+IF($AG678=AW$22,MONTH($D678),"")</f>
        <v/>
      </c>
      <c r="AX678" s="86" t="str">
        <f>+IF($AG678=AX$22,MONTH($D678),"")</f>
        <v/>
      </c>
    </row>
    <row r="679" spans="1:68" s="56" customFormat="1" ht="25.5" hidden="1" customHeight="1">
      <c r="A679" s="204" t="str">
        <f>+IFERROR(VALUE(MID(AB679,4,4)),"")</f>
        <v/>
      </c>
      <c r="B679" s="204">
        <f>VALUE(RIGHT(C679,LEN(C679)-2))</f>
        <v>2044</v>
      </c>
      <c r="C679" s="74" t="s">
        <v>2603</v>
      </c>
      <c r="D679" s="75">
        <v>45420</v>
      </c>
      <c r="E679" s="70" t="s">
        <v>223</v>
      </c>
      <c r="F679" s="70" t="s">
        <v>223</v>
      </c>
      <c r="G679" s="68" t="s">
        <v>2604</v>
      </c>
      <c r="H679" s="282" t="s">
        <v>2605</v>
      </c>
      <c r="I679" s="69" t="s">
        <v>2606</v>
      </c>
      <c r="J679" s="69"/>
      <c r="K679" s="68" t="s">
        <v>14</v>
      </c>
      <c r="L679" s="69" t="s">
        <v>123</v>
      </c>
      <c r="M679" s="71" t="s">
        <v>141</v>
      </c>
      <c r="N679" s="69" t="e" vm="1">
        <v>#VALUE!</v>
      </c>
      <c r="O679" s="84">
        <v>45448</v>
      </c>
      <c r="P679" s="72" t="s">
        <v>402</v>
      </c>
      <c r="Q679" s="72" t="s">
        <v>229</v>
      </c>
      <c r="R679" s="162"/>
      <c r="S679" s="146"/>
      <c r="T679" s="68" t="s">
        <v>165</v>
      </c>
      <c r="U679" s="87"/>
      <c r="V679" s="80">
        <v>45603</v>
      </c>
      <c r="W679" s="73">
        <v>920</v>
      </c>
      <c r="X679" s="73">
        <v>46</v>
      </c>
      <c r="Y679" s="169">
        <f>IF(SUM(W679:W679)&gt;0,X679/SUM(W679:W679)*1000000,"N/A")</f>
        <v>50000</v>
      </c>
      <c r="Z679" s="80"/>
      <c r="AA679" s="80"/>
      <c r="AB679" s="73"/>
      <c r="AC679" s="153">
        <v>45509</v>
      </c>
      <c r="AD679" s="331" t="s">
        <v>2476</v>
      </c>
      <c r="AE679" s="57"/>
      <c r="AF679" s="88"/>
      <c r="AG679" s="182">
        <f>YEAR(V679)</f>
        <v>2024</v>
      </c>
      <c r="AH679" s="86" t="str">
        <f>+IF(AF679=$AI$22,MONTH(U679),"")</f>
        <v/>
      </c>
      <c r="AI679" s="86" t="str">
        <f>+IF(AG679=$AI$22,MONTH(V679),"")</f>
        <v/>
      </c>
      <c r="AJ679" s="86">
        <f>+IF(AG679=$AJ$22,MONTH(V679),"")</f>
        <v>11</v>
      </c>
      <c r="AK679" s="86" t="str">
        <f>+IF(AG679=$AK$22,MONTH(V679),"")</f>
        <v/>
      </c>
      <c r="AL679" s="86" t="str">
        <f>+IF(AG679=$AL$22,MONTH(V679),"")</f>
        <v/>
      </c>
      <c r="AM679" s="86" t="str">
        <f>+IF($AG679=$AM$22,MONTH($D679),"")</f>
        <v/>
      </c>
      <c r="AN679" s="89" t="str">
        <f>+IF($AG679=AN$22,MONTH($D679),"")</f>
        <v/>
      </c>
      <c r="AO679" s="89" t="str">
        <f>+IF($AG679=AO$22,MONTH($D679),"")</f>
        <v/>
      </c>
      <c r="AP679" s="89" t="str">
        <f>+IF($AG679=AP$22,MONTH($D679),"")</f>
        <v/>
      </c>
      <c r="AQ679" s="89" t="str">
        <f>+IF($AG679=AQ$22,MONTH($D679),"")</f>
        <v/>
      </c>
      <c r="AR679" s="89" t="str">
        <f>+IF($AG679=AR$22,MONTH($D679),"")</f>
        <v/>
      </c>
      <c r="AS679" s="89" t="str">
        <f>+IF($AG679=AS$22,MONTH($D679),"")</f>
        <v/>
      </c>
      <c r="AT679" s="89" t="str">
        <f>+IF($AG679=AT$22,MONTH($D679),"")</f>
        <v/>
      </c>
      <c r="AU679" s="89" t="str">
        <f>+IF($AG679=AU$22,MONTH($D679),"")</f>
        <v/>
      </c>
      <c r="AV679" s="89" t="str">
        <f>+IF($AG679=AV$22,MONTH($D679),"")</f>
        <v/>
      </c>
      <c r="AW679" s="86" t="str">
        <f>+IF($AG679=AW$22,MONTH($D679),"")</f>
        <v/>
      </c>
      <c r="AX679" s="86" t="str">
        <f>+IF($AG679=AX$22,MONTH($D679),"")</f>
        <v/>
      </c>
      <c r="AY679" s="89"/>
      <c r="AZ679" s="89"/>
      <c r="BA679" s="89"/>
      <c r="BB679" s="89"/>
      <c r="BC679" s="89"/>
      <c r="BD679" s="89"/>
      <c r="BE679" s="89"/>
      <c r="BF679" s="89"/>
      <c r="BG679" s="89"/>
      <c r="BH679" s="89"/>
      <c r="BI679" s="89"/>
      <c r="BJ679" s="89"/>
      <c r="BK679" s="89"/>
      <c r="BL679" s="89"/>
      <c r="BM679" s="89"/>
      <c r="BN679" s="89"/>
      <c r="BO679" s="89"/>
      <c r="BP679" s="89"/>
    </row>
    <row r="680" spans="1:68" s="56" customFormat="1" ht="25.5" hidden="1" customHeight="1">
      <c r="A680" s="204" t="str">
        <f>+IFERROR(VALUE(MID(AB680,4,4)),"")</f>
        <v/>
      </c>
      <c r="B680" s="204">
        <f>VALUE(RIGHT(C680,LEN(C680)-2))</f>
        <v>2043</v>
      </c>
      <c r="C680" s="74" t="s">
        <v>2607</v>
      </c>
      <c r="D680" s="75">
        <v>45419</v>
      </c>
      <c r="E680" s="70" t="s">
        <v>2608</v>
      </c>
      <c r="F680" s="70" t="s">
        <v>633</v>
      </c>
      <c r="G680" s="68" t="s">
        <v>2609</v>
      </c>
      <c r="H680" s="282" t="s">
        <v>2610</v>
      </c>
      <c r="I680" s="162" t="s">
        <v>2611</v>
      </c>
      <c r="J680" s="162"/>
      <c r="K680" s="68" t="s">
        <v>13</v>
      </c>
      <c r="L680" s="69" t="s">
        <v>120</v>
      </c>
      <c r="M680" s="71" t="s">
        <v>141</v>
      </c>
      <c r="N680" s="69" t="e" vm="1">
        <v>#VALUE!</v>
      </c>
      <c r="O680" s="164">
        <v>45432</v>
      </c>
      <c r="P680" s="72" t="s">
        <v>2612</v>
      </c>
      <c r="Q680" s="72" t="s">
        <v>229</v>
      </c>
      <c r="R680" s="162"/>
      <c r="S680" s="146"/>
      <c r="T680" s="68" t="s">
        <v>165</v>
      </c>
      <c r="U680" s="87"/>
      <c r="V680" s="80">
        <v>45432</v>
      </c>
      <c r="W680" s="73"/>
      <c r="X680" s="73"/>
      <c r="Y680" s="83" t="str">
        <f>IF(SUM(W680:W680)&gt;0,X680/SUM(W680:W680)*1000000,"N/A")</f>
        <v>N/A</v>
      </c>
      <c r="Z680" s="80"/>
      <c r="AA680" s="80"/>
      <c r="AB680" s="73"/>
      <c r="AC680" s="217">
        <v>45509</v>
      </c>
      <c r="AD680" s="333" t="s">
        <v>2613</v>
      </c>
      <c r="AE680" s="112"/>
      <c r="AF680" s="88"/>
      <c r="AG680" s="182">
        <f>YEAR(V680)</f>
        <v>2024</v>
      </c>
      <c r="AH680" s="86" t="str">
        <f>+IF(AF680=$AI$22,MONTH(U680),"")</f>
        <v/>
      </c>
      <c r="AI680" s="86" t="str">
        <f>+IF(AG680=$AI$22,MONTH(V680),"")</f>
        <v/>
      </c>
      <c r="AJ680" s="86">
        <f>+IF(AG680=$AJ$22,MONTH(V680),"")</f>
        <v>5</v>
      </c>
      <c r="AK680" s="86" t="str">
        <f>+IF(AG680=$AK$22,MONTH(V680),"")</f>
        <v/>
      </c>
      <c r="AL680" s="86"/>
      <c r="AM680" s="89"/>
      <c r="AN680" s="89"/>
      <c r="AO680" s="89"/>
      <c r="AP680" s="89"/>
      <c r="AQ680" s="89"/>
      <c r="AR680" s="89"/>
      <c r="AS680" s="89"/>
      <c r="AT680" s="89"/>
      <c r="AU680" s="89"/>
      <c r="AV680" s="89"/>
      <c r="AW680" s="86" t="str">
        <f>+IF($AG680=AW$22,MONTH($D680),"")</f>
        <v/>
      </c>
      <c r="AX680" s="86" t="str">
        <f>+IF($AG680=AX$22,MONTH($D680),"")</f>
        <v/>
      </c>
      <c r="AY680" s="89"/>
      <c r="AZ680" s="89"/>
      <c r="BA680" s="89"/>
      <c r="BB680" s="89"/>
      <c r="BC680" s="89"/>
      <c r="BD680" s="89"/>
      <c r="BE680" s="89"/>
      <c r="BF680" s="89"/>
      <c r="BG680" s="89"/>
      <c r="BH680" s="89"/>
      <c r="BI680" s="89"/>
      <c r="BJ680" s="89"/>
      <c r="BK680" s="89"/>
      <c r="BL680" s="89"/>
      <c r="BM680" s="89"/>
      <c r="BN680" s="89"/>
      <c r="BO680" s="89"/>
      <c r="BP680" s="89"/>
    </row>
    <row r="681" spans="1:68" s="56" customFormat="1" ht="27" hidden="1">
      <c r="A681" s="204" t="str">
        <f>+IFERROR(VALUE(MID(AB681,4,4)),"")</f>
        <v/>
      </c>
      <c r="B681" s="204">
        <f>VALUE(RIGHT(C681,LEN(C681)-2))</f>
        <v>2042</v>
      </c>
      <c r="C681" s="74" t="s">
        <v>2614</v>
      </c>
      <c r="D681" s="75">
        <v>45418</v>
      </c>
      <c r="E681" s="70" t="s">
        <v>2349</v>
      </c>
      <c r="F681" s="70" t="s">
        <v>2615</v>
      </c>
      <c r="G681" s="68" t="s">
        <v>2616</v>
      </c>
      <c r="H681" s="59" t="s">
        <v>2617</v>
      </c>
      <c r="I681" s="162" t="s">
        <v>2618</v>
      </c>
      <c r="J681" s="162"/>
      <c r="K681" s="68" t="s">
        <v>9</v>
      </c>
      <c r="L681" s="69" t="s">
        <v>120</v>
      </c>
      <c r="M681" s="71" t="s">
        <v>141</v>
      </c>
      <c r="N681" s="69" t="e" vm="1">
        <v>#VALUE!</v>
      </c>
      <c r="O681" s="164">
        <v>45420</v>
      </c>
      <c r="P681" s="72" t="s">
        <v>402</v>
      </c>
      <c r="Q681" s="72" t="s">
        <v>837</v>
      </c>
      <c r="R681" s="162"/>
      <c r="S681" s="146"/>
      <c r="T681" s="68" t="s">
        <v>165</v>
      </c>
      <c r="U681" s="87">
        <v>0.01</v>
      </c>
      <c r="V681" s="183">
        <v>45419</v>
      </c>
      <c r="W681" s="73"/>
      <c r="X681" s="73"/>
      <c r="Y681" s="83" t="str">
        <f>IF(SUM(W681:W681)&gt;0,X681/SUM(W681:W681)*1000000,"N/A")</f>
        <v>N/A</v>
      </c>
      <c r="Z681" s="183"/>
      <c r="AA681" s="183"/>
      <c r="AB681" s="73"/>
      <c r="AC681" s="331" t="s">
        <v>134</v>
      </c>
      <c r="AD681" s="331" t="s">
        <v>134</v>
      </c>
      <c r="AE681" s="57"/>
      <c r="AF681" s="88"/>
      <c r="AG681" s="182">
        <f>YEAR(V681)</f>
        <v>2024</v>
      </c>
      <c r="AH681" s="86" t="str">
        <f>+IF(AF681=$AI$22,MONTH(U681),"")</f>
        <v/>
      </c>
      <c r="AI681" s="86" t="str">
        <f>+IF(AG681=$AI$22,MONTH(V681),"")</f>
        <v/>
      </c>
      <c r="AJ681" s="86">
        <f>+IF(AG681=$AJ$22,MONTH(V681),"")</f>
        <v>5</v>
      </c>
      <c r="AK681" s="86" t="str">
        <f>+IF(AG681=$AK$22,MONTH(V681),"")</f>
        <v/>
      </c>
      <c r="AL681" s="86"/>
      <c r="AM681" s="89"/>
      <c r="AN681" s="89"/>
      <c r="AO681" s="89"/>
      <c r="AP681" s="89"/>
      <c r="AQ681" s="89"/>
      <c r="AR681" s="89"/>
      <c r="AS681" s="89"/>
      <c r="AT681" s="89"/>
      <c r="AU681" s="89"/>
      <c r="AV681" s="89"/>
      <c r="AW681" s="86" t="str">
        <f>+IF($AG681=AW$22,MONTH($D681),"")</f>
        <v/>
      </c>
      <c r="AX681" s="86" t="str">
        <f>+IF($AG681=AX$22,MONTH($D681),"")</f>
        <v/>
      </c>
      <c r="AY681" s="89"/>
      <c r="AZ681" s="89"/>
      <c r="BA681" s="89"/>
      <c r="BB681" s="89"/>
      <c r="BC681" s="89"/>
      <c r="BD681" s="89"/>
      <c r="BE681" s="89"/>
      <c r="BF681" s="89"/>
      <c r="BG681" s="89"/>
      <c r="BH681" s="89"/>
      <c r="BI681" s="89"/>
      <c r="BJ681" s="89"/>
      <c r="BK681" s="89"/>
      <c r="BL681" s="89"/>
      <c r="BM681" s="89"/>
      <c r="BN681" s="89"/>
      <c r="BO681" s="89"/>
      <c r="BP681" s="89"/>
    </row>
    <row r="682" spans="1:68" s="89" customFormat="1" ht="30" hidden="1" customHeight="1">
      <c r="A682" s="204"/>
      <c r="B682" s="204">
        <f>VALUE(RIGHT(C682,LEN(C682)-2))</f>
        <v>2041</v>
      </c>
      <c r="C682" s="74" t="s">
        <v>2619</v>
      </c>
      <c r="D682" s="75">
        <v>45415</v>
      </c>
      <c r="E682" s="70" t="s">
        <v>262</v>
      </c>
      <c r="F682" s="70" t="s">
        <v>270</v>
      </c>
      <c r="G682" s="68" t="s">
        <v>2620</v>
      </c>
      <c r="H682" s="282" t="s">
        <v>2621</v>
      </c>
      <c r="I682" s="69" t="s">
        <v>2622</v>
      </c>
      <c r="J682" s="69"/>
      <c r="K682" s="68" t="s">
        <v>13</v>
      </c>
      <c r="L682" s="68" t="s">
        <v>123</v>
      </c>
      <c r="M682" s="68" t="s">
        <v>141</v>
      </c>
      <c r="N682" s="69" t="e" vm="1">
        <v>#VALUE!</v>
      </c>
      <c r="O682" s="84" t="s">
        <v>213</v>
      </c>
      <c r="P682" s="72" t="s">
        <v>1154</v>
      </c>
      <c r="Q682" s="72" t="s">
        <v>623</v>
      </c>
      <c r="R682" s="162"/>
      <c r="S682" s="146" t="s">
        <v>2017</v>
      </c>
      <c r="T682" s="68" t="s">
        <v>168</v>
      </c>
      <c r="U682" s="87"/>
      <c r="V682" s="80">
        <v>45476</v>
      </c>
      <c r="W682" s="73"/>
      <c r="X682" s="73"/>
      <c r="Y682" s="169" t="str">
        <f>IF(SUM(W682:W682)&gt;0,X682/SUM(W682:W682)*1000000,"N/A")</f>
        <v>N/A</v>
      </c>
      <c r="Z682" s="80"/>
      <c r="AA682" s="80"/>
      <c r="AB682" s="73"/>
      <c r="AC682" s="153"/>
      <c r="AD682" s="331"/>
      <c r="AE682" s="57"/>
      <c r="AF682" s="88" t="s">
        <v>2623</v>
      </c>
      <c r="AG682" s="182">
        <f>YEAR(V682)</f>
        <v>2024</v>
      </c>
      <c r="AH682" s="86" t="str">
        <f>+IF(AF682=$AI$22,MONTH(U682),"")</f>
        <v/>
      </c>
      <c r="AI682" s="86" t="str">
        <f>+IF(AG682=$AI$22,MONTH(V682),"")</f>
        <v/>
      </c>
      <c r="AJ682" s="86">
        <f>+IF(AG682=$AJ$22,MONTH(V682),"")</f>
        <v>7</v>
      </c>
      <c r="AK682" s="86" t="str">
        <f>+IF(AG682=$AK$22,MONTH(V682),"")</f>
        <v/>
      </c>
      <c r="AL682" s="86" t="str">
        <f>+IF(AG682=$AL$22,MONTH(V682),"")</f>
        <v/>
      </c>
      <c r="AM682" s="86" t="str">
        <f>+IF($AG682=$AM$22,MONTH($D682),"")</f>
        <v/>
      </c>
      <c r="AN682" s="89" t="str">
        <f>+IF($AG682=AN$22,MONTH($D682),"")</f>
        <v/>
      </c>
      <c r="AO682" s="89" t="str">
        <f>+IF($AG682=AO$22,MONTH($D682),"")</f>
        <v/>
      </c>
      <c r="AP682" s="89" t="str">
        <f>+IF($AG682=AP$22,MONTH($D682),"")</f>
        <v/>
      </c>
      <c r="AQ682" s="89" t="str">
        <f>+IF($AG682=AQ$22,MONTH($D682),"")</f>
        <v/>
      </c>
      <c r="AR682" s="89" t="str">
        <f>+IF($AG682=AR$22,MONTH($D682),"")</f>
        <v/>
      </c>
      <c r="AS682" s="89" t="str">
        <f>+IF($AG682=AS$22,MONTH($D682),"")</f>
        <v/>
      </c>
      <c r="AT682" s="89" t="str">
        <f>+IF($AG682=AT$22,MONTH($D682),"")</f>
        <v/>
      </c>
      <c r="AU682" s="89" t="str">
        <f>+IF($AG682=AU$22,MONTH($D682),"")</f>
        <v/>
      </c>
      <c r="AV682" s="89" t="str">
        <f>+IF($AG682=AV$22,MONTH($D682),"")</f>
        <v/>
      </c>
      <c r="AW682" s="86" t="str">
        <f>+IF($AG682=AW$22,MONTH($D682),"")</f>
        <v/>
      </c>
      <c r="AX682" s="86" t="str">
        <f>+IF($AG682=AX$22,MONTH($D682),"")</f>
        <v/>
      </c>
    </row>
    <row r="683" spans="1:68" s="89" customFormat="1" ht="34.5" hidden="1" customHeight="1">
      <c r="A683" s="204">
        <f>+IFERROR(VALUE(MID(AB683,4,4)),"")</f>
        <v>364</v>
      </c>
      <c r="B683" s="204">
        <f>VALUE(RIGHT(C683,LEN(C683)-2))</f>
        <v>2040</v>
      </c>
      <c r="C683" s="74" t="s">
        <v>2624</v>
      </c>
      <c r="D683" s="75">
        <v>45408</v>
      </c>
      <c r="E683" s="70" t="s">
        <v>262</v>
      </c>
      <c r="F683" s="70" t="s">
        <v>270</v>
      </c>
      <c r="G683" s="68" t="s">
        <v>1415</v>
      </c>
      <c r="H683" s="307" t="s">
        <v>494</v>
      </c>
      <c r="I683" s="69" t="s">
        <v>2625</v>
      </c>
      <c r="J683" s="69"/>
      <c r="K683" s="68" t="s">
        <v>9</v>
      </c>
      <c r="L683" s="68" t="s">
        <v>120</v>
      </c>
      <c r="M683" s="68" t="s">
        <v>141</v>
      </c>
      <c r="N683" s="69" t="e" vm="1">
        <v>#VALUE!</v>
      </c>
      <c r="O683" s="84">
        <v>45412</v>
      </c>
      <c r="P683" s="72" t="s">
        <v>402</v>
      </c>
      <c r="Q683" s="72" t="s">
        <v>1097</v>
      </c>
      <c r="R683" s="162"/>
      <c r="S683" s="146"/>
      <c r="T683" s="68" t="s">
        <v>3</v>
      </c>
      <c r="U683" s="87"/>
      <c r="V683" s="80">
        <v>45524</v>
      </c>
      <c r="W683" s="73">
        <v>565</v>
      </c>
      <c r="X683" s="73">
        <v>33</v>
      </c>
      <c r="Y683" s="169">
        <f>IF(SUM(W683:W683)&gt;0,X683/SUM(W683:W683)*1000000,"N/A")</f>
        <v>58407.079646017701</v>
      </c>
      <c r="Z683" s="80"/>
      <c r="AA683" s="80"/>
      <c r="AB683" s="73" t="s">
        <v>2626</v>
      </c>
      <c r="AC683" s="153">
        <v>45509</v>
      </c>
      <c r="AD683" s="341" t="s">
        <v>2491</v>
      </c>
      <c r="AE683" s="305"/>
      <c r="AF683" s="88"/>
      <c r="AG683" s="182">
        <f>YEAR(V683)</f>
        <v>2024</v>
      </c>
      <c r="AH683" s="86" t="str">
        <f>+IF(AF683=$AI$22,MONTH(U683),"")</f>
        <v/>
      </c>
      <c r="AI683" s="86" t="str">
        <f>+IF(AG683=$AI$22,MONTH(V683),"")</f>
        <v/>
      </c>
      <c r="AJ683" s="86">
        <f>+IF(AG683=$AJ$22,MONTH(V683),"")</f>
        <v>8</v>
      </c>
      <c r="AK683" s="86" t="str">
        <f>+IF(AG683=$AK$22,MONTH(V683),"")</f>
        <v/>
      </c>
      <c r="AL683" s="86" t="str">
        <f>+IF(AG683=$AL$22,MONTH(V683),"")</f>
        <v/>
      </c>
      <c r="AM683" s="86" t="str">
        <f>+IF($AG683=$AM$22,MONTH($D683),"")</f>
        <v/>
      </c>
      <c r="AN683" s="89" t="str">
        <f>+IF($AG683=AN$22,MONTH($D683),"")</f>
        <v/>
      </c>
      <c r="AO683" s="89" t="str">
        <f>+IF($AG683=AO$22,MONTH($D683),"")</f>
        <v/>
      </c>
      <c r="AP683" s="89" t="str">
        <f>+IF($AG683=AP$22,MONTH($D683),"")</f>
        <v/>
      </c>
      <c r="AQ683" s="89" t="str">
        <f>+IF($AG683=AQ$22,MONTH($D683),"")</f>
        <v/>
      </c>
      <c r="AR683" s="89" t="str">
        <f>+IF($AG683=AR$22,MONTH($D683),"")</f>
        <v/>
      </c>
      <c r="AS683" s="89" t="str">
        <f>+IF($AG683=AS$22,MONTH($D683),"")</f>
        <v/>
      </c>
      <c r="AT683" s="89" t="str">
        <f>+IF($AG683=AT$22,MONTH($D683),"")</f>
        <v/>
      </c>
      <c r="AU683" s="89" t="str">
        <f>+IF($AG683=AU$22,MONTH($D683),"")</f>
        <v/>
      </c>
      <c r="AV683" s="89" t="str">
        <f>+IF($AG683=AV$22,MONTH($D683),"")</f>
        <v/>
      </c>
      <c r="AW683" s="86" t="str">
        <f>+IF($AG683=AW$22,MONTH($D683),"")</f>
        <v/>
      </c>
      <c r="AX683" s="86" t="str">
        <f>+IF($AG683=AX$22,MONTH($D683),"")</f>
        <v/>
      </c>
    </row>
    <row r="684" spans="1:68" s="89" customFormat="1" ht="33.75" hidden="1" customHeight="1">
      <c r="A684" s="204" t="str">
        <f>+IFERROR(VALUE(MID(AB684,4,4)),"")</f>
        <v/>
      </c>
      <c r="B684" s="204">
        <f>VALUE(RIGHT(C684,LEN(C684)-2))</f>
        <v>2039</v>
      </c>
      <c r="C684" s="74" t="s">
        <v>2627</v>
      </c>
      <c r="D684" s="75">
        <v>45405</v>
      </c>
      <c r="E684" s="70" t="s">
        <v>1321</v>
      </c>
      <c r="F684" s="70" t="s">
        <v>354</v>
      </c>
      <c r="G684" s="68" t="s">
        <v>2628</v>
      </c>
      <c r="H684" s="282" t="s">
        <v>2629</v>
      </c>
      <c r="I684" s="69" t="s">
        <v>2630</v>
      </c>
      <c r="J684" s="69"/>
      <c r="K684" s="95" t="s">
        <v>13</v>
      </c>
      <c r="L684" s="68" t="s">
        <v>120</v>
      </c>
      <c r="M684" s="68" t="s">
        <v>141</v>
      </c>
      <c r="N684" s="69" t="e" vm="1">
        <v>#VALUE!</v>
      </c>
      <c r="O684" s="84">
        <v>45406</v>
      </c>
      <c r="P684" s="82" t="s">
        <v>274</v>
      </c>
      <c r="Q684" s="82" t="s">
        <v>623</v>
      </c>
      <c r="R684" s="69"/>
      <c r="S684" s="146" t="s">
        <v>2631</v>
      </c>
      <c r="T684" s="68" t="s">
        <v>165</v>
      </c>
      <c r="U684" s="87"/>
      <c r="V684" s="183">
        <v>45488</v>
      </c>
      <c r="W684" s="150">
        <v>338</v>
      </c>
      <c r="X684" s="150">
        <f>498*37230/1000000</f>
        <v>18.54054</v>
      </c>
      <c r="Y684" s="83">
        <f>IF(SUM(W684:W684)&gt;0,X684/SUM(W684:W684)*1000000,"N/A")</f>
        <v>54853.668639053256</v>
      </c>
      <c r="Z684" s="183"/>
      <c r="AA684" s="183"/>
      <c r="AB684" s="73"/>
      <c r="AC684" s="153">
        <v>45509</v>
      </c>
      <c r="AD684" s="331" t="s">
        <v>2632</v>
      </c>
      <c r="AE684" s="57"/>
      <c r="AF684" s="88"/>
      <c r="AG684" s="182">
        <f>YEAR(V684)</f>
        <v>2024</v>
      </c>
      <c r="AH684" s="86" t="str">
        <f>+IF(AF684=$AI$22,MONTH(U684),"")</f>
        <v/>
      </c>
      <c r="AI684" s="86" t="str">
        <f>+IF(AG684=$AI$22,MONTH(V684),"")</f>
        <v/>
      </c>
      <c r="AJ684" s="86">
        <f>+IF(AG684=$AJ$22,MONTH(V684),"")</f>
        <v>7</v>
      </c>
      <c r="AK684" s="86" t="str">
        <f>+IF(AG684=$AK$22,MONTH(V684),"")</f>
        <v/>
      </c>
      <c r="AL684" s="86" t="str">
        <f>+IF(AG684=$AL$22,MONTH(V684),"")</f>
        <v/>
      </c>
      <c r="AM684" s="86" t="str">
        <f>+IF($AG684=$AM$22,MONTH($D684),"")</f>
        <v/>
      </c>
      <c r="AN684" s="89" t="str">
        <f>+IF($AG684=AN$22,MONTH($D684),"")</f>
        <v/>
      </c>
      <c r="AO684" s="89" t="str">
        <f>+IF($AG684=AO$22,MONTH($D684),"")</f>
        <v/>
      </c>
      <c r="AP684" s="89" t="str">
        <f>+IF($AG684=AP$22,MONTH($D684),"")</f>
        <v/>
      </c>
      <c r="AQ684" s="89" t="str">
        <f>+IF($AG684=AQ$22,MONTH($D684),"")</f>
        <v/>
      </c>
      <c r="AR684" s="89" t="str">
        <f>+IF($AG684=AR$22,MONTH($D684),"")</f>
        <v/>
      </c>
      <c r="AS684" s="89" t="str">
        <f>+IF($AG684=AS$22,MONTH($D684),"")</f>
        <v/>
      </c>
      <c r="AT684" s="89" t="str">
        <f>+IF($AG684=AT$22,MONTH($D684),"")</f>
        <v/>
      </c>
      <c r="AU684" s="89" t="str">
        <f>+IF($AG684=AU$22,MONTH($D684),"")</f>
        <v/>
      </c>
      <c r="AV684" s="89" t="str">
        <f>+IF($AG684=AV$22,MONTH($D684),"")</f>
        <v/>
      </c>
      <c r="AW684" s="86" t="str">
        <f>+IF($AG684=AW$22,MONTH($D684),"")</f>
        <v/>
      </c>
      <c r="AX684" s="86" t="str">
        <f>+IF($AG684=AX$22,MONTH($D684),"")</f>
        <v/>
      </c>
    </row>
    <row r="685" spans="1:68" s="89" customFormat="1" ht="26.25" hidden="1" customHeight="1">
      <c r="A685" s="204">
        <f>+IFERROR(VALUE(MID(AB685,4,4)),"")</f>
        <v>391</v>
      </c>
      <c r="B685" s="204">
        <f>VALUE(RIGHT(C685,LEN(C685)-2))</f>
        <v>2038</v>
      </c>
      <c r="C685" s="74" t="s">
        <v>2633</v>
      </c>
      <c r="D685" s="75">
        <v>45405</v>
      </c>
      <c r="E685" s="70" t="s">
        <v>332</v>
      </c>
      <c r="F685" s="70" t="s">
        <v>332</v>
      </c>
      <c r="G685" s="68" t="s">
        <v>2634</v>
      </c>
      <c r="H685" s="282" t="s">
        <v>256</v>
      </c>
      <c r="I685" s="162" t="s">
        <v>2635</v>
      </c>
      <c r="J685" s="162"/>
      <c r="K685" s="68" t="s">
        <v>9</v>
      </c>
      <c r="L685" s="68" t="s">
        <v>123</v>
      </c>
      <c r="M685" s="68" t="s">
        <v>141</v>
      </c>
      <c r="N685" s="69" t="e" vm="1">
        <v>#VALUE!</v>
      </c>
      <c r="O685" s="164">
        <v>45420</v>
      </c>
      <c r="P685" s="72" t="s">
        <v>228</v>
      </c>
      <c r="Q685" s="72" t="s">
        <v>704</v>
      </c>
      <c r="R685" s="162"/>
      <c r="S685" s="146"/>
      <c r="T685" s="68" t="s">
        <v>3</v>
      </c>
      <c r="U685" s="87"/>
      <c r="V685" s="183">
        <v>45495</v>
      </c>
      <c r="W685" s="73">
        <v>1978</v>
      </c>
      <c r="X685" s="73">
        <f>99028*963/1000000</f>
        <v>95.363963999999996</v>
      </c>
      <c r="Y685" s="83">
        <f>IF(SUM(W685:W685)&gt;0,X685/SUM(W685:W685)*1000000,"N/A")</f>
        <v>48212.31749241658</v>
      </c>
      <c r="Z685" s="183"/>
      <c r="AA685" s="183"/>
      <c r="AB685" s="73" t="s">
        <v>2636</v>
      </c>
      <c r="AC685" s="153"/>
      <c r="AD685" s="331"/>
      <c r="AE685" s="57" t="str">
        <f>+IF(AB685=$AK$22,MONTH(Q685),"")</f>
        <v/>
      </c>
      <c r="AF685" s="88"/>
      <c r="AG685" s="182">
        <f>YEAR(V685)</f>
        <v>2024</v>
      </c>
      <c r="AH685" s="86" t="str">
        <f>+IF(AF685=$AI$22,MONTH(U685),"")</f>
        <v/>
      </c>
      <c r="AI685" s="86" t="str">
        <f>+IF(AG685=$AI$22,MONTH(V685),"")</f>
        <v/>
      </c>
      <c r="AJ685" s="86">
        <f>+IF(AG685=$AJ$22,MONTH(V685),"")</f>
        <v>7</v>
      </c>
      <c r="AK685" s="86" t="str">
        <f>+IF(AG685=$AK$22,MONTH(V685),"")</f>
        <v/>
      </c>
      <c r="AL685" s="86"/>
      <c r="AM685" s="86"/>
      <c r="AW685" s="86" t="str">
        <f>+IF($AG685=AW$22,MONTH($D685),"")</f>
        <v/>
      </c>
      <c r="AX685" s="86" t="str">
        <f>+IF($AG685=AX$22,MONTH($D685),"")</f>
        <v/>
      </c>
    </row>
    <row r="686" spans="1:68" s="89" customFormat="1" ht="38.25" hidden="1" customHeight="1">
      <c r="A686" s="204" t="str">
        <f>+IFERROR(VALUE(MID(AB686,4,4)),"")</f>
        <v/>
      </c>
      <c r="B686" s="204">
        <f>VALUE(RIGHT(C686,LEN(C686)-2))</f>
        <v>2037</v>
      </c>
      <c r="C686" s="74" t="s">
        <v>2637</v>
      </c>
      <c r="D686" s="75">
        <v>45404</v>
      </c>
      <c r="E686" s="70" t="s">
        <v>2638</v>
      </c>
      <c r="F686" s="70" t="s">
        <v>2639</v>
      </c>
      <c r="G686" s="68"/>
      <c r="H686" s="282"/>
      <c r="I686" s="162" t="s">
        <v>2640</v>
      </c>
      <c r="J686" s="162"/>
      <c r="K686" s="68" t="s">
        <v>13</v>
      </c>
      <c r="L686" s="68" t="s">
        <v>123</v>
      </c>
      <c r="M686" s="68" t="s">
        <v>141</v>
      </c>
      <c r="N686" s="69" t="e" vm="1">
        <v>#VALUE!</v>
      </c>
      <c r="O686" s="164">
        <v>45467</v>
      </c>
      <c r="P686" s="72" t="s">
        <v>2641</v>
      </c>
      <c r="Q686" s="72" t="s">
        <v>704</v>
      </c>
      <c r="R686" s="162"/>
      <c r="S686" s="146" t="s">
        <v>2642</v>
      </c>
      <c r="T686" s="68" t="s">
        <v>155</v>
      </c>
      <c r="U686" s="87"/>
      <c r="V686" s="80">
        <v>45432</v>
      </c>
      <c r="W686" s="73"/>
      <c r="X686" s="73"/>
      <c r="Y686" s="83" t="str">
        <f>IF(SUM(W686:W686)&gt;0,X686/SUM(W686:W686)*1000000,"N/A")</f>
        <v>N/A</v>
      </c>
      <c r="Z686" s="80"/>
      <c r="AA686" s="80"/>
      <c r="AB686" s="73"/>
      <c r="AC686" s="153"/>
      <c r="AD686" s="331"/>
      <c r="AE686" s="57"/>
      <c r="AF686" s="88"/>
      <c r="AG686" s="182">
        <f>YEAR(V686)</f>
        <v>2024</v>
      </c>
      <c r="AH686" s="86" t="str">
        <f>+IF(AF686=$AI$22,MONTH(U686),"")</f>
        <v/>
      </c>
      <c r="AI686" s="86" t="str">
        <f>+IF(AG686=$AI$22,MONTH(V686),"")</f>
        <v/>
      </c>
      <c r="AJ686" s="86">
        <f>+IF(AG686=$AJ$22,MONTH(V686),"")</f>
        <v>5</v>
      </c>
      <c r="AK686" s="86" t="str">
        <f>+IF(AG686=$AK$22,MONTH(V686),"")</f>
        <v/>
      </c>
      <c r="AL686" s="86"/>
      <c r="AW686" s="86" t="str">
        <f>+IF($AG686=AW$22,MONTH($D686),"")</f>
        <v/>
      </c>
      <c r="AX686" s="86" t="str">
        <f>+IF($AG686=AX$22,MONTH($D686),"")</f>
        <v/>
      </c>
    </row>
    <row r="687" spans="1:68" s="56" customFormat="1" ht="20.25" hidden="1" customHeight="1">
      <c r="A687" s="204" t="str">
        <f>+IFERROR(VALUE(MID(AB687,4,4)),"")</f>
        <v/>
      </c>
      <c r="B687" s="204">
        <f>VALUE(RIGHT(C687,LEN(C687)-2))</f>
        <v>2036</v>
      </c>
      <c r="C687" s="74" t="s">
        <v>2643</v>
      </c>
      <c r="D687" s="75">
        <v>45401</v>
      </c>
      <c r="E687" s="70" t="s">
        <v>2644</v>
      </c>
      <c r="F687" s="70" t="s">
        <v>2645</v>
      </c>
      <c r="G687" s="68" t="s">
        <v>2646</v>
      </c>
      <c r="H687" s="282" t="s">
        <v>2647</v>
      </c>
      <c r="I687" s="162" t="s">
        <v>2648</v>
      </c>
      <c r="J687" s="162"/>
      <c r="K687" s="68" t="s">
        <v>13</v>
      </c>
      <c r="L687" s="69" t="s">
        <v>123</v>
      </c>
      <c r="M687" s="71" t="s">
        <v>141</v>
      </c>
      <c r="N687" s="69" t="e" vm="1">
        <v>#VALUE!</v>
      </c>
      <c r="O687" s="164">
        <v>45415</v>
      </c>
      <c r="P687" s="72" t="s">
        <v>1154</v>
      </c>
      <c r="Q687" s="72" t="s">
        <v>229</v>
      </c>
      <c r="R687" s="162"/>
      <c r="S687" s="146" t="s">
        <v>2649</v>
      </c>
      <c r="T687" s="68" t="s">
        <v>168</v>
      </c>
      <c r="U687" s="87"/>
      <c r="V687" s="183">
        <v>45420</v>
      </c>
      <c r="W687" s="73"/>
      <c r="X687" s="73"/>
      <c r="Y687" s="83" t="str">
        <f>IF(SUM(W687:W687)&gt;0,X687/SUM(W687:W687)*1000000,"N/A")</f>
        <v>N/A</v>
      </c>
      <c r="Z687" s="183"/>
      <c r="AA687" s="183"/>
      <c r="AB687" s="73"/>
      <c r="AC687" s="153"/>
      <c r="AD687" s="331"/>
      <c r="AE687" s="57"/>
      <c r="AF687" s="88"/>
      <c r="AG687" s="182">
        <f>YEAR(V687)</f>
        <v>2024</v>
      </c>
      <c r="AH687" s="86" t="str">
        <f>+IF(AF687=$AI$22,MONTH(U687),"")</f>
        <v/>
      </c>
      <c r="AI687" s="86" t="str">
        <f>+IF(AG687=$AI$22,MONTH(V687),"")</f>
        <v/>
      </c>
      <c r="AJ687" s="86">
        <f>+IF(AG687=$AJ$22,MONTH(V687),"")</f>
        <v>5</v>
      </c>
      <c r="AK687" s="86" t="str">
        <f>+IF(AG687=$AK$22,MONTH(V687),"")</f>
        <v/>
      </c>
      <c r="AL687" s="86"/>
      <c r="AM687" s="89"/>
      <c r="AN687" s="89"/>
      <c r="AO687" s="89"/>
      <c r="AP687" s="89"/>
      <c r="AQ687" s="89"/>
      <c r="AR687" s="89"/>
      <c r="AS687" s="89"/>
      <c r="AT687" s="89"/>
      <c r="AU687" s="89"/>
      <c r="AV687" s="89"/>
      <c r="AW687" s="86" t="str">
        <f>+IF($AG687=AW$22,MONTH($D687),"")</f>
        <v/>
      </c>
      <c r="AX687" s="86" t="str">
        <f>+IF($AG687=AX$22,MONTH($D687),"")</f>
        <v/>
      </c>
      <c r="AY687" s="89"/>
      <c r="AZ687" s="89"/>
      <c r="BA687" s="89"/>
      <c r="BB687" s="89"/>
      <c r="BC687" s="89"/>
      <c r="BD687" s="89"/>
      <c r="BE687" s="89"/>
      <c r="BF687" s="89"/>
      <c r="BG687" s="89"/>
      <c r="BH687" s="89"/>
      <c r="BI687" s="89"/>
      <c r="BJ687" s="89"/>
      <c r="BK687" s="89"/>
      <c r="BL687" s="89"/>
      <c r="BM687" s="89"/>
      <c r="BN687" s="89"/>
      <c r="BO687" s="89"/>
      <c r="BP687" s="89"/>
    </row>
    <row r="688" spans="1:68" s="89" customFormat="1" ht="27.75" hidden="1" customHeight="1">
      <c r="A688" s="204" t="str">
        <f>+IFERROR(VALUE(MID(AB688,4,4)),"")</f>
        <v/>
      </c>
      <c r="B688" s="204">
        <f>VALUE(RIGHT(C688,LEN(C688)-2))</f>
        <v>2035</v>
      </c>
      <c r="C688" s="74" t="s">
        <v>2650</v>
      </c>
      <c r="D688" s="75">
        <v>45400</v>
      </c>
      <c r="E688" s="70" t="s">
        <v>1634</v>
      </c>
      <c r="F688" s="70" t="s">
        <v>1668</v>
      </c>
      <c r="G688" s="68" t="s">
        <v>1636</v>
      </c>
      <c r="H688" s="282" t="s">
        <v>1637</v>
      </c>
      <c r="I688" s="162" t="s">
        <v>2651</v>
      </c>
      <c r="J688" s="162"/>
      <c r="K688" s="68" t="s">
        <v>9</v>
      </c>
      <c r="L688" s="69" t="s">
        <v>123</v>
      </c>
      <c r="M688" s="71" t="s">
        <v>113</v>
      </c>
      <c r="N688" s="69" t="e" vm="4">
        <v>#VALUE!</v>
      </c>
      <c r="O688" s="164">
        <v>45407</v>
      </c>
      <c r="P688" s="72" t="s">
        <v>2356</v>
      </c>
      <c r="Q688" s="72" t="s">
        <v>623</v>
      </c>
      <c r="R688" s="162"/>
      <c r="S688" s="146" t="s">
        <v>1630</v>
      </c>
      <c r="T688" s="68" t="s">
        <v>165</v>
      </c>
      <c r="U688" s="87"/>
      <c r="V688" s="183">
        <v>45401</v>
      </c>
      <c r="W688" s="73"/>
      <c r="X688" s="73"/>
      <c r="Y688" s="83" t="str">
        <f>IF(SUM(W688:W688)&gt;0,X688/SUM(W688:W688)*1000000,"N/A")</f>
        <v>N/A</v>
      </c>
      <c r="Z688" s="183"/>
      <c r="AA688" s="183"/>
      <c r="AB688" s="73"/>
      <c r="AC688" s="331" t="s">
        <v>134</v>
      </c>
      <c r="AD688" s="331" t="s">
        <v>134</v>
      </c>
      <c r="AE688" s="57"/>
      <c r="AF688" s="88"/>
      <c r="AG688" s="182">
        <f>YEAR(V688)</f>
        <v>2024</v>
      </c>
      <c r="AH688" s="86" t="str">
        <f>+IF(AF688=$AI$22,MONTH(U688),"")</f>
        <v/>
      </c>
      <c r="AI688" s="86" t="str">
        <f>+IF(AG688=$AI$22,MONTH(V688),"")</f>
        <v/>
      </c>
      <c r="AJ688" s="86">
        <f>+IF(AG688=$AJ$22,MONTH(V688),"")</f>
        <v>4</v>
      </c>
      <c r="AK688" s="86" t="str">
        <f>+IF(AG688=$AK$22,MONTH(V688),"")</f>
        <v/>
      </c>
      <c r="AL688" s="86"/>
      <c r="AW688" s="86" t="str">
        <f>+IF($AG688=AW$22,MONTH($D688),"")</f>
        <v/>
      </c>
      <c r="AX688" s="86" t="str">
        <f>+IF($AG688=AX$22,MONTH($D688),"")</f>
        <v/>
      </c>
    </row>
    <row r="689" spans="1:68" s="56" customFormat="1" ht="30" hidden="1" customHeight="1">
      <c r="A689" s="204" t="str">
        <f>+IFERROR(VALUE(MID(AB689,4,4)),"")</f>
        <v/>
      </c>
      <c r="B689" s="204">
        <f>VALUE(RIGHT(C689,LEN(C689)-2))</f>
        <v>2034</v>
      </c>
      <c r="C689" s="74" t="s">
        <v>2652</v>
      </c>
      <c r="D689" s="75">
        <v>45400</v>
      </c>
      <c r="E689" s="70" t="s">
        <v>2349</v>
      </c>
      <c r="F689" s="70" t="s">
        <v>332</v>
      </c>
      <c r="G689" s="68" t="s">
        <v>2616</v>
      </c>
      <c r="H689" s="307" t="s">
        <v>2617</v>
      </c>
      <c r="I689" s="162" t="s">
        <v>2653</v>
      </c>
      <c r="J689" s="162"/>
      <c r="K689" s="68" t="s">
        <v>9</v>
      </c>
      <c r="L689" s="69" t="s">
        <v>120</v>
      </c>
      <c r="M689" s="71" t="s">
        <v>141</v>
      </c>
      <c r="N689" s="69" t="e" vm="1">
        <v>#VALUE!</v>
      </c>
      <c r="O689" s="164">
        <v>45401</v>
      </c>
      <c r="P689" s="72" t="s">
        <v>228</v>
      </c>
      <c r="Q689" s="72" t="s">
        <v>623</v>
      </c>
      <c r="R689" s="162"/>
      <c r="S689" s="146" t="s">
        <v>2654</v>
      </c>
      <c r="T689" s="68" t="s">
        <v>155</v>
      </c>
      <c r="U689" s="87">
        <v>0</v>
      </c>
      <c r="V689" s="183">
        <v>45404</v>
      </c>
      <c r="W689" s="73"/>
      <c r="X689" s="73"/>
      <c r="Y689" s="83" t="str">
        <f>IF(SUM(W689:W689)&gt;0,X689/SUM(W689:W689)*1000000,"N/A")</f>
        <v>N/A</v>
      </c>
      <c r="Z689" s="183"/>
      <c r="AA689" s="183"/>
      <c r="AB689" s="73"/>
      <c r="AC689" s="153"/>
      <c r="AD689" s="330"/>
      <c r="AE689" s="305"/>
      <c r="AF689" s="88"/>
      <c r="AG689" s="182">
        <f>YEAR(V689)</f>
        <v>2024</v>
      </c>
      <c r="AH689" s="86" t="str">
        <f>+IF(AF689=$AI$22,MONTH(U689),"")</f>
        <v/>
      </c>
      <c r="AI689" s="86" t="str">
        <f>+IF(AG689=$AI$22,MONTH(V689),"")</f>
        <v/>
      </c>
      <c r="AJ689" s="86">
        <f>+IF(AG689=$AJ$22,MONTH(V689),"")</f>
        <v>4</v>
      </c>
      <c r="AK689" s="86" t="str">
        <f>+IF(AG689=$AK$22,MONTH(V689),"")</f>
        <v/>
      </c>
      <c r="AL689" s="86"/>
      <c r="AM689" s="89"/>
      <c r="AN689" s="89"/>
      <c r="AO689" s="89"/>
      <c r="AP689" s="89"/>
      <c r="AQ689" s="89"/>
      <c r="AR689" s="89"/>
      <c r="AS689" s="89"/>
      <c r="AT689" s="89"/>
      <c r="AU689" s="89"/>
      <c r="AV689" s="89"/>
      <c r="AW689" s="86" t="str">
        <f>+IF($AG689=AW$22,MONTH($D689),"")</f>
        <v/>
      </c>
      <c r="AX689" s="86" t="str">
        <f>+IF($AG689=AX$22,MONTH($D689),"")</f>
        <v/>
      </c>
      <c r="AY689" s="89"/>
      <c r="AZ689" s="89"/>
      <c r="BA689" s="89"/>
      <c r="BB689" s="89"/>
      <c r="BC689" s="89"/>
      <c r="BD689" s="89"/>
      <c r="BE689" s="89"/>
      <c r="BF689" s="89"/>
      <c r="BG689" s="89"/>
      <c r="BH689" s="89"/>
      <c r="BI689" s="89"/>
      <c r="BJ689" s="89"/>
      <c r="BK689" s="89"/>
      <c r="BL689" s="89"/>
      <c r="BM689" s="89"/>
      <c r="BN689" s="89"/>
      <c r="BO689" s="89"/>
      <c r="BP689" s="89"/>
    </row>
    <row r="690" spans="1:68" s="320" customFormat="1" ht="24.75" hidden="1" customHeight="1">
      <c r="A690" s="204" t="str">
        <f>+IFERROR(VALUE(MID(AB690,4,4)),"")</f>
        <v/>
      </c>
      <c r="B690" s="204">
        <f>VALUE(RIGHT(C690,LEN(C690)-2))</f>
        <v>2033</v>
      </c>
      <c r="C690" s="74" t="s">
        <v>2655</v>
      </c>
      <c r="D690" s="75">
        <v>45399</v>
      </c>
      <c r="E690" s="70" t="s">
        <v>53</v>
      </c>
      <c r="F690" s="70" t="s">
        <v>53</v>
      </c>
      <c r="G690" s="68" t="s">
        <v>210</v>
      </c>
      <c r="H690" s="282"/>
      <c r="I690" s="162" t="s">
        <v>2656</v>
      </c>
      <c r="J690" s="162"/>
      <c r="K690" s="68" t="s">
        <v>9</v>
      </c>
      <c r="L690" s="69" t="s">
        <v>123</v>
      </c>
      <c r="M690" s="71" t="s">
        <v>141</v>
      </c>
      <c r="N690" s="69" t="e" vm="1">
        <v>#VALUE!</v>
      </c>
      <c r="O690" s="164">
        <v>45417</v>
      </c>
      <c r="P690" s="72" t="s">
        <v>228</v>
      </c>
      <c r="Q690" s="72" t="s">
        <v>316</v>
      </c>
      <c r="R690" s="162"/>
      <c r="S690" s="146" t="s">
        <v>2657</v>
      </c>
      <c r="T690" s="68" t="s">
        <v>155</v>
      </c>
      <c r="U690" s="87"/>
      <c r="V690" s="183">
        <v>45401</v>
      </c>
      <c r="W690" s="73"/>
      <c r="X690" s="73"/>
      <c r="Y690" s="169" t="str">
        <f>IF(SUM(W690:W690)&gt;0,X690/SUM(W690:W690)*1000000,"N/A")</f>
        <v>N/A</v>
      </c>
      <c r="Z690" s="183"/>
      <c r="AA690" s="183"/>
      <c r="AB690" s="73"/>
      <c r="AC690" s="153"/>
      <c r="AD690" s="331"/>
      <c r="AE690" s="57"/>
      <c r="AF690" s="88"/>
      <c r="AG690" s="182">
        <f>YEAR(V690)</f>
        <v>2024</v>
      </c>
      <c r="AH690" s="86" t="str">
        <f>+IF(AF690=$AI$22,MONTH(U690),"")</f>
        <v/>
      </c>
      <c r="AI690" s="86" t="str">
        <f>+IF(AG690=$AI$22,MONTH(V690),"")</f>
        <v/>
      </c>
      <c r="AJ690" s="86">
        <f>+IF(AG690=$AJ$22,MONTH(V690),"")</f>
        <v>4</v>
      </c>
      <c r="AK690" s="86" t="str">
        <f>+IF(AG690=$AK$22,MONTH(V690),"")</f>
        <v/>
      </c>
      <c r="AL690" s="86" t="str">
        <f>+IF(AG690=$AL$22,MONTH(V690),"")</f>
        <v/>
      </c>
      <c r="AM690" s="86" t="str">
        <f>+IF($AG690=$AM$22,MONTH($D690),"")</f>
        <v/>
      </c>
      <c r="AN690" s="89" t="str">
        <f>+IF($AG690=AN$22,MONTH($D690),"")</f>
        <v/>
      </c>
      <c r="AO690" s="89" t="str">
        <f>+IF($AG690=AO$22,MONTH($D690),"")</f>
        <v/>
      </c>
      <c r="AP690" s="89" t="str">
        <f>+IF($AG690=AP$22,MONTH($D690),"")</f>
        <v/>
      </c>
      <c r="AQ690" s="89" t="str">
        <f>+IF($AG690=AQ$22,MONTH($D690),"")</f>
        <v/>
      </c>
      <c r="AR690" s="89" t="str">
        <f>+IF($AG690=AR$22,MONTH($D690),"")</f>
        <v/>
      </c>
      <c r="AS690" s="89" t="str">
        <f>+IF($AG690=AS$22,MONTH($D690),"")</f>
        <v/>
      </c>
      <c r="AT690" s="89" t="str">
        <f>+IF($AG690=AT$22,MONTH($D690),"")</f>
        <v/>
      </c>
      <c r="AU690" s="89" t="str">
        <f>+IF($AG690=AU$22,MONTH($D690),"")</f>
        <v/>
      </c>
      <c r="AV690" s="89" t="str">
        <f>+IF($AG690=AV$22,MONTH($D690),"")</f>
        <v/>
      </c>
      <c r="AW690" s="86" t="str">
        <f>+IF($AG690=AW$22,MONTH($D690),"")</f>
        <v/>
      </c>
      <c r="AX690" s="86" t="str">
        <f>+IF($AG690=AX$22,MONTH($D690),"")</f>
        <v/>
      </c>
      <c r="AY690" s="89"/>
      <c r="AZ690" s="89"/>
      <c r="BA690" s="89"/>
      <c r="BB690" s="89"/>
      <c r="BC690" s="89"/>
      <c r="BD690" s="89"/>
      <c r="BE690" s="89"/>
      <c r="BF690" s="89"/>
      <c r="BG690" s="89"/>
      <c r="BH690" s="89"/>
      <c r="BI690" s="89"/>
      <c r="BJ690" s="89"/>
      <c r="BK690" s="89"/>
      <c r="BL690" s="89"/>
      <c r="BM690" s="89"/>
      <c r="BN690" s="89"/>
      <c r="BO690" s="89"/>
      <c r="BP690" s="89"/>
    </row>
    <row r="691" spans="1:68" s="56" customFormat="1" ht="26.25" hidden="1" customHeight="1">
      <c r="A691" s="204" t="str">
        <f>+IFERROR(VALUE(MID(AB691,4,4)),"")</f>
        <v/>
      </c>
      <c r="B691" s="204">
        <f>VALUE(RIGHT(C691,LEN(C691)-2))</f>
        <v>2032</v>
      </c>
      <c r="C691" s="74" t="s">
        <v>2658</v>
      </c>
      <c r="D691" s="75">
        <v>45394</v>
      </c>
      <c r="E691" s="70" t="s">
        <v>53</v>
      </c>
      <c r="F691" s="70" t="s">
        <v>53</v>
      </c>
      <c r="G691" s="68" t="s">
        <v>2659</v>
      </c>
      <c r="H691" s="282" t="s">
        <v>2660</v>
      </c>
      <c r="I691" s="162" t="s">
        <v>2661</v>
      </c>
      <c r="J691" s="162"/>
      <c r="K691" s="68" t="s">
        <v>227</v>
      </c>
      <c r="L691" s="69" t="s">
        <v>123</v>
      </c>
      <c r="M691" s="71" t="s">
        <v>141</v>
      </c>
      <c r="N691" s="69" t="e" vm="1">
        <v>#VALUE!</v>
      </c>
      <c r="O691" s="164">
        <v>45406</v>
      </c>
      <c r="P691" s="72" t="s">
        <v>228</v>
      </c>
      <c r="Q691" s="72" t="s">
        <v>220</v>
      </c>
      <c r="R691" s="162"/>
      <c r="S691" s="146" t="s">
        <v>1882</v>
      </c>
      <c r="T691" s="68" t="s">
        <v>165</v>
      </c>
      <c r="U691" s="87"/>
      <c r="V691" s="183">
        <v>45957</v>
      </c>
      <c r="W691" s="73" t="s">
        <v>134</v>
      </c>
      <c r="X691" s="73" t="s">
        <v>134</v>
      </c>
      <c r="Y691" s="169" t="str">
        <f>IF(SUM(W691:W691)&gt;0,X691/SUM(W691:W691)*1000000,"N/A")</f>
        <v>N/A</v>
      </c>
      <c r="Z691" s="183"/>
      <c r="AA691" s="183"/>
      <c r="AB691" s="73"/>
      <c r="AC691" s="331"/>
      <c r="AD691" s="331" t="s">
        <v>134</v>
      </c>
      <c r="AE691" s="57"/>
      <c r="AF691" s="88"/>
      <c r="AG691" s="182">
        <f>YEAR(V691)</f>
        <v>2025</v>
      </c>
      <c r="AH691" s="86" t="str">
        <f>+IF(AF691=$AI$22,MONTH(U691),"")</f>
        <v/>
      </c>
      <c r="AI691" s="86">
        <f>+IF(AG691=$AI$22,MONTH(V691),"")</f>
        <v>10</v>
      </c>
      <c r="AJ691" s="86" t="str">
        <f>+IF(AG691=$AJ$22,MONTH(V691),"")</f>
        <v/>
      </c>
      <c r="AK691" s="86" t="str">
        <f>+IF(AG691=$AK$22,MONTH(V691),"")</f>
        <v/>
      </c>
      <c r="AL691" s="86" t="str">
        <f>+IF(AG691=$AL$22,MONTH(V691),"")</f>
        <v/>
      </c>
      <c r="AM691" s="86" t="str">
        <f>+IF($AG691=$AM$22,MONTH($D691),"")</f>
        <v/>
      </c>
      <c r="AN691" s="89" t="str">
        <f>+IF($AG691=AN$22,MONTH($D691),"")</f>
        <v/>
      </c>
      <c r="AO691" s="89" t="str">
        <f>+IF($AG691=AO$22,MONTH($D691),"")</f>
        <v/>
      </c>
      <c r="AP691" s="89" t="str">
        <f>+IF($AG691=AP$22,MONTH($D691),"")</f>
        <v/>
      </c>
      <c r="AQ691" s="89" t="str">
        <f>+IF($AG691=AQ$22,MONTH($D691),"")</f>
        <v/>
      </c>
      <c r="AR691" s="89" t="str">
        <f>+IF($AG691=AR$22,MONTH($D691),"")</f>
        <v/>
      </c>
      <c r="AS691" s="89" t="str">
        <f>+IF($AG691=AS$22,MONTH($D691),"")</f>
        <v/>
      </c>
      <c r="AT691" s="89" t="str">
        <f>+IF($AG691=AT$22,MONTH($D691),"")</f>
        <v/>
      </c>
      <c r="AU691" s="89" t="str">
        <f>+IF($AG691=AU$22,MONTH($D691),"")</f>
        <v/>
      </c>
      <c r="AV691" s="89" t="str">
        <f>+IF($AG691=AV$22,MONTH($D691),"")</f>
        <v/>
      </c>
      <c r="AW691" s="86" t="str">
        <f>+IF($AG691=AW$22,MONTH($D691),"")</f>
        <v/>
      </c>
      <c r="AX691" s="86" t="str">
        <f>+IF($AG691=AX$22,MONTH($D691),"")</f>
        <v/>
      </c>
      <c r="AY691" s="89"/>
      <c r="AZ691" s="89"/>
      <c r="BA691" s="89"/>
      <c r="BB691" s="89"/>
      <c r="BC691" s="89"/>
      <c r="BD691" s="89"/>
      <c r="BE691" s="89"/>
      <c r="BF691" s="89"/>
      <c r="BG691" s="89"/>
      <c r="BH691" s="89"/>
      <c r="BI691" s="89"/>
      <c r="BJ691" s="89"/>
      <c r="BK691" s="89"/>
      <c r="BL691" s="89"/>
      <c r="BM691" s="89"/>
      <c r="BN691" s="89"/>
      <c r="BO691" s="89"/>
      <c r="BP691" s="89"/>
    </row>
    <row r="692" spans="1:68" s="89" customFormat="1" ht="30" hidden="1" customHeight="1">
      <c r="A692" s="204">
        <f>+IFERROR(VALUE(MID(AB692,4,4)),"")</f>
        <v>333</v>
      </c>
      <c r="B692" s="204">
        <f>VALUE(RIGHT(C692,LEN(C692)-2))</f>
        <v>2031</v>
      </c>
      <c r="C692" s="74" t="s">
        <v>2662</v>
      </c>
      <c r="D692" s="75">
        <v>45393</v>
      </c>
      <c r="E692" s="70" t="s">
        <v>53</v>
      </c>
      <c r="F692" s="70" t="s">
        <v>1379</v>
      </c>
      <c r="G692" s="68" t="s">
        <v>1976</v>
      </c>
      <c r="H692" s="304" t="s">
        <v>210</v>
      </c>
      <c r="I692" s="162" t="s">
        <v>2663</v>
      </c>
      <c r="J692" s="162"/>
      <c r="K692" s="68" t="s">
        <v>18</v>
      </c>
      <c r="L692" s="68" t="s">
        <v>129</v>
      </c>
      <c r="M692" s="68" t="s">
        <v>141</v>
      </c>
      <c r="N692" s="69" t="e" vm="1">
        <v>#VALUE!</v>
      </c>
      <c r="O692" s="164">
        <v>45419</v>
      </c>
      <c r="P692" s="72" t="s">
        <v>1154</v>
      </c>
      <c r="Q692" s="72" t="s">
        <v>316</v>
      </c>
      <c r="R692" s="162"/>
      <c r="S692" s="146"/>
      <c r="T692" s="68" t="s">
        <v>165</v>
      </c>
      <c r="U692" s="87"/>
      <c r="V692" s="183">
        <v>45476</v>
      </c>
      <c r="W692" s="73">
        <v>567</v>
      </c>
      <c r="X692" s="73">
        <v>24.5</v>
      </c>
      <c r="Y692" s="83">
        <f>IF(SUM(W692:W692)&gt;0,X692/SUM(W692:W692)*1000000,"N/A")</f>
        <v>43209.876543209873</v>
      </c>
      <c r="Z692" s="183"/>
      <c r="AA692" s="183"/>
      <c r="AB692" s="73" t="s">
        <v>2664</v>
      </c>
      <c r="AC692" s="153"/>
      <c r="AD692" s="330"/>
      <c r="AE692" s="305"/>
      <c r="AF692" s="88"/>
      <c r="AG692" s="182">
        <f>YEAR(V692)</f>
        <v>2024</v>
      </c>
      <c r="AH692" s="86" t="str">
        <f>+IF(AF692=$AI$22,MONTH(U692),"")</f>
        <v/>
      </c>
      <c r="AI692" s="86" t="str">
        <f>+IF(AG692=$AI$22,MONTH(V692),"")</f>
        <v/>
      </c>
      <c r="AJ692" s="86">
        <f>+IF(AG692=$AJ$22,MONTH(V692),"")</f>
        <v>7</v>
      </c>
      <c r="AK692" s="86" t="str">
        <f>+IF(AG692=$AK$22,MONTH(V692),"")</f>
        <v/>
      </c>
      <c r="AL692" s="86"/>
      <c r="AW692" s="86" t="str">
        <f>+IF($AG692=AW$22,MONTH($D692),"")</f>
        <v/>
      </c>
      <c r="AX692" s="86" t="str">
        <f>+IF($AG692=AX$22,MONTH($D692),"")</f>
        <v/>
      </c>
    </row>
    <row r="693" spans="1:68" s="89" customFormat="1" ht="26.25" hidden="1" customHeight="1">
      <c r="A693" s="204">
        <f>+IFERROR(VALUE(MID(AB693,4,4)),"")</f>
        <v>357</v>
      </c>
      <c r="B693" s="204">
        <f>VALUE(RIGHT(C693,LEN(C693)-2))</f>
        <v>2030</v>
      </c>
      <c r="C693" s="74" t="s">
        <v>2665</v>
      </c>
      <c r="D693" s="75">
        <v>45393</v>
      </c>
      <c r="E693" s="70" t="s">
        <v>262</v>
      </c>
      <c r="F693" s="70" t="s">
        <v>270</v>
      </c>
      <c r="G693" s="68" t="s">
        <v>2666</v>
      </c>
      <c r="H693" s="282" t="s">
        <v>2667</v>
      </c>
      <c r="I693" s="69" t="s">
        <v>2668</v>
      </c>
      <c r="J693" s="69"/>
      <c r="K693" s="68" t="s">
        <v>389</v>
      </c>
      <c r="L693" s="68" t="s">
        <v>129</v>
      </c>
      <c r="M693" s="68" t="s">
        <v>141</v>
      </c>
      <c r="N693" s="69" t="e" vm="1">
        <v>#VALUE!</v>
      </c>
      <c r="O693" s="84">
        <v>45419</v>
      </c>
      <c r="P693" s="72" t="s">
        <v>213</v>
      </c>
      <c r="Q693" s="72" t="s">
        <v>389</v>
      </c>
      <c r="R693" s="162"/>
      <c r="S693" s="146"/>
      <c r="T693" s="68" t="s">
        <v>155</v>
      </c>
      <c r="U693" s="87"/>
      <c r="V693" s="80">
        <v>45393</v>
      </c>
      <c r="W693" s="73"/>
      <c r="X693" s="73"/>
      <c r="Y693" s="169" t="str">
        <f>IF(SUM(W693:W693)&gt;0,X693/SUM(W693:W693)*1000000,"N/A")</f>
        <v>N/A</v>
      </c>
      <c r="Z693" s="80"/>
      <c r="AA693" s="80"/>
      <c r="AB693" s="73" t="s">
        <v>2669</v>
      </c>
      <c r="AC693" s="153"/>
      <c r="AD693" s="331"/>
      <c r="AE693" s="57"/>
      <c r="AF693" s="88"/>
      <c r="AG693" s="182">
        <f>YEAR(V693)</f>
        <v>2024</v>
      </c>
      <c r="AH693" s="86" t="str">
        <f>+IF(AF693=$AI$22,MONTH(U693),"")</f>
        <v/>
      </c>
      <c r="AI693" s="86" t="str">
        <f>+IF(AG693=$AI$22,MONTH(V693),"")</f>
        <v/>
      </c>
      <c r="AJ693" s="86">
        <f>+IF(AG693=$AJ$22,MONTH(V693),"")</f>
        <v>4</v>
      </c>
      <c r="AK693" s="86" t="str">
        <f>+IF(AG693=$AK$22,MONTH(V693),"")</f>
        <v/>
      </c>
      <c r="AL693" s="86" t="str">
        <f>+IF(AG693=$AL$22,MONTH(V693),"")</f>
        <v/>
      </c>
      <c r="AM693" s="86" t="str">
        <f>+IF($AG693=$AM$22,MONTH($D693),"")</f>
        <v/>
      </c>
      <c r="AN693" s="89" t="str">
        <f>+IF($AG693=AN$22,MONTH($D693),"")</f>
        <v/>
      </c>
      <c r="AO693" s="89" t="str">
        <f>+IF($AG693=AO$22,MONTH($D693),"")</f>
        <v/>
      </c>
      <c r="AP693" s="89" t="str">
        <f>+IF($AG693=AP$22,MONTH($D693),"")</f>
        <v/>
      </c>
      <c r="AQ693" s="89" t="str">
        <f>+IF($AG693=AQ$22,MONTH($D693),"")</f>
        <v/>
      </c>
      <c r="AR693" s="89" t="str">
        <f>+IF($AG693=AR$22,MONTH($D693),"")</f>
        <v/>
      </c>
      <c r="AS693" s="89" t="str">
        <f>+IF($AG693=AS$22,MONTH($D693),"")</f>
        <v/>
      </c>
      <c r="AT693" s="89" t="str">
        <f>+IF($AG693=AT$22,MONTH($D693),"")</f>
        <v/>
      </c>
      <c r="AU693" s="89" t="str">
        <f>+IF($AG693=AU$22,MONTH($D693),"")</f>
        <v/>
      </c>
      <c r="AV693" s="89" t="str">
        <f>+IF($AG693=AV$22,MONTH($D693),"")</f>
        <v/>
      </c>
      <c r="AW693" s="86" t="str">
        <f>+IF($AG693=AW$22,MONTH($D693),"")</f>
        <v/>
      </c>
      <c r="AX693" s="86" t="str">
        <f>+IF($AG693=AX$22,MONTH($D693),"")</f>
        <v/>
      </c>
    </row>
    <row r="694" spans="1:68" s="89" customFormat="1" ht="30" hidden="1" customHeight="1">
      <c r="A694" s="204" t="str">
        <f>+IFERROR(VALUE(MID(AB694,4,4)),"")</f>
        <v/>
      </c>
      <c r="B694" s="204">
        <f>VALUE(RIGHT(C694,LEN(C694)-2))</f>
        <v>2029</v>
      </c>
      <c r="C694" s="74" t="s">
        <v>2670</v>
      </c>
      <c r="D694" s="75">
        <v>45393</v>
      </c>
      <c r="E694" s="70" t="s">
        <v>223</v>
      </c>
      <c r="F694" s="70" t="s">
        <v>223</v>
      </c>
      <c r="G694" s="68" t="s">
        <v>2671</v>
      </c>
      <c r="H694" s="282" t="s">
        <v>2672</v>
      </c>
      <c r="I694" s="69" t="s">
        <v>2673</v>
      </c>
      <c r="J694" s="69"/>
      <c r="K694" s="68" t="s">
        <v>13</v>
      </c>
      <c r="L694" s="68" t="s">
        <v>123</v>
      </c>
      <c r="M694" s="68" t="s">
        <v>141</v>
      </c>
      <c r="N694" s="69" t="e" vm="1">
        <v>#VALUE!</v>
      </c>
      <c r="O694" s="84">
        <f>+D694+14</f>
        <v>45407</v>
      </c>
      <c r="P694" s="72" t="s">
        <v>2572</v>
      </c>
      <c r="Q694" s="72" t="s">
        <v>229</v>
      </c>
      <c r="R694" s="162"/>
      <c r="S694" s="146"/>
      <c r="T694" s="94" t="s">
        <v>165</v>
      </c>
      <c r="U694" s="87"/>
      <c r="V694" s="80">
        <v>45575</v>
      </c>
      <c r="W694" s="73">
        <v>2472</v>
      </c>
      <c r="X694" s="73">
        <v>119</v>
      </c>
      <c r="Y694" s="169">
        <f>IF(SUM(W694:W694)&gt;0,X694/SUM(W694:W694)*1000000,"N/A")</f>
        <v>48139.158576051777</v>
      </c>
      <c r="Z694" s="80"/>
      <c r="AA694" s="80"/>
      <c r="AB694" s="73"/>
      <c r="AC694" s="153">
        <v>45509</v>
      </c>
      <c r="AD694" s="331" t="s">
        <v>2501</v>
      </c>
      <c r="AE694" s="57"/>
      <c r="AF694" s="88"/>
      <c r="AG694" s="182">
        <f>YEAR(V694)</f>
        <v>2024</v>
      </c>
      <c r="AH694" s="86" t="str">
        <f>+IF(AF694=$AI$22,MONTH(U694),"")</f>
        <v/>
      </c>
      <c r="AI694" s="86" t="str">
        <f>+IF(AG694=$AI$22,MONTH(V694),"")</f>
        <v/>
      </c>
      <c r="AJ694" s="86">
        <f>+IF(AG694=$AJ$22,MONTH(V694),"")</f>
        <v>10</v>
      </c>
      <c r="AK694" s="86" t="str">
        <f>+IF(AG694=$AK$22,MONTH(V694),"")</f>
        <v/>
      </c>
      <c r="AL694" s="86" t="str">
        <f>+IF(AG694=$AL$22,MONTH(V694),"")</f>
        <v/>
      </c>
      <c r="AM694" s="86" t="str">
        <f>+IF($AG694=$AM$22,MONTH($D694),"")</f>
        <v/>
      </c>
      <c r="AN694" s="89" t="str">
        <f>+IF($AG694=AN$22,MONTH($D694),"")</f>
        <v/>
      </c>
      <c r="AO694" s="89" t="str">
        <f>+IF($AG694=AO$22,MONTH($D694),"")</f>
        <v/>
      </c>
      <c r="AP694" s="89" t="str">
        <f>+IF($AG694=AP$22,MONTH($D694),"")</f>
        <v/>
      </c>
      <c r="AQ694" s="89" t="str">
        <f>+IF($AG694=AQ$22,MONTH($D694),"")</f>
        <v/>
      </c>
      <c r="AR694" s="89" t="str">
        <f>+IF($AG694=AR$22,MONTH($D694),"")</f>
        <v/>
      </c>
      <c r="AS694" s="89" t="str">
        <f>+IF($AG694=AS$22,MONTH($D694),"")</f>
        <v/>
      </c>
      <c r="AT694" s="89" t="str">
        <f>+IF($AG694=AT$22,MONTH($D694),"")</f>
        <v/>
      </c>
      <c r="AU694" s="89" t="str">
        <f>+IF($AG694=AU$22,MONTH($D694),"")</f>
        <v/>
      </c>
      <c r="AV694" s="89" t="str">
        <f>+IF($AG694=AV$22,MONTH($D694),"")</f>
        <v/>
      </c>
      <c r="AW694" s="86" t="str">
        <f>+IF($AG694=AW$22,MONTH($D694),"")</f>
        <v/>
      </c>
      <c r="AX694" s="86" t="str">
        <f>+IF($AG694=AX$22,MONTH($D694),"")</f>
        <v/>
      </c>
      <c r="BJ694" s="167"/>
      <c r="BK694" s="167"/>
      <c r="BL694" s="167"/>
      <c r="BM694" s="167"/>
    </row>
    <row r="695" spans="1:68" s="166" customFormat="1" ht="21.75" hidden="1" customHeight="1">
      <c r="A695" s="204">
        <f>+IFERROR(VALUE(MID(AB695,4,4)),"")</f>
        <v>364</v>
      </c>
      <c r="B695" s="204">
        <f>VALUE(RIGHT(C695,LEN(C695)-2))</f>
        <v>2028</v>
      </c>
      <c r="C695" s="74" t="s">
        <v>2674</v>
      </c>
      <c r="D695" s="75">
        <v>45392</v>
      </c>
      <c r="E695" s="70" t="s">
        <v>262</v>
      </c>
      <c r="F695" s="70" t="s">
        <v>270</v>
      </c>
      <c r="G695" s="68" t="s">
        <v>1415</v>
      </c>
      <c r="H695" s="282" t="s">
        <v>494</v>
      </c>
      <c r="I695" s="69" t="s">
        <v>2675</v>
      </c>
      <c r="J695" s="69"/>
      <c r="K695" s="68" t="s">
        <v>14</v>
      </c>
      <c r="L695" s="69" t="s">
        <v>120</v>
      </c>
      <c r="M695" s="71" t="s">
        <v>141</v>
      </c>
      <c r="N695" s="69" t="e" vm="1">
        <v>#VALUE!</v>
      </c>
      <c r="O695" s="84">
        <v>45397</v>
      </c>
      <c r="P695" s="72" t="s">
        <v>402</v>
      </c>
      <c r="Q695" s="72" t="s">
        <v>1097</v>
      </c>
      <c r="R695" s="162"/>
      <c r="S695" s="146"/>
      <c r="T695" s="68" t="s">
        <v>165</v>
      </c>
      <c r="U695" s="87"/>
      <c r="V695" s="80">
        <v>45398</v>
      </c>
      <c r="W695" s="73">
        <v>186</v>
      </c>
      <c r="X695" s="73">
        <v>9.8000000000000007</v>
      </c>
      <c r="Y695" s="169">
        <f>IF(SUM(W695:W695)&gt;0,X695/SUM(W695:W695)*1000000,"N/A")</f>
        <v>52688.172043010753</v>
      </c>
      <c r="Z695" s="80"/>
      <c r="AA695" s="80"/>
      <c r="AB695" s="73" t="s">
        <v>2676</v>
      </c>
      <c r="AC695" s="153">
        <v>45509</v>
      </c>
      <c r="AD695" s="331" t="s">
        <v>2525</v>
      </c>
      <c r="AE695" s="57"/>
      <c r="AF695" s="88"/>
      <c r="AG695" s="182">
        <f>YEAR(V695)</f>
        <v>2024</v>
      </c>
      <c r="AH695" s="86" t="str">
        <f>+IF(AF695=$AI$22,MONTH(U695),"")</f>
        <v/>
      </c>
      <c r="AI695" s="86" t="str">
        <f>+IF(AG695=$AI$22,MONTH(V695),"")</f>
        <v/>
      </c>
      <c r="AJ695" s="86">
        <f>+IF(AG695=$AJ$22,MONTH(V695),"")</f>
        <v>4</v>
      </c>
      <c r="AK695" s="86" t="str">
        <f>+IF(AG695=$AK$22,MONTH(V695),"")</f>
        <v/>
      </c>
      <c r="AL695" s="86" t="str">
        <f>+IF(AG695=$AL$22,MONTH(V695),"")</f>
        <v/>
      </c>
      <c r="AM695" s="86" t="str">
        <f>+IF($AG695=$AM$22,MONTH($D695),"")</f>
        <v/>
      </c>
      <c r="AN695" s="89" t="str">
        <f>+IF($AG695=AN$22,MONTH($D695),"")</f>
        <v/>
      </c>
      <c r="AO695" s="89" t="str">
        <f>+IF($AG695=AO$22,MONTH($D695),"")</f>
        <v/>
      </c>
      <c r="AP695" s="89" t="str">
        <f>+IF($AG695=AP$22,MONTH($D695),"")</f>
        <v/>
      </c>
      <c r="AQ695" s="89" t="str">
        <f>+IF($AG695=AQ$22,MONTH($D695),"")</f>
        <v/>
      </c>
      <c r="AR695" s="89" t="str">
        <f>+IF($AG695=AR$22,MONTH($D695),"")</f>
        <v/>
      </c>
      <c r="AS695" s="89" t="str">
        <f>+IF($AG695=AS$22,MONTH($D695),"")</f>
        <v/>
      </c>
      <c r="AT695" s="89" t="str">
        <f>+IF($AG695=AT$22,MONTH($D695),"")</f>
        <v/>
      </c>
      <c r="AU695" s="89" t="str">
        <f>+IF($AG695=AU$22,MONTH($D695),"")</f>
        <v/>
      </c>
      <c r="AV695" s="89" t="str">
        <f>+IF($AG695=AV$22,MONTH($D695),"")</f>
        <v/>
      </c>
      <c r="AW695" s="86" t="str">
        <f>+IF($AG695=AW$22,MONTH($D695),"")</f>
        <v/>
      </c>
      <c r="AX695" s="86" t="str">
        <f>+IF($AG695=AX$22,MONTH($D695),"")</f>
        <v/>
      </c>
      <c r="AY695" s="89"/>
      <c r="AZ695" s="89"/>
      <c r="BA695" s="89"/>
      <c r="BB695" s="89"/>
      <c r="BC695" s="89"/>
      <c r="BD695" s="89"/>
      <c r="BE695" s="89"/>
      <c r="BF695" s="89"/>
      <c r="BG695" s="89"/>
      <c r="BH695" s="89"/>
      <c r="BI695" s="89"/>
      <c r="BJ695" s="89"/>
      <c r="BK695" s="89"/>
      <c r="BL695" s="89"/>
      <c r="BM695" s="89"/>
      <c r="BN695" s="167"/>
      <c r="BO695" s="167"/>
      <c r="BP695" s="167"/>
    </row>
    <row r="696" spans="1:68" s="56" customFormat="1" ht="24" hidden="1">
      <c r="A696" s="204" t="str">
        <f>+IFERROR(VALUE(MID(AB696,4,4)),"")</f>
        <v/>
      </c>
      <c r="B696" s="204">
        <f>VALUE(RIGHT(C696,LEN(C696)-2))</f>
        <v>2027</v>
      </c>
      <c r="C696" s="74" t="s">
        <v>2677</v>
      </c>
      <c r="D696" s="75">
        <v>45391</v>
      </c>
      <c r="E696" s="70" t="s">
        <v>2678</v>
      </c>
      <c r="F696" s="70" t="s">
        <v>2678</v>
      </c>
      <c r="G696" s="68" t="s">
        <v>2679</v>
      </c>
      <c r="H696" s="307" t="s">
        <v>2680</v>
      </c>
      <c r="I696" s="162" t="s">
        <v>2681</v>
      </c>
      <c r="J696" s="162"/>
      <c r="K696" s="68" t="s">
        <v>18</v>
      </c>
      <c r="L696" s="69" t="s">
        <v>123</v>
      </c>
      <c r="M696" s="71" t="s">
        <v>113</v>
      </c>
      <c r="N696" s="69" t="e" vm="2">
        <v>#VALUE!</v>
      </c>
      <c r="O696" s="164">
        <v>45397</v>
      </c>
      <c r="P696" s="72" t="s">
        <v>483</v>
      </c>
      <c r="Q696" s="72" t="s">
        <v>229</v>
      </c>
      <c r="R696" s="162"/>
      <c r="S696" s="146"/>
      <c r="T696" s="68" t="s">
        <v>165</v>
      </c>
      <c r="U696" s="87"/>
      <c r="V696" s="183">
        <v>45391</v>
      </c>
      <c r="W696" s="73">
        <v>1200</v>
      </c>
      <c r="X696" s="73">
        <v>45</v>
      </c>
      <c r="Y696" s="83">
        <f>IF(SUM(W696:W696)&gt;0,X696/SUM(W696:W696)*1000000,"N/A")</f>
        <v>37500</v>
      </c>
      <c r="Z696" s="183"/>
      <c r="AA696" s="183"/>
      <c r="AB696" s="73"/>
      <c r="AC696" s="153">
        <v>45540</v>
      </c>
      <c r="AD696" s="330"/>
      <c r="AE696" s="305"/>
      <c r="AF696" s="88"/>
      <c r="AG696" s="182">
        <f>YEAR(V696)</f>
        <v>2024</v>
      </c>
      <c r="AH696" s="86" t="str">
        <f>+IF(AF696=$AI$22,MONTH(U696),"")</f>
        <v/>
      </c>
      <c r="AI696" s="86" t="str">
        <f>+IF(AG696=$AI$22,MONTH(V696),"")</f>
        <v/>
      </c>
      <c r="AJ696" s="86">
        <f>+IF(AG696=$AJ$22,MONTH(V696),"")</f>
        <v>4</v>
      </c>
      <c r="AK696" s="86" t="str">
        <f>+IF(AG696=$AK$22,MONTH(V696),"")</f>
        <v/>
      </c>
      <c r="AL696" s="86"/>
      <c r="AM696" s="89"/>
      <c r="AN696" s="89"/>
      <c r="AO696" s="89"/>
      <c r="AP696" s="89"/>
      <c r="AQ696" s="89"/>
      <c r="AR696" s="89"/>
      <c r="AS696" s="89"/>
      <c r="AT696" s="89"/>
      <c r="AU696" s="89"/>
      <c r="AV696" s="89"/>
      <c r="AW696" s="86" t="str">
        <f>+IF($AG696=AW$22,MONTH($D696),"")</f>
        <v/>
      </c>
      <c r="AX696" s="86" t="str">
        <f>+IF($AG696=AX$22,MONTH($D696),"")</f>
        <v/>
      </c>
      <c r="AY696" s="89"/>
      <c r="AZ696" s="89"/>
      <c r="BA696" s="89"/>
      <c r="BB696" s="89"/>
      <c r="BC696" s="89"/>
      <c r="BD696" s="89"/>
      <c r="BE696" s="89"/>
      <c r="BF696" s="89"/>
      <c r="BG696" s="89"/>
      <c r="BH696" s="89"/>
      <c r="BI696" s="89"/>
      <c r="BJ696" s="89"/>
      <c r="BK696" s="89"/>
      <c r="BL696" s="89"/>
      <c r="BM696" s="89"/>
      <c r="BN696" s="89"/>
      <c r="BO696" s="89"/>
      <c r="BP696" s="89"/>
    </row>
    <row r="697" spans="1:68" s="56" customFormat="1" ht="28.5" hidden="1" customHeight="1">
      <c r="A697" s="204" t="str">
        <f>+IFERROR(VALUE(MID(AB697,4,4)),"")</f>
        <v/>
      </c>
      <c r="B697" s="204">
        <f>VALUE(RIGHT(C697,LEN(C697)-2))</f>
        <v>2026</v>
      </c>
      <c r="C697" s="74" t="s">
        <v>2682</v>
      </c>
      <c r="D697" s="75">
        <v>45391</v>
      </c>
      <c r="E697" s="70" t="s">
        <v>53</v>
      </c>
      <c r="F697" s="70" t="s">
        <v>2436</v>
      </c>
      <c r="G697" s="68" t="s">
        <v>210</v>
      </c>
      <c r="H697" s="304" t="s">
        <v>210</v>
      </c>
      <c r="I697" s="162" t="s">
        <v>2683</v>
      </c>
      <c r="J697" s="162"/>
      <c r="K697" s="68" t="s">
        <v>275</v>
      </c>
      <c r="L697" s="69" t="s">
        <v>123</v>
      </c>
      <c r="M697" s="71" t="s">
        <v>141</v>
      </c>
      <c r="N697" s="69" t="e" vm="1">
        <v>#VALUE!</v>
      </c>
      <c r="O697" s="164">
        <v>45440</v>
      </c>
      <c r="P697" s="72" t="s">
        <v>228</v>
      </c>
      <c r="Q697" s="72" t="s">
        <v>229</v>
      </c>
      <c r="R697" s="162"/>
      <c r="S697" s="146"/>
      <c r="T697" s="68" t="s">
        <v>168</v>
      </c>
      <c r="U697" s="87"/>
      <c r="V697" s="80">
        <v>45432</v>
      </c>
      <c r="W697" s="73"/>
      <c r="X697" s="73"/>
      <c r="Y697" s="83" t="str">
        <f>IF(SUM(W697:W697)&gt;0,X697/SUM(W697:W697)*1000000,"N/A")</f>
        <v>N/A</v>
      </c>
      <c r="Z697" s="80"/>
      <c r="AA697" s="80"/>
      <c r="AB697" s="73"/>
      <c r="AC697" s="153"/>
      <c r="AD697" s="330"/>
      <c r="AE697" s="305"/>
      <c r="AF697" s="88"/>
      <c r="AG697" s="182">
        <f>YEAR(V697)</f>
        <v>2024</v>
      </c>
      <c r="AH697" s="86" t="str">
        <f>+IF(AF697=$AI$22,MONTH(U697),"")</f>
        <v/>
      </c>
      <c r="AI697" s="86" t="str">
        <f>+IF(AG697=$AI$22,MONTH(V697),"")</f>
        <v/>
      </c>
      <c r="AJ697" s="86">
        <f>+IF(AG697=$AJ$22,MONTH(V697),"")</f>
        <v>5</v>
      </c>
      <c r="AK697" s="86" t="str">
        <f>+IF(AG697=$AK$22,MONTH(V697),"")</f>
        <v/>
      </c>
      <c r="AL697" s="86"/>
      <c r="AM697" s="89"/>
      <c r="AN697" s="89"/>
      <c r="AO697" s="89"/>
      <c r="AP697" s="89"/>
      <c r="AQ697" s="89"/>
      <c r="AR697" s="89"/>
      <c r="AS697" s="89"/>
      <c r="AT697" s="89"/>
      <c r="AU697" s="89"/>
      <c r="AV697" s="89"/>
      <c r="AW697" s="86" t="str">
        <f>+IF($AG697=AW$22,MONTH($D697),"")</f>
        <v/>
      </c>
      <c r="AX697" s="86" t="str">
        <f>+IF($AG697=AX$22,MONTH($D697),"")</f>
        <v/>
      </c>
      <c r="AY697" s="89"/>
      <c r="AZ697" s="89"/>
      <c r="BA697" s="89"/>
      <c r="BB697" s="89"/>
      <c r="BC697" s="89"/>
      <c r="BD697" s="89"/>
      <c r="BE697" s="89"/>
      <c r="BF697" s="89"/>
      <c r="BG697" s="89"/>
      <c r="BH697" s="89"/>
      <c r="BI697" s="89"/>
      <c r="BJ697" s="89"/>
      <c r="BK697" s="89"/>
      <c r="BL697" s="89"/>
      <c r="BM697" s="89"/>
      <c r="BN697" s="89"/>
      <c r="BO697" s="89"/>
      <c r="BP697" s="89"/>
    </row>
    <row r="698" spans="1:68" s="318" customFormat="1" ht="13.5" hidden="1">
      <c r="A698" s="204">
        <f>+IFERROR(VALUE(MID(AB698,4,4)),"")</f>
        <v>385</v>
      </c>
      <c r="B698" s="204">
        <f>VALUE(RIGHT(C698,LEN(C698)-2))</f>
        <v>2025</v>
      </c>
      <c r="C698" s="74" t="s">
        <v>2684</v>
      </c>
      <c r="D698" s="75">
        <v>45390</v>
      </c>
      <c r="E698" s="70" t="s">
        <v>353</v>
      </c>
      <c r="F698" s="70" t="s">
        <v>353</v>
      </c>
      <c r="G698" s="68" t="s">
        <v>2237</v>
      </c>
      <c r="H698" s="59" t="s">
        <v>2207</v>
      </c>
      <c r="I698" s="162" t="s">
        <v>2685</v>
      </c>
      <c r="J698" s="162"/>
      <c r="K698" s="68" t="s">
        <v>11</v>
      </c>
      <c r="L698" s="69" t="s">
        <v>120</v>
      </c>
      <c r="M698" s="71" t="s">
        <v>141</v>
      </c>
      <c r="N698" s="69" t="e" vm="1">
        <v>#VALUE!</v>
      </c>
      <c r="O698" s="164">
        <v>45393</v>
      </c>
      <c r="P698" s="72" t="s">
        <v>2572</v>
      </c>
      <c r="Q698" s="72" t="s">
        <v>229</v>
      </c>
      <c r="R698" s="162"/>
      <c r="S698" s="146"/>
      <c r="T698" s="68" t="s">
        <v>3</v>
      </c>
      <c r="U698" s="87"/>
      <c r="V698" s="183">
        <v>45400</v>
      </c>
      <c r="W698" s="73">
        <v>539</v>
      </c>
      <c r="X698" s="73">
        <v>25</v>
      </c>
      <c r="Y698" s="83">
        <f>IF(SUM(W698:W698)&gt;0,X698/SUM(W698:W698)*1000000,"N/A")</f>
        <v>46382.189239332096</v>
      </c>
      <c r="Z698" s="183"/>
      <c r="AA698" s="183"/>
      <c r="AB698" s="73" t="s">
        <v>2686</v>
      </c>
      <c r="AC698" s="153"/>
      <c r="AD698" s="331"/>
      <c r="AE698" s="57"/>
      <c r="AF698" s="88"/>
      <c r="AG698" s="182">
        <f>YEAR(V698)</f>
        <v>2024</v>
      </c>
      <c r="AH698" s="86" t="str">
        <f>+IF(AF698=$AI$22,MONTH(U698),"")</f>
        <v/>
      </c>
      <c r="AI698" s="86" t="str">
        <f>+IF(AG698=$AI$22,MONTH(V698),"")</f>
        <v/>
      </c>
      <c r="AJ698" s="86">
        <f>+IF(AG698=$AJ$22,MONTH(V698),"")</f>
        <v>4</v>
      </c>
      <c r="AK698" s="86" t="str">
        <f>+IF(AG698=$AK$22,MONTH(V698),"")</f>
        <v/>
      </c>
      <c r="AL698" s="86"/>
      <c r="AM698" s="89"/>
      <c r="AN698" s="89"/>
      <c r="AO698" s="89"/>
      <c r="AP698" s="89"/>
      <c r="AQ698" s="89"/>
      <c r="AR698" s="89"/>
      <c r="AS698" s="89"/>
      <c r="AT698" s="89"/>
      <c r="AU698" s="89"/>
      <c r="AV698" s="89"/>
      <c r="AW698" s="86" t="str">
        <f>+IF($AG698=AW$22,MONTH($D698),"")</f>
        <v/>
      </c>
      <c r="AX698" s="86" t="str">
        <f>+IF($AG698=AX$22,MONTH($D698),"")</f>
        <v/>
      </c>
      <c r="AY698" s="89"/>
      <c r="AZ698" s="89"/>
      <c r="BA698" s="89"/>
      <c r="BB698" s="89"/>
      <c r="BC698" s="89"/>
      <c r="BD698" s="89"/>
      <c r="BE698" s="89"/>
      <c r="BF698" s="89"/>
      <c r="BG698" s="89"/>
      <c r="BH698" s="89"/>
      <c r="BI698" s="89"/>
      <c r="BJ698" s="89"/>
      <c r="BK698" s="89"/>
      <c r="BL698" s="89"/>
      <c r="BM698" s="89"/>
      <c r="BN698" s="89"/>
      <c r="BO698" s="89"/>
      <c r="BP698" s="89"/>
    </row>
    <row r="699" spans="1:68" s="89" customFormat="1" ht="26.25" hidden="1" customHeight="1">
      <c r="A699" s="204">
        <f>+IFERROR(VALUE(MID(AB699,4,4)),"")</f>
        <v>333</v>
      </c>
      <c r="B699" s="204">
        <f>VALUE(RIGHT(C699,LEN(C699)-2))</f>
        <v>2024</v>
      </c>
      <c r="C699" s="74" t="s">
        <v>2687</v>
      </c>
      <c r="D699" s="75">
        <v>45391</v>
      </c>
      <c r="E699" s="70" t="s">
        <v>53</v>
      </c>
      <c r="F699" s="70" t="s">
        <v>1379</v>
      </c>
      <c r="G699" s="68" t="s">
        <v>1976</v>
      </c>
      <c r="H699" s="59" t="s">
        <v>210</v>
      </c>
      <c r="I699" s="162" t="s">
        <v>2688</v>
      </c>
      <c r="J699" s="162"/>
      <c r="K699" s="68" t="s">
        <v>14</v>
      </c>
      <c r="L699" s="68" t="s">
        <v>129</v>
      </c>
      <c r="M699" s="68" t="s">
        <v>141</v>
      </c>
      <c r="N699" s="69" t="e" vm="1">
        <v>#VALUE!</v>
      </c>
      <c r="O699" s="164">
        <v>45418</v>
      </c>
      <c r="P699" s="72" t="s">
        <v>1154</v>
      </c>
      <c r="Q699" s="72" t="s">
        <v>229</v>
      </c>
      <c r="R699" s="162"/>
      <c r="S699" s="146"/>
      <c r="T699" s="68" t="s">
        <v>165</v>
      </c>
      <c r="U699" s="87"/>
      <c r="V699" s="183">
        <v>45476</v>
      </c>
      <c r="W699" s="73">
        <v>867</v>
      </c>
      <c r="X699" s="73">
        <v>37.799999999999997</v>
      </c>
      <c r="Y699" s="83">
        <f>IF(SUM(W699:W699)&gt;0,X699/SUM(W699:W699)*1000000,"N/A")</f>
        <v>43598.615916955016</v>
      </c>
      <c r="Z699" s="183"/>
      <c r="AA699" s="183"/>
      <c r="AB699" s="73" t="s">
        <v>2689</v>
      </c>
      <c r="AC699" s="153"/>
      <c r="AD699" s="331"/>
      <c r="AE699" s="57"/>
      <c r="AF699" s="88"/>
      <c r="AG699" s="182">
        <f>YEAR(V699)</f>
        <v>2024</v>
      </c>
      <c r="AH699" s="86" t="str">
        <f>+IF(AF699=$AI$22,MONTH(U699),"")</f>
        <v/>
      </c>
      <c r="AI699" s="86" t="str">
        <f>+IF(AG699=$AI$22,MONTH(V699),"")</f>
        <v/>
      </c>
      <c r="AJ699" s="86">
        <f>+IF(AG699=$AJ$22,MONTH(V699),"")</f>
        <v>7</v>
      </c>
      <c r="AK699" s="86" t="str">
        <f>+IF(AG699=$AK$22,MONTH(V699),"")</f>
        <v/>
      </c>
      <c r="AL699" s="86"/>
      <c r="AW699" s="86" t="str">
        <f>+IF($AG699=AW$22,MONTH($D699),"")</f>
        <v/>
      </c>
      <c r="AX699" s="86" t="str">
        <f>+IF($AG699=AX$22,MONTH($D699),"")</f>
        <v/>
      </c>
    </row>
    <row r="700" spans="1:68" s="89" customFormat="1" ht="26.25" hidden="1" customHeight="1">
      <c r="A700" s="204" t="str">
        <f>+IFERROR(VALUE(MID(AB700,4,4)),"")</f>
        <v/>
      </c>
      <c r="B700" s="204">
        <f>VALUE(RIGHT(C700,LEN(C700)-2))</f>
        <v>2023</v>
      </c>
      <c r="C700" s="74" t="s">
        <v>2690</v>
      </c>
      <c r="D700" s="75">
        <v>45390</v>
      </c>
      <c r="E700" s="70" t="s">
        <v>685</v>
      </c>
      <c r="F700" s="70" t="s">
        <v>685</v>
      </c>
      <c r="G700" s="68"/>
      <c r="H700" s="304"/>
      <c r="I700" s="162" t="s">
        <v>2691</v>
      </c>
      <c r="J700" s="162"/>
      <c r="K700" s="68" t="s">
        <v>13</v>
      </c>
      <c r="L700" s="68" t="s">
        <v>120</v>
      </c>
      <c r="M700" s="68" t="s">
        <v>141</v>
      </c>
      <c r="N700" s="69" t="e" vm="1">
        <v>#VALUE!</v>
      </c>
      <c r="O700" s="164" t="s">
        <v>213</v>
      </c>
      <c r="P700" s="72" t="s">
        <v>1058</v>
      </c>
      <c r="Q700" s="72" t="s">
        <v>229</v>
      </c>
      <c r="R700" s="162"/>
      <c r="S700" s="146" t="s">
        <v>2692</v>
      </c>
      <c r="T700" s="68" t="s">
        <v>168</v>
      </c>
      <c r="U700" s="87"/>
      <c r="V700" s="183">
        <v>45390</v>
      </c>
      <c r="W700" s="73"/>
      <c r="X700" s="73"/>
      <c r="Y700" s="83" t="str">
        <f>IF(SUM(W700:W700)&gt;0,X700/SUM(W700:W700)*1000000,"N/A")</f>
        <v>N/A</v>
      </c>
      <c r="Z700" s="183"/>
      <c r="AA700" s="183"/>
      <c r="AB700" s="73"/>
      <c r="AC700" s="153"/>
      <c r="AD700" s="330"/>
      <c r="AE700" s="305"/>
      <c r="AF700" s="88"/>
      <c r="AG700" s="182">
        <f>YEAR(V700)</f>
        <v>2024</v>
      </c>
      <c r="AH700" s="86" t="str">
        <f>+IF(AF700=$AI$22,MONTH(U700),"")</f>
        <v/>
      </c>
      <c r="AI700" s="86" t="str">
        <f>+IF(AG700=$AI$22,MONTH(V700),"")</f>
        <v/>
      </c>
      <c r="AJ700" s="86">
        <f>+IF(AG700=$AJ$22,MONTH(V700),"")</f>
        <v>4</v>
      </c>
      <c r="AK700" s="86" t="str">
        <f>+IF(AG700=$AK$22,MONTH(V700),"")</f>
        <v/>
      </c>
      <c r="AL700" s="86"/>
      <c r="AW700" s="86" t="str">
        <f>+IF($AG700=AW$22,MONTH($D700),"")</f>
        <v/>
      </c>
      <c r="AX700" s="86" t="str">
        <f>+IF($AG700=AX$22,MONTH($D700),"")</f>
        <v/>
      </c>
    </row>
    <row r="701" spans="1:68" s="89" customFormat="1" ht="30" hidden="1" customHeight="1">
      <c r="A701" s="204" t="str">
        <f>+IFERROR(VALUE(MID(AB701,4,4)),"")</f>
        <v/>
      </c>
      <c r="B701" s="204">
        <f>VALUE(RIGHT(C701,LEN(C701)-2))</f>
        <v>2022</v>
      </c>
      <c r="C701" s="74" t="s">
        <v>2693</v>
      </c>
      <c r="D701" s="75">
        <v>45386</v>
      </c>
      <c r="E701" s="70" t="s">
        <v>353</v>
      </c>
      <c r="F701" s="70" t="s">
        <v>354</v>
      </c>
      <c r="G701" s="68" t="s">
        <v>2694</v>
      </c>
      <c r="H701" s="59" t="s">
        <v>2695</v>
      </c>
      <c r="I701" s="162" t="s">
        <v>2696</v>
      </c>
      <c r="J701" s="162"/>
      <c r="K701" s="68" t="s">
        <v>13</v>
      </c>
      <c r="L701" s="68" t="s">
        <v>123</v>
      </c>
      <c r="M701" s="68" t="s">
        <v>141</v>
      </c>
      <c r="N701" s="69" t="e" vm="1">
        <v>#VALUE!</v>
      </c>
      <c r="O701" s="164">
        <v>45422</v>
      </c>
      <c r="P701" s="72" t="s">
        <v>2697</v>
      </c>
      <c r="Q701" s="72" t="s">
        <v>623</v>
      </c>
      <c r="R701" s="162"/>
      <c r="S701" s="146" t="s">
        <v>2698</v>
      </c>
      <c r="T701" s="68" t="s">
        <v>168</v>
      </c>
      <c r="U701" s="87"/>
      <c r="V701" s="183">
        <v>45427</v>
      </c>
      <c r="W701" s="73">
        <v>1590</v>
      </c>
      <c r="X701" s="73">
        <v>77</v>
      </c>
      <c r="Y701" s="83">
        <f>IF(SUM(W701:W701)&gt;0,X701/SUM(W701:W701)*1000000,"N/A")</f>
        <v>48427.672955974849</v>
      </c>
      <c r="Z701" s="183"/>
      <c r="AA701" s="183"/>
      <c r="AB701" s="73"/>
      <c r="AC701" s="153"/>
      <c r="AD701" s="331"/>
      <c r="AE701" s="57"/>
      <c r="AF701" s="88"/>
      <c r="AG701" s="182">
        <f>YEAR(V701)</f>
        <v>2024</v>
      </c>
      <c r="AH701" s="86" t="str">
        <f>+IF(AF701=$AI$22,MONTH(U701),"")</f>
        <v/>
      </c>
      <c r="AI701" s="86" t="str">
        <f>+IF(AG701=$AI$22,MONTH(V701),"")</f>
        <v/>
      </c>
      <c r="AJ701" s="86">
        <f>+IF(AG701=$AJ$22,MONTH(V701),"")</f>
        <v>5</v>
      </c>
      <c r="AK701" s="86" t="str">
        <f>+IF(AG701=$AK$22,MONTH(V701),"")</f>
        <v/>
      </c>
      <c r="AL701" s="86"/>
      <c r="AW701" s="86" t="str">
        <f>+IF($AG701=AW$22,MONTH($D701),"")</f>
        <v/>
      </c>
      <c r="AX701" s="86" t="str">
        <f>+IF($AG701=AX$22,MONTH($D701),"")</f>
        <v/>
      </c>
    </row>
    <row r="702" spans="1:68" s="89" customFormat="1" ht="26.25" hidden="1" customHeight="1">
      <c r="A702" s="204" t="str">
        <f>+IFERROR(VALUE(MID(AB702,4,4)),"")</f>
        <v/>
      </c>
      <c r="B702" s="204">
        <f>VALUE(RIGHT(C702,LEN(C702)-2))</f>
        <v>2021</v>
      </c>
      <c r="C702" s="74" t="s">
        <v>2699</v>
      </c>
      <c r="D702" s="75">
        <v>45386</v>
      </c>
      <c r="E702" s="70" t="s">
        <v>332</v>
      </c>
      <c r="F702" s="70" t="s">
        <v>332</v>
      </c>
      <c r="G702" s="68" t="s">
        <v>210</v>
      </c>
      <c r="H702" s="304" t="s">
        <v>334</v>
      </c>
      <c r="I702" s="162" t="s">
        <v>2700</v>
      </c>
      <c r="J702" s="162"/>
      <c r="K702" s="68" t="s">
        <v>30</v>
      </c>
      <c r="L702" s="68" t="s">
        <v>123</v>
      </c>
      <c r="M702" s="68" t="s">
        <v>141</v>
      </c>
      <c r="N702" s="69" t="e" vm="1">
        <v>#VALUE!</v>
      </c>
      <c r="O702" s="164">
        <v>45401</v>
      </c>
      <c r="P702" s="72" t="s">
        <v>2701</v>
      </c>
      <c r="Q702" s="72" t="s">
        <v>623</v>
      </c>
      <c r="R702" s="162"/>
      <c r="S702" s="146"/>
      <c r="T702" s="68" t="s">
        <v>165</v>
      </c>
      <c r="U702" s="87"/>
      <c r="V702" s="183">
        <v>45510</v>
      </c>
      <c r="W702" s="73">
        <v>1663</v>
      </c>
      <c r="X702" s="73">
        <v>72</v>
      </c>
      <c r="Y702" s="83">
        <f>IF(SUM(W702:W702)&gt;0,X702/SUM(W702:W702)*1000000,"N/A")</f>
        <v>43295.249549007822</v>
      </c>
      <c r="Z702" s="183"/>
      <c r="AA702" s="183"/>
      <c r="AB702" s="73"/>
      <c r="AC702" s="153"/>
      <c r="AD702" s="330"/>
      <c r="AE702" s="305"/>
      <c r="AF702" s="88"/>
      <c r="AG702" s="182">
        <f>YEAR(V702)</f>
        <v>2024</v>
      </c>
      <c r="AH702" s="86" t="str">
        <f>+IF(AF702=$AI$22,MONTH(U702),"")</f>
        <v/>
      </c>
      <c r="AI702" s="86" t="str">
        <f>+IF(AG702=$AI$22,MONTH(V702),"")</f>
        <v/>
      </c>
      <c r="AJ702" s="86">
        <f>+IF(AG702=$AJ$22,MONTH(V702),"")</f>
        <v>8</v>
      </c>
      <c r="AK702" s="86" t="str">
        <f>+IF(AG702=$AK$22,MONTH(V702),"")</f>
        <v/>
      </c>
      <c r="AL702" s="86"/>
      <c r="AW702" s="86" t="str">
        <f>+IF($AG702=AW$22,MONTH($D702),"")</f>
        <v/>
      </c>
      <c r="AX702" s="86" t="str">
        <f>+IF($AG702=AX$22,MONTH($D702),"")</f>
        <v/>
      </c>
    </row>
    <row r="703" spans="1:68" s="89" customFormat="1" ht="26.25" hidden="1" customHeight="1">
      <c r="A703" s="204" t="str">
        <f>+IFERROR(VALUE(MID(AB703,4,4)),"")</f>
        <v/>
      </c>
      <c r="B703" s="204">
        <f>VALUE(RIGHT(C703,LEN(C703)-2))</f>
        <v>2020</v>
      </c>
      <c r="C703" s="74" t="s">
        <v>2702</v>
      </c>
      <c r="D703" s="75">
        <v>45385</v>
      </c>
      <c r="E703" s="70" t="s">
        <v>939</v>
      </c>
      <c r="F703" s="70" t="s">
        <v>940</v>
      </c>
      <c r="G703" s="68" t="s">
        <v>2703</v>
      </c>
      <c r="H703" s="59" t="s">
        <v>2704</v>
      </c>
      <c r="I703" s="162" t="s">
        <v>2705</v>
      </c>
      <c r="J703" s="162"/>
      <c r="K703" s="68" t="s">
        <v>12</v>
      </c>
      <c r="L703" s="68" t="s">
        <v>120</v>
      </c>
      <c r="M703" s="68" t="s">
        <v>141</v>
      </c>
      <c r="N703" s="69" t="e" vm="1">
        <v>#VALUE!</v>
      </c>
      <c r="O703" s="164">
        <v>45401</v>
      </c>
      <c r="P703" s="72" t="s">
        <v>737</v>
      </c>
      <c r="Q703" s="72" t="s">
        <v>623</v>
      </c>
      <c r="R703" s="162"/>
      <c r="S703" s="146" t="s">
        <v>1166</v>
      </c>
      <c r="T703" s="68" t="s">
        <v>165</v>
      </c>
      <c r="U703" s="87"/>
      <c r="V703" s="183">
        <v>45386</v>
      </c>
      <c r="W703" s="73"/>
      <c r="X703" s="73"/>
      <c r="Y703" s="83" t="str">
        <f>IF(SUM(W703:W703)&gt;0,X703/SUM(W703:W703)*1000000,"N/A")</f>
        <v>N/A</v>
      </c>
      <c r="Z703" s="183"/>
      <c r="AA703" s="183"/>
      <c r="AB703" s="73"/>
      <c r="AC703" s="331" t="s">
        <v>134</v>
      </c>
      <c r="AD703" s="331" t="s">
        <v>134</v>
      </c>
      <c r="AE703" s="57"/>
      <c r="AF703" s="88"/>
      <c r="AG703" s="182">
        <f>YEAR(V703)</f>
        <v>2024</v>
      </c>
      <c r="AH703" s="86" t="str">
        <f>+IF(AF703=$AI$22,MONTH(U703),"")</f>
        <v/>
      </c>
      <c r="AI703" s="86" t="str">
        <f>+IF(AG703=$AI$22,MONTH(V703),"")</f>
        <v/>
      </c>
      <c r="AJ703" s="86">
        <f>+IF(AG703=$AJ$22,MONTH(V703),"")</f>
        <v>4</v>
      </c>
      <c r="AK703" s="86" t="str">
        <f>+IF(AG703=$AK$22,MONTH(V703),"")</f>
        <v/>
      </c>
      <c r="AL703" s="86"/>
      <c r="AW703" s="86" t="str">
        <f>+IF($AG703=AW$22,MONTH($D703),"")</f>
        <v/>
      </c>
      <c r="AX703" s="86" t="str">
        <f>+IF($AG703=AX$22,MONTH($D703),"")</f>
        <v/>
      </c>
    </row>
    <row r="704" spans="1:68" s="89" customFormat="1" ht="39" hidden="1" customHeight="1">
      <c r="A704" s="204">
        <f>+IFERROR(VALUE(MID(AB704,4,4)),"")</f>
        <v>370</v>
      </c>
      <c r="B704" s="204">
        <f>VALUE(RIGHT(C704,LEN(C704)-2))</f>
        <v>2019</v>
      </c>
      <c r="C704" s="74" t="s">
        <v>2706</v>
      </c>
      <c r="D704" s="75">
        <v>45384</v>
      </c>
      <c r="E704" s="70" t="s">
        <v>353</v>
      </c>
      <c r="F704" s="70" t="s">
        <v>353</v>
      </c>
      <c r="G704" s="68" t="s">
        <v>2237</v>
      </c>
      <c r="H704" s="59" t="s">
        <v>2207</v>
      </c>
      <c r="I704" s="162" t="s">
        <v>2707</v>
      </c>
      <c r="J704" s="162"/>
      <c r="K704" s="68" t="s">
        <v>16</v>
      </c>
      <c r="L704" s="68" t="s">
        <v>120</v>
      </c>
      <c r="M704" s="68" t="s">
        <v>141</v>
      </c>
      <c r="N704" s="69" t="e" vm="1">
        <v>#VALUE!</v>
      </c>
      <c r="O704" s="164">
        <v>45386</v>
      </c>
      <c r="P704" s="72" t="s">
        <v>2572</v>
      </c>
      <c r="Q704" s="72" t="s">
        <v>259</v>
      </c>
      <c r="R704" s="162"/>
      <c r="S704" s="146"/>
      <c r="T704" s="68" t="s">
        <v>3</v>
      </c>
      <c r="U704" s="87"/>
      <c r="V704" s="183">
        <v>45385</v>
      </c>
      <c r="W704" s="73">
        <v>50</v>
      </c>
      <c r="X704" s="73">
        <v>2.2999999999999998</v>
      </c>
      <c r="Y704" s="83">
        <f>IF(SUM(W704:W704)&gt;0,X704/SUM(W704:W704)*1000000,"N/A")</f>
        <v>46000</v>
      </c>
      <c r="Z704" s="183"/>
      <c r="AA704" s="183"/>
      <c r="AB704" s="73" t="s">
        <v>2708</v>
      </c>
      <c r="AC704" s="371" t="s">
        <v>134</v>
      </c>
      <c r="AD704" s="331" t="s">
        <v>134</v>
      </c>
      <c r="AE704" s="57"/>
      <c r="AF704" s="88"/>
      <c r="AG704" s="182">
        <f>YEAR(V704)</f>
        <v>2024</v>
      </c>
      <c r="AH704" s="86" t="str">
        <f>+IF(AF704=$AI$22,MONTH(U704),"")</f>
        <v/>
      </c>
      <c r="AI704" s="86" t="str">
        <f>+IF(AG704=$AI$22,MONTH(V704),"")</f>
        <v/>
      </c>
      <c r="AJ704" s="86">
        <f>+IF(AG704=$AJ$22,MONTH(V704),"")</f>
        <v>4</v>
      </c>
      <c r="AK704" s="86" t="str">
        <f>+IF(AG704=$AK$22,MONTH(V704),"")</f>
        <v/>
      </c>
      <c r="AL704" s="86"/>
      <c r="AW704" s="86" t="str">
        <f>+IF($AG704=AW$22,MONTH($D704),"")</f>
        <v/>
      </c>
      <c r="AX704" s="86" t="str">
        <f>+IF($AG704=AX$22,MONTH($D704),"")</f>
        <v/>
      </c>
    </row>
    <row r="705" spans="1:68" s="56" customFormat="1" ht="26.25" hidden="1" customHeight="1">
      <c r="A705" s="204" t="str">
        <f>+IFERROR(VALUE(MID(AB705,4,4)),"")</f>
        <v/>
      </c>
      <c r="B705" s="204">
        <f>VALUE(RIGHT(C705,LEN(C705)-2))</f>
        <v>2018</v>
      </c>
      <c r="C705" s="74" t="s">
        <v>2709</v>
      </c>
      <c r="D705" s="75">
        <v>45385</v>
      </c>
      <c r="E705" s="70" t="s">
        <v>262</v>
      </c>
      <c r="F705" s="70" t="s">
        <v>270</v>
      </c>
      <c r="G705" s="68" t="s">
        <v>1415</v>
      </c>
      <c r="H705" s="282" t="s">
        <v>494</v>
      </c>
      <c r="I705" s="69" t="s">
        <v>2710</v>
      </c>
      <c r="J705" s="69"/>
      <c r="K705" s="68" t="s">
        <v>9</v>
      </c>
      <c r="L705" s="69" t="s">
        <v>120</v>
      </c>
      <c r="M705" s="71" t="s">
        <v>141</v>
      </c>
      <c r="N705" s="69" t="e" vm="1">
        <v>#VALUE!</v>
      </c>
      <c r="O705" s="84">
        <v>45385</v>
      </c>
      <c r="P705" s="72" t="s">
        <v>2711</v>
      </c>
      <c r="Q705" s="72" t="s">
        <v>623</v>
      </c>
      <c r="R705" s="162"/>
      <c r="S705" s="146" t="s">
        <v>2712</v>
      </c>
      <c r="T705" s="68" t="s">
        <v>155</v>
      </c>
      <c r="U705" s="87"/>
      <c r="V705" s="80">
        <v>45385</v>
      </c>
      <c r="W705" s="73"/>
      <c r="X705" s="73"/>
      <c r="Y705" s="169" t="str">
        <f>IF(SUM(W705:W705)&gt;0,X705/SUM(W705:W705)*1000000,"N/A")</f>
        <v>N/A</v>
      </c>
      <c r="Z705" s="80"/>
      <c r="AA705" s="80"/>
      <c r="AB705" s="73"/>
      <c r="AC705" s="153"/>
      <c r="AD705" s="331"/>
      <c r="AE705" s="57"/>
      <c r="AF705" s="88"/>
      <c r="AG705" s="182">
        <f>YEAR(V705)</f>
        <v>2024</v>
      </c>
      <c r="AH705" s="86" t="str">
        <f>+IF(AF705=$AI$22,MONTH(U705),"")</f>
        <v/>
      </c>
      <c r="AI705" s="86" t="str">
        <f>+IF(AG705=$AI$22,MONTH(V705),"")</f>
        <v/>
      </c>
      <c r="AJ705" s="86">
        <f>+IF(AG705=$AJ$22,MONTH(V705),"")</f>
        <v>4</v>
      </c>
      <c r="AK705" s="86" t="str">
        <f>+IF(AG705=$AK$22,MONTH(V705),"")</f>
        <v/>
      </c>
      <c r="AL705" s="86" t="str">
        <f>+IF(AG705=$AL$22,MONTH(V705),"")</f>
        <v/>
      </c>
      <c r="AM705" s="86" t="str">
        <f>+IF($AG705=$AM$22,MONTH($D705),"")</f>
        <v/>
      </c>
      <c r="AN705" s="89" t="str">
        <f>+IF($AG705=AN$22,MONTH($D705),"")</f>
        <v/>
      </c>
      <c r="AO705" s="89" t="str">
        <f>+IF($AG705=AO$22,MONTH($D705),"")</f>
        <v/>
      </c>
      <c r="AP705" s="89" t="str">
        <f>+IF($AG705=AP$22,MONTH($D705),"")</f>
        <v/>
      </c>
      <c r="AQ705" s="89" t="str">
        <f>+IF($AG705=AQ$22,MONTH($D705),"")</f>
        <v/>
      </c>
      <c r="AR705" s="89" t="str">
        <f>+IF($AG705=AR$22,MONTH($D705),"")</f>
        <v/>
      </c>
      <c r="AS705" s="89" t="str">
        <f>+IF($AG705=AS$22,MONTH($D705),"")</f>
        <v/>
      </c>
      <c r="AT705" s="89" t="str">
        <f>+IF($AG705=AT$22,MONTH($D705),"")</f>
        <v/>
      </c>
      <c r="AU705" s="89" t="str">
        <f>+IF($AG705=AU$22,MONTH($D705),"")</f>
        <v/>
      </c>
      <c r="AV705" s="89" t="str">
        <f>+IF($AG705=AV$22,MONTH($D705),"")</f>
        <v/>
      </c>
      <c r="AW705" s="86" t="str">
        <f>+IF($AG705=AW$22,MONTH($D705),"")</f>
        <v/>
      </c>
      <c r="AX705" s="86" t="str">
        <f>+IF($AG705=AX$22,MONTH($D705),"")</f>
        <v/>
      </c>
      <c r="AY705" s="89"/>
      <c r="AZ705" s="89"/>
      <c r="BA705" s="89"/>
      <c r="BB705" s="89"/>
      <c r="BC705" s="89"/>
      <c r="BD705" s="89"/>
      <c r="BE705" s="89"/>
      <c r="BF705" s="89"/>
      <c r="BG705" s="89"/>
      <c r="BH705" s="89"/>
      <c r="BI705" s="89"/>
      <c r="BJ705" s="89"/>
      <c r="BK705" s="89"/>
      <c r="BL705" s="89"/>
      <c r="BM705" s="89"/>
      <c r="BN705" s="89"/>
      <c r="BO705" s="89"/>
      <c r="BP705" s="89"/>
    </row>
    <row r="706" spans="1:68" s="89" customFormat="1" ht="26.25" hidden="1" customHeight="1">
      <c r="A706" s="204">
        <f>+IFERROR(VALUE(MID(AB706,4,4)),"")</f>
        <v>333</v>
      </c>
      <c r="B706" s="204">
        <f>VALUE(RIGHT(C706,LEN(C706)-2))</f>
        <v>2017</v>
      </c>
      <c r="C706" s="74" t="s">
        <v>2713</v>
      </c>
      <c r="D706" s="75">
        <v>45385</v>
      </c>
      <c r="E706" s="70" t="s">
        <v>53</v>
      </c>
      <c r="F706" s="70" t="s">
        <v>1379</v>
      </c>
      <c r="G706" s="68" t="s">
        <v>1976</v>
      </c>
      <c r="H706" s="59" t="s">
        <v>210</v>
      </c>
      <c r="I706" s="162" t="s">
        <v>2714</v>
      </c>
      <c r="J706" s="162"/>
      <c r="K706" s="68" t="s">
        <v>14</v>
      </c>
      <c r="L706" s="68" t="s">
        <v>129</v>
      </c>
      <c r="M706" s="68" t="s">
        <v>141</v>
      </c>
      <c r="N706" s="69" t="e" vm="1">
        <v>#VALUE!</v>
      </c>
      <c r="O706" s="164">
        <v>45399</v>
      </c>
      <c r="P706" s="72" t="s">
        <v>1154</v>
      </c>
      <c r="Q706" s="72" t="s">
        <v>229</v>
      </c>
      <c r="R706" s="162"/>
      <c r="S706" s="146"/>
      <c r="T706" s="68" t="s">
        <v>165</v>
      </c>
      <c r="U706" s="87"/>
      <c r="V706" s="183">
        <v>45483</v>
      </c>
      <c r="W706" s="73">
        <v>1010</v>
      </c>
      <c r="X706" s="73">
        <v>40.700000000000003</v>
      </c>
      <c r="Y706" s="83">
        <f>IF(SUM(W706:W706)&gt;0,X706/SUM(W706:W706)*1000000,"N/A")</f>
        <v>40297.0297029703</v>
      </c>
      <c r="Z706" s="183"/>
      <c r="AA706" s="183"/>
      <c r="AB706" s="73" t="s">
        <v>2715</v>
      </c>
      <c r="AC706" s="153"/>
      <c r="AD706" s="331"/>
      <c r="AE706" s="57"/>
      <c r="AF706" s="88"/>
      <c r="AG706" s="182">
        <f>YEAR(V706)</f>
        <v>2024</v>
      </c>
      <c r="AH706" s="86" t="str">
        <f>+IF(AF706=$AI$22,MONTH(U706),"")</f>
        <v/>
      </c>
      <c r="AI706" s="86" t="str">
        <f>+IF(AG706=$AI$22,MONTH(V706),"")</f>
        <v/>
      </c>
      <c r="AJ706" s="86">
        <f>+IF(AG706=$AJ$22,MONTH(V706),"")</f>
        <v>7</v>
      </c>
      <c r="AK706" s="86" t="str">
        <f>+IF(AG706=$AK$22,MONTH(V706),"")</f>
        <v/>
      </c>
      <c r="AL706" s="86"/>
      <c r="AW706" s="86" t="str">
        <f>+IF($AG706=AW$22,MONTH($D706),"")</f>
        <v/>
      </c>
      <c r="AX706" s="86" t="str">
        <f>+IF($AG706=AX$22,MONTH($D706),"")</f>
        <v/>
      </c>
    </row>
    <row r="707" spans="1:68" s="56" customFormat="1" ht="26.25" hidden="1" customHeight="1">
      <c r="A707" s="204" t="str">
        <f>+IFERROR(VALUE(MID(AB707,4,4)),"")</f>
        <v/>
      </c>
      <c r="B707" s="204">
        <f>VALUE(RIGHT(C707,LEN(C707)-2))</f>
        <v>2016</v>
      </c>
      <c r="C707" s="74" t="s">
        <v>2716</v>
      </c>
      <c r="D707" s="75">
        <v>45385</v>
      </c>
      <c r="E707" s="70" t="s">
        <v>53</v>
      </c>
      <c r="F707" s="70" t="s">
        <v>252</v>
      </c>
      <c r="G707" s="68" t="s">
        <v>210</v>
      </c>
      <c r="H707" s="59" t="s">
        <v>210</v>
      </c>
      <c r="I707" s="162" t="s">
        <v>2717</v>
      </c>
      <c r="J707" s="162"/>
      <c r="K707" s="68" t="s">
        <v>18</v>
      </c>
      <c r="L707" s="69" t="s">
        <v>123</v>
      </c>
      <c r="M707" s="71" t="s">
        <v>141</v>
      </c>
      <c r="N707" s="69" t="e" vm="1">
        <v>#VALUE!</v>
      </c>
      <c r="O707" s="164">
        <v>45474</v>
      </c>
      <c r="P707" s="72" t="s">
        <v>377</v>
      </c>
      <c r="Q707" s="72" t="s">
        <v>316</v>
      </c>
      <c r="R707" s="162"/>
      <c r="S707" s="146" t="s">
        <v>2718</v>
      </c>
      <c r="T707" s="68" t="s">
        <v>155</v>
      </c>
      <c r="U707" s="87">
        <v>0.01</v>
      </c>
      <c r="V707" s="80">
        <v>45474</v>
      </c>
      <c r="W707" s="73"/>
      <c r="X707" s="73">
        <v>37.5</v>
      </c>
      <c r="Y707" s="83" t="str">
        <f>IF(SUM(W707:W707)&gt;0,X707/SUM(W707:W707)*1000000,"N/A")</f>
        <v>N/A</v>
      </c>
      <c r="Z707" s="80"/>
      <c r="AA707" s="80"/>
      <c r="AB707" s="73"/>
      <c r="AC707" s="153">
        <v>45541</v>
      </c>
      <c r="AD707" s="331"/>
      <c r="AE707" s="57"/>
      <c r="AF707" s="88"/>
      <c r="AG707" s="182">
        <f>YEAR(V707)</f>
        <v>2024</v>
      </c>
      <c r="AH707" s="86" t="str">
        <f>+IF(AF707=$AI$22,MONTH(U707),"")</f>
        <v/>
      </c>
      <c r="AI707" s="86" t="str">
        <f>+IF(AG707=$AI$22,MONTH(V707),"")</f>
        <v/>
      </c>
      <c r="AJ707" s="86">
        <f>+IF(AG707=$AJ$22,MONTH(V707),"")</f>
        <v>7</v>
      </c>
      <c r="AK707" s="86" t="str">
        <f>+IF(AG707=$AK$22,MONTH(V707),"")</f>
        <v/>
      </c>
      <c r="AL707" s="86"/>
      <c r="AM707" s="89"/>
      <c r="AN707" s="89"/>
      <c r="AO707" s="89"/>
      <c r="AP707" s="89"/>
      <c r="AQ707" s="89"/>
      <c r="AR707" s="89"/>
      <c r="AS707" s="89"/>
      <c r="AT707" s="89"/>
      <c r="AU707" s="89"/>
      <c r="AV707" s="89"/>
      <c r="AW707" s="86" t="str">
        <f>+IF($AG707=AW$22,MONTH($D707),"")</f>
        <v/>
      </c>
      <c r="AX707" s="86" t="str">
        <f>+IF($AG707=AX$22,MONTH($D707),"")</f>
        <v/>
      </c>
      <c r="AY707" s="89"/>
      <c r="AZ707" s="89"/>
      <c r="BA707" s="89"/>
      <c r="BB707" s="89"/>
      <c r="BC707" s="89"/>
      <c r="BD707" s="89"/>
      <c r="BE707" s="89"/>
      <c r="BF707" s="89"/>
      <c r="BG707" s="89"/>
      <c r="BH707" s="89"/>
      <c r="BI707" s="89"/>
      <c r="BJ707" s="89"/>
      <c r="BK707" s="89"/>
      <c r="BL707" s="89"/>
      <c r="BM707" s="89"/>
      <c r="BN707" s="89"/>
      <c r="BO707" s="89"/>
      <c r="BP707" s="89"/>
    </row>
    <row r="708" spans="1:68" s="56" customFormat="1" ht="29.25" hidden="1" customHeight="1">
      <c r="A708" s="204" t="str">
        <f>+IFERROR(VALUE(MID(AB708,4,4)),"")</f>
        <v/>
      </c>
      <c r="B708" s="204">
        <f>VALUE(RIGHT(C708,LEN(C708)-2))</f>
        <v>2015</v>
      </c>
      <c r="C708" s="74" t="s">
        <v>2719</v>
      </c>
      <c r="D708" s="75">
        <v>45384</v>
      </c>
      <c r="E708" s="70" t="s">
        <v>1634</v>
      </c>
      <c r="F708" s="70" t="s">
        <v>2720</v>
      </c>
      <c r="G708" s="68" t="s">
        <v>1636</v>
      </c>
      <c r="H708" s="282"/>
      <c r="I708" s="162" t="s">
        <v>2721</v>
      </c>
      <c r="J708" s="162"/>
      <c r="K708" s="68" t="s">
        <v>11</v>
      </c>
      <c r="L708" s="69" t="s">
        <v>123</v>
      </c>
      <c r="M708" s="71" t="s">
        <v>113</v>
      </c>
      <c r="N708" s="69" t="e" vm="4">
        <v>#VALUE!</v>
      </c>
      <c r="O708" s="164">
        <v>45401</v>
      </c>
      <c r="P708" s="72" t="s">
        <v>228</v>
      </c>
      <c r="Q708" s="72" t="s">
        <v>623</v>
      </c>
      <c r="R708" s="162"/>
      <c r="S708" s="146"/>
      <c r="T708" s="68" t="s">
        <v>165</v>
      </c>
      <c r="U708" s="87"/>
      <c r="V708" s="183">
        <v>45384</v>
      </c>
      <c r="W708" s="73">
        <v>10289</v>
      </c>
      <c r="X708" s="73">
        <f>12339*37250/1000000</f>
        <v>459.62774999999999</v>
      </c>
      <c r="Y708" s="83">
        <f>IF(SUM(W708:W708)&gt;0,X708/SUM(W708:W708)*1000000,"N/A")</f>
        <v>44671.761104091747</v>
      </c>
      <c r="Z708" s="183"/>
      <c r="AA708" s="183"/>
      <c r="AB708" s="73"/>
      <c r="AC708" s="153">
        <v>45541</v>
      </c>
      <c r="AD708" s="331"/>
      <c r="AE708" s="57"/>
      <c r="AF708" s="88"/>
      <c r="AG708" s="182">
        <f>YEAR(V708)</f>
        <v>2024</v>
      </c>
      <c r="AH708" s="86" t="str">
        <f>+IF(AF708=$AI$22,MONTH(U708),"")</f>
        <v/>
      </c>
      <c r="AI708" s="86" t="str">
        <f>+IF(AG708=$AI$22,MONTH(V708),"")</f>
        <v/>
      </c>
      <c r="AJ708" s="86">
        <f>+IF(AG708=$AJ$22,MONTH(V708),"")</f>
        <v>4</v>
      </c>
      <c r="AK708" s="86" t="str">
        <f>+IF(AG708=$AK$22,MONTH(V708),"")</f>
        <v/>
      </c>
      <c r="AL708" s="86"/>
      <c r="AM708" s="89"/>
      <c r="AN708" s="89"/>
      <c r="AO708" s="89"/>
      <c r="AP708" s="89"/>
      <c r="AQ708" s="89"/>
      <c r="AR708" s="89"/>
      <c r="AS708" s="89"/>
      <c r="AT708" s="89"/>
      <c r="AU708" s="89"/>
      <c r="AV708" s="89"/>
      <c r="AW708" s="86" t="str">
        <f>+IF($AG708=AW$22,MONTH($D708),"")</f>
        <v/>
      </c>
      <c r="AX708" s="86" t="str">
        <f>+IF($AG708=AX$22,MONTH($D708),"")</f>
        <v/>
      </c>
      <c r="AY708" s="89"/>
      <c r="AZ708" s="89"/>
      <c r="BA708" s="89"/>
      <c r="BB708" s="89"/>
      <c r="BC708" s="89"/>
      <c r="BD708" s="89"/>
      <c r="BE708" s="89"/>
      <c r="BF708" s="89"/>
      <c r="BG708" s="89"/>
      <c r="BH708" s="89"/>
      <c r="BI708" s="89"/>
      <c r="BJ708" s="89"/>
      <c r="BK708" s="89"/>
      <c r="BL708" s="89"/>
      <c r="BM708" s="89"/>
      <c r="BN708" s="89"/>
      <c r="BO708" s="89"/>
      <c r="BP708" s="89"/>
    </row>
    <row r="709" spans="1:68" s="56" customFormat="1" ht="26.25" hidden="1" customHeight="1">
      <c r="A709" s="204" t="str">
        <f>+IFERROR(VALUE(MID(AB709,4,4)),"")</f>
        <v/>
      </c>
      <c r="B709" s="204">
        <f>VALUE(RIGHT(C709,LEN(C709)-2))</f>
        <v>2014</v>
      </c>
      <c r="C709" s="74" t="s">
        <v>2722</v>
      </c>
      <c r="D709" s="75">
        <v>45383</v>
      </c>
      <c r="E709" s="70" t="s">
        <v>479</v>
      </c>
      <c r="F709" s="70" t="s">
        <v>479</v>
      </c>
      <c r="G709" s="68" t="s">
        <v>2723</v>
      </c>
      <c r="H709" s="282" t="s">
        <v>217</v>
      </c>
      <c r="I709" s="162" t="s">
        <v>2724</v>
      </c>
      <c r="J709" s="162"/>
      <c r="K709" s="68" t="s">
        <v>2725</v>
      </c>
      <c r="L709" s="69" t="s">
        <v>129</v>
      </c>
      <c r="M709" s="71" t="s">
        <v>113</v>
      </c>
      <c r="N709" s="69" t="e" vm="2">
        <v>#VALUE!</v>
      </c>
      <c r="O709" s="164">
        <v>45392</v>
      </c>
      <c r="P709" s="72" t="s">
        <v>294</v>
      </c>
      <c r="Q709" s="72" t="s">
        <v>229</v>
      </c>
      <c r="R709" s="162"/>
      <c r="S709" s="146"/>
      <c r="T709" s="68" t="s">
        <v>165</v>
      </c>
      <c r="U709" s="87">
        <v>0</v>
      </c>
      <c r="V709" s="183">
        <v>45383</v>
      </c>
      <c r="W709" s="150">
        <v>2629</v>
      </c>
      <c r="X709" s="150">
        <f>(502118.3*200)/1000000</f>
        <v>100.42366</v>
      </c>
      <c r="Y709" s="83">
        <f>IF(SUM(W709:W709)&gt;0,X709/SUM(W709:W709)*1000000,"N/A")</f>
        <v>38198.425256751616</v>
      </c>
      <c r="Z709" s="183"/>
      <c r="AA709" s="183"/>
      <c r="AB709" s="73"/>
      <c r="AC709" s="153">
        <v>45509</v>
      </c>
      <c r="AD709" s="331"/>
      <c r="AE709" s="57"/>
      <c r="AF709" s="88"/>
      <c r="AG709" s="182">
        <f>YEAR(V709)</f>
        <v>2024</v>
      </c>
      <c r="AH709" s="86" t="str">
        <f>+IF(AF709=$AI$22,MONTH(U709),"")</f>
        <v/>
      </c>
      <c r="AI709" s="86" t="str">
        <f>+IF(AG709=$AI$22,MONTH(V709),"")</f>
        <v/>
      </c>
      <c r="AJ709" s="86">
        <f>+IF(AG709=$AJ$22,MONTH(V709),"")</f>
        <v>4</v>
      </c>
      <c r="AK709" s="86" t="str">
        <f>+IF(AG709=$AK$22,MONTH(V709),"")</f>
        <v/>
      </c>
      <c r="AL709" s="86"/>
      <c r="AM709" s="89"/>
      <c r="AN709" s="89"/>
      <c r="AO709" s="89"/>
      <c r="AP709" s="89"/>
      <c r="AQ709" s="89"/>
      <c r="AR709" s="89"/>
      <c r="AS709" s="89"/>
      <c r="AT709" s="89"/>
      <c r="AU709" s="89"/>
      <c r="AV709" s="89"/>
      <c r="AW709" s="86" t="str">
        <f>+IF($AG709=AW$22,MONTH($D709),"")</f>
        <v/>
      </c>
      <c r="AX709" s="86" t="str">
        <f>+IF($AG709=AX$22,MONTH($D709),"")</f>
        <v/>
      </c>
      <c r="AY709" s="89"/>
      <c r="AZ709" s="89"/>
      <c r="BA709" s="89"/>
      <c r="BB709" s="89"/>
      <c r="BC709" s="89"/>
      <c r="BD709" s="89"/>
      <c r="BE709" s="89"/>
      <c r="BF709" s="89"/>
      <c r="BG709" s="89"/>
      <c r="BH709" s="89"/>
      <c r="BI709" s="89"/>
      <c r="BJ709" s="89"/>
      <c r="BK709" s="89"/>
      <c r="BL709" s="89"/>
      <c r="BM709" s="89"/>
      <c r="BN709" s="89"/>
      <c r="BO709" s="89"/>
      <c r="BP709" s="89"/>
    </row>
    <row r="710" spans="1:68" s="56" customFormat="1" ht="26.25" hidden="1" customHeight="1">
      <c r="A710" s="204">
        <f>+IFERROR(VALUE(MID(AB710,4,4)),"")</f>
        <v>379</v>
      </c>
      <c r="B710" s="204">
        <f>VALUE(RIGHT(C710,LEN(C710)-2))</f>
        <v>2013</v>
      </c>
      <c r="C710" s="74" t="s">
        <v>2726</v>
      </c>
      <c r="D710" s="75">
        <v>45379</v>
      </c>
      <c r="E710" s="70" t="s">
        <v>2349</v>
      </c>
      <c r="F710" s="70" t="s">
        <v>2269</v>
      </c>
      <c r="G710" s="68" t="s">
        <v>2616</v>
      </c>
      <c r="H710" s="282" t="s">
        <v>2727</v>
      </c>
      <c r="I710" s="69" t="s">
        <v>2728</v>
      </c>
      <c r="J710" s="69"/>
      <c r="K710" s="68" t="s">
        <v>25</v>
      </c>
      <c r="L710" s="69" t="s">
        <v>120</v>
      </c>
      <c r="M710" s="71" t="s">
        <v>141</v>
      </c>
      <c r="N710" s="69" t="e" vm="1">
        <v>#VALUE!</v>
      </c>
      <c r="O710" s="84">
        <v>45384</v>
      </c>
      <c r="P710" s="72" t="s">
        <v>228</v>
      </c>
      <c r="Q710" s="72" t="s">
        <v>316</v>
      </c>
      <c r="R710" s="162"/>
      <c r="S710" s="146"/>
      <c r="T710" s="68" t="s">
        <v>3</v>
      </c>
      <c r="U710" s="87"/>
      <c r="V710" s="80">
        <v>45384</v>
      </c>
      <c r="W710" s="73">
        <v>115</v>
      </c>
      <c r="X710" s="73">
        <v>6.1</v>
      </c>
      <c r="Y710" s="83">
        <f>IF(SUM(W710:W710)&gt;0,X710/SUM(W710:W710)*1000000,"N/A")</f>
        <v>53043.47826086956</v>
      </c>
      <c r="Z710" s="80"/>
      <c r="AA710" s="80"/>
      <c r="AB710" s="73" t="s">
        <v>2729</v>
      </c>
      <c r="AC710" s="153"/>
      <c r="AD710" s="331"/>
      <c r="AE710" s="57"/>
      <c r="AF710" s="88"/>
      <c r="AG710" s="182">
        <f>YEAR(V710)</f>
        <v>2024</v>
      </c>
      <c r="AH710" s="86" t="str">
        <f>+IF(AF710=$AI$22,MONTH(U710),"")</f>
        <v/>
      </c>
      <c r="AI710" s="86" t="str">
        <f>+IF(AG710=$AI$22,MONTH(V710),"")</f>
        <v/>
      </c>
      <c r="AJ710" s="86">
        <f>+IF(AG710=$AJ$22,MONTH(V710),"")</f>
        <v>4</v>
      </c>
      <c r="AK710" s="86" t="str">
        <f>+IF(AG710=$AK$22,MONTH(V710),"")</f>
        <v/>
      </c>
      <c r="AL710" s="86" t="str">
        <f>+IF(AG710=$AL$22,MONTH(V710),"")</f>
        <v/>
      </c>
      <c r="AM710" s="86" t="str">
        <f>+IF($AG710=$AM$22,MONTH($D710),"")</f>
        <v/>
      </c>
      <c r="AN710" s="89" t="str">
        <f>+IF($AG710=AN$22,MONTH($D710),"")</f>
        <v/>
      </c>
      <c r="AO710" s="89" t="str">
        <f>+IF($AG710=AO$22,MONTH($D710),"")</f>
        <v/>
      </c>
      <c r="AP710" s="89" t="str">
        <f>+IF($AG710=AP$22,MONTH($D710),"")</f>
        <v/>
      </c>
      <c r="AQ710" s="89" t="str">
        <f>+IF($AG710=AQ$22,MONTH($D710),"")</f>
        <v/>
      </c>
      <c r="AR710" s="89" t="str">
        <f>+IF($AG710=AR$22,MONTH($D710),"")</f>
        <v/>
      </c>
      <c r="AS710" s="89" t="str">
        <f>+IF($AG710=AS$22,MONTH($D710),"")</f>
        <v/>
      </c>
      <c r="AT710" s="89" t="str">
        <f>+IF($AG710=AT$22,MONTH($D710),"")</f>
        <v/>
      </c>
      <c r="AU710" s="89" t="str">
        <f>+IF($AG710=AU$22,MONTH($D710),"")</f>
        <v/>
      </c>
      <c r="AV710" s="89" t="str">
        <f>+IF($AG710=AV$22,MONTH($D710),"")</f>
        <v/>
      </c>
      <c r="AW710" s="86" t="str">
        <f>+IF($AG710=AW$22,MONTH($D710),"")</f>
        <v/>
      </c>
      <c r="AX710" s="86" t="str">
        <f>+IF($AG710=AX$22,MONTH($D710),"")</f>
        <v/>
      </c>
      <c r="AY710" s="89"/>
      <c r="AZ710" s="89"/>
      <c r="BA710" s="89"/>
      <c r="BB710" s="89"/>
      <c r="BC710" s="89"/>
      <c r="BD710" s="89"/>
      <c r="BE710" s="89"/>
      <c r="BF710" s="89"/>
      <c r="BG710" s="89"/>
      <c r="BH710" s="89"/>
      <c r="BI710" s="89"/>
      <c r="BJ710" s="89"/>
      <c r="BK710" s="89"/>
      <c r="BL710" s="89"/>
      <c r="BM710" s="89"/>
      <c r="BN710" s="89"/>
      <c r="BO710" s="89"/>
      <c r="BP710" s="89"/>
    </row>
    <row r="711" spans="1:68" s="56" customFormat="1" ht="26.25" hidden="1" customHeight="1">
      <c r="A711" s="204" t="str">
        <f>+IFERROR(VALUE(MID(AB711,4,4)),"")</f>
        <v/>
      </c>
      <c r="B711" s="204">
        <f>VALUE(RIGHT(C711,LEN(C711)-2))</f>
        <v>2012</v>
      </c>
      <c r="C711" s="74" t="s">
        <v>2730</v>
      </c>
      <c r="D711" s="75">
        <v>45377</v>
      </c>
      <c r="E711" s="70" t="s">
        <v>2731</v>
      </c>
      <c r="F711" s="70" t="s">
        <v>2731</v>
      </c>
      <c r="G711" s="68" t="s">
        <v>2732</v>
      </c>
      <c r="H711" s="282" t="s">
        <v>2733</v>
      </c>
      <c r="I711" s="162" t="s">
        <v>2734</v>
      </c>
      <c r="J711" s="162"/>
      <c r="K711" s="68" t="s">
        <v>9</v>
      </c>
      <c r="L711" s="69" t="s">
        <v>120</v>
      </c>
      <c r="M711" s="71" t="s">
        <v>141</v>
      </c>
      <c r="N711" s="69" t="e" vm="1">
        <v>#VALUE!</v>
      </c>
      <c r="O711" s="164">
        <v>45384</v>
      </c>
      <c r="P711" s="72" t="s">
        <v>2735</v>
      </c>
      <c r="Q711" s="72" t="s">
        <v>316</v>
      </c>
      <c r="R711" s="162"/>
      <c r="S711" s="146"/>
      <c r="T711" s="68" t="s">
        <v>165</v>
      </c>
      <c r="U711" s="87"/>
      <c r="V711" s="183">
        <v>45378</v>
      </c>
      <c r="W711" s="73">
        <v>1500</v>
      </c>
      <c r="X711" s="73">
        <f>1899*37000/1000000</f>
        <v>70.263000000000005</v>
      </c>
      <c r="Y711" s="169">
        <f>IF(SUM(W711:W711)&gt;0,X711/SUM(W711:W711)*1000000,"N/A")</f>
        <v>46842</v>
      </c>
      <c r="Z711" s="183"/>
      <c r="AA711" s="183"/>
      <c r="AB711" s="73"/>
      <c r="AC711" s="153"/>
      <c r="AD711" s="331"/>
      <c r="AE711" s="57"/>
      <c r="AF711" s="88"/>
      <c r="AG711" s="182">
        <f>YEAR(V711)</f>
        <v>2024</v>
      </c>
      <c r="AH711" s="86" t="str">
        <f>+IF(AF711=$AI$22,MONTH(U711),"")</f>
        <v/>
      </c>
      <c r="AI711" s="86" t="str">
        <f>+IF(AG711=$AI$22,MONTH(V711),"")</f>
        <v/>
      </c>
      <c r="AJ711" s="86">
        <f>+IF(AG711=$AJ$22,MONTH(V711),"")</f>
        <v>3</v>
      </c>
      <c r="AK711" s="86" t="str">
        <f>+IF(AG711=$AK$22,MONTH(V711),"")</f>
        <v/>
      </c>
      <c r="AL711" s="86" t="str">
        <f>+IF(AG711=$AL$22,MONTH(V711),"")</f>
        <v/>
      </c>
      <c r="AM711" s="86" t="str">
        <f>+IF($AG711=$AM$22,MONTH($D711),"")</f>
        <v/>
      </c>
      <c r="AN711" s="89" t="str">
        <f>+IF($AG711=AN$22,MONTH($D711),"")</f>
        <v/>
      </c>
      <c r="AO711" s="89" t="str">
        <f>+IF($AG711=AO$22,MONTH($D711),"")</f>
        <v/>
      </c>
      <c r="AP711" s="89" t="str">
        <f>+IF($AG711=AP$22,MONTH($D711),"")</f>
        <v/>
      </c>
      <c r="AQ711" s="89" t="str">
        <f>+IF($AG711=AQ$22,MONTH($D711),"")</f>
        <v/>
      </c>
      <c r="AR711" s="89" t="str">
        <f>+IF($AG711=AR$22,MONTH($D711),"")</f>
        <v/>
      </c>
      <c r="AS711" s="89" t="str">
        <f>+IF($AG711=AS$22,MONTH($D711),"")</f>
        <v/>
      </c>
      <c r="AT711" s="89" t="str">
        <f>+IF($AG711=AT$22,MONTH($D711),"")</f>
        <v/>
      </c>
      <c r="AU711" s="89" t="str">
        <f>+IF($AG711=AU$22,MONTH($D711),"")</f>
        <v/>
      </c>
      <c r="AV711" s="89" t="str">
        <f>+IF($AG711=AV$22,MONTH($D711),"")</f>
        <v/>
      </c>
      <c r="AW711" s="86" t="str">
        <f>+IF($AG711=AW$22,MONTH($D711),"")</f>
        <v/>
      </c>
      <c r="AX711" s="86" t="str">
        <f>+IF($AG711=AX$22,MONTH($D711),"")</f>
        <v/>
      </c>
      <c r="AY711" s="89"/>
      <c r="AZ711" s="89"/>
      <c r="BA711" s="89"/>
      <c r="BB711" s="89"/>
      <c r="BC711" s="89"/>
      <c r="BD711" s="89"/>
      <c r="BE711" s="89"/>
      <c r="BF711" s="89"/>
      <c r="BG711" s="89"/>
      <c r="BH711" s="89"/>
      <c r="BI711" s="89"/>
      <c r="BJ711" s="89"/>
      <c r="BK711" s="89"/>
      <c r="BL711" s="89"/>
      <c r="BM711" s="89"/>
      <c r="BN711" s="89"/>
      <c r="BO711" s="89"/>
      <c r="BP711" s="89"/>
    </row>
    <row r="712" spans="1:68" s="89" customFormat="1" ht="26.25" hidden="1" customHeight="1">
      <c r="A712" s="204" t="str">
        <f>+IFERROR(VALUE(MID(AB712,4,4)),"")</f>
        <v/>
      </c>
      <c r="B712" s="204">
        <f>VALUE(RIGHT(C712,LEN(C712)-2))</f>
        <v>2011</v>
      </c>
      <c r="C712" s="74" t="s">
        <v>2736</v>
      </c>
      <c r="D712" s="75">
        <v>45377</v>
      </c>
      <c r="E712" s="70" t="s">
        <v>277</v>
      </c>
      <c r="F712" s="70" t="s">
        <v>277</v>
      </c>
      <c r="G712" s="68" t="s">
        <v>2737</v>
      </c>
      <c r="H712" s="59" t="s">
        <v>210</v>
      </c>
      <c r="I712" s="162" t="s">
        <v>2738</v>
      </c>
      <c r="J712" s="162"/>
      <c r="K712" s="68" t="s">
        <v>227</v>
      </c>
      <c r="L712" s="68" t="s">
        <v>123</v>
      </c>
      <c r="M712" s="68" t="s">
        <v>141</v>
      </c>
      <c r="N712" s="69" t="e" vm="1">
        <v>#VALUE!</v>
      </c>
      <c r="O712" s="164">
        <v>45394</v>
      </c>
      <c r="P712" s="72" t="s">
        <v>424</v>
      </c>
      <c r="Q712" s="72" t="s">
        <v>316</v>
      </c>
      <c r="R712" s="162"/>
      <c r="S712" s="146" t="s">
        <v>2739</v>
      </c>
      <c r="T712" s="68" t="s">
        <v>3</v>
      </c>
      <c r="U712" s="87"/>
      <c r="V712" s="183">
        <v>45611</v>
      </c>
      <c r="W712" s="73"/>
      <c r="X712" s="73"/>
      <c r="Y712" s="169" t="str">
        <f>IF(SUM(W712:W712)&gt;0,X712/SUM(W712:W712)*1000000,"N/A")</f>
        <v>N/A</v>
      </c>
      <c r="Z712" s="183"/>
      <c r="AA712" s="183"/>
      <c r="AB712" s="73"/>
      <c r="AC712" s="331" t="s">
        <v>134</v>
      </c>
      <c r="AD712" s="331" t="s">
        <v>134</v>
      </c>
      <c r="AE712" s="57"/>
      <c r="AF712" s="88"/>
      <c r="AG712" s="182">
        <f>YEAR(V712)</f>
        <v>2024</v>
      </c>
      <c r="AH712" s="86" t="str">
        <f>+IF(AF712=$AI$22,MONTH(U712),"")</f>
        <v/>
      </c>
      <c r="AI712" s="86" t="str">
        <f>+IF(AG712=$AI$22,MONTH(V712),"")</f>
        <v/>
      </c>
      <c r="AJ712" s="86">
        <f>+IF(AG712=$AJ$22,MONTH(V712),"")</f>
        <v>11</v>
      </c>
      <c r="AK712" s="86" t="str">
        <f>+IF(AG712=$AK$22,MONTH(V712),"")</f>
        <v/>
      </c>
      <c r="AL712" s="86" t="str">
        <f>+IF(AG712=$AL$22,MONTH(V712),"")</f>
        <v/>
      </c>
      <c r="AM712" s="86" t="str">
        <f>+IF($AG712=$AM$22,MONTH($D712),"")</f>
        <v/>
      </c>
      <c r="AN712" s="89" t="str">
        <f>+IF($AG712=AN$22,MONTH($D712),"")</f>
        <v/>
      </c>
      <c r="AO712" s="89" t="str">
        <f>+IF($AG712=AO$22,MONTH($D712),"")</f>
        <v/>
      </c>
      <c r="AP712" s="89" t="str">
        <f>+IF($AG712=AP$22,MONTH($D712),"")</f>
        <v/>
      </c>
      <c r="AQ712" s="89" t="str">
        <f>+IF($AG712=AQ$22,MONTH($D712),"")</f>
        <v/>
      </c>
      <c r="AR712" s="89" t="str">
        <f>+IF($AG712=AR$22,MONTH($D712),"")</f>
        <v/>
      </c>
      <c r="AS712" s="89" t="str">
        <f>+IF($AG712=AS$22,MONTH($D712),"")</f>
        <v/>
      </c>
      <c r="AT712" s="89" t="str">
        <f>+IF($AG712=AT$22,MONTH($D712),"")</f>
        <v/>
      </c>
      <c r="AU712" s="89" t="str">
        <f>+IF($AG712=AU$22,MONTH($D712),"")</f>
        <v/>
      </c>
      <c r="AV712" s="89" t="str">
        <f>+IF($AG712=AV$22,MONTH($D712),"")</f>
        <v/>
      </c>
      <c r="AW712" s="86" t="str">
        <f>+IF($AG712=AW$22,MONTH($D712),"")</f>
        <v/>
      </c>
      <c r="AX712" s="86" t="str">
        <f>+IF($AG712=AX$22,MONTH($D712),"")</f>
        <v/>
      </c>
    </row>
    <row r="713" spans="1:68" s="312" customFormat="1" ht="26.25" hidden="1" customHeight="1">
      <c r="A713" s="204">
        <f>+IFERROR(VALUE(MID(AB713,4,4)),"")</f>
        <v>381</v>
      </c>
      <c r="B713" s="204">
        <f>VALUE(RIGHT(C713,LEN(C713)-2))</f>
        <v>2010</v>
      </c>
      <c r="C713" s="74" t="s">
        <v>2740</v>
      </c>
      <c r="D713" s="75">
        <v>45377</v>
      </c>
      <c r="E713" s="70" t="s">
        <v>262</v>
      </c>
      <c r="F713" s="70" t="s">
        <v>270</v>
      </c>
      <c r="G713" s="68" t="s">
        <v>2299</v>
      </c>
      <c r="H713" s="282" t="s">
        <v>2300</v>
      </c>
      <c r="I713" s="69" t="s">
        <v>2741</v>
      </c>
      <c r="J713" s="69"/>
      <c r="K713" s="68" t="s">
        <v>14</v>
      </c>
      <c r="L713" s="68" t="s">
        <v>120</v>
      </c>
      <c r="M713" s="68" t="s">
        <v>141</v>
      </c>
      <c r="N713" s="69" t="e" vm="1">
        <v>#VALUE!</v>
      </c>
      <c r="O713" s="84">
        <v>45379</v>
      </c>
      <c r="P713" s="72" t="s">
        <v>666</v>
      </c>
      <c r="Q713" s="72" t="s">
        <v>1097</v>
      </c>
      <c r="R713" s="162"/>
      <c r="S713" s="146"/>
      <c r="T713" s="68" t="s">
        <v>3</v>
      </c>
      <c r="U713" s="87"/>
      <c r="V713" s="80">
        <v>45390</v>
      </c>
      <c r="W713" s="73">
        <v>1061</v>
      </c>
      <c r="X713" s="73">
        <v>49</v>
      </c>
      <c r="Y713" s="169">
        <f>IF(SUM(W713:W713)&gt;0,X713/SUM(W713:W713)*1000000,"N/A")</f>
        <v>46182.846371347783</v>
      </c>
      <c r="Z713" s="80"/>
      <c r="AA713" s="80"/>
      <c r="AB713" s="73" t="s">
        <v>2742</v>
      </c>
      <c r="AC713" s="371" t="s">
        <v>134</v>
      </c>
      <c r="AD713" s="331" t="s">
        <v>134</v>
      </c>
      <c r="AE713" s="57"/>
      <c r="AF713" s="88"/>
      <c r="AG713" s="182">
        <f>YEAR(V713)</f>
        <v>2024</v>
      </c>
      <c r="AH713" s="86" t="str">
        <f>+IF(AF713=$AI$22,MONTH(U713),"")</f>
        <v/>
      </c>
      <c r="AI713" s="86" t="str">
        <f>+IF(AG713=$AI$22,MONTH(V713),"")</f>
        <v/>
      </c>
      <c r="AJ713" s="86">
        <f>+IF(AG713=$AJ$22,MONTH(V713),"")</f>
        <v>4</v>
      </c>
      <c r="AK713" s="86" t="str">
        <f>+IF(AG713=$AK$22,MONTH(V713),"")</f>
        <v/>
      </c>
      <c r="AL713" s="86" t="str">
        <f>+IF(AG713=$AL$22,MONTH(V713),"")</f>
        <v/>
      </c>
      <c r="AM713" s="86" t="str">
        <f>+IF($AG713=$AM$22,MONTH($D713),"")</f>
        <v/>
      </c>
      <c r="AN713" s="89" t="str">
        <f>+IF($AG713=AN$22,MONTH($D713),"")</f>
        <v/>
      </c>
      <c r="AO713" s="89" t="str">
        <f>+IF($AG713=AO$22,MONTH($D713),"")</f>
        <v/>
      </c>
      <c r="AP713" s="89" t="str">
        <f>+IF($AG713=AP$22,MONTH($D713),"")</f>
        <v/>
      </c>
      <c r="AQ713" s="89" t="str">
        <f>+IF($AG713=AQ$22,MONTH($D713),"")</f>
        <v/>
      </c>
      <c r="AR713" s="89" t="str">
        <f>+IF($AG713=AR$22,MONTH($D713),"")</f>
        <v/>
      </c>
      <c r="AS713" s="89" t="str">
        <f>+IF($AG713=AS$22,MONTH($D713),"")</f>
        <v/>
      </c>
      <c r="AT713" s="89" t="str">
        <f>+IF($AG713=AT$22,MONTH($D713),"")</f>
        <v/>
      </c>
      <c r="AU713" s="89" t="str">
        <f>+IF($AG713=AU$22,MONTH($D713),"")</f>
        <v/>
      </c>
      <c r="AV713" s="89" t="str">
        <f>+IF($AG713=AV$22,MONTH($D713),"")</f>
        <v/>
      </c>
      <c r="AW713" s="86" t="str">
        <f>+IF($AG713=AW$22,MONTH($D713),"")</f>
        <v/>
      </c>
      <c r="AX713" s="86" t="str">
        <f>+IF($AG713=AX$22,MONTH($D713),"")</f>
        <v/>
      </c>
      <c r="AY713" s="89"/>
      <c r="AZ713" s="89"/>
      <c r="BA713" s="89"/>
      <c r="BB713" s="89"/>
      <c r="BC713" s="89"/>
      <c r="BD713" s="89"/>
      <c r="BE713" s="89"/>
      <c r="BF713" s="89"/>
      <c r="BG713" s="89"/>
      <c r="BH713" s="89"/>
      <c r="BI713" s="89"/>
      <c r="BJ713" s="89"/>
      <c r="BK713" s="89"/>
      <c r="BL713" s="89"/>
      <c r="BM713" s="89"/>
      <c r="BN713" s="89"/>
      <c r="BO713" s="89"/>
      <c r="BP713" s="89"/>
    </row>
    <row r="714" spans="1:68" s="56" customFormat="1" ht="26.25" hidden="1" customHeight="1">
      <c r="A714" s="204">
        <f>+IFERROR(VALUE(MID(AB714,4,4)),"")</f>
        <v>378</v>
      </c>
      <c r="B714" s="204">
        <f>VALUE(RIGHT(C714,LEN(C714)-2))</f>
        <v>2009</v>
      </c>
      <c r="C714" s="74" t="s">
        <v>2743</v>
      </c>
      <c r="D714" s="75">
        <v>45369</v>
      </c>
      <c r="E714" s="70" t="s">
        <v>685</v>
      </c>
      <c r="F714" s="70" t="s">
        <v>685</v>
      </c>
      <c r="G714" s="68" t="s">
        <v>931</v>
      </c>
      <c r="H714" s="59" t="s">
        <v>2377</v>
      </c>
      <c r="I714" s="69" t="s">
        <v>2744</v>
      </c>
      <c r="J714" s="69"/>
      <c r="K714" s="95" t="s">
        <v>9</v>
      </c>
      <c r="L714" s="69" t="s">
        <v>120</v>
      </c>
      <c r="M714" s="71" t="s">
        <v>141</v>
      </c>
      <c r="N714" s="69" t="e" vm="1">
        <v>#VALUE!</v>
      </c>
      <c r="O714" s="84">
        <v>45369</v>
      </c>
      <c r="P714" s="82" t="s">
        <v>749</v>
      </c>
      <c r="Q714" s="82" t="s">
        <v>229</v>
      </c>
      <c r="R714" s="69"/>
      <c r="S714" s="146"/>
      <c r="T714" s="68" t="s">
        <v>3</v>
      </c>
      <c r="U714" s="87"/>
      <c r="V714" s="183">
        <v>45370</v>
      </c>
      <c r="W714" s="150">
        <v>158</v>
      </c>
      <c r="X714" s="150">
        <v>7.4</v>
      </c>
      <c r="Y714" s="169">
        <f>IF(SUM(W714:W714)&gt;0,X714/SUM(W714:W714)*1000000,"N/A")</f>
        <v>46835.443037974685</v>
      </c>
      <c r="Z714" s="183"/>
      <c r="AA714" s="183"/>
      <c r="AB714" s="73" t="s">
        <v>2745</v>
      </c>
      <c r="AC714" s="153"/>
      <c r="AD714" s="331"/>
      <c r="AE714" s="57"/>
      <c r="AF714" s="88"/>
      <c r="AG714" s="182">
        <f>YEAR(V714)</f>
        <v>2024</v>
      </c>
      <c r="AH714" s="86" t="str">
        <f>+IF(AF714=$AI$22,MONTH(U714),"")</f>
        <v/>
      </c>
      <c r="AI714" s="86" t="str">
        <f>+IF(AG714=$AI$22,MONTH(V714),"")</f>
        <v/>
      </c>
      <c r="AJ714" s="86">
        <f>+IF(AG714=$AJ$22,MONTH(V714),"")</f>
        <v>3</v>
      </c>
      <c r="AK714" s="86" t="str">
        <f>+IF(AG714=$AK$22,MONTH(V714),"")</f>
        <v/>
      </c>
      <c r="AL714" s="86" t="str">
        <f>+IF(AG714=$AL$22,MONTH(V714),"")</f>
        <v/>
      </c>
      <c r="AM714" s="86" t="str">
        <f>+IF($AG714=$AM$22,MONTH($D714),"")</f>
        <v/>
      </c>
      <c r="AN714" s="89" t="str">
        <f>+IF($AG714=AN$22,MONTH($D714),"")</f>
        <v/>
      </c>
      <c r="AO714" s="89" t="str">
        <f>+IF($AG714=AO$22,MONTH($D714),"")</f>
        <v/>
      </c>
      <c r="AP714" s="89" t="str">
        <f>+IF($AG714=AP$22,MONTH($D714),"")</f>
        <v/>
      </c>
      <c r="AQ714" s="89" t="str">
        <f>+IF($AG714=AQ$22,MONTH($D714),"")</f>
        <v/>
      </c>
      <c r="AR714" s="89" t="str">
        <f>+IF($AG714=AR$22,MONTH($D714),"")</f>
        <v/>
      </c>
      <c r="AS714" s="89" t="str">
        <f>+IF($AG714=AS$22,MONTH($D714),"")</f>
        <v/>
      </c>
      <c r="AT714" s="89" t="str">
        <f>+IF($AG714=AT$22,MONTH($D714),"")</f>
        <v/>
      </c>
      <c r="AU714" s="89" t="str">
        <f>+IF($AG714=AU$22,MONTH($D714),"")</f>
        <v/>
      </c>
      <c r="AV714" s="89" t="str">
        <f>+IF($AG714=AV$22,MONTH($D714),"")</f>
        <v/>
      </c>
      <c r="AW714" s="86" t="str">
        <f>+IF($AG714=AW$22,MONTH($D714),"")</f>
        <v/>
      </c>
      <c r="AX714" s="86" t="str">
        <f>+IF($AG714=AX$22,MONTH($D714),"")</f>
        <v/>
      </c>
      <c r="AY714" s="89"/>
      <c r="AZ714" s="89"/>
      <c r="BA714" s="89"/>
      <c r="BB714" s="89"/>
      <c r="BC714" s="89"/>
      <c r="BD714" s="89"/>
      <c r="BE714" s="89"/>
      <c r="BF714" s="89"/>
      <c r="BG714" s="89"/>
      <c r="BH714" s="89"/>
      <c r="BI714" s="89"/>
      <c r="BJ714" s="89"/>
      <c r="BK714" s="89"/>
      <c r="BL714" s="89"/>
      <c r="BM714" s="89"/>
      <c r="BN714" s="89"/>
      <c r="BO714" s="89"/>
      <c r="BP714" s="89"/>
    </row>
    <row r="715" spans="1:68" s="89" customFormat="1" ht="26.25" hidden="1" customHeight="1">
      <c r="A715" s="204">
        <f>+IFERROR(VALUE(MID(AB715,4,4)),"")</f>
        <v>410</v>
      </c>
      <c r="B715" s="204">
        <f>VALUE(RIGHT(C715,LEN(C715)-2))</f>
        <v>2008</v>
      </c>
      <c r="C715" s="74" t="s">
        <v>2746</v>
      </c>
      <c r="D715" s="75">
        <v>45366</v>
      </c>
      <c r="E715" s="70" t="s">
        <v>262</v>
      </c>
      <c r="F715" s="70" t="s">
        <v>270</v>
      </c>
      <c r="G715" s="68" t="s">
        <v>2747</v>
      </c>
      <c r="H715" s="282" t="s">
        <v>2748</v>
      </c>
      <c r="I715" s="69" t="s">
        <v>2749</v>
      </c>
      <c r="J715" s="69"/>
      <c r="K715" s="68" t="s">
        <v>13</v>
      </c>
      <c r="L715" s="68" t="s">
        <v>120</v>
      </c>
      <c r="M715" s="68" t="s">
        <v>141</v>
      </c>
      <c r="N715" s="69" t="e" vm="1">
        <v>#VALUE!</v>
      </c>
      <c r="O715" s="84">
        <v>45567</v>
      </c>
      <c r="P715" s="72" t="s">
        <v>749</v>
      </c>
      <c r="Q715" s="72" t="s">
        <v>1097</v>
      </c>
      <c r="R715" s="162"/>
      <c r="S715" s="146" t="s">
        <v>2750</v>
      </c>
      <c r="T715" s="68" t="s">
        <v>3</v>
      </c>
      <c r="U715" s="87"/>
      <c r="V715" s="80">
        <v>45606</v>
      </c>
      <c r="W715" s="73">
        <v>18905</v>
      </c>
      <c r="X715" s="73">
        <v>949.5</v>
      </c>
      <c r="Y715" s="169">
        <f>IF(SUM(W715:W715)&gt;0,X715/SUM(W715:W715)*1000000,"N/A")</f>
        <v>50224.808251785238</v>
      </c>
      <c r="Z715" s="80"/>
      <c r="AA715" s="80"/>
      <c r="AB715" s="73" t="s">
        <v>2751</v>
      </c>
      <c r="AC715" s="153"/>
      <c r="AD715" s="331"/>
      <c r="AE715" s="57"/>
      <c r="AF715" s="88"/>
      <c r="AG715" s="182">
        <f>YEAR(V715)</f>
        <v>2024</v>
      </c>
      <c r="AH715" s="86" t="str">
        <f>+IF(AF715=$AI$22,MONTH(U715),"")</f>
        <v/>
      </c>
      <c r="AI715" s="86" t="str">
        <f>+IF(AG715=$AI$22,MONTH(V715),"")</f>
        <v/>
      </c>
      <c r="AJ715" s="86">
        <f>+IF(AG715=$AJ$22,MONTH(V715),"")</f>
        <v>11</v>
      </c>
      <c r="AK715" s="86" t="str">
        <f>+IF(AG715=$AK$22,MONTH(V715),"")</f>
        <v/>
      </c>
      <c r="AL715" s="86" t="str">
        <f>+IF(AG715=$AL$22,MONTH(V715),"")</f>
        <v/>
      </c>
      <c r="AM715" s="86" t="str">
        <f>+IF($AG715=$AM$22,MONTH($D715),"")</f>
        <v/>
      </c>
      <c r="AN715" s="89" t="str">
        <f>+IF($AG715=AN$22,MONTH($D715),"")</f>
        <v/>
      </c>
      <c r="AO715" s="89" t="str">
        <f>+IF($AG715=AO$22,MONTH($D715),"")</f>
        <v/>
      </c>
      <c r="AP715" s="89" t="str">
        <f>+IF($AG715=AP$22,MONTH($D715),"")</f>
        <v/>
      </c>
      <c r="AQ715" s="89" t="str">
        <f>+IF($AG715=AQ$22,MONTH($D715),"")</f>
        <v/>
      </c>
      <c r="AR715" s="89" t="str">
        <f>+IF($AG715=AR$22,MONTH($D715),"")</f>
        <v/>
      </c>
      <c r="AS715" s="89" t="str">
        <f>+IF($AG715=AS$22,MONTH($D715),"")</f>
        <v/>
      </c>
      <c r="AT715" s="89" t="str">
        <f>+IF($AG715=AT$22,MONTH($D715),"")</f>
        <v/>
      </c>
      <c r="AU715" s="89" t="str">
        <f>+IF($AG715=AU$22,MONTH($D715),"")</f>
        <v/>
      </c>
      <c r="AV715" s="89" t="str">
        <f>+IF($AG715=AV$22,MONTH($D715),"")</f>
        <v/>
      </c>
      <c r="AW715" s="86" t="str">
        <f>+IF($AG715=AW$22,MONTH($D715),"")</f>
        <v/>
      </c>
      <c r="AX715" s="86" t="str">
        <f>+IF($AG715=AX$22,MONTH($D715),"")</f>
        <v/>
      </c>
    </row>
    <row r="716" spans="1:68" s="56" customFormat="1" ht="26.25" hidden="1" customHeight="1">
      <c r="A716" s="204">
        <f>+IFERROR(VALUE(MID(AB716,4,4)),"")</f>
        <v>364</v>
      </c>
      <c r="B716" s="204">
        <f>VALUE(RIGHT(C716,LEN(C716)-2))</f>
        <v>2007</v>
      </c>
      <c r="C716" s="74" t="s">
        <v>2752</v>
      </c>
      <c r="D716" s="75">
        <v>45366</v>
      </c>
      <c r="E716" s="70" t="s">
        <v>262</v>
      </c>
      <c r="F716" s="70" t="s">
        <v>270</v>
      </c>
      <c r="G716" s="68" t="s">
        <v>1415</v>
      </c>
      <c r="H716" s="282" t="s">
        <v>494</v>
      </c>
      <c r="I716" s="69" t="s">
        <v>2753</v>
      </c>
      <c r="J716" s="69"/>
      <c r="K716" s="68" t="s">
        <v>14</v>
      </c>
      <c r="L716" s="69" t="s">
        <v>120</v>
      </c>
      <c r="M716" s="71" t="s">
        <v>141</v>
      </c>
      <c r="N716" s="69" t="e" vm="1">
        <v>#VALUE!</v>
      </c>
      <c r="O716" s="84">
        <v>45366</v>
      </c>
      <c r="P716" s="72" t="s">
        <v>402</v>
      </c>
      <c r="Q716" s="72" t="s">
        <v>1097</v>
      </c>
      <c r="R716" s="162"/>
      <c r="S716" s="146"/>
      <c r="T716" s="94" t="s">
        <v>3</v>
      </c>
      <c r="U716" s="87"/>
      <c r="V716" s="80">
        <v>45483</v>
      </c>
      <c r="W716" s="73">
        <v>106</v>
      </c>
      <c r="X716" s="73">
        <v>5</v>
      </c>
      <c r="Y716" s="169">
        <f>IF(SUM(W716:W716)&gt;0,X716/SUM(W716:W716)*1000000,"N/A")</f>
        <v>47169.811320754721</v>
      </c>
      <c r="Z716" s="80"/>
      <c r="AA716" s="80"/>
      <c r="AB716" s="73" t="s">
        <v>2754</v>
      </c>
      <c r="AC716" s="153"/>
      <c r="AD716" s="331"/>
      <c r="AE716" s="57"/>
      <c r="AF716" s="88"/>
      <c r="AG716" s="182">
        <f>YEAR(V716)</f>
        <v>2024</v>
      </c>
      <c r="AH716" s="86" t="str">
        <f>+IF(AF716=$AI$22,MONTH(U716),"")</f>
        <v/>
      </c>
      <c r="AI716" s="86" t="str">
        <f>+IF(AG716=$AI$22,MONTH(V716),"")</f>
        <v/>
      </c>
      <c r="AJ716" s="86">
        <f>+IF(AG716=$AJ$22,MONTH(V716),"")</f>
        <v>7</v>
      </c>
      <c r="AK716" s="86" t="str">
        <f>+IF(AG716=$AK$22,MONTH(V716),"")</f>
        <v/>
      </c>
      <c r="AL716" s="86" t="str">
        <f>+IF(AG716=$AL$22,MONTH(V716),"")</f>
        <v/>
      </c>
      <c r="AM716" s="86" t="str">
        <f>+IF($AG716=$AM$22,MONTH($D716),"")</f>
        <v/>
      </c>
      <c r="AN716" s="89" t="str">
        <f>+IF($AG716=AN$22,MONTH($D716),"")</f>
        <v/>
      </c>
      <c r="AO716" s="89" t="str">
        <f>+IF($AG716=AO$22,MONTH($D716),"")</f>
        <v/>
      </c>
      <c r="AP716" s="89" t="str">
        <f>+IF($AG716=AP$22,MONTH($D716),"")</f>
        <v/>
      </c>
      <c r="AQ716" s="89" t="str">
        <f>+IF($AG716=AQ$22,MONTH($D716),"")</f>
        <v/>
      </c>
      <c r="AR716" s="89" t="str">
        <f>+IF($AG716=AR$22,MONTH($D716),"")</f>
        <v/>
      </c>
      <c r="AS716" s="89" t="str">
        <f>+IF($AG716=AS$22,MONTH($D716),"")</f>
        <v/>
      </c>
      <c r="AT716" s="89" t="str">
        <f>+IF($AG716=AT$22,MONTH($D716),"")</f>
        <v/>
      </c>
      <c r="AU716" s="89" t="str">
        <f>+IF($AG716=AU$22,MONTH($D716),"")</f>
        <v/>
      </c>
      <c r="AV716" s="89" t="str">
        <f>+IF($AG716=AV$22,MONTH($D716),"")</f>
        <v/>
      </c>
      <c r="AW716" s="86" t="str">
        <f>+IF($AG716=AW$22,MONTH($D716),"")</f>
        <v/>
      </c>
      <c r="AX716" s="86" t="str">
        <f>+IF($AG716=AX$22,MONTH($D716),"")</f>
        <v/>
      </c>
      <c r="AY716" s="89"/>
      <c r="AZ716" s="89"/>
      <c r="BA716" s="89"/>
      <c r="BB716" s="89"/>
      <c r="BC716" s="89"/>
      <c r="BD716" s="89"/>
      <c r="BE716" s="89"/>
      <c r="BF716" s="89"/>
      <c r="BG716" s="89"/>
      <c r="BH716" s="89"/>
      <c r="BI716" s="89"/>
      <c r="BJ716" s="89"/>
      <c r="BK716" s="89"/>
      <c r="BL716" s="89"/>
      <c r="BM716" s="89"/>
      <c r="BN716" s="89"/>
      <c r="BO716" s="89"/>
      <c r="BP716" s="89"/>
    </row>
    <row r="717" spans="1:68" s="56" customFormat="1" ht="26.25" hidden="1" customHeight="1">
      <c r="A717" s="204" t="str">
        <f>+IFERROR(VALUE(MID(AB717,4,4)),"")</f>
        <v/>
      </c>
      <c r="B717" s="204">
        <f>VALUE(RIGHT(C717,LEN(C717)-2))</f>
        <v>2006</v>
      </c>
      <c r="C717" s="74" t="s">
        <v>2755</v>
      </c>
      <c r="D717" s="75">
        <v>45366</v>
      </c>
      <c r="E717" s="70" t="s">
        <v>262</v>
      </c>
      <c r="F717" s="70" t="s">
        <v>270</v>
      </c>
      <c r="G717" s="68" t="s">
        <v>2756</v>
      </c>
      <c r="H717" s="282" t="s">
        <v>2172</v>
      </c>
      <c r="I717" s="69" t="s">
        <v>2757</v>
      </c>
      <c r="J717" s="69"/>
      <c r="K717" s="68" t="s">
        <v>9</v>
      </c>
      <c r="L717" s="69" t="s">
        <v>120</v>
      </c>
      <c r="M717" s="71" t="s">
        <v>141</v>
      </c>
      <c r="N717" s="69" t="e" vm="1">
        <v>#VALUE!</v>
      </c>
      <c r="O717" s="84">
        <v>45372</v>
      </c>
      <c r="P717" s="72" t="s">
        <v>369</v>
      </c>
      <c r="Q717" s="72" t="s">
        <v>623</v>
      </c>
      <c r="R717" s="162"/>
      <c r="S717" s="146" t="s">
        <v>2166</v>
      </c>
      <c r="T717" s="68" t="s">
        <v>155</v>
      </c>
      <c r="U717" s="87"/>
      <c r="V717" s="80">
        <v>45366</v>
      </c>
      <c r="W717" s="73"/>
      <c r="X717" s="73"/>
      <c r="Y717" s="169" t="str">
        <f>IF(SUM(W717:W717)&gt;0,X717/SUM(W717:W717)*1000000,"N/A")</f>
        <v>N/A</v>
      </c>
      <c r="Z717" s="80"/>
      <c r="AA717" s="80"/>
      <c r="AB717" s="73"/>
      <c r="AC717" s="153"/>
      <c r="AD717" s="331"/>
      <c r="AE717" s="57"/>
      <c r="AF717" s="88"/>
      <c r="AG717" s="182">
        <f>YEAR(V717)</f>
        <v>2024</v>
      </c>
      <c r="AH717" s="86" t="str">
        <f>+IF(AF717=$AI$22,MONTH(U717),"")</f>
        <v/>
      </c>
      <c r="AI717" s="86" t="str">
        <f>+IF(AG717=$AI$22,MONTH(V717),"")</f>
        <v/>
      </c>
      <c r="AJ717" s="86">
        <f>+IF(AG717=$AJ$22,MONTH(V717),"")</f>
        <v>3</v>
      </c>
      <c r="AK717" s="86" t="str">
        <f>+IF(AG717=$AK$22,MONTH(V717),"")</f>
        <v/>
      </c>
      <c r="AL717" s="86" t="str">
        <f>+IF(AG717=$AL$22,MONTH(V717),"")</f>
        <v/>
      </c>
      <c r="AM717" s="86" t="str">
        <f>+IF($AG717=$AM$22,MONTH($D717),"")</f>
        <v/>
      </c>
      <c r="AN717" s="89" t="str">
        <f>+IF($AG717=AN$22,MONTH($D717),"")</f>
        <v/>
      </c>
      <c r="AO717" s="89" t="str">
        <f>+IF($AG717=AO$22,MONTH($D717),"")</f>
        <v/>
      </c>
      <c r="AP717" s="89" t="str">
        <f>+IF($AG717=AP$22,MONTH($D717),"")</f>
        <v/>
      </c>
      <c r="AQ717" s="89" t="str">
        <f>+IF($AG717=AQ$22,MONTH($D717),"")</f>
        <v/>
      </c>
      <c r="AR717" s="89" t="str">
        <f>+IF($AG717=AR$22,MONTH($D717),"")</f>
        <v/>
      </c>
      <c r="AS717" s="89" t="str">
        <f>+IF($AG717=AS$22,MONTH($D717),"")</f>
        <v/>
      </c>
      <c r="AT717" s="89" t="str">
        <f>+IF($AG717=AT$22,MONTH($D717),"")</f>
        <v/>
      </c>
      <c r="AU717" s="89" t="str">
        <f>+IF($AG717=AU$22,MONTH($D717),"")</f>
        <v/>
      </c>
      <c r="AV717" s="89" t="str">
        <f>+IF($AG717=AV$22,MONTH($D717),"")</f>
        <v/>
      </c>
      <c r="AW717" s="86" t="str">
        <f>+IF($AG717=AW$22,MONTH($D717),"")</f>
        <v/>
      </c>
      <c r="AX717" s="86" t="str">
        <f>+IF($AG717=AX$22,MONTH($D717),"")</f>
        <v/>
      </c>
      <c r="AY717" s="89"/>
      <c r="AZ717" s="89"/>
      <c r="BA717" s="89"/>
      <c r="BB717" s="89"/>
      <c r="BC717" s="89"/>
      <c r="BD717" s="89"/>
      <c r="BE717" s="89"/>
      <c r="BF717" s="89"/>
      <c r="BG717" s="89"/>
      <c r="BH717" s="89"/>
      <c r="BI717" s="89"/>
      <c r="BJ717" s="89"/>
      <c r="BK717" s="89"/>
      <c r="BL717" s="89"/>
      <c r="BM717" s="89"/>
      <c r="BN717" s="89"/>
      <c r="BO717" s="89"/>
      <c r="BP717" s="89"/>
    </row>
    <row r="718" spans="1:68" s="56" customFormat="1" ht="26.25" hidden="1" customHeight="1">
      <c r="A718" s="204">
        <f>+IFERROR(VALUE(MID(AB718,4,4)),"")</f>
        <v>368</v>
      </c>
      <c r="B718" s="204">
        <f>VALUE(RIGHT(C718,LEN(C718)-2))</f>
        <v>2005</v>
      </c>
      <c r="C718" s="74" t="s">
        <v>2758</v>
      </c>
      <c r="D718" s="75">
        <v>45366</v>
      </c>
      <c r="E718" s="70" t="s">
        <v>262</v>
      </c>
      <c r="F718" s="70" t="s">
        <v>270</v>
      </c>
      <c r="G718" s="68" t="s">
        <v>2756</v>
      </c>
      <c r="H718" s="282" t="s">
        <v>2172</v>
      </c>
      <c r="I718" s="69" t="s">
        <v>2759</v>
      </c>
      <c r="J718" s="69"/>
      <c r="K718" s="68" t="s">
        <v>9</v>
      </c>
      <c r="L718" s="69" t="s">
        <v>120</v>
      </c>
      <c r="M718" s="71" t="s">
        <v>141</v>
      </c>
      <c r="N718" s="69" t="e" vm="1">
        <v>#VALUE!</v>
      </c>
      <c r="O718" s="84">
        <v>45366</v>
      </c>
      <c r="P718" s="72" t="s">
        <v>369</v>
      </c>
      <c r="Q718" s="72" t="s">
        <v>623</v>
      </c>
      <c r="R718" s="162"/>
      <c r="S718" s="146" t="s">
        <v>2760</v>
      </c>
      <c r="T718" s="68" t="s">
        <v>3</v>
      </c>
      <c r="U718" s="87"/>
      <c r="V718" s="80">
        <v>45483</v>
      </c>
      <c r="W718" s="73">
        <v>324</v>
      </c>
      <c r="X718" s="73">
        <v>13.6</v>
      </c>
      <c r="Y718" s="169">
        <f>IF(SUM(W718:W718)&gt;0,X718/SUM(W718:W718)*1000000,"N/A")</f>
        <v>41975.308641975309</v>
      </c>
      <c r="Z718" s="80"/>
      <c r="AA718" s="80"/>
      <c r="AB718" s="73" t="s">
        <v>2761</v>
      </c>
      <c r="AC718" s="153"/>
      <c r="AD718" s="331"/>
      <c r="AE718" s="57"/>
      <c r="AF718" s="88"/>
      <c r="AG718" s="182">
        <f>YEAR(V718)</f>
        <v>2024</v>
      </c>
      <c r="AH718" s="86" t="str">
        <f>+IF(AF718=$AI$22,MONTH(U718),"")</f>
        <v/>
      </c>
      <c r="AI718" s="86" t="str">
        <f>+IF(AG718=$AI$22,MONTH(V718),"")</f>
        <v/>
      </c>
      <c r="AJ718" s="86">
        <f>+IF(AG718=$AJ$22,MONTH(V718),"")</f>
        <v>7</v>
      </c>
      <c r="AK718" s="86" t="str">
        <f>+IF(AG718=$AK$22,MONTH(V718),"")</f>
        <v/>
      </c>
      <c r="AL718" s="86" t="str">
        <f>+IF(AG718=$AL$22,MONTH(V718),"")</f>
        <v/>
      </c>
      <c r="AM718" s="86" t="str">
        <f>+IF($AG718=$AM$22,MONTH($D718),"")</f>
        <v/>
      </c>
      <c r="AN718" s="89" t="str">
        <f>+IF($AG718=AN$22,MONTH($D718),"")</f>
        <v/>
      </c>
      <c r="AO718" s="89" t="str">
        <f>+IF($AG718=AO$22,MONTH($D718),"")</f>
        <v/>
      </c>
      <c r="AP718" s="89" t="str">
        <f>+IF($AG718=AP$22,MONTH($D718),"")</f>
        <v/>
      </c>
      <c r="AQ718" s="89" t="str">
        <f>+IF($AG718=AQ$22,MONTH($D718),"")</f>
        <v/>
      </c>
      <c r="AR718" s="89" t="str">
        <f>+IF($AG718=AR$22,MONTH($D718),"")</f>
        <v/>
      </c>
      <c r="AS718" s="89" t="str">
        <f>+IF($AG718=AS$22,MONTH($D718),"")</f>
        <v/>
      </c>
      <c r="AT718" s="89" t="str">
        <f>+IF($AG718=AT$22,MONTH($D718),"")</f>
        <v/>
      </c>
      <c r="AU718" s="89" t="str">
        <f>+IF($AG718=AU$22,MONTH($D718),"")</f>
        <v/>
      </c>
      <c r="AV718" s="89" t="str">
        <f>+IF($AG718=AV$22,MONTH($D718),"")</f>
        <v/>
      </c>
      <c r="AW718" s="86" t="str">
        <f>+IF($AG718=AW$22,MONTH($D718),"")</f>
        <v/>
      </c>
      <c r="AX718" s="86" t="str">
        <f>+IF($AG718=AX$22,MONTH($D718),"")</f>
        <v/>
      </c>
      <c r="AY718" s="89"/>
      <c r="AZ718" s="89"/>
      <c r="BA718" s="89"/>
      <c r="BB718" s="89"/>
      <c r="BC718" s="89"/>
      <c r="BD718" s="89"/>
      <c r="BE718" s="89"/>
      <c r="BF718" s="89"/>
      <c r="BG718" s="89"/>
      <c r="BH718" s="89"/>
      <c r="BI718" s="89"/>
      <c r="BJ718" s="89"/>
      <c r="BK718" s="89"/>
      <c r="BL718" s="89"/>
      <c r="BM718" s="89"/>
      <c r="BN718" s="89"/>
      <c r="BO718" s="89"/>
      <c r="BP718" s="89"/>
    </row>
    <row r="719" spans="1:68" s="306" customFormat="1" ht="26.25" hidden="1" customHeight="1">
      <c r="A719" s="204">
        <f>+IFERROR(VALUE(MID(AB719,4,4)),"")</f>
        <v>368</v>
      </c>
      <c r="B719" s="204">
        <f>VALUE(RIGHT(C719,LEN(C719)-2))</f>
        <v>2004</v>
      </c>
      <c r="C719" s="74" t="s">
        <v>2762</v>
      </c>
      <c r="D719" s="75">
        <v>45366</v>
      </c>
      <c r="E719" s="70" t="s">
        <v>262</v>
      </c>
      <c r="F719" s="70" t="s">
        <v>270</v>
      </c>
      <c r="G719" s="68" t="s">
        <v>2756</v>
      </c>
      <c r="H719" s="282" t="s">
        <v>2172</v>
      </c>
      <c r="I719" s="69" t="s">
        <v>2763</v>
      </c>
      <c r="J719" s="69"/>
      <c r="K719" s="68" t="s">
        <v>9</v>
      </c>
      <c r="L719" s="69" t="s">
        <v>120</v>
      </c>
      <c r="M719" s="71" t="s">
        <v>141</v>
      </c>
      <c r="N719" s="69" t="e" vm="1">
        <v>#VALUE!</v>
      </c>
      <c r="O719" s="84">
        <v>45366</v>
      </c>
      <c r="P719" s="72" t="s">
        <v>369</v>
      </c>
      <c r="Q719" s="72" t="s">
        <v>623</v>
      </c>
      <c r="R719" s="162"/>
      <c r="S719" s="146" t="s">
        <v>2764</v>
      </c>
      <c r="T719" s="68" t="s">
        <v>165</v>
      </c>
      <c r="U719" s="87"/>
      <c r="V719" s="80">
        <v>45401</v>
      </c>
      <c r="W719" s="73">
        <v>303</v>
      </c>
      <c r="X719" s="73">
        <v>11.8</v>
      </c>
      <c r="Y719" s="169">
        <f>IF(SUM(W719:W719)&gt;0,X719/SUM(W719:W719)*1000000,"N/A")</f>
        <v>38943.894389438945</v>
      </c>
      <c r="Z719" s="80"/>
      <c r="AA719" s="80"/>
      <c r="AB719" s="73" t="s">
        <v>2765</v>
      </c>
      <c r="AC719" s="153"/>
      <c r="AD719" s="331"/>
      <c r="AE719" s="57"/>
      <c r="AF719" s="88"/>
      <c r="AG719" s="182">
        <f>YEAR(V719)</f>
        <v>2024</v>
      </c>
      <c r="AH719" s="86" t="str">
        <f>+IF(AF719=$AI$22,MONTH(U719),"")</f>
        <v/>
      </c>
      <c r="AI719" s="86" t="str">
        <f>+IF(AG719=$AI$22,MONTH(V719),"")</f>
        <v/>
      </c>
      <c r="AJ719" s="86">
        <f>+IF(AG719=$AJ$22,MONTH(V719),"")</f>
        <v>4</v>
      </c>
      <c r="AK719" s="86" t="str">
        <f>+IF(AG719=$AK$22,MONTH(V719),"")</f>
        <v/>
      </c>
      <c r="AL719" s="86" t="str">
        <f>+IF(AG719=$AL$22,MONTH(V719),"")</f>
        <v/>
      </c>
      <c r="AM719" s="86" t="str">
        <f>+IF($AG719=$AM$22,MONTH($D719),"")</f>
        <v/>
      </c>
      <c r="AN719" s="89" t="str">
        <f>+IF($AG719=AN$22,MONTH($D719),"")</f>
        <v/>
      </c>
      <c r="AO719" s="89" t="str">
        <f>+IF($AG719=AO$22,MONTH($D719),"")</f>
        <v/>
      </c>
      <c r="AP719" s="89" t="str">
        <f>+IF($AG719=AP$22,MONTH($D719),"")</f>
        <v/>
      </c>
      <c r="AQ719" s="89" t="str">
        <f>+IF($AG719=AQ$22,MONTH($D719),"")</f>
        <v/>
      </c>
      <c r="AR719" s="89" t="str">
        <f>+IF($AG719=AR$22,MONTH($D719),"")</f>
        <v/>
      </c>
      <c r="AS719" s="89" t="str">
        <f>+IF($AG719=AS$22,MONTH($D719),"")</f>
        <v/>
      </c>
      <c r="AT719" s="89" t="str">
        <f>+IF($AG719=AT$22,MONTH($D719),"")</f>
        <v/>
      </c>
      <c r="AU719" s="89" t="str">
        <f>+IF($AG719=AU$22,MONTH($D719),"")</f>
        <v/>
      </c>
      <c r="AV719" s="89" t="str">
        <f>+IF($AG719=AV$22,MONTH($D719),"")</f>
        <v/>
      </c>
      <c r="AW719" s="86" t="str">
        <f>+IF($AG719=AW$22,MONTH($D719),"")</f>
        <v/>
      </c>
      <c r="AX719" s="86" t="str">
        <f>+IF($AG719=AX$22,MONTH($D719),"")</f>
        <v/>
      </c>
      <c r="AY719" s="89"/>
      <c r="AZ719" s="89"/>
      <c r="BA719" s="89"/>
      <c r="BB719" s="89"/>
      <c r="BC719" s="89"/>
      <c r="BD719" s="89"/>
      <c r="BE719" s="89"/>
      <c r="BF719" s="89"/>
      <c r="BG719" s="89"/>
      <c r="BH719" s="89"/>
      <c r="BI719" s="89"/>
      <c r="BJ719" s="89"/>
      <c r="BK719" s="89"/>
      <c r="BL719" s="89"/>
      <c r="BM719" s="89"/>
      <c r="BN719" s="89"/>
      <c r="BO719" s="89"/>
      <c r="BP719" s="89"/>
    </row>
    <row r="720" spans="1:68" s="89" customFormat="1" ht="26.25" hidden="1" customHeight="1">
      <c r="A720" s="204" t="str">
        <f>+IFERROR(VALUE(MID(AB720,4,4)),"")</f>
        <v/>
      </c>
      <c r="B720" s="204">
        <f>VALUE(RIGHT(C720,LEN(C720)-2))</f>
        <v>2003</v>
      </c>
      <c r="C720" s="74" t="s">
        <v>2766</v>
      </c>
      <c r="D720" s="75">
        <v>45366</v>
      </c>
      <c r="E720" s="70" t="s">
        <v>2767</v>
      </c>
      <c r="F720" s="70" t="s">
        <v>2767</v>
      </c>
      <c r="G720" s="68" t="s">
        <v>2059</v>
      </c>
      <c r="H720" s="282"/>
      <c r="I720" s="69" t="s">
        <v>2768</v>
      </c>
      <c r="J720" s="69"/>
      <c r="K720" s="68" t="s">
        <v>13</v>
      </c>
      <c r="L720" s="68" t="s">
        <v>120</v>
      </c>
      <c r="M720" s="68" t="s">
        <v>113</v>
      </c>
      <c r="N720" s="69" t="e" vm="2">
        <v>#VALUE!</v>
      </c>
      <c r="O720" s="84">
        <v>45366</v>
      </c>
      <c r="P720" s="72" t="s">
        <v>483</v>
      </c>
      <c r="Q720" s="72" t="s">
        <v>316</v>
      </c>
      <c r="R720" s="162"/>
      <c r="S720" s="146"/>
      <c r="T720" s="76" t="s">
        <v>155</v>
      </c>
      <c r="U720" s="87"/>
      <c r="V720" s="80">
        <v>45377</v>
      </c>
      <c r="W720" s="73">
        <v>1485</v>
      </c>
      <c r="X720" s="73">
        <v>58.9</v>
      </c>
      <c r="Y720" s="169">
        <f>IF(SUM(W720:W720)&gt;0,X720/SUM(W720:W720)*1000000,"N/A")</f>
        <v>39663.299663299666</v>
      </c>
      <c r="Z720" s="80"/>
      <c r="AA720" s="80"/>
      <c r="AB720" s="73"/>
      <c r="AC720" s="153">
        <v>45509</v>
      </c>
      <c r="AD720" s="331"/>
      <c r="AE720" s="57"/>
      <c r="AF720" s="88"/>
      <c r="AG720" s="182">
        <f>YEAR(V720)</f>
        <v>2024</v>
      </c>
      <c r="AH720" s="86" t="str">
        <f>+IF(AF720=$AI$22,MONTH(U720),"")</f>
        <v/>
      </c>
      <c r="AI720" s="86" t="str">
        <f>+IF(AG720=$AI$22,MONTH(V720),"")</f>
        <v/>
      </c>
      <c r="AJ720" s="86">
        <f>+IF(AG720=$AJ$22,MONTH(V720),"")</f>
        <v>3</v>
      </c>
      <c r="AK720" s="86" t="str">
        <f>+IF(AG720=$AK$22,MONTH(V720),"")</f>
        <v/>
      </c>
      <c r="AL720" s="86" t="str">
        <f>+IF(AG720=$AL$22,MONTH(V720),"")</f>
        <v/>
      </c>
      <c r="AM720" s="86" t="str">
        <f>+IF($AG720=$AM$22,MONTH($D720),"")</f>
        <v/>
      </c>
      <c r="AN720" s="89" t="str">
        <f>+IF($AG720=AN$22,MONTH($D720),"")</f>
        <v/>
      </c>
      <c r="AO720" s="89" t="str">
        <f>+IF($AG720=AO$22,MONTH($D720),"")</f>
        <v/>
      </c>
      <c r="AP720" s="89" t="str">
        <f>+IF($AG720=AP$22,MONTH($D720),"")</f>
        <v/>
      </c>
      <c r="AQ720" s="89" t="str">
        <f>+IF($AG720=AQ$22,MONTH($D720),"")</f>
        <v/>
      </c>
      <c r="AR720" s="89" t="str">
        <f>+IF($AG720=AR$22,MONTH($D720),"")</f>
        <v/>
      </c>
      <c r="AS720" s="89" t="str">
        <f>+IF($AG720=AS$22,MONTH($D720),"")</f>
        <v/>
      </c>
      <c r="AT720" s="89" t="str">
        <f>+IF($AG720=AT$22,MONTH($D720),"")</f>
        <v/>
      </c>
      <c r="AU720" s="89" t="str">
        <f>+IF($AG720=AU$22,MONTH($D720),"")</f>
        <v/>
      </c>
      <c r="AV720" s="89" t="str">
        <f>+IF($AG720=AV$22,MONTH($D720),"")</f>
        <v/>
      </c>
      <c r="AW720" s="86" t="str">
        <f>+IF($AG720=AW$22,MONTH($D720),"")</f>
        <v/>
      </c>
      <c r="AX720" s="86" t="str">
        <f>+IF($AG720=AX$22,MONTH($D720),"")</f>
        <v/>
      </c>
    </row>
    <row r="721" spans="1:68" s="89" customFormat="1" ht="26.25" hidden="1" customHeight="1">
      <c r="A721" s="204">
        <f>+IFERROR(VALUE(MID(AB721,4,4)),"")</f>
        <v>364</v>
      </c>
      <c r="B721" s="204">
        <f>VALUE(RIGHT(C721,LEN(C721)-2))</f>
        <v>2002</v>
      </c>
      <c r="C721" s="74" t="s">
        <v>2769</v>
      </c>
      <c r="D721" s="75">
        <v>45365</v>
      </c>
      <c r="E721" s="70" t="s">
        <v>262</v>
      </c>
      <c r="F721" s="70" t="s">
        <v>270</v>
      </c>
      <c r="G721" s="68" t="s">
        <v>1415</v>
      </c>
      <c r="H721" s="282" t="s">
        <v>494</v>
      </c>
      <c r="I721" s="69" t="s">
        <v>2770</v>
      </c>
      <c r="J721" s="69"/>
      <c r="K721" s="68" t="s">
        <v>14</v>
      </c>
      <c r="L721" s="68" t="s">
        <v>120</v>
      </c>
      <c r="M721" s="68" t="s">
        <v>141</v>
      </c>
      <c r="N721" s="69" t="e" vm="1">
        <v>#VALUE!</v>
      </c>
      <c r="O721" s="84">
        <v>45366</v>
      </c>
      <c r="P721" s="72" t="s">
        <v>402</v>
      </c>
      <c r="Q721" s="72" t="s">
        <v>1097</v>
      </c>
      <c r="R721" s="162"/>
      <c r="S721" s="146"/>
      <c r="T721" s="68" t="s">
        <v>3</v>
      </c>
      <c r="U721" s="87"/>
      <c r="V721" s="80">
        <v>45365</v>
      </c>
      <c r="W721" s="73">
        <v>718</v>
      </c>
      <c r="X721" s="73">
        <v>41.8</v>
      </c>
      <c r="Y721" s="169">
        <f>IF(SUM(W721:W721)&gt;0,X721/SUM(W721:W721)*1000000,"N/A")</f>
        <v>58217.270194986071</v>
      </c>
      <c r="Z721" s="80"/>
      <c r="AA721" s="80"/>
      <c r="AB721" s="73" t="s">
        <v>2771</v>
      </c>
      <c r="AC721" s="153"/>
      <c r="AD721" s="331"/>
      <c r="AE721" s="57"/>
      <c r="AF721" s="88"/>
      <c r="AG721" s="182">
        <f>YEAR(V721)</f>
        <v>2024</v>
      </c>
      <c r="AH721" s="86" t="str">
        <f>+IF(AF721=$AI$22,MONTH(U721),"")</f>
        <v/>
      </c>
      <c r="AI721" s="86" t="str">
        <f>+IF(AG721=$AI$22,MONTH(V721),"")</f>
        <v/>
      </c>
      <c r="AJ721" s="86">
        <f>+IF(AG721=$AJ$22,MONTH(V721),"")</f>
        <v>3</v>
      </c>
      <c r="AK721" s="86" t="str">
        <f>+IF(AG721=$AK$22,MONTH(V721),"")</f>
        <v/>
      </c>
      <c r="AL721" s="86" t="str">
        <f>+IF(AG721=$AL$22,MONTH(V721),"")</f>
        <v/>
      </c>
      <c r="AM721" s="86" t="str">
        <f>+IF($AG721=$AM$22,MONTH($D721),"")</f>
        <v/>
      </c>
      <c r="AN721" s="89" t="str">
        <f>+IF($AG721=AN$22,MONTH($D721),"")</f>
        <v/>
      </c>
      <c r="AO721" s="89" t="str">
        <f>+IF($AG721=AO$22,MONTH($D721),"")</f>
        <v/>
      </c>
      <c r="AP721" s="89" t="str">
        <f>+IF($AG721=AP$22,MONTH($D721),"")</f>
        <v/>
      </c>
      <c r="AQ721" s="89" t="str">
        <f>+IF($AG721=AQ$22,MONTH($D721),"")</f>
        <v/>
      </c>
      <c r="AR721" s="89" t="str">
        <f>+IF($AG721=AR$22,MONTH($D721),"")</f>
        <v/>
      </c>
      <c r="AS721" s="89" t="str">
        <f>+IF($AG721=AS$22,MONTH($D721),"")</f>
        <v/>
      </c>
      <c r="AT721" s="89" t="str">
        <f>+IF($AG721=AT$22,MONTH($D721),"")</f>
        <v/>
      </c>
      <c r="AU721" s="89" t="str">
        <f>+IF($AG721=AU$22,MONTH($D721),"")</f>
        <v/>
      </c>
      <c r="AV721" s="89" t="str">
        <f>+IF($AG721=AV$22,MONTH($D721),"")</f>
        <v/>
      </c>
      <c r="AW721" s="86" t="str">
        <f>+IF($AG721=AW$22,MONTH($D721),"")</f>
        <v/>
      </c>
      <c r="AX721" s="86" t="str">
        <f>+IF($AG721=AX$22,MONTH($D721),"")</f>
        <v/>
      </c>
    </row>
    <row r="722" spans="1:68" s="89" customFormat="1" ht="39" hidden="1" customHeight="1">
      <c r="A722" s="204">
        <f>+IFERROR(VALUE(MID(AB722,4,4)),"")</f>
        <v>364</v>
      </c>
      <c r="B722" s="204">
        <f>VALUE(RIGHT(C722,LEN(C722)-2))</f>
        <v>2001</v>
      </c>
      <c r="C722" s="74" t="s">
        <v>2772</v>
      </c>
      <c r="D722" s="75">
        <v>45365</v>
      </c>
      <c r="E722" s="70" t="s">
        <v>262</v>
      </c>
      <c r="F722" s="70" t="s">
        <v>270</v>
      </c>
      <c r="G722" s="68" t="s">
        <v>1415</v>
      </c>
      <c r="H722" s="282" t="s">
        <v>494</v>
      </c>
      <c r="I722" s="69" t="s">
        <v>2773</v>
      </c>
      <c r="J722" s="69"/>
      <c r="K722" s="68" t="s">
        <v>14</v>
      </c>
      <c r="L722" s="68" t="s">
        <v>120</v>
      </c>
      <c r="M722" s="68" t="s">
        <v>141</v>
      </c>
      <c r="N722" s="69" t="e" vm="1">
        <v>#VALUE!</v>
      </c>
      <c r="O722" s="84">
        <v>45366</v>
      </c>
      <c r="P722" s="72" t="s">
        <v>402</v>
      </c>
      <c r="Q722" s="72" t="s">
        <v>1097</v>
      </c>
      <c r="R722" s="162"/>
      <c r="S722" s="146"/>
      <c r="T722" s="68" t="s">
        <v>3</v>
      </c>
      <c r="U722" s="87"/>
      <c r="V722" s="80">
        <v>45365</v>
      </c>
      <c r="W722" s="73">
        <v>542</v>
      </c>
      <c r="X722" s="73">
        <v>33.6</v>
      </c>
      <c r="Y722" s="169">
        <f>IF(SUM(W722:W722)&gt;0,X722/SUM(W722:W722)*1000000,"N/A")</f>
        <v>61992.619926199259</v>
      </c>
      <c r="Z722" s="80"/>
      <c r="AA722" s="80"/>
      <c r="AB722" s="73" t="s">
        <v>2774</v>
      </c>
      <c r="AC722" s="153"/>
      <c r="AD722" s="331"/>
      <c r="AE722" s="57"/>
      <c r="AF722" s="88"/>
      <c r="AG722" s="182">
        <f>YEAR(V722)</f>
        <v>2024</v>
      </c>
      <c r="AH722" s="86" t="str">
        <f>+IF(AF722=$AI$22,MONTH(U722),"")</f>
        <v/>
      </c>
      <c r="AI722" s="86" t="str">
        <f>+IF(AG722=$AI$22,MONTH(V722),"")</f>
        <v/>
      </c>
      <c r="AJ722" s="86">
        <f>+IF(AG722=$AJ$22,MONTH(V722),"")</f>
        <v>3</v>
      </c>
      <c r="AK722" s="86" t="str">
        <f>+IF(AG722=$AK$22,MONTH(V722),"")</f>
        <v/>
      </c>
      <c r="AL722" s="86" t="str">
        <f>+IF(AG722=$AL$22,MONTH(V722),"")</f>
        <v/>
      </c>
      <c r="AM722" s="86" t="str">
        <f>+IF($AG722=$AM$22,MONTH($D722),"")</f>
        <v/>
      </c>
      <c r="AN722" s="89" t="str">
        <f>+IF($AG722=AN$22,MONTH($D722),"")</f>
        <v/>
      </c>
      <c r="AO722" s="89" t="str">
        <f>+IF($AG722=AO$22,MONTH($D722),"")</f>
        <v/>
      </c>
      <c r="AP722" s="89" t="str">
        <f>+IF($AG722=AP$22,MONTH($D722),"")</f>
        <v/>
      </c>
      <c r="AQ722" s="89" t="str">
        <f>+IF($AG722=AQ$22,MONTH($D722),"")</f>
        <v/>
      </c>
      <c r="AR722" s="89" t="str">
        <f>+IF($AG722=AR$22,MONTH($D722),"")</f>
        <v/>
      </c>
      <c r="AS722" s="89" t="str">
        <f>+IF($AG722=AS$22,MONTH($D722),"")</f>
        <v/>
      </c>
      <c r="AT722" s="89" t="str">
        <f>+IF($AG722=AT$22,MONTH($D722),"")</f>
        <v/>
      </c>
      <c r="AU722" s="89" t="str">
        <f>+IF($AG722=AU$22,MONTH($D722),"")</f>
        <v/>
      </c>
      <c r="AV722" s="89" t="str">
        <f>+IF($AG722=AV$22,MONTH($D722),"")</f>
        <v/>
      </c>
      <c r="AW722" s="86" t="str">
        <f>+IF($AG722=AW$22,MONTH($D722),"")</f>
        <v/>
      </c>
      <c r="AX722" s="86" t="str">
        <f>+IF($AG722=AX$22,MONTH($D722),"")</f>
        <v/>
      </c>
    </row>
    <row r="723" spans="1:68" s="56" customFormat="1" ht="26.25" hidden="1" customHeight="1">
      <c r="A723" s="204">
        <f>+IFERROR(VALUE(MID(AB723,4,4)),"")</f>
        <v>364</v>
      </c>
      <c r="B723" s="204">
        <f>VALUE(RIGHT(C723,LEN(C723)-2))</f>
        <v>2000</v>
      </c>
      <c r="C723" s="74" t="s">
        <v>2775</v>
      </c>
      <c r="D723" s="75">
        <v>45365</v>
      </c>
      <c r="E723" s="70" t="s">
        <v>262</v>
      </c>
      <c r="F723" s="70" t="s">
        <v>270</v>
      </c>
      <c r="G723" s="68" t="s">
        <v>1415</v>
      </c>
      <c r="H723" s="282" t="s">
        <v>494</v>
      </c>
      <c r="I723" s="69" t="s">
        <v>2776</v>
      </c>
      <c r="J723" s="69"/>
      <c r="K723" s="68" t="s">
        <v>14</v>
      </c>
      <c r="L723" s="69" t="s">
        <v>120</v>
      </c>
      <c r="M723" s="71" t="s">
        <v>141</v>
      </c>
      <c r="N723" s="69" t="e" vm="1">
        <v>#VALUE!</v>
      </c>
      <c r="O723" s="84">
        <v>45366</v>
      </c>
      <c r="P723" s="72" t="s">
        <v>402</v>
      </c>
      <c r="Q723" s="72" t="s">
        <v>1097</v>
      </c>
      <c r="R723" s="162"/>
      <c r="S723" s="146"/>
      <c r="T723" s="68" t="s">
        <v>3</v>
      </c>
      <c r="U723" s="87"/>
      <c r="V723" s="80">
        <v>45365</v>
      </c>
      <c r="W723" s="73">
        <v>240</v>
      </c>
      <c r="X723" s="73">
        <v>14.7</v>
      </c>
      <c r="Y723" s="169">
        <f>IF(SUM(W723:W723)&gt;0,X723/SUM(W723:W723)*1000000,"N/A")</f>
        <v>61250</v>
      </c>
      <c r="Z723" s="80"/>
      <c r="AA723" s="80"/>
      <c r="AB723" s="73" t="s">
        <v>2777</v>
      </c>
      <c r="AC723" s="153"/>
      <c r="AD723" s="331"/>
      <c r="AE723" s="57"/>
      <c r="AF723" s="88"/>
      <c r="AG723" s="182">
        <f>YEAR(V723)</f>
        <v>2024</v>
      </c>
      <c r="AH723" s="86" t="str">
        <f>+IF(AF723=$AI$22,MONTH(U723),"")</f>
        <v/>
      </c>
      <c r="AI723" s="86" t="str">
        <f>+IF(AG723=$AI$22,MONTH(V723),"")</f>
        <v/>
      </c>
      <c r="AJ723" s="86">
        <f>+IF(AG723=$AJ$22,MONTH(V723),"")</f>
        <v>3</v>
      </c>
      <c r="AK723" s="86" t="str">
        <f>+IF(AG723=$AK$22,MONTH(V723),"")</f>
        <v/>
      </c>
      <c r="AL723" s="86" t="str">
        <f>+IF(AG723=$AL$22,MONTH(V723),"")</f>
        <v/>
      </c>
      <c r="AM723" s="86" t="str">
        <f>+IF($AG723=$AM$22,MONTH($D723),"")</f>
        <v/>
      </c>
      <c r="AN723" s="89" t="str">
        <f>+IF($AG723=AN$22,MONTH($D723),"")</f>
        <v/>
      </c>
      <c r="AO723" s="89" t="str">
        <f>+IF($AG723=AO$22,MONTH($D723),"")</f>
        <v/>
      </c>
      <c r="AP723" s="89" t="str">
        <f>+IF($AG723=AP$22,MONTH($D723),"")</f>
        <v/>
      </c>
      <c r="AQ723" s="89" t="str">
        <f>+IF($AG723=AQ$22,MONTH($D723),"")</f>
        <v/>
      </c>
      <c r="AR723" s="89" t="str">
        <f>+IF($AG723=AR$22,MONTH($D723),"")</f>
        <v/>
      </c>
      <c r="AS723" s="89" t="str">
        <f>+IF($AG723=AS$22,MONTH($D723),"")</f>
        <v/>
      </c>
      <c r="AT723" s="89" t="str">
        <f>+IF($AG723=AT$22,MONTH($D723),"")</f>
        <v/>
      </c>
      <c r="AU723" s="89" t="str">
        <f>+IF($AG723=AU$22,MONTH($D723),"")</f>
        <v/>
      </c>
      <c r="AV723" s="89" t="str">
        <f>+IF($AG723=AV$22,MONTH($D723),"")</f>
        <v/>
      </c>
      <c r="AW723" s="86" t="str">
        <f>+IF($AG723=AW$22,MONTH($D723),"")</f>
        <v/>
      </c>
      <c r="AX723" s="86" t="str">
        <f>+IF($AG723=AX$22,MONTH($D723),"")</f>
        <v/>
      </c>
      <c r="AY723" s="89"/>
      <c r="AZ723" s="89"/>
      <c r="BA723" s="89"/>
      <c r="BB723" s="89"/>
      <c r="BC723" s="89"/>
      <c r="BD723" s="89"/>
      <c r="BE723" s="89"/>
      <c r="BF723" s="89"/>
      <c r="BG723" s="89"/>
      <c r="BH723" s="89"/>
      <c r="BI723" s="89"/>
      <c r="BJ723" s="89"/>
      <c r="BK723" s="89"/>
      <c r="BL723" s="89"/>
      <c r="BM723" s="89"/>
      <c r="BN723" s="89"/>
      <c r="BO723" s="89"/>
      <c r="BP723" s="89"/>
    </row>
    <row r="724" spans="1:68" s="312" customFormat="1" ht="27" hidden="1">
      <c r="A724" s="204">
        <f>+IFERROR(VALUE(MID(AB724,4,4)),"")</f>
        <v>377</v>
      </c>
      <c r="B724" s="204">
        <f>VALUE(RIGHT(C724,LEN(C724)-2))</f>
        <v>1999</v>
      </c>
      <c r="C724" s="74" t="s">
        <v>2778</v>
      </c>
      <c r="D724" s="75">
        <v>45365</v>
      </c>
      <c r="E724" s="70" t="s">
        <v>1221</v>
      </c>
      <c r="F724" s="70" t="s">
        <v>1222</v>
      </c>
      <c r="G724" s="68" t="s">
        <v>2779</v>
      </c>
      <c r="H724" s="282" t="s">
        <v>2780</v>
      </c>
      <c r="I724" s="162" t="s">
        <v>2781</v>
      </c>
      <c r="J724" s="162"/>
      <c r="K724" s="68" t="s">
        <v>14</v>
      </c>
      <c r="L724" s="69" t="s">
        <v>120</v>
      </c>
      <c r="M724" s="71" t="s">
        <v>141</v>
      </c>
      <c r="N724" s="69" t="e" vm="1">
        <v>#VALUE!</v>
      </c>
      <c r="O724" s="164">
        <v>45366</v>
      </c>
      <c r="P724" s="72" t="s">
        <v>1714</v>
      </c>
      <c r="Q724" s="72" t="s">
        <v>229</v>
      </c>
      <c r="R724" s="162"/>
      <c r="S724" s="146"/>
      <c r="T724" s="68" t="s">
        <v>3</v>
      </c>
      <c r="U724" s="87"/>
      <c r="V724" s="183">
        <v>45366</v>
      </c>
      <c r="W724" s="73">
        <v>136</v>
      </c>
      <c r="X724" s="73">
        <v>7.7</v>
      </c>
      <c r="Y724" s="83">
        <f>IF(SUM(W724:W724)&gt;0,X724/SUM(W724:W724)*1000000,"N/A")</f>
        <v>56617.647058823532</v>
      </c>
      <c r="Z724" s="183"/>
      <c r="AA724" s="183"/>
      <c r="AB724" s="73" t="s">
        <v>2782</v>
      </c>
      <c r="AC724" s="153"/>
      <c r="AD724" s="331"/>
      <c r="AE724" s="57"/>
      <c r="AF724" s="88"/>
      <c r="AG724" s="182">
        <f>YEAR(V724)</f>
        <v>2024</v>
      </c>
      <c r="AH724" s="86" t="str">
        <f>+IF(AF724=$AI$22,MONTH(U724),"")</f>
        <v/>
      </c>
      <c r="AI724" s="86" t="str">
        <f>+IF(AG724=$AI$22,MONTH(V724),"")</f>
        <v/>
      </c>
      <c r="AJ724" s="86">
        <f>+IF(AG724=$AJ$22,MONTH(V724),"")</f>
        <v>3</v>
      </c>
      <c r="AK724" s="86" t="str">
        <f>+IF(AG724=$AK$22,MONTH(V724),"")</f>
        <v/>
      </c>
      <c r="AL724" s="86"/>
      <c r="AM724" s="89"/>
      <c r="AN724" s="89"/>
      <c r="AO724" s="89"/>
      <c r="AP724" s="89"/>
      <c r="AQ724" s="89"/>
      <c r="AR724" s="89"/>
      <c r="AS724" s="89"/>
      <c r="AT724" s="89"/>
      <c r="AU724" s="89"/>
      <c r="AV724" s="89"/>
      <c r="AW724" s="86" t="str">
        <f>+IF($AG724=AW$22,MONTH($D724),"")</f>
        <v/>
      </c>
      <c r="AX724" s="86" t="str">
        <f>+IF($AG724=AX$22,MONTH($D724),"")</f>
        <v/>
      </c>
      <c r="AY724" s="89"/>
      <c r="AZ724" s="89"/>
      <c r="BA724" s="89"/>
      <c r="BB724" s="89"/>
      <c r="BC724" s="89"/>
      <c r="BD724" s="89"/>
      <c r="BE724" s="89"/>
      <c r="BF724" s="89"/>
      <c r="BG724" s="89"/>
      <c r="BH724" s="89"/>
      <c r="BI724" s="89"/>
      <c r="BJ724" s="89"/>
      <c r="BK724" s="89"/>
      <c r="BL724" s="89"/>
      <c r="BM724" s="89"/>
      <c r="BN724" s="89"/>
      <c r="BO724" s="89"/>
      <c r="BP724" s="89"/>
    </row>
    <row r="725" spans="1:68" s="56" customFormat="1" ht="13.5" hidden="1">
      <c r="A725" s="204">
        <f>+IFERROR(VALUE(MID(AB725,4,4)),"")</f>
        <v>376</v>
      </c>
      <c r="B725" s="204">
        <f>VALUE(RIGHT(C725,LEN(C725)-2))</f>
        <v>1998</v>
      </c>
      <c r="C725" s="74" t="s">
        <v>2783</v>
      </c>
      <c r="D725" s="75">
        <v>45365</v>
      </c>
      <c r="E725" s="70" t="s">
        <v>1221</v>
      </c>
      <c r="F725" s="70" t="s">
        <v>1222</v>
      </c>
      <c r="G725" s="68" t="s">
        <v>454</v>
      </c>
      <c r="H725" s="59" t="s">
        <v>2784</v>
      </c>
      <c r="I725" s="162" t="s">
        <v>2785</v>
      </c>
      <c r="J725" s="162"/>
      <c r="K725" s="68" t="s">
        <v>13</v>
      </c>
      <c r="L725" s="68" t="s">
        <v>120</v>
      </c>
      <c r="M725" s="68" t="s">
        <v>141</v>
      </c>
      <c r="N725" s="69" t="e" vm="1">
        <v>#VALUE!</v>
      </c>
      <c r="O725" s="164">
        <v>45366</v>
      </c>
      <c r="P725" s="72" t="s">
        <v>364</v>
      </c>
      <c r="Q725" s="72" t="s">
        <v>229</v>
      </c>
      <c r="R725" s="162"/>
      <c r="S725" s="146"/>
      <c r="T725" s="68" t="s">
        <v>3</v>
      </c>
      <c r="U725" s="87"/>
      <c r="V725" s="183">
        <v>45366</v>
      </c>
      <c r="W725" s="73">
        <v>586</v>
      </c>
      <c r="X725" s="73">
        <f>722*37000/1000000</f>
        <v>26.713999999999999</v>
      </c>
      <c r="Y725" s="83">
        <f>IF(SUM(W725:W725)&gt;0,X725/SUM(W725:W725)*1000000,"N/A")</f>
        <v>45587.030716723551</v>
      </c>
      <c r="Z725" s="183"/>
      <c r="AA725" s="183"/>
      <c r="AB725" s="73" t="s">
        <v>2786</v>
      </c>
      <c r="AC725" s="153"/>
      <c r="AD725" s="331"/>
      <c r="AE725" s="57"/>
      <c r="AF725" s="88"/>
      <c r="AG725" s="182">
        <f>YEAR(V725)</f>
        <v>2024</v>
      </c>
      <c r="AH725" s="86" t="str">
        <f>+IF(AF725=$AI$22,MONTH(U725),"")</f>
        <v/>
      </c>
      <c r="AI725" s="86" t="str">
        <f>+IF(AG725=$AI$22,MONTH(V725),"")</f>
        <v/>
      </c>
      <c r="AJ725" s="86">
        <f>+IF(AG725=$AJ$22,MONTH(V725),"")</f>
        <v>3</v>
      </c>
      <c r="AK725" s="86" t="str">
        <f>+IF(AG725=$AK$22,MONTH(V725),"")</f>
        <v/>
      </c>
      <c r="AL725" s="86"/>
      <c r="AM725" s="89"/>
      <c r="AN725" s="89"/>
      <c r="AO725" s="89"/>
      <c r="AP725" s="89"/>
      <c r="AQ725" s="89"/>
      <c r="AR725" s="89"/>
      <c r="AS725" s="89"/>
      <c r="AT725" s="89"/>
      <c r="AU725" s="89"/>
      <c r="AV725" s="89"/>
      <c r="AW725" s="86" t="str">
        <f>+IF($AG725=AW$22,MONTH($D725),"")</f>
        <v/>
      </c>
      <c r="AX725" s="86" t="str">
        <f>+IF($AG725=AX$22,MONTH($D725),"")</f>
        <v/>
      </c>
      <c r="AY725" s="89"/>
      <c r="AZ725" s="89"/>
      <c r="BA725" s="89"/>
      <c r="BB725" s="89"/>
      <c r="BC725" s="89"/>
      <c r="BD725" s="89"/>
      <c r="BE725" s="89"/>
      <c r="BF725" s="89"/>
      <c r="BG725" s="89"/>
      <c r="BH725" s="89"/>
      <c r="BI725" s="89"/>
      <c r="BJ725" s="89"/>
      <c r="BK725" s="89"/>
      <c r="BL725" s="89"/>
      <c r="BM725" s="89"/>
      <c r="BN725" s="89"/>
      <c r="BO725" s="89"/>
      <c r="BP725" s="89"/>
    </row>
    <row r="726" spans="1:68" s="56" customFormat="1" ht="27" hidden="1">
      <c r="A726" s="204">
        <f>+IFERROR(VALUE(MID(AB726,4,4)),"")</f>
        <v>271</v>
      </c>
      <c r="B726" s="204">
        <f>VALUE(RIGHT(C726,LEN(C726)-2))</f>
        <v>1997</v>
      </c>
      <c r="C726" s="74" t="s">
        <v>2787</v>
      </c>
      <c r="D726" s="75">
        <v>45364</v>
      </c>
      <c r="E726" s="70" t="s">
        <v>277</v>
      </c>
      <c r="F726" s="70" t="s">
        <v>277</v>
      </c>
      <c r="G726" s="68" t="s">
        <v>2416</v>
      </c>
      <c r="H726" s="59" t="s">
        <v>2413</v>
      </c>
      <c r="I726" s="69" t="s">
        <v>1398</v>
      </c>
      <c r="J726" s="69"/>
      <c r="K726" s="68" t="s">
        <v>45</v>
      </c>
      <c r="L726" s="68" t="s">
        <v>129</v>
      </c>
      <c r="M726" s="68" t="s">
        <v>141</v>
      </c>
      <c r="N726" s="69" t="e" vm="1">
        <v>#VALUE!</v>
      </c>
      <c r="O726" s="164">
        <v>45365</v>
      </c>
      <c r="P726" s="72" t="s">
        <v>402</v>
      </c>
      <c r="Q726" s="72" t="s">
        <v>316</v>
      </c>
      <c r="R726" s="162"/>
      <c r="S726" s="146"/>
      <c r="T726" s="68" t="s">
        <v>3</v>
      </c>
      <c r="U726" s="87"/>
      <c r="V726" s="183">
        <v>45400</v>
      </c>
      <c r="W726" s="73">
        <v>1330</v>
      </c>
      <c r="X726" s="73">
        <v>60</v>
      </c>
      <c r="Y726" s="83">
        <f>IF(SUM(W726:W726)&gt;0,X726/SUM(W726:W726)*1000000,"N/A")</f>
        <v>45112.781954887214</v>
      </c>
      <c r="Z726" s="183"/>
      <c r="AA726" s="183"/>
      <c r="AB726" s="150" t="s">
        <v>2788</v>
      </c>
      <c r="AC726" s="153"/>
      <c r="AD726" s="331"/>
      <c r="AE726" s="57"/>
      <c r="AF726" s="88"/>
      <c r="AG726" s="182">
        <f>YEAR(V726)</f>
        <v>2024</v>
      </c>
      <c r="AH726" s="86" t="str">
        <f>+IF(AF726=$AI$22,MONTH(U726),"")</f>
        <v/>
      </c>
      <c r="AI726" s="86" t="str">
        <f>+IF(AG726=$AI$22,MONTH(V726),"")</f>
        <v/>
      </c>
      <c r="AJ726" s="86">
        <f>+IF(AG726=$AJ$22,MONTH(V726),"")</f>
        <v>4</v>
      </c>
      <c r="AK726" s="86" t="str">
        <f>+IF(AG726=$AK$22,MONTH(V726),"")</f>
        <v/>
      </c>
      <c r="AL726" s="86" t="str">
        <f>+IF(AG726=$AL$22,MONTH(V726),"")</f>
        <v/>
      </c>
      <c r="AM726" s="86" t="str">
        <f>+IF($AG726=$AM$22,MONTH($D726),"")</f>
        <v/>
      </c>
      <c r="AN726" s="89" t="str">
        <f>+IF($AG726=AN$22,MONTH($D726),"")</f>
        <v/>
      </c>
      <c r="AO726" s="89" t="str">
        <f>+IF($AG726=AO$22,MONTH($D726),"")</f>
        <v/>
      </c>
      <c r="AP726" s="89" t="str">
        <f>+IF($AG726=AP$22,MONTH($D726),"")</f>
        <v/>
      </c>
      <c r="AQ726" s="89" t="str">
        <f>+IF($AG726=AQ$22,MONTH($D726),"")</f>
        <v/>
      </c>
      <c r="AR726" s="89" t="str">
        <f>+IF($AG726=AR$22,MONTH($D726),"")</f>
        <v/>
      </c>
      <c r="AS726" s="89" t="str">
        <f>+IF($AG726=AS$22,MONTH($D726),"")</f>
        <v/>
      </c>
      <c r="AT726" s="89" t="str">
        <f>+IF($AG726=AT$22,MONTH($D726),"")</f>
        <v/>
      </c>
      <c r="AU726" s="89" t="str">
        <f>+IF($AG726=AU$22,MONTH($D726),"")</f>
        <v/>
      </c>
      <c r="AV726" s="89" t="str">
        <f>+IF($AG726=AV$22,MONTH($D726),"")</f>
        <v/>
      </c>
      <c r="AW726" s="86" t="str">
        <f>+IF($AG726=AW$22,MONTH($D726),"")</f>
        <v/>
      </c>
      <c r="AX726" s="86" t="str">
        <f>+IF($AG726=AX$22,MONTH($D726),"")</f>
        <v/>
      </c>
      <c r="AY726" s="89"/>
      <c r="AZ726" s="89"/>
      <c r="BA726" s="89"/>
      <c r="BB726" s="89"/>
      <c r="BC726" s="89"/>
      <c r="BD726" s="89"/>
      <c r="BE726" s="89"/>
      <c r="BF726" s="89"/>
      <c r="BG726" s="89"/>
      <c r="BH726" s="89"/>
      <c r="BI726" s="89"/>
      <c r="BJ726" s="89"/>
      <c r="BK726" s="89"/>
      <c r="BL726" s="89"/>
      <c r="BM726" s="89"/>
      <c r="BN726" s="89"/>
      <c r="BO726" s="89"/>
      <c r="BP726" s="89"/>
    </row>
    <row r="727" spans="1:68" s="56" customFormat="1" ht="27" hidden="1">
      <c r="A727" s="204">
        <f>+IFERROR(VALUE(MID(AB727,4,4)),"")</f>
        <v>274</v>
      </c>
      <c r="B727" s="204">
        <f>VALUE(RIGHT(C727,LEN(C727)-2))</f>
        <v>1996</v>
      </c>
      <c r="C727" s="74" t="s">
        <v>2789</v>
      </c>
      <c r="D727" s="75">
        <v>45351</v>
      </c>
      <c r="E727" s="70" t="s">
        <v>1054</v>
      </c>
      <c r="F727" s="70" t="s">
        <v>252</v>
      </c>
      <c r="G727" s="68" t="s">
        <v>1055</v>
      </c>
      <c r="H727" s="59" t="s">
        <v>1056</v>
      </c>
      <c r="I727" s="162" t="s">
        <v>2790</v>
      </c>
      <c r="J727" s="162"/>
      <c r="K727" s="68" t="s">
        <v>13</v>
      </c>
      <c r="L727" s="68" t="s">
        <v>129</v>
      </c>
      <c r="M727" s="68" t="s">
        <v>141</v>
      </c>
      <c r="N727" s="69" t="e" vm="1">
        <v>#VALUE!</v>
      </c>
      <c r="O727" s="164">
        <v>45351</v>
      </c>
      <c r="P727" s="72" t="s">
        <v>1641</v>
      </c>
      <c r="Q727" s="72" t="s">
        <v>220</v>
      </c>
      <c r="R727" s="162"/>
      <c r="S727" s="146"/>
      <c r="T727" s="68" t="s">
        <v>3</v>
      </c>
      <c r="U727" s="87"/>
      <c r="V727" s="183">
        <v>45364</v>
      </c>
      <c r="W727" s="73">
        <v>232</v>
      </c>
      <c r="X727" s="73">
        <v>6</v>
      </c>
      <c r="Y727" s="83">
        <f>IF(SUM(W727:W727)&gt;0,X727/SUM(W727:W727)*1000000,"N/A")</f>
        <v>25862.068965517243</v>
      </c>
      <c r="Z727" s="183"/>
      <c r="AA727" s="183"/>
      <c r="AB727" s="73" t="s">
        <v>2791</v>
      </c>
      <c r="AC727" s="153"/>
      <c r="AD727" s="331"/>
      <c r="AE727" s="57"/>
      <c r="AF727" s="88"/>
      <c r="AG727" s="182">
        <f>YEAR(V727)</f>
        <v>2024</v>
      </c>
      <c r="AH727" s="86" t="str">
        <f>+IF(AF727=$AI$22,MONTH(U727),"")</f>
        <v/>
      </c>
      <c r="AI727" s="86" t="str">
        <f>+IF(AG727=$AI$22,MONTH(V727),"")</f>
        <v/>
      </c>
      <c r="AJ727" s="86">
        <f>+IF(AG727=$AJ$22,MONTH(V727),"")</f>
        <v>3</v>
      </c>
      <c r="AK727" s="86" t="str">
        <f>+IF(AG727=$AK$22,MONTH(V727),"")</f>
        <v/>
      </c>
      <c r="AL727" s="86" t="str">
        <f>+IF(AG727=$AL$22,MONTH(V727),"")</f>
        <v/>
      </c>
      <c r="AM727" s="86" t="str">
        <f>+IF($AG727=$AM$22,MONTH($D727),"")</f>
        <v/>
      </c>
      <c r="AN727" s="89" t="str">
        <f>+IF($AG727=AN$22,MONTH($D727),"")</f>
        <v/>
      </c>
      <c r="AO727" s="89" t="str">
        <f>+IF($AG727=AO$22,MONTH($D727),"")</f>
        <v/>
      </c>
      <c r="AP727" s="89" t="str">
        <f>+IF($AG727=AP$22,MONTH($D727),"")</f>
        <v/>
      </c>
      <c r="AQ727" s="89" t="str">
        <f>+IF($AG727=AQ$22,MONTH($D727),"")</f>
        <v/>
      </c>
      <c r="AR727" s="89" t="str">
        <f>+IF($AG727=AR$22,MONTH($D727),"")</f>
        <v/>
      </c>
      <c r="AS727" s="89" t="str">
        <f>+IF($AG727=AS$22,MONTH($D727),"")</f>
        <v/>
      </c>
      <c r="AT727" s="89" t="str">
        <f>+IF($AG727=AT$22,MONTH($D727),"")</f>
        <v/>
      </c>
      <c r="AU727" s="89" t="str">
        <f>+IF($AG727=AU$22,MONTH($D727),"")</f>
        <v/>
      </c>
      <c r="AV727" s="89" t="str">
        <f>+IF($AG727=AV$22,MONTH($D727),"")</f>
        <v/>
      </c>
      <c r="AW727" s="86" t="str">
        <f>+IF($AG727=AW$22,MONTH($D727),"")</f>
        <v/>
      </c>
      <c r="AX727" s="86" t="str">
        <f>+IF($AG727=AX$22,MONTH($D727),"")</f>
        <v/>
      </c>
      <c r="AY727" s="89"/>
      <c r="AZ727" s="89"/>
      <c r="BA727" s="89"/>
      <c r="BB727" s="89"/>
      <c r="BC727" s="89"/>
      <c r="BD727" s="89"/>
      <c r="BE727" s="89"/>
      <c r="BF727" s="89"/>
      <c r="BG727" s="89"/>
      <c r="BH727" s="89"/>
      <c r="BI727" s="89"/>
      <c r="BJ727" s="89"/>
      <c r="BK727" s="89"/>
      <c r="BL727" s="89"/>
      <c r="BM727" s="89"/>
      <c r="BN727" s="89"/>
      <c r="BO727" s="89"/>
      <c r="BP727" s="89"/>
    </row>
    <row r="728" spans="1:68" s="306" customFormat="1" ht="13.5" hidden="1">
      <c r="A728" s="204" t="str">
        <f>+IFERROR(VALUE(MID(AB728,4,4)),"")</f>
        <v/>
      </c>
      <c r="B728" s="204">
        <f>VALUE(RIGHT(C728,LEN(C728)-2))</f>
        <v>1995</v>
      </c>
      <c r="C728" s="74" t="s">
        <v>2792</v>
      </c>
      <c r="D728" s="75">
        <v>45364</v>
      </c>
      <c r="E728" s="70" t="s">
        <v>1221</v>
      </c>
      <c r="F728" s="70" t="s">
        <v>1222</v>
      </c>
      <c r="G728" s="68" t="s">
        <v>454</v>
      </c>
      <c r="H728" s="59" t="s">
        <v>2784</v>
      </c>
      <c r="I728" s="162" t="s">
        <v>2793</v>
      </c>
      <c r="J728" s="162"/>
      <c r="K728" s="68" t="s">
        <v>27</v>
      </c>
      <c r="L728" s="69" t="s">
        <v>120</v>
      </c>
      <c r="M728" s="71" t="s">
        <v>141</v>
      </c>
      <c r="N728" s="69" t="e" vm="1">
        <v>#VALUE!</v>
      </c>
      <c r="O728" s="164">
        <v>45366</v>
      </c>
      <c r="P728" s="72" t="s">
        <v>701</v>
      </c>
      <c r="Q728" s="72" t="s">
        <v>229</v>
      </c>
      <c r="R728" s="162"/>
      <c r="S728" s="146"/>
      <c r="T728" s="68" t="s">
        <v>165</v>
      </c>
      <c r="U728" s="87"/>
      <c r="V728" s="183">
        <v>45483</v>
      </c>
      <c r="W728" s="73">
        <v>197</v>
      </c>
      <c r="X728" s="73">
        <v>9</v>
      </c>
      <c r="Y728" s="83">
        <f>IF(SUM(W728:W728)&gt;0,X728/SUM(W728:W728)*1000000,"N/A")</f>
        <v>45685.279187817257</v>
      </c>
      <c r="Z728" s="183"/>
      <c r="AA728" s="183"/>
      <c r="AB728" s="73"/>
      <c r="AC728" s="153"/>
      <c r="AD728" s="331"/>
      <c r="AE728" s="57"/>
      <c r="AF728" s="88"/>
      <c r="AG728" s="182">
        <f>YEAR(V728)</f>
        <v>2024</v>
      </c>
      <c r="AH728" s="86" t="str">
        <f>+IF(AF728=$AI$22,MONTH(U728),"")</f>
        <v/>
      </c>
      <c r="AI728" s="86" t="str">
        <f>+IF(AG728=$AI$22,MONTH(V728),"")</f>
        <v/>
      </c>
      <c r="AJ728" s="86">
        <f>+IF(AG728=$AJ$22,MONTH(V728),"")</f>
        <v>7</v>
      </c>
      <c r="AK728" s="86" t="str">
        <f>+IF(AG728=$AK$22,MONTH(V728),"")</f>
        <v/>
      </c>
      <c r="AL728" s="86"/>
      <c r="AM728" s="89"/>
      <c r="AN728" s="89"/>
      <c r="AO728" s="89"/>
      <c r="AP728" s="89"/>
      <c r="AQ728" s="89"/>
      <c r="AR728" s="89"/>
      <c r="AS728" s="89"/>
      <c r="AT728" s="89"/>
      <c r="AU728" s="89"/>
      <c r="AV728" s="89"/>
      <c r="AW728" s="86" t="str">
        <f>+IF($AG728=AW$22,MONTH($D728),"")</f>
        <v/>
      </c>
      <c r="AX728" s="86" t="str">
        <f>+IF($AG728=AX$22,MONTH($D728),"")</f>
        <v/>
      </c>
      <c r="AY728" s="89"/>
      <c r="AZ728" s="89"/>
      <c r="BA728" s="89"/>
      <c r="BB728" s="89"/>
      <c r="BC728" s="89"/>
      <c r="BD728" s="89"/>
      <c r="BE728" s="89"/>
      <c r="BF728" s="89"/>
      <c r="BG728" s="89"/>
      <c r="BH728" s="89"/>
      <c r="BI728" s="89"/>
      <c r="BJ728" s="89"/>
      <c r="BK728" s="89"/>
      <c r="BL728" s="89"/>
      <c r="BM728" s="89"/>
      <c r="BN728" s="89"/>
      <c r="BO728" s="89"/>
      <c r="BP728" s="89"/>
    </row>
    <row r="729" spans="1:68" s="306" customFormat="1" ht="31.5" hidden="1" customHeight="1">
      <c r="A729" s="204">
        <f>+IFERROR(VALUE(MID(AB729,4,4)),"")</f>
        <v>366</v>
      </c>
      <c r="B729" s="204">
        <f>VALUE(RIGHT(C729,LEN(C729)-2))</f>
        <v>1994</v>
      </c>
      <c r="C729" s="74" t="s">
        <v>2794</v>
      </c>
      <c r="D729" s="75">
        <v>45363</v>
      </c>
      <c r="E729" s="70" t="s">
        <v>479</v>
      </c>
      <c r="F729" s="70" t="s">
        <v>479</v>
      </c>
      <c r="G729" s="68" t="s">
        <v>2795</v>
      </c>
      <c r="H729" s="282" t="s">
        <v>2796</v>
      </c>
      <c r="I729" s="162" t="s">
        <v>2797</v>
      </c>
      <c r="J729" s="162"/>
      <c r="K729" s="68" t="s">
        <v>30</v>
      </c>
      <c r="L729" s="69" t="s">
        <v>129</v>
      </c>
      <c r="M729" s="71" t="s">
        <v>113</v>
      </c>
      <c r="N729" s="69" t="e" vm="2">
        <v>#VALUE!</v>
      </c>
      <c r="O729" s="164">
        <v>45379</v>
      </c>
      <c r="P729" s="72" t="s">
        <v>2798</v>
      </c>
      <c r="Q729" s="72" t="s">
        <v>229</v>
      </c>
      <c r="R729" s="162"/>
      <c r="S729" s="146"/>
      <c r="T729" s="68" t="s">
        <v>3</v>
      </c>
      <c r="U729" s="87"/>
      <c r="V729" s="183">
        <v>45427</v>
      </c>
      <c r="W729" s="73">
        <v>1154</v>
      </c>
      <c r="X729" s="73">
        <v>49.6</v>
      </c>
      <c r="Y729" s="83">
        <f>IF(SUM(W729:W729)&gt;0,X729/SUM(W729:W729)*1000000,"N/A")</f>
        <v>42980.935875216637</v>
      </c>
      <c r="Z729" s="183"/>
      <c r="AA729" s="183"/>
      <c r="AB729" s="73" t="s">
        <v>2799</v>
      </c>
      <c r="AC729" s="153"/>
      <c r="AD729" s="331"/>
      <c r="AE729" s="57"/>
      <c r="AF729" s="88"/>
      <c r="AG729" s="182">
        <f>YEAR(V729)</f>
        <v>2024</v>
      </c>
      <c r="AH729" s="86" t="str">
        <f>+IF(AF729=$AI$22,MONTH(U729),"")</f>
        <v/>
      </c>
      <c r="AI729" s="86" t="str">
        <f>+IF(AG729=$AI$22,MONTH(V729),"")</f>
        <v/>
      </c>
      <c r="AJ729" s="86">
        <f>+IF(AG729=$AJ$22,MONTH(V729),"")</f>
        <v>5</v>
      </c>
      <c r="AK729" s="86" t="str">
        <f>+IF(AG729=$AK$22,MONTH(V729),"")</f>
        <v/>
      </c>
      <c r="AL729" s="86"/>
      <c r="AM729" s="89"/>
      <c r="AN729" s="89"/>
      <c r="AO729" s="89"/>
      <c r="AP729" s="89"/>
      <c r="AQ729" s="89"/>
      <c r="AR729" s="89"/>
      <c r="AS729" s="89"/>
      <c r="AT729" s="89"/>
      <c r="AU729" s="89"/>
      <c r="AV729" s="89"/>
      <c r="AW729" s="86" t="str">
        <f>+IF($AG729=AW$22,MONTH($D729),"")</f>
        <v/>
      </c>
      <c r="AX729" s="86" t="str">
        <f>+IF($AG729=AX$22,MONTH($D729),"")</f>
        <v/>
      </c>
      <c r="AY729" s="89"/>
      <c r="AZ729" s="89"/>
      <c r="BA729" s="89"/>
      <c r="BB729" s="89"/>
      <c r="BC729" s="89"/>
      <c r="BD729" s="89"/>
      <c r="BE729" s="89"/>
      <c r="BF729" s="89"/>
      <c r="BG729" s="89"/>
      <c r="BH729" s="89"/>
      <c r="BI729" s="89"/>
      <c r="BJ729" s="89"/>
      <c r="BK729" s="89"/>
      <c r="BL729" s="89"/>
      <c r="BM729" s="89"/>
      <c r="BN729" s="89"/>
      <c r="BO729" s="89"/>
      <c r="BP729" s="89"/>
    </row>
    <row r="730" spans="1:68" s="56" customFormat="1" ht="32.25" hidden="1" customHeight="1">
      <c r="A730" s="204" t="str">
        <f>+IFERROR(VALUE(MID(AB730,4,4)),"")</f>
        <v/>
      </c>
      <c r="B730" s="204">
        <f>VALUE(RIGHT(C730,LEN(C730)-2))</f>
        <v>1993</v>
      </c>
      <c r="C730" s="74" t="s">
        <v>2800</v>
      </c>
      <c r="D730" s="75">
        <v>45363</v>
      </c>
      <c r="E730" s="70" t="s">
        <v>479</v>
      </c>
      <c r="F730" s="70" t="s">
        <v>479</v>
      </c>
      <c r="G730" s="68" t="s">
        <v>2795</v>
      </c>
      <c r="H730" s="59" t="s">
        <v>2796</v>
      </c>
      <c r="I730" s="162" t="s">
        <v>2801</v>
      </c>
      <c r="J730" s="162"/>
      <c r="K730" s="68" t="s">
        <v>12</v>
      </c>
      <c r="L730" s="69" t="s">
        <v>129</v>
      </c>
      <c r="M730" s="71" t="s">
        <v>113</v>
      </c>
      <c r="N730" s="69" t="e" vm="2">
        <v>#VALUE!</v>
      </c>
      <c r="O730" s="164">
        <v>45379</v>
      </c>
      <c r="P730" s="72" t="s">
        <v>2798</v>
      </c>
      <c r="Q730" s="72" t="s">
        <v>623</v>
      </c>
      <c r="R730" s="162"/>
      <c r="S730" s="146"/>
      <c r="T730" s="68" t="s">
        <v>168</v>
      </c>
      <c r="U730" s="87"/>
      <c r="V730" s="183">
        <v>45383</v>
      </c>
      <c r="W730" s="73"/>
      <c r="X730" s="73"/>
      <c r="Y730" s="83" t="str">
        <f>IF(SUM(W730:W730)&gt;0,X730/SUM(W730:W730)*1000000,"N/A")</f>
        <v>N/A</v>
      </c>
      <c r="Z730" s="183"/>
      <c r="AA730" s="183"/>
      <c r="AB730" s="73"/>
      <c r="AC730" s="153"/>
      <c r="AD730" s="331"/>
      <c r="AE730" s="57"/>
      <c r="AF730" s="88"/>
      <c r="AG730" s="182">
        <f>YEAR(V730)</f>
        <v>2024</v>
      </c>
      <c r="AH730" s="86" t="str">
        <f>+IF(AF730=$AI$22,MONTH(U730),"")</f>
        <v/>
      </c>
      <c r="AI730" s="86" t="str">
        <f>+IF(AG730=$AI$22,MONTH(V730),"")</f>
        <v/>
      </c>
      <c r="AJ730" s="86">
        <f>+IF(AG730=$AJ$22,MONTH(V730),"")</f>
        <v>4</v>
      </c>
      <c r="AK730" s="86" t="str">
        <f>+IF(AG730=$AK$22,MONTH(V730),"")</f>
        <v/>
      </c>
      <c r="AL730" s="86"/>
      <c r="AM730" s="89"/>
      <c r="AN730" s="89"/>
      <c r="AO730" s="89"/>
      <c r="AP730" s="89"/>
      <c r="AQ730" s="89"/>
      <c r="AR730" s="89"/>
      <c r="AS730" s="89"/>
      <c r="AT730" s="89"/>
      <c r="AU730" s="89"/>
      <c r="AV730" s="89"/>
      <c r="AW730" s="86" t="str">
        <f>+IF($AG730=AW$22,MONTH($D730),"")</f>
        <v/>
      </c>
      <c r="AX730" s="86" t="str">
        <f>+IF($AG730=AX$22,MONTH($D730),"")</f>
        <v/>
      </c>
      <c r="AY730" s="89"/>
      <c r="AZ730" s="89"/>
      <c r="BA730" s="89"/>
      <c r="BB730" s="89"/>
      <c r="BC730" s="89"/>
      <c r="BD730" s="89"/>
      <c r="BE730" s="89"/>
      <c r="BF730" s="89"/>
      <c r="BG730" s="89"/>
      <c r="BH730" s="89"/>
      <c r="BI730" s="89"/>
      <c r="BJ730" s="89"/>
      <c r="BK730" s="89"/>
      <c r="BL730" s="89"/>
      <c r="BM730" s="89"/>
      <c r="BN730" s="89"/>
      <c r="BO730" s="89"/>
      <c r="BP730" s="89"/>
    </row>
    <row r="731" spans="1:68" s="56" customFormat="1" ht="27" hidden="1">
      <c r="A731" s="204">
        <f>+IFERROR(VALUE(MID(AB731,4,4)),"")</f>
        <v>271</v>
      </c>
      <c r="B731" s="204">
        <f>VALUE(RIGHT(C731,LEN(C731)-2))</f>
        <v>1992</v>
      </c>
      <c r="C731" s="74" t="s">
        <v>2802</v>
      </c>
      <c r="D731" s="75">
        <v>45363</v>
      </c>
      <c r="E731" s="70" t="s">
        <v>277</v>
      </c>
      <c r="F731" s="70" t="s">
        <v>277</v>
      </c>
      <c r="G731" s="68" t="s">
        <v>2803</v>
      </c>
      <c r="H731" s="59" t="s">
        <v>2804</v>
      </c>
      <c r="I731" s="69" t="s">
        <v>2805</v>
      </c>
      <c r="J731" s="69"/>
      <c r="K731" s="68" t="s">
        <v>31</v>
      </c>
      <c r="L731" s="69" t="s">
        <v>129</v>
      </c>
      <c r="M731" s="71" t="s">
        <v>141</v>
      </c>
      <c r="N731" s="69" t="e" vm="1">
        <v>#VALUE!</v>
      </c>
      <c r="O731" s="164">
        <v>45364</v>
      </c>
      <c r="P731" s="72" t="s">
        <v>2711</v>
      </c>
      <c r="Q731" s="72" t="s">
        <v>623</v>
      </c>
      <c r="R731" s="162"/>
      <c r="S731" s="146"/>
      <c r="T731" s="68" t="s">
        <v>3</v>
      </c>
      <c r="U731" s="87"/>
      <c r="V731" s="183">
        <v>45385</v>
      </c>
      <c r="W731" s="73">
        <v>2311</v>
      </c>
      <c r="X731" s="73">
        <v>114</v>
      </c>
      <c r="Y731" s="83">
        <f>IF(SUM(W731:W731)&gt;0,X731/SUM(W731:W731)*1000000,"N/A")</f>
        <v>49329.294677628735</v>
      </c>
      <c r="Z731" s="183"/>
      <c r="AA731" s="183"/>
      <c r="AB731" s="73" t="s">
        <v>2806</v>
      </c>
      <c r="AC731" s="153"/>
      <c r="AD731" s="331"/>
      <c r="AE731" s="57"/>
      <c r="AF731" s="88"/>
      <c r="AG731" s="182">
        <f>YEAR(V731)</f>
        <v>2024</v>
      </c>
      <c r="AH731" s="86" t="str">
        <f>+IF(AF731=$AI$22,MONTH(U731),"")</f>
        <v/>
      </c>
      <c r="AI731" s="86" t="str">
        <f>+IF(AG731=$AI$22,MONTH(V731),"")</f>
        <v/>
      </c>
      <c r="AJ731" s="86">
        <f>+IF(AG731=$AJ$22,MONTH(V731),"")</f>
        <v>4</v>
      </c>
      <c r="AK731" s="86" t="str">
        <f>+IF(AG731=$AK$22,MONTH(V731),"")</f>
        <v/>
      </c>
      <c r="AL731" s="86" t="str">
        <f>+IF(AG731=$AL$22,MONTH(V731),"")</f>
        <v/>
      </c>
      <c r="AM731" s="86" t="str">
        <f>+IF($AG731=$AM$22,MONTH($D731),"")</f>
        <v/>
      </c>
      <c r="AN731" s="89" t="str">
        <f>+IF($AG731=AN$22,MONTH($D731),"")</f>
        <v/>
      </c>
      <c r="AO731" s="89" t="str">
        <f>+IF($AG731=AO$22,MONTH($D731),"")</f>
        <v/>
      </c>
      <c r="AP731" s="89" t="str">
        <f>+IF($AG731=AP$22,MONTH($D731),"")</f>
        <v/>
      </c>
      <c r="AQ731" s="89" t="str">
        <f>+IF($AG731=AQ$22,MONTH($D731),"")</f>
        <v/>
      </c>
      <c r="AR731" s="89" t="str">
        <f>+IF($AG731=AR$22,MONTH($D731),"")</f>
        <v/>
      </c>
      <c r="AS731" s="89" t="str">
        <f>+IF($AG731=AS$22,MONTH($D731),"")</f>
        <v/>
      </c>
      <c r="AT731" s="89" t="str">
        <f>+IF($AG731=AT$22,MONTH($D731),"")</f>
        <v/>
      </c>
      <c r="AU731" s="89" t="str">
        <f>+IF($AG731=AU$22,MONTH($D731),"")</f>
        <v/>
      </c>
      <c r="AV731" s="89" t="str">
        <f>+IF($AG731=AV$22,MONTH($D731),"")</f>
        <v/>
      </c>
      <c r="AW731" s="86" t="str">
        <f>+IF($AG731=AW$22,MONTH($D731),"")</f>
        <v/>
      </c>
      <c r="AX731" s="86" t="str">
        <f>+IF($AG731=AX$22,MONTH($D731),"")</f>
        <v/>
      </c>
      <c r="AY731" s="89"/>
      <c r="AZ731" s="89"/>
      <c r="BA731" s="89"/>
      <c r="BB731" s="89"/>
      <c r="BC731" s="89"/>
      <c r="BD731" s="89"/>
      <c r="BE731" s="89"/>
      <c r="BF731" s="89"/>
      <c r="BG731" s="89"/>
      <c r="BH731" s="89"/>
      <c r="BI731" s="89"/>
      <c r="BJ731" s="89"/>
      <c r="BK731" s="89"/>
      <c r="BL731" s="89"/>
      <c r="BM731" s="89"/>
      <c r="BN731" s="89"/>
      <c r="BO731" s="89"/>
      <c r="BP731" s="89"/>
    </row>
    <row r="732" spans="1:68" s="306" customFormat="1" ht="67.5" hidden="1">
      <c r="A732" s="204" t="str">
        <f>+IFERROR(VALUE(MID(AB732,4,4)),"")</f>
        <v/>
      </c>
      <c r="B732" s="204">
        <f>VALUE(RIGHT(C732,LEN(C732)-2))</f>
        <v>1991</v>
      </c>
      <c r="C732" s="74" t="s">
        <v>2807</v>
      </c>
      <c r="D732" s="75">
        <v>45363</v>
      </c>
      <c r="E732" s="70" t="s">
        <v>53</v>
      </c>
      <c r="F732" s="70" t="s">
        <v>1379</v>
      </c>
      <c r="G732" s="68" t="s">
        <v>210</v>
      </c>
      <c r="H732" s="59"/>
      <c r="I732" s="162" t="s">
        <v>2808</v>
      </c>
      <c r="J732" s="162"/>
      <c r="K732" s="68" t="s">
        <v>315</v>
      </c>
      <c r="L732" s="69" t="s">
        <v>123</v>
      </c>
      <c r="M732" s="71" t="s">
        <v>141</v>
      </c>
      <c r="N732" s="69" t="e" vm="1">
        <v>#VALUE!</v>
      </c>
      <c r="O732" s="164">
        <v>45565</v>
      </c>
      <c r="P732" s="72" t="s">
        <v>364</v>
      </c>
      <c r="Q732" s="72" t="s">
        <v>316</v>
      </c>
      <c r="R732" s="162"/>
      <c r="S732" s="146" t="s">
        <v>1882</v>
      </c>
      <c r="T732" s="68" t="s">
        <v>165</v>
      </c>
      <c r="U732" s="87"/>
      <c r="V732" s="80">
        <v>45712</v>
      </c>
      <c r="W732" s="73">
        <v>32224</v>
      </c>
      <c r="X732" s="73">
        <v>1380</v>
      </c>
      <c r="Y732" s="83">
        <f>IF(SUM(W732:W732)&gt;0,X732/SUM(W732:W732)*1000000,"N/A")</f>
        <v>42825.223435948363</v>
      </c>
      <c r="Z732" s="80"/>
      <c r="AA732" s="80"/>
      <c r="AB732" s="73"/>
      <c r="AC732" s="153"/>
      <c r="AD732" s="331"/>
      <c r="AE732" s="57"/>
      <c r="AF732" s="88" t="s">
        <v>2809</v>
      </c>
      <c r="AG732" s="182">
        <f>YEAR(V732)</f>
        <v>2025</v>
      </c>
      <c r="AH732" s="86" t="str">
        <f>+IF(AF732=$AI$22,MONTH(U732),"")</f>
        <v/>
      </c>
      <c r="AI732" s="86">
        <f>+IF(AG732=$AI$22,MONTH(V732),"")</f>
        <v>2</v>
      </c>
      <c r="AJ732" s="86" t="str">
        <f>+IF(AG732=$AJ$22,MONTH(V732),"")</f>
        <v/>
      </c>
      <c r="AK732" s="86" t="str">
        <f>+IF(AG732=$AK$22,MONTH(V732),"")</f>
        <v/>
      </c>
      <c r="AL732" s="86"/>
      <c r="AM732" s="89"/>
      <c r="AN732" s="89"/>
      <c r="AO732" s="89"/>
      <c r="AP732" s="89"/>
      <c r="AQ732" s="89"/>
      <c r="AR732" s="89"/>
      <c r="AS732" s="89"/>
      <c r="AT732" s="89"/>
      <c r="AU732" s="89"/>
      <c r="AV732" s="89"/>
      <c r="AW732" s="86" t="str">
        <f>+IF($AG732=AW$22,MONTH($D732),"")</f>
        <v/>
      </c>
      <c r="AX732" s="86" t="str">
        <f>+IF($AG732=AX$22,MONTH($D732),"")</f>
        <v/>
      </c>
      <c r="AY732" s="89"/>
      <c r="AZ732" s="89"/>
      <c r="BA732" s="89"/>
      <c r="BB732" s="89"/>
      <c r="BC732" s="89"/>
      <c r="BD732" s="89"/>
      <c r="BE732" s="89"/>
      <c r="BF732" s="89"/>
      <c r="BG732" s="89"/>
      <c r="BH732" s="89"/>
      <c r="BI732" s="89"/>
      <c r="BJ732" s="89"/>
      <c r="BK732" s="89"/>
      <c r="BL732" s="89"/>
      <c r="BM732" s="89"/>
      <c r="BN732" s="89"/>
      <c r="BO732" s="89"/>
      <c r="BP732" s="89"/>
    </row>
    <row r="733" spans="1:68" s="56" customFormat="1" ht="27" hidden="1" customHeight="1">
      <c r="A733" s="204" t="str">
        <f>+IFERROR(VALUE(MID(AB733,4,4)),"")</f>
        <v/>
      </c>
      <c r="B733" s="204">
        <f>VALUE(RIGHT(C733,LEN(C733)-2))</f>
        <v>1990</v>
      </c>
      <c r="C733" s="74" t="s">
        <v>2810</v>
      </c>
      <c r="D733" s="75">
        <v>45358</v>
      </c>
      <c r="E733" s="70" t="s">
        <v>473</v>
      </c>
      <c r="F733" s="70" t="s">
        <v>473</v>
      </c>
      <c r="G733" s="68" t="s">
        <v>2503</v>
      </c>
      <c r="H733" s="59" t="s">
        <v>2003</v>
      </c>
      <c r="I733" s="162" t="s">
        <v>2811</v>
      </c>
      <c r="J733" s="162"/>
      <c r="K733" s="68" t="s">
        <v>13</v>
      </c>
      <c r="L733" s="69" t="s">
        <v>120</v>
      </c>
      <c r="M733" s="71" t="s">
        <v>141</v>
      </c>
      <c r="N733" s="69" t="e" vm="1">
        <v>#VALUE!</v>
      </c>
      <c r="O733" s="164">
        <v>45376</v>
      </c>
      <c r="P733" s="72" t="s">
        <v>2812</v>
      </c>
      <c r="Q733" s="72" t="s">
        <v>316</v>
      </c>
      <c r="R733" s="162"/>
      <c r="S733" s="146" t="s">
        <v>2813</v>
      </c>
      <c r="T733" s="68" t="s">
        <v>165</v>
      </c>
      <c r="U733" s="87"/>
      <c r="V733" s="183">
        <v>45792</v>
      </c>
      <c r="W733" s="73">
        <v>12222</v>
      </c>
      <c r="X733" s="73">
        <v>509</v>
      </c>
      <c r="Y733" s="83">
        <f>IF(SUM(W733:W733)&gt;0,X733/SUM(W733:W733)*1000000,"N/A")</f>
        <v>41646.21174930453</v>
      </c>
      <c r="Z733" s="183"/>
      <c r="AA733" s="183"/>
      <c r="AB733" s="73"/>
      <c r="AC733" s="153">
        <v>45541</v>
      </c>
      <c r="AD733" s="331"/>
      <c r="AE733" s="57"/>
      <c r="AF733" s="88"/>
      <c r="AG733" s="182">
        <f>YEAR(V733)</f>
        <v>2025</v>
      </c>
      <c r="AH733" s="86" t="str">
        <f>+IF(AF733=$AI$22,MONTH(U733),"")</f>
        <v/>
      </c>
      <c r="AI733" s="86">
        <f>+IF(AG733=$AI$22,MONTH(V733),"")</f>
        <v>5</v>
      </c>
      <c r="AJ733" s="86" t="str">
        <f>+IF(AG733=$AJ$22,MONTH(V733),"")</f>
        <v/>
      </c>
      <c r="AK733" s="86"/>
      <c r="AL733" s="86"/>
      <c r="AM733" s="89"/>
      <c r="AN733" s="89"/>
      <c r="AO733" s="89"/>
      <c r="AP733" s="89"/>
      <c r="AQ733" s="89"/>
      <c r="AR733" s="89"/>
      <c r="AS733" s="89"/>
      <c r="AT733" s="89"/>
      <c r="AU733" s="89"/>
      <c r="AV733" s="89"/>
      <c r="AW733" s="86" t="str">
        <f>+IF($AG733=AW$22,MONTH($D733),"")</f>
        <v/>
      </c>
      <c r="AX733" s="86" t="str">
        <f>+IF($AG733=AX$22,MONTH($D733),"")</f>
        <v/>
      </c>
      <c r="AY733" s="89"/>
      <c r="AZ733" s="89"/>
      <c r="BA733" s="89"/>
      <c r="BB733" s="89"/>
      <c r="BC733" s="89"/>
      <c r="BD733" s="89"/>
      <c r="BE733" s="89"/>
      <c r="BF733" s="89"/>
      <c r="BG733" s="89"/>
      <c r="BH733" s="89"/>
      <c r="BI733" s="89"/>
      <c r="BJ733" s="89"/>
      <c r="BK733" s="89"/>
      <c r="BL733" s="89"/>
      <c r="BM733" s="89"/>
      <c r="BN733" s="89"/>
      <c r="BO733" s="89"/>
      <c r="BP733" s="89"/>
    </row>
    <row r="734" spans="1:68" s="303" customFormat="1" ht="22.5" hidden="1" customHeight="1">
      <c r="A734" s="204">
        <f>+IFERROR(VALUE(MID(AB734,4,4)),"")</f>
        <v>366</v>
      </c>
      <c r="B734" s="204">
        <f>VALUE(RIGHT(C734,LEN(C734)-2))</f>
        <v>1989</v>
      </c>
      <c r="C734" s="74" t="s">
        <v>2814</v>
      </c>
      <c r="D734" s="75">
        <v>45355</v>
      </c>
      <c r="E734" s="70" t="s">
        <v>479</v>
      </c>
      <c r="F734" s="70" t="s">
        <v>479</v>
      </c>
      <c r="G734" s="68" t="s">
        <v>2795</v>
      </c>
      <c r="H734" s="59" t="s">
        <v>2815</v>
      </c>
      <c r="I734" s="162" t="s">
        <v>2816</v>
      </c>
      <c r="J734" s="162"/>
      <c r="K734" s="68" t="s">
        <v>30</v>
      </c>
      <c r="L734" s="69" t="s">
        <v>129</v>
      </c>
      <c r="M734" s="71" t="s">
        <v>113</v>
      </c>
      <c r="N734" s="69" t="e" vm="2">
        <v>#VALUE!</v>
      </c>
      <c r="O734" s="164">
        <v>45379</v>
      </c>
      <c r="P734" s="72" t="s">
        <v>2798</v>
      </c>
      <c r="Q734" s="72" t="s">
        <v>623</v>
      </c>
      <c r="R734" s="162"/>
      <c r="S734" s="146" t="s">
        <v>2253</v>
      </c>
      <c r="T734" s="68" t="s">
        <v>3</v>
      </c>
      <c r="U734" s="87"/>
      <c r="V734" s="183">
        <v>45537</v>
      </c>
      <c r="W734" s="73">
        <v>486</v>
      </c>
      <c r="X734" s="73">
        <f>(111730*168)/1000000</f>
        <v>18.77064</v>
      </c>
      <c r="Y734" s="83">
        <f>IF(SUM(W734:W734)&gt;0,X734/SUM(W734:W734)*1000000,"N/A")</f>
        <v>38622.716049382718</v>
      </c>
      <c r="Z734" s="183"/>
      <c r="AA734" s="183"/>
      <c r="AB734" s="73" t="s">
        <v>2817</v>
      </c>
      <c r="AC734" s="153"/>
      <c r="AD734" s="331"/>
      <c r="AE734" s="57"/>
      <c r="AF734" s="88"/>
      <c r="AG734" s="182">
        <f>YEAR(V734)</f>
        <v>2024</v>
      </c>
      <c r="AH734" s="86" t="str">
        <f>+IF(AF734=$AI$22,MONTH(U734),"")</f>
        <v/>
      </c>
      <c r="AI734" s="86" t="str">
        <f>+IF(AG734=$AI$22,MONTH(V734),"")</f>
        <v/>
      </c>
      <c r="AJ734" s="86">
        <f>+IF(AG734=$AJ$22,MONTH(V734),"")</f>
        <v>9</v>
      </c>
      <c r="AK734" s="86" t="str">
        <f>+IF(AG734=$AK$22,MONTH(V734),"")</f>
        <v/>
      </c>
      <c r="AL734" s="86"/>
      <c r="AM734" s="89"/>
      <c r="AN734" s="89"/>
      <c r="AO734" s="89"/>
      <c r="AP734" s="89"/>
      <c r="AQ734" s="89"/>
      <c r="AR734" s="89"/>
      <c r="AS734" s="89"/>
      <c r="AT734" s="89"/>
      <c r="AU734" s="89"/>
      <c r="AV734" s="89"/>
      <c r="AW734" s="86" t="str">
        <f>+IF($AG734=AW$22,MONTH($D734),"")</f>
        <v/>
      </c>
      <c r="AX734" s="86" t="str">
        <f>+IF($AG734=AX$22,MONTH($D734),"")</f>
        <v/>
      </c>
      <c r="AY734" s="89"/>
      <c r="AZ734" s="89"/>
      <c r="BA734" s="89"/>
      <c r="BB734" s="89"/>
      <c r="BC734" s="89"/>
      <c r="BD734" s="89"/>
      <c r="BE734" s="89"/>
      <c r="BF734" s="89"/>
      <c r="BG734" s="89"/>
      <c r="BH734" s="89"/>
      <c r="BI734" s="89"/>
      <c r="BJ734" s="89"/>
      <c r="BK734" s="89"/>
      <c r="BL734" s="89"/>
      <c r="BM734" s="89"/>
      <c r="BN734" s="89"/>
      <c r="BO734" s="89"/>
      <c r="BP734" s="89"/>
    </row>
    <row r="735" spans="1:68" s="56" customFormat="1" ht="33" hidden="1" customHeight="1">
      <c r="A735" s="204" t="str">
        <f>+IFERROR(VALUE(MID(AB735,4,4)),"")</f>
        <v/>
      </c>
      <c r="B735" s="204">
        <f>VALUE(RIGHT(C735,LEN(C735)-2))</f>
        <v>1988</v>
      </c>
      <c r="C735" s="74" t="s">
        <v>2818</v>
      </c>
      <c r="D735" s="75">
        <v>45357</v>
      </c>
      <c r="E735" s="70" t="s">
        <v>473</v>
      </c>
      <c r="F735" s="70" t="s">
        <v>473</v>
      </c>
      <c r="G735" s="68" t="s">
        <v>2503</v>
      </c>
      <c r="H735" s="59" t="s">
        <v>2003</v>
      </c>
      <c r="I735" s="162" t="s">
        <v>2819</v>
      </c>
      <c r="J735" s="162"/>
      <c r="K735" s="68" t="s">
        <v>13</v>
      </c>
      <c r="L735" s="69" t="s">
        <v>120</v>
      </c>
      <c r="M735" s="71" t="s">
        <v>141</v>
      </c>
      <c r="N735" s="69" t="e" vm="1">
        <v>#VALUE!</v>
      </c>
      <c r="O735" s="164">
        <v>45363</v>
      </c>
      <c r="P735" s="72" t="s">
        <v>2370</v>
      </c>
      <c r="Q735" s="72" t="s">
        <v>316</v>
      </c>
      <c r="R735" s="162"/>
      <c r="S735" s="146" t="s">
        <v>2820</v>
      </c>
      <c r="T735" s="68" t="s">
        <v>155</v>
      </c>
      <c r="U735" s="87"/>
      <c r="V735" s="80">
        <v>45432</v>
      </c>
      <c r="W735" s="73"/>
      <c r="X735" s="73"/>
      <c r="Y735" s="83" t="str">
        <f>IF(SUM(W735:W735)&gt;0,X735/SUM(W735:W735)*1000000,"N/A")</f>
        <v>N/A</v>
      </c>
      <c r="Z735" s="80"/>
      <c r="AA735" s="80"/>
      <c r="AB735" s="73"/>
      <c r="AC735" s="153"/>
      <c r="AD735" s="331"/>
      <c r="AE735" s="57"/>
      <c r="AF735" s="88"/>
      <c r="AG735" s="182">
        <f>YEAR(V735)</f>
        <v>2024</v>
      </c>
      <c r="AH735" s="86" t="str">
        <f>+IF(AF735=$AI$22,MONTH(U735),"")</f>
        <v/>
      </c>
      <c r="AI735" s="86" t="str">
        <f>+IF(AG735=$AI$22,MONTH(V735),"")</f>
        <v/>
      </c>
      <c r="AJ735" s="86">
        <f>+IF(AG735=$AJ$22,MONTH(V735),"")</f>
        <v>5</v>
      </c>
      <c r="AK735" s="86" t="str">
        <f>+IF(AG735=$AK$22,MONTH(V735),"")</f>
        <v/>
      </c>
      <c r="AL735" s="86"/>
      <c r="AM735" s="89"/>
      <c r="AN735" s="89"/>
      <c r="AO735" s="89"/>
      <c r="AP735" s="89"/>
      <c r="AQ735" s="89"/>
      <c r="AR735" s="89"/>
      <c r="AS735" s="89"/>
      <c r="AT735" s="89"/>
      <c r="AU735" s="89"/>
      <c r="AV735" s="89"/>
      <c r="AW735" s="86" t="str">
        <f>+IF($AG735=AW$22,MONTH($D735),"")</f>
        <v/>
      </c>
      <c r="AX735" s="86" t="str">
        <f>+IF($AG735=AX$22,MONTH($D735),"")</f>
        <v/>
      </c>
      <c r="AY735" s="89"/>
      <c r="AZ735" s="89"/>
      <c r="BA735" s="89"/>
      <c r="BB735" s="89"/>
      <c r="BC735" s="89"/>
      <c r="BD735" s="89"/>
      <c r="BE735" s="89"/>
      <c r="BF735" s="89"/>
      <c r="BG735" s="89"/>
      <c r="BH735" s="89"/>
      <c r="BI735" s="89"/>
      <c r="BJ735" s="89"/>
      <c r="BK735" s="89"/>
      <c r="BL735" s="89"/>
      <c r="BM735" s="89"/>
      <c r="BN735" s="89"/>
      <c r="BO735" s="89"/>
      <c r="BP735" s="89"/>
    </row>
    <row r="736" spans="1:68" s="56" customFormat="1" ht="13.5" hidden="1">
      <c r="A736" s="204">
        <f>+IFERROR(VALUE(MID(AB736,4,4)),"")</f>
        <v>388</v>
      </c>
      <c r="B736" s="204">
        <f>VALUE(RIGHT(C736,LEN(C736)-2))</f>
        <v>1987</v>
      </c>
      <c r="C736" s="74" t="s">
        <v>2821</v>
      </c>
      <c r="D736" s="75">
        <v>45295</v>
      </c>
      <c r="E736" s="70" t="s">
        <v>262</v>
      </c>
      <c r="F736" s="70" t="s">
        <v>270</v>
      </c>
      <c r="G736" s="68" t="s">
        <v>1493</v>
      </c>
      <c r="H736" s="59" t="s">
        <v>1494</v>
      </c>
      <c r="I736" s="162" t="s">
        <v>2822</v>
      </c>
      <c r="J736" s="162"/>
      <c r="K736" s="68" t="s">
        <v>42</v>
      </c>
      <c r="L736" s="69" t="s">
        <v>120</v>
      </c>
      <c r="M736" s="71" t="s">
        <v>141</v>
      </c>
      <c r="N736" s="69" t="e" vm="1">
        <v>#VALUE!</v>
      </c>
      <c r="O736" s="164">
        <v>45358</v>
      </c>
      <c r="P736" s="72" t="s">
        <v>402</v>
      </c>
      <c r="Q736" s="72" t="s">
        <v>1097</v>
      </c>
      <c r="R736" s="162"/>
      <c r="S736" s="146" t="s">
        <v>2823</v>
      </c>
      <c r="T736" s="68" t="s">
        <v>3</v>
      </c>
      <c r="U736" s="87"/>
      <c r="V736" s="183">
        <v>45443</v>
      </c>
      <c r="W736" s="73">
        <v>1807</v>
      </c>
      <c r="X736" s="73">
        <v>91</v>
      </c>
      <c r="Y736" s="83">
        <f>IF(SUM(W736:W736)&gt;0,X736/SUM(W736:W736)*1000000,"N/A")</f>
        <v>50359.712230215824</v>
      </c>
      <c r="Z736" s="183"/>
      <c r="AA736" s="183"/>
      <c r="AB736" s="73" t="s">
        <v>2824</v>
      </c>
      <c r="AC736" s="153"/>
      <c r="AD736" s="331"/>
      <c r="AE736" s="57"/>
      <c r="AF736" s="88"/>
      <c r="AG736" s="182">
        <f>YEAR(V736)</f>
        <v>2024</v>
      </c>
      <c r="AH736" s="86" t="str">
        <f>+IF(AF736=$AI$22,MONTH(U736),"")</f>
        <v/>
      </c>
      <c r="AI736" s="86" t="str">
        <f>+IF(AG736=$AI$22,MONTH(V736),"")</f>
        <v/>
      </c>
      <c r="AJ736" s="86">
        <f>+IF(AG736=$AJ$22,MONTH(V736),"")</f>
        <v>5</v>
      </c>
      <c r="AK736" s="86" t="str">
        <f>+IF(AG736=$AK$22,MONTH(V736),"")</f>
        <v/>
      </c>
      <c r="AL736" s="86"/>
      <c r="AM736" s="89"/>
      <c r="AN736" s="89"/>
      <c r="AO736" s="89"/>
      <c r="AP736" s="89"/>
      <c r="AQ736" s="89"/>
      <c r="AR736" s="89"/>
      <c r="AS736" s="89"/>
      <c r="AT736" s="89"/>
      <c r="AU736" s="89"/>
      <c r="AV736" s="89"/>
      <c r="AW736" s="86" t="str">
        <f>+IF($AG736=AW$22,MONTH($D736),"")</f>
        <v/>
      </c>
      <c r="AX736" s="86" t="str">
        <f>+IF($AG736=AX$22,MONTH($D736),"")</f>
        <v/>
      </c>
      <c r="AY736" s="89"/>
      <c r="AZ736" s="89"/>
      <c r="BA736" s="89"/>
      <c r="BB736" s="89"/>
      <c r="BC736" s="89"/>
      <c r="BD736" s="89"/>
      <c r="BE736" s="89"/>
      <c r="BF736" s="89"/>
      <c r="BG736" s="89"/>
      <c r="BH736" s="89"/>
      <c r="BI736" s="89"/>
      <c r="BJ736" s="89"/>
      <c r="BK736" s="89"/>
      <c r="BL736" s="89"/>
      <c r="BM736" s="89"/>
      <c r="BN736" s="89"/>
      <c r="BO736" s="89"/>
      <c r="BP736" s="89"/>
    </row>
    <row r="737" spans="1:68" s="56" customFormat="1" ht="81" hidden="1">
      <c r="A737" s="204" t="str">
        <f>+IFERROR(VALUE(MID(AB737,4,4)),"")</f>
        <v/>
      </c>
      <c r="B737" s="204">
        <f>VALUE(RIGHT(C737,LEN(C737)-2))</f>
        <v>1986</v>
      </c>
      <c r="C737" s="74" t="s">
        <v>2825</v>
      </c>
      <c r="D737" s="75">
        <v>45355</v>
      </c>
      <c r="E737" s="70" t="s">
        <v>479</v>
      </c>
      <c r="F737" s="70" t="s">
        <v>479</v>
      </c>
      <c r="G737" s="68" t="s">
        <v>2826</v>
      </c>
      <c r="H737" s="59" t="s">
        <v>2815</v>
      </c>
      <c r="I737" s="162" t="s">
        <v>2827</v>
      </c>
      <c r="J737" s="162"/>
      <c r="K737" s="68" t="s">
        <v>9</v>
      </c>
      <c r="L737" s="69" t="s">
        <v>129</v>
      </c>
      <c r="M737" s="71" t="s">
        <v>113</v>
      </c>
      <c r="N737" s="69" t="e" vm="2">
        <v>#VALUE!</v>
      </c>
      <c r="O737" s="164">
        <v>45369</v>
      </c>
      <c r="P737" s="72" t="s">
        <v>2828</v>
      </c>
      <c r="Q737" s="72" t="s">
        <v>259</v>
      </c>
      <c r="R737" s="162"/>
      <c r="S737" s="146" t="s">
        <v>2829</v>
      </c>
      <c r="T737" s="68" t="s">
        <v>155</v>
      </c>
      <c r="U737" s="87"/>
      <c r="V737" s="183">
        <v>45355</v>
      </c>
      <c r="W737" s="73"/>
      <c r="X737" s="73"/>
      <c r="Y737" s="83" t="str">
        <f>IF(SUM(W737:W737)&gt;0,X737/SUM(W737:W737)*1000000,"N/A")</f>
        <v>N/A</v>
      </c>
      <c r="Z737" s="183"/>
      <c r="AA737" s="183"/>
      <c r="AB737" s="73"/>
      <c r="AC737" s="153"/>
      <c r="AD737" s="331"/>
      <c r="AE737" s="57"/>
      <c r="AF737" s="88"/>
      <c r="AG737" s="182">
        <f>YEAR(V737)</f>
        <v>2024</v>
      </c>
      <c r="AH737" s="86" t="str">
        <f>+IF(AF737=$AI$22,MONTH(U737),"")</f>
        <v/>
      </c>
      <c r="AI737" s="86" t="str">
        <f>+IF(AG737=$AI$22,MONTH(V737),"")</f>
        <v/>
      </c>
      <c r="AJ737" s="86">
        <f>+IF(AG737=$AJ$22,MONTH(V737),"")</f>
        <v>3</v>
      </c>
      <c r="AK737" s="86" t="str">
        <f>+IF(AG737=$AK$22,MONTH(V737),"")</f>
        <v/>
      </c>
      <c r="AL737" s="86"/>
      <c r="AM737" s="89"/>
      <c r="AN737" s="89"/>
      <c r="AO737" s="89"/>
      <c r="AP737" s="89"/>
      <c r="AQ737" s="89"/>
      <c r="AR737" s="89"/>
      <c r="AS737" s="89"/>
      <c r="AT737" s="89"/>
      <c r="AU737" s="89"/>
      <c r="AV737" s="89"/>
      <c r="AW737" s="86" t="str">
        <f>+IF($AG737=AW$22,MONTH($D737),"")</f>
        <v/>
      </c>
      <c r="AX737" s="86" t="str">
        <f>+IF($AG737=AX$22,MONTH($D737),"")</f>
        <v/>
      </c>
      <c r="AY737" s="89"/>
      <c r="AZ737" s="89"/>
      <c r="BA737" s="89"/>
      <c r="BB737" s="89"/>
      <c r="BC737" s="89"/>
      <c r="BD737" s="89"/>
      <c r="BE737" s="89"/>
      <c r="BF737" s="89"/>
      <c r="BG737" s="89"/>
      <c r="BH737" s="89"/>
      <c r="BI737" s="89"/>
      <c r="BJ737" s="89"/>
      <c r="BK737" s="89"/>
      <c r="BL737" s="89"/>
      <c r="BM737" s="89"/>
      <c r="BN737" s="89"/>
      <c r="BO737" s="89"/>
      <c r="BP737" s="89"/>
    </row>
    <row r="738" spans="1:68" s="56" customFormat="1" ht="42.75" hidden="1" customHeight="1">
      <c r="A738" s="204" t="str">
        <f>+IFERROR(VALUE(MID(AB738,4,4)),"")</f>
        <v/>
      </c>
      <c r="B738" s="204">
        <f>VALUE(RIGHT(C738,LEN(C738)-2))</f>
        <v>1985</v>
      </c>
      <c r="C738" s="74" t="s">
        <v>2830</v>
      </c>
      <c r="D738" s="75">
        <v>45342</v>
      </c>
      <c r="E738" s="70" t="s">
        <v>473</v>
      </c>
      <c r="F738" s="70" t="s">
        <v>473</v>
      </c>
      <c r="G738" s="68" t="s">
        <v>2503</v>
      </c>
      <c r="H738" s="59" t="s">
        <v>2003</v>
      </c>
      <c r="I738" s="162" t="s">
        <v>2831</v>
      </c>
      <c r="J738" s="162"/>
      <c r="K738" s="68" t="s">
        <v>2725</v>
      </c>
      <c r="L738" s="69" t="s">
        <v>120</v>
      </c>
      <c r="M738" s="71" t="s">
        <v>141</v>
      </c>
      <c r="N738" s="69" t="e" vm="1">
        <v>#VALUE!</v>
      </c>
      <c r="O738" s="164">
        <v>45376</v>
      </c>
      <c r="P738" s="72" t="s">
        <v>912</v>
      </c>
      <c r="Q738" s="72" t="s">
        <v>623</v>
      </c>
      <c r="R738" s="162"/>
      <c r="S738" s="146" t="s">
        <v>2832</v>
      </c>
      <c r="T738" s="68" t="s">
        <v>155</v>
      </c>
      <c r="U738" s="87"/>
      <c r="V738" s="183">
        <v>45377</v>
      </c>
      <c r="W738" s="73"/>
      <c r="X738" s="73"/>
      <c r="Y738" s="83" t="str">
        <f>IF(SUM(W738:W738)&gt;0,X738/SUM(W738:W738)*1000000,"N/A")</f>
        <v>N/A</v>
      </c>
      <c r="Z738" s="183"/>
      <c r="AA738" s="183"/>
      <c r="AB738" s="73"/>
      <c r="AC738" s="153"/>
      <c r="AD738" s="331"/>
      <c r="AE738" s="57"/>
      <c r="AF738" s="88"/>
      <c r="AG738" s="182">
        <f>YEAR(V738)</f>
        <v>2024</v>
      </c>
      <c r="AH738" s="86" t="str">
        <f>+IF(AF738=$AI$22,MONTH(U738),"")</f>
        <v/>
      </c>
      <c r="AI738" s="86" t="str">
        <f>+IF(AG738=$AI$22,MONTH(V738),"")</f>
        <v/>
      </c>
      <c r="AJ738" s="86">
        <f>+IF(AG738=$AJ$22,MONTH(V738),"")</f>
        <v>3</v>
      </c>
      <c r="AK738" s="86" t="str">
        <f>+IF(AG738=$AK$22,MONTH(V738),"")</f>
        <v/>
      </c>
      <c r="AL738" s="86"/>
      <c r="AM738" s="89"/>
      <c r="AN738" s="89"/>
      <c r="AO738" s="89"/>
      <c r="AP738" s="89"/>
      <c r="AQ738" s="89"/>
      <c r="AR738" s="89"/>
      <c r="AS738" s="89"/>
      <c r="AT738" s="89"/>
      <c r="AU738" s="89"/>
      <c r="AV738" s="89"/>
      <c r="AW738" s="86" t="str">
        <f>+IF($AG738=AW$22,MONTH($D738),"")</f>
        <v/>
      </c>
      <c r="AX738" s="86" t="str">
        <f>+IF($AG738=AX$22,MONTH($D738),"")</f>
        <v/>
      </c>
      <c r="AY738" s="89"/>
      <c r="AZ738" s="89"/>
      <c r="BA738" s="89"/>
      <c r="BB738" s="89"/>
      <c r="BC738" s="89"/>
      <c r="BD738" s="89"/>
      <c r="BE738" s="89"/>
      <c r="BF738" s="89"/>
      <c r="BG738" s="89"/>
      <c r="BH738" s="89"/>
      <c r="BI738" s="89"/>
      <c r="BJ738" s="89"/>
      <c r="BK738" s="89"/>
      <c r="BL738" s="89"/>
      <c r="BM738" s="89"/>
      <c r="BN738" s="89"/>
      <c r="BO738" s="89"/>
      <c r="BP738" s="89"/>
    </row>
    <row r="739" spans="1:68" s="56" customFormat="1" ht="53.25" hidden="1">
      <c r="A739" s="204" t="str">
        <f>+IFERROR(VALUE(MID(AB739,4,4)),"")</f>
        <v/>
      </c>
      <c r="B739" s="204">
        <f>VALUE(RIGHT(C739,LEN(C739)-2))</f>
        <v>1984</v>
      </c>
      <c r="C739" s="74" t="s">
        <v>2833</v>
      </c>
      <c r="D739" s="75">
        <v>45351</v>
      </c>
      <c r="E739" s="70" t="s">
        <v>2834</v>
      </c>
      <c r="F739" s="70" t="s">
        <v>2835</v>
      </c>
      <c r="G739" s="68" t="s">
        <v>2836</v>
      </c>
      <c r="H739" s="59"/>
      <c r="I739" s="162" t="s">
        <v>2837</v>
      </c>
      <c r="J739" s="162"/>
      <c r="K739" s="68" t="s">
        <v>12</v>
      </c>
      <c r="L739" s="69" t="s">
        <v>123</v>
      </c>
      <c r="M739" s="71" t="s">
        <v>113</v>
      </c>
      <c r="N739" s="69" t="e" vm="3">
        <v>#VALUE!</v>
      </c>
      <c r="O739" s="164">
        <v>45355</v>
      </c>
      <c r="P739" s="72" t="s">
        <v>402</v>
      </c>
      <c r="Q739" s="72" t="s">
        <v>229</v>
      </c>
      <c r="R739" s="162"/>
      <c r="S739" s="146" t="s">
        <v>2838</v>
      </c>
      <c r="T739" s="68" t="s">
        <v>165</v>
      </c>
      <c r="U739" s="87"/>
      <c r="V739" s="183">
        <v>45351</v>
      </c>
      <c r="W739" s="73">
        <v>1582</v>
      </c>
      <c r="X739" s="73">
        <v>75</v>
      </c>
      <c r="Y739" s="83">
        <f>IF(SUM(W739:W739)&gt;0,X739/SUM(W739:W739)*1000000,"N/A")</f>
        <v>47408.34386852086</v>
      </c>
      <c r="Z739" s="183"/>
      <c r="AA739" s="183"/>
      <c r="AB739" s="73"/>
      <c r="AC739" s="153"/>
      <c r="AD739" s="331"/>
      <c r="AE739" s="57"/>
      <c r="AF739" s="88"/>
      <c r="AG739" s="182">
        <f>YEAR(V739)</f>
        <v>2024</v>
      </c>
      <c r="AH739" s="86" t="str">
        <f>+IF(AF739=$AI$22,MONTH(U739),"")</f>
        <v/>
      </c>
      <c r="AI739" s="86" t="str">
        <f>+IF(AG739=$AI$22,MONTH(V739),"")</f>
        <v/>
      </c>
      <c r="AJ739" s="86">
        <f>+IF(AG739=$AJ$22,MONTH(V739),"")</f>
        <v>2</v>
      </c>
      <c r="AK739" s="86" t="str">
        <f>+IF(AG739=$AK$22,MONTH(V739),"")</f>
        <v/>
      </c>
      <c r="AL739" s="86"/>
      <c r="AM739" s="89"/>
      <c r="AN739" s="89"/>
      <c r="AO739" s="89"/>
      <c r="AP739" s="89"/>
      <c r="AQ739" s="89"/>
      <c r="AR739" s="89"/>
      <c r="AS739" s="89"/>
      <c r="AT739" s="89"/>
      <c r="AU739" s="89"/>
      <c r="AV739" s="89"/>
      <c r="AW739" s="86" t="str">
        <f>+IF($AG739=AW$22,MONTH($D739),"")</f>
        <v/>
      </c>
      <c r="AX739" s="86" t="str">
        <f>+IF($AG739=AX$22,MONTH($D739),"")</f>
        <v/>
      </c>
      <c r="AY739" s="89"/>
      <c r="AZ739" s="89"/>
      <c r="BA739" s="89"/>
      <c r="BB739" s="89"/>
      <c r="BC739" s="89"/>
      <c r="BD739" s="89"/>
      <c r="BE739" s="89"/>
      <c r="BF739" s="89"/>
      <c r="BG739" s="89"/>
      <c r="BH739" s="89"/>
      <c r="BI739" s="89"/>
      <c r="BJ739" s="89"/>
      <c r="BK739" s="89"/>
      <c r="BL739" s="89"/>
      <c r="BM739" s="89"/>
      <c r="BN739" s="89"/>
      <c r="BO739" s="89"/>
      <c r="BP739" s="89"/>
    </row>
    <row r="740" spans="1:68" s="56" customFormat="1" ht="13.5" hidden="1">
      <c r="A740" s="204">
        <f>+IFERROR(VALUE(MID(AB740,4,4)),"")</f>
        <v>418</v>
      </c>
      <c r="B740" s="204">
        <f>VALUE(RIGHT(C740,LEN(C740)-2))</f>
        <v>1983</v>
      </c>
      <c r="C740" s="74" t="s">
        <v>2839</v>
      </c>
      <c r="D740" s="75">
        <v>45350</v>
      </c>
      <c r="E740" s="70" t="s">
        <v>2644</v>
      </c>
      <c r="F740" s="70" t="s">
        <v>2840</v>
      </c>
      <c r="G740" s="68" t="s">
        <v>2841</v>
      </c>
      <c r="H740" s="59" t="s">
        <v>2842</v>
      </c>
      <c r="I740" s="162" t="s">
        <v>2843</v>
      </c>
      <c r="J740" s="162"/>
      <c r="K740" s="68" t="s">
        <v>27</v>
      </c>
      <c r="L740" s="69" t="s">
        <v>120</v>
      </c>
      <c r="M740" s="71" t="s">
        <v>141</v>
      </c>
      <c r="N740" s="69" t="e" vm="1">
        <v>#VALUE!</v>
      </c>
      <c r="O740" s="164">
        <v>45371</v>
      </c>
      <c r="P740" s="72" t="s">
        <v>1154</v>
      </c>
      <c r="Q740" s="72" t="s">
        <v>229</v>
      </c>
      <c r="R740" s="162"/>
      <c r="S740" s="146"/>
      <c r="T740" s="68" t="s">
        <v>3</v>
      </c>
      <c r="U740" s="87"/>
      <c r="V740" s="183">
        <v>45659</v>
      </c>
      <c r="W740" s="73">
        <v>7298</v>
      </c>
      <c r="X740" s="73">
        <v>340.4</v>
      </c>
      <c r="Y740" s="83">
        <f>IF(SUM(W740:W740)&gt;0,X740/SUM(W740:W740)*1000000,"N/A")</f>
        <v>46642.91586736092</v>
      </c>
      <c r="Z740" s="183"/>
      <c r="AA740" s="183"/>
      <c r="AB740" s="73" t="s">
        <v>2844</v>
      </c>
      <c r="AC740" s="153"/>
      <c r="AD740" s="331"/>
      <c r="AE740" s="57"/>
      <c r="AF740" s="88"/>
      <c r="AG740" s="182">
        <f>YEAR(V740)</f>
        <v>2025</v>
      </c>
      <c r="AH740" s="86" t="str">
        <f>+IF(AF740=$AI$22,MONTH(U740),"")</f>
        <v/>
      </c>
      <c r="AI740" s="86">
        <f>+IF(AG740=$AI$22,MONTH(V740),"")</f>
        <v>1</v>
      </c>
      <c r="AJ740" s="86" t="str">
        <f>+IF(AG740=$AJ$22,MONTH(V740),"")</f>
        <v/>
      </c>
      <c r="AK740" s="86" t="str">
        <f>+IF(AG740=$AK$22,MONTH(V740),"")</f>
        <v/>
      </c>
      <c r="AL740" s="86"/>
      <c r="AM740" s="89"/>
      <c r="AN740" s="89"/>
      <c r="AO740" s="89"/>
      <c r="AP740" s="89"/>
      <c r="AQ740" s="89"/>
      <c r="AR740" s="89"/>
      <c r="AS740" s="89"/>
      <c r="AT740" s="89"/>
      <c r="AU740" s="89"/>
      <c r="AV740" s="89"/>
      <c r="AW740" s="86" t="str">
        <f>+IF($AG740=AW$22,MONTH($D740),"")</f>
        <v/>
      </c>
      <c r="AX740" s="86" t="str">
        <f>+IF($AG740=AX$22,MONTH($D740),"")</f>
        <v/>
      </c>
      <c r="AY740" s="89"/>
      <c r="AZ740" s="89"/>
      <c r="BA740" s="89"/>
      <c r="BB740" s="89"/>
      <c r="BC740" s="89"/>
      <c r="BD740" s="89"/>
      <c r="BE740" s="89"/>
      <c r="BF740" s="89"/>
      <c r="BG740" s="89"/>
      <c r="BH740" s="89"/>
      <c r="BI740" s="89"/>
      <c r="BJ740" s="89"/>
      <c r="BK740" s="89"/>
      <c r="BL740" s="89"/>
      <c r="BM740" s="89"/>
      <c r="BN740" s="89"/>
      <c r="BO740" s="89"/>
      <c r="BP740" s="89"/>
    </row>
    <row r="741" spans="1:68" s="56" customFormat="1" ht="25.9" hidden="1" customHeight="1">
      <c r="A741" s="204" t="str">
        <f>+IFERROR(VALUE(MID(AB741,4,4)),"")</f>
        <v/>
      </c>
      <c r="B741" s="204">
        <f>VALUE(RIGHT(C741,LEN(C741)-2))</f>
        <v>1982</v>
      </c>
      <c r="C741" s="74" t="s">
        <v>2845</v>
      </c>
      <c r="D741" s="75">
        <v>45309</v>
      </c>
      <c r="E741" s="70" t="s">
        <v>53</v>
      </c>
      <c r="F741" s="70" t="s">
        <v>630</v>
      </c>
      <c r="G741" s="68" t="s">
        <v>210</v>
      </c>
      <c r="H741" s="59"/>
      <c r="I741" s="162" t="s">
        <v>2846</v>
      </c>
      <c r="J741" s="162"/>
      <c r="K741" s="68" t="s">
        <v>12</v>
      </c>
      <c r="L741" s="69" t="s">
        <v>123</v>
      </c>
      <c r="M741" s="71" t="s">
        <v>141</v>
      </c>
      <c r="N741" s="69" t="e" vm="1">
        <v>#VALUE!</v>
      </c>
      <c r="O741" s="164">
        <v>45397</v>
      </c>
      <c r="P741" s="72" t="s">
        <v>267</v>
      </c>
      <c r="Q741" s="72" t="s">
        <v>259</v>
      </c>
      <c r="R741" s="162"/>
      <c r="S741" s="146" t="s">
        <v>2838</v>
      </c>
      <c r="T741" s="68" t="s">
        <v>155</v>
      </c>
      <c r="U741" s="87"/>
      <c r="V741" s="183">
        <v>45350</v>
      </c>
      <c r="W741" s="73"/>
      <c r="X741" s="73"/>
      <c r="Y741" s="83" t="str">
        <f>IF(SUM(W741:W741)&gt;0,X741/SUM(W741:W741)*1000000,"N/A")</f>
        <v>N/A</v>
      </c>
      <c r="Z741" s="183"/>
      <c r="AA741" s="183"/>
      <c r="AB741" s="73"/>
      <c r="AC741" s="153"/>
      <c r="AD741" s="331"/>
      <c r="AE741" s="57"/>
      <c r="AF741" s="88"/>
      <c r="AG741" s="182">
        <f>YEAR(V741)</f>
        <v>2024</v>
      </c>
      <c r="AH741" s="86" t="str">
        <f>+IF(AF741=$AI$22,MONTH(U741),"")</f>
        <v/>
      </c>
      <c r="AI741" s="86" t="str">
        <f>+IF(AG741=$AI$22,MONTH(V741),"")</f>
        <v/>
      </c>
      <c r="AJ741" s="86">
        <f>+IF(AG741=$AJ$22,MONTH(V741),"")</f>
        <v>2</v>
      </c>
      <c r="AK741" s="86" t="str">
        <f>+IF(AG741=$AK$22,MONTH(V741),"")</f>
        <v/>
      </c>
      <c r="AL741" s="86"/>
      <c r="AM741" s="89"/>
      <c r="AN741" s="89"/>
      <c r="AO741" s="89"/>
      <c r="AP741" s="89"/>
      <c r="AQ741" s="89"/>
      <c r="AR741" s="89"/>
      <c r="AS741" s="89"/>
      <c r="AT741" s="89"/>
      <c r="AU741" s="89"/>
      <c r="AV741" s="89"/>
      <c r="AW741" s="86" t="str">
        <f>+IF($AG741=AW$22,MONTH($D741),"")</f>
        <v/>
      </c>
      <c r="AX741" s="86" t="str">
        <f>+IF($AG741=AX$22,MONTH($D741),"")</f>
        <v/>
      </c>
      <c r="AY741" s="89"/>
      <c r="AZ741" s="89"/>
      <c r="BA741" s="89"/>
      <c r="BB741" s="89"/>
      <c r="BC741" s="89"/>
      <c r="BD741" s="89"/>
      <c r="BE741" s="89"/>
      <c r="BF741" s="89"/>
      <c r="BG741" s="89"/>
      <c r="BH741" s="89"/>
      <c r="BI741" s="89"/>
      <c r="BJ741" s="89"/>
      <c r="BK741" s="89"/>
      <c r="BL741" s="89"/>
      <c r="BM741" s="89"/>
      <c r="BN741" s="89"/>
      <c r="BO741" s="89"/>
      <c r="BP741" s="89"/>
    </row>
    <row r="742" spans="1:68" s="89" customFormat="1" ht="20.25" hidden="1" customHeight="1">
      <c r="A742" s="204">
        <f>+IFERROR(VALUE(MID(AB742,4,4)),"")</f>
        <v>374</v>
      </c>
      <c r="B742" s="204">
        <f>VALUE(RIGHT(C742,LEN(C742)-2))</f>
        <v>1981</v>
      </c>
      <c r="C742" s="74" t="s">
        <v>2847</v>
      </c>
      <c r="D742" s="75">
        <v>45349</v>
      </c>
      <c r="E742" s="70" t="s">
        <v>2848</v>
      </c>
      <c r="F742" s="70" t="s">
        <v>270</v>
      </c>
      <c r="G742" s="68" t="s">
        <v>2849</v>
      </c>
      <c r="H742" s="59" t="s">
        <v>2850</v>
      </c>
      <c r="I742" s="162" t="s">
        <v>2851</v>
      </c>
      <c r="J742" s="162"/>
      <c r="K742" s="68" t="s">
        <v>18</v>
      </c>
      <c r="L742" s="69" t="s">
        <v>120</v>
      </c>
      <c r="M742" s="71" t="s">
        <v>141</v>
      </c>
      <c r="N742" s="69" t="e" vm="1">
        <v>#VALUE!</v>
      </c>
      <c r="O742" s="164">
        <v>45349</v>
      </c>
      <c r="P742" s="72" t="s">
        <v>2852</v>
      </c>
      <c r="Q742" s="72" t="s">
        <v>623</v>
      </c>
      <c r="R742" s="162"/>
      <c r="S742" s="146"/>
      <c r="T742" s="68" t="s">
        <v>3</v>
      </c>
      <c r="U742" s="87"/>
      <c r="V742" s="183">
        <v>45349</v>
      </c>
      <c r="W742" s="73">
        <v>155</v>
      </c>
      <c r="X742" s="73">
        <v>7</v>
      </c>
      <c r="Y742" s="83">
        <f>IF(SUM(W742:W742)&gt;0,X742/SUM(W742:W742)*1000000,"N/A")</f>
        <v>45161.290322580644</v>
      </c>
      <c r="Z742" s="183"/>
      <c r="AA742" s="183"/>
      <c r="AB742" s="73" t="s">
        <v>2853</v>
      </c>
      <c r="AC742" s="153"/>
      <c r="AD742" s="331"/>
      <c r="AE742" s="57"/>
      <c r="AF742" s="88"/>
      <c r="AG742" s="182">
        <f>YEAR(V742)</f>
        <v>2024</v>
      </c>
      <c r="AH742" s="86" t="str">
        <f>+IF(AF742=$AI$22,MONTH(U742),"")</f>
        <v/>
      </c>
      <c r="AI742" s="86" t="str">
        <f>+IF(AG742=$AI$22,MONTH(V742),"")</f>
        <v/>
      </c>
      <c r="AJ742" s="86">
        <f>+IF(AG742=$AJ$22,MONTH(V742),"")</f>
        <v>2</v>
      </c>
      <c r="AK742" s="86" t="str">
        <f>+IF(AG742=$AK$22,MONTH(V742),"")</f>
        <v/>
      </c>
      <c r="AL742" s="86"/>
      <c r="AW742" s="86" t="str">
        <f>+IF($AG742=AW$22,MONTH($D742),"")</f>
        <v/>
      </c>
      <c r="AX742" s="86" t="str">
        <f>+IF($AG742=AX$22,MONTH($D742),"")</f>
        <v/>
      </c>
    </row>
    <row r="743" spans="1:68" s="56" customFormat="1" ht="27.75" hidden="1" customHeight="1">
      <c r="A743" s="204" t="str">
        <f>+IFERROR(VALUE(MID(AB743,4,4)),"")</f>
        <v/>
      </c>
      <c r="B743" s="204">
        <f>VALUE(RIGHT(C743,LEN(C743)-2))</f>
        <v>1980</v>
      </c>
      <c r="C743" s="74" t="s">
        <v>2854</v>
      </c>
      <c r="D743" s="75">
        <v>45348</v>
      </c>
      <c r="E743" s="70" t="s">
        <v>745</v>
      </c>
      <c r="F743" s="70" t="s">
        <v>745</v>
      </c>
      <c r="G743" s="68" t="s">
        <v>2855</v>
      </c>
      <c r="H743" s="59" t="s">
        <v>2856</v>
      </c>
      <c r="I743" s="162" t="s">
        <v>2857</v>
      </c>
      <c r="J743" s="162"/>
      <c r="K743" s="68" t="s">
        <v>18</v>
      </c>
      <c r="L743" s="69" t="s">
        <v>120</v>
      </c>
      <c r="M743" s="71" t="s">
        <v>141</v>
      </c>
      <c r="N743" s="69" t="e" vm="1">
        <v>#VALUE!</v>
      </c>
      <c r="O743" s="164">
        <v>45350</v>
      </c>
      <c r="P743" s="72" t="s">
        <v>274</v>
      </c>
      <c r="Q743" s="72" t="s">
        <v>623</v>
      </c>
      <c r="R743" s="162"/>
      <c r="S743" s="146"/>
      <c r="T743" s="94" t="s">
        <v>165</v>
      </c>
      <c r="U743" s="87"/>
      <c r="V743" s="183">
        <v>45348</v>
      </c>
      <c r="W743" s="73">
        <v>1393</v>
      </c>
      <c r="X743" s="73">
        <v>69</v>
      </c>
      <c r="Y743" s="83">
        <f>IF(SUM(W743:W743)&gt;0,X743/SUM(W743:W743)*1000000,"N/A")</f>
        <v>49533.381191672648</v>
      </c>
      <c r="Z743" s="183"/>
      <c r="AA743" s="183"/>
      <c r="AB743" s="73"/>
      <c r="AC743" s="153">
        <v>45541</v>
      </c>
      <c r="AD743" s="331"/>
      <c r="AE743" s="57"/>
      <c r="AF743" s="88"/>
      <c r="AG743" s="182">
        <f>YEAR(V743)</f>
        <v>2024</v>
      </c>
      <c r="AH743" s="86" t="str">
        <f>+IF(AF743=$AI$22,MONTH(U743),"")</f>
        <v/>
      </c>
      <c r="AI743" s="86" t="str">
        <f>+IF(AG743=$AI$22,MONTH(V743),"")</f>
        <v/>
      </c>
      <c r="AJ743" s="86">
        <f>+IF(AG743=$AJ$22,MONTH(V743),"")</f>
        <v>2</v>
      </c>
      <c r="AK743" s="86" t="str">
        <f>+IF(AG743=$AK$22,MONTH(V743),"")</f>
        <v/>
      </c>
      <c r="AL743" s="86" t="str">
        <f>+IF(AG743=$AL$22,MONTH(V743),"")</f>
        <v/>
      </c>
      <c r="AM743" s="86" t="str">
        <f>+IF($AG743=$AM$22,MONTH($D743),"")</f>
        <v/>
      </c>
      <c r="AN743" s="89" t="str">
        <f>+IF($AG743=AN$22,MONTH($D743),"")</f>
        <v/>
      </c>
      <c r="AO743" s="89" t="str">
        <f>+IF($AG743=AO$22,MONTH($D743),"")</f>
        <v/>
      </c>
      <c r="AP743" s="89" t="str">
        <f>+IF($AG743=AP$22,MONTH($D743),"")</f>
        <v/>
      </c>
      <c r="AQ743" s="89" t="str">
        <f>+IF($AG743=AQ$22,MONTH($D743),"")</f>
        <v/>
      </c>
      <c r="AR743" s="89" t="str">
        <f>+IF($AG743=AR$22,MONTH($D743),"")</f>
        <v/>
      </c>
      <c r="AS743" s="89" t="str">
        <f>+IF($AG743=AS$22,MONTH($D743),"")</f>
        <v/>
      </c>
      <c r="AT743" s="89" t="str">
        <f>+IF($AG743=AT$22,MONTH($D743),"")</f>
        <v/>
      </c>
      <c r="AU743" s="89" t="str">
        <f>+IF($AG743=AU$22,MONTH($D743),"")</f>
        <v/>
      </c>
      <c r="AV743" s="89" t="str">
        <f>+IF($AG743=AV$22,MONTH($D743),"")</f>
        <v/>
      </c>
      <c r="AW743" s="86" t="str">
        <f>+IF($AG743=AW$22,MONTH($D743),"")</f>
        <v/>
      </c>
      <c r="AX743" s="86" t="str">
        <f>+IF($AG743=AX$22,MONTH($D743),"")</f>
        <v/>
      </c>
      <c r="AY743" s="89"/>
      <c r="AZ743" s="89"/>
      <c r="BA743" s="89"/>
      <c r="BB743" s="89"/>
      <c r="BC743" s="89"/>
      <c r="BD743" s="89"/>
      <c r="BE743" s="89"/>
      <c r="BF743" s="89"/>
      <c r="BG743" s="89"/>
      <c r="BH743" s="89"/>
      <c r="BI743" s="89"/>
      <c r="BJ743" s="89"/>
      <c r="BK743" s="89"/>
      <c r="BL743" s="89"/>
      <c r="BM743" s="89"/>
      <c r="BN743" s="89"/>
      <c r="BO743" s="89"/>
      <c r="BP743" s="89"/>
    </row>
    <row r="744" spans="1:68" s="56" customFormat="1" ht="32.25" hidden="1" customHeight="1">
      <c r="A744" s="204" t="str">
        <f>+IFERROR(VALUE(MID(AB744,4,4)),"")</f>
        <v/>
      </c>
      <c r="B744" s="204">
        <f>VALUE(RIGHT(C744,LEN(C744)-2))</f>
        <v>1979</v>
      </c>
      <c r="C744" s="74" t="s">
        <v>2858</v>
      </c>
      <c r="D744" s="75">
        <v>45343</v>
      </c>
      <c r="E744" s="70" t="s">
        <v>76</v>
      </c>
      <c r="F744" s="70" t="s">
        <v>630</v>
      </c>
      <c r="G744" s="68" t="s">
        <v>2859</v>
      </c>
      <c r="H744" s="59" t="s">
        <v>2860</v>
      </c>
      <c r="I744" s="162" t="s">
        <v>2861</v>
      </c>
      <c r="J744" s="162"/>
      <c r="K744" s="68" t="s">
        <v>13</v>
      </c>
      <c r="L744" s="69" t="s">
        <v>120</v>
      </c>
      <c r="M744" s="71" t="s">
        <v>141</v>
      </c>
      <c r="N744" s="69" t="e" vm="1">
        <v>#VALUE!</v>
      </c>
      <c r="O744" s="164">
        <v>45345</v>
      </c>
      <c r="P744" s="72" t="s">
        <v>402</v>
      </c>
      <c r="Q744" s="72" t="s">
        <v>229</v>
      </c>
      <c r="R744" s="162"/>
      <c r="S744" s="146"/>
      <c r="T744" s="68" t="s">
        <v>165</v>
      </c>
      <c r="U744" s="87"/>
      <c r="V744" s="183">
        <v>45603</v>
      </c>
      <c r="W744" s="73">
        <v>240</v>
      </c>
      <c r="X744" s="73">
        <v>11</v>
      </c>
      <c r="Y744" s="83">
        <f>IF(SUM(W744:W744)&gt;0,X744/SUM(W744:W744)*1000000,"N/A")</f>
        <v>45833.333333333328</v>
      </c>
      <c r="Z744" s="183"/>
      <c r="AA744" s="183"/>
      <c r="AB744" s="73"/>
      <c r="AC744" s="153">
        <v>45541</v>
      </c>
      <c r="AD744" s="331"/>
      <c r="AE744" s="57"/>
      <c r="AF744" s="88"/>
      <c r="AG744" s="182">
        <f>YEAR(V744)</f>
        <v>2024</v>
      </c>
      <c r="AH744" s="86" t="str">
        <f>+IF(AF744=$AI$22,MONTH(U744),"")</f>
        <v/>
      </c>
      <c r="AI744" s="86" t="str">
        <f>+IF(AG744=$AI$22,MONTH(V744),"")</f>
        <v/>
      </c>
      <c r="AJ744" s="86">
        <f>+IF(AG744=$AJ$22,MONTH(V744),"")</f>
        <v>11</v>
      </c>
      <c r="AK744" s="86" t="str">
        <f>+IF(AG744=$AK$22,MONTH(V744),"")</f>
        <v/>
      </c>
      <c r="AL744" s="86"/>
      <c r="AM744" s="89"/>
      <c r="AN744" s="89"/>
      <c r="AO744" s="89"/>
      <c r="AP744" s="89"/>
      <c r="AQ744" s="89"/>
      <c r="AR744" s="89"/>
      <c r="AS744" s="89"/>
      <c r="AT744" s="89"/>
      <c r="AU744" s="89"/>
      <c r="AV744" s="89"/>
      <c r="AW744" s="86" t="str">
        <f>+IF($AG744=AW$22,MONTH($D744),"")</f>
        <v/>
      </c>
      <c r="AX744" s="86" t="str">
        <f>+IF($AG744=AX$22,MONTH($D744),"")</f>
        <v/>
      </c>
      <c r="AY744" s="89"/>
      <c r="AZ744" s="89"/>
      <c r="BA744" s="89"/>
      <c r="BB744" s="89"/>
      <c r="BC744" s="89"/>
      <c r="BD744" s="89"/>
      <c r="BE744" s="89"/>
      <c r="BF744" s="89"/>
      <c r="BG744" s="89"/>
      <c r="BH744" s="89"/>
      <c r="BI744" s="89"/>
      <c r="BJ744" s="89"/>
      <c r="BK744" s="89"/>
      <c r="BL744" s="89"/>
      <c r="BM744" s="89"/>
      <c r="BN744" s="89"/>
      <c r="BO744" s="89"/>
      <c r="BP744" s="89"/>
    </row>
    <row r="745" spans="1:68" s="56" customFormat="1" ht="24.75" hidden="1" customHeight="1">
      <c r="A745" s="204" t="str">
        <f>+IFERROR(VALUE(MID(AB745,4,4)),"")</f>
        <v/>
      </c>
      <c r="B745" s="204">
        <f>VALUE(RIGHT(C745,LEN(C745)-2))</f>
        <v>1978</v>
      </c>
      <c r="C745" s="74" t="s">
        <v>2862</v>
      </c>
      <c r="D745" s="75">
        <v>45343</v>
      </c>
      <c r="E745" s="70" t="s">
        <v>394</v>
      </c>
      <c r="F745" s="70" t="s">
        <v>2269</v>
      </c>
      <c r="G745" s="68" t="s">
        <v>2270</v>
      </c>
      <c r="H745" s="59" t="s">
        <v>2863</v>
      </c>
      <c r="I745" s="162" t="s">
        <v>2864</v>
      </c>
      <c r="J745" s="162"/>
      <c r="K745" s="68" t="s">
        <v>13</v>
      </c>
      <c r="L745" s="68" t="s">
        <v>120</v>
      </c>
      <c r="M745" s="68" t="s">
        <v>141</v>
      </c>
      <c r="N745" s="69" t="e" vm="1">
        <v>#VALUE!</v>
      </c>
      <c r="O745" s="164">
        <v>45349</v>
      </c>
      <c r="P745" s="72" t="s">
        <v>2273</v>
      </c>
      <c r="Q745" s="72" t="s">
        <v>623</v>
      </c>
      <c r="R745" s="162"/>
      <c r="S745" s="146" t="s">
        <v>2865</v>
      </c>
      <c r="T745" s="68" t="s">
        <v>165</v>
      </c>
      <c r="U745" s="87"/>
      <c r="V745" s="183">
        <v>45603</v>
      </c>
      <c r="W745" s="73">
        <v>233</v>
      </c>
      <c r="X745" s="73">
        <v>10</v>
      </c>
      <c r="Y745" s="83">
        <f>IF(SUM(W745:W745)&gt;0,X745/SUM(W745:W745)*1000000,"N/A")</f>
        <v>42918.454935622314</v>
      </c>
      <c r="Z745" s="183"/>
      <c r="AA745" s="183"/>
      <c r="AB745" s="73"/>
      <c r="AC745" s="153">
        <v>45541</v>
      </c>
      <c r="AD745" s="331"/>
      <c r="AE745" s="57"/>
      <c r="AF745" s="88"/>
      <c r="AG745" s="182">
        <f>YEAR(V745)</f>
        <v>2024</v>
      </c>
      <c r="AH745" s="86" t="str">
        <f>+IF(AF745=$AI$22,MONTH(U745),"")</f>
        <v/>
      </c>
      <c r="AI745" s="86" t="str">
        <f>+IF(AG745=$AI$22,MONTH(V745),"")</f>
        <v/>
      </c>
      <c r="AJ745" s="86">
        <f>+IF(AG745=$AJ$22,MONTH(V745),"")</f>
        <v>11</v>
      </c>
      <c r="AK745" s="86" t="str">
        <f>+IF(AG745=$AK$22,MONTH(V745),"")</f>
        <v/>
      </c>
      <c r="AL745" s="86" t="str">
        <f>+IF(AG745=$AL$22,MONTH(V745),"")</f>
        <v/>
      </c>
      <c r="AM745" s="86" t="str">
        <f>+IF($AG745=$AM$22,MONTH($D745),"")</f>
        <v/>
      </c>
      <c r="AN745" s="89" t="str">
        <f>+IF($AG745=AN$22,MONTH($D745),"")</f>
        <v/>
      </c>
      <c r="AO745" s="89" t="str">
        <f>+IF($AG745=AO$22,MONTH($D745),"")</f>
        <v/>
      </c>
      <c r="AP745" s="89" t="str">
        <f>+IF($AG745=AP$22,MONTH($D745),"")</f>
        <v/>
      </c>
      <c r="AQ745" s="89" t="str">
        <f>+IF($AG745=AQ$22,MONTH($D745),"")</f>
        <v/>
      </c>
      <c r="AR745" s="89" t="str">
        <f>+IF($AG745=AR$22,MONTH($D745),"")</f>
        <v/>
      </c>
      <c r="AS745" s="89" t="str">
        <f>+IF($AG745=AS$22,MONTH($D745),"")</f>
        <v/>
      </c>
      <c r="AT745" s="89" t="str">
        <f>+IF($AG745=AT$22,MONTH($D745),"")</f>
        <v/>
      </c>
      <c r="AU745" s="89" t="str">
        <f>+IF($AG745=AU$22,MONTH($D745),"")</f>
        <v/>
      </c>
      <c r="AV745" s="89" t="str">
        <f>+IF($AG745=AV$22,MONTH($D745),"")</f>
        <v/>
      </c>
      <c r="AW745" s="86" t="str">
        <f>+IF($AG745=AW$22,MONTH($D745),"")</f>
        <v/>
      </c>
      <c r="AX745" s="86" t="str">
        <f>+IF($AG745=AX$22,MONTH($D745),"")</f>
        <v/>
      </c>
      <c r="AY745" s="89"/>
      <c r="AZ745" s="89"/>
      <c r="BA745" s="89"/>
      <c r="BB745" s="89"/>
      <c r="BC745" s="89"/>
      <c r="BD745" s="89"/>
      <c r="BE745" s="89"/>
      <c r="BF745" s="89"/>
      <c r="BG745" s="89"/>
      <c r="BH745" s="89"/>
      <c r="BI745" s="89"/>
      <c r="BJ745" s="89"/>
      <c r="BK745" s="89"/>
      <c r="BL745" s="89"/>
      <c r="BM745" s="89"/>
      <c r="BN745" s="89"/>
      <c r="BO745" s="89"/>
      <c r="BP745" s="89"/>
    </row>
    <row r="746" spans="1:68" s="56" customFormat="1" ht="20.25" hidden="1" customHeight="1">
      <c r="A746" s="204">
        <f>+IFERROR(VALUE(MID(AB746,4,4)),"")</f>
        <v>335</v>
      </c>
      <c r="B746" s="204">
        <f>VALUE(RIGHT(C746,LEN(C746)-2))</f>
        <v>1977</v>
      </c>
      <c r="C746" s="293" t="s">
        <v>2866</v>
      </c>
      <c r="D746" s="156">
        <v>45343</v>
      </c>
      <c r="E746" s="157" t="s">
        <v>1321</v>
      </c>
      <c r="F746" s="70" t="s">
        <v>2065</v>
      </c>
      <c r="G746" s="158" t="s">
        <v>2867</v>
      </c>
      <c r="H746" s="348" t="s">
        <v>2868</v>
      </c>
      <c r="I746" s="349" t="s">
        <v>2869</v>
      </c>
      <c r="J746" s="349"/>
      <c r="K746" s="158" t="s">
        <v>315</v>
      </c>
      <c r="L746" s="71" t="s">
        <v>120</v>
      </c>
      <c r="M746" s="71" t="s">
        <v>141</v>
      </c>
      <c r="N746" s="81" t="e" vm="1">
        <v>#VALUE!</v>
      </c>
      <c r="O746" s="350">
        <v>45343</v>
      </c>
      <c r="P746" s="314" t="s">
        <v>402</v>
      </c>
      <c r="Q746" s="314" t="s">
        <v>623</v>
      </c>
      <c r="R746" s="349"/>
      <c r="S746" s="275" t="s">
        <v>2870</v>
      </c>
      <c r="T746" s="71" t="s">
        <v>165</v>
      </c>
      <c r="U746" s="209"/>
      <c r="V746" s="353">
        <v>45603</v>
      </c>
      <c r="W746" s="113">
        <v>145</v>
      </c>
      <c r="X746" s="113">
        <v>8</v>
      </c>
      <c r="Y746" s="83">
        <f>IF(SUM(W746:W746)&gt;0,X746/SUM(W746:W746)*1000000,"N/A")</f>
        <v>55172.413793103449</v>
      </c>
      <c r="Z746" s="353"/>
      <c r="AA746" s="353"/>
      <c r="AB746" s="113" t="s">
        <v>2871</v>
      </c>
      <c r="AC746" s="210">
        <v>45541</v>
      </c>
      <c r="AD746" s="334"/>
      <c r="AE746" s="62"/>
      <c r="AF746" s="218"/>
      <c r="AG746" s="182">
        <f>YEAR(V746)</f>
        <v>2024</v>
      </c>
      <c r="AH746" s="86" t="str">
        <f>+IF(AF746=$AI$22,MONTH(U746),"")</f>
        <v/>
      </c>
      <c r="AI746" s="86" t="str">
        <f>+IF(AG746=$AI$22,MONTH(V746),"")</f>
        <v/>
      </c>
      <c r="AJ746" s="86">
        <f>+IF(AG746=$AJ$22,MONTH(V746),"")</f>
        <v>11</v>
      </c>
      <c r="AK746" s="86" t="str">
        <f>+IF(AG746=$AK$22,MONTH(V746),"")</f>
        <v/>
      </c>
      <c r="AL746" s="86" t="str">
        <f>+IF(AG746=$AL$22,MONTH(V746),"")</f>
        <v/>
      </c>
      <c r="AM746" s="86" t="str">
        <f>+IF($AG746=$AM$22,MONTH($D746),"")</f>
        <v/>
      </c>
      <c r="AN746" s="89"/>
      <c r="AO746" s="89"/>
      <c r="AP746" s="89"/>
      <c r="AQ746" s="89"/>
      <c r="AR746" s="89"/>
      <c r="AS746" s="89"/>
      <c r="AT746" s="89"/>
      <c r="AU746" s="89"/>
      <c r="AV746" s="89"/>
      <c r="AW746" s="86" t="str">
        <f>+IF($AG746=AW$22,MONTH($D746),"")</f>
        <v/>
      </c>
      <c r="AX746" s="86" t="str">
        <f>+IF($AG746=AX$22,MONTH($D746),"")</f>
        <v/>
      </c>
      <c r="AY746" s="89"/>
      <c r="AZ746" s="89"/>
      <c r="BA746" s="89"/>
      <c r="BB746" s="89"/>
      <c r="BC746" s="89"/>
      <c r="BD746" s="89"/>
      <c r="BE746" s="89"/>
      <c r="BF746" s="89"/>
      <c r="BG746" s="89"/>
      <c r="BH746" s="89"/>
      <c r="BI746" s="89"/>
      <c r="BJ746" s="89"/>
      <c r="BK746" s="89"/>
      <c r="BL746" s="89"/>
      <c r="BM746" s="89"/>
      <c r="BN746" s="89"/>
      <c r="BO746" s="89"/>
      <c r="BP746" s="89"/>
    </row>
    <row r="747" spans="1:68" s="56" customFormat="1" ht="39" hidden="1" customHeight="1">
      <c r="A747" s="204">
        <f>+IFERROR(VALUE(MID(AB747,4,4)),"")</f>
        <v>373</v>
      </c>
      <c r="B747" s="204">
        <f>VALUE(RIGHT(C747,LEN(C747)-2))</f>
        <v>1976</v>
      </c>
      <c r="C747" s="74" t="s">
        <v>2872</v>
      </c>
      <c r="D747" s="75">
        <v>45342</v>
      </c>
      <c r="E747" s="70" t="s">
        <v>473</v>
      </c>
      <c r="F747" s="70" t="s">
        <v>473</v>
      </c>
      <c r="G747" s="68" t="s">
        <v>2503</v>
      </c>
      <c r="H747" s="59" t="s">
        <v>2873</v>
      </c>
      <c r="I747" s="162" t="s">
        <v>2874</v>
      </c>
      <c r="J747" s="162"/>
      <c r="K747" s="68" t="s">
        <v>45</v>
      </c>
      <c r="L747" s="68" t="s">
        <v>120</v>
      </c>
      <c r="M747" s="68" t="s">
        <v>141</v>
      </c>
      <c r="N747" s="69" t="e" vm="1">
        <v>#VALUE!</v>
      </c>
      <c r="O747" s="164">
        <v>45350</v>
      </c>
      <c r="P747" s="72" t="s">
        <v>912</v>
      </c>
      <c r="Q747" s="72" t="s">
        <v>316</v>
      </c>
      <c r="R747" s="162"/>
      <c r="S747" s="146"/>
      <c r="T747" s="68" t="s">
        <v>3</v>
      </c>
      <c r="U747" s="87"/>
      <c r="V747" s="183">
        <v>45342</v>
      </c>
      <c r="W747" s="73">
        <v>898</v>
      </c>
      <c r="X747" s="73">
        <v>37</v>
      </c>
      <c r="Y747" s="83">
        <f>IF(SUM(W747:W747)&gt;0,X747/SUM(W747:W747)*1000000,"N/A")</f>
        <v>41202.672605790642</v>
      </c>
      <c r="Z747" s="183"/>
      <c r="AA747" s="183"/>
      <c r="AB747" s="73" t="s">
        <v>2875</v>
      </c>
      <c r="AC747" s="153"/>
      <c r="AD747" s="331"/>
      <c r="AE747" s="57"/>
      <c r="AF747" s="88"/>
      <c r="AG747" s="182">
        <f>YEAR(V747)</f>
        <v>2024</v>
      </c>
      <c r="AH747" s="86" t="str">
        <f>+IF(AF747=$AI$22,MONTH(U747),"")</f>
        <v/>
      </c>
      <c r="AI747" s="86" t="str">
        <f>+IF(AG747=$AI$22,MONTH(V747),"")</f>
        <v/>
      </c>
      <c r="AJ747" s="86">
        <f>+IF(AG747=$AJ$22,MONTH(V747),"")</f>
        <v>2</v>
      </c>
      <c r="AK747" s="86" t="str">
        <f>+IF(AG747=$AK$22,MONTH(V747),"")</f>
        <v/>
      </c>
      <c r="AL747" s="86"/>
      <c r="AM747" s="89"/>
      <c r="AN747" s="89"/>
      <c r="AO747" s="89"/>
      <c r="AP747" s="89"/>
      <c r="AQ747" s="89"/>
      <c r="AR747" s="89"/>
      <c r="AS747" s="89"/>
      <c r="AT747" s="89"/>
      <c r="AU747" s="89"/>
      <c r="AV747" s="89"/>
      <c r="AW747" s="86" t="str">
        <f>+IF($AG747=AW$22,MONTH($D747),"")</f>
        <v/>
      </c>
      <c r="AX747" s="86" t="str">
        <f>+IF($AG747=AX$22,MONTH($D747),"")</f>
        <v/>
      </c>
      <c r="AY747" s="89"/>
      <c r="AZ747" s="89"/>
      <c r="BA747" s="89"/>
      <c r="BB747" s="89"/>
      <c r="BC747" s="89"/>
      <c r="BD747" s="89"/>
      <c r="BE747" s="89"/>
      <c r="BF747" s="89"/>
      <c r="BG747" s="89"/>
      <c r="BH747" s="89"/>
      <c r="BI747" s="89"/>
      <c r="BJ747" s="89"/>
      <c r="BK747" s="89"/>
      <c r="BL747" s="89"/>
      <c r="BM747" s="89"/>
      <c r="BN747" s="89"/>
      <c r="BO747" s="89"/>
      <c r="BP747" s="89"/>
    </row>
    <row r="748" spans="1:68" s="56" customFormat="1" ht="27" hidden="1">
      <c r="A748" s="204" t="str">
        <f>+IFERROR(VALUE(MID(AB748,4,4)),"")</f>
        <v/>
      </c>
      <c r="B748" s="204">
        <f>VALUE(RIGHT(C748,LEN(C748)-2))</f>
        <v>1975</v>
      </c>
      <c r="C748" s="74" t="s">
        <v>2876</v>
      </c>
      <c r="D748" s="75">
        <v>45336</v>
      </c>
      <c r="E748" s="70" t="s">
        <v>332</v>
      </c>
      <c r="F748" s="70" t="s">
        <v>332</v>
      </c>
      <c r="G748" s="68" t="s">
        <v>333</v>
      </c>
      <c r="H748" s="59" t="s">
        <v>334</v>
      </c>
      <c r="I748" s="162" t="s">
        <v>2877</v>
      </c>
      <c r="J748" s="162"/>
      <c r="K748" s="68" t="s">
        <v>12</v>
      </c>
      <c r="L748" s="68" t="s">
        <v>129</v>
      </c>
      <c r="M748" s="68" t="s">
        <v>141</v>
      </c>
      <c r="N748" s="69" t="e" vm="1">
        <v>#VALUE!</v>
      </c>
      <c r="O748" s="164">
        <v>45355</v>
      </c>
      <c r="P748" s="72" t="s">
        <v>701</v>
      </c>
      <c r="Q748" s="72" t="s">
        <v>837</v>
      </c>
      <c r="R748" s="162"/>
      <c r="S748" s="146"/>
      <c r="T748" s="68" t="s">
        <v>165</v>
      </c>
      <c r="U748" s="87">
        <v>0</v>
      </c>
      <c r="V748" s="183">
        <v>45338</v>
      </c>
      <c r="W748" s="73">
        <v>1187</v>
      </c>
      <c r="X748" s="73">
        <v>47</v>
      </c>
      <c r="Y748" s="83">
        <f>IF(SUM(W748:W748)&gt;0,X748/SUM(W748:W748)*1000000,"N/A")</f>
        <v>39595.619208087614</v>
      </c>
      <c r="Z748" s="183"/>
      <c r="AA748" s="183"/>
      <c r="AB748" s="73"/>
      <c r="AC748" s="153"/>
      <c r="AD748" s="331"/>
      <c r="AE748" s="57"/>
      <c r="AF748" s="88"/>
      <c r="AG748" s="182">
        <f>YEAR(V748)</f>
        <v>2024</v>
      </c>
      <c r="AH748" s="86" t="str">
        <f>+IF(AF748=$AI$22,MONTH(U748),"")</f>
        <v/>
      </c>
      <c r="AI748" s="86" t="str">
        <f>+IF(AG748=$AI$22,MONTH(V748),"")</f>
        <v/>
      </c>
      <c r="AJ748" s="86">
        <f>+IF(AG748=$AJ$22,MONTH(V748),"")</f>
        <v>2</v>
      </c>
      <c r="AK748" s="86" t="str">
        <f>+IF(AG748=$AK$22,MONTH(V748),"")</f>
        <v/>
      </c>
      <c r="AL748" s="86"/>
      <c r="AM748" s="89"/>
      <c r="AN748" s="89"/>
      <c r="AO748" s="89"/>
      <c r="AP748" s="89"/>
      <c r="AQ748" s="89"/>
      <c r="AR748" s="89"/>
      <c r="AS748" s="89"/>
      <c r="AT748" s="89"/>
      <c r="AU748" s="89"/>
      <c r="AV748" s="89"/>
      <c r="AW748" s="86" t="str">
        <f>+IF($AG748=AW$22,MONTH($D748),"")</f>
        <v/>
      </c>
      <c r="AX748" s="86" t="str">
        <f>+IF($AG748=AX$22,MONTH($D748),"")</f>
        <v/>
      </c>
      <c r="AY748" s="89"/>
      <c r="AZ748" s="89"/>
      <c r="BA748" s="89"/>
      <c r="BB748" s="89"/>
      <c r="BC748" s="89"/>
      <c r="BD748" s="89"/>
      <c r="BE748" s="89"/>
      <c r="BF748" s="89"/>
      <c r="BG748" s="89"/>
      <c r="BH748" s="89"/>
      <c r="BI748" s="89"/>
      <c r="BJ748" s="89"/>
      <c r="BK748" s="89"/>
      <c r="BL748" s="89"/>
      <c r="BM748" s="89"/>
      <c r="BN748" s="89"/>
      <c r="BO748" s="89"/>
      <c r="BP748" s="89"/>
    </row>
    <row r="749" spans="1:68" s="258" customFormat="1" ht="27" hidden="1">
      <c r="A749" s="204" t="str">
        <f>+IFERROR(VALUE(MID(AB749,4,4)),"")</f>
        <v/>
      </c>
      <c r="B749" s="204">
        <f>VALUE(RIGHT(C749,LEN(C749)-2))</f>
        <v>1974</v>
      </c>
      <c r="C749" s="74" t="s">
        <v>2878</v>
      </c>
      <c r="D749" s="75">
        <v>45336</v>
      </c>
      <c r="E749" s="70" t="s">
        <v>332</v>
      </c>
      <c r="F749" s="70" t="s">
        <v>332</v>
      </c>
      <c r="G749" s="68" t="s">
        <v>333</v>
      </c>
      <c r="H749" s="59" t="s">
        <v>334</v>
      </c>
      <c r="I749" s="162" t="s">
        <v>2879</v>
      </c>
      <c r="J749" s="162"/>
      <c r="K749" s="68" t="s">
        <v>13</v>
      </c>
      <c r="L749" s="69" t="s">
        <v>129</v>
      </c>
      <c r="M749" s="71" t="s">
        <v>141</v>
      </c>
      <c r="N749" s="69" t="e" vm="1">
        <v>#VALUE!</v>
      </c>
      <c r="O749" s="164">
        <v>45355</v>
      </c>
      <c r="P749" s="72" t="s">
        <v>912</v>
      </c>
      <c r="Q749" s="72" t="s">
        <v>316</v>
      </c>
      <c r="R749" s="162"/>
      <c r="S749" s="146"/>
      <c r="T749" s="68" t="s">
        <v>165</v>
      </c>
      <c r="U749" s="87"/>
      <c r="V749" s="183">
        <v>45355</v>
      </c>
      <c r="W749" s="73">
        <v>1176</v>
      </c>
      <c r="X749" s="73">
        <v>46</v>
      </c>
      <c r="Y749" s="73">
        <f>IF(SUM(W749:W749)&gt;0,X749/SUM(W749:W749)*1000000,"N/A")</f>
        <v>39115.646258503402</v>
      </c>
      <c r="Z749" s="183"/>
      <c r="AA749" s="183"/>
      <c r="AB749" s="73"/>
      <c r="AC749" s="153"/>
      <c r="AD749" s="331"/>
      <c r="AE749" s="57"/>
      <c r="AF749" s="88"/>
      <c r="AG749" s="182">
        <f>YEAR(V749)</f>
        <v>2024</v>
      </c>
      <c r="AH749" s="86" t="str">
        <f>+IF(AF749=$AI$22,MONTH(U749),"")</f>
        <v/>
      </c>
      <c r="AI749" s="86" t="str">
        <f>+IF(AG749=$AI$22,MONTH(V749),"")</f>
        <v/>
      </c>
      <c r="AJ749" s="86">
        <f>+IF(AG749=$AJ$22,MONTH(V749),"")</f>
        <v>3</v>
      </c>
      <c r="AK749" s="86" t="str">
        <f>+IF(AG749=$AK$22,MONTH(V749),"")</f>
        <v/>
      </c>
      <c r="AL749" s="86"/>
      <c r="AM749" s="89"/>
      <c r="AN749" s="89"/>
      <c r="AO749" s="89"/>
      <c r="AP749" s="89"/>
      <c r="AQ749" s="89"/>
      <c r="AR749" s="89"/>
      <c r="AS749" s="89"/>
      <c r="AT749" s="89"/>
      <c r="AU749" s="89"/>
      <c r="AV749" s="89"/>
      <c r="AW749" s="86" t="str">
        <f>+IF($AG749=AW$22,MONTH($D749),"")</f>
        <v/>
      </c>
      <c r="AX749" s="86" t="str">
        <f>+IF($AG749=AX$22,MONTH($D749),"")</f>
        <v/>
      </c>
      <c r="AY749" s="89"/>
      <c r="AZ749" s="89"/>
      <c r="BA749" s="89"/>
      <c r="BB749" s="89"/>
      <c r="BC749" s="89"/>
      <c r="BD749" s="89"/>
      <c r="BE749" s="89"/>
      <c r="BF749" s="89"/>
      <c r="BG749" s="89"/>
      <c r="BH749" s="89"/>
      <c r="BI749" s="89"/>
      <c r="BJ749" s="89"/>
      <c r="BK749" s="89"/>
      <c r="BL749" s="89"/>
      <c r="BM749" s="89"/>
      <c r="BN749" s="89"/>
      <c r="BO749" s="89"/>
      <c r="BP749" s="89"/>
    </row>
    <row r="750" spans="1:68" s="56" customFormat="1" ht="27" hidden="1">
      <c r="A750" s="204">
        <f>+IFERROR(VALUE(MID(AB750,4,4)),"")</f>
        <v>392</v>
      </c>
      <c r="B750" s="204">
        <f>VALUE(RIGHT(C750,LEN(C750)-2))</f>
        <v>1973</v>
      </c>
      <c r="C750" s="74" t="s">
        <v>2880</v>
      </c>
      <c r="D750" s="75">
        <v>45336</v>
      </c>
      <c r="E750" s="70" t="s">
        <v>332</v>
      </c>
      <c r="F750" s="70" t="s">
        <v>332</v>
      </c>
      <c r="G750" s="68" t="s">
        <v>333</v>
      </c>
      <c r="H750" s="59" t="s">
        <v>334</v>
      </c>
      <c r="I750" s="162" t="s">
        <v>2881</v>
      </c>
      <c r="J750" s="162"/>
      <c r="K750" s="68" t="s">
        <v>12</v>
      </c>
      <c r="L750" s="69" t="s">
        <v>129</v>
      </c>
      <c r="M750" s="71" t="s">
        <v>141</v>
      </c>
      <c r="N750" s="69" t="e" vm="1">
        <v>#VALUE!</v>
      </c>
      <c r="O750" s="164">
        <v>45355</v>
      </c>
      <c r="P750" s="72" t="s">
        <v>912</v>
      </c>
      <c r="Q750" s="72" t="s">
        <v>316</v>
      </c>
      <c r="R750" s="162"/>
      <c r="S750" s="146"/>
      <c r="T750" s="68" t="s">
        <v>3</v>
      </c>
      <c r="U750" s="87"/>
      <c r="V750" s="183">
        <v>45357</v>
      </c>
      <c r="W750" s="73">
        <v>773</v>
      </c>
      <c r="X750" s="73">
        <v>30</v>
      </c>
      <c r="Y750" s="83">
        <f>IF(SUM(W750:W750)&gt;0,X750/SUM(W750:W750)*1000000,"N/A")</f>
        <v>38809.831824062094</v>
      </c>
      <c r="Z750" s="183"/>
      <c r="AA750" s="183"/>
      <c r="AB750" s="73" t="s">
        <v>2882</v>
      </c>
      <c r="AC750" s="153"/>
      <c r="AD750" s="331"/>
      <c r="AE750" s="57"/>
      <c r="AF750" s="88"/>
      <c r="AG750" s="182">
        <f>YEAR(V750)</f>
        <v>2024</v>
      </c>
      <c r="AH750" s="86" t="str">
        <f>+IF(AF750=$AI$22,MONTH(U750),"")</f>
        <v/>
      </c>
      <c r="AI750" s="86" t="str">
        <f>+IF(AG750=$AI$22,MONTH(V750),"")</f>
        <v/>
      </c>
      <c r="AJ750" s="86">
        <f>+IF(AG750=$AJ$22,MONTH(V750),"")</f>
        <v>3</v>
      </c>
      <c r="AK750" s="86" t="str">
        <f>+IF(AG750=$AK$22,MONTH(V750),"")</f>
        <v/>
      </c>
      <c r="AL750" s="86"/>
      <c r="AM750" s="89"/>
      <c r="AN750" s="89"/>
      <c r="AO750" s="89"/>
      <c r="AP750" s="89"/>
      <c r="AQ750" s="89"/>
      <c r="AR750" s="89"/>
      <c r="AS750" s="89"/>
      <c r="AT750" s="89"/>
      <c r="AU750" s="89"/>
      <c r="AV750" s="89"/>
      <c r="AW750" s="86" t="str">
        <f>+IF($AG750=AW$22,MONTH($D750),"")</f>
        <v/>
      </c>
      <c r="AX750" s="86" t="str">
        <f>+IF($AG750=AX$22,MONTH($D750),"")</f>
        <v/>
      </c>
      <c r="AY750" s="89"/>
      <c r="AZ750" s="89"/>
      <c r="BA750" s="89"/>
      <c r="BB750" s="89"/>
      <c r="BC750" s="89"/>
      <c r="BD750" s="89"/>
      <c r="BE750" s="89"/>
      <c r="BF750" s="89"/>
      <c r="BG750" s="89"/>
      <c r="BH750" s="89"/>
      <c r="BI750" s="89"/>
      <c r="BJ750" s="89"/>
      <c r="BK750" s="89"/>
      <c r="BL750" s="89"/>
      <c r="BM750" s="89"/>
      <c r="BN750" s="89"/>
      <c r="BO750" s="89"/>
      <c r="BP750" s="89"/>
    </row>
    <row r="751" spans="1:68" s="258" customFormat="1" ht="27" hidden="1">
      <c r="A751" s="204" t="str">
        <f>+IFERROR(VALUE(MID(AB751,4,4)),"")</f>
        <v/>
      </c>
      <c r="B751" s="204">
        <f>VALUE(RIGHT(C751,LEN(C751)-2))</f>
        <v>1972</v>
      </c>
      <c r="C751" s="74" t="s">
        <v>2883</v>
      </c>
      <c r="D751" s="75">
        <v>45336</v>
      </c>
      <c r="E751" s="70" t="s">
        <v>332</v>
      </c>
      <c r="F751" s="70" t="s">
        <v>332</v>
      </c>
      <c r="G751" s="68" t="s">
        <v>333</v>
      </c>
      <c r="H751" s="59" t="s">
        <v>334</v>
      </c>
      <c r="I751" s="162" t="s">
        <v>2884</v>
      </c>
      <c r="J751" s="162"/>
      <c r="K751" s="68" t="s">
        <v>12</v>
      </c>
      <c r="L751" s="69" t="s">
        <v>129</v>
      </c>
      <c r="M751" s="71" t="s">
        <v>141</v>
      </c>
      <c r="N751" s="69" t="e" vm="1">
        <v>#VALUE!</v>
      </c>
      <c r="O751" s="164">
        <v>45355</v>
      </c>
      <c r="P751" s="72" t="s">
        <v>912</v>
      </c>
      <c r="Q751" s="72" t="s">
        <v>316</v>
      </c>
      <c r="R751" s="162"/>
      <c r="S751" s="146"/>
      <c r="T751" s="68" t="s">
        <v>165</v>
      </c>
      <c r="U751" s="87">
        <v>0</v>
      </c>
      <c r="V751" s="183">
        <v>45355</v>
      </c>
      <c r="W751" s="223">
        <v>1272</v>
      </c>
      <c r="X751" s="223">
        <v>48</v>
      </c>
      <c r="Y751" s="83">
        <f>IF(SUM(W751:W751)&gt;0,X751/SUM(W751:W751)*1000000,"N/A")</f>
        <v>37735.849056603773</v>
      </c>
      <c r="Z751" s="183"/>
      <c r="AA751" s="183"/>
      <c r="AB751" s="73"/>
      <c r="AC751" s="153"/>
      <c r="AD751" s="331"/>
      <c r="AE751" s="57"/>
      <c r="AF751" s="88"/>
      <c r="AG751" s="182">
        <f>YEAR(V751)</f>
        <v>2024</v>
      </c>
      <c r="AH751" s="86" t="str">
        <f>+IF(AF751=$AI$22,MONTH(U751),"")</f>
        <v/>
      </c>
      <c r="AI751" s="86" t="str">
        <f>+IF(AG751=$AI$22,MONTH(V751),"")</f>
        <v/>
      </c>
      <c r="AJ751" s="86">
        <f>+IF(AG751=$AJ$22,MONTH(V751),"")</f>
        <v>3</v>
      </c>
      <c r="AK751" s="86" t="str">
        <f>+IF(AG751=$AK$22,MONTH(V751),"")</f>
        <v/>
      </c>
      <c r="AL751" s="86"/>
      <c r="AM751" s="89"/>
      <c r="AN751" s="89"/>
      <c r="AO751" s="89"/>
      <c r="AP751" s="89"/>
      <c r="AQ751" s="89"/>
      <c r="AR751" s="89"/>
      <c r="AS751" s="89"/>
      <c r="AT751" s="89"/>
      <c r="AU751" s="89"/>
      <c r="AV751" s="89"/>
      <c r="AW751" s="86" t="str">
        <f>+IF($AG751=AW$22,MONTH($D751),"")</f>
        <v/>
      </c>
      <c r="AX751" s="86" t="str">
        <f>+IF($AG751=AX$22,MONTH($D751),"")</f>
        <v/>
      </c>
      <c r="AY751" s="89"/>
      <c r="AZ751" s="89"/>
      <c r="BA751" s="89"/>
      <c r="BB751" s="89"/>
      <c r="BC751" s="89"/>
      <c r="BD751" s="89"/>
      <c r="BE751" s="89"/>
      <c r="BF751" s="89"/>
      <c r="BG751" s="89"/>
      <c r="BH751" s="89"/>
      <c r="BI751" s="89"/>
      <c r="BJ751" s="89"/>
      <c r="BK751" s="89"/>
      <c r="BL751" s="89"/>
      <c r="BM751" s="89"/>
      <c r="BN751" s="89"/>
      <c r="BO751" s="89"/>
      <c r="BP751" s="89"/>
    </row>
    <row r="752" spans="1:68" s="56" customFormat="1" ht="27" hidden="1">
      <c r="A752" s="204">
        <f>+IFERROR(VALUE(MID(AB752,4,4)),"")</f>
        <v>372</v>
      </c>
      <c r="B752" s="204">
        <f>VALUE(RIGHT(C752,LEN(C752)-2))</f>
        <v>1971</v>
      </c>
      <c r="C752" s="74" t="s">
        <v>2885</v>
      </c>
      <c r="D752" s="75">
        <v>45334</v>
      </c>
      <c r="E752" s="70" t="s">
        <v>2349</v>
      </c>
      <c r="F752" s="70" t="s">
        <v>2615</v>
      </c>
      <c r="G752" s="68" t="s">
        <v>2616</v>
      </c>
      <c r="H752" s="59" t="s">
        <v>2617</v>
      </c>
      <c r="I752" s="162" t="s">
        <v>2886</v>
      </c>
      <c r="J752" s="162"/>
      <c r="K752" s="68" t="s">
        <v>13</v>
      </c>
      <c r="L752" s="69" t="s">
        <v>120</v>
      </c>
      <c r="M752" s="71" t="s">
        <v>141</v>
      </c>
      <c r="N752" s="69" t="e" vm="1">
        <v>#VALUE!</v>
      </c>
      <c r="O752" s="164">
        <v>45335</v>
      </c>
      <c r="P752" s="72" t="s">
        <v>402</v>
      </c>
      <c r="Q752" s="72" t="s">
        <v>837</v>
      </c>
      <c r="R752" s="162"/>
      <c r="S752" s="146" t="s">
        <v>2887</v>
      </c>
      <c r="T752" s="68" t="s">
        <v>3</v>
      </c>
      <c r="U752" s="87"/>
      <c r="V752" s="183">
        <v>45336</v>
      </c>
      <c r="W752" s="73">
        <v>500</v>
      </c>
      <c r="X752" s="73">
        <v>25</v>
      </c>
      <c r="Y752" s="83">
        <f>IF(SUM(W752:W752)&gt;0,X752/SUM(W752:W752)*1000000,"N/A")</f>
        <v>50000</v>
      </c>
      <c r="Z752" s="183"/>
      <c r="AA752" s="183"/>
      <c r="AB752" s="73" t="s">
        <v>2888</v>
      </c>
      <c r="AC752" s="153"/>
      <c r="AD752" s="331"/>
      <c r="AE752" s="57"/>
      <c r="AF752" s="88"/>
      <c r="AG752" s="182">
        <f>YEAR(V752)</f>
        <v>2024</v>
      </c>
      <c r="AH752" s="86" t="str">
        <f>+IF(AF752=$AI$22,MONTH(U752),"")</f>
        <v/>
      </c>
      <c r="AI752" s="86" t="str">
        <f>+IF(AG752=$AI$22,MONTH(V752),"")</f>
        <v/>
      </c>
      <c r="AJ752" s="86">
        <f>+IF(AG752=$AJ$22,MONTH(V752),"")</f>
        <v>2</v>
      </c>
      <c r="AK752" s="86" t="str">
        <f>+IF(AG752=$AK$22,MONTH(V752),"")</f>
        <v/>
      </c>
      <c r="AL752" s="86"/>
      <c r="AM752" s="89"/>
      <c r="AN752" s="89"/>
      <c r="AO752" s="89"/>
      <c r="AP752" s="89"/>
      <c r="AQ752" s="89"/>
      <c r="AR752" s="89"/>
      <c r="AS752" s="89"/>
      <c r="AT752" s="89"/>
      <c r="AU752" s="89"/>
      <c r="AV752" s="89"/>
      <c r="AW752" s="86" t="str">
        <f>+IF($AG752=AW$22,MONTH($D752),"")</f>
        <v/>
      </c>
      <c r="AX752" s="86" t="str">
        <f>+IF($AG752=AX$22,MONTH($D752),"")</f>
        <v/>
      </c>
      <c r="AY752" s="89"/>
      <c r="AZ752" s="89"/>
      <c r="BA752" s="89"/>
      <c r="BB752" s="89"/>
      <c r="BC752" s="89"/>
      <c r="BD752" s="89"/>
      <c r="BE752" s="89"/>
      <c r="BF752" s="89"/>
      <c r="BG752" s="89"/>
      <c r="BH752" s="89"/>
      <c r="BI752" s="89"/>
      <c r="BJ752" s="89"/>
      <c r="BK752" s="89"/>
      <c r="BL752" s="89"/>
      <c r="BM752" s="89"/>
      <c r="BN752" s="89"/>
      <c r="BO752" s="89"/>
      <c r="BP752" s="89"/>
    </row>
    <row r="753" spans="1:68" s="56" customFormat="1" ht="27" hidden="1">
      <c r="A753" s="204" t="str">
        <f>+IFERROR(VALUE(MID(AB753,4,4)),"")</f>
        <v/>
      </c>
      <c r="B753" s="204">
        <f>VALUE(RIGHT(C753,LEN(C753)-2))</f>
        <v>1970</v>
      </c>
      <c r="C753" s="74" t="s">
        <v>2889</v>
      </c>
      <c r="D753" s="75">
        <v>45335</v>
      </c>
      <c r="E753" s="70" t="s">
        <v>2890</v>
      </c>
      <c r="F753" s="70" t="s">
        <v>460</v>
      </c>
      <c r="G753" s="68" t="s">
        <v>239</v>
      </c>
      <c r="H753" s="59" t="s">
        <v>2891</v>
      </c>
      <c r="I753" s="162" t="s">
        <v>2892</v>
      </c>
      <c r="J753" s="162"/>
      <c r="K753" s="68" t="s">
        <v>18</v>
      </c>
      <c r="L753" s="69" t="s">
        <v>120</v>
      </c>
      <c r="M753" s="71" t="s">
        <v>141</v>
      </c>
      <c r="N753" s="69" t="e" vm="1">
        <v>#VALUE!</v>
      </c>
      <c r="O753" s="164">
        <v>45337</v>
      </c>
      <c r="P753" s="72" t="s">
        <v>402</v>
      </c>
      <c r="Q753" s="72" t="s">
        <v>623</v>
      </c>
      <c r="R753" s="162"/>
      <c r="S753" s="146"/>
      <c r="T753" s="68" t="s">
        <v>165</v>
      </c>
      <c r="U753" s="87"/>
      <c r="V753" s="183">
        <v>45380</v>
      </c>
      <c r="W753" s="73">
        <v>120</v>
      </c>
      <c r="X753" s="73">
        <v>7</v>
      </c>
      <c r="Y753" s="83">
        <f>IF(SUM(W753:W753)&gt;0,X753/SUM(W753:W753)*1000000,"N/A")</f>
        <v>58333.333333333336</v>
      </c>
      <c r="Z753" s="183"/>
      <c r="AA753" s="183"/>
      <c r="AB753" s="73"/>
      <c r="AC753" s="153"/>
      <c r="AD753" s="331"/>
      <c r="AE753" s="57"/>
      <c r="AF753" s="88"/>
      <c r="AG753" s="182">
        <f>YEAR(V753)</f>
        <v>2024</v>
      </c>
      <c r="AH753" s="86" t="str">
        <f>+IF(AF753=$AI$22,MONTH(U753),"")</f>
        <v/>
      </c>
      <c r="AI753" s="86" t="str">
        <f>+IF(AG753=$AI$22,MONTH(V753),"")</f>
        <v/>
      </c>
      <c r="AJ753" s="86">
        <f>+IF(AG753=$AJ$22,MONTH(V753),"")</f>
        <v>3</v>
      </c>
      <c r="AK753" s="86" t="str">
        <f>+IF(AG753=$AK$22,MONTH(V753),"")</f>
        <v/>
      </c>
      <c r="AL753" s="86"/>
      <c r="AM753" s="89"/>
      <c r="AN753" s="89"/>
      <c r="AO753" s="89"/>
      <c r="AP753" s="89"/>
      <c r="AQ753" s="89"/>
      <c r="AR753" s="89"/>
      <c r="AS753" s="89"/>
      <c r="AT753" s="89"/>
      <c r="AU753" s="89"/>
      <c r="AV753" s="89"/>
      <c r="AW753" s="86" t="str">
        <f>+IF($AG753=AW$22,MONTH($D753),"")</f>
        <v/>
      </c>
      <c r="AX753" s="86" t="str">
        <f>+IF($AG753=AX$22,MONTH($D753),"")</f>
        <v/>
      </c>
      <c r="AY753" s="89"/>
      <c r="AZ753" s="89"/>
      <c r="BA753" s="89"/>
      <c r="BB753" s="89"/>
      <c r="BC753" s="89"/>
      <c r="BD753" s="89"/>
      <c r="BE753" s="89"/>
      <c r="BF753" s="89"/>
      <c r="BG753" s="89"/>
      <c r="BH753" s="89"/>
      <c r="BI753" s="89"/>
      <c r="BJ753" s="89"/>
      <c r="BK753" s="89"/>
      <c r="BL753" s="89"/>
      <c r="BM753" s="89"/>
      <c r="BN753" s="89"/>
      <c r="BO753" s="89"/>
      <c r="BP753" s="89"/>
    </row>
    <row r="754" spans="1:68" s="56" customFormat="1" ht="27" hidden="1">
      <c r="A754" s="204" t="str">
        <f>+IFERROR(VALUE(MID(AB754,4,4)),"")</f>
        <v/>
      </c>
      <c r="B754" s="204">
        <f>VALUE(RIGHT(C754,LEN(C754)-2))</f>
        <v>1969</v>
      </c>
      <c r="C754" s="74" t="s">
        <v>2893</v>
      </c>
      <c r="D754" s="75">
        <v>45329</v>
      </c>
      <c r="E754" s="70" t="s">
        <v>1221</v>
      </c>
      <c r="F754" s="70" t="s">
        <v>1222</v>
      </c>
      <c r="G754" s="68" t="s">
        <v>1223</v>
      </c>
      <c r="H754" s="59" t="s">
        <v>1224</v>
      </c>
      <c r="I754" s="162" t="s">
        <v>2894</v>
      </c>
      <c r="J754" s="162"/>
      <c r="K754" s="68" t="s">
        <v>227</v>
      </c>
      <c r="L754" s="69" t="s">
        <v>123</v>
      </c>
      <c r="M754" s="71" t="s">
        <v>141</v>
      </c>
      <c r="N754" s="69" t="e" vm="1">
        <v>#VALUE!</v>
      </c>
      <c r="O754" s="164">
        <v>45335</v>
      </c>
      <c r="P754" s="72" t="s">
        <v>228</v>
      </c>
      <c r="Q754" s="72" t="s">
        <v>405</v>
      </c>
      <c r="R754" s="162"/>
      <c r="S754" s="146"/>
      <c r="T754" s="68" t="s">
        <v>3</v>
      </c>
      <c r="U754" s="87"/>
      <c r="V754" s="183">
        <v>45335</v>
      </c>
      <c r="W754" s="73" t="s">
        <v>134</v>
      </c>
      <c r="X754" s="73" t="s">
        <v>134</v>
      </c>
      <c r="Y754" s="83" t="str">
        <f>IF(SUM(W754:W754)&gt;0,X754/SUM(W754:W754)*1000000,"N/A")</f>
        <v>N/A</v>
      </c>
      <c r="Z754" s="183"/>
      <c r="AA754" s="183"/>
      <c r="AB754" s="73" t="s">
        <v>838</v>
      </c>
      <c r="AC754" s="153"/>
      <c r="AD754" s="331"/>
      <c r="AE754" s="57"/>
      <c r="AF754" s="88"/>
      <c r="AG754" s="182">
        <f>YEAR(V754)</f>
        <v>2024</v>
      </c>
      <c r="AH754" s="86" t="str">
        <f>+IF(AF754=$AI$22,MONTH(U754),"")</f>
        <v/>
      </c>
      <c r="AI754" s="86" t="str">
        <f>+IF(AG754=$AI$22,MONTH(V754),"")</f>
        <v/>
      </c>
      <c r="AJ754" s="86">
        <f>+IF(AG754=$AJ$22,MONTH(V754),"")</f>
        <v>2</v>
      </c>
      <c r="AK754" s="86" t="str">
        <f>+IF(AG754=$AK$22,MONTH(V754),"")</f>
        <v/>
      </c>
      <c r="AL754" s="86"/>
      <c r="AM754" s="89"/>
      <c r="AN754" s="89"/>
      <c r="AO754" s="89"/>
      <c r="AP754" s="89"/>
      <c r="AQ754" s="89"/>
      <c r="AR754" s="89"/>
      <c r="AS754" s="89"/>
      <c r="AT754" s="89"/>
      <c r="AU754" s="89"/>
      <c r="AV754" s="89"/>
      <c r="AW754" s="86" t="str">
        <f>+IF($AG754=AW$22,MONTH($D754),"")</f>
        <v/>
      </c>
      <c r="AX754" s="86" t="str">
        <f>+IF($AG754=AX$22,MONTH($D754),"")</f>
        <v/>
      </c>
      <c r="AY754" s="89"/>
      <c r="AZ754" s="89"/>
      <c r="BA754" s="89"/>
      <c r="BB754" s="89"/>
      <c r="BC754" s="89"/>
      <c r="BD754" s="89"/>
      <c r="BE754" s="89"/>
      <c r="BF754" s="89"/>
      <c r="BG754" s="89"/>
      <c r="BH754" s="89"/>
      <c r="BI754" s="89"/>
      <c r="BJ754" s="89"/>
      <c r="BK754" s="89"/>
      <c r="BL754" s="89"/>
      <c r="BM754" s="89"/>
      <c r="BN754" s="89"/>
      <c r="BO754" s="89"/>
      <c r="BP754" s="89"/>
    </row>
    <row r="755" spans="1:68" s="56" customFormat="1" ht="27" hidden="1">
      <c r="A755" s="204" t="str">
        <f>+IFERROR(VALUE(MID(AB755,4,4)),"")</f>
        <v/>
      </c>
      <c r="B755" s="204">
        <f>VALUE(RIGHT(C755,LEN(C755)-2))</f>
        <v>1968</v>
      </c>
      <c r="C755" s="74" t="s">
        <v>2895</v>
      </c>
      <c r="D755" s="75">
        <v>45327</v>
      </c>
      <c r="E755" s="70" t="s">
        <v>479</v>
      </c>
      <c r="F755" s="70" t="s">
        <v>479</v>
      </c>
      <c r="G755" s="68" t="s">
        <v>2896</v>
      </c>
      <c r="H755" s="59"/>
      <c r="I755" s="162" t="s">
        <v>2897</v>
      </c>
      <c r="J755" s="162"/>
      <c r="K755" s="68" t="s">
        <v>9</v>
      </c>
      <c r="L755" s="69" t="s">
        <v>129</v>
      </c>
      <c r="M755" s="71" t="s">
        <v>113</v>
      </c>
      <c r="N755" s="69" t="e" vm="2">
        <v>#VALUE!</v>
      </c>
      <c r="O755" s="164">
        <v>45797</v>
      </c>
      <c r="P755" s="72" t="s">
        <v>701</v>
      </c>
      <c r="Q755" s="72" t="s">
        <v>229</v>
      </c>
      <c r="R755" s="162"/>
      <c r="S755" s="146"/>
      <c r="T755" s="68" t="s">
        <v>165</v>
      </c>
      <c r="U755" s="87"/>
      <c r="V755" s="183">
        <v>45831</v>
      </c>
      <c r="W755" s="73">
        <v>2663</v>
      </c>
      <c r="X755" s="73">
        <v>92.7</v>
      </c>
      <c r="Y755" s="83">
        <f>IF(SUM(W755:W755)&gt;0,X755/SUM(W755:W755)*1000000,"N/A")</f>
        <v>34810.364250844912</v>
      </c>
      <c r="Z755" s="183"/>
      <c r="AA755" s="183"/>
      <c r="AB755" s="73"/>
      <c r="AC755" s="153"/>
      <c r="AD755" s="331"/>
      <c r="AE755" s="57"/>
      <c r="AF755" s="88"/>
      <c r="AG755" s="182">
        <f>YEAR(V755)</f>
        <v>2025</v>
      </c>
      <c r="AH755" s="86" t="str">
        <f>+IF(AF755=$AI$22,MONTH(U755),"")</f>
        <v/>
      </c>
      <c r="AI755" s="86">
        <f>+IF(AG755=$AI$22,MONTH(V755),"")</f>
        <v>6</v>
      </c>
      <c r="AJ755" s="86" t="str">
        <f>+IF(AG755=$AJ$22,MONTH(V755),"")</f>
        <v/>
      </c>
      <c r="AK755" s="86" t="str">
        <f>+IF(AG755=$AK$22,MONTH(V755),"")</f>
        <v/>
      </c>
      <c r="AL755" s="86"/>
      <c r="AM755" s="89"/>
      <c r="AN755" s="89"/>
      <c r="AO755" s="89"/>
      <c r="AP755" s="89"/>
      <c r="AQ755" s="89"/>
      <c r="AR755" s="89"/>
      <c r="AS755" s="89"/>
      <c r="AT755" s="89"/>
      <c r="AU755" s="89"/>
      <c r="AV755" s="89"/>
      <c r="AW755" s="86" t="str">
        <f>+IF($AG755=AW$22,MONTH($D755),"")</f>
        <v/>
      </c>
      <c r="AX755" s="86" t="str">
        <f>+IF($AG755=AX$22,MONTH($D755),"")</f>
        <v/>
      </c>
      <c r="AY755" s="89"/>
      <c r="AZ755" s="89"/>
      <c r="BA755" s="89"/>
      <c r="BB755" s="89"/>
      <c r="BC755" s="89"/>
      <c r="BD755" s="89"/>
      <c r="BE755" s="89"/>
      <c r="BF755" s="89"/>
      <c r="BG755" s="89"/>
      <c r="BH755" s="89"/>
      <c r="BI755" s="89"/>
      <c r="BJ755" s="89"/>
      <c r="BK755" s="89"/>
      <c r="BL755" s="89"/>
      <c r="BM755" s="89"/>
      <c r="BN755" s="89"/>
      <c r="BO755" s="89"/>
      <c r="BP755" s="89"/>
    </row>
    <row r="756" spans="1:68" s="56" customFormat="1" ht="27" hidden="1">
      <c r="A756" s="204">
        <f>+IFERROR(VALUE(MID(AB756,4,4)),"")</f>
        <v>366</v>
      </c>
      <c r="B756" s="204">
        <f>VALUE(RIGHT(C756,LEN(C756)-2))</f>
        <v>1967</v>
      </c>
      <c r="C756" s="74" t="s">
        <v>2898</v>
      </c>
      <c r="D756" s="75">
        <v>45328</v>
      </c>
      <c r="E756" s="70" t="s">
        <v>479</v>
      </c>
      <c r="F756" s="70" t="s">
        <v>479</v>
      </c>
      <c r="G756" s="68" t="s">
        <v>1580</v>
      </c>
      <c r="H756" s="59" t="s">
        <v>2899</v>
      </c>
      <c r="I756" s="162" t="s">
        <v>2900</v>
      </c>
      <c r="J756" s="162"/>
      <c r="K756" s="68" t="s">
        <v>9</v>
      </c>
      <c r="L756" s="69" t="s">
        <v>129</v>
      </c>
      <c r="M756" s="71" t="s">
        <v>113</v>
      </c>
      <c r="N756" s="69" t="e" vm="2">
        <v>#VALUE!</v>
      </c>
      <c r="O756" s="164">
        <v>45330</v>
      </c>
      <c r="P756" s="72" t="s">
        <v>2901</v>
      </c>
      <c r="Q756" s="72" t="s">
        <v>316</v>
      </c>
      <c r="R756" s="162"/>
      <c r="S756" s="146"/>
      <c r="T756" s="68" t="s">
        <v>3</v>
      </c>
      <c r="U756" s="87"/>
      <c r="V756" s="183">
        <v>45337</v>
      </c>
      <c r="W756" s="73">
        <v>1039</v>
      </c>
      <c r="X756" s="73">
        <v>46.3</v>
      </c>
      <c r="Y756" s="83">
        <f>IF(SUM(W756:W756)&gt;0,X756/SUM(W756:W756)*1000000,"N/A")</f>
        <v>44562.078922040419</v>
      </c>
      <c r="Z756" s="183"/>
      <c r="AA756" s="183"/>
      <c r="AB756" s="73" t="s">
        <v>2902</v>
      </c>
      <c r="AC756" s="153"/>
      <c r="AD756" s="331"/>
      <c r="AE756" s="57"/>
      <c r="AF756" s="88"/>
      <c r="AG756" s="182">
        <f>YEAR(V756)</f>
        <v>2024</v>
      </c>
      <c r="AH756" s="86" t="str">
        <f>+IF(AF756=$AI$22,MONTH(U756),"")</f>
        <v/>
      </c>
      <c r="AI756" s="86" t="str">
        <f>+IF(AG756=$AI$22,MONTH(V756),"")</f>
        <v/>
      </c>
      <c r="AJ756" s="86">
        <f>+IF(AG756=$AJ$22,MONTH(V756),"")</f>
        <v>2</v>
      </c>
      <c r="AK756" s="86" t="str">
        <f>+IF(AG756=$AK$22,MONTH(V756),"")</f>
        <v/>
      </c>
      <c r="AL756" s="86"/>
      <c r="AM756" s="89"/>
      <c r="AN756" s="89"/>
      <c r="AO756" s="89"/>
      <c r="AP756" s="89"/>
      <c r="AQ756" s="89"/>
      <c r="AR756" s="89"/>
      <c r="AS756" s="89"/>
      <c r="AT756" s="89"/>
      <c r="AU756" s="89"/>
      <c r="AV756" s="89"/>
      <c r="AW756" s="86" t="str">
        <f>+IF($AG756=AW$22,MONTH($D756),"")</f>
        <v/>
      </c>
      <c r="AX756" s="86" t="str">
        <f>+IF($AG756=AX$22,MONTH($D756),"")</f>
        <v/>
      </c>
      <c r="AY756" s="89"/>
      <c r="AZ756" s="89"/>
      <c r="BA756" s="89"/>
      <c r="BB756" s="89"/>
      <c r="BC756" s="89"/>
      <c r="BD756" s="89"/>
      <c r="BE756" s="89"/>
      <c r="BF756" s="89"/>
      <c r="BG756" s="89"/>
      <c r="BH756" s="89"/>
      <c r="BI756" s="89"/>
      <c r="BJ756" s="89"/>
      <c r="BK756" s="89"/>
      <c r="BL756" s="89"/>
      <c r="BM756" s="89"/>
      <c r="BN756" s="89"/>
      <c r="BO756" s="89"/>
      <c r="BP756" s="89"/>
    </row>
    <row r="757" spans="1:68" s="56" customFormat="1" ht="27" hidden="1">
      <c r="A757" s="204" t="str">
        <f>+IFERROR(VALUE(MID(AB757,4,4)),"")</f>
        <v/>
      </c>
      <c r="B757" s="204">
        <f>VALUE(RIGHT(C757,LEN(C757)-2))</f>
        <v>1966</v>
      </c>
      <c r="C757" s="74" t="s">
        <v>2903</v>
      </c>
      <c r="D757" s="75">
        <v>45323</v>
      </c>
      <c r="E757" s="70" t="s">
        <v>223</v>
      </c>
      <c r="F757" s="70" t="s">
        <v>223</v>
      </c>
      <c r="G757" s="68" t="s">
        <v>2904</v>
      </c>
      <c r="H757" s="59" t="s">
        <v>2905</v>
      </c>
      <c r="I757" s="162" t="s">
        <v>2906</v>
      </c>
      <c r="J757" s="162"/>
      <c r="K757" s="68" t="s">
        <v>11</v>
      </c>
      <c r="L757" s="69" t="s">
        <v>123</v>
      </c>
      <c r="M757" s="71" t="s">
        <v>141</v>
      </c>
      <c r="N757" s="69" t="e" vm="1">
        <v>#VALUE!</v>
      </c>
      <c r="O757" s="164" t="s">
        <v>213</v>
      </c>
      <c r="P757" s="72" t="s">
        <v>749</v>
      </c>
      <c r="Q757" s="72" t="s">
        <v>229</v>
      </c>
      <c r="R757" s="162"/>
      <c r="S757" s="146"/>
      <c r="T757" s="68" t="s">
        <v>155</v>
      </c>
      <c r="U757" s="87"/>
      <c r="V757" s="183">
        <v>45327</v>
      </c>
      <c r="W757" s="73"/>
      <c r="X757" s="73"/>
      <c r="Y757" s="83" t="str">
        <f>IF(SUM(W757:W757)&gt;0,X757/SUM(W757:W757)*1000000,"N/A")</f>
        <v>N/A</v>
      </c>
      <c r="Z757" s="183"/>
      <c r="AA757" s="183"/>
      <c r="AB757" s="73"/>
      <c r="AC757" s="153"/>
      <c r="AD757" s="331"/>
      <c r="AE757" s="57"/>
      <c r="AF757" s="88"/>
      <c r="AG757" s="182">
        <f>YEAR(V757)</f>
        <v>2024</v>
      </c>
      <c r="AH757" s="86" t="str">
        <f>+IF(AF757=$AI$22,MONTH(U757),"")</f>
        <v/>
      </c>
      <c r="AI757" s="86" t="str">
        <f>+IF(AG757=$AI$22,MONTH(V757),"")</f>
        <v/>
      </c>
      <c r="AJ757" s="86">
        <f>+IF(AG757=$AJ$22,MONTH(V757),"")</f>
        <v>2</v>
      </c>
      <c r="AK757" s="86" t="str">
        <f>+IF(AG757=$AK$22,MONTH(V757),"")</f>
        <v/>
      </c>
      <c r="AL757" s="86" t="str">
        <f>+IF(AG757=$AL$22,MONTH(V757),"")</f>
        <v/>
      </c>
      <c r="AM757" s="86" t="str">
        <f>+IF($AG757=$AM$22,MONTH($D757),"")</f>
        <v/>
      </c>
      <c r="AN757" s="89" t="str">
        <f>+IF($AG757=AN$22,MONTH($D757),"")</f>
        <v/>
      </c>
      <c r="AO757" s="89" t="str">
        <f>+IF($AG757=AO$22,MONTH($D757),"")</f>
        <v/>
      </c>
      <c r="AP757" s="89" t="str">
        <f>+IF($AG757=AP$22,MONTH($D757),"")</f>
        <v/>
      </c>
      <c r="AQ757" s="89" t="str">
        <f>+IF($AG757=AQ$22,MONTH($D757),"")</f>
        <v/>
      </c>
      <c r="AR757" s="89" t="str">
        <f>+IF($AG757=AR$22,MONTH($D757),"")</f>
        <v/>
      </c>
      <c r="AS757" s="89" t="str">
        <f>+IF($AG757=AS$22,MONTH($D757),"")</f>
        <v/>
      </c>
      <c r="AT757" s="89" t="str">
        <f>+IF($AG757=AT$22,MONTH($D757),"")</f>
        <v/>
      </c>
      <c r="AU757" s="89" t="str">
        <f>+IF($AG757=AU$22,MONTH($D757),"")</f>
        <v/>
      </c>
      <c r="AV757" s="89" t="str">
        <f>+IF($AG757=AV$22,MONTH($D757),"")</f>
        <v/>
      </c>
      <c r="AW757" s="86" t="str">
        <f>+IF($AG757=AW$22,MONTH($D757),"")</f>
        <v/>
      </c>
      <c r="AX757" s="86" t="str">
        <f>+IF($AG757=AX$22,MONTH($D757),"")</f>
        <v/>
      </c>
      <c r="AY757" s="89"/>
      <c r="AZ757" s="89"/>
      <c r="BA757" s="89"/>
      <c r="BB757" s="89"/>
      <c r="BC757" s="89"/>
      <c r="BD757" s="89"/>
      <c r="BE757" s="89"/>
      <c r="BF757" s="89"/>
      <c r="BG757" s="89"/>
      <c r="BH757" s="89"/>
      <c r="BI757" s="89"/>
      <c r="BJ757" s="89"/>
      <c r="BK757" s="89"/>
      <c r="BL757" s="89"/>
      <c r="BM757" s="89"/>
      <c r="BN757" s="89"/>
      <c r="BO757" s="89"/>
      <c r="BP757" s="89"/>
    </row>
    <row r="758" spans="1:68" s="56" customFormat="1" ht="27" hidden="1">
      <c r="A758" s="204" t="str">
        <f>+IFERROR(VALUE(MID(AB758,4,4)),"")</f>
        <v/>
      </c>
      <c r="B758" s="204">
        <f>VALUE(RIGHT(C758,LEN(C758)-2))</f>
        <v>1965</v>
      </c>
      <c r="C758" s="74" t="s">
        <v>2907</v>
      </c>
      <c r="D758" s="75">
        <v>45320</v>
      </c>
      <c r="E758" s="70" t="s">
        <v>479</v>
      </c>
      <c r="F758" s="70" t="s">
        <v>479</v>
      </c>
      <c r="G758" s="68" t="s">
        <v>1737</v>
      </c>
      <c r="H758" s="59" t="s">
        <v>1738</v>
      </c>
      <c r="I758" s="162" t="s">
        <v>2908</v>
      </c>
      <c r="J758" s="162"/>
      <c r="K758" s="68" t="s">
        <v>30</v>
      </c>
      <c r="L758" s="69" t="s">
        <v>129</v>
      </c>
      <c r="M758" s="71" t="s">
        <v>113</v>
      </c>
      <c r="N758" s="69" t="e" vm="2">
        <v>#VALUE!</v>
      </c>
      <c r="O758" s="164">
        <v>45331</v>
      </c>
      <c r="P758" s="72" t="s">
        <v>2828</v>
      </c>
      <c r="Q758" s="72" t="s">
        <v>229</v>
      </c>
      <c r="R758" s="162"/>
      <c r="S758" s="146"/>
      <c r="T758" s="68" t="s">
        <v>165</v>
      </c>
      <c r="U758" s="87"/>
      <c r="V758" s="183">
        <v>45383</v>
      </c>
      <c r="W758" s="73">
        <v>2819</v>
      </c>
      <c r="X758" s="73">
        <v>116</v>
      </c>
      <c r="Y758" s="83">
        <f>IF(SUM(W758:W758)&gt;0,X758/SUM(W758:W758)*1000000,"N/A")</f>
        <v>41149.343738914511</v>
      </c>
      <c r="Z758" s="183"/>
      <c r="AA758" s="183"/>
      <c r="AB758" s="73"/>
      <c r="AC758" s="153"/>
      <c r="AD758" s="331"/>
      <c r="AE758" s="57"/>
      <c r="AF758" s="88"/>
      <c r="AG758" s="182">
        <f>YEAR(V758)</f>
        <v>2024</v>
      </c>
      <c r="AH758" s="86" t="str">
        <f>+IF(AF758=$AI$22,MONTH(U758),"")</f>
        <v/>
      </c>
      <c r="AI758" s="86" t="str">
        <f>+IF(AG758=$AI$22,MONTH(V758),"")</f>
        <v/>
      </c>
      <c r="AJ758" s="86">
        <f>+IF(AG758=$AJ$22,MONTH(V758),"")</f>
        <v>4</v>
      </c>
      <c r="AK758" s="86" t="str">
        <f>+IF(AG758=$AK$22,MONTH(V758),"")</f>
        <v/>
      </c>
      <c r="AL758" s="86"/>
      <c r="AM758" s="89"/>
      <c r="AN758" s="89"/>
      <c r="AO758" s="89"/>
      <c r="AP758" s="89"/>
      <c r="AQ758" s="89"/>
      <c r="AR758" s="89"/>
      <c r="AS758" s="89"/>
      <c r="AT758" s="89"/>
      <c r="AU758" s="89"/>
      <c r="AV758" s="89"/>
      <c r="AW758" s="86" t="str">
        <f>+IF($AG758=AW$22,MONTH($D758),"")</f>
        <v/>
      </c>
      <c r="AX758" s="86" t="str">
        <f>+IF($AG758=AX$22,MONTH($D758),"")</f>
        <v/>
      </c>
      <c r="AY758" s="89"/>
      <c r="AZ758" s="89"/>
      <c r="BA758" s="89"/>
      <c r="BB758" s="89"/>
      <c r="BC758" s="89"/>
      <c r="BD758" s="89"/>
      <c r="BE758" s="89"/>
      <c r="BF758" s="89"/>
      <c r="BG758" s="89"/>
      <c r="BH758" s="89"/>
      <c r="BI758" s="89"/>
      <c r="BJ758" s="89"/>
      <c r="BK758" s="89"/>
      <c r="BL758" s="89"/>
      <c r="BM758" s="89"/>
      <c r="BN758" s="89"/>
      <c r="BO758" s="89"/>
      <c r="BP758" s="89"/>
    </row>
    <row r="759" spans="1:68" s="56" customFormat="1" ht="27" hidden="1">
      <c r="A759" s="204" t="str">
        <f>+IFERROR(VALUE(MID(AB759,4,4)),"")</f>
        <v/>
      </c>
      <c r="B759" s="204">
        <f>VALUE(RIGHT(C759,LEN(C759)-2))</f>
        <v>1964</v>
      </c>
      <c r="C759" s="74" t="s">
        <v>2909</v>
      </c>
      <c r="D759" s="75">
        <v>45321</v>
      </c>
      <c r="E759" s="70" t="s">
        <v>53</v>
      </c>
      <c r="F759" s="70" t="s">
        <v>313</v>
      </c>
      <c r="G759" s="68" t="s">
        <v>210</v>
      </c>
      <c r="H759" s="59"/>
      <c r="I759" s="162" t="s">
        <v>2910</v>
      </c>
      <c r="J759" s="162"/>
      <c r="K759" s="68" t="s">
        <v>11</v>
      </c>
      <c r="L759" s="69" t="s">
        <v>123</v>
      </c>
      <c r="M759" s="71" t="s">
        <v>141</v>
      </c>
      <c r="N759" s="69" t="e" vm="1">
        <v>#VALUE!</v>
      </c>
      <c r="O759" s="164">
        <v>45383</v>
      </c>
      <c r="P759" s="72" t="s">
        <v>364</v>
      </c>
      <c r="Q759" s="72" t="s">
        <v>623</v>
      </c>
      <c r="R759" s="162"/>
      <c r="S759" s="146"/>
      <c r="T759" s="68" t="s">
        <v>155</v>
      </c>
      <c r="U759" s="87"/>
      <c r="V759" s="183">
        <v>45349</v>
      </c>
      <c r="W759" s="73"/>
      <c r="X759" s="73"/>
      <c r="Y759" s="83" t="str">
        <f>IF(SUM(W759:W759)&gt;0,X759/SUM(W759:W759)*1000000,"N/A")</f>
        <v>N/A</v>
      </c>
      <c r="Z759" s="183"/>
      <c r="AA759" s="183"/>
      <c r="AB759" s="73"/>
      <c r="AC759" s="153"/>
      <c r="AD759" s="331"/>
      <c r="AE759" s="57"/>
      <c r="AF759" s="88"/>
      <c r="AG759" s="182">
        <f>YEAR(V759)</f>
        <v>2024</v>
      </c>
      <c r="AH759" s="86" t="str">
        <f>+IF(AF759=$AI$22,MONTH(U759),"")</f>
        <v/>
      </c>
      <c r="AI759" s="86" t="str">
        <f>+IF(AG759=$AI$22,MONTH(V759),"")</f>
        <v/>
      </c>
      <c r="AJ759" s="86">
        <f>+IF(AG759=$AJ$22,MONTH(V759),"")</f>
        <v>2</v>
      </c>
      <c r="AK759" s="86" t="str">
        <f>+IF(AG759=$AK$22,MONTH(V759),"")</f>
        <v/>
      </c>
      <c r="AL759" s="86"/>
      <c r="AM759" s="89"/>
      <c r="AN759" s="89"/>
      <c r="AO759" s="89"/>
      <c r="AP759" s="89"/>
      <c r="AQ759" s="89"/>
      <c r="AR759" s="89"/>
      <c r="AS759" s="89"/>
      <c r="AT759" s="89"/>
      <c r="AU759" s="89"/>
      <c r="AV759" s="89"/>
      <c r="AW759" s="86" t="str">
        <f>+IF($AG759=AW$22,MONTH($D759),"")</f>
        <v/>
      </c>
      <c r="AX759" s="86" t="str">
        <f>+IF($AG759=AX$22,MONTH($D759),"")</f>
        <v/>
      </c>
      <c r="AY759" s="89"/>
      <c r="AZ759" s="89"/>
      <c r="BA759" s="89"/>
      <c r="BB759" s="89"/>
      <c r="BC759" s="89"/>
      <c r="BD759" s="89"/>
      <c r="BE759" s="89"/>
      <c r="BF759" s="89"/>
      <c r="BG759" s="89"/>
      <c r="BH759" s="89"/>
      <c r="BI759" s="89"/>
      <c r="BJ759" s="89"/>
      <c r="BK759" s="89"/>
      <c r="BL759" s="89"/>
      <c r="BM759" s="89"/>
      <c r="BN759" s="89"/>
      <c r="BO759" s="89"/>
      <c r="BP759" s="89"/>
    </row>
    <row r="760" spans="1:68" s="56" customFormat="1" ht="27" hidden="1">
      <c r="A760" s="204" t="str">
        <f>+IFERROR(VALUE(MID(AB760,4,4)),"")</f>
        <v/>
      </c>
      <c r="B760" s="204">
        <f>VALUE(RIGHT(C760,LEN(C760)-2))</f>
        <v>1963</v>
      </c>
      <c r="C760" s="74" t="s">
        <v>2911</v>
      </c>
      <c r="D760" s="75">
        <v>45320</v>
      </c>
      <c r="E760" s="70" t="s">
        <v>479</v>
      </c>
      <c r="F760" s="70" t="s">
        <v>479</v>
      </c>
      <c r="G760" s="68" t="s">
        <v>2912</v>
      </c>
      <c r="H760" s="59" t="s">
        <v>2913</v>
      </c>
      <c r="I760" s="162" t="s">
        <v>2914</v>
      </c>
      <c r="J760" s="162"/>
      <c r="K760" s="68" t="s">
        <v>30</v>
      </c>
      <c r="L760" s="69" t="s">
        <v>129</v>
      </c>
      <c r="M760" s="71" t="s">
        <v>113</v>
      </c>
      <c r="N760" s="69" t="e" vm="2">
        <v>#VALUE!</v>
      </c>
      <c r="O760" s="164">
        <v>45329</v>
      </c>
      <c r="P760" s="72" t="s">
        <v>2828</v>
      </c>
      <c r="Q760" s="72" t="s">
        <v>229</v>
      </c>
      <c r="R760" s="162"/>
      <c r="S760" s="146"/>
      <c r="T760" s="68" t="s">
        <v>155</v>
      </c>
      <c r="U760" s="87"/>
      <c r="V760" s="183">
        <v>45345</v>
      </c>
      <c r="W760" s="73"/>
      <c r="X760" s="73"/>
      <c r="Y760" s="83" t="str">
        <f>IF(SUM(W760:W760)&gt;0,X760/SUM(W760:W760)*1000000,"N/A")</f>
        <v>N/A</v>
      </c>
      <c r="Z760" s="183"/>
      <c r="AA760" s="183"/>
      <c r="AB760" s="73"/>
      <c r="AC760" s="153">
        <v>45541</v>
      </c>
      <c r="AD760" s="331"/>
      <c r="AE760" s="57"/>
      <c r="AF760" s="88"/>
      <c r="AG760" s="182">
        <f>YEAR(V760)</f>
        <v>2024</v>
      </c>
      <c r="AH760" s="86" t="str">
        <f>+IF(AF760=$AI$22,MONTH(U760),"")</f>
        <v/>
      </c>
      <c r="AI760" s="86" t="str">
        <f>+IF(AG760=$AI$22,MONTH(V760),"")</f>
        <v/>
      </c>
      <c r="AJ760" s="86">
        <f>+IF(AG760=$AJ$22,MONTH(V760),"")</f>
        <v>2</v>
      </c>
      <c r="AK760" s="86" t="str">
        <f>+IF(AG760=$AK$22,MONTH(V760),"")</f>
        <v/>
      </c>
      <c r="AL760" s="86"/>
      <c r="AM760" s="89"/>
      <c r="AN760" s="89"/>
      <c r="AO760" s="89"/>
      <c r="AP760" s="89"/>
      <c r="AQ760" s="89"/>
      <c r="AR760" s="89"/>
      <c r="AS760" s="89"/>
      <c r="AT760" s="89"/>
      <c r="AU760" s="89"/>
      <c r="AV760" s="89"/>
      <c r="AW760" s="86" t="str">
        <f>+IF($AG760=AW$22,MONTH($D760),"")</f>
        <v/>
      </c>
      <c r="AX760" s="86" t="str">
        <f>+IF($AG760=AX$22,MONTH($D760),"")</f>
        <v/>
      </c>
      <c r="AY760" s="89"/>
      <c r="AZ760" s="89"/>
      <c r="BA760" s="89"/>
      <c r="BB760" s="89"/>
      <c r="BC760" s="89"/>
      <c r="BD760" s="89"/>
      <c r="BE760" s="89"/>
      <c r="BF760" s="89"/>
      <c r="BG760" s="89"/>
      <c r="BH760" s="89"/>
      <c r="BI760" s="89"/>
      <c r="BJ760" s="89"/>
      <c r="BK760" s="89"/>
      <c r="BL760" s="89"/>
      <c r="BM760" s="89"/>
      <c r="BN760" s="89"/>
      <c r="BO760" s="89"/>
      <c r="BP760" s="89"/>
    </row>
    <row r="761" spans="1:68" s="56" customFormat="1" ht="13.5" hidden="1">
      <c r="A761" s="204">
        <f>+IFERROR(VALUE(MID(AB761,4,4)),"")</f>
        <v>367</v>
      </c>
      <c r="B761" s="204">
        <f>VALUE(RIGHT(C761,LEN(C761)-2))</f>
        <v>1962</v>
      </c>
      <c r="C761" s="74" t="s">
        <v>2915</v>
      </c>
      <c r="D761" s="75">
        <v>45317</v>
      </c>
      <c r="E761" s="70" t="s">
        <v>262</v>
      </c>
      <c r="F761" s="70" t="s">
        <v>270</v>
      </c>
      <c r="G761" s="68" t="s">
        <v>415</v>
      </c>
      <c r="H761" s="59"/>
      <c r="I761" s="162" t="s">
        <v>2916</v>
      </c>
      <c r="J761" s="162"/>
      <c r="K761" s="68" t="s">
        <v>13</v>
      </c>
      <c r="L761" s="69" t="s">
        <v>120</v>
      </c>
      <c r="M761" s="71" t="s">
        <v>141</v>
      </c>
      <c r="N761" s="69" t="e" vm="1">
        <v>#VALUE!</v>
      </c>
      <c r="O761" s="164">
        <v>45317</v>
      </c>
      <c r="P761" s="72" t="s">
        <v>2852</v>
      </c>
      <c r="Q761" s="72" t="s">
        <v>1097</v>
      </c>
      <c r="R761" s="162"/>
      <c r="S761" s="146"/>
      <c r="T761" s="68" t="s">
        <v>3</v>
      </c>
      <c r="U761" s="87"/>
      <c r="V761" s="183">
        <v>45317</v>
      </c>
      <c r="W761" s="73">
        <v>317</v>
      </c>
      <c r="X761" s="73">
        <v>13</v>
      </c>
      <c r="Y761" s="83">
        <f>IF(SUM(W761:W761)&gt;0,X761/SUM(W761:W761)*1000000,"N/A")</f>
        <v>41009.463722397479</v>
      </c>
      <c r="Z761" s="183"/>
      <c r="AA761" s="183"/>
      <c r="AB761" s="73" t="s">
        <v>2917</v>
      </c>
      <c r="AC761" s="153"/>
      <c r="AD761" s="331"/>
      <c r="AE761" s="57"/>
      <c r="AF761" s="88"/>
      <c r="AG761" s="182">
        <f>YEAR(V761)</f>
        <v>2024</v>
      </c>
      <c r="AH761" s="86" t="str">
        <f>+IF(AF761=$AI$22,MONTH(U761),"")</f>
        <v/>
      </c>
      <c r="AI761" s="86" t="str">
        <f>+IF(AG761=$AI$22,MONTH(V761),"")</f>
        <v/>
      </c>
      <c r="AJ761" s="86">
        <f>+IF(AG761=$AJ$22,MONTH(V761),"")</f>
        <v>1</v>
      </c>
      <c r="AK761" s="86" t="str">
        <f>+IF(AG761=$AK$22,MONTH(V761),"")</f>
        <v/>
      </c>
      <c r="AL761" s="86"/>
      <c r="AM761" s="89"/>
      <c r="AN761" s="89"/>
      <c r="AO761" s="89"/>
      <c r="AP761" s="89"/>
      <c r="AQ761" s="89"/>
      <c r="AR761" s="89"/>
      <c r="AS761" s="89"/>
      <c r="AT761" s="89"/>
      <c r="AU761" s="89"/>
      <c r="AV761" s="89"/>
      <c r="AW761" s="86" t="str">
        <f>+IF($AG761=AW$22,MONTH($D761),"")</f>
        <v/>
      </c>
      <c r="AX761" s="86" t="str">
        <f>+IF($AG761=AX$22,MONTH($D761),"")</f>
        <v/>
      </c>
      <c r="AY761" s="89"/>
      <c r="AZ761" s="89"/>
      <c r="BA761" s="89"/>
      <c r="BB761" s="89"/>
      <c r="BC761" s="89"/>
      <c r="BD761" s="89"/>
      <c r="BE761" s="89"/>
      <c r="BF761" s="89"/>
      <c r="BG761" s="89"/>
      <c r="BH761" s="89"/>
      <c r="BI761" s="89"/>
      <c r="BJ761" s="89"/>
      <c r="BK761" s="89"/>
      <c r="BL761" s="89"/>
      <c r="BM761" s="89"/>
      <c r="BN761" s="89"/>
      <c r="BO761" s="89"/>
      <c r="BP761" s="89"/>
    </row>
    <row r="762" spans="1:68" s="56" customFormat="1" ht="25.5" hidden="1" customHeight="1">
      <c r="A762" s="204" t="str">
        <f>+IFERROR(VALUE(MID(AB762,4,4)),"")</f>
        <v/>
      </c>
      <c r="B762" s="204">
        <f>VALUE(RIGHT(C762,LEN(C762)-2))</f>
        <v>1961</v>
      </c>
      <c r="C762" s="74" t="s">
        <v>2918</v>
      </c>
      <c r="D762" s="75">
        <v>45316</v>
      </c>
      <c r="E762" s="70" t="s">
        <v>479</v>
      </c>
      <c r="F762" s="70" t="s">
        <v>479</v>
      </c>
      <c r="G762" s="68" t="s">
        <v>2919</v>
      </c>
      <c r="H762" s="59" t="s">
        <v>2920</v>
      </c>
      <c r="I762" s="162" t="s">
        <v>2921</v>
      </c>
      <c r="J762" s="162"/>
      <c r="K762" s="68" t="s">
        <v>30</v>
      </c>
      <c r="L762" s="69" t="s">
        <v>129</v>
      </c>
      <c r="M762" s="71" t="s">
        <v>113</v>
      </c>
      <c r="N762" s="69" t="e" vm="2">
        <v>#VALUE!</v>
      </c>
      <c r="O762" s="164">
        <v>45324</v>
      </c>
      <c r="P762" s="72" t="s">
        <v>2828</v>
      </c>
      <c r="Q762" s="72" t="s">
        <v>229</v>
      </c>
      <c r="R762" s="162"/>
      <c r="S762" s="146"/>
      <c r="T762" s="68" t="s">
        <v>165</v>
      </c>
      <c r="U762" s="87"/>
      <c r="V762" s="183">
        <v>45373</v>
      </c>
      <c r="W762" s="73">
        <v>8789</v>
      </c>
      <c r="X762" s="73">
        <v>325</v>
      </c>
      <c r="Y762" s="83">
        <f>IF(SUM(W762:W762)&gt;0,X762/SUM(W762:W762)*1000000,"N/A")</f>
        <v>36978.040732734102</v>
      </c>
      <c r="Z762" s="183"/>
      <c r="AA762" s="183"/>
      <c r="AB762" s="73"/>
      <c r="AC762" s="153"/>
      <c r="AD762" s="331"/>
      <c r="AE762" s="57"/>
      <c r="AF762" s="88"/>
      <c r="AG762" s="182">
        <f>YEAR(V762)</f>
        <v>2024</v>
      </c>
      <c r="AH762" s="86" t="str">
        <f>+IF(AF762=$AI$22,MONTH(U762),"")</f>
        <v/>
      </c>
      <c r="AI762" s="86" t="str">
        <f>+IF(AG762=$AI$22,MONTH(V762),"")</f>
        <v/>
      </c>
      <c r="AJ762" s="86">
        <f>+IF(AG762=$AJ$22,MONTH(V762),"")</f>
        <v>3</v>
      </c>
      <c r="AK762" s="86" t="str">
        <f>+IF(AG762=$AK$22,MONTH(V762),"")</f>
        <v/>
      </c>
      <c r="AL762" s="86"/>
      <c r="AM762" s="89"/>
      <c r="AN762" s="89"/>
      <c r="AO762" s="89"/>
      <c r="AP762" s="89"/>
      <c r="AQ762" s="89"/>
      <c r="AR762" s="89"/>
      <c r="AS762" s="89"/>
      <c r="AT762" s="89"/>
      <c r="AU762" s="89"/>
      <c r="AV762" s="89"/>
      <c r="AW762" s="86" t="str">
        <f>+IF($AG762=AW$22,MONTH($D762),"")</f>
        <v/>
      </c>
      <c r="AX762" s="86" t="str">
        <f>+IF($AG762=AX$22,MONTH($D762),"")</f>
        <v/>
      </c>
      <c r="AY762" s="89"/>
      <c r="AZ762" s="89"/>
      <c r="BA762" s="89"/>
      <c r="BB762" s="89"/>
      <c r="BC762" s="89"/>
      <c r="BD762" s="89"/>
      <c r="BE762" s="89"/>
      <c r="BF762" s="89"/>
      <c r="BG762" s="89"/>
      <c r="BH762" s="89"/>
      <c r="BI762" s="89"/>
      <c r="BJ762" s="89"/>
      <c r="BK762" s="89"/>
      <c r="BL762" s="89"/>
      <c r="BM762" s="89"/>
      <c r="BN762" s="89"/>
      <c r="BO762" s="89"/>
      <c r="BP762" s="89"/>
    </row>
    <row r="763" spans="1:68" s="56" customFormat="1" ht="13.5" hidden="1">
      <c r="A763" s="204">
        <f>+IFERROR(VALUE(MID(AB763,4,4)),"")</f>
        <v>371</v>
      </c>
      <c r="B763" s="204">
        <f>VALUE(RIGHT(C763,LEN(C763)-2))</f>
        <v>1960</v>
      </c>
      <c r="C763" s="74" t="s">
        <v>2922</v>
      </c>
      <c r="D763" s="75">
        <v>45316</v>
      </c>
      <c r="E763" s="70" t="s">
        <v>2731</v>
      </c>
      <c r="F763" s="70" t="s">
        <v>2731</v>
      </c>
      <c r="G763" s="68" t="s">
        <v>2732</v>
      </c>
      <c r="H763" s="59"/>
      <c r="I763" s="162" t="s">
        <v>2923</v>
      </c>
      <c r="J763" s="162"/>
      <c r="K763" s="68" t="s">
        <v>18</v>
      </c>
      <c r="L763" s="68" t="s">
        <v>120</v>
      </c>
      <c r="M763" s="71" t="s">
        <v>141</v>
      </c>
      <c r="N763" s="69" t="e" vm="1">
        <v>#VALUE!</v>
      </c>
      <c r="O763" s="164">
        <v>45324</v>
      </c>
      <c r="P763" s="72" t="s">
        <v>1641</v>
      </c>
      <c r="Q763" s="72" t="s">
        <v>623</v>
      </c>
      <c r="R763" s="162"/>
      <c r="S763" s="146"/>
      <c r="T763" s="68" t="s">
        <v>3</v>
      </c>
      <c r="U763" s="87"/>
      <c r="V763" s="183">
        <v>45334</v>
      </c>
      <c r="W763" s="73">
        <v>2455</v>
      </c>
      <c r="X763" s="73">
        <f>3555*37000/1000000</f>
        <v>131.535</v>
      </c>
      <c r="Y763" s="83">
        <f>IF(SUM(W763:W763)&gt;0,X763/SUM(W763:W763)*1000000,"N/A")</f>
        <v>53578.411405295315</v>
      </c>
      <c r="Z763" s="183"/>
      <c r="AA763" s="183"/>
      <c r="AB763" s="73" t="s">
        <v>2924</v>
      </c>
      <c r="AC763" s="153"/>
      <c r="AD763" s="331"/>
      <c r="AE763" s="57"/>
      <c r="AF763" s="88"/>
      <c r="AG763" s="182">
        <f>YEAR(V763)</f>
        <v>2024</v>
      </c>
      <c r="AH763" s="86" t="str">
        <f>+IF(AF763=$AI$22,MONTH(U763),"")</f>
        <v/>
      </c>
      <c r="AI763" s="86" t="str">
        <f>+IF(AG763=$AI$22,MONTH(V763),"")</f>
        <v/>
      </c>
      <c r="AJ763" s="86">
        <f>+IF(AG763=$AJ$22,MONTH(V763),"")</f>
        <v>2</v>
      </c>
      <c r="AK763" s="86" t="str">
        <f>+IF(AG763=$AK$22,MONTH(V763),"")</f>
        <v/>
      </c>
      <c r="AL763" s="86"/>
      <c r="AM763" s="89"/>
      <c r="AN763" s="89"/>
      <c r="AO763" s="89"/>
      <c r="AP763" s="89"/>
      <c r="AQ763" s="89"/>
      <c r="AR763" s="89"/>
      <c r="AS763" s="89"/>
      <c r="AT763" s="89"/>
      <c r="AU763" s="89"/>
      <c r="AV763" s="89"/>
      <c r="AW763" s="86" t="str">
        <f>+IF($AG763=AW$22,MONTH($D763),"")</f>
        <v/>
      </c>
      <c r="AX763" s="86" t="str">
        <f>+IF($AG763=AX$22,MONTH($D763),"")</f>
        <v/>
      </c>
      <c r="AY763" s="89"/>
      <c r="AZ763" s="89"/>
      <c r="BA763" s="89"/>
      <c r="BB763" s="89"/>
      <c r="BC763" s="89"/>
      <c r="BD763" s="89"/>
      <c r="BE763" s="89"/>
      <c r="BF763" s="89"/>
      <c r="BG763" s="89"/>
      <c r="BH763" s="89"/>
      <c r="BI763" s="89"/>
      <c r="BJ763" s="89"/>
      <c r="BK763" s="89"/>
      <c r="BL763" s="89"/>
      <c r="BM763" s="89"/>
      <c r="BN763" s="89"/>
      <c r="BO763" s="89"/>
      <c r="BP763" s="89"/>
    </row>
    <row r="764" spans="1:68" s="56" customFormat="1" ht="26.25" hidden="1" customHeight="1">
      <c r="A764" s="204" t="str">
        <f>+IFERROR(VALUE(MID(AB764,4,4)),"")</f>
        <v/>
      </c>
      <c r="B764" s="204">
        <f>VALUE(RIGHT(C764,LEN(C764)-2))</f>
        <v>1959</v>
      </c>
      <c r="C764" s="74" t="s">
        <v>2925</v>
      </c>
      <c r="D764" s="75">
        <v>45314</v>
      </c>
      <c r="E764" s="70" t="s">
        <v>360</v>
      </c>
      <c r="F764" s="70" t="s">
        <v>262</v>
      </c>
      <c r="G764" s="68" t="s">
        <v>2926</v>
      </c>
      <c r="H764" s="59" t="s">
        <v>2927</v>
      </c>
      <c r="I764" s="162" t="s">
        <v>2928</v>
      </c>
      <c r="J764" s="162"/>
      <c r="K764" s="68" t="s">
        <v>11</v>
      </c>
      <c r="L764" s="69" t="s">
        <v>123</v>
      </c>
      <c r="M764" s="71" t="s">
        <v>141</v>
      </c>
      <c r="N764" s="69" t="e" vm="1">
        <v>#VALUE!</v>
      </c>
      <c r="O764" s="164">
        <v>45322</v>
      </c>
      <c r="P764" s="72" t="s">
        <v>402</v>
      </c>
      <c r="Q764" s="72" t="s">
        <v>623</v>
      </c>
      <c r="R764" s="162"/>
      <c r="S764" s="146" t="s">
        <v>2929</v>
      </c>
      <c r="T764" s="68" t="s">
        <v>165</v>
      </c>
      <c r="U764" s="87"/>
      <c r="V764" s="183">
        <v>45323</v>
      </c>
      <c r="W764" s="73">
        <v>514</v>
      </c>
      <c r="X764" s="73">
        <f>846*37000/1000000</f>
        <v>31.302</v>
      </c>
      <c r="Y764" s="83">
        <f>IF(SUM(W764:W764)&gt;0,X764/SUM(W764:W764)*1000000,"N/A")</f>
        <v>60898.832684824905</v>
      </c>
      <c r="Z764" s="183"/>
      <c r="AA764" s="183"/>
      <c r="AB764" s="73"/>
      <c r="AC764" s="153"/>
      <c r="AD764" s="331"/>
      <c r="AE764" s="57"/>
      <c r="AF764" s="88"/>
      <c r="AG764" s="182">
        <f>YEAR(V764)</f>
        <v>2024</v>
      </c>
      <c r="AH764" s="86" t="str">
        <f>+IF(AF764=$AI$22,MONTH(U764),"")</f>
        <v/>
      </c>
      <c r="AI764" s="86" t="str">
        <f>+IF(AG764=$AI$22,MONTH(V764),"")</f>
        <v/>
      </c>
      <c r="AJ764" s="86">
        <f>+IF(AG764=$AJ$22,MONTH(V764),"")</f>
        <v>2</v>
      </c>
      <c r="AK764" s="86" t="str">
        <f>+IF(AG764=$AK$22,MONTH(V764),"")</f>
        <v/>
      </c>
      <c r="AL764" s="86" t="str">
        <f>+IF(AG764=$AL$22,MONTH(V764),"")</f>
        <v/>
      </c>
      <c r="AM764" s="86" t="str">
        <f>+IF($AG764=$AM$22,MONTH($D764),"")</f>
        <v/>
      </c>
      <c r="AN764" s="89" t="str">
        <f>+IF($AG764=AN$22,MONTH($D764),"")</f>
        <v/>
      </c>
      <c r="AO764" s="89" t="str">
        <f>+IF($AG764=AO$22,MONTH($D764),"")</f>
        <v/>
      </c>
      <c r="AP764" s="89" t="str">
        <f>+IF($AG764=AP$22,MONTH($D764),"")</f>
        <v/>
      </c>
      <c r="AQ764" s="89" t="str">
        <f>+IF($AG764=AQ$22,MONTH($D764),"")</f>
        <v/>
      </c>
      <c r="AR764" s="89" t="str">
        <f>+IF($AG764=AR$22,MONTH($D764),"")</f>
        <v/>
      </c>
      <c r="AS764" s="89" t="str">
        <f>+IF($AG764=AS$22,MONTH($D764),"")</f>
        <v/>
      </c>
      <c r="AT764" s="89" t="str">
        <f>+IF($AG764=AT$22,MONTH($D764),"")</f>
        <v/>
      </c>
      <c r="AU764" s="89" t="str">
        <f>+IF($AG764=AU$22,MONTH($D764),"")</f>
        <v/>
      </c>
      <c r="AV764" s="89" t="str">
        <f>+IF($AG764=AV$22,MONTH($D764),"")</f>
        <v/>
      </c>
      <c r="AW764" s="86" t="str">
        <f>+IF($AG764=AW$22,MONTH($D764),"")</f>
        <v/>
      </c>
      <c r="AX764" s="86" t="str">
        <f>+IF($AG764=AX$22,MONTH($D764),"")</f>
        <v/>
      </c>
      <c r="AY764" s="89"/>
      <c r="AZ764" s="89"/>
      <c r="BA764" s="89"/>
      <c r="BB764" s="89"/>
      <c r="BC764" s="89"/>
      <c r="BD764" s="89"/>
      <c r="BE764" s="89"/>
      <c r="BF764" s="89"/>
      <c r="BG764" s="89"/>
      <c r="BH764" s="89"/>
      <c r="BI764" s="89"/>
      <c r="BJ764" s="89"/>
      <c r="BK764" s="89"/>
      <c r="BL764" s="89"/>
      <c r="BM764" s="89"/>
      <c r="BN764" s="89"/>
      <c r="BO764" s="89"/>
      <c r="BP764" s="89"/>
    </row>
    <row r="765" spans="1:68" s="56" customFormat="1" ht="27" hidden="1">
      <c r="A765" s="204" t="str">
        <f>+IFERROR(VALUE(MID(AB765,4,4)),"")</f>
        <v/>
      </c>
      <c r="B765" s="204">
        <f>VALUE(RIGHT(C765,LEN(C765)-2))</f>
        <v>1958</v>
      </c>
      <c r="C765" s="74" t="s">
        <v>2930</v>
      </c>
      <c r="D765" s="75">
        <v>45299</v>
      </c>
      <c r="E765" s="70" t="s">
        <v>479</v>
      </c>
      <c r="F765" s="70" t="s">
        <v>479</v>
      </c>
      <c r="G765" s="68" t="s">
        <v>2896</v>
      </c>
      <c r="H765" s="59" t="s">
        <v>2931</v>
      </c>
      <c r="I765" s="162" t="s">
        <v>2932</v>
      </c>
      <c r="J765" s="162"/>
      <c r="K765" s="68" t="s">
        <v>30</v>
      </c>
      <c r="L765" s="69" t="s">
        <v>129</v>
      </c>
      <c r="M765" s="71" t="s">
        <v>113</v>
      </c>
      <c r="N765" s="69" t="e" vm="2">
        <v>#VALUE!</v>
      </c>
      <c r="O765" s="164">
        <v>45322</v>
      </c>
      <c r="P765" s="72" t="s">
        <v>2828</v>
      </c>
      <c r="Q765" s="72" t="s">
        <v>229</v>
      </c>
      <c r="R765" s="162"/>
      <c r="S765" s="146"/>
      <c r="T765" s="68" t="s">
        <v>168</v>
      </c>
      <c r="U765" s="87"/>
      <c r="V765" s="183">
        <v>45345</v>
      </c>
      <c r="W765" s="73"/>
      <c r="X765" s="73"/>
      <c r="Y765" s="83" t="str">
        <f>IF(SUM(W765:W765)&gt;0,X765/SUM(W765:W765)*1000000,"N/A")</f>
        <v>N/A</v>
      </c>
      <c r="Z765" s="183"/>
      <c r="AA765" s="183"/>
      <c r="AB765" s="73"/>
      <c r="AC765" s="153"/>
      <c r="AD765" s="331"/>
      <c r="AE765" s="57"/>
      <c r="AF765" s="88"/>
      <c r="AG765" s="182">
        <f>YEAR(V765)</f>
        <v>2024</v>
      </c>
      <c r="AH765" s="86" t="str">
        <f>+IF(AF765=$AI$22,MONTH(U765),"")</f>
        <v/>
      </c>
      <c r="AI765" s="86" t="str">
        <f>+IF(AG765=$AI$22,MONTH(V765),"")</f>
        <v/>
      </c>
      <c r="AJ765" s="86">
        <f>+IF(AG765=$AJ$22,MONTH(V765),"")</f>
        <v>2</v>
      </c>
      <c r="AK765" s="86" t="str">
        <f>+IF(AG765=$AK$22,MONTH(V765),"")</f>
        <v/>
      </c>
      <c r="AL765" s="86"/>
      <c r="AM765" s="89"/>
      <c r="AN765" s="89"/>
      <c r="AO765" s="89"/>
      <c r="AP765" s="89"/>
      <c r="AQ765" s="89"/>
      <c r="AR765" s="89"/>
      <c r="AS765" s="89"/>
      <c r="AT765" s="89"/>
      <c r="AU765" s="89"/>
      <c r="AV765" s="89"/>
      <c r="AW765" s="86" t="str">
        <f>+IF($AG765=AW$22,MONTH($D765),"")</f>
        <v/>
      </c>
      <c r="AX765" s="86" t="str">
        <f>+IF($AG765=AX$22,MONTH($D765),"")</f>
        <v/>
      </c>
      <c r="AY765" s="89"/>
      <c r="AZ765" s="89"/>
      <c r="BA765" s="89"/>
      <c r="BB765" s="89"/>
      <c r="BC765" s="89"/>
      <c r="BD765" s="89"/>
      <c r="BE765" s="89"/>
      <c r="BF765" s="89"/>
      <c r="BG765" s="89"/>
      <c r="BH765" s="89"/>
      <c r="BI765" s="89"/>
      <c r="BJ765" s="89"/>
      <c r="BK765" s="89"/>
      <c r="BL765" s="89"/>
      <c r="BM765" s="89"/>
      <c r="BN765" s="89"/>
      <c r="BO765" s="89"/>
      <c r="BP765" s="89"/>
    </row>
    <row r="766" spans="1:68" s="56" customFormat="1" ht="22.5" hidden="1" customHeight="1">
      <c r="A766" s="204">
        <f>+IFERROR(VALUE(MID(AB766,4,4)),"")</f>
        <v>352</v>
      </c>
      <c r="B766" s="204">
        <f>VALUE(RIGHT(C766,LEN(C766)-2))</f>
        <v>1957</v>
      </c>
      <c r="C766" s="74" t="s">
        <v>2933</v>
      </c>
      <c r="D766" s="75">
        <v>45309</v>
      </c>
      <c r="E766" s="70" t="s">
        <v>53</v>
      </c>
      <c r="F766" s="70" t="s">
        <v>1909</v>
      </c>
      <c r="G766" s="68" t="s">
        <v>210</v>
      </c>
      <c r="H766" s="59"/>
      <c r="I766" s="162" t="s">
        <v>2934</v>
      </c>
      <c r="J766" s="162"/>
      <c r="K766" s="68" t="s">
        <v>12</v>
      </c>
      <c r="L766" s="69" t="s">
        <v>129</v>
      </c>
      <c r="M766" s="71" t="s">
        <v>141</v>
      </c>
      <c r="N766" s="69" t="e" vm="1">
        <v>#VALUE!</v>
      </c>
      <c r="O766" s="164">
        <v>45321</v>
      </c>
      <c r="P766" s="72" t="s">
        <v>689</v>
      </c>
      <c r="Q766" s="72" t="s">
        <v>259</v>
      </c>
      <c r="R766" s="162"/>
      <c r="S766" s="146" t="s">
        <v>2935</v>
      </c>
      <c r="T766" s="68" t="s">
        <v>165</v>
      </c>
      <c r="U766" s="87"/>
      <c r="V766" s="183">
        <v>45483</v>
      </c>
      <c r="W766" s="73">
        <v>1060</v>
      </c>
      <c r="X766" s="73">
        <f>1591*37000/1000000</f>
        <v>58.866999999999997</v>
      </c>
      <c r="Y766" s="83">
        <f>IF(SUM(W766:W766)&gt;0,X766/SUM(W766:W766)*1000000,"N/A")</f>
        <v>55534.905660377357</v>
      </c>
      <c r="Z766" s="183"/>
      <c r="AA766" s="183"/>
      <c r="AB766" s="73" t="s">
        <v>2936</v>
      </c>
      <c r="AC766" s="153"/>
      <c r="AD766" s="331"/>
      <c r="AE766" s="57"/>
      <c r="AF766" s="88"/>
      <c r="AG766" s="182">
        <f>YEAR(V766)</f>
        <v>2024</v>
      </c>
      <c r="AH766" s="86" t="str">
        <f>+IF(AF766=$AI$22,MONTH(U766),"")</f>
        <v/>
      </c>
      <c r="AI766" s="86" t="str">
        <f>+IF(AG766=$AI$22,MONTH(V766),"")</f>
        <v/>
      </c>
      <c r="AJ766" s="86">
        <f>+IF(AG766=$AJ$22,MONTH(V766),"")</f>
        <v>7</v>
      </c>
      <c r="AK766" s="86" t="str">
        <f>+IF(AG766=$AK$22,MONTH(V766),"")</f>
        <v/>
      </c>
      <c r="AL766" s="86"/>
      <c r="AM766" s="89"/>
      <c r="AN766" s="89"/>
      <c r="AO766" s="89"/>
      <c r="AP766" s="89"/>
      <c r="AQ766" s="89"/>
      <c r="AR766" s="89"/>
      <c r="AS766" s="89"/>
      <c r="AT766" s="89"/>
      <c r="AU766" s="89"/>
      <c r="AV766" s="89"/>
      <c r="AW766" s="86" t="str">
        <f>+IF($AG766=AW$22,MONTH($D766),"")</f>
        <v/>
      </c>
      <c r="AX766" s="86" t="str">
        <f>+IF($AG766=AX$22,MONTH($D766),"")</f>
        <v/>
      </c>
      <c r="AY766" s="89"/>
      <c r="AZ766" s="89"/>
      <c r="BA766" s="89"/>
      <c r="BB766" s="89"/>
      <c r="BC766" s="89"/>
      <c r="BD766" s="89"/>
      <c r="BE766" s="89"/>
      <c r="BF766" s="89"/>
      <c r="BG766" s="89"/>
      <c r="BH766" s="89"/>
      <c r="BI766" s="89"/>
      <c r="BJ766" s="89"/>
      <c r="BK766" s="89"/>
      <c r="BL766" s="89"/>
      <c r="BM766" s="89"/>
      <c r="BN766" s="89"/>
      <c r="BO766" s="89"/>
      <c r="BP766" s="89"/>
    </row>
    <row r="767" spans="1:68" s="56" customFormat="1" ht="13.5" hidden="1">
      <c r="A767" s="204" t="str">
        <f>+IFERROR(VALUE(MID(AB767,4,4)),"")</f>
        <v/>
      </c>
      <c r="B767" s="204">
        <f>VALUE(RIGHT(C767,LEN(C767)-2))</f>
        <v>1956</v>
      </c>
      <c r="C767" s="74" t="s">
        <v>2937</v>
      </c>
      <c r="D767" s="75">
        <v>45313</v>
      </c>
      <c r="E767" s="70" t="s">
        <v>76</v>
      </c>
      <c r="F767" s="70" t="s">
        <v>255</v>
      </c>
      <c r="G767" s="68" t="s">
        <v>2938</v>
      </c>
      <c r="H767" s="59" t="s">
        <v>2939</v>
      </c>
      <c r="I767" s="162" t="s">
        <v>2940</v>
      </c>
      <c r="J767" s="162"/>
      <c r="K767" s="68" t="s">
        <v>12</v>
      </c>
      <c r="L767" s="69" t="s">
        <v>120</v>
      </c>
      <c r="M767" s="71" t="s">
        <v>141</v>
      </c>
      <c r="N767" s="69" t="e" vm="1">
        <v>#VALUE!</v>
      </c>
      <c r="O767" s="164">
        <v>45314</v>
      </c>
      <c r="P767" s="72" t="s">
        <v>2711</v>
      </c>
      <c r="Q767" s="72" t="s">
        <v>623</v>
      </c>
      <c r="R767" s="162"/>
      <c r="S767" s="146"/>
      <c r="T767" s="68" t="s">
        <v>165</v>
      </c>
      <c r="U767" s="87"/>
      <c r="V767" s="183">
        <v>45323</v>
      </c>
      <c r="W767" s="73">
        <v>123</v>
      </c>
      <c r="X767" s="73">
        <v>4.0999999999999996</v>
      </c>
      <c r="Y767" s="83">
        <f>IF(SUM(W767:W767)&gt;0,X767/SUM(W767:W767)*1000000,"N/A")</f>
        <v>33333.333333333336</v>
      </c>
      <c r="Z767" s="183"/>
      <c r="AA767" s="183"/>
      <c r="AB767" s="73"/>
      <c r="AC767" s="153"/>
      <c r="AD767" s="331"/>
      <c r="AE767" s="57"/>
      <c r="AF767" s="88"/>
      <c r="AG767" s="182">
        <f>YEAR(V767)</f>
        <v>2024</v>
      </c>
      <c r="AH767" s="86" t="str">
        <f>+IF(AF767=$AI$22,MONTH(U767),"")</f>
        <v/>
      </c>
      <c r="AI767" s="86" t="str">
        <f>+IF(AG767=$AI$22,MONTH(V767),"")</f>
        <v/>
      </c>
      <c r="AJ767" s="86">
        <f>+IF(AG767=$AJ$22,MONTH(V767),"")</f>
        <v>2</v>
      </c>
      <c r="AK767" s="86" t="str">
        <f>+IF(AG767=$AK$22,MONTH(V767),"")</f>
        <v/>
      </c>
      <c r="AL767" s="86"/>
      <c r="AM767" s="89"/>
      <c r="AN767" s="89"/>
      <c r="AO767" s="89"/>
      <c r="AP767" s="89"/>
      <c r="AQ767" s="89"/>
      <c r="AR767" s="89"/>
      <c r="AS767" s="89"/>
      <c r="AT767" s="89"/>
      <c r="AU767" s="89"/>
      <c r="AV767" s="89"/>
      <c r="AW767" s="86" t="str">
        <f>+IF($AG767=AW$22,MONTH($D767),"")</f>
        <v/>
      </c>
      <c r="AX767" s="86" t="str">
        <f>+IF($AG767=AX$22,MONTH($D767),"")</f>
        <v/>
      </c>
      <c r="AY767" s="89"/>
      <c r="AZ767" s="89"/>
      <c r="BA767" s="89"/>
      <c r="BB767" s="89"/>
      <c r="BC767" s="89"/>
      <c r="BD767" s="89"/>
      <c r="BE767" s="89"/>
      <c r="BF767" s="89"/>
      <c r="BG767" s="89"/>
      <c r="BH767" s="89"/>
      <c r="BI767" s="89"/>
      <c r="BJ767" s="89"/>
      <c r="BK767" s="89"/>
      <c r="BL767" s="89"/>
      <c r="BM767" s="89"/>
      <c r="BN767" s="89"/>
      <c r="BO767" s="89"/>
      <c r="BP767" s="89"/>
    </row>
    <row r="768" spans="1:68" s="56" customFormat="1" ht="13.5" hidden="1">
      <c r="A768" s="204" t="str">
        <f>+IFERROR(VALUE(MID(AB768,4,4)),"")</f>
        <v/>
      </c>
      <c r="B768" s="204">
        <f>VALUE(RIGHT(C768,LEN(C768)-2))</f>
        <v>1955</v>
      </c>
      <c r="C768" s="74" t="s">
        <v>2941</v>
      </c>
      <c r="D768" s="75">
        <v>45310</v>
      </c>
      <c r="E768" s="70" t="s">
        <v>473</v>
      </c>
      <c r="F768" s="70" t="s">
        <v>473</v>
      </c>
      <c r="G768" s="68" t="s">
        <v>2521</v>
      </c>
      <c r="H768" s="59" t="s">
        <v>2522</v>
      </c>
      <c r="I768" s="162" t="s">
        <v>2942</v>
      </c>
      <c r="J768" s="162"/>
      <c r="K768" s="68" t="s">
        <v>13</v>
      </c>
      <c r="L768" s="69" t="s">
        <v>120</v>
      </c>
      <c r="M768" s="71" t="s">
        <v>141</v>
      </c>
      <c r="N768" s="69" t="e" vm="1">
        <v>#VALUE!</v>
      </c>
      <c r="O768" s="164">
        <v>45314</v>
      </c>
      <c r="P768" s="72" t="s">
        <v>2045</v>
      </c>
      <c r="Q768" s="72" t="s">
        <v>623</v>
      </c>
      <c r="R768" s="162"/>
      <c r="S768" s="146"/>
      <c r="T768" s="68" t="s">
        <v>165</v>
      </c>
      <c r="U768" s="87"/>
      <c r="V768" s="183">
        <v>45797</v>
      </c>
      <c r="W768" s="73">
        <v>1183</v>
      </c>
      <c r="X768" s="73">
        <v>49</v>
      </c>
      <c r="Y768" s="83">
        <f>IF(SUM(W768:W768)&gt;0,X768/SUM(W768:W768)*1000000,"N/A")</f>
        <v>41420.118343195267</v>
      </c>
      <c r="Z768" s="183"/>
      <c r="AA768" s="183"/>
      <c r="AB768" s="73"/>
      <c r="AC768" s="153">
        <v>45601</v>
      </c>
      <c r="AD768" s="331"/>
      <c r="AE768" s="57"/>
      <c r="AF768" s="88"/>
      <c r="AG768" s="182">
        <f>YEAR(V768)</f>
        <v>2025</v>
      </c>
      <c r="AH768" s="86" t="str">
        <f>+IF(AF768=$AI$22,MONTH(U768),"")</f>
        <v/>
      </c>
      <c r="AI768" s="86">
        <f>+IF(AG768=$AI$22,MONTH(V768),"")</f>
        <v>5</v>
      </c>
      <c r="AJ768" s="86" t="str">
        <f>+IF(AG768=$AJ$22,MONTH(V768),"")</f>
        <v/>
      </c>
      <c r="AK768" s="86" t="str">
        <f>+IF(AG768=$AK$22,MONTH(V768),"")</f>
        <v/>
      </c>
      <c r="AL768" s="86"/>
      <c r="AM768" s="89"/>
      <c r="AN768" s="89"/>
      <c r="AO768" s="89"/>
      <c r="AP768" s="89"/>
      <c r="AQ768" s="89"/>
      <c r="AR768" s="89"/>
      <c r="AS768" s="89"/>
      <c r="AT768" s="89"/>
      <c r="AU768" s="89"/>
      <c r="AV768" s="89"/>
      <c r="AW768" s="86" t="str">
        <f>+IF($AG768=AW$22,MONTH($D768),"")</f>
        <v/>
      </c>
      <c r="AX768" s="86" t="str">
        <f>+IF($AG768=AX$22,MONTH($D768),"")</f>
        <v/>
      </c>
      <c r="AY768" s="89"/>
      <c r="AZ768" s="89"/>
      <c r="BA768" s="89"/>
      <c r="BB768" s="89"/>
      <c r="BC768" s="89"/>
      <c r="BD768" s="89"/>
      <c r="BE768" s="89"/>
      <c r="BF768" s="89"/>
      <c r="BG768" s="89"/>
      <c r="BH768" s="89"/>
      <c r="BI768" s="89"/>
      <c r="BJ768" s="89"/>
      <c r="BK768" s="89"/>
      <c r="BL768" s="89"/>
      <c r="BM768" s="89"/>
      <c r="BN768" s="89"/>
      <c r="BO768" s="89"/>
      <c r="BP768" s="89"/>
    </row>
    <row r="769" spans="1:68" s="56" customFormat="1" ht="21" hidden="1" customHeight="1">
      <c r="A769" s="204">
        <f>+IFERROR(VALUE(MID(AB769,4,4)),"")</f>
        <v>274</v>
      </c>
      <c r="B769" s="204">
        <f>VALUE(RIGHT(C769,LEN(C769)-2))</f>
        <v>1954</v>
      </c>
      <c r="C769" s="74" t="s">
        <v>2943</v>
      </c>
      <c r="D769" s="75">
        <v>45310</v>
      </c>
      <c r="E769" s="70" t="s">
        <v>1054</v>
      </c>
      <c r="F769" s="70" t="s">
        <v>252</v>
      </c>
      <c r="G769" s="68" t="s">
        <v>1055</v>
      </c>
      <c r="H769" s="59" t="s">
        <v>1056</v>
      </c>
      <c r="I769" s="162" t="s">
        <v>2944</v>
      </c>
      <c r="J769" s="162"/>
      <c r="K769" s="68" t="s">
        <v>13</v>
      </c>
      <c r="L769" s="69" t="s">
        <v>129</v>
      </c>
      <c r="M769" s="71" t="s">
        <v>141</v>
      </c>
      <c r="N769" s="69" t="e" vm="1">
        <v>#VALUE!</v>
      </c>
      <c r="O769" s="164">
        <v>45321</v>
      </c>
      <c r="P769" s="72" t="s">
        <v>1641</v>
      </c>
      <c r="Q769" s="72" t="s">
        <v>316</v>
      </c>
      <c r="R769" s="162"/>
      <c r="S769" s="146"/>
      <c r="T769" s="68" t="s">
        <v>3</v>
      </c>
      <c r="U769" s="87"/>
      <c r="V769" s="183">
        <v>45364</v>
      </c>
      <c r="W769" s="73">
        <v>217</v>
      </c>
      <c r="X769" s="73">
        <v>5</v>
      </c>
      <c r="Y769" s="83">
        <f>IF(SUM(W769:W769)&gt;0,X769/SUM(W769:W769)*1000000,"N/A")</f>
        <v>23041.474654377882</v>
      </c>
      <c r="Z769" s="183"/>
      <c r="AA769" s="183"/>
      <c r="AB769" s="73" t="s">
        <v>2945</v>
      </c>
      <c r="AC769" s="153"/>
      <c r="AD769" s="331"/>
      <c r="AE769" s="57"/>
      <c r="AF769" s="88"/>
      <c r="AG769" s="182">
        <f>YEAR(V769)</f>
        <v>2024</v>
      </c>
      <c r="AH769" s="86" t="str">
        <f>+IF(AF769=$AI$22,MONTH(U769),"")</f>
        <v/>
      </c>
      <c r="AI769" s="86" t="str">
        <f>+IF(AG769=$AI$22,MONTH(V769),"")</f>
        <v/>
      </c>
      <c r="AJ769" s="86">
        <f>+IF(AG769=$AJ$22,MONTH(V769),"")</f>
        <v>3</v>
      </c>
      <c r="AK769" s="86" t="str">
        <f>+IF(AG769=$AK$22,MONTH(V769),"")</f>
        <v/>
      </c>
      <c r="AL769" s="86" t="str">
        <f>+IF(AG769=$AL$22,MONTH(V769),"")</f>
        <v/>
      </c>
      <c r="AM769" s="86" t="str">
        <f>+IF($AG769=$AM$22,MONTH($D769),"")</f>
        <v/>
      </c>
      <c r="AN769" s="89" t="str">
        <f>+IF($AG769=AN$22,MONTH($D769),"")</f>
        <v/>
      </c>
      <c r="AO769" s="89" t="str">
        <f>+IF($AG769=AO$22,MONTH($D769),"")</f>
        <v/>
      </c>
      <c r="AP769" s="89" t="str">
        <f>+IF($AG769=AP$22,MONTH($D769),"")</f>
        <v/>
      </c>
      <c r="AQ769" s="89" t="str">
        <f>+IF($AG769=AQ$22,MONTH($D769),"")</f>
        <v/>
      </c>
      <c r="AR769" s="89" t="str">
        <f>+IF($AG769=AR$22,MONTH($D769),"")</f>
        <v/>
      </c>
      <c r="AS769" s="89" t="str">
        <f>+IF($AG769=AS$22,MONTH($D769),"")</f>
        <v/>
      </c>
      <c r="AT769" s="89" t="str">
        <f>+IF($AG769=AT$22,MONTH($D769),"")</f>
        <v/>
      </c>
      <c r="AU769" s="89" t="str">
        <f>+IF($AG769=AU$22,MONTH($D769),"")</f>
        <v/>
      </c>
      <c r="AV769" s="89" t="str">
        <f>+IF($AG769=AV$22,MONTH($D769),"")</f>
        <v/>
      </c>
      <c r="AW769" s="86" t="str">
        <f>+IF($AG769=AW$22,MONTH($D769),"")</f>
        <v/>
      </c>
      <c r="AX769" s="86" t="str">
        <f>+IF($AG769=AX$22,MONTH($D769),"")</f>
        <v/>
      </c>
      <c r="AY769" s="89"/>
      <c r="AZ769" s="89"/>
      <c r="BA769" s="89"/>
      <c r="BB769" s="89"/>
      <c r="BC769" s="89"/>
      <c r="BD769" s="89"/>
      <c r="BE769" s="89"/>
      <c r="BF769" s="89"/>
      <c r="BG769" s="89"/>
      <c r="BH769" s="89"/>
      <c r="BI769" s="89"/>
      <c r="BJ769" s="89"/>
      <c r="BK769" s="89"/>
      <c r="BL769" s="89"/>
      <c r="BM769" s="89"/>
      <c r="BN769" s="89"/>
      <c r="BO769" s="89"/>
      <c r="BP769" s="89"/>
    </row>
    <row r="770" spans="1:68" s="56" customFormat="1" ht="13.5" hidden="1">
      <c r="A770" s="204">
        <f>+IFERROR(VALUE(MID(AB770,4,4)),"")</f>
        <v>380</v>
      </c>
      <c r="B770" s="204">
        <f>VALUE(RIGHT(C770,LEN(C770)-2))</f>
        <v>1953</v>
      </c>
      <c r="C770" s="74" t="s">
        <v>2946</v>
      </c>
      <c r="D770" s="75">
        <v>45303</v>
      </c>
      <c r="E770" s="70" t="s">
        <v>685</v>
      </c>
      <c r="F770" s="70" t="s">
        <v>685</v>
      </c>
      <c r="G770" s="68" t="s">
        <v>2947</v>
      </c>
      <c r="H770" s="59" t="s">
        <v>1868</v>
      </c>
      <c r="I770" s="69" t="s">
        <v>2948</v>
      </c>
      <c r="J770" s="69"/>
      <c r="K770" s="68" t="s">
        <v>11</v>
      </c>
      <c r="L770" s="69" t="s">
        <v>123</v>
      </c>
      <c r="M770" s="71" t="s">
        <v>141</v>
      </c>
      <c r="N770" s="69" t="e" vm="1">
        <v>#VALUE!</v>
      </c>
      <c r="O770" s="164">
        <v>45331</v>
      </c>
      <c r="P770" s="72" t="s">
        <v>689</v>
      </c>
      <c r="Q770" s="72" t="s">
        <v>229</v>
      </c>
      <c r="R770" s="162"/>
      <c r="S770" s="146"/>
      <c r="T770" s="68" t="s">
        <v>3</v>
      </c>
      <c r="U770" s="87"/>
      <c r="V770" s="183">
        <v>45390</v>
      </c>
      <c r="W770" s="73">
        <v>6448</v>
      </c>
      <c r="X770" s="73">
        <v>383</v>
      </c>
      <c r="Y770" s="83">
        <f>IF(SUM(W770:W770)&gt;0,X770/SUM(W770:W770)*1000000,"N/A")</f>
        <v>59398.263027295281</v>
      </c>
      <c r="Z770" s="183"/>
      <c r="AA770" s="183"/>
      <c r="AB770" s="73" t="s">
        <v>2949</v>
      </c>
      <c r="AC770" s="153"/>
      <c r="AD770" s="331"/>
      <c r="AE770" s="57"/>
      <c r="AF770" s="88"/>
      <c r="AG770" s="182">
        <f>YEAR(V770)</f>
        <v>2024</v>
      </c>
      <c r="AH770" s="86" t="str">
        <f>+IF(AF770=$AI$22,MONTH(U770),"")</f>
        <v/>
      </c>
      <c r="AI770" s="86" t="str">
        <f>+IF(AG770=$AI$22,MONTH(V770),"")</f>
        <v/>
      </c>
      <c r="AJ770" s="86">
        <f>+IF(AG770=$AJ$22,MONTH(V770),"")</f>
        <v>4</v>
      </c>
      <c r="AK770" s="86" t="str">
        <f>+IF(AG770=$AK$22,MONTH(V770),"")</f>
        <v/>
      </c>
      <c r="AL770" s="86"/>
      <c r="AM770" s="89"/>
      <c r="AN770" s="89"/>
      <c r="AO770" s="89"/>
      <c r="AP770" s="89"/>
      <c r="AQ770" s="89"/>
      <c r="AR770" s="89"/>
      <c r="AS770" s="89"/>
      <c r="AT770" s="89"/>
      <c r="AU770" s="89"/>
      <c r="AV770" s="89"/>
      <c r="AW770" s="86" t="str">
        <f>+IF($AG770=AW$22,MONTH($D770),"")</f>
        <v/>
      </c>
      <c r="AX770" s="86" t="str">
        <f>+IF($AG770=AX$22,MONTH($D770),"")</f>
        <v/>
      </c>
      <c r="AY770" s="89"/>
      <c r="AZ770" s="89"/>
      <c r="BA770" s="89"/>
      <c r="BB770" s="89"/>
      <c r="BC770" s="89"/>
      <c r="BD770" s="89"/>
      <c r="BE770" s="89"/>
      <c r="BF770" s="89"/>
      <c r="BG770" s="89"/>
      <c r="BH770" s="89"/>
      <c r="BI770" s="89"/>
      <c r="BJ770" s="89"/>
      <c r="BK770" s="89"/>
      <c r="BL770" s="89"/>
      <c r="BM770" s="89"/>
      <c r="BN770" s="89"/>
      <c r="BO770" s="89"/>
      <c r="BP770" s="89"/>
    </row>
    <row r="771" spans="1:68" s="56" customFormat="1" ht="27" hidden="1">
      <c r="A771" s="204" t="str">
        <f>+IFERROR(VALUE(MID(AB771,4,4)),"")</f>
        <v/>
      </c>
      <c r="B771" s="204">
        <f>VALUE(RIGHT(C771,LEN(C771)-2))</f>
        <v>1952</v>
      </c>
      <c r="C771" s="74" t="s">
        <v>2950</v>
      </c>
      <c r="D771" s="75">
        <v>45302</v>
      </c>
      <c r="E771" s="70" t="s">
        <v>2951</v>
      </c>
      <c r="F771" s="70" t="s">
        <v>2951</v>
      </c>
      <c r="G771" s="68" t="s">
        <v>2952</v>
      </c>
      <c r="H771" s="59" t="s">
        <v>2953</v>
      </c>
      <c r="I771" s="162" t="s">
        <v>2954</v>
      </c>
      <c r="J771" s="162"/>
      <c r="K771" s="68" t="s">
        <v>13</v>
      </c>
      <c r="L771" s="69" t="s">
        <v>123</v>
      </c>
      <c r="M771" s="71" t="s">
        <v>113</v>
      </c>
      <c r="N771" s="69" t="e" vm="8">
        <v>#VALUE!</v>
      </c>
      <c r="O771" s="164">
        <v>45313</v>
      </c>
      <c r="P771" s="72" t="s">
        <v>369</v>
      </c>
      <c r="Q771" s="72" t="s">
        <v>229</v>
      </c>
      <c r="R771" s="162"/>
      <c r="S771" s="146"/>
      <c r="T771" s="68" t="s">
        <v>165</v>
      </c>
      <c r="U771" s="87"/>
      <c r="V771" s="183">
        <v>45390</v>
      </c>
      <c r="W771" s="73">
        <v>6139</v>
      </c>
      <c r="X771" s="73">
        <f>293775*900/1000000</f>
        <v>264.39749999999998</v>
      </c>
      <c r="Y771" s="83">
        <f>IF(SUM(W771:W771)&gt;0,X771/SUM(W771:W771)*1000000,"N/A")</f>
        <v>43068.496497800945</v>
      </c>
      <c r="Z771" s="183"/>
      <c r="AA771" s="183"/>
      <c r="AB771" s="73"/>
      <c r="AC771" s="153"/>
      <c r="AD771" s="331"/>
      <c r="AE771" s="57"/>
      <c r="AF771" s="88"/>
      <c r="AG771" s="182">
        <f>YEAR(V771)</f>
        <v>2024</v>
      </c>
      <c r="AH771" s="86" t="str">
        <f>+IF(AF771=$AI$22,MONTH(U771),"")</f>
        <v/>
      </c>
      <c r="AI771" s="86" t="str">
        <f>+IF(AG771=$AI$22,MONTH(V771),"")</f>
        <v/>
      </c>
      <c r="AJ771" s="86">
        <f>+IF(AG771=$AJ$22,MONTH(V771),"")</f>
        <v>4</v>
      </c>
      <c r="AK771" s="86" t="str">
        <f>+IF(AG771=$AK$22,MONTH(V771),"")</f>
        <v/>
      </c>
      <c r="AL771" s="86"/>
      <c r="AM771" s="89"/>
      <c r="AN771" s="89"/>
      <c r="AO771" s="89"/>
      <c r="AP771" s="89"/>
      <c r="AQ771" s="89"/>
      <c r="AR771" s="89"/>
      <c r="AS771" s="89"/>
      <c r="AT771" s="89"/>
      <c r="AU771" s="89"/>
      <c r="AV771" s="89"/>
      <c r="AW771" s="86" t="str">
        <f>+IF($AG771=AW$22,MONTH($D771),"")</f>
        <v/>
      </c>
      <c r="AX771" s="86" t="str">
        <f>+IF($AG771=AX$22,MONTH($D771),"")</f>
        <v/>
      </c>
      <c r="AY771" s="89"/>
      <c r="AZ771" s="89"/>
      <c r="BA771" s="89"/>
      <c r="BB771" s="89"/>
      <c r="BC771" s="89"/>
      <c r="BD771" s="89"/>
      <c r="BE771" s="89"/>
      <c r="BF771" s="89"/>
      <c r="BG771" s="89"/>
      <c r="BH771" s="89"/>
      <c r="BI771" s="89"/>
      <c r="BJ771" s="89"/>
      <c r="BK771" s="89"/>
      <c r="BL771" s="89"/>
      <c r="BM771" s="89"/>
      <c r="BN771" s="89"/>
      <c r="BO771" s="89"/>
      <c r="BP771" s="89"/>
    </row>
    <row r="772" spans="1:68" s="56" customFormat="1" ht="67.5" hidden="1">
      <c r="A772" s="204" t="str">
        <f>+IFERROR(VALUE(MID(AB772,4,4)),"")</f>
        <v/>
      </c>
      <c r="B772" s="204">
        <f>VALUE(RIGHT(C772,LEN(C772)-2))</f>
        <v>1951</v>
      </c>
      <c r="C772" s="74" t="s">
        <v>2955</v>
      </c>
      <c r="D772" s="75">
        <v>45302</v>
      </c>
      <c r="E772" s="70" t="s">
        <v>2150</v>
      </c>
      <c r="F772" s="70" t="s">
        <v>2150</v>
      </c>
      <c r="G772" s="68" t="s">
        <v>2956</v>
      </c>
      <c r="H772" s="59" t="s">
        <v>2957</v>
      </c>
      <c r="I772" s="162" t="s">
        <v>2958</v>
      </c>
      <c r="J772" s="162"/>
      <c r="K772" s="68" t="s">
        <v>401</v>
      </c>
      <c r="L772" s="69" t="s">
        <v>120</v>
      </c>
      <c r="M772" s="71" t="s">
        <v>113</v>
      </c>
      <c r="N772" s="69" t="e" vm="2">
        <v>#VALUE!</v>
      </c>
      <c r="O772" s="164">
        <v>45308</v>
      </c>
      <c r="P772" s="72" t="s">
        <v>2828</v>
      </c>
      <c r="Q772" s="72" t="s">
        <v>644</v>
      </c>
      <c r="R772" s="162"/>
      <c r="S772" s="146" t="s">
        <v>2959</v>
      </c>
      <c r="T772" s="68" t="s">
        <v>165</v>
      </c>
      <c r="U772" s="87"/>
      <c r="V772" s="183">
        <v>45308</v>
      </c>
      <c r="W772" s="73">
        <v>833</v>
      </c>
      <c r="X772" s="73">
        <v>46.1</v>
      </c>
      <c r="Y772" s="83">
        <f>IF(SUM(W772:W772)&gt;0,X772/SUM(W772:W772)*1000000,"N/A")</f>
        <v>55342.136854741897</v>
      </c>
      <c r="Z772" s="183"/>
      <c r="AA772" s="183"/>
      <c r="AB772" s="73"/>
      <c r="AC772" s="153"/>
      <c r="AD772" s="331"/>
      <c r="AE772" s="57"/>
      <c r="AF772" s="88"/>
      <c r="AG772" s="182">
        <f>YEAR(V772)</f>
        <v>2024</v>
      </c>
      <c r="AH772" s="86" t="str">
        <f>+IF(AF772=$AI$22,MONTH(U772),"")</f>
        <v/>
      </c>
      <c r="AI772" s="86" t="str">
        <f>+IF(AG772=$AI$22,MONTH(V772),"")</f>
        <v/>
      </c>
      <c r="AJ772" s="86">
        <f>+IF(AG772=$AJ$22,MONTH(V772),"")</f>
        <v>1</v>
      </c>
      <c r="AK772" s="86" t="str">
        <f>+IF(AG772=$AK$22,MONTH(V772),"")</f>
        <v/>
      </c>
      <c r="AL772" s="86"/>
      <c r="AM772" s="89"/>
      <c r="AN772" s="89"/>
      <c r="AO772" s="89"/>
      <c r="AP772" s="89"/>
      <c r="AQ772" s="89"/>
      <c r="AR772" s="89"/>
      <c r="AS772" s="89"/>
      <c r="AT772" s="89"/>
      <c r="AU772" s="89"/>
      <c r="AV772" s="89"/>
      <c r="AW772" s="86" t="str">
        <f>+IF($AG772=AW$22,MONTH($D772),"")</f>
        <v/>
      </c>
      <c r="AX772" s="86" t="str">
        <f>+IF($AG772=AX$22,MONTH($D772),"")</f>
        <v/>
      </c>
      <c r="AY772" s="89"/>
      <c r="AZ772" s="89"/>
      <c r="BA772" s="89"/>
      <c r="BB772" s="89"/>
      <c r="BC772" s="89"/>
      <c r="BD772" s="89"/>
      <c r="BE772" s="89"/>
      <c r="BF772" s="89"/>
      <c r="BG772" s="89"/>
      <c r="BH772" s="89"/>
      <c r="BI772" s="89"/>
      <c r="BJ772" s="89"/>
      <c r="BK772" s="89"/>
      <c r="BL772" s="89"/>
      <c r="BM772" s="89"/>
      <c r="BN772" s="89"/>
      <c r="BO772" s="89"/>
      <c r="BP772" s="89"/>
    </row>
    <row r="773" spans="1:68" s="89" customFormat="1" ht="13.5" hidden="1">
      <c r="A773" s="204" t="str">
        <f>+IFERROR(VALUE(MID(AB773,4,4)),"")</f>
        <v/>
      </c>
      <c r="B773" s="204">
        <f>VALUE(RIGHT(C773,LEN(C773)-2))</f>
        <v>1950</v>
      </c>
      <c r="C773" s="74" t="s">
        <v>2960</v>
      </c>
      <c r="D773" s="75">
        <v>45278</v>
      </c>
      <c r="E773" s="70" t="s">
        <v>2961</v>
      </c>
      <c r="F773" s="70" t="s">
        <v>2961</v>
      </c>
      <c r="G773" s="68" t="s">
        <v>2962</v>
      </c>
      <c r="H773" s="59" t="s">
        <v>2963</v>
      </c>
      <c r="I773" s="162" t="s">
        <v>2964</v>
      </c>
      <c r="J773" s="162"/>
      <c r="K773" s="68" t="s">
        <v>227</v>
      </c>
      <c r="L773" s="69" t="s">
        <v>123</v>
      </c>
      <c r="M773" s="71" t="s">
        <v>141</v>
      </c>
      <c r="N773" s="69" t="e" vm="1">
        <v>#VALUE!</v>
      </c>
      <c r="O773" s="164">
        <v>45302</v>
      </c>
      <c r="P773" s="72" t="s">
        <v>364</v>
      </c>
      <c r="Q773" s="72" t="s">
        <v>405</v>
      </c>
      <c r="R773" s="162"/>
      <c r="S773" s="146"/>
      <c r="T773" s="68" t="s">
        <v>3</v>
      </c>
      <c r="U773" s="87"/>
      <c r="V773" s="183">
        <v>45301</v>
      </c>
      <c r="W773" s="73" t="s">
        <v>134</v>
      </c>
      <c r="X773" s="73" t="s">
        <v>134</v>
      </c>
      <c r="Y773" s="83" t="str">
        <f>IF(SUM(W773:W773)&gt;0,X773/SUM(W773:W773)*1000000,"N/A")</f>
        <v>N/A</v>
      </c>
      <c r="Z773" s="183"/>
      <c r="AA773" s="183"/>
      <c r="AB773" s="73"/>
      <c r="AC773" s="153"/>
      <c r="AD773" s="331"/>
      <c r="AE773" s="57"/>
      <c r="AF773" s="88"/>
      <c r="AG773" s="182">
        <f>YEAR(V773)</f>
        <v>2024</v>
      </c>
      <c r="AH773" s="86" t="str">
        <f>+IF(AF773=$AI$22,MONTH(U773),"")</f>
        <v/>
      </c>
      <c r="AI773" s="86" t="str">
        <f>+IF(AG773=$AI$22,MONTH(V773),"")</f>
        <v/>
      </c>
      <c r="AJ773" s="86">
        <f>+IF(AG773=$AJ$22,MONTH(V773),"")</f>
        <v>1</v>
      </c>
      <c r="AK773" s="86" t="str">
        <f>+IF(AG773=$AK$22,MONTH(V773),"")</f>
        <v/>
      </c>
      <c r="AL773" s="86"/>
      <c r="AW773" s="86" t="str">
        <f>+IF($AG773=AW$22,MONTH($D773),"")</f>
        <v/>
      </c>
      <c r="AX773" s="86" t="str">
        <f>+IF($AG773=AX$22,MONTH($D773),"")</f>
        <v/>
      </c>
    </row>
    <row r="774" spans="1:68" s="56" customFormat="1" ht="13.5" hidden="1">
      <c r="A774" s="204">
        <f>+IFERROR(VALUE(MID(AB774,4,4)),"")</f>
        <v>368</v>
      </c>
      <c r="B774" s="204">
        <f>VALUE(RIGHT(C774,LEN(C774)-2))</f>
        <v>1949</v>
      </c>
      <c r="C774" s="74" t="s">
        <v>2965</v>
      </c>
      <c r="D774" s="75">
        <v>45295</v>
      </c>
      <c r="E774" s="70" t="s">
        <v>262</v>
      </c>
      <c r="F774" s="70" t="s">
        <v>270</v>
      </c>
      <c r="G774" s="68" t="s">
        <v>415</v>
      </c>
      <c r="H774" s="59"/>
      <c r="I774" s="162" t="s">
        <v>2966</v>
      </c>
      <c r="J774" s="162"/>
      <c r="K774" s="68" t="s">
        <v>11</v>
      </c>
      <c r="L774" s="69" t="s">
        <v>123</v>
      </c>
      <c r="M774" s="71" t="s">
        <v>141</v>
      </c>
      <c r="N774" s="69" t="e" vm="1">
        <v>#VALUE!</v>
      </c>
      <c r="O774" s="164">
        <v>45316</v>
      </c>
      <c r="P774" s="72" t="s">
        <v>2852</v>
      </c>
      <c r="Q774" s="72" t="s">
        <v>1097</v>
      </c>
      <c r="R774" s="162"/>
      <c r="S774" s="146"/>
      <c r="T774" s="68" t="s">
        <v>3</v>
      </c>
      <c r="U774" s="87"/>
      <c r="V774" s="183">
        <v>45323</v>
      </c>
      <c r="W774" s="73">
        <v>11617</v>
      </c>
      <c r="X774" s="73">
        <v>642.6</v>
      </c>
      <c r="Y774" s="83">
        <f>IF(SUM(W774:W774)&gt;0,X774/SUM(W774:W774)*1000000,"N/A")</f>
        <v>55315.485925798399</v>
      </c>
      <c r="Z774" s="183"/>
      <c r="AA774" s="183"/>
      <c r="AB774" s="73" t="s">
        <v>2967</v>
      </c>
      <c r="AC774" s="153"/>
      <c r="AD774" s="331"/>
      <c r="AE774" s="57"/>
      <c r="AF774" s="88"/>
      <c r="AG774" s="182">
        <f>YEAR(V774)</f>
        <v>2024</v>
      </c>
      <c r="AH774" s="86" t="str">
        <f>+IF(AF774=$AI$22,MONTH(U774),"")</f>
        <v/>
      </c>
      <c r="AI774" s="86" t="str">
        <f>+IF(AG774=$AI$22,MONTH(V774),"")</f>
        <v/>
      </c>
      <c r="AJ774" s="86">
        <f>+IF(AG774=$AJ$22,MONTH(V774),"")</f>
        <v>2</v>
      </c>
      <c r="AK774" s="86" t="str">
        <f>+IF(AG774=$AK$22,MONTH(V774),"")</f>
        <v/>
      </c>
      <c r="AL774" s="86"/>
      <c r="AM774" s="89"/>
      <c r="AN774" s="89"/>
      <c r="AO774" s="89"/>
      <c r="AP774" s="89"/>
      <c r="AQ774" s="89"/>
      <c r="AR774" s="89"/>
      <c r="AS774" s="89"/>
      <c r="AT774" s="89"/>
      <c r="AU774" s="89"/>
      <c r="AV774" s="89"/>
      <c r="AW774" s="86" t="str">
        <f>+IF($AG774=AW$22,MONTH($D774),"")</f>
        <v/>
      </c>
      <c r="AX774" s="86" t="str">
        <f>+IF($AG774=AX$22,MONTH($D774),"")</f>
        <v/>
      </c>
      <c r="AY774" s="89"/>
      <c r="AZ774" s="89"/>
      <c r="BA774" s="89"/>
      <c r="BB774" s="89"/>
      <c r="BC774" s="89"/>
      <c r="BD774" s="89"/>
      <c r="BE774" s="89"/>
      <c r="BF774" s="89"/>
      <c r="BG774" s="89"/>
      <c r="BH774" s="89"/>
      <c r="BI774" s="89"/>
      <c r="BJ774" s="89"/>
      <c r="BK774" s="89"/>
      <c r="BL774" s="89"/>
      <c r="BM774" s="89"/>
      <c r="BN774" s="89"/>
      <c r="BO774" s="89"/>
      <c r="BP774" s="89"/>
    </row>
    <row r="775" spans="1:68" s="89" customFormat="1" ht="27" hidden="1">
      <c r="A775" s="204" t="str">
        <f>+IFERROR(VALUE(MID(AB775,4,4)),"")</f>
        <v/>
      </c>
      <c r="B775" s="204">
        <f>VALUE(RIGHT(C775,LEN(C775)-2))</f>
        <v>1948</v>
      </c>
      <c r="C775" s="74" t="s">
        <v>2968</v>
      </c>
      <c r="D775" s="75">
        <v>45299</v>
      </c>
      <c r="E775" s="70" t="s">
        <v>479</v>
      </c>
      <c r="F775" s="70" t="s">
        <v>479</v>
      </c>
      <c r="G775" s="68" t="s">
        <v>1329</v>
      </c>
      <c r="H775" s="59" t="s">
        <v>699</v>
      </c>
      <c r="I775" s="162" t="s">
        <v>2969</v>
      </c>
      <c r="J775" s="162"/>
      <c r="K775" s="68" t="s">
        <v>30</v>
      </c>
      <c r="L775" s="69" t="s">
        <v>129</v>
      </c>
      <c r="M775" s="71" t="s">
        <v>113</v>
      </c>
      <c r="N775" s="69" t="e" vm="2">
        <v>#VALUE!</v>
      </c>
      <c r="O775" s="164">
        <v>45317</v>
      </c>
      <c r="P775" s="72" t="s">
        <v>2828</v>
      </c>
      <c r="Q775" s="72" t="s">
        <v>229</v>
      </c>
      <c r="R775" s="162"/>
      <c r="S775" s="146"/>
      <c r="T775" s="68" t="s">
        <v>155</v>
      </c>
      <c r="U775" s="87"/>
      <c r="V775" s="183">
        <v>45345</v>
      </c>
      <c r="W775" s="73"/>
      <c r="X775" s="73"/>
      <c r="Y775" s="83" t="str">
        <f>IF(SUM(W775:W775)&gt;0,X775/SUM(W775:W775)*1000000,"N/A")</f>
        <v>N/A</v>
      </c>
      <c r="Z775" s="183"/>
      <c r="AA775" s="183"/>
      <c r="AB775" s="73"/>
      <c r="AC775" s="153"/>
      <c r="AD775" s="331"/>
      <c r="AE775" s="57"/>
      <c r="AF775" s="88"/>
      <c r="AG775" s="182">
        <f>YEAR(V775)</f>
        <v>2024</v>
      </c>
      <c r="AH775" s="86" t="str">
        <f>+IF(AF775=$AI$22,MONTH(U775),"")</f>
        <v/>
      </c>
      <c r="AI775" s="86" t="str">
        <f>+IF(AG775=$AI$22,MONTH(V775),"")</f>
        <v/>
      </c>
      <c r="AJ775" s="86">
        <f>+IF(AG775=$AJ$22,MONTH(V775),"")</f>
        <v>2</v>
      </c>
      <c r="AK775" s="86" t="str">
        <f>+IF(AG775=$AK$22,MONTH(V775),"")</f>
        <v/>
      </c>
      <c r="AL775" s="86"/>
      <c r="AW775" s="86" t="str">
        <f>+IF($AG775=AW$22,MONTH($D775),"")</f>
        <v/>
      </c>
      <c r="AX775" s="86" t="str">
        <f>+IF($AG775=AX$22,MONTH($D775),"")</f>
        <v/>
      </c>
    </row>
    <row r="776" spans="1:68" s="56" customFormat="1" ht="27" hidden="1">
      <c r="A776" s="204" t="str">
        <f>+IFERROR(VALUE(MID(AB776,4,4)),"")</f>
        <v/>
      </c>
      <c r="B776" s="204">
        <f>VALUE(RIGHT(C776,LEN(C776)-2))</f>
        <v>1947</v>
      </c>
      <c r="C776" s="74" t="s">
        <v>2970</v>
      </c>
      <c r="D776" s="75">
        <v>45299</v>
      </c>
      <c r="E776" s="70" t="s">
        <v>479</v>
      </c>
      <c r="F776" s="70" t="s">
        <v>479</v>
      </c>
      <c r="G776" s="68" t="s">
        <v>1329</v>
      </c>
      <c r="H776" s="59" t="s">
        <v>699</v>
      </c>
      <c r="I776" s="162" t="s">
        <v>2971</v>
      </c>
      <c r="J776" s="162"/>
      <c r="K776" s="68" t="s">
        <v>30</v>
      </c>
      <c r="L776" s="69" t="s">
        <v>129</v>
      </c>
      <c r="M776" s="71" t="s">
        <v>113</v>
      </c>
      <c r="N776" s="69" t="e" vm="2">
        <v>#VALUE!</v>
      </c>
      <c r="O776" s="164">
        <v>45317</v>
      </c>
      <c r="P776" s="72" t="s">
        <v>2828</v>
      </c>
      <c r="Q776" s="72" t="s">
        <v>229</v>
      </c>
      <c r="R776" s="162"/>
      <c r="S776" s="146"/>
      <c r="T776" s="68" t="s">
        <v>165</v>
      </c>
      <c r="U776" s="87"/>
      <c r="V776" s="183">
        <v>45345</v>
      </c>
      <c r="W776" s="73">
        <v>1976</v>
      </c>
      <c r="X776" s="73">
        <v>70</v>
      </c>
      <c r="Y776" s="83">
        <f>IF(SUM(W776:W776)&gt;0,X776/SUM(W776:W776)*1000000,"N/A")</f>
        <v>35425.101214574897</v>
      </c>
      <c r="Z776" s="183"/>
      <c r="AA776" s="183"/>
      <c r="AB776" s="73"/>
      <c r="AC776" s="153"/>
      <c r="AD776" s="331"/>
      <c r="AE776" s="57"/>
      <c r="AF776" s="88"/>
      <c r="AG776" s="182">
        <f>YEAR(V776)</f>
        <v>2024</v>
      </c>
      <c r="AH776" s="86" t="str">
        <f>+IF(AF776=$AI$22,MONTH(U776),"")</f>
        <v/>
      </c>
      <c r="AI776" s="86" t="str">
        <f>+IF(AG776=$AI$22,MONTH(V776),"")</f>
        <v/>
      </c>
      <c r="AJ776" s="86">
        <f>+IF(AG776=$AJ$22,MONTH(V776),"")</f>
        <v>2</v>
      </c>
      <c r="AK776" s="86" t="str">
        <f>+IF(AG776=$AK$22,MONTH(V776),"")</f>
        <v/>
      </c>
      <c r="AL776" s="86"/>
      <c r="AM776" s="89"/>
      <c r="AN776" s="89"/>
      <c r="AO776" s="89"/>
      <c r="AP776" s="89"/>
      <c r="AQ776" s="89"/>
      <c r="AR776" s="89"/>
      <c r="AS776" s="89"/>
      <c r="AT776" s="89"/>
      <c r="AU776" s="89"/>
      <c r="AV776" s="89"/>
      <c r="AW776" s="86" t="str">
        <f>+IF($AG776=AW$22,MONTH($D776),"")</f>
        <v/>
      </c>
      <c r="AX776" s="86" t="str">
        <f>+IF($AG776=AX$22,MONTH($D776),"")</f>
        <v/>
      </c>
      <c r="AY776" s="89"/>
      <c r="AZ776" s="89"/>
      <c r="BA776" s="89"/>
      <c r="BB776" s="89"/>
      <c r="BC776" s="89"/>
      <c r="BD776" s="89"/>
      <c r="BE776" s="89"/>
      <c r="BF776" s="89"/>
      <c r="BG776" s="89"/>
      <c r="BH776" s="89"/>
      <c r="BI776" s="89"/>
      <c r="BJ776" s="89"/>
      <c r="BK776" s="89"/>
      <c r="BL776" s="89"/>
      <c r="BM776" s="89"/>
      <c r="BN776" s="89"/>
      <c r="BO776" s="89"/>
      <c r="BP776" s="89"/>
    </row>
    <row r="777" spans="1:68" s="89" customFormat="1" ht="27" hidden="1">
      <c r="A777" s="204">
        <f>+IFERROR(VALUE(MID(AB777,4,4)),"")</f>
        <v>384</v>
      </c>
      <c r="B777" s="204">
        <f>VALUE(RIGHT(C777,LEN(C777)-2))</f>
        <v>1946</v>
      </c>
      <c r="C777" s="74" t="s">
        <v>2972</v>
      </c>
      <c r="D777" s="75">
        <v>45299</v>
      </c>
      <c r="E777" s="70" t="s">
        <v>332</v>
      </c>
      <c r="F777" s="70" t="s">
        <v>332</v>
      </c>
      <c r="G777" s="68" t="s">
        <v>2973</v>
      </c>
      <c r="H777" s="59" t="s">
        <v>2974</v>
      </c>
      <c r="I777" s="69" t="s">
        <v>2975</v>
      </c>
      <c r="J777" s="69"/>
      <c r="K777" s="68" t="s">
        <v>212</v>
      </c>
      <c r="L777" s="69" t="s">
        <v>123</v>
      </c>
      <c r="M777" s="71" t="s">
        <v>141</v>
      </c>
      <c r="N777" s="69" t="e" vm="1">
        <v>#VALUE!</v>
      </c>
      <c r="O777" s="164">
        <v>45342</v>
      </c>
      <c r="P777" s="72" t="s">
        <v>228</v>
      </c>
      <c r="Q777" s="72" t="s">
        <v>405</v>
      </c>
      <c r="R777" s="162"/>
      <c r="S777" s="146" t="s">
        <v>2976</v>
      </c>
      <c r="T777" s="68" t="s">
        <v>3</v>
      </c>
      <c r="U777" s="87"/>
      <c r="V777" s="183">
        <v>45391</v>
      </c>
      <c r="W777" s="73"/>
      <c r="X777" s="73"/>
      <c r="Y777" s="83" t="str">
        <f>IF(SUM(W777:W777)&gt;0,X777/SUM(W777:W777)*1000000,"N/A")</f>
        <v>N/A</v>
      </c>
      <c r="Z777" s="183"/>
      <c r="AA777" s="183"/>
      <c r="AB777" s="73" t="s">
        <v>2977</v>
      </c>
      <c r="AC777" s="153"/>
      <c r="AD777" s="331"/>
      <c r="AE777" s="57"/>
      <c r="AF777" s="88"/>
      <c r="AG777" s="182">
        <f>YEAR(V777)</f>
        <v>2024</v>
      </c>
      <c r="AH777" s="86" t="str">
        <f>+IF(AF777=$AI$22,MONTH(U777),"")</f>
        <v/>
      </c>
      <c r="AI777" s="86" t="str">
        <f>+IF(AG777=$AI$22,MONTH(V777),"")</f>
        <v/>
      </c>
      <c r="AJ777" s="86">
        <f>+IF(AG777=$AJ$22,MONTH(V777),"")</f>
        <v>4</v>
      </c>
      <c r="AK777" s="86" t="str">
        <f>+IF(AG777=$AK$22,MONTH(V777),"")</f>
        <v/>
      </c>
      <c r="AL777" s="86" t="str">
        <f>+IF(AG777=$AL$22,MONTH(V777),"")</f>
        <v/>
      </c>
      <c r="AM777" s="86" t="str">
        <f>+IF($AG777=$AM$22,MONTH($D777),"")</f>
        <v/>
      </c>
      <c r="AN777" s="89" t="str">
        <f>+IF($AG777=AN$22,MONTH($D777),"")</f>
        <v/>
      </c>
      <c r="AO777" s="89" t="str">
        <f>+IF($AG777=AO$22,MONTH($D777),"")</f>
        <v/>
      </c>
      <c r="AP777" s="89" t="str">
        <f>+IF($AG777=AP$22,MONTH($D777),"")</f>
        <v/>
      </c>
      <c r="AQ777" s="89" t="str">
        <f>+IF($AG777=AQ$22,MONTH($D777),"")</f>
        <v/>
      </c>
      <c r="AR777" s="89" t="str">
        <f>+IF($AG777=AR$22,MONTH($D777),"")</f>
        <v/>
      </c>
      <c r="AS777" s="89" t="str">
        <f>+IF($AG777=AS$22,MONTH($D777),"")</f>
        <v/>
      </c>
      <c r="AT777" s="89" t="str">
        <f>+IF($AG777=AT$22,MONTH($D777),"")</f>
        <v/>
      </c>
      <c r="AU777" s="89" t="str">
        <f>+IF($AG777=AU$22,MONTH($D777),"")</f>
        <v/>
      </c>
      <c r="AV777" s="89" t="str">
        <f>+IF($AG777=AV$22,MONTH($D777),"")</f>
        <v/>
      </c>
      <c r="AW777" s="86" t="str">
        <f>+IF($AG777=AW$22,MONTH($D777),"")</f>
        <v/>
      </c>
      <c r="AX777" s="86" t="str">
        <f>+IF($AG777=AX$22,MONTH($D777),"")</f>
        <v/>
      </c>
    </row>
    <row r="778" spans="1:68" s="56" customFormat="1" ht="13.5" hidden="1">
      <c r="A778" s="204" t="str">
        <f>+IFERROR(VALUE(MID(AB778,4,4)),"")</f>
        <v/>
      </c>
      <c r="B778" s="204">
        <f>VALUE(RIGHT(C778,LEN(C778)-2))</f>
        <v>1945</v>
      </c>
      <c r="C778" s="74" t="s">
        <v>2978</v>
      </c>
      <c r="D778" s="75">
        <v>45299</v>
      </c>
      <c r="E778" s="70" t="s">
        <v>479</v>
      </c>
      <c r="F778" s="70" t="s">
        <v>479</v>
      </c>
      <c r="G778" s="68" t="s">
        <v>2979</v>
      </c>
      <c r="H778" s="59" t="s">
        <v>2980</v>
      </c>
      <c r="I778" s="162" t="s">
        <v>2981</v>
      </c>
      <c r="J778" s="162"/>
      <c r="K778" s="68" t="s">
        <v>42</v>
      </c>
      <c r="L778" s="69" t="s">
        <v>129</v>
      </c>
      <c r="M778" s="71" t="s">
        <v>113</v>
      </c>
      <c r="N778" s="69" t="e" vm="2">
        <v>#VALUE!</v>
      </c>
      <c r="O778" s="164">
        <v>45315</v>
      </c>
      <c r="P778" s="72" t="s">
        <v>2828</v>
      </c>
      <c r="Q778" s="72" t="s">
        <v>1097</v>
      </c>
      <c r="R778" s="162"/>
      <c r="S778" s="146"/>
      <c r="T778" s="68" t="s">
        <v>165</v>
      </c>
      <c r="U778" s="87">
        <v>0</v>
      </c>
      <c r="V778" s="80">
        <v>45432</v>
      </c>
      <c r="W778" s="73">
        <v>3187</v>
      </c>
      <c r="X778" s="73">
        <v>107.2</v>
      </c>
      <c r="Y778" s="83">
        <f>IF(SUM(W778:W778)&gt;0,X778/SUM(W778:W778)*1000000,"N/A")</f>
        <v>33636.648886099785</v>
      </c>
      <c r="Z778" s="80"/>
      <c r="AA778" s="80"/>
      <c r="AB778" s="73"/>
      <c r="AC778" s="153">
        <v>45541</v>
      </c>
      <c r="AD778" s="331"/>
      <c r="AE778" s="57"/>
      <c r="AF778" s="88"/>
      <c r="AG778" s="182">
        <f>YEAR(V778)</f>
        <v>2024</v>
      </c>
      <c r="AH778" s="86" t="str">
        <f>+IF(AF778=$AI$22,MONTH(U778),"")</f>
        <v/>
      </c>
      <c r="AI778" s="86" t="str">
        <f>+IF(AG778=$AI$22,MONTH(V778),"")</f>
        <v/>
      </c>
      <c r="AJ778" s="86">
        <f>+IF(AG778=$AJ$22,MONTH(V778),"")</f>
        <v>5</v>
      </c>
      <c r="AK778" s="86" t="str">
        <f>+IF(AG778=$AK$22,MONTH(V778),"")</f>
        <v/>
      </c>
      <c r="AL778" s="86"/>
      <c r="AM778" s="89"/>
      <c r="AN778" s="89"/>
      <c r="AO778" s="89"/>
      <c r="AP778" s="89"/>
      <c r="AQ778" s="89"/>
      <c r="AR778" s="89"/>
      <c r="AS778" s="89"/>
      <c r="AT778" s="89"/>
      <c r="AU778" s="89"/>
      <c r="AV778" s="89"/>
      <c r="AW778" s="86" t="str">
        <f>+IF($AG778=AW$22,MONTH($D778),"")</f>
        <v/>
      </c>
      <c r="AX778" s="86" t="str">
        <f>+IF($AG778=AX$22,MONTH($D778),"")</f>
        <v/>
      </c>
      <c r="AY778" s="89"/>
      <c r="AZ778" s="89"/>
      <c r="BA778" s="89"/>
      <c r="BB778" s="89"/>
      <c r="BC778" s="89"/>
      <c r="BD778" s="89"/>
      <c r="BE778" s="89"/>
      <c r="BF778" s="89"/>
      <c r="BG778" s="89"/>
      <c r="BH778" s="89"/>
      <c r="BI778" s="89"/>
      <c r="BJ778" s="89"/>
      <c r="BK778" s="89"/>
      <c r="BL778" s="89"/>
      <c r="BM778" s="89"/>
      <c r="BN778" s="89"/>
      <c r="BO778" s="89"/>
      <c r="BP778" s="89"/>
    </row>
    <row r="779" spans="1:68" s="89" customFormat="1" ht="13.5" hidden="1">
      <c r="A779" s="204" t="str">
        <f>+IFERROR(VALUE(MID(AB779,4,4)),"")</f>
        <v/>
      </c>
      <c r="B779" s="204">
        <f>VALUE(RIGHT(C779,LEN(C779)-2))</f>
        <v>1944</v>
      </c>
      <c r="C779" s="74" t="s">
        <v>2982</v>
      </c>
      <c r="D779" s="75">
        <v>45295</v>
      </c>
      <c r="E779" s="70" t="s">
        <v>2983</v>
      </c>
      <c r="F779" s="70" t="s">
        <v>51</v>
      </c>
      <c r="G779" s="68" t="s">
        <v>210</v>
      </c>
      <c r="H779" s="59"/>
      <c r="I779" s="162" t="s">
        <v>2984</v>
      </c>
      <c r="J779" s="162"/>
      <c r="K779" s="68" t="s">
        <v>16</v>
      </c>
      <c r="L779" s="69" t="s">
        <v>123</v>
      </c>
      <c r="M779" s="71" t="s">
        <v>141</v>
      </c>
      <c r="N779" s="69" t="e" vm="1">
        <v>#VALUE!</v>
      </c>
      <c r="O779" s="164">
        <v>45303</v>
      </c>
      <c r="P779" s="72" t="s">
        <v>369</v>
      </c>
      <c r="Q779" s="72" t="s">
        <v>229</v>
      </c>
      <c r="R779" s="162"/>
      <c r="S779" s="146"/>
      <c r="T779" s="68" t="s">
        <v>155</v>
      </c>
      <c r="U779" s="87"/>
      <c r="V779" s="183">
        <v>45295</v>
      </c>
      <c r="W779" s="73"/>
      <c r="X779" s="73"/>
      <c r="Y779" s="83" t="str">
        <f>IF(SUM(W779:W779)&gt;0,X779/SUM(W779:W779)*1000000,"N/A")</f>
        <v>N/A</v>
      </c>
      <c r="Z779" s="183"/>
      <c r="AA779" s="183"/>
      <c r="AB779" s="73"/>
      <c r="AC779" s="153"/>
      <c r="AD779" s="331"/>
      <c r="AE779" s="57"/>
      <c r="AF779" s="88"/>
      <c r="AG779" s="182">
        <f>YEAR(V779)</f>
        <v>2024</v>
      </c>
      <c r="AH779" s="86" t="str">
        <f>+IF(AF779=$AI$22,MONTH(U779),"")</f>
        <v/>
      </c>
      <c r="AI779" s="86" t="str">
        <f>+IF(AG779=$AI$22,MONTH(V779),"")</f>
        <v/>
      </c>
      <c r="AJ779" s="86">
        <f>+IF(AG779=$AJ$22,MONTH(V779),"")</f>
        <v>1</v>
      </c>
      <c r="AK779" s="86" t="str">
        <f>+IF(AG779=$AK$22,MONTH(V779),"")</f>
        <v/>
      </c>
      <c r="AL779" s="86"/>
      <c r="AW779" s="86" t="str">
        <f>+IF($AG779=AW$22,MONTH($D779),"")</f>
        <v/>
      </c>
      <c r="AX779" s="86" t="str">
        <f>+IF($AG779=AX$22,MONTH($D779),"")</f>
        <v/>
      </c>
    </row>
    <row r="780" spans="1:68" s="56" customFormat="1" ht="27" hidden="1">
      <c r="A780" s="204">
        <f>+IFERROR(VALUE(MID(AB780,4,4)),"")</f>
        <v>390</v>
      </c>
      <c r="B780" s="204">
        <f>VALUE(RIGHT(C780,LEN(C780)-2))</f>
        <v>1943</v>
      </c>
      <c r="C780" s="74" t="s">
        <v>2985</v>
      </c>
      <c r="D780" s="75">
        <v>45293</v>
      </c>
      <c r="E780" s="70" t="s">
        <v>262</v>
      </c>
      <c r="F780" s="70" t="s">
        <v>270</v>
      </c>
      <c r="G780" s="68" t="s">
        <v>415</v>
      </c>
      <c r="H780" s="59"/>
      <c r="I780" s="162" t="s">
        <v>2986</v>
      </c>
      <c r="J780" s="162"/>
      <c r="K780" s="68" t="s">
        <v>13</v>
      </c>
      <c r="L780" s="69" t="s">
        <v>123</v>
      </c>
      <c r="M780" s="71" t="s">
        <v>141</v>
      </c>
      <c r="N780" s="69" t="e" vm="1">
        <v>#VALUE!</v>
      </c>
      <c r="O780" s="164">
        <v>45317</v>
      </c>
      <c r="P780" s="72" t="s">
        <v>2987</v>
      </c>
      <c r="Q780" s="72" t="s">
        <v>1097</v>
      </c>
      <c r="R780" s="162"/>
      <c r="S780" s="146" t="s">
        <v>2988</v>
      </c>
      <c r="T780" s="68" t="s">
        <v>3</v>
      </c>
      <c r="U780" s="87"/>
      <c r="V780" s="183">
        <v>45491</v>
      </c>
      <c r="W780" s="73">
        <v>22260</v>
      </c>
      <c r="X780" s="73">
        <v>1230</v>
      </c>
      <c r="Y780" s="83">
        <f>IF(SUM(W780:W780)&gt;0,X780/SUM(W780:W780)*1000000,"N/A")</f>
        <v>55256.064690026949</v>
      </c>
      <c r="Z780" s="183"/>
      <c r="AA780" s="183"/>
      <c r="AB780" s="73" t="s">
        <v>2989</v>
      </c>
      <c r="AC780" s="153"/>
      <c r="AD780" s="331" t="s">
        <v>2487</v>
      </c>
      <c r="AE780" s="57"/>
      <c r="AF780" s="88"/>
      <c r="AG780" s="182">
        <f>YEAR(V780)</f>
        <v>2024</v>
      </c>
      <c r="AH780" s="86" t="str">
        <f>+IF(AF780=$AI$22,MONTH(U780),"")</f>
        <v/>
      </c>
      <c r="AI780" s="86" t="str">
        <f>+IF(AG780=$AI$22,MONTH(V780),"")</f>
        <v/>
      </c>
      <c r="AJ780" s="86">
        <f>+IF(AG780=$AJ$22,MONTH(V780),"")</f>
        <v>7</v>
      </c>
      <c r="AK780" s="86" t="str">
        <f>+IF(AG780=$AK$22,MONTH(V780),"")</f>
        <v/>
      </c>
      <c r="AL780" s="86"/>
      <c r="AM780" s="89"/>
      <c r="AN780" s="89"/>
      <c r="AO780" s="89"/>
      <c r="AP780" s="89"/>
      <c r="AQ780" s="89"/>
      <c r="AR780" s="89"/>
      <c r="AS780" s="89"/>
      <c r="AT780" s="89"/>
      <c r="AU780" s="89"/>
      <c r="AV780" s="89"/>
      <c r="AW780" s="86" t="str">
        <f>+IF($AG780=AW$22,MONTH($D780),"")</f>
        <v/>
      </c>
      <c r="AX780" s="86" t="str">
        <f>+IF($AG780=AX$22,MONTH($D780),"")</f>
        <v/>
      </c>
      <c r="AY780" s="89"/>
      <c r="AZ780" s="89"/>
      <c r="BA780" s="89"/>
      <c r="BB780" s="89"/>
      <c r="BC780" s="89"/>
      <c r="BD780" s="89"/>
      <c r="BE780" s="89"/>
      <c r="BF780" s="89"/>
      <c r="BG780" s="89"/>
      <c r="BH780" s="89"/>
      <c r="BI780" s="89"/>
      <c r="BJ780" s="89"/>
      <c r="BK780" s="89"/>
      <c r="BL780" s="89"/>
      <c r="BM780" s="89"/>
      <c r="BN780" s="89"/>
      <c r="BO780" s="89"/>
      <c r="BP780" s="89"/>
    </row>
    <row r="781" spans="1:68" s="56" customFormat="1" ht="94.5" hidden="1">
      <c r="A781" s="204" t="str">
        <f>+IFERROR(VALUE(MID(AB781,4,4)),"")</f>
        <v/>
      </c>
      <c r="B781" s="204">
        <f>VALUE(RIGHT(C781,LEN(C781)-2))</f>
        <v>1942</v>
      </c>
      <c r="C781" s="74" t="s">
        <v>2990</v>
      </c>
      <c r="D781" s="75">
        <v>45288</v>
      </c>
      <c r="E781" s="70" t="s">
        <v>277</v>
      </c>
      <c r="F781" s="70" t="s">
        <v>277</v>
      </c>
      <c r="G781" s="68" t="s">
        <v>2803</v>
      </c>
      <c r="H781" s="59" t="s">
        <v>2804</v>
      </c>
      <c r="I781" s="162" t="s">
        <v>2991</v>
      </c>
      <c r="J781" s="162"/>
      <c r="K781" s="68" t="s">
        <v>13</v>
      </c>
      <c r="L781" s="69" t="s">
        <v>129</v>
      </c>
      <c r="M781" s="71" t="s">
        <v>141</v>
      </c>
      <c r="N781" s="69" t="e" vm="1">
        <v>#VALUE!</v>
      </c>
      <c r="O781" s="164">
        <v>45288</v>
      </c>
      <c r="P781" s="72" t="s">
        <v>2852</v>
      </c>
      <c r="Q781" s="72" t="s">
        <v>229</v>
      </c>
      <c r="R781" s="162"/>
      <c r="S781" s="146" t="s">
        <v>2992</v>
      </c>
      <c r="T781" s="68" t="s">
        <v>168</v>
      </c>
      <c r="U781" s="87"/>
      <c r="V781" s="183">
        <v>45307</v>
      </c>
      <c r="W781" s="73"/>
      <c r="X781" s="73"/>
      <c r="Y781" s="83" t="str">
        <f>IF(SUM(W781:W781)&gt;0,X781/SUM(W781:W781)*1000000,"N/A")</f>
        <v>N/A</v>
      </c>
      <c r="Z781" s="183"/>
      <c r="AA781" s="183"/>
      <c r="AB781" s="73"/>
      <c r="AC781" s="153"/>
      <c r="AD781" s="331"/>
      <c r="AE781" s="57"/>
      <c r="AF781" s="88"/>
      <c r="AG781" s="182">
        <f>YEAR(V781)</f>
        <v>2024</v>
      </c>
      <c r="AH781" s="86" t="str">
        <f>+IF(AF781=$AI$22,MONTH(U781),"")</f>
        <v/>
      </c>
      <c r="AI781" s="86" t="str">
        <f>+IF(AG781=$AI$22,MONTH(V781),"")</f>
        <v/>
      </c>
      <c r="AJ781" s="86">
        <f>+IF(AG781=$AJ$22,MONTH(V781),"")</f>
        <v>1</v>
      </c>
      <c r="AK781" s="86" t="str">
        <f>+IF(AG781=$AK$22,MONTH(V781),"")</f>
        <v/>
      </c>
      <c r="AL781" s="86" t="str">
        <f>+IF(AG781=$AL$22,MONTH(V781),"")</f>
        <v/>
      </c>
      <c r="AM781" s="86" t="str">
        <f>+IF($AG781=$AM$22,MONTH($D781),"")</f>
        <v/>
      </c>
      <c r="AN781" s="89" t="str">
        <f>+IF($AG781=AN$22,MONTH($D781),"")</f>
        <v/>
      </c>
      <c r="AO781" s="89" t="str">
        <f>+IF($AG781=AO$22,MONTH($D781),"")</f>
        <v/>
      </c>
      <c r="AP781" s="89" t="str">
        <f>+IF($AG781=AP$22,MONTH($D781),"")</f>
        <v/>
      </c>
      <c r="AQ781" s="89" t="str">
        <f>+IF($AG781=AQ$22,MONTH($D781),"")</f>
        <v/>
      </c>
      <c r="AR781" s="89" t="str">
        <f>+IF($AG781=AR$22,MONTH($D781),"")</f>
        <v/>
      </c>
      <c r="AS781" s="89" t="str">
        <f>+IF($AG781=AS$22,MONTH($D781),"")</f>
        <v/>
      </c>
      <c r="AT781" s="89" t="str">
        <f>+IF($AG781=AT$22,MONTH($D781),"")</f>
        <v/>
      </c>
      <c r="AU781" s="89" t="str">
        <f>+IF($AG781=AU$22,MONTH($D781),"")</f>
        <v/>
      </c>
      <c r="AV781" s="89" t="str">
        <f>+IF($AG781=AV$22,MONTH($D781),"")</f>
        <v/>
      </c>
      <c r="AW781" s="86" t="str">
        <f>+IF($AG781=AW$22,MONTH($D781),"")</f>
        <v/>
      </c>
      <c r="AX781" s="86" t="str">
        <f>+IF($AG781=AX$22,MONTH($D781),"")</f>
        <v/>
      </c>
      <c r="AY781" s="89"/>
      <c r="AZ781" s="89"/>
      <c r="BA781" s="89"/>
      <c r="BB781" s="89"/>
      <c r="BC781" s="89"/>
      <c r="BD781" s="89"/>
      <c r="BE781" s="89"/>
      <c r="BF781" s="89"/>
      <c r="BG781" s="89"/>
      <c r="BH781" s="89"/>
      <c r="BI781" s="89"/>
      <c r="BJ781" s="89"/>
      <c r="BK781" s="89"/>
      <c r="BL781" s="89"/>
      <c r="BM781" s="89"/>
      <c r="BN781" s="89"/>
      <c r="BO781" s="89"/>
      <c r="BP781" s="89"/>
    </row>
    <row r="782" spans="1:68" s="89" customFormat="1" ht="148.5" hidden="1">
      <c r="A782" s="204">
        <f>+IFERROR(VALUE(MID(AB782,4,4)),"")</f>
        <v>355</v>
      </c>
      <c r="B782" s="204">
        <f>VALUE(RIGHT(C782,LEN(C782)-2))</f>
        <v>1941</v>
      </c>
      <c r="C782" s="74" t="s">
        <v>2993</v>
      </c>
      <c r="D782" s="75">
        <v>45287</v>
      </c>
      <c r="E782" s="70" t="s">
        <v>1903</v>
      </c>
      <c r="F782" s="70" t="s">
        <v>51</v>
      </c>
      <c r="G782" s="68" t="s">
        <v>2994</v>
      </c>
      <c r="H782" s="59" t="s">
        <v>2995</v>
      </c>
      <c r="I782" s="162" t="s">
        <v>2996</v>
      </c>
      <c r="J782" s="162"/>
      <c r="K782" s="68" t="s">
        <v>14</v>
      </c>
      <c r="L782" s="68" t="s">
        <v>120</v>
      </c>
      <c r="M782" s="71" t="s">
        <v>141</v>
      </c>
      <c r="N782" s="69" t="e" vm="1">
        <v>#VALUE!</v>
      </c>
      <c r="O782" s="164">
        <v>45287</v>
      </c>
      <c r="P782" s="72" t="s">
        <v>402</v>
      </c>
      <c r="Q782" s="72" t="s">
        <v>1097</v>
      </c>
      <c r="R782" s="162"/>
      <c r="S782" s="146" t="s">
        <v>2997</v>
      </c>
      <c r="T782" s="68" t="s">
        <v>165</v>
      </c>
      <c r="U782" s="87"/>
      <c r="V782" s="183">
        <v>45328</v>
      </c>
      <c r="W782" s="73">
        <v>180</v>
      </c>
      <c r="X782" s="73">
        <v>3</v>
      </c>
      <c r="Y782" s="83">
        <f>IF(SUM(W782:W782)&gt;0,X782/SUM(W782:W782)*1000000,"N/A")</f>
        <v>16666.666666666668</v>
      </c>
      <c r="Z782" s="183"/>
      <c r="AA782" s="183"/>
      <c r="AB782" s="73" t="s">
        <v>2998</v>
      </c>
      <c r="AC782" s="153">
        <v>45541</v>
      </c>
      <c r="AD782" s="331"/>
      <c r="AE782" s="57"/>
      <c r="AF782" s="88"/>
      <c r="AG782" s="182">
        <f>YEAR(V782)</f>
        <v>2024</v>
      </c>
      <c r="AH782" s="86" t="str">
        <f>+IF(AF782=$AI$22,MONTH(U782),"")</f>
        <v/>
      </c>
      <c r="AI782" s="86" t="str">
        <f>+IF(AG782=$AI$22,MONTH(V782),"")</f>
        <v/>
      </c>
      <c r="AJ782" s="86">
        <f>+IF(AG782=$AJ$22,MONTH(V782),"")</f>
        <v>2</v>
      </c>
      <c r="AK782" s="86" t="str">
        <f>+IF(AG782=$AK$22,MONTH(V782),"")</f>
        <v/>
      </c>
      <c r="AL782" s="86"/>
      <c r="AW782" s="86" t="str">
        <f>+IF($AG782=AW$22,MONTH($D782),"")</f>
        <v/>
      </c>
      <c r="AX782" s="86" t="str">
        <f>+IF($AG782=AX$22,MONTH($D782),"")</f>
        <v/>
      </c>
    </row>
    <row r="783" spans="1:68" s="89" customFormat="1" ht="34.5" hidden="1" customHeight="1">
      <c r="A783" s="204">
        <f>+IFERROR(VALUE(MID(AB783,4,4)),"")</f>
        <v>289</v>
      </c>
      <c r="B783" s="204">
        <f>VALUE(RIGHT(C783,LEN(C783)-2))</f>
        <v>1940</v>
      </c>
      <c r="C783" s="74" t="s">
        <v>2999</v>
      </c>
      <c r="D783" s="75">
        <v>45286</v>
      </c>
      <c r="E783" s="70" t="s">
        <v>479</v>
      </c>
      <c r="F783" s="70" t="s">
        <v>479</v>
      </c>
      <c r="G783" s="68" t="s">
        <v>216</v>
      </c>
      <c r="H783" s="59"/>
      <c r="I783" s="69" t="s">
        <v>3000</v>
      </c>
      <c r="J783" s="69"/>
      <c r="K783" s="68" t="s">
        <v>13</v>
      </c>
      <c r="L783" s="69" t="s">
        <v>129</v>
      </c>
      <c r="M783" s="71" t="s">
        <v>113</v>
      </c>
      <c r="N783" s="69" t="e" vm="2">
        <v>#VALUE!</v>
      </c>
      <c r="O783" s="164">
        <v>45303</v>
      </c>
      <c r="P783" s="72" t="s">
        <v>2828</v>
      </c>
      <c r="Q783" s="72" t="s">
        <v>623</v>
      </c>
      <c r="R783" s="162"/>
      <c r="S783" s="146" t="s">
        <v>2253</v>
      </c>
      <c r="T783" s="68" t="s">
        <v>3</v>
      </c>
      <c r="U783" s="87"/>
      <c r="V783" s="183">
        <v>45391</v>
      </c>
      <c r="W783" s="73">
        <v>3074</v>
      </c>
      <c r="X783" s="73">
        <v>114</v>
      </c>
      <c r="Y783" s="83">
        <f>IF(SUM(W783:W783)&gt;0,X783/SUM(W783:W783)*1000000,"N/A")</f>
        <v>37085.230969420947</v>
      </c>
      <c r="Z783" s="183"/>
      <c r="AA783" s="183"/>
      <c r="AB783" s="73" t="s">
        <v>3001</v>
      </c>
      <c r="AC783" s="153"/>
      <c r="AD783" s="331"/>
      <c r="AE783" s="57"/>
      <c r="AF783" s="88"/>
      <c r="AG783" s="182">
        <f>YEAR(V783)</f>
        <v>2024</v>
      </c>
      <c r="AH783" s="86" t="str">
        <f>+IF(AF783=$AI$22,MONTH(U783),"")</f>
        <v/>
      </c>
      <c r="AI783" s="86" t="str">
        <f>+IF(AG783=$AI$22,MONTH(V783),"")</f>
        <v/>
      </c>
      <c r="AJ783" s="86">
        <f>+IF(AG783=$AJ$22,MONTH(V783),"")</f>
        <v>4</v>
      </c>
      <c r="AK783" s="86" t="str">
        <f>+IF(AG783=$AK$22,MONTH(V783),"")</f>
        <v/>
      </c>
      <c r="AL783" s="86"/>
      <c r="AW783" s="86" t="str">
        <f>+IF($AG783=AW$22,MONTH($D783),"")</f>
        <v/>
      </c>
      <c r="AX783" s="86" t="str">
        <f>+IF($AG783=AX$22,MONTH($D783),"")</f>
        <v/>
      </c>
    </row>
    <row r="784" spans="1:68" s="89" customFormat="1" ht="53.25" hidden="1">
      <c r="A784" s="204" t="str">
        <f>+IFERROR(VALUE(MID(AB784,4,4)),"")</f>
        <v/>
      </c>
      <c r="B784" s="204">
        <f>VALUE(RIGHT(C784,LEN(C784)-2))</f>
        <v>1939</v>
      </c>
      <c r="C784" s="74" t="s">
        <v>3002</v>
      </c>
      <c r="D784" s="75">
        <v>45281</v>
      </c>
      <c r="E784" s="70" t="s">
        <v>3003</v>
      </c>
      <c r="F784" s="70" t="s">
        <v>3003</v>
      </c>
      <c r="G784" s="68" t="s">
        <v>3004</v>
      </c>
      <c r="H784" s="59" t="s">
        <v>3005</v>
      </c>
      <c r="I784" s="162" t="s">
        <v>3006</v>
      </c>
      <c r="J784" s="162"/>
      <c r="K784" s="68" t="s">
        <v>13</v>
      </c>
      <c r="L784" s="69" t="s">
        <v>123</v>
      </c>
      <c r="M784" s="71" t="s">
        <v>141</v>
      </c>
      <c r="N784" s="69" t="e" vm="1">
        <v>#VALUE!</v>
      </c>
      <c r="O784" s="164">
        <v>45314</v>
      </c>
      <c r="P784" s="72" t="s">
        <v>364</v>
      </c>
      <c r="Q784" s="72" t="s">
        <v>316</v>
      </c>
      <c r="R784" s="162"/>
      <c r="S784" s="146"/>
      <c r="T784" s="68" t="s">
        <v>165</v>
      </c>
      <c r="U784" s="87"/>
      <c r="V784" s="183">
        <v>45345</v>
      </c>
      <c r="W784" s="73">
        <v>1566</v>
      </c>
      <c r="X784" s="73">
        <f>1778*36850/1000000</f>
        <v>65.519300000000001</v>
      </c>
      <c r="Y784" s="83">
        <f>IF(SUM(W784:W784)&gt;0,X784/SUM(W784:W784)*1000000,"N/A")</f>
        <v>41838.633461047255</v>
      </c>
      <c r="Z784" s="183" t="s">
        <v>3007</v>
      </c>
      <c r="AA784" s="183" t="s">
        <v>3008</v>
      </c>
      <c r="AB784" s="73"/>
      <c r="AC784" s="153"/>
      <c r="AD784" s="331"/>
      <c r="AE784" s="57"/>
      <c r="AF784" s="88"/>
      <c r="AG784" s="182">
        <f>YEAR(V784)</f>
        <v>2024</v>
      </c>
      <c r="AH784" s="86" t="str">
        <f>+IF(AF784=$AI$22,MONTH(U784),"")</f>
        <v/>
      </c>
      <c r="AI784" s="86" t="str">
        <f>+IF(AG784=$AI$22,MONTH(V784),"")</f>
        <v/>
      </c>
      <c r="AJ784" s="86">
        <f>+IF(AG784=$AJ$22,MONTH(V784),"")</f>
        <v>2</v>
      </c>
      <c r="AK784" s="86" t="str">
        <f>+IF(AG784=$AK$22,MONTH(V784),"")</f>
        <v/>
      </c>
      <c r="AL784" s="86"/>
      <c r="AW784" s="86" t="str">
        <f>+IF($AG784=AW$22,MONTH($D784),"")</f>
        <v/>
      </c>
      <c r="AX784" s="86" t="str">
        <f>+IF($AG784=AX$22,MONTH($D784),"")</f>
        <v/>
      </c>
    </row>
    <row r="785" spans="1:68" s="89" customFormat="1" ht="13.5" hidden="1">
      <c r="A785" s="204">
        <f>+IFERROR(VALUE(MID(AB785,4,4)),"")</f>
        <v>364</v>
      </c>
      <c r="B785" s="204">
        <f>VALUE(RIGHT(C785,LEN(C785)-2))</f>
        <v>1938</v>
      </c>
      <c r="C785" s="74" t="s">
        <v>3009</v>
      </c>
      <c r="D785" s="75">
        <v>45279</v>
      </c>
      <c r="E785" s="70" t="s">
        <v>262</v>
      </c>
      <c r="F785" s="70" t="s">
        <v>270</v>
      </c>
      <c r="G785" s="68" t="s">
        <v>2228</v>
      </c>
      <c r="H785" s="59" t="s">
        <v>2172</v>
      </c>
      <c r="I785" s="162" t="s">
        <v>3010</v>
      </c>
      <c r="J785" s="162"/>
      <c r="K785" s="68" t="s">
        <v>13</v>
      </c>
      <c r="L785" s="69" t="s">
        <v>120</v>
      </c>
      <c r="M785" s="71" t="s">
        <v>141</v>
      </c>
      <c r="N785" s="69" t="e" vm="1">
        <v>#VALUE!</v>
      </c>
      <c r="O785" s="164">
        <v>45296</v>
      </c>
      <c r="P785" s="72" t="s">
        <v>2852</v>
      </c>
      <c r="Q785" s="72" t="s">
        <v>229</v>
      </c>
      <c r="R785" s="162"/>
      <c r="S785" s="146"/>
      <c r="T785" s="68" t="s">
        <v>3</v>
      </c>
      <c r="U785" s="87"/>
      <c r="V785" s="183">
        <v>45303</v>
      </c>
      <c r="W785" s="73">
        <v>2878</v>
      </c>
      <c r="X785" s="73">
        <v>158.6</v>
      </c>
      <c r="Y785" s="83">
        <f>IF(SUM(W785:W785)&gt;0,X785/SUM(W785:W785)*1000000,"N/A")</f>
        <v>55107.713690062541</v>
      </c>
      <c r="Z785" s="183"/>
      <c r="AA785" s="183"/>
      <c r="AB785" s="73" t="s">
        <v>3011</v>
      </c>
      <c r="AC785" s="153"/>
      <c r="AD785" s="331"/>
      <c r="AE785" s="57"/>
      <c r="AF785" s="88"/>
      <c r="AG785" s="182">
        <f>YEAR(V785)</f>
        <v>2024</v>
      </c>
      <c r="AH785" s="86" t="str">
        <f>+IF(AF785=$AI$22,MONTH(U785),"")</f>
        <v/>
      </c>
      <c r="AI785" s="86" t="str">
        <f>+IF(AG785=$AI$22,MONTH(V785),"")</f>
        <v/>
      </c>
      <c r="AJ785" s="86">
        <f>+IF(AG785=$AJ$22,MONTH(V785),"")</f>
        <v>1</v>
      </c>
      <c r="AK785" s="86" t="str">
        <f>+IF(AG785=$AK$22,MONTH(V785),"")</f>
        <v/>
      </c>
      <c r="AL785" s="86"/>
      <c r="AW785" s="86" t="str">
        <f>+IF($AG785=AW$22,MONTH($D785),"")</f>
        <v/>
      </c>
      <c r="AX785" s="86" t="str">
        <f>+IF($AG785=AX$22,MONTH($D785),"")</f>
        <v/>
      </c>
    </row>
    <row r="786" spans="1:68" s="89" customFormat="1" ht="94.5" hidden="1">
      <c r="A786" s="204" t="str">
        <f>+IFERROR(VALUE(MID(AB786,4,4)),"")</f>
        <v/>
      </c>
      <c r="B786" s="204">
        <f>VALUE(RIGHT(C786,LEN(C786)-2))</f>
        <v>1937</v>
      </c>
      <c r="C786" s="74" t="s">
        <v>3012</v>
      </c>
      <c r="D786" s="75">
        <v>45278</v>
      </c>
      <c r="E786" s="70" t="s">
        <v>479</v>
      </c>
      <c r="F786" s="70" t="s">
        <v>479</v>
      </c>
      <c r="G786" s="68" t="s">
        <v>2896</v>
      </c>
      <c r="H786" s="59"/>
      <c r="I786" s="162" t="s">
        <v>3013</v>
      </c>
      <c r="J786" s="162"/>
      <c r="K786" s="68" t="s">
        <v>13</v>
      </c>
      <c r="L786" s="69" t="s">
        <v>123</v>
      </c>
      <c r="M786" s="71" t="s">
        <v>113</v>
      </c>
      <c r="N786" s="69" t="e" vm="2">
        <v>#VALUE!</v>
      </c>
      <c r="O786" s="164">
        <v>45303</v>
      </c>
      <c r="P786" s="72" t="s">
        <v>701</v>
      </c>
      <c r="Q786" s="72" t="s">
        <v>229</v>
      </c>
      <c r="R786" s="162"/>
      <c r="S786" s="146" t="s">
        <v>3014</v>
      </c>
      <c r="T786" s="68" t="s">
        <v>165</v>
      </c>
      <c r="U786" s="87"/>
      <c r="V786" s="80">
        <v>45432</v>
      </c>
      <c r="W786" s="73">
        <v>2128</v>
      </c>
      <c r="X786" s="73">
        <v>91</v>
      </c>
      <c r="Y786" s="83">
        <f>IF(SUM(W786:W786)&gt;0,X786/SUM(W786:W786)*1000000,"N/A")</f>
        <v>42763.15789473684</v>
      </c>
      <c r="Z786" s="80"/>
      <c r="AA786" s="80"/>
      <c r="AB786" s="73"/>
      <c r="AC786" s="153"/>
      <c r="AD786" s="331"/>
      <c r="AE786" s="57"/>
      <c r="AF786" s="88"/>
      <c r="AG786" s="182">
        <f>YEAR(V786)</f>
        <v>2024</v>
      </c>
      <c r="AH786" s="86" t="str">
        <f>+IF(AF786=$AI$22,MONTH(U786),"")</f>
        <v/>
      </c>
      <c r="AI786" s="86" t="str">
        <f>+IF(AG786=$AI$22,MONTH(V786),"")</f>
        <v/>
      </c>
      <c r="AJ786" s="86">
        <f>+IF(AG786=$AJ$22,MONTH(V786),"")</f>
        <v>5</v>
      </c>
      <c r="AK786" s="86" t="str">
        <f>+IF(AG786=$AK$22,MONTH(V786),"")</f>
        <v/>
      </c>
      <c r="AL786" s="86"/>
      <c r="AW786" s="86" t="str">
        <f>+IF($AG786=AW$22,MONTH($D786),"")</f>
        <v/>
      </c>
      <c r="AX786" s="86" t="str">
        <f>+IF($AG786=AX$22,MONTH($D786),"")</f>
        <v/>
      </c>
    </row>
    <row r="787" spans="1:68" s="56" customFormat="1" ht="27" hidden="1">
      <c r="A787" s="204" t="str">
        <f>+IFERROR(VALUE(MID(AB787,4,4)),"")</f>
        <v/>
      </c>
      <c r="B787" s="204">
        <f>VALUE(RIGHT(C787,LEN(C787)-2))</f>
        <v>1936</v>
      </c>
      <c r="C787" s="74" t="s">
        <v>3015</v>
      </c>
      <c r="D787" s="75">
        <v>45275</v>
      </c>
      <c r="E787" s="70" t="s">
        <v>479</v>
      </c>
      <c r="F787" s="70" t="s">
        <v>2767</v>
      </c>
      <c r="G787" s="68" t="s">
        <v>3016</v>
      </c>
      <c r="H787" s="59"/>
      <c r="I787" s="162" t="s">
        <v>3017</v>
      </c>
      <c r="J787" s="162"/>
      <c r="K787" s="68" t="s">
        <v>13</v>
      </c>
      <c r="L787" s="69" t="s">
        <v>129</v>
      </c>
      <c r="M787" s="71" t="s">
        <v>113</v>
      </c>
      <c r="N787" s="69" t="e" vm="2">
        <v>#VALUE!</v>
      </c>
      <c r="O787" s="164">
        <v>45338</v>
      </c>
      <c r="P787" s="72" t="s">
        <v>3018</v>
      </c>
      <c r="Q787" s="72" t="s">
        <v>623</v>
      </c>
      <c r="R787" s="162"/>
      <c r="S787" s="146"/>
      <c r="T787" s="68" t="s">
        <v>165</v>
      </c>
      <c r="U787" s="87">
        <v>0</v>
      </c>
      <c r="V787" s="183">
        <v>45345</v>
      </c>
      <c r="W787" s="73">
        <v>3280</v>
      </c>
      <c r="X787" s="73">
        <v>132</v>
      </c>
      <c r="Y787" s="83">
        <f>IF(SUM(W787:W787)&gt;0,X787/SUM(W787:W787)*1000000,"N/A")</f>
        <v>40243.902439024394</v>
      </c>
      <c r="Z787" s="183"/>
      <c r="AA787" s="183"/>
      <c r="AB787" s="73"/>
      <c r="AC787" s="153">
        <v>45570</v>
      </c>
      <c r="AD787" s="331"/>
      <c r="AE787" s="57"/>
      <c r="AF787" s="88"/>
      <c r="AG787" s="182">
        <f>YEAR(V787)</f>
        <v>2024</v>
      </c>
      <c r="AH787" s="86" t="str">
        <f>+IF(AF787=$AI$22,MONTH(U787),"")</f>
        <v/>
      </c>
      <c r="AI787" s="86" t="str">
        <f>+IF(AG787=$AI$22,MONTH(V787),"")</f>
        <v/>
      </c>
      <c r="AJ787" s="86">
        <f>+IF(AG787=$AJ$22,MONTH(V787),"")</f>
        <v>2</v>
      </c>
      <c r="AK787" s="86" t="str">
        <f>+IF(AG787=$AK$22,MONTH(V787),"")</f>
        <v/>
      </c>
      <c r="AL787" s="86"/>
      <c r="AM787" s="89"/>
      <c r="AN787" s="89"/>
      <c r="AO787" s="89"/>
      <c r="AP787" s="89"/>
      <c r="AQ787" s="89"/>
      <c r="AR787" s="89"/>
      <c r="AS787" s="89"/>
      <c r="AT787" s="89"/>
      <c r="AU787" s="89"/>
      <c r="AV787" s="89"/>
      <c r="AW787" s="86" t="str">
        <f>+IF($AG787=AW$22,MONTH($D787),"")</f>
        <v/>
      </c>
      <c r="AX787" s="86" t="str">
        <f>+IF($AG787=AX$22,MONTH($D787),"")</f>
        <v/>
      </c>
      <c r="AY787" s="89"/>
      <c r="AZ787" s="89"/>
      <c r="BA787" s="89"/>
      <c r="BB787" s="89"/>
      <c r="BC787" s="89"/>
      <c r="BD787" s="89"/>
      <c r="BE787" s="89"/>
      <c r="BF787" s="89"/>
      <c r="BG787" s="89"/>
      <c r="BH787" s="89"/>
      <c r="BI787" s="89"/>
      <c r="BJ787" s="89"/>
      <c r="BK787" s="89"/>
      <c r="BL787" s="89"/>
      <c r="BM787" s="89"/>
      <c r="BN787" s="89"/>
      <c r="BO787" s="89"/>
      <c r="BP787" s="89"/>
    </row>
    <row r="788" spans="1:68" s="56" customFormat="1" ht="27" hidden="1">
      <c r="A788" s="204">
        <f>+IFERROR(VALUE(MID(AB788,4,4)),"")</f>
        <v>271</v>
      </c>
      <c r="B788" s="204">
        <f>VALUE(RIGHT(C788,LEN(C788)-2))</f>
        <v>1935</v>
      </c>
      <c r="C788" s="74" t="s">
        <v>3019</v>
      </c>
      <c r="D788" s="75">
        <v>45274</v>
      </c>
      <c r="E788" s="70" t="s">
        <v>277</v>
      </c>
      <c r="F788" s="70" t="s">
        <v>277</v>
      </c>
      <c r="G788" s="68" t="s">
        <v>1781</v>
      </c>
      <c r="H788" s="59" t="s">
        <v>2413</v>
      </c>
      <c r="I788" s="162" t="s">
        <v>3020</v>
      </c>
      <c r="J788" s="162"/>
      <c r="K788" s="68" t="s">
        <v>45</v>
      </c>
      <c r="L788" s="69" t="s">
        <v>129</v>
      </c>
      <c r="M788" s="71" t="s">
        <v>141</v>
      </c>
      <c r="N788" s="69" t="e" vm="1">
        <v>#VALUE!</v>
      </c>
      <c r="O788" s="164">
        <v>45297</v>
      </c>
      <c r="P788" s="72" t="s">
        <v>2852</v>
      </c>
      <c r="Q788" s="72" t="s">
        <v>316</v>
      </c>
      <c r="R788" s="162"/>
      <c r="S788" s="146"/>
      <c r="T788" s="68" t="s">
        <v>3</v>
      </c>
      <c r="U788" s="87"/>
      <c r="V788" s="183">
        <v>45314</v>
      </c>
      <c r="W788" s="73">
        <v>540</v>
      </c>
      <c r="X788" s="73">
        <v>25</v>
      </c>
      <c r="Y788" s="83">
        <f>IF(SUM(W788:W788)&gt;0,X788/SUM(W788:W788)*1000000,"N/A")</f>
        <v>46296.296296296292</v>
      </c>
      <c r="Z788" s="183"/>
      <c r="AA788" s="183"/>
      <c r="AB788" s="73" t="s">
        <v>3021</v>
      </c>
      <c r="AC788" s="153"/>
      <c r="AD788" s="331"/>
      <c r="AE788" s="57"/>
      <c r="AF788" s="88"/>
      <c r="AG788" s="182">
        <f>YEAR(V788)</f>
        <v>2024</v>
      </c>
      <c r="AH788" s="86" t="str">
        <f>+IF(AF788=$AI$22,MONTH(U788),"")</f>
        <v/>
      </c>
      <c r="AI788" s="86" t="str">
        <f>+IF(AG788=$AI$22,MONTH(V788),"")</f>
        <v/>
      </c>
      <c r="AJ788" s="86">
        <f>+IF(AG788=$AJ$22,MONTH(V788),"")</f>
        <v>1</v>
      </c>
      <c r="AK788" s="86" t="str">
        <f>+IF(AG788=$AK$22,MONTH(V788),"")</f>
        <v/>
      </c>
      <c r="AL788" s="86" t="str">
        <f>+IF(AG788=$AL$22,MONTH(V788),"")</f>
        <v/>
      </c>
      <c r="AM788" s="86" t="str">
        <f>+IF($AG788=$AM$22,MONTH($D788),"")</f>
        <v/>
      </c>
      <c r="AN788" s="89" t="str">
        <f>+IF($AG788=AN$22,MONTH($D788),"")</f>
        <v/>
      </c>
      <c r="AO788" s="89" t="str">
        <f>+IF($AG788=AO$22,MONTH($D788),"")</f>
        <v/>
      </c>
      <c r="AP788" s="89" t="str">
        <f>+IF($AG788=AP$22,MONTH($D788),"")</f>
        <v/>
      </c>
      <c r="AQ788" s="89" t="str">
        <f>+IF($AG788=AQ$22,MONTH($D788),"")</f>
        <v/>
      </c>
      <c r="AR788" s="89" t="str">
        <f>+IF($AG788=AR$22,MONTH($D788),"")</f>
        <v/>
      </c>
      <c r="AS788" s="89" t="str">
        <f>+IF($AG788=AS$22,MONTH($D788),"")</f>
        <v/>
      </c>
      <c r="AT788" s="89" t="str">
        <f>+IF($AG788=AT$22,MONTH($D788),"")</f>
        <v/>
      </c>
      <c r="AU788" s="89" t="str">
        <f>+IF($AG788=AU$22,MONTH($D788),"")</f>
        <v/>
      </c>
      <c r="AV788" s="89" t="str">
        <f>+IF($AG788=AV$22,MONTH($D788),"")</f>
        <v/>
      </c>
      <c r="AW788" s="86" t="str">
        <f>+IF($AG788=AW$22,MONTH($D788),"")</f>
        <v/>
      </c>
      <c r="AX788" s="86" t="str">
        <f>+IF($AG788=AX$22,MONTH($D788),"")</f>
        <v/>
      </c>
      <c r="AY788" s="89"/>
      <c r="AZ788" s="89"/>
      <c r="BA788" s="89"/>
      <c r="BB788" s="89"/>
      <c r="BC788" s="89"/>
      <c r="BD788" s="89"/>
      <c r="BE788" s="89"/>
      <c r="BF788" s="89"/>
      <c r="BG788" s="89"/>
      <c r="BH788" s="89"/>
      <c r="BI788" s="89"/>
      <c r="BJ788" s="89"/>
      <c r="BK788" s="89"/>
      <c r="BL788" s="89"/>
      <c r="BM788" s="89"/>
      <c r="BN788" s="89"/>
      <c r="BO788" s="89"/>
      <c r="BP788" s="89"/>
    </row>
    <row r="789" spans="1:68" s="56" customFormat="1" ht="53.25" hidden="1">
      <c r="A789" s="204">
        <f>+IFERROR(VALUE(MID(AB789,4,4)),"")</f>
        <v>333</v>
      </c>
      <c r="B789" s="204">
        <f>VALUE(RIGHT(C789,LEN(C789)-2))</f>
        <v>1934</v>
      </c>
      <c r="C789" s="74" t="s">
        <v>3022</v>
      </c>
      <c r="D789" s="75">
        <v>45273</v>
      </c>
      <c r="E789" s="70" t="s">
        <v>53</v>
      </c>
      <c r="F789" s="70" t="s">
        <v>1379</v>
      </c>
      <c r="G789" s="68" t="s">
        <v>1976</v>
      </c>
      <c r="H789" s="59"/>
      <c r="I789" s="162" t="s">
        <v>3023</v>
      </c>
      <c r="J789" s="162"/>
      <c r="K789" s="68" t="s">
        <v>9</v>
      </c>
      <c r="L789" s="69" t="s">
        <v>129</v>
      </c>
      <c r="M789" s="71" t="s">
        <v>141</v>
      </c>
      <c r="N789" s="69" t="e" vm="1">
        <v>#VALUE!</v>
      </c>
      <c r="O789" s="164">
        <v>45307</v>
      </c>
      <c r="P789" s="72" t="s">
        <v>701</v>
      </c>
      <c r="Q789" s="72" t="s">
        <v>229</v>
      </c>
      <c r="R789" s="162"/>
      <c r="S789" s="146" t="s">
        <v>2935</v>
      </c>
      <c r="T789" s="68" t="s">
        <v>165</v>
      </c>
      <c r="U789" s="87"/>
      <c r="V789" s="183">
        <v>45483</v>
      </c>
      <c r="W789" s="73">
        <v>980</v>
      </c>
      <c r="X789" s="73">
        <v>41</v>
      </c>
      <c r="Y789" s="83">
        <f>IF(SUM(W789:W789)&gt;0,X789/SUM(W789:W789)*1000000,"N/A")</f>
        <v>41836.734693877552</v>
      </c>
      <c r="Z789" s="183"/>
      <c r="AA789" s="183"/>
      <c r="AB789" s="73" t="s">
        <v>3024</v>
      </c>
      <c r="AC789" s="153"/>
      <c r="AD789" s="331"/>
      <c r="AE789" s="57"/>
      <c r="AF789" s="88"/>
      <c r="AG789" s="182">
        <f>YEAR(V789)</f>
        <v>2024</v>
      </c>
      <c r="AH789" s="86" t="str">
        <f>+IF(AF789=$AI$22,MONTH(U789),"")</f>
        <v/>
      </c>
      <c r="AI789" s="86" t="str">
        <f>+IF(AG789=$AI$22,MONTH(V789),"")</f>
        <v/>
      </c>
      <c r="AJ789" s="86">
        <f>+IF(AG789=$AJ$22,MONTH(V789),"")</f>
        <v>7</v>
      </c>
      <c r="AK789" s="86" t="str">
        <f>+IF(AG789=$AK$22,MONTH(V789),"")</f>
        <v/>
      </c>
      <c r="AL789" s="86" t="str">
        <f>+IF(AG789=$AL$22,MONTH(V789),"")</f>
        <v/>
      </c>
      <c r="AM789" s="86" t="str">
        <f>+IF($AG789=$AM$22,MONTH($D789),"")</f>
        <v/>
      </c>
      <c r="AN789" s="89" t="str">
        <f>+IF($AG789=AN$22,MONTH($D789),"")</f>
        <v/>
      </c>
      <c r="AO789" s="89" t="str">
        <f>+IF($AG789=AO$22,MONTH($D789),"")</f>
        <v/>
      </c>
      <c r="AP789" s="89" t="str">
        <f>+IF($AG789=AP$22,MONTH($D789),"")</f>
        <v/>
      </c>
      <c r="AQ789" s="89" t="str">
        <f>+IF($AG789=AQ$22,MONTH($D789),"")</f>
        <v/>
      </c>
      <c r="AR789" s="89" t="str">
        <f>+IF($AG789=AR$22,MONTH($D789),"")</f>
        <v/>
      </c>
      <c r="AS789" s="89" t="str">
        <f>+IF($AG789=AS$22,MONTH($D789),"")</f>
        <v/>
      </c>
      <c r="AT789" s="89" t="str">
        <f>+IF($AG789=AT$22,MONTH($D789),"")</f>
        <v/>
      </c>
      <c r="AU789" s="89" t="str">
        <f>+IF($AG789=AU$22,MONTH($D789),"")</f>
        <v/>
      </c>
      <c r="AV789" s="89" t="str">
        <f>+IF($AG789=AV$22,MONTH($D789),"")</f>
        <v/>
      </c>
      <c r="AW789" s="86" t="str">
        <f>+IF($AG789=AW$22,MONTH($D789),"")</f>
        <v/>
      </c>
      <c r="AX789" s="86" t="str">
        <f>+IF($AG789=AX$22,MONTH($D789),"")</f>
        <v/>
      </c>
      <c r="AY789" s="89"/>
      <c r="AZ789" s="89"/>
      <c r="BA789" s="89"/>
      <c r="BB789" s="89"/>
      <c r="BC789" s="89"/>
      <c r="BD789" s="89"/>
      <c r="BE789" s="89"/>
      <c r="BF789" s="89"/>
      <c r="BG789" s="89"/>
      <c r="BH789" s="89"/>
      <c r="BI789" s="89"/>
      <c r="BJ789" s="89"/>
      <c r="BK789" s="89"/>
      <c r="BL789" s="89"/>
      <c r="BM789" s="89"/>
      <c r="BN789" s="89"/>
      <c r="BO789" s="89"/>
      <c r="BP789" s="89"/>
    </row>
    <row r="790" spans="1:68" s="56" customFormat="1" ht="53.25" hidden="1">
      <c r="A790" s="204" t="str">
        <f>+IFERROR(VALUE(MID(AB790,4,4)),"")</f>
        <v/>
      </c>
      <c r="B790" s="204">
        <f>VALUE(RIGHT(C790,LEN(C790)-2))</f>
        <v>1933</v>
      </c>
      <c r="C790" s="74" t="s">
        <v>3025</v>
      </c>
      <c r="D790" s="75">
        <v>45273</v>
      </c>
      <c r="E790" s="70" t="s">
        <v>277</v>
      </c>
      <c r="F790" s="70" t="s">
        <v>277</v>
      </c>
      <c r="G790" s="68" t="s">
        <v>2416</v>
      </c>
      <c r="H790" s="59" t="s">
        <v>2413</v>
      </c>
      <c r="I790" s="162" t="s">
        <v>3026</v>
      </c>
      <c r="J790" s="162"/>
      <c r="K790" s="68" t="s">
        <v>13</v>
      </c>
      <c r="L790" s="69" t="s">
        <v>3027</v>
      </c>
      <c r="M790" s="71" t="s">
        <v>141</v>
      </c>
      <c r="N790" s="69" t="e" vm="1">
        <v>#VALUE!</v>
      </c>
      <c r="O790" s="164">
        <v>45289</v>
      </c>
      <c r="P790" s="72" t="s">
        <v>2852</v>
      </c>
      <c r="Q790" s="72" t="s">
        <v>229</v>
      </c>
      <c r="R790" s="162"/>
      <c r="S790" s="146" t="s">
        <v>3028</v>
      </c>
      <c r="T790" s="68" t="s">
        <v>155</v>
      </c>
      <c r="U790" s="87"/>
      <c r="V790" s="183">
        <v>45273</v>
      </c>
      <c r="W790" s="73"/>
      <c r="X790" s="73"/>
      <c r="Y790" s="83" t="str">
        <f>IF(SUM(W790:W790)&gt;0,X790/SUM(W790:W790)*1000000,"N/A")</f>
        <v>N/A</v>
      </c>
      <c r="Z790" s="183"/>
      <c r="AA790" s="183"/>
      <c r="AB790" s="73"/>
      <c r="AC790" s="153"/>
      <c r="AD790" s="331"/>
      <c r="AE790" s="57"/>
      <c r="AF790" s="88"/>
      <c r="AG790" s="182">
        <f>YEAR(V790)</f>
        <v>2023</v>
      </c>
      <c r="AH790" s="86" t="str">
        <f>+IF(AF790=$AI$22,MONTH(U790),"")</f>
        <v/>
      </c>
      <c r="AI790" s="86" t="str">
        <f>+IF(AG790=$AI$22,MONTH(V790),"")</f>
        <v/>
      </c>
      <c r="AJ790" s="86" t="str">
        <f>+IF(AG790=$AJ$22,MONTH(V790),"")</f>
        <v/>
      </c>
      <c r="AK790" s="86">
        <f>+IF(AG790=$AK$22,MONTH(V790),"")</f>
        <v>12</v>
      </c>
      <c r="AL790" s="86" t="str">
        <f>+IF(AG790=$AL$22,MONTH(V790),"")</f>
        <v/>
      </c>
      <c r="AM790" s="86" t="str">
        <f>+IF($AG790=$AM$22,MONTH($D790),"")</f>
        <v/>
      </c>
      <c r="AN790" s="89" t="str">
        <f>+IF($AG790=AN$22,MONTH($D790),"")</f>
        <v/>
      </c>
      <c r="AO790" s="89" t="str">
        <f>+IF($AG790=AO$22,MONTH($D790),"")</f>
        <v/>
      </c>
      <c r="AP790" s="89" t="str">
        <f>+IF($AG790=AP$22,MONTH($D790),"")</f>
        <v/>
      </c>
      <c r="AQ790" s="89" t="str">
        <f>+IF($AG790=AQ$22,MONTH($D790),"")</f>
        <v/>
      </c>
      <c r="AR790" s="89" t="str">
        <f>+IF($AG790=AR$22,MONTH($D790),"")</f>
        <v/>
      </c>
      <c r="AS790" s="89" t="str">
        <f>+IF($AG790=AS$22,MONTH($D790),"")</f>
        <v/>
      </c>
      <c r="AT790" s="89" t="str">
        <f>+IF($AG790=AT$22,MONTH($D790),"")</f>
        <v/>
      </c>
      <c r="AU790" s="89" t="str">
        <f>+IF($AG790=AU$22,MONTH($D790),"")</f>
        <v/>
      </c>
      <c r="AV790" s="89" t="str">
        <f>+IF($AG790=AV$22,MONTH($D790),"")</f>
        <v/>
      </c>
      <c r="AW790" s="86" t="str">
        <f>+IF($AG790=AW$22,MONTH($D790),"")</f>
        <v/>
      </c>
      <c r="AX790" s="86" t="str">
        <f>+IF($AG790=AX$22,MONTH($D790),"")</f>
        <v/>
      </c>
      <c r="AY790" s="89"/>
      <c r="AZ790" s="89"/>
      <c r="BA790" s="89"/>
      <c r="BB790" s="89"/>
      <c r="BC790" s="89"/>
      <c r="BD790" s="89"/>
      <c r="BE790" s="89"/>
      <c r="BF790" s="89"/>
      <c r="BG790" s="89"/>
      <c r="BH790" s="89"/>
      <c r="BI790" s="89"/>
      <c r="BJ790" s="89"/>
      <c r="BK790" s="89"/>
      <c r="BL790" s="89"/>
      <c r="BM790" s="89"/>
      <c r="BN790" s="89"/>
      <c r="BO790" s="89"/>
      <c r="BP790" s="89"/>
    </row>
    <row r="791" spans="1:68" s="56" customFormat="1" ht="27" hidden="1">
      <c r="A791" s="204" t="str">
        <f>+IFERROR(VALUE(MID(AB791,4,4)),"")</f>
        <v/>
      </c>
      <c r="B791" s="204">
        <f>VALUE(RIGHT(C791,LEN(C791)-2))</f>
        <v>1932</v>
      </c>
      <c r="C791" s="74" t="s">
        <v>3029</v>
      </c>
      <c r="D791" s="75">
        <v>45272</v>
      </c>
      <c r="E791" s="70" t="s">
        <v>106</v>
      </c>
      <c r="F791" s="70" t="s">
        <v>106</v>
      </c>
      <c r="G791" s="68" t="s">
        <v>3030</v>
      </c>
      <c r="H791" s="59" t="s">
        <v>3031</v>
      </c>
      <c r="I791" s="162" t="s">
        <v>3032</v>
      </c>
      <c r="J791" s="162"/>
      <c r="K791" s="68" t="s">
        <v>13</v>
      </c>
      <c r="L791" s="69" t="s">
        <v>129</v>
      </c>
      <c r="M791" s="71" t="s">
        <v>141</v>
      </c>
      <c r="N791" s="69" t="e" vm="1">
        <v>#VALUE!</v>
      </c>
      <c r="O791" s="164">
        <v>45275</v>
      </c>
      <c r="P791" s="72" t="s">
        <v>1629</v>
      </c>
      <c r="Q791" s="72" t="s">
        <v>316</v>
      </c>
      <c r="R791" s="162"/>
      <c r="S791" s="146" t="s">
        <v>3033</v>
      </c>
      <c r="T791" s="68" t="s">
        <v>165</v>
      </c>
      <c r="U791" s="87"/>
      <c r="V791" s="183">
        <v>45307</v>
      </c>
      <c r="W791" s="73">
        <v>2938</v>
      </c>
      <c r="X791" s="73">
        <v>130</v>
      </c>
      <c r="Y791" s="83">
        <f>IF(SUM(W791:W791)&gt;0,X791/SUM(W791:W791)*1000000,"N/A")</f>
        <v>44247.787610619467</v>
      </c>
      <c r="Z791" s="183"/>
      <c r="AA791" s="183"/>
      <c r="AB791" s="73"/>
      <c r="AC791" s="153"/>
      <c r="AD791" s="331"/>
      <c r="AE791" s="57"/>
      <c r="AF791" s="88"/>
      <c r="AG791" s="182">
        <f>YEAR(V791)</f>
        <v>2024</v>
      </c>
      <c r="AH791" s="86" t="str">
        <f>+IF(AF791=$AI$22,MONTH(U791),"")</f>
        <v/>
      </c>
      <c r="AI791" s="86" t="str">
        <f>+IF(AG791=$AI$22,MONTH(V791),"")</f>
        <v/>
      </c>
      <c r="AJ791" s="86">
        <f>+IF(AG791=$AJ$22,MONTH(V791),"")</f>
        <v>1</v>
      </c>
      <c r="AK791" s="86" t="str">
        <f>+IF(AG791=$AK$22,MONTH(V791),"")</f>
        <v/>
      </c>
      <c r="AL791" s="86" t="str">
        <f>+IF(AG791=$AL$22,MONTH(V791),"")</f>
        <v/>
      </c>
      <c r="AM791" s="86" t="str">
        <f>+IF($AG791=$AM$22,MONTH($D791),"")</f>
        <v/>
      </c>
      <c r="AN791" s="89" t="str">
        <f>+IF($AG791=AN$22,MONTH($D791),"")</f>
        <v/>
      </c>
      <c r="AO791" s="89" t="str">
        <f>+IF($AG791=AO$22,MONTH($D791),"")</f>
        <v/>
      </c>
      <c r="AP791" s="89" t="str">
        <f>+IF($AG791=AP$22,MONTH($D791),"")</f>
        <v/>
      </c>
      <c r="AQ791" s="89" t="str">
        <f>+IF($AG791=AQ$22,MONTH($D791),"")</f>
        <v/>
      </c>
      <c r="AR791" s="89" t="str">
        <f>+IF($AG791=AR$22,MONTH($D791),"")</f>
        <v/>
      </c>
      <c r="AS791" s="89" t="str">
        <f>+IF($AG791=AS$22,MONTH($D791),"")</f>
        <v/>
      </c>
      <c r="AT791" s="89" t="str">
        <f>+IF($AG791=AT$22,MONTH($D791),"")</f>
        <v/>
      </c>
      <c r="AU791" s="89" t="str">
        <f>+IF($AG791=AU$22,MONTH($D791),"")</f>
        <v/>
      </c>
      <c r="AV791" s="89" t="str">
        <f>+IF($AG791=AV$22,MONTH($D791),"")</f>
        <v/>
      </c>
      <c r="AW791" s="86" t="str">
        <f>+IF($AG791=AW$22,MONTH($D791),"")</f>
        <v/>
      </c>
      <c r="AX791" s="86" t="str">
        <f>+IF($AG791=AX$22,MONTH($D791),"")</f>
        <v/>
      </c>
      <c r="AY791" s="89"/>
      <c r="AZ791" s="89"/>
      <c r="BA791" s="89"/>
      <c r="BB791" s="89"/>
      <c r="BC791" s="89"/>
      <c r="BD791" s="89"/>
      <c r="BE791" s="89"/>
      <c r="BF791" s="89"/>
      <c r="BG791" s="89"/>
      <c r="BH791" s="89"/>
      <c r="BI791" s="89"/>
      <c r="BJ791" s="182"/>
      <c r="BK791" s="182"/>
      <c r="BL791" s="182"/>
      <c r="BM791" s="182"/>
      <c r="BN791" s="89"/>
      <c r="BO791" s="89"/>
      <c r="BP791" s="89"/>
    </row>
    <row r="792" spans="1:68" s="182" customFormat="1" ht="13.5" hidden="1">
      <c r="A792" s="204">
        <f>+IFERROR(VALUE(MID(AB792,4,4)),"")</f>
        <v>369</v>
      </c>
      <c r="B792" s="204">
        <f>VALUE(RIGHT(C792,LEN(C792)-2))</f>
        <v>1931</v>
      </c>
      <c r="C792" s="74" t="s">
        <v>3034</v>
      </c>
      <c r="D792" s="75">
        <v>45271</v>
      </c>
      <c r="E792" s="70" t="s">
        <v>473</v>
      </c>
      <c r="F792" s="70" t="s">
        <v>473</v>
      </c>
      <c r="G792" s="68" t="s">
        <v>1983</v>
      </c>
      <c r="H792" s="59" t="s">
        <v>1984</v>
      </c>
      <c r="I792" s="162" t="s">
        <v>3035</v>
      </c>
      <c r="J792" s="162"/>
      <c r="K792" s="68" t="s">
        <v>13</v>
      </c>
      <c r="L792" s="69" t="s">
        <v>123</v>
      </c>
      <c r="M792" s="71" t="s">
        <v>141</v>
      </c>
      <c r="N792" s="69" t="e" vm="1">
        <v>#VALUE!</v>
      </c>
      <c r="O792" s="164">
        <v>45288</v>
      </c>
      <c r="P792" s="72" t="s">
        <v>3036</v>
      </c>
      <c r="Q792" s="72" t="s">
        <v>2199</v>
      </c>
      <c r="R792" s="162"/>
      <c r="S792" s="146" t="s">
        <v>3037</v>
      </c>
      <c r="T792" s="68" t="s">
        <v>3</v>
      </c>
      <c r="U792" s="87"/>
      <c r="V792" s="183">
        <v>45327</v>
      </c>
      <c r="W792" s="73">
        <v>4042</v>
      </c>
      <c r="X792" s="73">
        <v>169</v>
      </c>
      <c r="Y792" s="83">
        <f>IF(SUM(W792:W792)&gt;0,X792/SUM(W792:W792)*1000000,"N/A")</f>
        <v>41810.984661058887</v>
      </c>
      <c r="Z792" s="183"/>
      <c r="AA792" s="183"/>
      <c r="AB792" s="73" t="s">
        <v>3038</v>
      </c>
      <c r="AC792" s="153"/>
      <c r="AD792" s="331"/>
      <c r="AE792" s="57"/>
      <c r="AF792" s="88"/>
      <c r="AG792" s="182">
        <f>YEAR(V792)</f>
        <v>2024</v>
      </c>
      <c r="AH792" s="86" t="str">
        <f>+IF(AF792=$AI$22,MONTH(U792),"")</f>
        <v/>
      </c>
      <c r="AI792" s="86" t="str">
        <f>+IF(AG792=$AI$22,MONTH(V792),"")</f>
        <v/>
      </c>
      <c r="AJ792" s="86">
        <f>+IF(AG792=$AJ$22,MONTH(V792),"")</f>
        <v>2</v>
      </c>
      <c r="AK792" s="86" t="str">
        <f>+IF(AG792=$AK$22,MONTH(V792),"")</f>
        <v/>
      </c>
      <c r="AL792" s="86"/>
      <c r="AM792" s="89"/>
      <c r="AN792" s="89"/>
      <c r="AO792" s="89"/>
      <c r="AP792" s="89"/>
      <c r="AQ792" s="89"/>
      <c r="AR792" s="89"/>
      <c r="AS792" s="89"/>
      <c r="AT792" s="89"/>
      <c r="AU792" s="89"/>
      <c r="AV792" s="89"/>
      <c r="AW792" s="86" t="str">
        <f>+IF($AG792=AW$22,MONTH($D792),"")</f>
        <v/>
      </c>
      <c r="AX792" s="86" t="str">
        <f>+IF($AG792=AX$22,MONTH($D792),"")</f>
        <v/>
      </c>
      <c r="AY792" s="89"/>
      <c r="AZ792" s="89"/>
      <c r="BA792" s="89"/>
      <c r="BB792" s="89"/>
      <c r="BC792" s="89"/>
      <c r="BD792" s="89"/>
      <c r="BE792" s="89"/>
      <c r="BF792" s="89"/>
      <c r="BG792" s="89"/>
      <c r="BH792" s="89"/>
      <c r="BI792" s="89"/>
      <c r="BJ792" s="89"/>
      <c r="BK792" s="89"/>
      <c r="BL792" s="89"/>
      <c r="BM792" s="89"/>
    </row>
    <row r="793" spans="1:68" s="56" customFormat="1" ht="28.5" hidden="1" customHeight="1">
      <c r="A793" s="204">
        <f>+IFERROR(VALUE(MID(AB793,4,4)),"")</f>
        <v>369</v>
      </c>
      <c r="B793" s="204">
        <f>VALUE(RIGHT(C793,LEN(C793)-2))</f>
        <v>1930</v>
      </c>
      <c r="C793" s="74" t="s">
        <v>3039</v>
      </c>
      <c r="D793" s="75">
        <v>45271</v>
      </c>
      <c r="E793" s="70" t="s">
        <v>473</v>
      </c>
      <c r="F793" s="70" t="s">
        <v>473</v>
      </c>
      <c r="G793" s="68" t="s">
        <v>1983</v>
      </c>
      <c r="H793" s="59" t="s">
        <v>1984</v>
      </c>
      <c r="I793" s="162" t="s">
        <v>3040</v>
      </c>
      <c r="J793" s="162"/>
      <c r="K793" s="68" t="s">
        <v>13</v>
      </c>
      <c r="L793" s="69" t="s">
        <v>123</v>
      </c>
      <c r="M793" s="71" t="s">
        <v>141</v>
      </c>
      <c r="N793" s="69" t="e" vm="1">
        <v>#VALUE!</v>
      </c>
      <c r="O793" s="164">
        <v>45288</v>
      </c>
      <c r="P793" s="72" t="s">
        <v>689</v>
      </c>
      <c r="Q793" s="72" t="s">
        <v>2199</v>
      </c>
      <c r="R793" s="162"/>
      <c r="S793" s="146" t="s">
        <v>3037</v>
      </c>
      <c r="T793" s="68" t="s">
        <v>3</v>
      </c>
      <c r="U793" s="87"/>
      <c r="V793" s="183">
        <v>45327</v>
      </c>
      <c r="W793" s="73">
        <v>6219</v>
      </c>
      <c r="X793" s="73">
        <v>237</v>
      </c>
      <c r="Y793" s="83">
        <f>IF(SUM(W793:W793)&gt;0,X793/SUM(W793:W793)*1000000,"N/A")</f>
        <v>38109.020742884706</v>
      </c>
      <c r="Z793" s="183"/>
      <c r="AA793" s="183"/>
      <c r="AB793" s="73" t="s">
        <v>3038</v>
      </c>
      <c r="AC793" s="153"/>
      <c r="AD793" s="331"/>
      <c r="AE793" s="57"/>
      <c r="AF793" s="88"/>
      <c r="AG793" s="182">
        <f>YEAR(V793)</f>
        <v>2024</v>
      </c>
      <c r="AH793" s="86" t="str">
        <f>+IF(AF793=$AI$22,MONTH(U793),"")</f>
        <v/>
      </c>
      <c r="AI793" s="86" t="str">
        <f>+IF(AG793=$AI$22,MONTH(V793),"")</f>
        <v/>
      </c>
      <c r="AJ793" s="86">
        <f>+IF(AG793=$AJ$22,MONTH(V793),"")</f>
        <v>2</v>
      </c>
      <c r="AK793" s="86" t="str">
        <f>+IF(AG793=$AK$22,MONTH(V793),"")</f>
        <v/>
      </c>
      <c r="AL793" s="86"/>
      <c r="AM793" s="89"/>
      <c r="AN793" s="89"/>
      <c r="AO793" s="89"/>
      <c r="AP793" s="89"/>
      <c r="AQ793" s="89"/>
      <c r="AR793" s="89"/>
      <c r="AS793" s="89"/>
      <c r="AT793" s="89"/>
      <c r="AU793" s="89"/>
      <c r="AV793" s="89"/>
      <c r="AW793" s="86" t="str">
        <f>+IF($AG793=AW$22,MONTH($D793),"")</f>
        <v/>
      </c>
      <c r="AX793" s="86" t="str">
        <f>+IF($AG793=AX$22,MONTH($D793),"")</f>
        <v/>
      </c>
      <c r="AY793" s="89"/>
      <c r="AZ793" s="89"/>
      <c r="BA793" s="89"/>
      <c r="BB793" s="89"/>
      <c r="BC793" s="89"/>
      <c r="BD793" s="89"/>
      <c r="BE793" s="89"/>
      <c r="BF793" s="89"/>
      <c r="BG793" s="89"/>
      <c r="BH793" s="89"/>
      <c r="BI793" s="89"/>
      <c r="BJ793" s="89"/>
      <c r="BK793" s="89"/>
      <c r="BL793" s="89"/>
      <c r="BM793" s="89"/>
      <c r="BN793" s="89"/>
      <c r="BO793" s="89"/>
      <c r="BP793" s="89"/>
    </row>
    <row r="794" spans="1:68" s="89" customFormat="1" ht="25.5" hidden="1" customHeight="1">
      <c r="A794" s="204">
        <f>+IFERROR(VALUE(MID(AB794,4,4)),"")</f>
        <v>370</v>
      </c>
      <c r="B794" s="204">
        <f>VALUE(RIGHT(C794,LEN(C794)-2))</f>
        <v>1929</v>
      </c>
      <c r="C794" s="74" t="s">
        <v>3041</v>
      </c>
      <c r="D794" s="75">
        <v>45271</v>
      </c>
      <c r="E794" s="70" t="s">
        <v>353</v>
      </c>
      <c r="F794" s="70" t="s">
        <v>353</v>
      </c>
      <c r="G794" s="68" t="s">
        <v>2206</v>
      </c>
      <c r="H794" s="59" t="s">
        <v>2207</v>
      </c>
      <c r="I794" s="162" t="s">
        <v>3042</v>
      </c>
      <c r="J794" s="162"/>
      <c r="K794" s="68" t="s">
        <v>16</v>
      </c>
      <c r="L794" s="69" t="s">
        <v>129</v>
      </c>
      <c r="M794" s="71" t="s">
        <v>141</v>
      </c>
      <c r="N794" s="69" t="e" vm="1">
        <v>#VALUE!</v>
      </c>
      <c r="O794" s="164">
        <v>45294</v>
      </c>
      <c r="P794" s="72" t="s">
        <v>2572</v>
      </c>
      <c r="Q794" s="72" t="s">
        <v>259</v>
      </c>
      <c r="R794" s="162"/>
      <c r="S794" s="146" t="s">
        <v>3043</v>
      </c>
      <c r="T794" s="68" t="s">
        <v>3</v>
      </c>
      <c r="U794" s="87"/>
      <c r="V794" s="183">
        <v>45328</v>
      </c>
      <c r="W794" s="73">
        <v>1000</v>
      </c>
      <c r="X794" s="73">
        <v>52</v>
      </c>
      <c r="Y794" s="83">
        <f>IF(SUM(W794:W794)&gt;0,X794/SUM(W794:W794)*1000000,"N/A")</f>
        <v>52000</v>
      </c>
      <c r="Z794" s="183"/>
      <c r="AA794" s="183"/>
      <c r="AB794" s="73" t="s">
        <v>3044</v>
      </c>
      <c r="AC794" s="153"/>
      <c r="AD794" s="331"/>
      <c r="AE794" s="57"/>
      <c r="AF794" s="88"/>
      <c r="AG794" s="182">
        <f>YEAR(V794)</f>
        <v>2024</v>
      </c>
      <c r="AH794" s="86" t="str">
        <f>+IF(AF794=$AI$22,MONTH(U794),"")</f>
        <v/>
      </c>
      <c r="AI794" s="86" t="str">
        <f>+IF(AG794=$AI$22,MONTH(V794),"")</f>
        <v/>
      </c>
      <c r="AJ794" s="86">
        <f>+IF(AG794=$AJ$22,MONTH(V794),"")</f>
        <v>2</v>
      </c>
      <c r="AK794" s="86" t="str">
        <f>+IF(AG794=$AK$22,MONTH(V794),"")</f>
        <v/>
      </c>
      <c r="AL794" s="86"/>
      <c r="AW794" s="86" t="str">
        <f>+IF($AG794=AW$22,MONTH($D794),"")</f>
        <v/>
      </c>
      <c r="AX794" s="86" t="str">
        <f>+IF($AG794=AX$22,MONTH($D794),"")</f>
        <v/>
      </c>
    </row>
    <row r="795" spans="1:68" s="56" customFormat="1" ht="27" hidden="1">
      <c r="A795" s="204" t="str">
        <f>+IFERROR(VALUE(MID(AB795,4,4)),"")</f>
        <v/>
      </c>
      <c r="B795" s="204">
        <f>VALUE(RIGHT(C795,LEN(C795)-2))</f>
        <v>1928</v>
      </c>
      <c r="C795" s="74" t="s">
        <v>3045</v>
      </c>
      <c r="D795" s="75">
        <v>45267</v>
      </c>
      <c r="E795" s="70" t="s">
        <v>3046</v>
      </c>
      <c r="F795" s="70" t="s">
        <v>3046</v>
      </c>
      <c r="G795" s="68" t="s">
        <v>3047</v>
      </c>
      <c r="H795" s="59" t="s">
        <v>3048</v>
      </c>
      <c r="I795" s="162" t="s">
        <v>3049</v>
      </c>
      <c r="J795" s="162"/>
      <c r="K795" s="68" t="s">
        <v>13</v>
      </c>
      <c r="L795" s="69" t="s">
        <v>129</v>
      </c>
      <c r="M795" s="71" t="s">
        <v>141</v>
      </c>
      <c r="N795" s="69" t="e" vm="1">
        <v>#VALUE!</v>
      </c>
      <c r="O795" s="164">
        <v>45306</v>
      </c>
      <c r="P795" s="72" t="s">
        <v>402</v>
      </c>
      <c r="Q795" s="72" t="s">
        <v>316</v>
      </c>
      <c r="R795" s="162"/>
      <c r="S795" s="146" t="s">
        <v>3050</v>
      </c>
      <c r="T795" s="68" t="s">
        <v>155</v>
      </c>
      <c r="U795" s="87">
        <v>0</v>
      </c>
      <c r="V795" s="183">
        <v>45267</v>
      </c>
      <c r="W795" s="73">
        <v>0</v>
      </c>
      <c r="X795" s="73">
        <v>0</v>
      </c>
      <c r="Y795" s="83" t="str">
        <f>IF(SUM(W795:W795)&gt;0,X795/SUM(W795:W795)*1000000,"N/A")</f>
        <v>N/A</v>
      </c>
      <c r="Z795" s="183"/>
      <c r="AA795" s="183"/>
      <c r="AB795" s="73"/>
      <c r="AC795" s="153"/>
      <c r="AD795" s="331"/>
      <c r="AE795" s="57"/>
      <c r="AF795" s="88"/>
      <c r="AG795" s="182">
        <f>YEAR(V795)</f>
        <v>2023</v>
      </c>
      <c r="AH795" s="86" t="str">
        <f>+IF(AF795=$AI$22,MONTH(U795),"")</f>
        <v/>
      </c>
      <c r="AI795" s="86" t="str">
        <f>+IF(AG795=$AI$22,MONTH(V795),"")</f>
        <v/>
      </c>
      <c r="AJ795" s="86" t="str">
        <f>+IF(AG795=$AJ$22,MONTH(V795),"")</f>
        <v/>
      </c>
      <c r="AK795" s="86">
        <f>+IF(AG795=$AK$22,MONTH(V795),"")</f>
        <v>12</v>
      </c>
      <c r="AL795" s="86"/>
      <c r="AM795" s="89"/>
      <c r="AN795" s="89"/>
      <c r="AO795" s="89"/>
      <c r="AP795" s="89"/>
      <c r="AQ795" s="89"/>
      <c r="AR795" s="89"/>
      <c r="AS795" s="89"/>
      <c r="AT795" s="89"/>
      <c r="AU795" s="89"/>
      <c r="AV795" s="89"/>
      <c r="AW795" s="86" t="str">
        <f>+IF($AG795=AW$22,MONTH($D795),"")</f>
        <v/>
      </c>
      <c r="AX795" s="86" t="str">
        <f>+IF($AG795=AX$22,MONTH($D795),"")</f>
        <v/>
      </c>
      <c r="AY795" s="89"/>
      <c r="AZ795" s="89"/>
      <c r="BA795" s="89"/>
      <c r="BB795" s="89"/>
      <c r="BC795" s="89"/>
      <c r="BD795" s="89"/>
      <c r="BE795" s="89"/>
      <c r="BF795" s="89"/>
      <c r="BG795" s="89"/>
      <c r="BH795" s="89"/>
      <c r="BI795" s="89"/>
      <c r="BJ795" s="89"/>
      <c r="BK795" s="89"/>
      <c r="BL795" s="89"/>
      <c r="BM795" s="89"/>
      <c r="BN795" s="89"/>
      <c r="BO795" s="89"/>
      <c r="BP795" s="89"/>
    </row>
    <row r="796" spans="1:68" s="56" customFormat="1" ht="27" hidden="1">
      <c r="A796" s="204">
        <f>+IFERROR(VALUE(MID(AB796,4,4)),"")</f>
        <v>265</v>
      </c>
      <c r="B796" s="204">
        <f>VALUE(RIGHT(C796,LEN(C796)-2))</f>
        <v>1927</v>
      </c>
      <c r="C796" s="74" t="s">
        <v>3051</v>
      </c>
      <c r="D796" s="75">
        <v>45265</v>
      </c>
      <c r="E796" s="70" t="s">
        <v>332</v>
      </c>
      <c r="F796" s="70" t="s">
        <v>332</v>
      </c>
      <c r="G796" s="68" t="s">
        <v>333</v>
      </c>
      <c r="H796" s="59" t="s">
        <v>3052</v>
      </c>
      <c r="I796" s="162" t="s">
        <v>3053</v>
      </c>
      <c r="J796" s="162"/>
      <c r="K796" s="68" t="s">
        <v>13</v>
      </c>
      <c r="L796" s="69" t="s">
        <v>129</v>
      </c>
      <c r="M796" s="71" t="s">
        <v>141</v>
      </c>
      <c r="N796" s="69" t="e" vm="1">
        <v>#VALUE!</v>
      </c>
      <c r="O796" s="164">
        <v>45268</v>
      </c>
      <c r="P796" s="72" t="s">
        <v>382</v>
      </c>
      <c r="Q796" s="72" t="s">
        <v>229</v>
      </c>
      <c r="R796" s="162"/>
      <c r="S796" s="146" t="s">
        <v>3054</v>
      </c>
      <c r="T796" s="68" t="s">
        <v>3</v>
      </c>
      <c r="U796" s="87"/>
      <c r="V796" s="183">
        <v>45265</v>
      </c>
      <c r="W796" s="73">
        <v>742</v>
      </c>
      <c r="X796" s="73">
        <f>26389500/1000000</f>
        <v>26.389500000000002</v>
      </c>
      <c r="Y796" s="83">
        <f>IF(SUM(W796:W796)&gt;0,X796/SUM(W796:W796)*1000000,"N/A")</f>
        <v>35565.363881401623</v>
      </c>
      <c r="Z796" s="183"/>
      <c r="AA796" s="183"/>
      <c r="AB796" s="73" t="s">
        <v>3055</v>
      </c>
      <c r="AC796" s="153"/>
      <c r="AD796" s="331"/>
      <c r="AE796" s="57"/>
      <c r="AF796" s="88"/>
      <c r="AG796" s="182">
        <f>YEAR(V796)</f>
        <v>2023</v>
      </c>
      <c r="AH796" s="86" t="str">
        <f>+IF(AF796=$AI$22,MONTH(U796),"")</f>
        <v/>
      </c>
      <c r="AI796" s="86" t="str">
        <f>+IF(AG796=$AI$22,MONTH(V796),"")</f>
        <v/>
      </c>
      <c r="AJ796" s="86" t="str">
        <f>+IF(AG796=$AJ$22,MONTH(V796),"")</f>
        <v/>
      </c>
      <c r="AK796" s="86">
        <f>+IF(AG796=$AK$22,MONTH(V796),"")</f>
        <v>12</v>
      </c>
      <c r="AL796" s="86"/>
      <c r="AM796" s="89"/>
      <c r="AN796" s="89"/>
      <c r="AO796" s="89"/>
      <c r="AP796" s="89"/>
      <c r="AQ796" s="89"/>
      <c r="AR796" s="89"/>
      <c r="AS796" s="89"/>
      <c r="AT796" s="89"/>
      <c r="AU796" s="89"/>
      <c r="AV796" s="89"/>
      <c r="AW796" s="86" t="str">
        <f>+IF($AG796=AW$22,MONTH($D796),"")</f>
        <v/>
      </c>
      <c r="AX796" s="86" t="str">
        <f>+IF($AG796=AX$22,MONTH($D796),"")</f>
        <v/>
      </c>
      <c r="AY796" s="89"/>
      <c r="AZ796" s="89"/>
      <c r="BA796" s="89"/>
      <c r="BB796" s="89"/>
      <c r="BC796" s="89"/>
      <c r="BD796" s="89"/>
      <c r="BE796" s="89"/>
      <c r="BF796" s="89"/>
      <c r="BG796" s="89"/>
      <c r="BH796" s="89"/>
      <c r="BI796" s="89"/>
      <c r="BJ796" s="89"/>
      <c r="BK796" s="89"/>
      <c r="BL796" s="89"/>
      <c r="BM796" s="89"/>
      <c r="BN796" s="89"/>
      <c r="BO796" s="89"/>
      <c r="BP796" s="89"/>
    </row>
    <row r="797" spans="1:68" s="56" customFormat="1" ht="13.5" hidden="1">
      <c r="A797" s="204" t="str">
        <f>+IFERROR(VALUE(MID(AB797,4,4)),"")</f>
        <v/>
      </c>
      <c r="B797" s="204">
        <f>VALUE(RIGHT(C797,LEN(C797)-2))</f>
        <v>1926</v>
      </c>
      <c r="C797" s="74" t="s">
        <v>3056</v>
      </c>
      <c r="D797" s="75">
        <v>45257</v>
      </c>
      <c r="E797" s="70" t="s">
        <v>939</v>
      </c>
      <c r="F797" s="70" t="s">
        <v>940</v>
      </c>
      <c r="G797" s="68" t="s">
        <v>3057</v>
      </c>
      <c r="H797" s="59"/>
      <c r="I797" s="162" t="s">
        <v>3058</v>
      </c>
      <c r="J797" s="162"/>
      <c r="K797" s="68" t="s">
        <v>12</v>
      </c>
      <c r="L797" s="69" t="s">
        <v>120</v>
      </c>
      <c r="M797" s="71" t="s">
        <v>141</v>
      </c>
      <c r="N797" s="69" t="e" vm="1">
        <v>#VALUE!</v>
      </c>
      <c r="O797" s="164">
        <v>45273</v>
      </c>
      <c r="P797" s="72" t="s">
        <v>666</v>
      </c>
      <c r="Q797" s="72" t="s">
        <v>316</v>
      </c>
      <c r="R797" s="162"/>
      <c r="S797" s="146"/>
      <c r="T797" s="68" t="s">
        <v>155</v>
      </c>
      <c r="U797" s="87"/>
      <c r="V797" s="183">
        <v>45261</v>
      </c>
      <c r="W797" s="73"/>
      <c r="X797" s="73"/>
      <c r="Y797" s="83" t="str">
        <f>IF(SUM(W797:W797)&gt;0,X797/SUM(W797:W797)*1000000,"N/A")</f>
        <v>N/A</v>
      </c>
      <c r="Z797" s="183"/>
      <c r="AA797" s="183"/>
      <c r="AB797" s="73"/>
      <c r="AC797" s="153"/>
      <c r="AD797" s="331"/>
      <c r="AE797" s="57"/>
      <c r="AF797" s="88"/>
      <c r="AG797" s="182">
        <f>YEAR(V797)</f>
        <v>2023</v>
      </c>
      <c r="AH797" s="86" t="str">
        <f>+IF(AF797=$AI$22,MONTH(U797),"")</f>
        <v/>
      </c>
      <c r="AI797" s="86" t="str">
        <f>+IF(AG797=$AI$22,MONTH(V797),"")</f>
        <v/>
      </c>
      <c r="AJ797" s="86" t="str">
        <f>+IF(AG797=$AJ$22,MONTH(V797),"")</f>
        <v/>
      </c>
      <c r="AK797" s="86">
        <f>+IF(AG797=$AK$22,MONTH(V797),"")</f>
        <v>12</v>
      </c>
      <c r="AL797" s="86"/>
      <c r="AM797" s="89"/>
      <c r="AN797" s="89"/>
      <c r="AO797" s="89"/>
      <c r="AP797" s="89"/>
      <c r="AQ797" s="89"/>
      <c r="AR797" s="89"/>
      <c r="AS797" s="89"/>
      <c r="AT797" s="89"/>
      <c r="AU797" s="89"/>
      <c r="AV797" s="89"/>
      <c r="AW797" s="86" t="str">
        <f>+IF($AG797=AW$22,MONTH($D797),"")</f>
        <v/>
      </c>
      <c r="AX797" s="86" t="str">
        <f>+IF($AG797=AX$22,MONTH($D797),"")</f>
        <v/>
      </c>
      <c r="AY797" s="89"/>
      <c r="AZ797" s="89"/>
      <c r="BA797" s="89"/>
      <c r="BB797" s="89"/>
      <c r="BC797" s="89"/>
      <c r="BD797" s="89"/>
      <c r="BE797" s="89"/>
      <c r="BF797" s="89"/>
      <c r="BG797" s="89"/>
      <c r="BH797" s="89"/>
      <c r="BI797" s="89"/>
      <c r="BJ797" s="89"/>
      <c r="BK797" s="89"/>
      <c r="BL797" s="89"/>
      <c r="BM797" s="89"/>
      <c r="BN797" s="89"/>
      <c r="BO797" s="89"/>
      <c r="BP797" s="89"/>
    </row>
    <row r="798" spans="1:68" s="56" customFormat="1" ht="27" hidden="1">
      <c r="A798" s="204">
        <f>+IFERROR(VALUE(MID(AB798,4,4)),"")</f>
        <v>274</v>
      </c>
      <c r="B798" s="204">
        <f>VALUE(RIGHT(C798,LEN(C798)-2))</f>
        <v>1925</v>
      </c>
      <c r="C798" s="74" t="s">
        <v>3059</v>
      </c>
      <c r="D798" s="75">
        <v>45237</v>
      </c>
      <c r="E798" s="70" t="s">
        <v>1054</v>
      </c>
      <c r="F798" s="70" t="s">
        <v>252</v>
      </c>
      <c r="G798" s="68" t="s">
        <v>1055</v>
      </c>
      <c r="H798" s="59" t="s">
        <v>1056</v>
      </c>
      <c r="I798" s="162" t="s">
        <v>3060</v>
      </c>
      <c r="J798" s="162"/>
      <c r="K798" s="68" t="s">
        <v>13</v>
      </c>
      <c r="L798" s="69" t="s">
        <v>129</v>
      </c>
      <c r="M798" s="71" t="s">
        <v>141</v>
      </c>
      <c r="N798" s="69" t="e" vm="1">
        <v>#VALUE!</v>
      </c>
      <c r="O798" s="164">
        <v>45237</v>
      </c>
      <c r="P798" s="72" t="s">
        <v>364</v>
      </c>
      <c r="Q798" s="72" t="s">
        <v>316</v>
      </c>
      <c r="R798" s="162"/>
      <c r="S798" s="146"/>
      <c r="T798" s="68" t="s">
        <v>3</v>
      </c>
      <c r="U798" s="87"/>
      <c r="V798" s="183">
        <v>45258</v>
      </c>
      <c r="W798" s="73">
        <v>263</v>
      </c>
      <c r="X798" s="73">
        <f>5913614/1000000</f>
        <v>5.9136139999999999</v>
      </c>
      <c r="Y798" s="83">
        <f>IF(SUM(W798:W798)&gt;0,X798/SUM(W798:W798)*1000000,"N/A")</f>
        <v>22485.224334600764</v>
      </c>
      <c r="Z798" s="183"/>
      <c r="AA798" s="183"/>
      <c r="AB798" s="73" t="s">
        <v>3061</v>
      </c>
      <c r="AC798" s="153"/>
      <c r="AD798" s="331"/>
      <c r="AE798" s="57"/>
      <c r="AF798" s="88"/>
      <c r="AG798" s="182">
        <f>YEAR(V798)</f>
        <v>2023</v>
      </c>
      <c r="AH798" s="86" t="str">
        <f>+IF(AF798=$AI$22,MONTH(U798),"")</f>
        <v/>
      </c>
      <c r="AI798" s="86" t="str">
        <f>+IF(AG798=$AI$22,MONTH(V798),"")</f>
        <v/>
      </c>
      <c r="AJ798" s="86" t="str">
        <f>+IF(AG798=$AJ$22,MONTH(V798),"")</f>
        <v/>
      </c>
      <c r="AK798" s="86">
        <f>+IF(AG798=$AK$22,MONTH(V798),"")</f>
        <v>11</v>
      </c>
      <c r="AL798" s="86" t="str">
        <f>+IF(AG798=$AL$22,MONTH(V798),"")</f>
        <v/>
      </c>
      <c r="AM798" s="86" t="str">
        <f>+IF($AG798=$AM$22,MONTH($D798),"")</f>
        <v/>
      </c>
      <c r="AN798" s="89" t="str">
        <f>+IF($AG798=AN$22,MONTH($D798),"")</f>
        <v/>
      </c>
      <c r="AO798" s="89" t="str">
        <f>+IF($AG798=AO$22,MONTH($D798),"")</f>
        <v/>
      </c>
      <c r="AP798" s="89" t="str">
        <f>+IF($AG798=AP$22,MONTH($D798),"")</f>
        <v/>
      </c>
      <c r="AQ798" s="89" t="str">
        <f>+IF($AG798=AQ$22,MONTH($D798),"")</f>
        <v/>
      </c>
      <c r="AR798" s="89" t="str">
        <f>+IF($AG798=AR$22,MONTH($D798),"")</f>
        <v/>
      </c>
      <c r="AS798" s="89" t="str">
        <f>+IF($AG798=AS$22,MONTH($D798),"")</f>
        <v/>
      </c>
      <c r="AT798" s="89" t="str">
        <f>+IF($AG798=AT$22,MONTH($D798),"")</f>
        <v/>
      </c>
      <c r="AU798" s="89" t="str">
        <f>+IF($AG798=AU$22,MONTH($D798),"")</f>
        <v/>
      </c>
      <c r="AV798" s="89" t="str">
        <f>+IF($AG798=AV$22,MONTH($D798),"")</f>
        <v/>
      </c>
      <c r="AW798" s="86" t="str">
        <f>+IF($AG798=AW$22,MONTH($D798),"")</f>
        <v/>
      </c>
      <c r="AX798" s="86" t="str">
        <f>+IF($AG798=AX$22,MONTH($D798),"")</f>
        <v/>
      </c>
      <c r="AY798" s="89"/>
      <c r="AZ798" s="89"/>
      <c r="BA798" s="89"/>
      <c r="BB798" s="89"/>
      <c r="BC798" s="89"/>
      <c r="BD798" s="89"/>
      <c r="BE798" s="89"/>
      <c r="BF798" s="89"/>
      <c r="BG798" s="89"/>
      <c r="BH798" s="89"/>
      <c r="BI798" s="89"/>
      <c r="BJ798" s="182"/>
      <c r="BK798" s="182"/>
      <c r="BL798" s="182"/>
      <c r="BM798" s="182"/>
      <c r="BN798" s="89"/>
      <c r="BO798" s="89"/>
      <c r="BP798" s="89"/>
    </row>
    <row r="799" spans="1:68" s="51" customFormat="1" ht="27" hidden="1">
      <c r="A799" s="204">
        <f>+IFERROR(VALUE(MID(AB799,4,4)),"")</f>
        <v>274</v>
      </c>
      <c r="B799" s="204">
        <f>VALUE(RIGHT(C799,LEN(C799)-2))</f>
        <v>1924</v>
      </c>
      <c r="C799" s="74" t="s">
        <v>3062</v>
      </c>
      <c r="D799" s="75">
        <v>45176</v>
      </c>
      <c r="E799" s="70" t="s">
        <v>1054</v>
      </c>
      <c r="F799" s="70" t="s">
        <v>252</v>
      </c>
      <c r="G799" s="68" t="s">
        <v>1055</v>
      </c>
      <c r="H799" s="59" t="s">
        <v>1056</v>
      </c>
      <c r="I799" s="162" t="s">
        <v>3063</v>
      </c>
      <c r="J799" s="162"/>
      <c r="K799" s="68" t="s">
        <v>13</v>
      </c>
      <c r="L799" s="69" t="s">
        <v>129</v>
      </c>
      <c r="M799" s="71" t="s">
        <v>141</v>
      </c>
      <c r="N799" s="69" t="e" vm="1">
        <v>#VALUE!</v>
      </c>
      <c r="O799" s="164">
        <v>45176</v>
      </c>
      <c r="P799" s="72" t="s">
        <v>364</v>
      </c>
      <c r="Q799" s="72" t="s">
        <v>837</v>
      </c>
      <c r="R799" s="162"/>
      <c r="S799" s="146"/>
      <c r="T799" s="68" t="s">
        <v>3</v>
      </c>
      <c r="U799" s="87"/>
      <c r="V799" s="183">
        <v>45258</v>
      </c>
      <c r="W799" s="73">
        <v>50</v>
      </c>
      <c r="X799" s="73">
        <f>1302230/1000000</f>
        <v>1.30223</v>
      </c>
      <c r="Y799" s="83">
        <f>IF(SUM(W799:W799)&gt;0,X799/SUM(W799:W799)*1000000,"N/A")</f>
        <v>26044.600000000002</v>
      </c>
      <c r="Z799" s="183"/>
      <c r="AA799" s="183"/>
      <c r="AB799" s="73" t="s">
        <v>3064</v>
      </c>
      <c r="AC799" s="153"/>
      <c r="AD799" s="331"/>
      <c r="AE799" s="57"/>
      <c r="AF799" s="88"/>
      <c r="AG799" s="182">
        <f>YEAR(V799)</f>
        <v>2023</v>
      </c>
      <c r="AH799" s="86" t="str">
        <f>+IF(AF799=$AI$22,MONTH(U799),"")</f>
        <v/>
      </c>
      <c r="AI799" s="86" t="str">
        <f>+IF(AG799=$AI$22,MONTH(V799),"")</f>
        <v/>
      </c>
      <c r="AJ799" s="86" t="str">
        <f>+IF(AG799=$AJ$22,MONTH(V799),"")</f>
        <v/>
      </c>
      <c r="AK799" s="86">
        <f>+IF(AG799=$AK$22,MONTH(V799),"")</f>
        <v>11</v>
      </c>
      <c r="AL799" s="86" t="str">
        <f>+IF(AG799=$AL$22,MONTH(V799),"")</f>
        <v/>
      </c>
      <c r="AM799" s="86" t="str">
        <f>+IF($AG799=$AM$22,MONTH($D799),"")</f>
        <v/>
      </c>
      <c r="AN799" s="89" t="str">
        <f>+IF($AG799=AN$22,MONTH($D799),"")</f>
        <v/>
      </c>
      <c r="AO799" s="89" t="str">
        <f>+IF($AG799=AO$22,MONTH($D799),"")</f>
        <v/>
      </c>
      <c r="AP799" s="89" t="str">
        <f>+IF($AG799=AP$22,MONTH($D799),"")</f>
        <v/>
      </c>
      <c r="AQ799" s="89" t="str">
        <f>+IF($AG799=AQ$22,MONTH($D799),"")</f>
        <v/>
      </c>
      <c r="AR799" s="89" t="str">
        <f>+IF($AG799=AR$22,MONTH($D799),"")</f>
        <v/>
      </c>
      <c r="AS799" s="89" t="str">
        <f>+IF($AG799=AS$22,MONTH($D799),"")</f>
        <v/>
      </c>
      <c r="AT799" s="89" t="str">
        <f>+IF($AG799=AT$22,MONTH($D799),"")</f>
        <v/>
      </c>
      <c r="AU799" s="89" t="str">
        <f>+IF($AG799=AU$22,MONTH($D799),"")</f>
        <v/>
      </c>
      <c r="AV799" s="89" t="str">
        <f>+IF($AG799=AV$22,MONTH($D799),"")</f>
        <v/>
      </c>
      <c r="AW799" s="86" t="str">
        <f>+IF($AG799=AW$22,MONTH($D799),"")</f>
        <v/>
      </c>
      <c r="AX799" s="86" t="str">
        <f>+IF($AG799=AX$22,MONTH($D799),"")</f>
        <v/>
      </c>
      <c r="AY799" s="89"/>
      <c r="AZ799" s="89"/>
      <c r="BA799" s="89"/>
      <c r="BB799" s="89"/>
      <c r="BC799" s="89"/>
      <c r="BD799" s="89"/>
      <c r="BE799" s="89"/>
      <c r="BF799" s="89"/>
      <c r="BG799" s="89"/>
      <c r="BH799" s="89"/>
      <c r="BI799" s="89"/>
      <c r="BJ799" s="89"/>
      <c r="BK799" s="89"/>
      <c r="BL799" s="89"/>
      <c r="BM799" s="89"/>
      <c r="BN799" s="182"/>
      <c r="BO799" s="182"/>
      <c r="BP799" s="182"/>
    </row>
    <row r="800" spans="1:68" s="56" customFormat="1" ht="27" hidden="1">
      <c r="A800" s="204">
        <f>+IFERROR(VALUE(MID(AB800,4,4)),"")</f>
        <v>274</v>
      </c>
      <c r="B800" s="204">
        <f>VALUE(RIGHT(C800,LEN(C800)-2))</f>
        <v>1923</v>
      </c>
      <c r="C800" s="74" t="s">
        <v>3065</v>
      </c>
      <c r="D800" s="75">
        <v>45176</v>
      </c>
      <c r="E800" s="70" t="s">
        <v>1054</v>
      </c>
      <c r="F800" s="70" t="s">
        <v>252</v>
      </c>
      <c r="G800" s="68" t="s">
        <v>1055</v>
      </c>
      <c r="H800" s="59" t="s">
        <v>1056</v>
      </c>
      <c r="I800" s="162" t="s">
        <v>3066</v>
      </c>
      <c r="J800" s="162"/>
      <c r="K800" s="68" t="s">
        <v>13</v>
      </c>
      <c r="L800" s="69" t="s">
        <v>129</v>
      </c>
      <c r="M800" s="71" t="s">
        <v>141</v>
      </c>
      <c r="N800" s="69" t="e" vm="1">
        <v>#VALUE!</v>
      </c>
      <c r="O800" s="164">
        <v>45176</v>
      </c>
      <c r="P800" s="72" t="s">
        <v>364</v>
      </c>
      <c r="Q800" s="72" t="s">
        <v>837</v>
      </c>
      <c r="R800" s="162"/>
      <c r="S800" s="146"/>
      <c r="T800" s="68" t="s">
        <v>3</v>
      </c>
      <c r="U800" s="87"/>
      <c r="V800" s="183">
        <v>45258</v>
      </c>
      <c r="W800" s="73">
        <v>144</v>
      </c>
      <c r="X800" s="73">
        <f>3566311/1000000</f>
        <v>3.5663109999999998</v>
      </c>
      <c r="Y800" s="83">
        <f>IF(SUM(W800:W800)&gt;0,X800/SUM(W800:W800)*1000000,"N/A")</f>
        <v>24766.048611111109</v>
      </c>
      <c r="Z800" s="183"/>
      <c r="AA800" s="183"/>
      <c r="AB800" s="73" t="s">
        <v>3067</v>
      </c>
      <c r="AC800" s="153"/>
      <c r="AD800" s="331"/>
      <c r="AE800" s="57"/>
      <c r="AF800" s="88"/>
      <c r="AG800" s="182">
        <f>YEAR(V800)</f>
        <v>2023</v>
      </c>
      <c r="AH800" s="86" t="str">
        <f>+IF(AF800=$AI$22,MONTH(U800),"")</f>
        <v/>
      </c>
      <c r="AI800" s="86" t="str">
        <f>+IF(AG800=$AI$22,MONTH(V800),"")</f>
        <v/>
      </c>
      <c r="AJ800" s="86" t="str">
        <f>+IF(AG800=$AJ$22,MONTH(V800),"")</f>
        <v/>
      </c>
      <c r="AK800" s="86">
        <f>+IF(AG800=$AK$22,MONTH(V800),"")</f>
        <v>11</v>
      </c>
      <c r="AL800" s="86" t="str">
        <f>+IF(AG800=$AL$22,MONTH(V800),"")</f>
        <v/>
      </c>
      <c r="AM800" s="86" t="str">
        <f>+IF($AG800=$AM$22,MONTH($D800),"")</f>
        <v/>
      </c>
      <c r="AN800" s="89" t="str">
        <f>+IF($AG800=AN$22,MONTH($D800),"")</f>
        <v/>
      </c>
      <c r="AO800" s="89" t="str">
        <f>+IF($AG800=AO$22,MONTH($D800),"")</f>
        <v/>
      </c>
      <c r="AP800" s="89" t="str">
        <f>+IF($AG800=AP$22,MONTH($D800),"")</f>
        <v/>
      </c>
      <c r="AQ800" s="89" t="str">
        <f>+IF($AG800=AQ$22,MONTH($D800),"")</f>
        <v/>
      </c>
      <c r="AR800" s="89" t="str">
        <f>+IF($AG800=AR$22,MONTH($D800),"")</f>
        <v/>
      </c>
      <c r="AS800" s="89" t="str">
        <f>+IF($AG800=AS$22,MONTH($D800),"")</f>
        <v/>
      </c>
      <c r="AT800" s="89" t="str">
        <f>+IF($AG800=AT$22,MONTH($D800),"")</f>
        <v/>
      </c>
      <c r="AU800" s="89" t="str">
        <f>+IF($AG800=AU$22,MONTH($D800),"")</f>
        <v/>
      </c>
      <c r="AV800" s="89" t="str">
        <f>+IF($AG800=AV$22,MONTH($D800),"")</f>
        <v/>
      </c>
      <c r="AW800" s="86" t="str">
        <f>+IF($AG800=AW$22,MONTH($D800),"")</f>
        <v/>
      </c>
      <c r="AX800" s="86" t="str">
        <f>+IF($AG800=AX$22,MONTH($D800),"")</f>
        <v/>
      </c>
      <c r="AY800" s="89"/>
      <c r="AZ800" s="89"/>
      <c r="BA800" s="89"/>
      <c r="BB800" s="89"/>
      <c r="BC800" s="89"/>
      <c r="BD800" s="89"/>
      <c r="BE800" s="89"/>
      <c r="BF800" s="89"/>
      <c r="BG800" s="89"/>
      <c r="BH800" s="89"/>
      <c r="BI800" s="89"/>
      <c r="BJ800" s="89"/>
      <c r="BK800" s="89"/>
      <c r="BL800" s="89"/>
      <c r="BM800" s="89"/>
      <c r="BN800" s="89"/>
      <c r="BO800" s="89"/>
      <c r="BP800" s="89"/>
    </row>
    <row r="801" spans="1:68" s="56" customFormat="1" ht="27" hidden="1">
      <c r="A801" s="204">
        <f>+IFERROR(VALUE(MID(AB801,4,4)),"")</f>
        <v>274</v>
      </c>
      <c r="B801" s="204">
        <f>VALUE(RIGHT(C801,LEN(C801)-2))</f>
        <v>1922</v>
      </c>
      <c r="C801" s="74" t="s">
        <v>3068</v>
      </c>
      <c r="D801" s="75">
        <v>45166</v>
      </c>
      <c r="E801" s="70" t="s">
        <v>1054</v>
      </c>
      <c r="F801" s="70" t="s">
        <v>252</v>
      </c>
      <c r="G801" s="68" t="s">
        <v>1055</v>
      </c>
      <c r="H801" s="59" t="s">
        <v>1056</v>
      </c>
      <c r="I801" s="162" t="s">
        <v>3069</v>
      </c>
      <c r="J801" s="162"/>
      <c r="K801" s="68" t="s">
        <v>13</v>
      </c>
      <c r="L801" s="69" t="s">
        <v>129</v>
      </c>
      <c r="M801" s="71" t="s">
        <v>141</v>
      </c>
      <c r="N801" s="69" t="e" vm="1">
        <v>#VALUE!</v>
      </c>
      <c r="O801" s="164">
        <v>45166</v>
      </c>
      <c r="P801" s="72" t="s">
        <v>364</v>
      </c>
      <c r="Q801" s="72" t="s">
        <v>623</v>
      </c>
      <c r="R801" s="162"/>
      <c r="S801" s="146"/>
      <c r="T801" s="68" t="s">
        <v>3</v>
      </c>
      <c r="U801" s="87"/>
      <c r="V801" s="183">
        <v>45258</v>
      </c>
      <c r="W801" s="73">
        <v>493</v>
      </c>
      <c r="X801" s="73">
        <v>12.5</v>
      </c>
      <c r="Y801" s="83">
        <f>IF(SUM(W801:W801)&gt;0,X801/SUM(W801:W801)*1000000,"N/A")</f>
        <v>25354.96957403651</v>
      </c>
      <c r="Z801" s="183"/>
      <c r="AA801" s="183"/>
      <c r="AB801" s="73" t="s">
        <v>3070</v>
      </c>
      <c r="AC801" s="153"/>
      <c r="AD801" s="331"/>
      <c r="AE801" s="57"/>
      <c r="AF801" s="88"/>
      <c r="AG801" s="182">
        <f>YEAR(V801)</f>
        <v>2023</v>
      </c>
      <c r="AH801" s="86" t="str">
        <f>+IF(AF801=$AI$22,MONTH(U801),"")</f>
        <v/>
      </c>
      <c r="AI801" s="86" t="str">
        <f>+IF(AG801=$AI$22,MONTH(V801),"")</f>
        <v/>
      </c>
      <c r="AJ801" s="86" t="str">
        <f>+IF(AG801=$AJ$22,MONTH(V801),"")</f>
        <v/>
      </c>
      <c r="AK801" s="86">
        <f>+IF(AG801=$AK$22,MONTH(V801),"")</f>
        <v>11</v>
      </c>
      <c r="AL801" s="86" t="str">
        <f>+IF(AG801=$AL$22,MONTH(V801),"")</f>
        <v/>
      </c>
      <c r="AM801" s="86" t="str">
        <f>+IF($AG801=$AM$22,MONTH($D801),"")</f>
        <v/>
      </c>
      <c r="AN801" s="89" t="str">
        <f>+IF($AG801=AN$22,MONTH($D801),"")</f>
        <v/>
      </c>
      <c r="AO801" s="89" t="str">
        <f>+IF($AG801=AO$22,MONTH($D801),"")</f>
        <v/>
      </c>
      <c r="AP801" s="89" t="str">
        <f>+IF($AG801=AP$22,MONTH($D801),"")</f>
        <v/>
      </c>
      <c r="AQ801" s="89" t="str">
        <f>+IF($AG801=AQ$22,MONTH($D801),"")</f>
        <v/>
      </c>
      <c r="AR801" s="89" t="str">
        <f>+IF($AG801=AR$22,MONTH($D801),"")</f>
        <v/>
      </c>
      <c r="AS801" s="89" t="str">
        <f>+IF($AG801=AS$22,MONTH($D801),"")</f>
        <v/>
      </c>
      <c r="AT801" s="89" t="str">
        <f>+IF($AG801=AT$22,MONTH($D801),"")</f>
        <v/>
      </c>
      <c r="AU801" s="89" t="str">
        <f>+IF($AG801=AU$22,MONTH($D801),"")</f>
        <v/>
      </c>
      <c r="AV801" s="89" t="str">
        <f>+IF($AG801=AV$22,MONTH($D801),"")</f>
        <v/>
      </c>
      <c r="AW801" s="86" t="str">
        <f>+IF($AG801=AW$22,MONTH($D801),"")</f>
        <v/>
      </c>
      <c r="AX801" s="86" t="str">
        <f>+IF($AG801=AX$22,MONTH($D801),"")</f>
        <v/>
      </c>
      <c r="AY801" s="89"/>
      <c r="AZ801" s="89"/>
      <c r="BA801" s="89"/>
      <c r="BB801" s="89"/>
      <c r="BC801" s="89"/>
      <c r="BD801" s="89"/>
      <c r="BE801" s="89"/>
      <c r="BF801" s="89"/>
      <c r="BG801" s="89"/>
      <c r="BH801" s="89"/>
      <c r="BI801" s="89"/>
      <c r="BJ801" s="89"/>
      <c r="BK801" s="89"/>
      <c r="BL801" s="89"/>
      <c r="BM801" s="89"/>
      <c r="BN801" s="89"/>
      <c r="BO801" s="89"/>
      <c r="BP801" s="89"/>
    </row>
    <row r="802" spans="1:68" s="56" customFormat="1" ht="27" hidden="1">
      <c r="A802" s="204">
        <f>+IFERROR(VALUE(MID(AB802,4,4)),"")</f>
        <v>274</v>
      </c>
      <c r="B802" s="204">
        <f>VALUE(RIGHT(C802,LEN(C802)-2))</f>
        <v>1921</v>
      </c>
      <c r="C802" s="74" t="s">
        <v>3071</v>
      </c>
      <c r="D802" s="75">
        <v>45166</v>
      </c>
      <c r="E802" s="70" t="s">
        <v>1054</v>
      </c>
      <c r="F802" s="70" t="s">
        <v>252</v>
      </c>
      <c r="G802" s="68" t="s">
        <v>1055</v>
      </c>
      <c r="H802" s="59" t="s">
        <v>1056</v>
      </c>
      <c r="I802" s="162" t="s">
        <v>3072</v>
      </c>
      <c r="J802" s="162"/>
      <c r="K802" s="68" t="s">
        <v>9</v>
      </c>
      <c r="L802" s="69" t="s">
        <v>129</v>
      </c>
      <c r="M802" s="71" t="s">
        <v>141</v>
      </c>
      <c r="N802" s="69" t="e" vm="1">
        <v>#VALUE!</v>
      </c>
      <c r="O802" s="164">
        <v>45166</v>
      </c>
      <c r="P802" s="72" t="s">
        <v>364</v>
      </c>
      <c r="Q802" s="72" t="s">
        <v>623</v>
      </c>
      <c r="R802" s="162"/>
      <c r="S802" s="146"/>
      <c r="T802" s="68" t="s">
        <v>3</v>
      </c>
      <c r="U802" s="87"/>
      <c r="V802" s="183">
        <v>45258</v>
      </c>
      <c r="W802" s="73">
        <v>196</v>
      </c>
      <c r="X802" s="73">
        <v>5</v>
      </c>
      <c r="Y802" s="83">
        <f>IF(SUM(W802:W802)&gt;0,X802/SUM(W802:W802)*1000000,"N/A")</f>
        <v>25510.204081632655</v>
      </c>
      <c r="Z802" s="183"/>
      <c r="AA802" s="183"/>
      <c r="AB802" s="73" t="s">
        <v>3073</v>
      </c>
      <c r="AC802" s="153"/>
      <c r="AD802" s="331"/>
      <c r="AE802" s="57"/>
      <c r="AF802" s="88"/>
      <c r="AG802" s="182">
        <f>YEAR(V802)</f>
        <v>2023</v>
      </c>
      <c r="AH802" s="86" t="str">
        <f>+IF(AF802=$AI$22,MONTH(U802),"")</f>
        <v/>
      </c>
      <c r="AI802" s="86" t="str">
        <f>+IF(AG802=$AI$22,MONTH(V802),"")</f>
        <v/>
      </c>
      <c r="AJ802" s="86" t="str">
        <f>+IF(AG802=$AJ$22,MONTH(V802),"")</f>
        <v/>
      </c>
      <c r="AK802" s="86">
        <f>+IF(AG802=$AK$22,MONTH(V802),"")</f>
        <v>11</v>
      </c>
      <c r="AL802" s="86" t="str">
        <f>+IF(AG802=$AL$22,MONTH(V802),"")</f>
        <v/>
      </c>
      <c r="AM802" s="86" t="str">
        <f>+IF($AG802=$AM$22,MONTH($D802),"")</f>
        <v/>
      </c>
      <c r="AN802" s="89" t="str">
        <f>+IF($AG802=AN$22,MONTH($D802),"")</f>
        <v/>
      </c>
      <c r="AO802" s="89" t="str">
        <f>+IF($AG802=AO$22,MONTH($D802),"")</f>
        <v/>
      </c>
      <c r="AP802" s="89" t="str">
        <f>+IF($AG802=AP$22,MONTH($D802),"")</f>
        <v/>
      </c>
      <c r="AQ802" s="89" t="str">
        <f>+IF($AG802=AQ$22,MONTH($D802),"")</f>
        <v/>
      </c>
      <c r="AR802" s="89" t="str">
        <f>+IF($AG802=AR$22,MONTH($D802),"")</f>
        <v/>
      </c>
      <c r="AS802" s="89" t="str">
        <f>+IF($AG802=AS$22,MONTH($D802),"")</f>
        <v/>
      </c>
      <c r="AT802" s="89" t="str">
        <f>+IF($AG802=AT$22,MONTH($D802),"")</f>
        <v/>
      </c>
      <c r="AU802" s="89" t="str">
        <f>+IF($AG802=AU$22,MONTH($D802),"")</f>
        <v/>
      </c>
      <c r="AV802" s="89" t="str">
        <f>+IF($AG802=AV$22,MONTH($D802),"")</f>
        <v/>
      </c>
      <c r="AW802" s="86" t="str">
        <f>+IF($AG802=AW$22,MONTH($D802),"")</f>
        <v/>
      </c>
      <c r="AX802" s="86" t="str">
        <f>+IF($AG802=AX$22,MONTH($D802),"")</f>
        <v/>
      </c>
      <c r="AY802" s="89"/>
      <c r="AZ802" s="89"/>
      <c r="BA802" s="89"/>
      <c r="BB802" s="89"/>
      <c r="BC802" s="89"/>
      <c r="BD802" s="89"/>
      <c r="BE802" s="89"/>
      <c r="BF802" s="89"/>
      <c r="BG802" s="89"/>
      <c r="BH802" s="89"/>
      <c r="BI802" s="89"/>
      <c r="BJ802" s="89"/>
      <c r="BK802" s="89"/>
      <c r="BL802" s="89"/>
      <c r="BM802" s="89"/>
      <c r="BN802" s="89"/>
      <c r="BO802" s="89"/>
      <c r="BP802" s="89"/>
    </row>
    <row r="803" spans="1:68" s="56" customFormat="1" ht="39" hidden="1" customHeight="1">
      <c r="A803" s="204" t="str">
        <f>+IFERROR(VALUE(MID(AB803,4,4)),"")</f>
        <v/>
      </c>
      <c r="B803" s="204">
        <f>VALUE(RIGHT(C803,LEN(C803)-2))</f>
        <v>1920</v>
      </c>
      <c r="C803" s="74" t="s">
        <v>3074</v>
      </c>
      <c r="D803" s="75">
        <v>45240</v>
      </c>
      <c r="E803" s="70" t="s">
        <v>479</v>
      </c>
      <c r="F803" s="70" t="s">
        <v>2767</v>
      </c>
      <c r="G803" s="68" t="s">
        <v>3075</v>
      </c>
      <c r="H803" s="59" t="s">
        <v>3076</v>
      </c>
      <c r="I803" s="162" t="s">
        <v>3077</v>
      </c>
      <c r="J803" s="162"/>
      <c r="K803" s="68" t="s">
        <v>13</v>
      </c>
      <c r="L803" s="69" t="s">
        <v>120</v>
      </c>
      <c r="M803" s="71" t="s">
        <v>113</v>
      </c>
      <c r="N803" s="69" t="e" vm="2">
        <v>#VALUE!</v>
      </c>
      <c r="O803" s="164">
        <v>45266</v>
      </c>
      <c r="P803" s="72" t="s">
        <v>483</v>
      </c>
      <c r="Q803" s="72" t="s">
        <v>837</v>
      </c>
      <c r="R803" s="162"/>
      <c r="S803" s="146"/>
      <c r="T803" s="68" t="s">
        <v>165</v>
      </c>
      <c r="U803" s="87"/>
      <c r="V803" s="183">
        <v>45327</v>
      </c>
      <c r="W803" s="73">
        <v>1012</v>
      </c>
      <c r="X803" s="73">
        <f>+(180*217820.15)/1000000</f>
        <v>39.207627000000002</v>
      </c>
      <c r="Y803" s="83">
        <f>IF(SUM(W803:W803)&gt;0,X803/SUM(W803:W803)*1000000,"N/A")</f>
        <v>38742.714426877472</v>
      </c>
      <c r="Z803" s="183"/>
      <c r="AA803" s="183"/>
      <c r="AB803" s="73"/>
      <c r="AC803" s="153"/>
      <c r="AD803" s="331"/>
      <c r="AE803" s="57"/>
      <c r="AF803" s="88"/>
      <c r="AG803" s="182">
        <f>YEAR(V803)</f>
        <v>2024</v>
      </c>
      <c r="AH803" s="86" t="str">
        <f>+IF(AF803=$AI$22,MONTH(U803),"")</f>
        <v/>
      </c>
      <c r="AI803" s="86" t="str">
        <f>+IF(AG803=$AI$22,MONTH(V803),"")</f>
        <v/>
      </c>
      <c r="AJ803" s="86">
        <f>+IF(AG803=$AJ$22,MONTH(V803),"")</f>
        <v>2</v>
      </c>
      <c r="AK803" s="86" t="str">
        <f>+IF(AG803=$AK$22,MONTH(V803),"")</f>
        <v/>
      </c>
      <c r="AL803" s="86"/>
      <c r="AM803" s="89"/>
      <c r="AN803" s="89"/>
      <c r="AO803" s="89"/>
      <c r="AP803" s="89"/>
      <c r="AQ803" s="89"/>
      <c r="AR803" s="89"/>
      <c r="AS803" s="89"/>
      <c r="AT803" s="89"/>
      <c r="AU803" s="89"/>
      <c r="AV803" s="89"/>
      <c r="AW803" s="86" t="str">
        <f>+IF($AG803=AW$22,MONTH($D803),"")</f>
        <v/>
      </c>
      <c r="AX803" s="86" t="str">
        <f>+IF($AG803=AX$22,MONTH($D803),"")</f>
        <v/>
      </c>
      <c r="AY803" s="89"/>
      <c r="AZ803" s="89"/>
      <c r="BA803" s="89"/>
      <c r="BB803" s="89"/>
      <c r="BC803" s="89"/>
      <c r="BD803" s="89"/>
      <c r="BE803" s="89"/>
      <c r="BF803" s="89"/>
      <c r="BG803" s="89"/>
      <c r="BH803" s="89"/>
      <c r="BI803" s="89"/>
      <c r="BJ803" s="89"/>
      <c r="BK803" s="89"/>
      <c r="BL803" s="89"/>
      <c r="BM803" s="89"/>
      <c r="BN803" s="89"/>
      <c r="BO803" s="89"/>
      <c r="BP803" s="89"/>
    </row>
    <row r="804" spans="1:68" s="89" customFormat="1" ht="13.5" hidden="1">
      <c r="A804" s="204" t="str">
        <f>+IFERROR(VALUE(MID(AB804,4,4)),"")</f>
        <v/>
      </c>
      <c r="B804" s="204">
        <f>VALUE(RIGHT(C804,LEN(C804)-2))</f>
        <v>1919</v>
      </c>
      <c r="C804" s="74" t="s">
        <v>3078</v>
      </c>
      <c r="D804" s="75">
        <v>45240</v>
      </c>
      <c r="E804" s="70" t="s">
        <v>479</v>
      </c>
      <c r="F804" s="70" t="s">
        <v>479</v>
      </c>
      <c r="G804" s="68" t="s">
        <v>2979</v>
      </c>
      <c r="H804" s="59" t="s">
        <v>2980</v>
      </c>
      <c r="I804" s="162" t="s">
        <v>3079</v>
      </c>
      <c r="J804" s="162"/>
      <c r="K804" s="68" t="s">
        <v>13</v>
      </c>
      <c r="L804" s="69" t="s">
        <v>120</v>
      </c>
      <c r="M804" s="71" t="s">
        <v>113</v>
      </c>
      <c r="N804" s="69" t="e" vm="2">
        <v>#VALUE!</v>
      </c>
      <c r="O804" s="164">
        <v>45310</v>
      </c>
      <c r="P804" s="72" t="s">
        <v>483</v>
      </c>
      <c r="Q804" s="72" t="s">
        <v>837</v>
      </c>
      <c r="R804" s="162"/>
      <c r="S804" s="146"/>
      <c r="T804" s="68" t="s">
        <v>155</v>
      </c>
      <c r="U804" s="87"/>
      <c r="V804" s="183">
        <v>45345</v>
      </c>
      <c r="W804" s="73"/>
      <c r="X804" s="73"/>
      <c r="Y804" s="83" t="str">
        <f>IF(SUM(W804:W804)&gt;0,X804/SUM(W804:W804)*1000000,"N/A")</f>
        <v>N/A</v>
      </c>
      <c r="Z804" s="183"/>
      <c r="AA804" s="183"/>
      <c r="AB804" s="73"/>
      <c r="AC804" s="153"/>
      <c r="AD804" s="331"/>
      <c r="AE804" s="57"/>
      <c r="AF804" s="88"/>
      <c r="AG804" s="182">
        <f>YEAR(V804)</f>
        <v>2024</v>
      </c>
      <c r="AH804" s="86" t="str">
        <f>+IF(AF804=$AI$22,MONTH(U804),"")</f>
        <v/>
      </c>
      <c r="AI804" s="86" t="str">
        <f>+IF(AG804=$AI$22,MONTH(V804),"")</f>
        <v/>
      </c>
      <c r="AJ804" s="86">
        <f>+IF(AG804=$AJ$22,MONTH(V804),"")</f>
        <v>2</v>
      </c>
      <c r="AK804" s="86" t="str">
        <f>+IF(AG804=$AK$22,MONTH(V804),"")</f>
        <v/>
      </c>
      <c r="AL804" s="86"/>
      <c r="AW804" s="86" t="str">
        <f>+IF($AG804=AW$22,MONTH($D804),"")</f>
        <v/>
      </c>
      <c r="AX804" s="86" t="str">
        <f>+IF($AG804=AX$22,MONTH($D804),"")</f>
        <v/>
      </c>
    </row>
    <row r="805" spans="1:68" s="56" customFormat="1" ht="13.5" hidden="1">
      <c r="A805" s="204" t="str">
        <f>+IFERROR(VALUE(MID(AB805,4,4)),"")</f>
        <v/>
      </c>
      <c r="B805" s="204">
        <f>VALUE(RIGHT(C805,LEN(C805)-2))</f>
        <v>1918</v>
      </c>
      <c r="C805" s="74" t="s">
        <v>3080</v>
      </c>
      <c r="D805" s="75">
        <v>45257</v>
      </c>
      <c r="E805" s="70" t="s">
        <v>53</v>
      </c>
      <c r="F805" s="70" t="s">
        <v>252</v>
      </c>
      <c r="G805" s="68" t="s">
        <v>210</v>
      </c>
      <c r="H805" s="59"/>
      <c r="I805" s="162" t="s">
        <v>3081</v>
      </c>
      <c r="J805" s="162"/>
      <c r="K805" s="68" t="s">
        <v>9</v>
      </c>
      <c r="L805" s="69" t="s">
        <v>123</v>
      </c>
      <c r="M805" s="71" t="s">
        <v>141</v>
      </c>
      <c r="N805" s="69" t="e" vm="1">
        <v>#VALUE!</v>
      </c>
      <c r="O805" s="164">
        <v>45299</v>
      </c>
      <c r="P805" s="72"/>
      <c r="Q805" s="72" t="s">
        <v>259</v>
      </c>
      <c r="R805" s="162"/>
      <c r="S805" s="146" t="s">
        <v>587</v>
      </c>
      <c r="T805" s="68" t="s">
        <v>155</v>
      </c>
      <c r="U805" s="87">
        <v>0</v>
      </c>
      <c r="V805" s="183">
        <v>45257</v>
      </c>
      <c r="W805" s="73"/>
      <c r="X805" s="73"/>
      <c r="Y805" s="83" t="str">
        <f>IF(SUM(W805:W805)&gt;0,X805/SUM(W805:W805)*1000000,"N/A")</f>
        <v>N/A</v>
      </c>
      <c r="Z805" s="183"/>
      <c r="AA805" s="183"/>
      <c r="AB805" s="73"/>
      <c r="AC805" s="153"/>
      <c r="AD805" s="331"/>
      <c r="AE805" s="57"/>
      <c r="AF805" s="88"/>
      <c r="AG805" s="182">
        <f>YEAR(V805)</f>
        <v>2023</v>
      </c>
      <c r="AH805" s="86" t="str">
        <f>+IF(AF805=$AI$22,MONTH(U805),"")</f>
        <v/>
      </c>
      <c r="AI805" s="86" t="str">
        <f>+IF(AG805=$AI$22,MONTH(V805),"")</f>
        <v/>
      </c>
      <c r="AJ805" s="86" t="str">
        <f>+IF(AG805=$AJ$22,MONTH(V805),"")</f>
        <v/>
      </c>
      <c r="AK805" s="86">
        <f>+IF(AG805=$AK$22,MONTH(V805),"")</f>
        <v>11</v>
      </c>
      <c r="AL805" s="86"/>
      <c r="AM805" s="89"/>
      <c r="AN805" s="89"/>
      <c r="AO805" s="89"/>
      <c r="AP805" s="89"/>
      <c r="AQ805" s="89"/>
      <c r="AR805" s="89"/>
      <c r="AS805" s="89"/>
      <c r="AT805" s="89"/>
      <c r="AU805" s="89"/>
      <c r="AV805" s="89"/>
      <c r="AW805" s="86" t="str">
        <f>+IF($AG805=AW$22,MONTH($D805),"")</f>
        <v/>
      </c>
      <c r="AX805" s="86" t="str">
        <f>+IF($AG805=AX$22,MONTH($D805),"")</f>
        <v/>
      </c>
      <c r="AY805" s="89"/>
      <c r="AZ805" s="89"/>
      <c r="BA805" s="89"/>
      <c r="BB805" s="89"/>
      <c r="BC805" s="89"/>
      <c r="BD805" s="89"/>
      <c r="BE805" s="89"/>
      <c r="BF805" s="89"/>
      <c r="BG805" s="89"/>
      <c r="BH805" s="89"/>
      <c r="BI805" s="89"/>
      <c r="BJ805" s="89"/>
      <c r="BK805" s="89"/>
      <c r="BL805" s="89"/>
      <c r="BM805" s="89"/>
      <c r="BN805" s="89"/>
      <c r="BO805" s="89"/>
      <c r="BP805" s="89"/>
    </row>
    <row r="806" spans="1:68" s="56" customFormat="1" ht="24" hidden="1" customHeight="1">
      <c r="A806" s="204" t="str">
        <f>+IFERROR(VALUE(MID(AB806,4,4)),"")</f>
        <v/>
      </c>
      <c r="B806" s="204">
        <f>VALUE(RIGHT(C806,LEN(C806)-2))</f>
        <v>1917</v>
      </c>
      <c r="C806" s="74" t="s">
        <v>3082</v>
      </c>
      <c r="D806" s="75">
        <v>45257</v>
      </c>
      <c r="E806" s="70" t="s">
        <v>3083</v>
      </c>
      <c r="F806" s="70" t="s">
        <v>3084</v>
      </c>
      <c r="G806" s="68" t="s">
        <v>2548</v>
      </c>
      <c r="H806" s="59" t="s">
        <v>3085</v>
      </c>
      <c r="I806" s="162" t="s">
        <v>3086</v>
      </c>
      <c r="J806" s="162"/>
      <c r="K806" s="68" t="s">
        <v>12</v>
      </c>
      <c r="L806" s="69" t="s">
        <v>120</v>
      </c>
      <c r="M806" s="71" t="s">
        <v>141</v>
      </c>
      <c r="N806" s="69" t="e" vm="1">
        <v>#VALUE!</v>
      </c>
      <c r="O806" s="164">
        <v>45274</v>
      </c>
      <c r="P806" s="72" t="s">
        <v>1629</v>
      </c>
      <c r="Q806" s="72" t="s">
        <v>316</v>
      </c>
      <c r="R806" s="162"/>
      <c r="S806" s="146" t="s">
        <v>3087</v>
      </c>
      <c r="T806" s="68" t="s">
        <v>165</v>
      </c>
      <c r="U806" s="87"/>
      <c r="V806" s="183">
        <v>45303</v>
      </c>
      <c r="W806" s="73">
        <v>1096</v>
      </c>
      <c r="X806" s="73">
        <v>50</v>
      </c>
      <c r="Y806" s="83">
        <f>IF(SUM(W806:W806)&gt;0,X806/SUM(W806:W806)*1000000,"N/A")</f>
        <v>45620.437956204376</v>
      </c>
      <c r="Z806" s="183"/>
      <c r="AA806" s="183"/>
      <c r="AB806" s="73"/>
      <c r="AC806" s="153"/>
      <c r="AD806" s="331"/>
      <c r="AE806" s="57"/>
      <c r="AF806" s="88"/>
      <c r="AG806" s="182">
        <f>YEAR(V806)</f>
        <v>2024</v>
      </c>
      <c r="AH806" s="86" t="str">
        <f>+IF(AF806=$AI$22,MONTH(U806),"")</f>
        <v/>
      </c>
      <c r="AI806" s="86" t="str">
        <f>+IF(AG806=$AI$22,MONTH(V806),"")</f>
        <v/>
      </c>
      <c r="AJ806" s="86">
        <f>+IF(AG806=$AJ$22,MONTH(V806),"")</f>
        <v>1</v>
      </c>
      <c r="AK806" s="86" t="str">
        <f>+IF(AG806=$AK$22,MONTH(V806),"")</f>
        <v/>
      </c>
      <c r="AL806" s="86"/>
      <c r="AM806" s="89"/>
      <c r="AN806" s="89"/>
      <c r="AO806" s="89"/>
      <c r="AP806" s="89"/>
      <c r="AQ806" s="89"/>
      <c r="AR806" s="89"/>
      <c r="AS806" s="89"/>
      <c r="AT806" s="89"/>
      <c r="AU806" s="89"/>
      <c r="AV806" s="89"/>
      <c r="AW806" s="86" t="str">
        <f>+IF($AG806=AW$22,MONTH($D806),"")</f>
        <v/>
      </c>
      <c r="AX806" s="86" t="str">
        <f>+IF($AG806=AX$22,MONTH($D806),"")</f>
        <v/>
      </c>
      <c r="AY806" s="89"/>
      <c r="AZ806" s="89"/>
      <c r="BA806" s="89"/>
      <c r="BB806" s="89"/>
      <c r="BC806" s="89"/>
      <c r="BD806" s="89"/>
      <c r="BE806" s="89"/>
      <c r="BF806" s="89"/>
      <c r="BG806" s="89"/>
      <c r="BH806" s="89"/>
      <c r="BI806" s="89"/>
      <c r="BJ806" s="89"/>
      <c r="BK806" s="89"/>
      <c r="BL806" s="89"/>
      <c r="BM806" s="89"/>
      <c r="BN806" s="89"/>
      <c r="BO806" s="89"/>
      <c r="BP806" s="89"/>
    </row>
    <row r="807" spans="1:68" s="56" customFormat="1" ht="27" hidden="1">
      <c r="A807" s="204">
        <f>+IFERROR(VALUE(MID(AB807,4,4)),"")</f>
        <v>359</v>
      </c>
      <c r="B807" s="204">
        <f>VALUE(RIGHT(C807,LEN(C807)-2))</f>
        <v>1916</v>
      </c>
      <c r="C807" s="74" t="s">
        <v>3088</v>
      </c>
      <c r="D807" s="75">
        <v>45257</v>
      </c>
      <c r="E807" s="70" t="s">
        <v>3089</v>
      </c>
      <c r="F807" s="70" t="s">
        <v>3089</v>
      </c>
      <c r="G807" s="68" t="s">
        <v>3090</v>
      </c>
      <c r="H807" s="59" t="s">
        <v>3091</v>
      </c>
      <c r="I807" s="162" t="s">
        <v>3092</v>
      </c>
      <c r="J807" s="162"/>
      <c r="K807" s="68" t="s">
        <v>90</v>
      </c>
      <c r="L807" s="69" t="s">
        <v>120</v>
      </c>
      <c r="M807" s="71" t="s">
        <v>141</v>
      </c>
      <c r="N807" s="69" t="e" vm="1">
        <v>#VALUE!</v>
      </c>
      <c r="O807" s="164">
        <v>45258</v>
      </c>
      <c r="P807" s="72" t="s">
        <v>701</v>
      </c>
      <c r="Q807" s="72" t="s">
        <v>623</v>
      </c>
      <c r="R807" s="162"/>
      <c r="S807" s="146"/>
      <c r="T807" s="68" t="s">
        <v>3</v>
      </c>
      <c r="U807" s="87"/>
      <c r="V807" s="183">
        <v>45257</v>
      </c>
      <c r="W807" s="73">
        <v>38</v>
      </c>
      <c r="X807" s="73">
        <f>+(57*36500)/1000000</f>
        <v>2.0804999999999998</v>
      </c>
      <c r="Y807" s="83">
        <f>IF(SUM(W807:W807)&gt;0,X807/SUM(W807:W807)*1000000,"N/A")</f>
        <v>54749.999999999993</v>
      </c>
      <c r="Z807" s="183"/>
      <c r="AA807" s="183"/>
      <c r="AB807" s="73" t="s">
        <v>3093</v>
      </c>
      <c r="AC807" s="153"/>
      <c r="AD807" s="331"/>
      <c r="AE807" s="57"/>
      <c r="AF807" s="88"/>
      <c r="AG807" s="182">
        <f>YEAR(V807)</f>
        <v>2023</v>
      </c>
      <c r="AH807" s="86" t="str">
        <f>+IF(AF807=$AI$22,MONTH(U807),"")</f>
        <v/>
      </c>
      <c r="AI807" s="86" t="str">
        <f>+IF(AG807=$AI$22,MONTH(V807),"")</f>
        <v/>
      </c>
      <c r="AJ807" s="86" t="str">
        <f>+IF(AG807=$AJ$22,MONTH(V807),"")</f>
        <v/>
      </c>
      <c r="AK807" s="86">
        <f>+IF(AG807=$AK$22,MONTH(V807),"")</f>
        <v>11</v>
      </c>
      <c r="AL807" s="86"/>
      <c r="AM807" s="89"/>
      <c r="AN807" s="89"/>
      <c r="AO807" s="89"/>
      <c r="AP807" s="89"/>
      <c r="AQ807" s="89"/>
      <c r="AR807" s="89"/>
      <c r="AS807" s="89"/>
      <c r="AT807" s="89"/>
      <c r="AU807" s="89"/>
      <c r="AV807" s="89"/>
      <c r="AW807" s="86" t="str">
        <f>+IF($AG807=AW$22,MONTH($D807),"")</f>
        <v/>
      </c>
      <c r="AX807" s="86" t="str">
        <f>+IF($AG807=AX$22,MONTH($D807),"")</f>
        <v/>
      </c>
      <c r="AY807" s="89"/>
      <c r="AZ807" s="89"/>
      <c r="BA807" s="89"/>
      <c r="BB807" s="89"/>
      <c r="BC807" s="89"/>
      <c r="BD807" s="89"/>
      <c r="BE807" s="89"/>
      <c r="BF807" s="89"/>
      <c r="BG807" s="89"/>
      <c r="BH807" s="89"/>
      <c r="BI807" s="89"/>
      <c r="BJ807" s="89"/>
      <c r="BK807" s="89"/>
      <c r="BL807" s="89"/>
      <c r="BM807" s="89"/>
      <c r="BN807" s="89"/>
      <c r="BO807" s="89"/>
      <c r="BP807" s="89"/>
    </row>
    <row r="808" spans="1:68" s="56" customFormat="1" ht="24.75" hidden="1" customHeight="1">
      <c r="A808" s="204">
        <f>+IFERROR(VALUE(MID(AB808,4,4)),"")</f>
        <v>339</v>
      </c>
      <c r="B808" s="204">
        <f>VALUE(RIGHT(C808,LEN(C808)-2))</f>
        <v>1915</v>
      </c>
      <c r="C808" s="74" t="s">
        <v>3094</v>
      </c>
      <c r="D808" s="75">
        <v>45253</v>
      </c>
      <c r="E808" s="70" t="s">
        <v>262</v>
      </c>
      <c r="F808" s="70" t="s">
        <v>270</v>
      </c>
      <c r="G808" s="68" t="s">
        <v>2756</v>
      </c>
      <c r="H808" s="59" t="s">
        <v>2172</v>
      </c>
      <c r="I808" s="162" t="s">
        <v>3095</v>
      </c>
      <c r="J808" s="162"/>
      <c r="K808" s="68" t="s">
        <v>14</v>
      </c>
      <c r="L808" s="69" t="s">
        <v>120</v>
      </c>
      <c r="M808" s="71" t="s">
        <v>141</v>
      </c>
      <c r="N808" s="69" t="e" vm="1">
        <v>#VALUE!</v>
      </c>
      <c r="O808" s="164">
        <v>45254</v>
      </c>
      <c r="P808" s="72" t="s">
        <v>2852</v>
      </c>
      <c r="Q808" s="72" t="s">
        <v>1097</v>
      </c>
      <c r="R808" s="162"/>
      <c r="S808" s="146"/>
      <c r="T808" s="68" t="s">
        <v>3</v>
      </c>
      <c r="U808" s="87"/>
      <c r="V808" s="183">
        <v>45253</v>
      </c>
      <c r="W808" s="73">
        <v>150</v>
      </c>
      <c r="X808" s="73">
        <v>6</v>
      </c>
      <c r="Y808" s="83">
        <f>IF(SUM(W808:W808)&gt;0,X808/SUM(W808:W808)*1000000,"N/A")</f>
        <v>40000</v>
      </c>
      <c r="Z808" s="183"/>
      <c r="AA808" s="183"/>
      <c r="AB808" s="73" t="s">
        <v>3096</v>
      </c>
      <c r="AC808" s="153"/>
      <c r="AD808" s="331"/>
      <c r="AE808" s="57"/>
      <c r="AF808" s="88"/>
      <c r="AG808" s="182">
        <f>YEAR(V808)</f>
        <v>2023</v>
      </c>
      <c r="AH808" s="86" t="str">
        <f>+IF(AF808=$AI$22,MONTH(U808),"")</f>
        <v/>
      </c>
      <c r="AI808" s="86" t="str">
        <f>+IF(AG808=$AI$22,MONTH(V808),"")</f>
        <v/>
      </c>
      <c r="AJ808" s="86" t="str">
        <f>+IF(AG808=$AJ$22,MONTH(V808),"")</f>
        <v/>
      </c>
      <c r="AK808" s="86">
        <f>+IF(AG808=$AK$22,MONTH(V808),"")</f>
        <v>11</v>
      </c>
      <c r="AL808" s="86"/>
      <c r="AM808" s="89"/>
      <c r="AN808" s="89"/>
      <c r="AO808" s="89"/>
      <c r="AP808" s="89"/>
      <c r="AQ808" s="89"/>
      <c r="AR808" s="89"/>
      <c r="AS808" s="89"/>
      <c r="AT808" s="89"/>
      <c r="AU808" s="89"/>
      <c r="AV808" s="89"/>
      <c r="AW808" s="86" t="str">
        <f>+IF($AG808=AW$22,MONTH($D808),"")</f>
        <v/>
      </c>
      <c r="AX808" s="86" t="str">
        <f>+IF($AG808=AX$22,MONTH($D808),"")</f>
        <v/>
      </c>
      <c r="AY808" s="89"/>
      <c r="AZ808" s="89"/>
      <c r="BA808" s="89"/>
      <c r="BB808" s="89"/>
      <c r="BC808" s="89"/>
      <c r="BD808" s="89"/>
      <c r="BE808" s="89"/>
      <c r="BF808" s="89"/>
      <c r="BG808" s="89"/>
      <c r="BH808" s="89"/>
      <c r="BI808" s="89"/>
      <c r="BJ808" s="89"/>
      <c r="BK808" s="89"/>
      <c r="BL808" s="89"/>
      <c r="BM808" s="89"/>
      <c r="BN808" s="89"/>
      <c r="BO808" s="89"/>
      <c r="BP808" s="89"/>
    </row>
    <row r="809" spans="1:68" s="56" customFormat="1" ht="27" hidden="1">
      <c r="A809" s="204" t="str">
        <f>+IFERROR(VALUE(MID(AB809,4,4)),"")</f>
        <v/>
      </c>
      <c r="B809" s="204">
        <f>VALUE(RIGHT(C809,LEN(C809)-2))</f>
        <v>1914</v>
      </c>
      <c r="C809" s="74" t="s">
        <v>3097</v>
      </c>
      <c r="D809" s="75">
        <v>45253</v>
      </c>
      <c r="E809" s="70" t="s">
        <v>262</v>
      </c>
      <c r="F809" s="70" t="s">
        <v>270</v>
      </c>
      <c r="G809" s="68" t="s">
        <v>2756</v>
      </c>
      <c r="H809" s="59" t="s">
        <v>2172</v>
      </c>
      <c r="I809" s="162" t="s">
        <v>3098</v>
      </c>
      <c r="J809" s="162"/>
      <c r="K809" s="68" t="s">
        <v>14</v>
      </c>
      <c r="L809" s="69" t="s">
        <v>120</v>
      </c>
      <c r="M809" s="71" t="s">
        <v>141</v>
      </c>
      <c r="N809" s="69" t="e" vm="1">
        <v>#VALUE!</v>
      </c>
      <c r="O809" s="164">
        <v>45254</v>
      </c>
      <c r="P809" s="72" t="s">
        <v>2852</v>
      </c>
      <c r="Q809" s="72" t="s">
        <v>1097</v>
      </c>
      <c r="R809" s="162"/>
      <c r="S809" s="146"/>
      <c r="T809" s="68" t="s">
        <v>168</v>
      </c>
      <c r="U809" s="87"/>
      <c r="V809" s="183">
        <v>45303</v>
      </c>
      <c r="W809" s="73"/>
      <c r="X809" s="73"/>
      <c r="Y809" s="83" t="str">
        <f>IF(SUM(W809:W809)&gt;0,X809/SUM(W809:W809)*1000000,"N/A")</f>
        <v>N/A</v>
      </c>
      <c r="Z809" s="183"/>
      <c r="AA809" s="183"/>
      <c r="AB809" s="73"/>
      <c r="AC809" s="153"/>
      <c r="AD809" s="331"/>
      <c r="AE809" s="57"/>
      <c r="AF809" s="88"/>
      <c r="AG809" s="182">
        <f>YEAR(V809)</f>
        <v>2024</v>
      </c>
      <c r="AH809" s="86" t="str">
        <f>+IF(AF809=$AI$22,MONTH(U809),"")</f>
        <v/>
      </c>
      <c r="AI809" s="86" t="str">
        <f>+IF(AG809=$AI$22,MONTH(V809),"")</f>
        <v/>
      </c>
      <c r="AJ809" s="86">
        <f>+IF(AG809=$AJ$22,MONTH(V809),"")</f>
        <v>1</v>
      </c>
      <c r="AK809" s="86" t="str">
        <f>+IF(AG809=$AK$22,MONTH(V809),"")</f>
        <v/>
      </c>
      <c r="AL809" s="86"/>
      <c r="AM809" s="89"/>
      <c r="AN809" s="89"/>
      <c r="AO809" s="89"/>
      <c r="AP809" s="89"/>
      <c r="AQ809" s="89"/>
      <c r="AR809" s="89"/>
      <c r="AS809" s="89"/>
      <c r="AT809" s="89"/>
      <c r="AU809" s="89"/>
      <c r="AV809" s="89"/>
      <c r="AW809" s="86" t="str">
        <f>+IF($AG809=AW$22,MONTH($D809),"")</f>
        <v/>
      </c>
      <c r="AX809" s="86" t="str">
        <f>+IF($AG809=AX$22,MONTH($D809),"")</f>
        <v/>
      </c>
      <c r="AY809" s="89"/>
      <c r="AZ809" s="89"/>
      <c r="BA809" s="89"/>
      <c r="BB809" s="89"/>
      <c r="BC809" s="89"/>
      <c r="BD809" s="89"/>
      <c r="BE809" s="89"/>
      <c r="BF809" s="89"/>
      <c r="BG809" s="89"/>
      <c r="BH809" s="89"/>
      <c r="BI809" s="89"/>
      <c r="BJ809" s="89"/>
      <c r="BK809" s="89"/>
      <c r="BL809" s="89"/>
      <c r="BM809" s="89"/>
      <c r="BN809" s="89"/>
      <c r="BO809" s="89"/>
      <c r="BP809" s="89"/>
    </row>
    <row r="810" spans="1:68" s="56" customFormat="1" ht="27" hidden="1">
      <c r="A810" s="204" t="str">
        <f>+IFERROR(VALUE(MID(AB810,4,4)),"")</f>
        <v/>
      </c>
      <c r="B810" s="204">
        <f>VALUE(RIGHT(C810,LEN(C810)-2))</f>
        <v>1913</v>
      </c>
      <c r="C810" s="74" t="s">
        <v>3099</v>
      </c>
      <c r="D810" s="75">
        <v>45253</v>
      </c>
      <c r="E810" s="70" t="s">
        <v>1321</v>
      </c>
      <c r="F810" s="70" t="s">
        <v>2065</v>
      </c>
      <c r="G810" s="68" t="s">
        <v>2867</v>
      </c>
      <c r="H810" s="59" t="s">
        <v>2868</v>
      </c>
      <c r="I810" s="162" t="s">
        <v>3100</v>
      </c>
      <c r="J810" s="162"/>
      <c r="K810" s="68" t="s">
        <v>315</v>
      </c>
      <c r="L810" s="69" t="s">
        <v>120</v>
      </c>
      <c r="M810" s="71" t="s">
        <v>141</v>
      </c>
      <c r="N810" s="69" t="e" vm="1">
        <v>#VALUE!</v>
      </c>
      <c r="O810" s="164">
        <v>45257</v>
      </c>
      <c r="P810" s="72" t="s">
        <v>402</v>
      </c>
      <c r="Q810" s="72" t="s">
        <v>623</v>
      </c>
      <c r="R810" s="162"/>
      <c r="S810" s="146" t="s">
        <v>3101</v>
      </c>
      <c r="T810" s="68" t="s">
        <v>155</v>
      </c>
      <c r="U810" s="87"/>
      <c r="V810" s="183">
        <v>45253</v>
      </c>
      <c r="W810" s="73"/>
      <c r="X810" s="73"/>
      <c r="Y810" s="83" t="str">
        <f>IF(SUM(W810:W810)&gt;0,X810/SUM(W810:W810)*1000000,"N/A")</f>
        <v>N/A</v>
      </c>
      <c r="Z810" s="183"/>
      <c r="AA810" s="183"/>
      <c r="AB810" s="73"/>
      <c r="AC810" s="153"/>
      <c r="AD810" s="331"/>
      <c r="AE810" s="57"/>
      <c r="AF810" s="88"/>
      <c r="AG810" s="182">
        <f>YEAR(V810)</f>
        <v>2023</v>
      </c>
      <c r="AH810" s="86" t="str">
        <f>+IF(AF810=$AI$22,MONTH(U810),"")</f>
        <v/>
      </c>
      <c r="AI810" s="86" t="str">
        <f>+IF(AG810=$AI$22,MONTH(V810),"")</f>
        <v/>
      </c>
      <c r="AJ810" s="86" t="str">
        <f>+IF(AG810=$AJ$22,MONTH(V810),"")</f>
        <v/>
      </c>
      <c r="AK810" s="86">
        <f>+IF(AG810=$AK$22,MONTH(V810),"")</f>
        <v>11</v>
      </c>
      <c r="AL810" s="86" t="str">
        <f>+IF(AG810=$AL$22,MONTH(V810),"")</f>
        <v/>
      </c>
      <c r="AM810" s="86" t="str">
        <f>+IF($AG810=$AM$22,MONTH($D810),"")</f>
        <v/>
      </c>
      <c r="AN810" s="89"/>
      <c r="AO810" s="89"/>
      <c r="AP810" s="89"/>
      <c r="AQ810" s="89"/>
      <c r="AR810" s="89"/>
      <c r="AS810" s="89"/>
      <c r="AT810" s="89"/>
      <c r="AU810" s="89"/>
      <c r="AV810" s="89"/>
      <c r="AW810" s="86" t="str">
        <f>+IF($AG810=AW$22,MONTH($D810),"")</f>
        <v/>
      </c>
      <c r="AX810" s="86" t="str">
        <f>+IF($AG810=AX$22,MONTH($D810),"")</f>
        <v/>
      </c>
      <c r="AY810" s="89"/>
      <c r="AZ810" s="89"/>
      <c r="BA810" s="89"/>
      <c r="BB810" s="89"/>
      <c r="BC810" s="89"/>
      <c r="BD810" s="89"/>
      <c r="BE810" s="89"/>
      <c r="BF810" s="89"/>
      <c r="BG810" s="89"/>
      <c r="BH810" s="89"/>
      <c r="BI810" s="89"/>
      <c r="BJ810" s="89"/>
      <c r="BK810" s="89"/>
      <c r="BL810" s="89"/>
      <c r="BM810" s="89"/>
      <c r="BN810" s="89"/>
      <c r="BO810" s="89"/>
      <c r="BP810" s="89"/>
    </row>
    <row r="811" spans="1:68" s="56" customFormat="1" ht="13.5" hidden="1">
      <c r="A811" s="204">
        <f>+IFERROR(VALUE(MID(AB811,4,4)),"")</f>
        <v>362</v>
      </c>
      <c r="B811" s="204">
        <f>VALUE(RIGHT(C811,LEN(C811)-2))</f>
        <v>1912</v>
      </c>
      <c r="C811" s="74" t="s">
        <v>3102</v>
      </c>
      <c r="D811" s="75">
        <v>45253</v>
      </c>
      <c r="E811" s="70" t="s">
        <v>1321</v>
      </c>
      <c r="F811" s="70" t="s">
        <v>2065</v>
      </c>
      <c r="G811" s="68" t="s">
        <v>2867</v>
      </c>
      <c r="H811" s="59" t="s">
        <v>2868</v>
      </c>
      <c r="I811" s="162" t="s">
        <v>3103</v>
      </c>
      <c r="J811" s="162"/>
      <c r="K811" s="68" t="s">
        <v>315</v>
      </c>
      <c r="L811" s="69" t="s">
        <v>120</v>
      </c>
      <c r="M811" s="71" t="s">
        <v>141</v>
      </c>
      <c r="N811" s="69" t="e" vm="1">
        <v>#VALUE!</v>
      </c>
      <c r="O811" s="164">
        <v>45257</v>
      </c>
      <c r="P811" s="72" t="s">
        <v>402</v>
      </c>
      <c r="Q811" s="72" t="s">
        <v>623</v>
      </c>
      <c r="R811" s="162"/>
      <c r="S811" s="146"/>
      <c r="T811" s="68" t="s">
        <v>3</v>
      </c>
      <c r="U811" s="87"/>
      <c r="V811" s="183">
        <v>45253</v>
      </c>
      <c r="W811" s="73">
        <v>2005</v>
      </c>
      <c r="X811" s="73">
        <v>98</v>
      </c>
      <c r="Y811" s="83">
        <f>IF(SUM(W811:W811)&gt;0,X811/SUM(W811:W811)*1000000,"N/A")</f>
        <v>48877.805486284284</v>
      </c>
      <c r="Z811" s="183"/>
      <c r="AA811" s="183"/>
      <c r="AB811" s="73" t="s">
        <v>3104</v>
      </c>
      <c r="AC811" s="153"/>
      <c r="AD811" s="331"/>
      <c r="AE811" s="57"/>
      <c r="AF811" s="88"/>
      <c r="AG811" s="182">
        <f>YEAR(V811)</f>
        <v>2023</v>
      </c>
      <c r="AH811" s="86" t="str">
        <f>+IF(AF811=$AI$22,MONTH(U811),"")</f>
        <v/>
      </c>
      <c r="AI811" s="86" t="str">
        <f>+IF(AG811=$AI$22,MONTH(V811),"")</f>
        <v/>
      </c>
      <c r="AJ811" s="86" t="str">
        <f>+IF(AG811=$AJ$22,MONTH(V811),"")</f>
        <v/>
      </c>
      <c r="AK811" s="86">
        <f>+IF(AG811=$AK$22,MONTH(V811),"")</f>
        <v>11</v>
      </c>
      <c r="AL811" s="86" t="str">
        <f>+IF(AG811=$AL$22,MONTH(V811),"")</f>
        <v/>
      </c>
      <c r="AM811" s="86" t="str">
        <f>+IF($AG811=$AM$22,MONTH($D811),"")</f>
        <v/>
      </c>
      <c r="AN811" s="89"/>
      <c r="AO811" s="89"/>
      <c r="AP811" s="89"/>
      <c r="AQ811" s="89"/>
      <c r="AR811" s="89"/>
      <c r="AS811" s="89"/>
      <c r="AT811" s="89"/>
      <c r="AU811" s="89"/>
      <c r="AV811" s="89"/>
      <c r="AW811" s="86" t="str">
        <f>+IF($AG811=AW$22,MONTH($D811),"")</f>
        <v/>
      </c>
      <c r="AX811" s="86" t="str">
        <f>+IF($AG811=AX$22,MONTH($D811),"")</f>
        <v/>
      </c>
      <c r="AY811" s="89"/>
      <c r="AZ811" s="89"/>
      <c r="BA811" s="89"/>
      <c r="BB811" s="89"/>
      <c r="BC811" s="89"/>
      <c r="BD811" s="89"/>
      <c r="BE811" s="89"/>
      <c r="BF811" s="89"/>
      <c r="BG811" s="89"/>
      <c r="BH811" s="89"/>
      <c r="BI811" s="89"/>
      <c r="BJ811" s="89"/>
      <c r="BK811" s="89"/>
      <c r="BL811" s="89"/>
      <c r="BM811" s="89"/>
      <c r="BN811" s="89"/>
      <c r="BO811" s="89"/>
      <c r="BP811" s="89"/>
    </row>
    <row r="812" spans="1:68" s="56" customFormat="1" ht="13.5" hidden="1">
      <c r="A812" s="204" t="str">
        <f>+IFERROR(VALUE(MID(AB812,4,4)),"")</f>
        <v/>
      </c>
      <c r="B812" s="204">
        <f>VALUE(RIGHT(C812,LEN(C812)-2))</f>
        <v>1911</v>
      </c>
      <c r="C812" s="74" t="s">
        <v>3105</v>
      </c>
      <c r="D812" s="75">
        <v>45252</v>
      </c>
      <c r="E812" s="70" t="s">
        <v>939</v>
      </c>
      <c r="F812" s="70" t="s">
        <v>940</v>
      </c>
      <c r="G812" s="68" t="s">
        <v>3057</v>
      </c>
      <c r="H812" s="59"/>
      <c r="I812" s="162" t="s">
        <v>3106</v>
      </c>
      <c r="J812" s="162"/>
      <c r="K812" s="68" t="s">
        <v>12</v>
      </c>
      <c r="L812" s="69" t="s">
        <v>120</v>
      </c>
      <c r="M812" s="71" t="s">
        <v>141</v>
      </c>
      <c r="N812" s="69" t="e" vm="1">
        <v>#VALUE!</v>
      </c>
      <c r="O812" s="164">
        <v>45257</v>
      </c>
      <c r="P812" s="72" t="s">
        <v>666</v>
      </c>
      <c r="Q812" s="72" t="s">
        <v>229</v>
      </c>
      <c r="R812" s="162"/>
      <c r="S812" s="146"/>
      <c r="T812" s="68" t="s">
        <v>165</v>
      </c>
      <c r="U812" s="87"/>
      <c r="V812" s="183">
        <v>45327</v>
      </c>
      <c r="W812" s="73">
        <v>1020</v>
      </c>
      <c r="X812" s="73">
        <v>43</v>
      </c>
      <c r="Y812" s="83">
        <f>IF(SUM(W812:W812)&gt;0,X812/SUM(W812:W812)*1000000,"N/A")</f>
        <v>42156.862745098042</v>
      </c>
      <c r="Z812" s="183"/>
      <c r="AA812" s="183"/>
      <c r="AB812" s="73"/>
      <c r="AC812" s="153"/>
      <c r="AD812" s="331"/>
      <c r="AE812" s="57"/>
      <c r="AF812" s="88"/>
      <c r="AG812" s="182">
        <f>YEAR(V812)</f>
        <v>2024</v>
      </c>
      <c r="AH812" s="86" t="str">
        <f>+IF(AF812=$AI$22,MONTH(U812),"")</f>
        <v/>
      </c>
      <c r="AI812" s="86" t="str">
        <f>+IF(AG812=$AI$22,MONTH(V812),"")</f>
        <v/>
      </c>
      <c r="AJ812" s="86">
        <f>+IF(AG812=$AJ$22,MONTH(V812),"")</f>
        <v>2</v>
      </c>
      <c r="AK812" s="86" t="str">
        <f>+IF(AG812=$AK$22,MONTH(V812),"")</f>
        <v/>
      </c>
      <c r="AL812" s="86"/>
      <c r="AM812" s="89"/>
      <c r="AN812" s="89"/>
      <c r="AO812" s="89"/>
      <c r="AP812" s="89"/>
      <c r="AQ812" s="89"/>
      <c r="AR812" s="89"/>
      <c r="AS812" s="89"/>
      <c r="AT812" s="89"/>
      <c r="AU812" s="89"/>
      <c r="AV812" s="89"/>
      <c r="AW812" s="86" t="str">
        <f>+IF($AG812=AW$22,MONTH($D812),"")</f>
        <v/>
      </c>
      <c r="AX812" s="86" t="str">
        <f>+IF($AG812=AX$22,MONTH($D812),"")</f>
        <v/>
      </c>
      <c r="AY812" s="89"/>
      <c r="AZ812" s="89"/>
      <c r="BA812" s="89"/>
      <c r="BB812" s="89"/>
      <c r="BC812" s="89"/>
      <c r="BD812" s="89"/>
      <c r="BE812" s="89"/>
      <c r="BF812" s="89"/>
      <c r="BG812" s="89"/>
      <c r="BH812" s="89"/>
      <c r="BI812" s="89"/>
      <c r="BJ812" s="89"/>
      <c r="BK812" s="89"/>
      <c r="BL812" s="89"/>
      <c r="BM812" s="89"/>
      <c r="BN812" s="89"/>
      <c r="BO812" s="89"/>
      <c r="BP812" s="89"/>
    </row>
    <row r="813" spans="1:68" s="56" customFormat="1" ht="27" hidden="1">
      <c r="A813" s="204" t="str">
        <f>+IFERROR(VALUE(MID(AB813,4,4)),"")</f>
        <v/>
      </c>
      <c r="B813" s="204">
        <f>VALUE(RIGHT(C813,LEN(C813)-2))</f>
        <v>1910</v>
      </c>
      <c r="C813" s="74" t="s">
        <v>3107</v>
      </c>
      <c r="D813" s="75">
        <v>45252</v>
      </c>
      <c r="E813" s="70" t="s">
        <v>277</v>
      </c>
      <c r="F813" s="70" t="s">
        <v>277</v>
      </c>
      <c r="G813" s="68" t="s">
        <v>1781</v>
      </c>
      <c r="H813" s="59" t="s">
        <v>2413</v>
      </c>
      <c r="I813" s="162" t="s">
        <v>3108</v>
      </c>
      <c r="J813" s="162"/>
      <c r="K813" s="68" t="s">
        <v>13</v>
      </c>
      <c r="L813" s="69" t="s">
        <v>129</v>
      </c>
      <c r="M813" s="71" t="s">
        <v>141</v>
      </c>
      <c r="N813" s="69" t="e" vm="1">
        <v>#VALUE!</v>
      </c>
      <c r="O813" s="164">
        <v>45254</v>
      </c>
      <c r="P813" s="72" t="s">
        <v>2852</v>
      </c>
      <c r="Q813" s="72" t="s">
        <v>1097</v>
      </c>
      <c r="R813" s="162"/>
      <c r="S813" s="146"/>
      <c r="T813" s="68" t="s">
        <v>165</v>
      </c>
      <c r="U813" s="87"/>
      <c r="V813" s="183">
        <v>45483</v>
      </c>
      <c r="W813" s="73">
        <v>984</v>
      </c>
      <c r="X813" s="73">
        <f>44220676/1000000</f>
        <v>44.220675999999997</v>
      </c>
      <c r="Y813" s="83">
        <f>IF(SUM(W813:W813)&gt;0,X813/SUM(W813:W813)*1000000,"N/A")</f>
        <v>44939.711382113819</v>
      </c>
      <c r="Z813" s="183"/>
      <c r="AA813" s="183"/>
      <c r="AB813" s="73"/>
      <c r="AC813" s="153"/>
      <c r="AD813" s="331"/>
      <c r="AE813" s="57"/>
      <c r="AF813" s="88"/>
      <c r="AG813" s="182">
        <f>YEAR(V813)</f>
        <v>2024</v>
      </c>
      <c r="AH813" s="86" t="str">
        <f>+IF(AF813=$AI$22,MONTH(U813),"")</f>
        <v/>
      </c>
      <c r="AI813" s="86" t="str">
        <f>+IF(AG813=$AI$22,MONTH(V813),"")</f>
        <v/>
      </c>
      <c r="AJ813" s="86">
        <f>+IF(AG813=$AJ$22,MONTH(V813),"")</f>
        <v>7</v>
      </c>
      <c r="AK813" s="86" t="str">
        <f>+IF(AG813=$AK$22,MONTH(V813),"")</f>
        <v/>
      </c>
      <c r="AL813" s="86" t="str">
        <f>+IF(AG813=$AL$22,MONTH(V813),"")</f>
        <v/>
      </c>
      <c r="AM813" s="86" t="str">
        <f>+IF($AG813=$AM$22,MONTH($D813),"")</f>
        <v/>
      </c>
      <c r="AN813" s="89" t="str">
        <f>+IF($AG813=AN$22,MONTH($D813),"")</f>
        <v/>
      </c>
      <c r="AO813" s="89" t="str">
        <f>+IF($AG813=AO$22,MONTH($D813),"")</f>
        <v/>
      </c>
      <c r="AP813" s="89" t="str">
        <f>+IF($AG813=AP$22,MONTH($D813),"")</f>
        <v/>
      </c>
      <c r="AQ813" s="89" t="str">
        <f>+IF($AG813=AQ$22,MONTH($D813),"")</f>
        <v/>
      </c>
      <c r="AR813" s="89" t="str">
        <f>+IF($AG813=AR$22,MONTH($D813),"")</f>
        <v/>
      </c>
      <c r="AS813" s="89" t="str">
        <f>+IF($AG813=AS$22,MONTH($D813),"")</f>
        <v/>
      </c>
      <c r="AT813" s="89" t="str">
        <f>+IF($AG813=AT$22,MONTH($D813),"")</f>
        <v/>
      </c>
      <c r="AU813" s="89" t="str">
        <f>+IF($AG813=AU$22,MONTH($D813),"")</f>
        <v/>
      </c>
      <c r="AV813" s="89" t="str">
        <f>+IF($AG813=AV$22,MONTH($D813),"")</f>
        <v/>
      </c>
      <c r="AW813" s="86" t="str">
        <f>+IF($AG813=AW$22,MONTH($D813),"")</f>
        <v/>
      </c>
      <c r="AX813" s="86" t="str">
        <f>+IF($AG813=AX$22,MONTH($D813),"")</f>
        <v/>
      </c>
      <c r="AY813" s="89"/>
      <c r="AZ813" s="89"/>
      <c r="BA813" s="89"/>
      <c r="BB813" s="89"/>
      <c r="BC813" s="89"/>
      <c r="BD813" s="89"/>
      <c r="BE813" s="89"/>
      <c r="BF813" s="89"/>
      <c r="BG813" s="89"/>
      <c r="BH813" s="89"/>
      <c r="BI813" s="89"/>
      <c r="BJ813" s="89"/>
      <c r="BK813" s="89"/>
      <c r="BL813" s="89"/>
      <c r="BM813" s="89"/>
      <c r="BN813" s="89"/>
      <c r="BO813" s="89"/>
      <c r="BP813" s="89"/>
    </row>
    <row r="814" spans="1:68" s="56" customFormat="1" ht="27" hidden="1">
      <c r="A814" s="204" t="str">
        <f>+IFERROR(VALUE(MID(AB814,4,4)),"")</f>
        <v/>
      </c>
      <c r="B814" s="204">
        <f>VALUE(RIGHT(C814,LEN(C814)-2))</f>
        <v>1909</v>
      </c>
      <c r="C814" s="74" t="s">
        <v>3109</v>
      </c>
      <c r="D814" s="75">
        <v>45252</v>
      </c>
      <c r="E814" s="70" t="s">
        <v>277</v>
      </c>
      <c r="F814" s="70" t="s">
        <v>277</v>
      </c>
      <c r="G814" s="68" t="s">
        <v>1781</v>
      </c>
      <c r="H814" s="59" t="s">
        <v>2413</v>
      </c>
      <c r="I814" s="162" t="s">
        <v>3110</v>
      </c>
      <c r="J814" s="162"/>
      <c r="K814" s="68" t="s">
        <v>13</v>
      </c>
      <c r="L814" s="69" t="s">
        <v>129</v>
      </c>
      <c r="M814" s="71" t="s">
        <v>141</v>
      </c>
      <c r="N814" s="69" t="e" vm="1">
        <v>#VALUE!</v>
      </c>
      <c r="O814" s="164">
        <v>45254</v>
      </c>
      <c r="P814" s="72" t="s">
        <v>2852</v>
      </c>
      <c r="Q814" s="72" t="s">
        <v>1097</v>
      </c>
      <c r="R814" s="162"/>
      <c r="S814" s="146"/>
      <c r="T814" s="68" t="s">
        <v>165</v>
      </c>
      <c r="U814" s="87"/>
      <c r="V814" s="183">
        <v>45483</v>
      </c>
      <c r="W814" s="73">
        <v>297</v>
      </c>
      <c r="X814" s="73">
        <f>11693205/1000000</f>
        <v>11.693205000000001</v>
      </c>
      <c r="Y814" s="83">
        <f>IF(SUM(W814:W814)&gt;0,X814/SUM(W814:W814)*1000000,"N/A")</f>
        <v>39371.060606060608</v>
      </c>
      <c r="Z814" s="183"/>
      <c r="AA814" s="183"/>
      <c r="AB814" s="73"/>
      <c r="AC814" s="153"/>
      <c r="AD814" s="331"/>
      <c r="AE814" s="57"/>
      <c r="AF814" s="88"/>
      <c r="AG814" s="182">
        <f>YEAR(V814)</f>
        <v>2024</v>
      </c>
      <c r="AH814" s="86" t="str">
        <f>+IF(AF814=$AI$22,MONTH(U814),"")</f>
        <v/>
      </c>
      <c r="AI814" s="86" t="str">
        <f>+IF(AG814=$AI$22,MONTH(V814),"")</f>
        <v/>
      </c>
      <c r="AJ814" s="86">
        <f>+IF(AG814=$AJ$22,MONTH(V814),"")</f>
        <v>7</v>
      </c>
      <c r="AK814" s="86" t="str">
        <f>+IF(AG814=$AK$22,MONTH(V814),"")</f>
        <v/>
      </c>
      <c r="AL814" s="86" t="str">
        <f>+IF(AG814=$AL$22,MONTH(V814),"")</f>
        <v/>
      </c>
      <c r="AM814" s="86" t="str">
        <f>+IF($AG814=$AM$22,MONTH($D814),"")</f>
        <v/>
      </c>
      <c r="AN814" s="89" t="str">
        <f>+IF($AG814=AN$22,MONTH($D814),"")</f>
        <v/>
      </c>
      <c r="AO814" s="89" t="str">
        <f>+IF($AG814=AO$22,MONTH($D814),"")</f>
        <v/>
      </c>
      <c r="AP814" s="89" t="str">
        <f>+IF($AG814=AP$22,MONTH($D814),"")</f>
        <v/>
      </c>
      <c r="AQ814" s="89" t="str">
        <f>+IF($AG814=AQ$22,MONTH($D814),"")</f>
        <v/>
      </c>
      <c r="AR814" s="89" t="str">
        <f>+IF($AG814=AR$22,MONTH($D814),"")</f>
        <v/>
      </c>
      <c r="AS814" s="89" t="str">
        <f>+IF($AG814=AS$22,MONTH($D814),"")</f>
        <v/>
      </c>
      <c r="AT814" s="89" t="str">
        <f>+IF($AG814=AT$22,MONTH($D814),"")</f>
        <v/>
      </c>
      <c r="AU814" s="89" t="str">
        <f>+IF($AG814=AU$22,MONTH($D814),"")</f>
        <v/>
      </c>
      <c r="AV814" s="89" t="str">
        <f>+IF($AG814=AV$22,MONTH($D814),"")</f>
        <v/>
      </c>
      <c r="AW814" s="86" t="str">
        <f>+IF($AG814=AW$22,MONTH($D814),"")</f>
        <v/>
      </c>
      <c r="AX814" s="86" t="str">
        <f>+IF($AG814=AX$22,MONTH($D814),"")</f>
        <v/>
      </c>
      <c r="AY814" s="89"/>
      <c r="AZ814" s="89"/>
      <c r="BA814" s="89"/>
      <c r="BB814" s="89"/>
      <c r="BC814" s="89"/>
      <c r="BD814" s="89"/>
      <c r="BE814" s="89"/>
      <c r="BF814" s="89"/>
      <c r="BG814" s="89"/>
      <c r="BH814" s="89"/>
      <c r="BI814" s="89"/>
      <c r="BJ814" s="89"/>
      <c r="BK814" s="89"/>
      <c r="BL814" s="89"/>
      <c r="BM814" s="89"/>
      <c r="BN814" s="89"/>
      <c r="BO814" s="89"/>
      <c r="BP814" s="89"/>
    </row>
    <row r="815" spans="1:68" s="56" customFormat="1" ht="13.5" hidden="1">
      <c r="A815" s="204" t="str">
        <f>+IFERROR(VALUE(MID(AB815,4,4)),"")</f>
        <v/>
      </c>
      <c r="B815" s="204">
        <f>VALUE(RIGHT(C815,LEN(C815)-2))</f>
        <v>1908</v>
      </c>
      <c r="C815" s="74" t="s">
        <v>3111</v>
      </c>
      <c r="D815" s="75">
        <v>45251</v>
      </c>
      <c r="E815" s="70" t="s">
        <v>53</v>
      </c>
      <c r="F815" s="70" t="s">
        <v>53</v>
      </c>
      <c r="G815" s="68" t="s">
        <v>210</v>
      </c>
      <c r="H815" s="59"/>
      <c r="I815" s="162" t="s">
        <v>3112</v>
      </c>
      <c r="J815" s="162"/>
      <c r="K815" s="68" t="s">
        <v>491</v>
      </c>
      <c r="L815" s="69" t="s">
        <v>123</v>
      </c>
      <c r="M815" s="71" t="s">
        <v>141</v>
      </c>
      <c r="N815" s="69" t="e" vm="1">
        <v>#VALUE!</v>
      </c>
      <c r="O815" s="164">
        <v>45281</v>
      </c>
      <c r="P815" s="72"/>
      <c r="Q815" s="72" t="s">
        <v>259</v>
      </c>
      <c r="R815" s="162"/>
      <c r="S815" s="146" t="s">
        <v>587</v>
      </c>
      <c r="T815" s="68" t="s">
        <v>155</v>
      </c>
      <c r="U815" s="87">
        <v>0</v>
      </c>
      <c r="V815" s="183">
        <v>45251</v>
      </c>
      <c r="W815" s="73"/>
      <c r="X815" s="73"/>
      <c r="Y815" s="83" t="str">
        <f>IF(SUM(W815:W815)&gt;0,X815/SUM(W815:W815)*1000000,"N/A")</f>
        <v>N/A</v>
      </c>
      <c r="Z815" s="183"/>
      <c r="AA815" s="183"/>
      <c r="AB815" s="73"/>
      <c r="AC815" s="153"/>
      <c r="AD815" s="331"/>
      <c r="AE815" s="57"/>
      <c r="AF815" s="88"/>
      <c r="AG815" s="182">
        <f>YEAR(V815)</f>
        <v>2023</v>
      </c>
      <c r="AH815" s="86" t="str">
        <f>+IF(AF815=$AI$22,MONTH(U815),"")</f>
        <v/>
      </c>
      <c r="AI815" s="86" t="str">
        <f>+IF(AG815=$AI$22,MONTH(V815),"")</f>
        <v/>
      </c>
      <c r="AJ815" s="86" t="str">
        <f>+IF(AG815=$AJ$22,MONTH(V815),"")</f>
        <v/>
      </c>
      <c r="AK815" s="86">
        <f>+IF(AG815=$AK$22,MONTH(V815),"")</f>
        <v>11</v>
      </c>
      <c r="AL815" s="86"/>
      <c r="AM815" s="89"/>
      <c r="AN815" s="89"/>
      <c r="AO815" s="89"/>
      <c r="AP815" s="89"/>
      <c r="AQ815" s="89"/>
      <c r="AR815" s="89"/>
      <c r="AS815" s="89"/>
      <c r="AT815" s="89"/>
      <c r="AU815" s="89"/>
      <c r="AV815" s="89"/>
      <c r="AW815" s="86" t="str">
        <f>+IF($AG815=AW$22,MONTH($D815),"")</f>
        <v/>
      </c>
      <c r="AX815" s="86" t="str">
        <f>+IF($AG815=AX$22,MONTH($D815),"")</f>
        <v/>
      </c>
      <c r="AY815" s="89"/>
      <c r="AZ815" s="89"/>
      <c r="BA815" s="89"/>
      <c r="BB815" s="89"/>
      <c r="BC815" s="89"/>
      <c r="BD815" s="89"/>
      <c r="BE815" s="89"/>
      <c r="BF815" s="89"/>
      <c r="BG815" s="89"/>
      <c r="BH815" s="89"/>
      <c r="BI815" s="89"/>
      <c r="BJ815" s="89"/>
      <c r="BK815" s="89"/>
      <c r="BL815" s="89"/>
      <c r="BM815" s="89"/>
      <c r="BN815" s="89"/>
      <c r="BO815" s="89"/>
      <c r="BP815" s="89"/>
    </row>
    <row r="816" spans="1:68" s="56" customFormat="1" ht="27" hidden="1">
      <c r="A816" s="204">
        <f>+IFERROR(VALUE(MID(AB816,4,4)),"")</f>
        <v>335</v>
      </c>
      <c r="B816" s="204">
        <f>VALUE(RIGHT(C816,LEN(C816)-2))</f>
        <v>1907</v>
      </c>
      <c r="C816" s="74" t="s">
        <v>3113</v>
      </c>
      <c r="D816" s="75">
        <v>45246</v>
      </c>
      <c r="E816" s="70" t="s">
        <v>1321</v>
      </c>
      <c r="F816" s="70" t="s">
        <v>2065</v>
      </c>
      <c r="G816" s="68" t="s">
        <v>1322</v>
      </c>
      <c r="H816" s="59" t="s">
        <v>1323</v>
      </c>
      <c r="I816" s="162" t="s">
        <v>3114</v>
      </c>
      <c r="J816" s="162"/>
      <c r="K816" s="68" t="s">
        <v>18</v>
      </c>
      <c r="L816" s="69" t="s">
        <v>120</v>
      </c>
      <c r="M816" s="71" t="s">
        <v>141</v>
      </c>
      <c r="N816" s="69" t="e" vm="1">
        <v>#VALUE!</v>
      </c>
      <c r="O816" s="164">
        <v>45257</v>
      </c>
      <c r="P816" s="72" t="s">
        <v>402</v>
      </c>
      <c r="Q816" s="72" t="s">
        <v>623</v>
      </c>
      <c r="R816" s="162"/>
      <c r="S816" s="146"/>
      <c r="T816" s="68" t="s">
        <v>3</v>
      </c>
      <c r="U816" s="87"/>
      <c r="V816" s="183">
        <v>45246</v>
      </c>
      <c r="W816" s="73">
        <v>811</v>
      </c>
      <c r="X816" s="73">
        <v>33</v>
      </c>
      <c r="Y816" s="83">
        <f>IF(SUM(W816:W816)&gt;0,X816/SUM(W816:W816)*1000000,"N/A")</f>
        <v>40690.505548705303</v>
      </c>
      <c r="Z816" s="183"/>
      <c r="AA816" s="183"/>
      <c r="AB816" s="73" t="s">
        <v>3115</v>
      </c>
      <c r="AC816" s="153"/>
      <c r="AD816" s="331"/>
      <c r="AE816" s="57"/>
      <c r="AF816" s="88"/>
      <c r="AG816" s="182">
        <f>YEAR(V816)</f>
        <v>2023</v>
      </c>
      <c r="AH816" s="86" t="str">
        <f>+IF(AF816=$AI$22,MONTH(U816),"")</f>
        <v/>
      </c>
      <c r="AI816" s="86" t="str">
        <f>+IF(AG816=$AI$22,MONTH(V816),"")</f>
        <v/>
      </c>
      <c r="AJ816" s="86" t="str">
        <f>+IF(AG816=$AJ$22,MONTH(V816),"")</f>
        <v/>
      </c>
      <c r="AK816" s="86">
        <f>+IF(AG816=$AK$22,MONTH(V816),"")</f>
        <v>11</v>
      </c>
      <c r="AL816" s="86" t="str">
        <f>+IF(AG816=$AL$22,MONTH(V816),"")</f>
        <v/>
      </c>
      <c r="AM816" s="86" t="str">
        <f>+IF($AG816=$AM$22,MONTH($D816),"")</f>
        <v/>
      </c>
      <c r="AN816" s="89"/>
      <c r="AO816" s="89"/>
      <c r="AP816" s="89"/>
      <c r="AQ816" s="89"/>
      <c r="AR816" s="89"/>
      <c r="AS816" s="89"/>
      <c r="AT816" s="89"/>
      <c r="AU816" s="89"/>
      <c r="AV816" s="89"/>
      <c r="AW816" s="86" t="str">
        <f>+IF($AG816=AW$22,MONTH($D816),"")</f>
        <v/>
      </c>
      <c r="AX816" s="86" t="str">
        <f>+IF($AG816=AX$22,MONTH($D816),"")</f>
        <v/>
      </c>
      <c r="AY816" s="89"/>
      <c r="AZ816" s="89"/>
      <c r="BA816" s="89"/>
      <c r="BB816" s="89"/>
      <c r="BC816" s="89"/>
      <c r="BD816" s="89"/>
      <c r="BE816" s="89"/>
      <c r="BF816" s="89"/>
      <c r="BG816" s="89"/>
      <c r="BH816" s="89"/>
      <c r="BI816" s="89"/>
      <c r="BJ816" s="89"/>
      <c r="BK816" s="89"/>
      <c r="BL816" s="89"/>
      <c r="BM816" s="89"/>
      <c r="BN816" s="89"/>
      <c r="BO816" s="89"/>
      <c r="BP816" s="89"/>
    </row>
    <row r="817" spans="1:68" s="56" customFormat="1" ht="81" hidden="1">
      <c r="A817" s="204" t="str">
        <f>+IFERROR(VALUE(MID(AB817,4,4)),"")</f>
        <v/>
      </c>
      <c r="B817" s="204">
        <f>VALUE(RIGHT(C817,LEN(C817)-2))</f>
        <v>1906</v>
      </c>
      <c r="C817" s="74" t="s">
        <v>3116</v>
      </c>
      <c r="D817" s="75">
        <v>44939</v>
      </c>
      <c r="E817" s="70" t="s">
        <v>74</v>
      </c>
      <c r="F817" s="70" t="s">
        <v>3117</v>
      </c>
      <c r="G817" s="68" t="s">
        <v>3118</v>
      </c>
      <c r="H817" s="59" t="s">
        <v>3119</v>
      </c>
      <c r="I817" s="162" t="s">
        <v>3120</v>
      </c>
      <c r="J817" s="162"/>
      <c r="K817" s="68" t="s">
        <v>13</v>
      </c>
      <c r="L817" s="69" t="s">
        <v>120</v>
      </c>
      <c r="M817" s="71" t="s">
        <v>141</v>
      </c>
      <c r="N817" s="69" t="e" vm="1">
        <v>#VALUE!</v>
      </c>
      <c r="O817" s="164">
        <v>45245</v>
      </c>
      <c r="P817" s="72" t="s">
        <v>1154</v>
      </c>
      <c r="Q817" s="72" t="s">
        <v>1097</v>
      </c>
      <c r="R817" s="162"/>
      <c r="S817" s="146" t="s">
        <v>3121</v>
      </c>
      <c r="T817" s="68" t="s">
        <v>165</v>
      </c>
      <c r="U817" s="87"/>
      <c r="V817" s="183">
        <v>45321</v>
      </c>
      <c r="W817" s="73">
        <v>8536</v>
      </c>
      <c r="X817" s="73">
        <v>425</v>
      </c>
      <c r="Y817" s="83">
        <f>IF(SUM(W817:W817)&gt;0,X817/SUM(W817:W817)*1000000,"N/A")</f>
        <v>49789.128397375818</v>
      </c>
      <c r="Z817" s="183"/>
      <c r="AA817" s="183"/>
      <c r="AB817" s="73"/>
      <c r="AC817" s="153"/>
      <c r="AD817" s="331"/>
      <c r="AE817" s="57"/>
      <c r="AF817" s="88"/>
      <c r="AG817" s="182">
        <f>YEAR(V817)</f>
        <v>2024</v>
      </c>
      <c r="AH817" s="86" t="str">
        <f>+IF(AF817=$AI$22,MONTH(U817),"")</f>
        <v/>
      </c>
      <c r="AI817" s="86" t="str">
        <f>+IF(AG817=$AI$22,MONTH(V817),"")</f>
        <v/>
      </c>
      <c r="AJ817" s="86">
        <f>+IF(AG817=$AJ$22,MONTH(V817),"")</f>
        <v>1</v>
      </c>
      <c r="AK817" s="86" t="str">
        <f>+IF(AG817=$AK$22,MONTH(V817),"")</f>
        <v/>
      </c>
      <c r="AL817" s="86" t="str">
        <f>+IF(AG817=$AL$22,MONTH(V817),"")</f>
        <v/>
      </c>
      <c r="AM817" s="86" t="str">
        <f>+IF($AG817=$AM$22,MONTH($D817),"")</f>
        <v/>
      </c>
      <c r="AN817" s="89" t="str">
        <f>+IF($AG817=AN$22,MONTH($D817),"")</f>
        <v/>
      </c>
      <c r="AO817" s="89" t="str">
        <f>+IF($AG817=AO$22,MONTH($D817),"")</f>
        <v/>
      </c>
      <c r="AP817" s="89" t="str">
        <f>+IF($AG817=AP$22,MONTH($D817),"")</f>
        <v/>
      </c>
      <c r="AQ817" s="89" t="str">
        <f>+IF($AG817=AQ$22,MONTH($D817),"")</f>
        <v/>
      </c>
      <c r="AR817" s="89" t="str">
        <f>+IF($AG817=AR$22,MONTH($D817),"")</f>
        <v/>
      </c>
      <c r="AS817" s="89" t="str">
        <f>+IF($AG817=AS$22,MONTH($D817),"")</f>
        <v/>
      </c>
      <c r="AT817" s="89" t="str">
        <f>+IF($AG817=AT$22,MONTH($D817),"")</f>
        <v/>
      </c>
      <c r="AU817" s="89" t="str">
        <f>+IF($AG817=AU$22,MONTH($D817),"")</f>
        <v/>
      </c>
      <c r="AV817" s="89" t="str">
        <f>+IF($AG817=AV$22,MONTH($D817),"")</f>
        <v/>
      </c>
      <c r="AW817" s="86" t="str">
        <f>+IF($AG817=AW$22,MONTH($D817),"")</f>
        <v/>
      </c>
      <c r="AX817" s="86" t="str">
        <f>+IF($AG817=AX$22,MONTH($D817),"")</f>
        <v/>
      </c>
      <c r="AY817" s="89"/>
      <c r="AZ817" s="89"/>
      <c r="BA817" s="89"/>
      <c r="BB817" s="89"/>
      <c r="BC817" s="89"/>
      <c r="BD817" s="89"/>
      <c r="BE817" s="89"/>
      <c r="BF817" s="89"/>
      <c r="BG817" s="89"/>
      <c r="BH817" s="89"/>
      <c r="BI817" s="89"/>
      <c r="BJ817" s="89"/>
      <c r="BK817" s="89"/>
      <c r="BL817" s="89"/>
      <c r="BM817" s="89"/>
      <c r="BN817" s="89"/>
      <c r="BO817" s="89"/>
      <c r="BP817" s="89"/>
    </row>
    <row r="818" spans="1:68" s="56" customFormat="1" ht="27" hidden="1">
      <c r="A818" s="204" t="str">
        <f>+IFERROR(VALUE(MID(AB818,4,4)),"")</f>
        <v/>
      </c>
      <c r="B818" s="204">
        <f>VALUE(RIGHT(C818,LEN(C818)-2))</f>
        <v>1905</v>
      </c>
      <c r="C818" s="74" t="s">
        <v>3122</v>
      </c>
      <c r="D818" s="75">
        <v>45243</v>
      </c>
      <c r="E818" s="70" t="s">
        <v>106</v>
      </c>
      <c r="F818" s="70" t="s">
        <v>106</v>
      </c>
      <c r="G818" s="68" t="s">
        <v>3123</v>
      </c>
      <c r="H818" s="59" t="s">
        <v>3124</v>
      </c>
      <c r="I818" s="162" t="s">
        <v>3125</v>
      </c>
      <c r="J818" s="162"/>
      <c r="K818" s="68" t="s">
        <v>9</v>
      </c>
      <c r="L818" s="69" t="s">
        <v>123</v>
      </c>
      <c r="M818" s="71" t="s">
        <v>141</v>
      </c>
      <c r="N818" s="69" t="e" vm="1">
        <v>#VALUE!</v>
      </c>
      <c r="O818" s="164">
        <v>45267</v>
      </c>
      <c r="P818" s="72" t="s">
        <v>749</v>
      </c>
      <c r="Q818" s="72" t="s">
        <v>229</v>
      </c>
      <c r="R818" s="162"/>
      <c r="S818" s="146"/>
      <c r="T818" s="68" t="s">
        <v>165</v>
      </c>
      <c r="U818" s="87"/>
      <c r="V818" s="183">
        <v>45327</v>
      </c>
      <c r="W818" s="73">
        <v>347</v>
      </c>
      <c r="X818" s="73">
        <f>+(502*36500)/1000000</f>
        <v>18.323</v>
      </c>
      <c r="Y818" s="83">
        <f>IF(SUM(W818:W818)&gt;0,X818/SUM(W818:W818)*1000000,"N/A")</f>
        <v>52804.034582132561</v>
      </c>
      <c r="Z818" s="183"/>
      <c r="AA818" s="183"/>
      <c r="AB818" s="73"/>
      <c r="AC818" s="153"/>
      <c r="AD818" s="331"/>
      <c r="AE818" s="57"/>
      <c r="AF818" s="88"/>
      <c r="AG818" s="182">
        <f>YEAR(V818)</f>
        <v>2024</v>
      </c>
      <c r="AH818" s="86" t="str">
        <f>+IF(AF818=$AI$22,MONTH(U818),"")</f>
        <v/>
      </c>
      <c r="AI818" s="86" t="str">
        <f>+IF(AG818=$AI$22,MONTH(V818),"")</f>
        <v/>
      </c>
      <c r="AJ818" s="86">
        <f>+IF(AG818=$AJ$22,MONTH(V818),"")</f>
        <v>2</v>
      </c>
      <c r="AK818" s="86" t="str">
        <f>+IF(AG818=$AK$22,MONTH(V818),"")</f>
        <v/>
      </c>
      <c r="AL818" s="86" t="str">
        <f>+IF(AG818=$AL$22,MONTH(V818),"")</f>
        <v/>
      </c>
      <c r="AM818" s="86" t="str">
        <f>+IF($AG818=$AM$22,MONTH($D818),"")</f>
        <v/>
      </c>
      <c r="AN818" s="89" t="str">
        <f>+IF($AG818=AN$22,MONTH($D818),"")</f>
        <v/>
      </c>
      <c r="AO818" s="89" t="str">
        <f>+IF($AG818=AO$22,MONTH($D818),"")</f>
        <v/>
      </c>
      <c r="AP818" s="89" t="str">
        <f>+IF($AG818=AP$22,MONTH($D818),"")</f>
        <v/>
      </c>
      <c r="AQ818" s="89" t="str">
        <f>+IF($AG818=AQ$22,MONTH($D818),"")</f>
        <v/>
      </c>
      <c r="AR818" s="89" t="str">
        <f>+IF($AG818=AR$22,MONTH($D818),"")</f>
        <v/>
      </c>
      <c r="AS818" s="89" t="str">
        <f>+IF($AG818=AS$22,MONTH($D818),"")</f>
        <v/>
      </c>
      <c r="AT818" s="89" t="str">
        <f>+IF($AG818=AT$22,MONTH($D818),"")</f>
        <v/>
      </c>
      <c r="AU818" s="89" t="str">
        <f>+IF($AG818=AU$22,MONTH($D818),"")</f>
        <v/>
      </c>
      <c r="AV818" s="89" t="str">
        <f>+IF($AG818=AV$22,MONTH($D818),"")</f>
        <v/>
      </c>
      <c r="AW818" s="86" t="str">
        <f>+IF($AG818=AW$22,MONTH($D818),"")</f>
        <v/>
      </c>
      <c r="AX818" s="86" t="str">
        <f>+IF($AG818=AX$22,MONTH($D818),"")</f>
        <v/>
      </c>
      <c r="AY818" s="89"/>
      <c r="AZ818" s="89"/>
      <c r="BA818" s="89"/>
      <c r="BB818" s="89"/>
      <c r="BC818" s="89"/>
      <c r="BD818" s="89"/>
      <c r="BE818" s="89"/>
      <c r="BF818" s="89"/>
      <c r="BG818" s="89"/>
      <c r="BH818" s="89"/>
      <c r="BI818" s="89"/>
      <c r="BJ818" s="89"/>
      <c r="BK818" s="89"/>
      <c r="BL818" s="89"/>
      <c r="BM818" s="89"/>
      <c r="BN818" s="89"/>
      <c r="BO818" s="89"/>
      <c r="BP818" s="89"/>
    </row>
    <row r="819" spans="1:68" s="56" customFormat="1" ht="40.5" hidden="1">
      <c r="A819" s="204" t="str">
        <f>+IFERROR(VALUE(MID(AB819,4,4)),"")</f>
        <v/>
      </c>
      <c r="B819" s="204">
        <f>VALUE(RIGHT(C819,LEN(C819)-2))</f>
        <v>1904</v>
      </c>
      <c r="C819" s="74" t="s">
        <v>3126</v>
      </c>
      <c r="D819" s="75">
        <v>45242</v>
      </c>
      <c r="E819" s="70" t="s">
        <v>74</v>
      </c>
      <c r="F819" s="70" t="s">
        <v>395</v>
      </c>
      <c r="G819" s="68" t="s">
        <v>3127</v>
      </c>
      <c r="H819" s="59" t="s">
        <v>3128</v>
      </c>
      <c r="I819" s="162" t="s">
        <v>3129</v>
      </c>
      <c r="J819" s="162"/>
      <c r="K819" s="68" t="s">
        <v>13</v>
      </c>
      <c r="L819" s="69" t="s">
        <v>120</v>
      </c>
      <c r="M819" s="71" t="s">
        <v>141</v>
      </c>
      <c r="N819" s="69" t="e" vm="1">
        <v>#VALUE!</v>
      </c>
      <c r="O819" s="164">
        <v>45282</v>
      </c>
      <c r="P819" s="72" t="s">
        <v>1154</v>
      </c>
      <c r="Q819" s="72" t="s">
        <v>623</v>
      </c>
      <c r="R819" s="162"/>
      <c r="S819" s="146" t="s">
        <v>3130</v>
      </c>
      <c r="T819" s="68" t="s">
        <v>155</v>
      </c>
      <c r="U819" s="87"/>
      <c r="V819" s="183">
        <v>45242</v>
      </c>
      <c r="W819" s="73"/>
      <c r="X819" s="73"/>
      <c r="Y819" s="83" t="str">
        <f>IF(SUM(W819:W819)&gt;0,X819/SUM(W819:W819)*1000000,"N/A")</f>
        <v>N/A</v>
      </c>
      <c r="Z819" s="183"/>
      <c r="AA819" s="183"/>
      <c r="AB819" s="73"/>
      <c r="AC819" s="153"/>
      <c r="AD819" s="331"/>
      <c r="AE819" s="57"/>
      <c r="AF819" s="88"/>
      <c r="AG819" s="182">
        <f>YEAR(V819)</f>
        <v>2023</v>
      </c>
      <c r="AH819" s="86" t="str">
        <f>+IF(AF819=$AI$22,MONTH(U819),"")</f>
        <v/>
      </c>
      <c r="AI819" s="86" t="str">
        <f>+IF(AG819=$AI$22,MONTH(V819),"")</f>
        <v/>
      </c>
      <c r="AJ819" s="86" t="str">
        <f>+IF(AG819=$AJ$22,MONTH(V819),"")</f>
        <v/>
      </c>
      <c r="AK819" s="86">
        <f>+IF(AG819=$AK$22,MONTH(V819),"")</f>
        <v>11</v>
      </c>
      <c r="AL819" s="86" t="str">
        <f>+IF(AG819=$AL$22,MONTH(V819),"")</f>
        <v/>
      </c>
      <c r="AM819" s="86" t="str">
        <f>+IF($AG819=$AM$22,MONTH($D819),"")</f>
        <v/>
      </c>
      <c r="AN819" s="89" t="str">
        <f>+IF($AG819=AN$22,MONTH($D819),"")</f>
        <v/>
      </c>
      <c r="AO819" s="89" t="str">
        <f>+IF($AG819=AO$22,MONTH($D819),"")</f>
        <v/>
      </c>
      <c r="AP819" s="89" t="str">
        <f>+IF($AG819=AP$22,MONTH($D819),"")</f>
        <v/>
      </c>
      <c r="AQ819" s="89" t="str">
        <f>+IF($AG819=AQ$22,MONTH($D819),"")</f>
        <v/>
      </c>
      <c r="AR819" s="89" t="str">
        <f>+IF($AG819=AR$22,MONTH($D819),"")</f>
        <v/>
      </c>
      <c r="AS819" s="89" t="str">
        <f>+IF($AG819=AS$22,MONTH($D819),"")</f>
        <v/>
      </c>
      <c r="AT819" s="89" t="str">
        <f>+IF($AG819=AT$22,MONTH($D819),"")</f>
        <v/>
      </c>
      <c r="AU819" s="89" t="str">
        <f>+IF($AG819=AU$22,MONTH($D819),"")</f>
        <v/>
      </c>
      <c r="AV819" s="89" t="str">
        <f>+IF($AG819=AV$22,MONTH($D819),"")</f>
        <v/>
      </c>
      <c r="AW819" s="86" t="str">
        <f>+IF($AG819=AW$22,MONTH($D819),"")</f>
        <v/>
      </c>
      <c r="AX819" s="86" t="str">
        <f>+IF($AG819=AX$22,MONTH($D819),"")</f>
        <v/>
      </c>
      <c r="AY819" s="89"/>
      <c r="AZ819" s="89"/>
      <c r="BA819" s="89"/>
      <c r="BB819" s="89"/>
      <c r="BC819" s="89"/>
      <c r="BD819" s="89"/>
      <c r="BE819" s="89"/>
      <c r="BF819" s="89"/>
      <c r="BG819" s="89"/>
      <c r="BH819" s="89"/>
      <c r="BI819" s="89"/>
      <c r="BJ819" s="89"/>
      <c r="BK819" s="89"/>
      <c r="BL819" s="89"/>
      <c r="BM819" s="89"/>
      <c r="BN819" s="89"/>
      <c r="BO819" s="89"/>
      <c r="BP819" s="89"/>
    </row>
    <row r="820" spans="1:68" s="56" customFormat="1" ht="27" hidden="1">
      <c r="A820" s="204" t="str">
        <f>+IFERROR(VALUE(MID(AB820,4,4)),"")</f>
        <v/>
      </c>
      <c r="B820" s="204">
        <f>VALUE(RIGHT(C820,LEN(C820)-2))</f>
        <v>1903</v>
      </c>
      <c r="C820" s="74" t="s">
        <v>3131</v>
      </c>
      <c r="D820" s="75">
        <v>45240</v>
      </c>
      <c r="E820" s="70" t="s">
        <v>479</v>
      </c>
      <c r="F820" s="70" t="s">
        <v>479</v>
      </c>
      <c r="G820" s="68" t="s">
        <v>2250</v>
      </c>
      <c r="H820" s="59" t="s">
        <v>3132</v>
      </c>
      <c r="I820" s="162" t="s">
        <v>3133</v>
      </c>
      <c r="J820" s="162"/>
      <c r="K820" s="68" t="s">
        <v>9</v>
      </c>
      <c r="L820" s="69" t="s">
        <v>120</v>
      </c>
      <c r="M820" s="71" t="s">
        <v>113</v>
      </c>
      <c r="N820" s="69" t="e" vm="2">
        <v>#VALUE!</v>
      </c>
      <c r="O820" s="164">
        <v>45251</v>
      </c>
      <c r="P820" s="72" t="s">
        <v>483</v>
      </c>
      <c r="Q820" s="72" t="s">
        <v>837</v>
      </c>
      <c r="R820" s="162"/>
      <c r="S820" s="146"/>
      <c r="T820" s="68" t="s">
        <v>165</v>
      </c>
      <c r="U820" s="87"/>
      <c r="V820" s="183">
        <v>45345</v>
      </c>
      <c r="W820" s="73">
        <v>2633</v>
      </c>
      <c r="X820" s="73">
        <v>108</v>
      </c>
      <c r="Y820" s="83">
        <f>IF(SUM(W820:W820)&gt;0,X820/SUM(W820:W820)*1000000,"N/A")</f>
        <v>41017.850360805161</v>
      </c>
      <c r="Z820" s="183"/>
      <c r="AA820" s="183"/>
      <c r="AB820" s="73"/>
      <c r="AC820" s="153"/>
      <c r="AD820" s="331"/>
      <c r="AE820" s="57"/>
      <c r="AF820" s="88"/>
      <c r="AG820" s="182">
        <f>YEAR(V820)</f>
        <v>2024</v>
      </c>
      <c r="AH820" s="86" t="str">
        <f>+IF(AF820=$AI$22,MONTH(U820),"")</f>
        <v/>
      </c>
      <c r="AI820" s="86" t="str">
        <f>+IF(AG820=$AI$22,MONTH(V820),"")</f>
        <v/>
      </c>
      <c r="AJ820" s="86">
        <f>+IF(AG820=$AJ$22,MONTH(V820),"")</f>
        <v>2</v>
      </c>
      <c r="AK820" s="86" t="str">
        <f>+IF(AG820=$AK$22,MONTH(V820),"")</f>
        <v/>
      </c>
      <c r="AL820" s="86"/>
      <c r="AM820" s="89"/>
      <c r="AN820" s="89"/>
      <c r="AO820" s="89"/>
      <c r="AP820" s="89"/>
      <c r="AQ820" s="89"/>
      <c r="AR820" s="89"/>
      <c r="AS820" s="89"/>
      <c r="AT820" s="89"/>
      <c r="AU820" s="89"/>
      <c r="AV820" s="89"/>
      <c r="AW820" s="86" t="str">
        <f>+IF($AG820=AW$22,MONTH($D820),"")</f>
        <v/>
      </c>
      <c r="AX820" s="86" t="str">
        <f>+IF($AG820=AX$22,MONTH($D820),"")</f>
        <v/>
      </c>
      <c r="AY820" s="89"/>
      <c r="AZ820" s="89"/>
      <c r="BA820" s="89"/>
      <c r="BB820" s="89"/>
      <c r="BC820" s="89"/>
      <c r="BD820" s="89"/>
      <c r="BE820" s="89"/>
      <c r="BF820" s="89"/>
      <c r="BG820" s="89"/>
      <c r="BH820" s="89"/>
      <c r="BI820" s="89"/>
      <c r="BJ820" s="89"/>
      <c r="BK820" s="89"/>
      <c r="BL820" s="89"/>
      <c r="BM820" s="89"/>
      <c r="BN820" s="89"/>
      <c r="BO820" s="89"/>
      <c r="BP820" s="89"/>
    </row>
    <row r="821" spans="1:68" s="56" customFormat="1" ht="53.25" hidden="1">
      <c r="A821" s="204" t="str">
        <f>+IFERROR(VALUE(MID(AB821,4,4)),"")</f>
        <v/>
      </c>
      <c r="B821" s="204">
        <f>VALUE(RIGHT(C821,LEN(C821)-2))</f>
        <v>1902</v>
      </c>
      <c r="C821" s="74" t="s">
        <v>3134</v>
      </c>
      <c r="D821" s="75">
        <v>45239</v>
      </c>
      <c r="E821" s="70" t="s">
        <v>53</v>
      </c>
      <c r="F821" s="70" t="s">
        <v>313</v>
      </c>
      <c r="G821" s="68" t="s">
        <v>210</v>
      </c>
      <c r="H821" s="59"/>
      <c r="I821" s="69" t="s">
        <v>3135</v>
      </c>
      <c r="J821" s="69"/>
      <c r="K821" s="68" t="s">
        <v>227</v>
      </c>
      <c r="L821" s="69" t="s">
        <v>123</v>
      </c>
      <c r="M821" s="71" t="s">
        <v>141</v>
      </c>
      <c r="N821" s="69" t="e" vm="1">
        <v>#VALUE!</v>
      </c>
      <c r="O821" s="164">
        <v>45257</v>
      </c>
      <c r="P821" s="164" t="s">
        <v>424</v>
      </c>
      <c r="Q821" s="72" t="s">
        <v>259</v>
      </c>
      <c r="R821" s="162"/>
      <c r="S821" s="146" t="s">
        <v>3136</v>
      </c>
      <c r="T821" s="68" t="s">
        <v>165</v>
      </c>
      <c r="U821" s="87"/>
      <c r="V821" s="80">
        <v>45432</v>
      </c>
      <c r="W821" s="73" t="s">
        <v>2108</v>
      </c>
      <c r="X821" s="73" t="s">
        <v>2108</v>
      </c>
      <c r="Y821" s="83" t="str">
        <f>IF(SUM(W821:W821)&gt;0,X821/SUM(W821:W821)*1000000,"N/A")</f>
        <v>N/A</v>
      </c>
      <c r="Z821" s="80"/>
      <c r="AA821" s="80"/>
      <c r="AB821" s="73"/>
      <c r="AC821" s="153"/>
      <c r="AD821" s="331"/>
      <c r="AE821" s="57"/>
      <c r="AF821" s="88"/>
      <c r="AG821" s="182">
        <f>YEAR(V821)</f>
        <v>2024</v>
      </c>
      <c r="AH821" s="86" t="str">
        <f>+IF(AF821=$AI$22,MONTH(U821),"")</f>
        <v/>
      </c>
      <c r="AI821" s="86" t="str">
        <f>+IF(AG821=$AI$22,MONTH(V821),"")</f>
        <v/>
      </c>
      <c r="AJ821" s="86">
        <f>+IF(AG821=$AJ$22,MONTH(V821),"")</f>
        <v>5</v>
      </c>
      <c r="AK821" s="86" t="str">
        <f>+IF(AG821=$AK$22,MONTH(V821),"")</f>
        <v/>
      </c>
      <c r="AL821" s="86"/>
      <c r="AM821" s="89"/>
      <c r="AN821" s="89"/>
      <c r="AO821" s="89"/>
      <c r="AP821" s="89"/>
      <c r="AQ821" s="89"/>
      <c r="AR821" s="89"/>
      <c r="AS821" s="89"/>
      <c r="AT821" s="89"/>
      <c r="AU821" s="89"/>
      <c r="AV821" s="89"/>
      <c r="AW821" s="86" t="str">
        <f>+IF($AG821=AW$22,MONTH($D821),"")</f>
        <v/>
      </c>
      <c r="AX821" s="86" t="str">
        <f>+IF($AG821=AX$22,MONTH($D821),"")</f>
        <v/>
      </c>
      <c r="AY821" s="89"/>
      <c r="AZ821" s="89"/>
      <c r="BA821" s="89"/>
      <c r="BB821" s="89"/>
      <c r="BC821" s="89"/>
      <c r="BD821" s="89"/>
      <c r="BE821" s="89"/>
      <c r="BF821" s="89"/>
      <c r="BG821" s="89"/>
      <c r="BH821" s="89"/>
      <c r="BI821" s="89"/>
      <c r="BJ821" s="89"/>
      <c r="BK821" s="89"/>
      <c r="BL821" s="89"/>
      <c r="BM821" s="89"/>
      <c r="BN821" s="89"/>
      <c r="BO821" s="89"/>
      <c r="BP821" s="89"/>
    </row>
    <row r="822" spans="1:68" s="56" customFormat="1" ht="31.5" hidden="1" customHeight="1">
      <c r="A822" s="204" t="str">
        <f>+IFERROR(VALUE(MID(AB822,4,4)),"")</f>
        <v/>
      </c>
      <c r="B822" s="204">
        <f>VALUE(RIGHT(C822,LEN(C822)-2))</f>
        <v>1901</v>
      </c>
      <c r="C822" s="74" t="s">
        <v>3137</v>
      </c>
      <c r="D822" s="75">
        <v>45239</v>
      </c>
      <c r="E822" s="70" t="s">
        <v>53</v>
      </c>
      <c r="F822" s="70" t="s">
        <v>630</v>
      </c>
      <c r="G822" s="68" t="s">
        <v>210</v>
      </c>
      <c r="H822" s="59"/>
      <c r="I822" s="69" t="s">
        <v>3138</v>
      </c>
      <c r="J822" s="69"/>
      <c r="K822" s="68" t="s">
        <v>13</v>
      </c>
      <c r="L822" s="69" t="s">
        <v>123</v>
      </c>
      <c r="M822" s="71" t="s">
        <v>141</v>
      </c>
      <c r="N822" s="69" t="e" vm="1">
        <v>#VALUE!</v>
      </c>
      <c r="O822" s="164">
        <v>45272</v>
      </c>
      <c r="P822" s="164"/>
      <c r="Q822" s="72" t="s">
        <v>316</v>
      </c>
      <c r="R822" s="162"/>
      <c r="S822" s="146" t="s">
        <v>587</v>
      </c>
      <c r="T822" s="68" t="s">
        <v>155</v>
      </c>
      <c r="U822" s="87">
        <v>0</v>
      </c>
      <c r="V822" s="183">
        <v>45239</v>
      </c>
      <c r="W822" s="73"/>
      <c r="X822" s="73"/>
      <c r="Y822" s="83" t="str">
        <f>IF(SUM(W822:W822)&gt;0,X822/SUM(W822:W822)*1000000,"N/A")</f>
        <v>N/A</v>
      </c>
      <c r="Z822" s="183"/>
      <c r="AA822" s="183"/>
      <c r="AB822" s="73"/>
      <c r="AC822" s="153"/>
      <c r="AD822" s="331"/>
      <c r="AE822" s="57"/>
      <c r="AF822" s="88"/>
      <c r="AG822" s="182">
        <f>YEAR(V822)</f>
        <v>2023</v>
      </c>
      <c r="AH822" s="86" t="str">
        <f>+IF(AF822=$AI$22,MONTH(U822),"")</f>
        <v/>
      </c>
      <c r="AI822" s="86" t="str">
        <f>+IF(AG822=$AI$22,MONTH(V822),"")</f>
        <v/>
      </c>
      <c r="AJ822" s="86" t="str">
        <f>+IF(AG822=$AJ$22,MONTH(V822),"")</f>
        <v/>
      </c>
      <c r="AK822" s="86">
        <f>+IF(AG822=$AK$22,MONTH(V822),"")</f>
        <v>11</v>
      </c>
      <c r="AL822" s="86"/>
      <c r="AM822" s="89"/>
      <c r="AN822" s="89"/>
      <c r="AO822" s="89"/>
      <c r="AP822" s="89"/>
      <c r="AQ822" s="89"/>
      <c r="AR822" s="89"/>
      <c r="AS822" s="89"/>
      <c r="AT822" s="89"/>
      <c r="AU822" s="89"/>
      <c r="AV822" s="89"/>
      <c r="AW822" s="86" t="str">
        <f>+IF($AG822=AW$22,MONTH($D822),"")</f>
        <v/>
      </c>
      <c r="AX822" s="86" t="str">
        <f>+IF($AG822=AX$22,MONTH($D822),"")</f>
        <v/>
      </c>
      <c r="AY822" s="89"/>
      <c r="AZ822" s="89"/>
      <c r="BA822" s="89"/>
      <c r="BB822" s="89"/>
      <c r="BC822" s="89"/>
      <c r="BD822" s="89"/>
      <c r="BE822" s="89"/>
      <c r="BF822" s="89"/>
      <c r="BG822" s="89"/>
      <c r="BH822" s="89"/>
      <c r="BI822" s="89"/>
      <c r="BJ822" s="89"/>
      <c r="BK822" s="89"/>
      <c r="BL822" s="89"/>
      <c r="BM822" s="89"/>
      <c r="BN822" s="89"/>
      <c r="BO822" s="89"/>
      <c r="BP822" s="89"/>
    </row>
    <row r="823" spans="1:68" s="56" customFormat="1" ht="27" hidden="1">
      <c r="A823" s="204">
        <f>+IFERROR(VALUE(MID(AB823,4,4)),"")</f>
        <v>265</v>
      </c>
      <c r="B823" s="204">
        <f>VALUE(RIGHT(C823,LEN(C823)-2))</f>
        <v>1900</v>
      </c>
      <c r="C823" s="74" t="s">
        <v>3139</v>
      </c>
      <c r="D823" s="75">
        <v>45238</v>
      </c>
      <c r="E823" s="70" t="s">
        <v>332</v>
      </c>
      <c r="F823" s="70" t="s">
        <v>332</v>
      </c>
      <c r="G823" s="68" t="s">
        <v>333</v>
      </c>
      <c r="H823" s="179" t="s">
        <v>334</v>
      </c>
      <c r="I823" s="162" t="s">
        <v>3140</v>
      </c>
      <c r="J823" s="162"/>
      <c r="K823" s="68" t="s">
        <v>12</v>
      </c>
      <c r="L823" s="69" t="s">
        <v>129</v>
      </c>
      <c r="M823" s="71" t="s">
        <v>141</v>
      </c>
      <c r="N823" s="69" t="e" vm="1">
        <v>#VALUE!</v>
      </c>
      <c r="O823" s="164">
        <v>45257</v>
      </c>
      <c r="P823" s="72" t="s">
        <v>701</v>
      </c>
      <c r="Q823" s="72" t="s">
        <v>837</v>
      </c>
      <c r="R823" s="162"/>
      <c r="S823" s="146"/>
      <c r="T823" s="68" t="s">
        <v>3</v>
      </c>
      <c r="U823" s="87"/>
      <c r="V823" s="183">
        <v>45238</v>
      </c>
      <c r="W823" s="73">
        <v>877</v>
      </c>
      <c r="X823" s="73">
        <v>28</v>
      </c>
      <c r="Y823" s="83">
        <f>IF(SUM(W823:W823)&gt;0,X823/SUM(W823:W823)*1000000,"N/A")</f>
        <v>31927.02394526796</v>
      </c>
      <c r="Z823" s="183"/>
      <c r="AA823" s="183"/>
      <c r="AB823" s="73" t="s">
        <v>3141</v>
      </c>
      <c r="AC823" s="153"/>
      <c r="AD823" s="331"/>
      <c r="AE823" s="57"/>
      <c r="AF823" s="88"/>
      <c r="AG823" s="182">
        <f>YEAR(V823)</f>
        <v>2023</v>
      </c>
      <c r="AH823" s="86" t="str">
        <f>+IF(AF823=$AI$22,MONTH(U823),"")</f>
        <v/>
      </c>
      <c r="AI823" s="86" t="str">
        <f>+IF(AG823=$AI$22,MONTH(V823),"")</f>
        <v/>
      </c>
      <c r="AJ823" s="86" t="str">
        <f>+IF(AG823=$AJ$22,MONTH(V823),"")</f>
        <v/>
      </c>
      <c r="AK823" s="86">
        <f>+IF(AG823=$AK$22,MONTH(V823),"")</f>
        <v>11</v>
      </c>
      <c r="AL823" s="86"/>
      <c r="AM823" s="89"/>
      <c r="AN823" s="89"/>
      <c r="AO823" s="89"/>
      <c r="AP823" s="89"/>
      <c r="AQ823" s="89"/>
      <c r="AR823" s="89"/>
      <c r="AS823" s="89"/>
      <c r="AT823" s="89"/>
      <c r="AU823" s="89"/>
      <c r="AV823" s="89"/>
      <c r="AW823" s="86" t="str">
        <f>+IF($AG823=AW$22,MONTH($D823),"")</f>
        <v/>
      </c>
      <c r="AX823" s="86" t="str">
        <f>+IF($AG823=AX$22,MONTH($D823),"")</f>
        <v/>
      </c>
      <c r="AY823" s="89"/>
      <c r="AZ823" s="89"/>
      <c r="BA823" s="89"/>
      <c r="BB823" s="89"/>
      <c r="BC823" s="89"/>
      <c r="BD823" s="89"/>
      <c r="BE823" s="89"/>
      <c r="BF823" s="89"/>
      <c r="BG823" s="89"/>
      <c r="BH823" s="89"/>
      <c r="BI823" s="89"/>
      <c r="BJ823" s="89"/>
      <c r="BK823" s="89"/>
      <c r="BL823" s="89"/>
      <c r="BM823" s="89"/>
      <c r="BN823" s="89"/>
      <c r="BO823" s="89"/>
      <c r="BP823" s="89"/>
    </row>
    <row r="824" spans="1:68" s="56" customFormat="1" ht="27" hidden="1">
      <c r="A824" s="204" t="str">
        <f>+IFERROR(VALUE(MID(AB824,4,4)),"")</f>
        <v/>
      </c>
      <c r="B824" s="204">
        <f>VALUE(RIGHT(C824,LEN(C824)-2))</f>
        <v>1899</v>
      </c>
      <c r="C824" s="74" t="s">
        <v>3142</v>
      </c>
      <c r="D824" s="75">
        <v>45238</v>
      </c>
      <c r="E824" s="70" t="s">
        <v>332</v>
      </c>
      <c r="F824" s="70" t="s">
        <v>332</v>
      </c>
      <c r="G824" s="68" t="s">
        <v>333</v>
      </c>
      <c r="H824" s="179" t="s">
        <v>334</v>
      </c>
      <c r="I824" s="162" t="s">
        <v>3143</v>
      </c>
      <c r="J824" s="162"/>
      <c r="K824" s="68" t="s">
        <v>12</v>
      </c>
      <c r="L824" s="69" t="s">
        <v>129</v>
      </c>
      <c r="M824" s="71" t="s">
        <v>141</v>
      </c>
      <c r="N824" s="69" t="e" vm="1">
        <v>#VALUE!</v>
      </c>
      <c r="O824" s="164">
        <v>45257</v>
      </c>
      <c r="P824" s="72" t="s">
        <v>382</v>
      </c>
      <c r="Q824" s="72" t="s">
        <v>837</v>
      </c>
      <c r="R824" s="162"/>
      <c r="S824" s="146"/>
      <c r="T824" s="68" t="s">
        <v>165</v>
      </c>
      <c r="U824" s="87"/>
      <c r="V824" s="183">
        <v>45253</v>
      </c>
      <c r="W824" s="73">
        <v>757</v>
      </c>
      <c r="X824" s="73">
        <f>+((912*36500))/1000000</f>
        <v>33.287999999999997</v>
      </c>
      <c r="Y824" s="83">
        <f>IF(SUM(W824:W824)&gt;0,X824/SUM(W824:W824)*1000000,"N/A")</f>
        <v>43973.579920739758</v>
      </c>
      <c r="Z824" s="183"/>
      <c r="AA824" s="183"/>
      <c r="AB824" s="73"/>
      <c r="AC824" s="153"/>
      <c r="AD824" s="331"/>
      <c r="AE824" s="57"/>
      <c r="AF824" s="88"/>
      <c r="AG824" s="182">
        <f>YEAR(V824)</f>
        <v>2023</v>
      </c>
      <c r="AH824" s="86" t="str">
        <f>+IF(AF824=$AI$22,MONTH(U824),"")</f>
        <v/>
      </c>
      <c r="AI824" s="86" t="str">
        <f>+IF(AG824=$AI$22,MONTH(V824),"")</f>
        <v/>
      </c>
      <c r="AJ824" s="86" t="str">
        <f>+IF(AG824=$AJ$22,MONTH(V824),"")</f>
        <v/>
      </c>
      <c r="AK824" s="86">
        <f>+IF(AG824=$AK$22,MONTH(V824),"")</f>
        <v>11</v>
      </c>
      <c r="AL824" s="86"/>
      <c r="AM824" s="89"/>
      <c r="AN824" s="89"/>
      <c r="AO824" s="89"/>
      <c r="AP824" s="89"/>
      <c r="AQ824" s="89"/>
      <c r="AR824" s="89"/>
      <c r="AS824" s="89"/>
      <c r="AT824" s="89"/>
      <c r="AU824" s="89"/>
      <c r="AV824" s="89"/>
      <c r="AW824" s="86" t="str">
        <f>+IF($AG824=AW$22,MONTH($D824),"")</f>
        <v/>
      </c>
      <c r="AX824" s="86" t="str">
        <f>+IF($AG824=AX$22,MONTH($D824),"")</f>
        <v/>
      </c>
      <c r="AY824" s="89"/>
      <c r="AZ824" s="89"/>
      <c r="BA824" s="89"/>
      <c r="BB824" s="89"/>
      <c r="BC824" s="89"/>
      <c r="BD824" s="89"/>
      <c r="BE824" s="89"/>
      <c r="BF824" s="89"/>
      <c r="BG824" s="89"/>
      <c r="BH824" s="89"/>
      <c r="BI824" s="89"/>
      <c r="BJ824" s="89"/>
      <c r="BK824" s="89"/>
      <c r="BL824" s="89"/>
      <c r="BM824" s="89"/>
      <c r="BN824" s="89"/>
      <c r="BO824" s="89"/>
      <c r="BP824" s="89"/>
    </row>
    <row r="825" spans="1:68" s="89" customFormat="1" ht="27" hidden="1">
      <c r="A825" s="204" t="str">
        <f>+IFERROR(VALUE(MID(AB825,4,4)),"")</f>
        <v/>
      </c>
      <c r="B825" s="204">
        <f>VALUE(RIGHT(C825,LEN(C825)-2))</f>
        <v>1898</v>
      </c>
      <c r="C825" s="74" t="s">
        <v>3144</v>
      </c>
      <c r="D825" s="75">
        <v>45238</v>
      </c>
      <c r="E825" s="70" t="s">
        <v>332</v>
      </c>
      <c r="F825" s="70" t="s">
        <v>332</v>
      </c>
      <c r="G825" s="68" t="s">
        <v>333</v>
      </c>
      <c r="H825" s="179" t="s">
        <v>334</v>
      </c>
      <c r="I825" s="162" t="s">
        <v>3145</v>
      </c>
      <c r="J825" s="162"/>
      <c r="K825" s="68" t="s">
        <v>13</v>
      </c>
      <c r="L825" s="69" t="s">
        <v>129</v>
      </c>
      <c r="M825" s="71" t="s">
        <v>141</v>
      </c>
      <c r="N825" s="69" t="e" vm="1">
        <v>#VALUE!</v>
      </c>
      <c r="O825" s="164">
        <v>45259</v>
      </c>
      <c r="P825" s="72" t="s">
        <v>382</v>
      </c>
      <c r="Q825" s="72" t="s">
        <v>837</v>
      </c>
      <c r="R825" s="162"/>
      <c r="S825" s="146"/>
      <c r="T825" s="68" t="s">
        <v>165</v>
      </c>
      <c r="U825" s="87"/>
      <c r="V825" s="183">
        <v>45253</v>
      </c>
      <c r="W825" s="73">
        <v>673</v>
      </c>
      <c r="X825" s="73">
        <f>+(36500*715)/1000000</f>
        <v>26.0975</v>
      </c>
      <c r="Y825" s="83">
        <f>IF(SUM(W825:W825)&gt;0,X825/SUM(W825:W825)*1000000,"N/A")</f>
        <v>38777.860326894501</v>
      </c>
      <c r="Z825" s="183"/>
      <c r="AA825" s="183"/>
      <c r="AB825" s="73"/>
      <c r="AC825" s="153"/>
      <c r="AD825" s="331"/>
      <c r="AE825" s="57"/>
      <c r="AF825" s="88"/>
      <c r="AG825" s="182">
        <f>YEAR(V825)</f>
        <v>2023</v>
      </c>
      <c r="AH825" s="86" t="str">
        <f>+IF(AF825=$AI$22,MONTH(U825),"")</f>
        <v/>
      </c>
      <c r="AI825" s="86" t="str">
        <f>+IF(AG825=$AI$22,MONTH(V825),"")</f>
        <v/>
      </c>
      <c r="AJ825" s="86" t="str">
        <f>+IF(AG825=$AJ$22,MONTH(V825),"")</f>
        <v/>
      </c>
      <c r="AK825" s="86">
        <f>+IF(AG825=$AK$22,MONTH(V825),"")</f>
        <v>11</v>
      </c>
      <c r="AL825" s="86"/>
      <c r="AW825" s="86" t="str">
        <f>+IF($AG825=AW$22,MONTH($D825),"")</f>
        <v/>
      </c>
      <c r="AX825" s="86" t="str">
        <f>+IF($AG825=AX$22,MONTH($D825),"")</f>
        <v/>
      </c>
    </row>
    <row r="826" spans="1:68" s="56" customFormat="1" ht="27" hidden="1">
      <c r="A826" s="204" t="str">
        <f>+IFERROR(VALUE(MID(AB826,4,4)),"")</f>
        <v/>
      </c>
      <c r="B826" s="204">
        <f>VALUE(RIGHT(C826,LEN(C826)-2))</f>
        <v>1897</v>
      </c>
      <c r="C826" s="74" t="s">
        <v>3146</v>
      </c>
      <c r="D826" s="75">
        <v>45238</v>
      </c>
      <c r="E826" s="70" t="s">
        <v>106</v>
      </c>
      <c r="F826" s="70" t="s">
        <v>106</v>
      </c>
      <c r="G826" s="70" t="s">
        <v>3147</v>
      </c>
      <c r="H826" s="179" t="s">
        <v>3148</v>
      </c>
      <c r="I826" s="69" t="s">
        <v>3149</v>
      </c>
      <c r="J826" s="69"/>
      <c r="K826" s="95" t="s">
        <v>11</v>
      </c>
      <c r="L826" s="69" t="s">
        <v>123</v>
      </c>
      <c r="M826" s="71" t="s">
        <v>141</v>
      </c>
      <c r="N826" s="69" t="e" vm="1">
        <v>#VALUE!</v>
      </c>
      <c r="O826" s="84">
        <v>45264</v>
      </c>
      <c r="P826" s="72" t="s">
        <v>689</v>
      </c>
      <c r="Q826" s="82" t="s">
        <v>316</v>
      </c>
      <c r="R826" s="69"/>
      <c r="S826" s="146"/>
      <c r="T826" s="68" t="s">
        <v>165</v>
      </c>
      <c r="U826" s="87"/>
      <c r="V826" s="183">
        <v>45329</v>
      </c>
      <c r="W826" s="73">
        <v>9135</v>
      </c>
      <c r="X826" s="73">
        <f>+((10574.9+955.9)*36500)/1000000</f>
        <v>420.87419999999997</v>
      </c>
      <c r="Y826" s="83">
        <f>IF(SUM(W826:W826)&gt;0,X826/SUM(W826:W826)*1000000,"N/A")</f>
        <v>46072.709359605913</v>
      </c>
      <c r="Z826" s="183"/>
      <c r="AA826" s="183"/>
      <c r="AB826" s="73"/>
      <c r="AC826" s="153"/>
      <c r="AD826" s="331"/>
      <c r="AE826" s="57"/>
      <c r="AF826" s="88"/>
      <c r="AG826" s="182">
        <f>YEAR(V826)</f>
        <v>2024</v>
      </c>
      <c r="AH826" s="86" t="str">
        <f>+IF(AF826=$AI$22,MONTH(U826),"")</f>
        <v/>
      </c>
      <c r="AI826" s="86" t="str">
        <f>+IF(AG826=$AI$22,MONTH(V826),"")</f>
        <v/>
      </c>
      <c r="AJ826" s="86">
        <f>+IF(AG826=$AJ$22,MONTH(V826),"")</f>
        <v>2</v>
      </c>
      <c r="AK826" s="86" t="str">
        <f>+IF(AG826=$AK$22,MONTH(V826),"")</f>
        <v/>
      </c>
      <c r="AL826" s="86" t="str">
        <f>+IF(AG826=$AL$22,MONTH(V826),"")</f>
        <v/>
      </c>
      <c r="AM826" s="86" t="str">
        <f>+IF($AG826=$AM$22,MONTH($D826),"")</f>
        <v/>
      </c>
      <c r="AN826" s="89" t="str">
        <f>+IF($AG826=AN$22,MONTH($D826),"")</f>
        <v/>
      </c>
      <c r="AO826" s="89" t="str">
        <f>+IF($AG826=AO$22,MONTH($D826),"")</f>
        <v/>
      </c>
      <c r="AP826" s="89" t="str">
        <f>+IF($AG826=AP$22,MONTH($D826),"")</f>
        <v/>
      </c>
      <c r="AQ826" s="89" t="str">
        <f>+IF($AG826=AQ$22,MONTH($D826),"")</f>
        <v/>
      </c>
      <c r="AR826" s="89" t="str">
        <f>+IF($AG826=AR$22,MONTH($D826),"")</f>
        <v/>
      </c>
      <c r="AS826" s="89" t="str">
        <f>+IF($AG826=AS$22,MONTH($D826),"")</f>
        <v/>
      </c>
      <c r="AT826" s="89" t="str">
        <f>+IF($AG826=AT$22,MONTH($D826),"")</f>
        <v/>
      </c>
      <c r="AU826" s="89" t="str">
        <f>+IF($AG826=AU$22,MONTH($D826),"")</f>
        <v/>
      </c>
      <c r="AV826" s="89" t="str">
        <f>+IF($AG826=AV$22,MONTH($D826),"")</f>
        <v/>
      </c>
      <c r="AW826" s="86" t="str">
        <f>+IF($AG826=AW$22,MONTH($D826),"")</f>
        <v/>
      </c>
      <c r="AX826" s="86" t="str">
        <f>+IF($AG826=AX$22,MONTH($D826),"")</f>
        <v/>
      </c>
      <c r="AY826" s="89"/>
      <c r="AZ826" s="89"/>
      <c r="BA826" s="89"/>
      <c r="BB826" s="89"/>
      <c r="BC826" s="89"/>
      <c r="BD826" s="89"/>
      <c r="BE826" s="89"/>
      <c r="BF826" s="89"/>
      <c r="BG826" s="89"/>
      <c r="BH826" s="89"/>
      <c r="BI826" s="89"/>
      <c r="BJ826" s="89"/>
      <c r="BK826" s="89"/>
      <c r="BL826" s="89"/>
      <c r="BM826" s="89"/>
      <c r="BN826" s="89"/>
      <c r="BO826" s="89"/>
      <c r="BP826" s="89"/>
    </row>
    <row r="827" spans="1:68" s="56" customFormat="1" ht="27" hidden="1">
      <c r="A827" s="204" t="str">
        <f>+IFERROR(VALUE(MID(AB827,4,4)),"")</f>
        <v/>
      </c>
      <c r="B827" s="204">
        <f>VALUE(RIGHT(C827,LEN(C827)-2))</f>
        <v>1896</v>
      </c>
      <c r="C827" s="74" t="s">
        <v>3150</v>
      </c>
      <c r="D827" s="75">
        <v>45238</v>
      </c>
      <c r="E827" s="70" t="s">
        <v>53</v>
      </c>
      <c r="F827" s="70" t="s">
        <v>630</v>
      </c>
      <c r="G827" s="68" t="s">
        <v>210</v>
      </c>
      <c r="H827" s="59"/>
      <c r="I827" s="69" t="s">
        <v>3151</v>
      </c>
      <c r="J827" s="69"/>
      <c r="K827" s="68" t="s">
        <v>14</v>
      </c>
      <c r="L827" s="69" t="s">
        <v>123</v>
      </c>
      <c r="M827" s="71" t="s">
        <v>141</v>
      </c>
      <c r="N827" s="69" t="e" vm="1">
        <v>#VALUE!</v>
      </c>
      <c r="O827" s="164">
        <v>45287</v>
      </c>
      <c r="P827" s="164" t="s">
        <v>1154</v>
      </c>
      <c r="Q827" s="72" t="s">
        <v>316</v>
      </c>
      <c r="R827" s="162"/>
      <c r="S827" s="146" t="s">
        <v>3152</v>
      </c>
      <c r="T827" s="68" t="s">
        <v>155</v>
      </c>
      <c r="U827" s="87">
        <v>0</v>
      </c>
      <c r="V827" s="183">
        <v>45238</v>
      </c>
      <c r="W827" s="73"/>
      <c r="X827" s="73"/>
      <c r="Y827" s="83" t="str">
        <f>IF(SUM(W827:W827)&gt;0,X827/SUM(W827:W827)*1000000,"N/A")</f>
        <v>N/A</v>
      </c>
      <c r="Z827" s="183"/>
      <c r="AA827" s="183"/>
      <c r="AB827" s="73"/>
      <c r="AC827" s="153"/>
      <c r="AD827" s="331"/>
      <c r="AE827" s="57"/>
      <c r="AF827" s="88"/>
      <c r="AG827" s="182">
        <f>YEAR(V827)</f>
        <v>2023</v>
      </c>
      <c r="AH827" s="86" t="str">
        <f>+IF(AF827=$AI$22,MONTH(U827),"")</f>
        <v/>
      </c>
      <c r="AI827" s="86" t="str">
        <f>+IF(AG827=$AI$22,MONTH(V827),"")</f>
        <v/>
      </c>
      <c r="AJ827" s="86" t="str">
        <f>+IF(AG827=$AJ$22,MONTH(V827),"")</f>
        <v/>
      </c>
      <c r="AK827" s="86">
        <f>+IF(AG827=$AK$22,MONTH(V827),"")</f>
        <v>11</v>
      </c>
      <c r="AL827" s="86"/>
      <c r="AM827" s="89"/>
      <c r="AN827" s="89"/>
      <c r="AO827" s="89"/>
      <c r="AP827" s="89"/>
      <c r="AQ827" s="89"/>
      <c r="AR827" s="89"/>
      <c r="AS827" s="89"/>
      <c r="AT827" s="89"/>
      <c r="AU827" s="89"/>
      <c r="AV827" s="89"/>
      <c r="AW827" s="86" t="str">
        <f>+IF($AG827=AW$22,MONTH($D827),"")</f>
        <v/>
      </c>
      <c r="AX827" s="86" t="str">
        <f>+IF($AG827=AX$22,MONTH($D827),"")</f>
        <v/>
      </c>
      <c r="AY827" s="89"/>
      <c r="AZ827" s="89"/>
      <c r="BA827" s="89"/>
      <c r="BB827" s="89"/>
      <c r="BC827" s="89"/>
      <c r="BD827" s="89"/>
      <c r="BE827" s="89"/>
      <c r="BF827" s="89"/>
      <c r="BG827" s="89"/>
      <c r="BH827" s="89"/>
      <c r="BI827" s="89"/>
      <c r="BJ827" s="89"/>
      <c r="BK827" s="89"/>
      <c r="BL827" s="89"/>
      <c r="BM827" s="89"/>
      <c r="BN827" s="89"/>
      <c r="BO827" s="89"/>
      <c r="BP827" s="89"/>
    </row>
    <row r="828" spans="1:68" s="56" customFormat="1" ht="13.5" hidden="1">
      <c r="A828" s="204" t="str">
        <f>+IFERROR(VALUE(MID(AB828,4,4)),"")</f>
        <v/>
      </c>
      <c r="B828" s="204">
        <f>VALUE(RIGHT(C828,LEN(C828)-2))</f>
        <v>1895</v>
      </c>
      <c r="C828" s="74" t="s">
        <v>3153</v>
      </c>
      <c r="D828" s="75">
        <v>45238</v>
      </c>
      <c r="E828" s="70" t="s">
        <v>53</v>
      </c>
      <c r="F828" s="70" t="s">
        <v>313</v>
      </c>
      <c r="G828" s="68" t="s">
        <v>210</v>
      </c>
      <c r="H828" s="59"/>
      <c r="I828" s="69" t="s">
        <v>3154</v>
      </c>
      <c r="J828" s="69"/>
      <c r="K828" s="68" t="s">
        <v>13</v>
      </c>
      <c r="L828" s="69" t="s">
        <v>123</v>
      </c>
      <c r="M828" s="71" t="s">
        <v>141</v>
      </c>
      <c r="N828" s="69" t="e" vm="1">
        <v>#VALUE!</v>
      </c>
      <c r="O828" s="164">
        <v>45259</v>
      </c>
      <c r="P828" s="164"/>
      <c r="Q828" s="72" t="s">
        <v>623</v>
      </c>
      <c r="R828" s="162"/>
      <c r="S828" s="146" t="s">
        <v>587</v>
      </c>
      <c r="T828" s="68" t="s">
        <v>155</v>
      </c>
      <c r="U828" s="87">
        <v>0</v>
      </c>
      <c r="V828" s="183">
        <v>45238</v>
      </c>
      <c r="W828" s="73"/>
      <c r="X828" s="73"/>
      <c r="Y828" s="83" t="str">
        <f>IF(SUM(W828:W828)&gt;0,X828/SUM(W828:W828)*1000000,"N/A")</f>
        <v>N/A</v>
      </c>
      <c r="Z828" s="183"/>
      <c r="AA828" s="183"/>
      <c r="AB828" s="73"/>
      <c r="AC828" s="153"/>
      <c r="AD828" s="331"/>
      <c r="AE828" s="57"/>
      <c r="AF828" s="88"/>
      <c r="AG828" s="182">
        <f>YEAR(V828)</f>
        <v>2023</v>
      </c>
      <c r="AH828" s="86" t="str">
        <f>+IF(AF828=$AI$22,MONTH(U828),"")</f>
        <v/>
      </c>
      <c r="AI828" s="86" t="str">
        <f>+IF(AG828=$AI$22,MONTH(V828),"")</f>
        <v/>
      </c>
      <c r="AJ828" s="86" t="str">
        <f>+IF(AG828=$AJ$22,MONTH(V828),"")</f>
        <v/>
      </c>
      <c r="AK828" s="86">
        <f>+IF(AG828=$AK$22,MONTH(V828),"")</f>
        <v>11</v>
      </c>
      <c r="AL828" s="86"/>
      <c r="AM828" s="89"/>
      <c r="AN828" s="89"/>
      <c r="AO828" s="89"/>
      <c r="AP828" s="89"/>
      <c r="AQ828" s="89"/>
      <c r="AR828" s="89"/>
      <c r="AS828" s="89"/>
      <c r="AT828" s="89"/>
      <c r="AU828" s="89"/>
      <c r="AV828" s="89"/>
      <c r="AW828" s="86" t="str">
        <f>+IF($AG828=AW$22,MONTH($D828),"")</f>
        <v/>
      </c>
      <c r="AX828" s="86" t="str">
        <f>+IF($AG828=AX$22,MONTH($D828),"")</f>
        <v/>
      </c>
      <c r="AY828" s="89"/>
      <c r="AZ828" s="89"/>
      <c r="BA828" s="89"/>
      <c r="BB828" s="89"/>
      <c r="BC828" s="89"/>
      <c r="BD828" s="89"/>
      <c r="BE828" s="89"/>
      <c r="BF828" s="89"/>
      <c r="BG828" s="89"/>
      <c r="BH828" s="89"/>
      <c r="BI828" s="89"/>
      <c r="BJ828" s="89"/>
      <c r="BK828" s="89"/>
      <c r="BL828" s="89"/>
      <c r="BM828" s="89"/>
      <c r="BN828" s="89"/>
      <c r="BO828" s="89"/>
      <c r="BP828" s="89"/>
    </row>
    <row r="829" spans="1:68" s="56" customFormat="1" ht="27" hidden="1">
      <c r="A829" s="204">
        <f>+IFERROR(VALUE(MID(AB829,4,4)),"")</f>
        <v>366</v>
      </c>
      <c r="B829" s="204">
        <f>VALUE(RIGHT(C829,LEN(C829)-2))</f>
        <v>1894</v>
      </c>
      <c r="C829" s="74" t="s">
        <v>3155</v>
      </c>
      <c r="D829" s="75">
        <v>45238</v>
      </c>
      <c r="E829" s="161" t="s">
        <v>479</v>
      </c>
      <c r="F829" s="161" t="s">
        <v>479</v>
      </c>
      <c r="G829" s="68" t="s">
        <v>1580</v>
      </c>
      <c r="H829" s="59" t="s">
        <v>2899</v>
      </c>
      <c r="I829" s="69" t="s">
        <v>3156</v>
      </c>
      <c r="J829" s="69"/>
      <c r="K829" s="76" t="s">
        <v>25</v>
      </c>
      <c r="L829" s="162" t="s">
        <v>123</v>
      </c>
      <c r="M829" s="71" t="s">
        <v>113</v>
      </c>
      <c r="N829" s="69" t="e" vm="2">
        <v>#VALUE!</v>
      </c>
      <c r="O829" s="164">
        <v>45250</v>
      </c>
      <c r="P829" s="164" t="s">
        <v>2901</v>
      </c>
      <c r="Q829" s="72" t="s">
        <v>405</v>
      </c>
      <c r="R829" s="162"/>
      <c r="S829" s="146" t="s">
        <v>484</v>
      </c>
      <c r="T829" s="68" t="s">
        <v>3</v>
      </c>
      <c r="U829" s="87"/>
      <c r="V829" s="80">
        <v>45316</v>
      </c>
      <c r="W829" s="73"/>
      <c r="X829" s="73"/>
      <c r="Y829" s="83" t="str">
        <f>IF(SUM(W829:W829)&gt;0,X829/SUM(W829:W829)*1000000,"N/A")</f>
        <v>N/A</v>
      </c>
      <c r="Z829" s="80"/>
      <c r="AA829" s="80"/>
      <c r="AB829" s="73" t="s">
        <v>3157</v>
      </c>
      <c r="AC829" s="153"/>
      <c r="AD829" s="331"/>
      <c r="AE829" s="57"/>
      <c r="AF829" s="88"/>
      <c r="AG829" s="182">
        <f>YEAR(V829)</f>
        <v>2024</v>
      </c>
      <c r="AH829" s="86" t="str">
        <f>+IF(AF829=$AI$22,MONTH(U829),"")</f>
        <v/>
      </c>
      <c r="AI829" s="86" t="str">
        <f>+IF(AG829=$AI$22,MONTH(V829),"")</f>
        <v/>
      </c>
      <c r="AJ829" s="86">
        <f>+IF(AG829=$AJ$22,MONTH(V829),"")</f>
        <v>1</v>
      </c>
      <c r="AK829" s="86" t="str">
        <f>+IF(AG829=$AK$22,MONTH(V829),"")</f>
        <v/>
      </c>
      <c r="AL829" s="86"/>
      <c r="AM829" s="89"/>
      <c r="AN829" s="89"/>
      <c r="AO829" s="89"/>
      <c r="AP829" s="89"/>
      <c r="AQ829" s="89"/>
      <c r="AR829" s="89"/>
      <c r="AS829" s="89"/>
      <c r="AT829" s="89"/>
      <c r="AU829" s="89"/>
      <c r="AV829" s="89"/>
      <c r="AW829" s="86" t="str">
        <f>+IF($AG829=AW$22,MONTH($D829),"")</f>
        <v/>
      </c>
      <c r="AX829" s="86" t="str">
        <f>+IF($AG829=AX$22,MONTH($D829),"")</f>
        <v/>
      </c>
      <c r="AY829" s="89"/>
      <c r="AZ829" s="89"/>
      <c r="BA829" s="89"/>
      <c r="BB829" s="89"/>
      <c r="BC829" s="89"/>
      <c r="BD829" s="89"/>
      <c r="BE829" s="89"/>
      <c r="BF829" s="89"/>
      <c r="BG829" s="89"/>
      <c r="BH829" s="89"/>
      <c r="BI829" s="89"/>
      <c r="BJ829" s="89"/>
      <c r="BK829" s="89"/>
      <c r="BL829" s="89"/>
      <c r="BM829" s="89"/>
      <c r="BN829" s="89"/>
      <c r="BO829" s="89"/>
      <c r="BP829" s="89"/>
    </row>
    <row r="830" spans="1:68" s="89" customFormat="1" ht="27" hidden="1">
      <c r="A830" s="204">
        <f>+IFERROR(VALUE(MID(AB830,4,4)),"")</f>
        <v>289</v>
      </c>
      <c r="B830" s="204">
        <f>VALUE(RIGHT(C830,LEN(C830)-2))</f>
        <v>1893</v>
      </c>
      <c r="C830" s="74" t="s">
        <v>3158</v>
      </c>
      <c r="D830" s="75">
        <v>45238</v>
      </c>
      <c r="E830" s="161" t="s">
        <v>479</v>
      </c>
      <c r="F830" s="161" t="s">
        <v>479</v>
      </c>
      <c r="G830" s="68" t="s">
        <v>3159</v>
      </c>
      <c r="H830" s="59" t="s">
        <v>3160</v>
      </c>
      <c r="I830" s="69" t="s">
        <v>3161</v>
      </c>
      <c r="J830" s="69"/>
      <c r="K830" s="76" t="s">
        <v>31</v>
      </c>
      <c r="L830" s="76" t="s">
        <v>129</v>
      </c>
      <c r="M830" s="71" t="s">
        <v>113</v>
      </c>
      <c r="N830" s="69" t="e" vm="2">
        <v>#VALUE!</v>
      </c>
      <c r="O830" s="164">
        <v>45244</v>
      </c>
      <c r="P830" s="164" t="s">
        <v>483</v>
      </c>
      <c r="Q830" s="72" t="s">
        <v>259</v>
      </c>
      <c r="R830" s="162"/>
      <c r="S830" s="146"/>
      <c r="T830" s="68" t="s">
        <v>3</v>
      </c>
      <c r="U830" s="87"/>
      <c r="V830" s="80">
        <v>45238</v>
      </c>
      <c r="W830" s="73">
        <v>984</v>
      </c>
      <c r="X830" s="73">
        <v>45</v>
      </c>
      <c r="Y830" s="83">
        <f>IF(SUM(W830:W830)&gt;0,X830/SUM(W830:W830)*1000000,"N/A")</f>
        <v>45731.707317073167</v>
      </c>
      <c r="Z830" s="80"/>
      <c r="AA830" s="80"/>
      <c r="AB830" s="73" t="s">
        <v>3162</v>
      </c>
      <c r="AC830" s="153"/>
      <c r="AD830" s="331"/>
      <c r="AE830" s="57"/>
      <c r="AF830" s="88"/>
      <c r="AG830" s="182">
        <f>YEAR(V830)</f>
        <v>2023</v>
      </c>
      <c r="AH830" s="86" t="str">
        <f>+IF(AF830=$AI$22,MONTH(U830),"")</f>
        <v/>
      </c>
      <c r="AI830" s="86" t="str">
        <f>+IF(AG830=$AI$22,MONTH(V830),"")</f>
        <v/>
      </c>
      <c r="AJ830" s="86" t="str">
        <f>+IF(AG830=$AJ$22,MONTH(V830),"")</f>
        <v/>
      </c>
      <c r="AK830" s="86">
        <f>+IF(AG830=$AK$22,MONTH(V830),"")</f>
        <v>11</v>
      </c>
      <c r="AL830" s="86"/>
      <c r="AW830" s="86" t="str">
        <f>+IF($AG830=AW$22,MONTH($D830),"")</f>
        <v/>
      </c>
      <c r="AX830" s="86" t="str">
        <f>+IF($AG830=AX$22,MONTH($D830),"")</f>
        <v/>
      </c>
    </row>
    <row r="831" spans="1:68" s="56" customFormat="1" ht="27" hidden="1">
      <c r="A831" s="204">
        <f>+IFERROR(VALUE(MID(AB831,4,4)),"")</f>
        <v>352</v>
      </c>
      <c r="B831" s="204">
        <f>VALUE(RIGHT(C831,LEN(C831)-2))</f>
        <v>1892</v>
      </c>
      <c r="C831" s="74" t="s">
        <v>3163</v>
      </c>
      <c r="D831" s="75">
        <v>45236</v>
      </c>
      <c r="E831" s="70" t="s">
        <v>53</v>
      </c>
      <c r="F831" s="70" t="s">
        <v>642</v>
      </c>
      <c r="G831" s="68" t="s">
        <v>210</v>
      </c>
      <c r="H831" s="59"/>
      <c r="I831" s="69" t="s">
        <v>3164</v>
      </c>
      <c r="J831" s="69"/>
      <c r="K831" s="68" t="s">
        <v>14</v>
      </c>
      <c r="L831" s="69" t="s">
        <v>129</v>
      </c>
      <c r="M831" s="71" t="s">
        <v>141</v>
      </c>
      <c r="N831" s="69" t="e" vm="1">
        <v>#VALUE!</v>
      </c>
      <c r="O831" s="164">
        <v>45250</v>
      </c>
      <c r="P831" s="164" t="s">
        <v>689</v>
      </c>
      <c r="Q831" s="72" t="s">
        <v>229</v>
      </c>
      <c r="R831" s="162"/>
      <c r="S831" s="146"/>
      <c r="T831" s="68" t="s">
        <v>165</v>
      </c>
      <c r="U831" s="87"/>
      <c r="V831" s="80">
        <v>45257</v>
      </c>
      <c r="W831" s="73">
        <v>1304</v>
      </c>
      <c r="X831" s="73">
        <v>97</v>
      </c>
      <c r="Y831" s="83">
        <f>IF(SUM(W831:W831)&gt;0,X831/SUM(W831:W831)*1000000,"N/A")</f>
        <v>74386.503067484664</v>
      </c>
      <c r="Z831" s="80"/>
      <c r="AA831" s="80"/>
      <c r="AB831" s="150" t="s">
        <v>3165</v>
      </c>
      <c r="AC831" s="153"/>
      <c r="AD831" s="331"/>
      <c r="AE831" s="57"/>
      <c r="AF831" s="88"/>
      <c r="AG831" s="182">
        <f>YEAR(V831)</f>
        <v>2023</v>
      </c>
      <c r="AH831" s="86" t="str">
        <f>+IF(AF831=$AI$22,MONTH(U831),"")</f>
        <v/>
      </c>
      <c r="AI831" s="86" t="str">
        <f>+IF(AG831=$AI$22,MONTH(V831),"")</f>
        <v/>
      </c>
      <c r="AJ831" s="86" t="str">
        <f>+IF(AG831=$AJ$22,MONTH(V831),"")</f>
        <v/>
      </c>
      <c r="AK831" s="86">
        <f>+IF(AG831=$AK$22,MONTH(V831),"")</f>
        <v>11</v>
      </c>
      <c r="AL831" s="86"/>
      <c r="AM831" s="89"/>
      <c r="AN831" s="89"/>
      <c r="AO831" s="89"/>
      <c r="AP831" s="89"/>
      <c r="AQ831" s="89"/>
      <c r="AR831" s="89"/>
      <c r="AS831" s="89"/>
      <c r="AT831" s="89"/>
      <c r="AU831" s="89"/>
      <c r="AV831" s="89"/>
      <c r="AW831" s="86" t="str">
        <f>+IF($AG831=AW$22,MONTH($D831),"")</f>
        <v/>
      </c>
      <c r="AX831" s="86" t="str">
        <f>+IF($AG831=AX$22,MONTH($D831),"")</f>
        <v/>
      </c>
      <c r="AY831" s="89"/>
      <c r="AZ831" s="89"/>
      <c r="BA831" s="89"/>
      <c r="BB831" s="89"/>
      <c r="BC831" s="89"/>
      <c r="BD831" s="89"/>
      <c r="BE831" s="89"/>
      <c r="BF831" s="89"/>
      <c r="BG831" s="89"/>
      <c r="BH831" s="89"/>
      <c r="BI831" s="89"/>
      <c r="BJ831" s="89"/>
      <c r="BK831" s="89"/>
      <c r="BL831" s="89"/>
      <c r="BM831" s="89"/>
      <c r="BN831" s="89"/>
      <c r="BO831" s="89"/>
      <c r="BP831" s="89"/>
    </row>
    <row r="832" spans="1:68" s="56" customFormat="1" ht="27" hidden="1">
      <c r="A832" s="204" t="str">
        <f>+IFERROR(VALUE(MID(AB832,4,4)),"")</f>
        <v/>
      </c>
      <c r="B832" s="204">
        <f>VALUE(RIGHT(C832,LEN(C832)-2))</f>
        <v>1891</v>
      </c>
      <c r="C832" s="74" t="s">
        <v>3166</v>
      </c>
      <c r="D832" s="75">
        <v>45236</v>
      </c>
      <c r="E832" s="70" t="s">
        <v>262</v>
      </c>
      <c r="F832" s="70" t="s">
        <v>270</v>
      </c>
      <c r="G832" s="68" t="s">
        <v>2756</v>
      </c>
      <c r="H832" s="59" t="s">
        <v>2172</v>
      </c>
      <c r="I832" s="69" t="s">
        <v>3167</v>
      </c>
      <c r="J832" s="69"/>
      <c r="K832" s="68" t="s">
        <v>14</v>
      </c>
      <c r="L832" s="69" t="s">
        <v>120</v>
      </c>
      <c r="M832" s="71" t="s">
        <v>141</v>
      </c>
      <c r="N832" s="69" t="e" vm="1">
        <v>#VALUE!</v>
      </c>
      <c r="O832" s="164">
        <v>45238</v>
      </c>
      <c r="P832" s="164" t="s">
        <v>2852</v>
      </c>
      <c r="Q832" s="72" t="s">
        <v>1097</v>
      </c>
      <c r="R832" s="162"/>
      <c r="S832" s="146"/>
      <c r="T832" s="68" t="s">
        <v>168</v>
      </c>
      <c r="U832" s="87"/>
      <c r="V832" s="80">
        <v>45303</v>
      </c>
      <c r="W832" s="73"/>
      <c r="X832" s="73"/>
      <c r="Y832" s="83" t="str">
        <f>IF(SUM(W832:W832)&gt;0,X832/SUM(W832:W832)*1000000,"N/A")</f>
        <v>N/A</v>
      </c>
      <c r="Z832" s="80"/>
      <c r="AA832" s="80"/>
      <c r="AB832" s="73"/>
      <c r="AC832" s="153"/>
      <c r="AD832" s="331"/>
      <c r="AE832" s="57"/>
      <c r="AF832" s="88"/>
      <c r="AG832" s="182">
        <f>YEAR(V832)</f>
        <v>2024</v>
      </c>
      <c r="AH832" s="86" t="str">
        <f>+IF(AF832=$AI$22,MONTH(U832),"")</f>
        <v/>
      </c>
      <c r="AI832" s="86" t="str">
        <f>+IF(AG832=$AI$22,MONTH(V832),"")</f>
        <v/>
      </c>
      <c r="AJ832" s="86">
        <f>+IF(AG832=$AJ$22,MONTH(V832),"")</f>
        <v>1</v>
      </c>
      <c r="AK832" s="86" t="str">
        <f>+IF(AG832=$AK$22,MONTH(V832),"")</f>
        <v/>
      </c>
      <c r="AL832" s="86"/>
      <c r="AM832" s="89"/>
      <c r="AN832" s="89"/>
      <c r="AO832" s="89"/>
      <c r="AP832" s="89"/>
      <c r="AQ832" s="89"/>
      <c r="AR832" s="89"/>
      <c r="AS832" s="89"/>
      <c r="AT832" s="89"/>
      <c r="AU832" s="89"/>
      <c r="AV832" s="89"/>
      <c r="AW832" s="86" t="str">
        <f>+IF($AG832=AW$22,MONTH($D832),"")</f>
        <v/>
      </c>
      <c r="AX832" s="86" t="str">
        <f>+IF($AG832=AX$22,MONTH($D832),"")</f>
        <v/>
      </c>
      <c r="AY832" s="89"/>
      <c r="AZ832" s="89"/>
      <c r="BA832" s="89"/>
      <c r="BB832" s="89"/>
      <c r="BC832" s="89"/>
      <c r="BD832" s="89"/>
      <c r="BE832" s="89"/>
      <c r="BF832" s="89"/>
      <c r="BG832" s="89"/>
      <c r="BH832" s="89"/>
      <c r="BI832" s="89"/>
      <c r="BJ832" s="89"/>
      <c r="BK832" s="89"/>
      <c r="BL832" s="89"/>
      <c r="BM832" s="89"/>
      <c r="BN832" s="89"/>
      <c r="BO832" s="89"/>
      <c r="BP832" s="89"/>
    </row>
    <row r="833" spans="1:68" s="56" customFormat="1" ht="27" hidden="1">
      <c r="A833" s="204" t="str">
        <f>+IFERROR(VALUE(MID(AB833,4,4)),"")</f>
        <v/>
      </c>
      <c r="B833" s="204">
        <f>VALUE(RIGHT(C833,LEN(C833)-2))</f>
        <v>1890</v>
      </c>
      <c r="C833" s="74" t="s">
        <v>3168</v>
      </c>
      <c r="D833" s="75">
        <v>45236</v>
      </c>
      <c r="E833" s="161" t="s">
        <v>479</v>
      </c>
      <c r="F833" s="161" t="s">
        <v>479</v>
      </c>
      <c r="G833" s="68" t="s">
        <v>3159</v>
      </c>
      <c r="H833" s="179" t="s">
        <v>3160</v>
      </c>
      <c r="I833" s="69" t="s">
        <v>3169</v>
      </c>
      <c r="J833" s="69"/>
      <c r="K833" s="76" t="s">
        <v>11</v>
      </c>
      <c r="L833" s="162" t="s">
        <v>123</v>
      </c>
      <c r="M833" s="71" t="s">
        <v>113</v>
      </c>
      <c r="N833" s="69" t="e" vm="2">
        <v>#VALUE!</v>
      </c>
      <c r="O833" s="164">
        <v>45239</v>
      </c>
      <c r="P833" s="164" t="s">
        <v>483</v>
      </c>
      <c r="Q833" s="72" t="s">
        <v>623</v>
      </c>
      <c r="R833" s="162"/>
      <c r="S833" s="146" t="s">
        <v>2813</v>
      </c>
      <c r="T833" s="68" t="s">
        <v>168</v>
      </c>
      <c r="U833" s="87"/>
      <c r="V833" s="80">
        <v>45236</v>
      </c>
      <c r="W833" s="73"/>
      <c r="X833" s="73"/>
      <c r="Y833" s="83" t="str">
        <f>IF(SUM(W833:W833)&gt;0,X833/SUM(W833:W833)*1000000,"N/A")</f>
        <v>N/A</v>
      </c>
      <c r="Z833" s="80"/>
      <c r="AA833" s="80"/>
      <c r="AB833" s="73"/>
      <c r="AC833" s="153"/>
      <c r="AD833" s="331"/>
      <c r="AE833" s="57"/>
      <c r="AF833" s="88"/>
      <c r="AG833" s="182">
        <f>YEAR(V833)</f>
        <v>2023</v>
      </c>
      <c r="AH833" s="86" t="str">
        <f>+IF(AF833=$AI$22,MONTH(U833),"")</f>
        <v/>
      </c>
      <c r="AI833" s="86" t="str">
        <f>+IF(AG833=$AI$22,MONTH(V833),"")</f>
        <v/>
      </c>
      <c r="AJ833" s="86" t="str">
        <f>+IF(AG833=$AJ$22,MONTH(V833),"")</f>
        <v/>
      </c>
      <c r="AK833" s="86">
        <f>+IF(AG833=$AK$22,MONTH(V833),"")</f>
        <v>11</v>
      </c>
      <c r="AL833" s="86"/>
      <c r="AM833" s="89"/>
      <c r="AN833" s="89"/>
      <c r="AO833" s="89"/>
      <c r="AP833" s="89"/>
      <c r="AQ833" s="89"/>
      <c r="AR833" s="89"/>
      <c r="AS833" s="89"/>
      <c r="AT833" s="89"/>
      <c r="AU833" s="89"/>
      <c r="AV833" s="89"/>
      <c r="AW833" s="86" t="str">
        <f>+IF($AG833=AW$22,MONTH($D833),"")</f>
        <v/>
      </c>
      <c r="AX833" s="86" t="str">
        <f>+IF($AG833=AX$22,MONTH($D833),"")</f>
        <v/>
      </c>
      <c r="AY833" s="89"/>
      <c r="AZ833" s="89"/>
      <c r="BA833" s="89"/>
      <c r="BB833" s="89"/>
      <c r="BC833" s="89"/>
      <c r="BD833" s="89"/>
      <c r="BE833" s="89"/>
      <c r="BF833" s="89"/>
      <c r="BG833" s="89"/>
      <c r="BH833" s="89"/>
      <c r="BI833" s="89"/>
      <c r="BJ833" s="89"/>
      <c r="BK833" s="89"/>
      <c r="BL833" s="89"/>
      <c r="BM833" s="89"/>
      <c r="BN833" s="89"/>
      <c r="BO833" s="89"/>
      <c r="BP833" s="89"/>
    </row>
    <row r="834" spans="1:68" s="56" customFormat="1" ht="27" hidden="1">
      <c r="A834" s="204" t="str">
        <f>+IFERROR(VALUE(MID(AB834,4,4)),"")</f>
        <v/>
      </c>
      <c r="B834" s="204">
        <f>VALUE(RIGHT(C834,LEN(C834)-2))</f>
        <v>1889</v>
      </c>
      <c r="C834" s="74" t="s">
        <v>3170</v>
      </c>
      <c r="D834" s="75">
        <v>45236</v>
      </c>
      <c r="E834" s="70" t="s">
        <v>473</v>
      </c>
      <c r="F834" s="70" t="s">
        <v>473</v>
      </c>
      <c r="G834" s="68" t="s">
        <v>1847</v>
      </c>
      <c r="H834" s="59"/>
      <c r="I834" s="69" t="s">
        <v>3171</v>
      </c>
      <c r="J834" s="69"/>
      <c r="K834" s="68" t="s">
        <v>13</v>
      </c>
      <c r="L834" s="69" t="s">
        <v>120</v>
      </c>
      <c r="M834" s="71" t="s">
        <v>141</v>
      </c>
      <c r="N834" s="69" t="e" vm="1">
        <v>#VALUE!</v>
      </c>
      <c r="O834" s="164" t="s">
        <v>3172</v>
      </c>
      <c r="P834" s="164" t="s">
        <v>3173</v>
      </c>
      <c r="Q834" s="72" t="s">
        <v>316</v>
      </c>
      <c r="R834" s="162"/>
      <c r="S834" s="146"/>
      <c r="T834" s="68" t="s">
        <v>155</v>
      </c>
      <c r="U834" s="87"/>
      <c r="V834" s="80">
        <v>45236</v>
      </c>
      <c r="W834" s="73"/>
      <c r="X834" s="73"/>
      <c r="Y834" s="83" t="str">
        <f>IF(SUM(W834:W834)&gt;0,X834/SUM(W834:W834)*1000000,"N/A")</f>
        <v>N/A</v>
      </c>
      <c r="Z834" s="80"/>
      <c r="AA834" s="80"/>
      <c r="AB834" s="73"/>
      <c r="AC834" s="153"/>
      <c r="AD834" s="331"/>
      <c r="AE834" s="57"/>
      <c r="AF834" s="88"/>
      <c r="AG834" s="182">
        <f>YEAR(V834)</f>
        <v>2023</v>
      </c>
      <c r="AH834" s="86" t="str">
        <f>+IF(AF834=$AI$22,MONTH(U834),"")</f>
        <v/>
      </c>
      <c r="AI834" s="86" t="str">
        <f>+IF(AG834=$AI$22,MONTH(V834),"")</f>
        <v/>
      </c>
      <c r="AJ834" s="86" t="str">
        <f>+IF(AG834=$AJ$22,MONTH(V834),"")</f>
        <v/>
      </c>
      <c r="AK834" s="86">
        <f>+IF(AG834=$AK$22,MONTH(V834),"")</f>
        <v>11</v>
      </c>
      <c r="AL834" s="86"/>
      <c r="AM834" s="89"/>
      <c r="AN834" s="89"/>
      <c r="AO834" s="89"/>
      <c r="AP834" s="89"/>
      <c r="AQ834" s="89"/>
      <c r="AR834" s="89"/>
      <c r="AS834" s="89"/>
      <c r="AT834" s="89"/>
      <c r="AU834" s="89"/>
      <c r="AV834" s="89"/>
      <c r="AW834" s="86" t="str">
        <f>+IF($AG834=AW$22,MONTH($D834),"")</f>
        <v/>
      </c>
      <c r="AX834" s="86" t="str">
        <f>+IF($AG834=AX$22,MONTH($D834),"")</f>
        <v/>
      </c>
      <c r="AY834" s="89"/>
      <c r="AZ834" s="89"/>
      <c r="BA834" s="89"/>
      <c r="BB834" s="89"/>
      <c r="BC834" s="89"/>
      <c r="BD834" s="89"/>
      <c r="BE834" s="89"/>
      <c r="BF834" s="89"/>
      <c r="BG834" s="89"/>
      <c r="BH834" s="89"/>
      <c r="BI834" s="89"/>
      <c r="BJ834" s="89"/>
      <c r="BK834" s="89"/>
      <c r="BL834" s="89"/>
      <c r="BM834" s="89"/>
      <c r="BN834" s="89"/>
      <c r="BO834" s="89"/>
      <c r="BP834" s="89"/>
    </row>
    <row r="835" spans="1:68" s="56" customFormat="1" ht="13.5" hidden="1">
      <c r="A835" s="204" t="str">
        <f>+IFERROR(VALUE(MID(AB835,4,4)),"")</f>
        <v/>
      </c>
      <c r="B835" s="204">
        <f>VALUE(RIGHT(C835,LEN(C835)-2))</f>
        <v>1888</v>
      </c>
      <c r="C835" s="74" t="s">
        <v>3174</v>
      </c>
      <c r="D835" s="75">
        <v>45236</v>
      </c>
      <c r="E835" s="70" t="s">
        <v>939</v>
      </c>
      <c r="F835" s="70" t="s">
        <v>940</v>
      </c>
      <c r="G835" s="68" t="s">
        <v>3057</v>
      </c>
      <c r="H835" s="59"/>
      <c r="I835" s="69" t="s">
        <v>3175</v>
      </c>
      <c r="J835" s="69"/>
      <c r="K835" s="68" t="s">
        <v>12</v>
      </c>
      <c r="L835" s="69" t="s">
        <v>120</v>
      </c>
      <c r="M835" s="71" t="s">
        <v>141</v>
      </c>
      <c r="N835" s="69" t="e" vm="1">
        <v>#VALUE!</v>
      </c>
      <c r="O835" s="164">
        <v>45250</v>
      </c>
      <c r="P835" s="164" t="s">
        <v>666</v>
      </c>
      <c r="Q835" s="72" t="s">
        <v>229</v>
      </c>
      <c r="R835" s="162"/>
      <c r="S835" s="146"/>
      <c r="T835" s="68" t="s">
        <v>165</v>
      </c>
      <c r="U835" s="87"/>
      <c r="V835" s="80">
        <v>45327</v>
      </c>
      <c r="W835" s="73">
        <v>290</v>
      </c>
      <c r="X835" s="73">
        <f>11835110/1000000</f>
        <v>11.83511</v>
      </c>
      <c r="Y835" s="83">
        <f>IF(SUM(W835:W835)&gt;0,X835/SUM(W835:W835)*1000000,"N/A")</f>
        <v>40810.724137931036</v>
      </c>
      <c r="Z835" s="80"/>
      <c r="AA835" s="80"/>
      <c r="AB835" s="73"/>
      <c r="AC835" s="153"/>
      <c r="AD835" s="331"/>
      <c r="AE835" s="57"/>
      <c r="AF835" s="88"/>
      <c r="AG835" s="182">
        <f>YEAR(V835)</f>
        <v>2024</v>
      </c>
      <c r="AH835" s="86" t="str">
        <f>+IF(AF835=$AI$22,MONTH(U835),"")</f>
        <v/>
      </c>
      <c r="AI835" s="86" t="str">
        <f>+IF(AG835=$AI$22,MONTH(V835),"")</f>
        <v/>
      </c>
      <c r="AJ835" s="86">
        <f>+IF(AG835=$AJ$22,MONTH(V835),"")</f>
        <v>2</v>
      </c>
      <c r="AK835" s="86" t="str">
        <f>+IF(AG835=$AK$22,MONTH(V835),"")</f>
        <v/>
      </c>
      <c r="AL835" s="86"/>
      <c r="AM835" s="89"/>
      <c r="AN835" s="89"/>
      <c r="AO835" s="89"/>
      <c r="AP835" s="89"/>
      <c r="AQ835" s="89"/>
      <c r="AR835" s="89"/>
      <c r="AS835" s="89"/>
      <c r="AT835" s="89"/>
      <c r="AU835" s="89"/>
      <c r="AV835" s="89"/>
      <c r="AW835" s="86" t="str">
        <f>+IF($AG835=AW$22,MONTH($D835),"")</f>
        <v/>
      </c>
      <c r="AX835" s="86" t="str">
        <f>+IF($AG835=AX$22,MONTH($D835),"")</f>
        <v/>
      </c>
      <c r="AY835" s="89"/>
      <c r="AZ835" s="89"/>
      <c r="BA835" s="89"/>
      <c r="BB835" s="89"/>
      <c r="BC835" s="89"/>
      <c r="BD835" s="89"/>
      <c r="BE835" s="89"/>
      <c r="BF835" s="89"/>
      <c r="BG835" s="89"/>
      <c r="BH835" s="89"/>
      <c r="BI835" s="89"/>
      <c r="BJ835" s="89"/>
      <c r="BK835" s="89"/>
      <c r="BL835" s="89"/>
      <c r="BM835" s="89"/>
      <c r="BN835" s="89"/>
      <c r="BO835" s="89"/>
      <c r="BP835" s="89"/>
    </row>
    <row r="836" spans="1:68" s="56" customFormat="1" ht="27" hidden="1">
      <c r="A836" s="204" t="str">
        <f>+IFERROR(VALUE(MID(AB836,4,4)),"")</f>
        <v/>
      </c>
      <c r="B836" s="204">
        <f>VALUE(RIGHT(C836,LEN(C836)-2))</f>
        <v>1887</v>
      </c>
      <c r="C836" s="74" t="s">
        <v>3176</v>
      </c>
      <c r="D836" s="75">
        <v>45233</v>
      </c>
      <c r="E836" s="70" t="s">
        <v>3177</v>
      </c>
      <c r="F836" s="70" t="s">
        <v>3177</v>
      </c>
      <c r="G836" s="68" t="s">
        <v>3178</v>
      </c>
      <c r="H836" s="59" t="s">
        <v>3179</v>
      </c>
      <c r="I836" s="69" t="s">
        <v>3180</v>
      </c>
      <c r="J836" s="69"/>
      <c r="K836" s="68" t="s">
        <v>13</v>
      </c>
      <c r="L836" s="69" t="s">
        <v>120</v>
      </c>
      <c r="M836" s="71" t="s">
        <v>141</v>
      </c>
      <c r="N836" s="69" t="e" vm="1">
        <v>#VALUE!</v>
      </c>
      <c r="O836" s="164">
        <v>45243</v>
      </c>
      <c r="P836" s="164" t="s">
        <v>402</v>
      </c>
      <c r="Q836" s="72" t="s">
        <v>229</v>
      </c>
      <c r="R836" s="162"/>
      <c r="S836" s="146"/>
      <c r="T836" s="68" t="s">
        <v>165</v>
      </c>
      <c r="U836" s="87"/>
      <c r="V836" s="80">
        <v>45483</v>
      </c>
      <c r="W836" s="73">
        <v>439</v>
      </c>
      <c r="X836" s="73">
        <v>18</v>
      </c>
      <c r="Y836" s="83">
        <f>IF(SUM(W836:W836)&gt;0,X836/SUM(W836:W836)*1000000,"N/A")</f>
        <v>41002.277904328017</v>
      </c>
      <c r="Z836" s="80"/>
      <c r="AA836" s="80"/>
      <c r="AB836" s="73"/>
      <c r="AC836" s="153"/>
      <c r="AD836" s="331"/>
      <c r="AE836" s="57"/>
      <c r="AF836" s="88"/>
      <c r="AG836" s="182">
        <f>YEAR(V836)</f>
        <v>2024</v>
      </c>
      <c r="AH836" s="86" t="str">
        <f>+IF(AF836=$AI$22,MONTH(U836),"")</f>
        <v/>
      </c>
      <c r="AI836" s="86" t="str">
        <f>+IF(AG836=$AI$22,MONTH(V836),"")</f>
        <v/>
      </c>
      <c r="AJ836" s="86">
        <f>+IF(AG836=$AJ$22,MONTH(V836),"")</f>
        <v>7</v>
      </c>
      <c r="AK836" s="86" t="str">
        <f>+IF(AG836=$AK$22,MONTH(V836),"")</f>
        <v/>
      </c>
      <c r="AL836" s="86"/>
      <c r="AM836" s="89"/>
      <c r="AN836" s="89"/>
      <c r="AO836" s="89"/>
      <c r="AP836" s="89"/>
      <c r="AQ836" s="89"/>
      <c r="AR836" s="89"/>
      <c r="AS836" s="89"/>
      <c r="AT836" s="89"/>
      <c r="AU836" s="89"/>
      <c r="AV836" s="89"/>
      <c r="AW836" s="86" t="str">
        <f>+IF($AG836=AW$22,MONTH($D836),"")</f>
        <v/>
      </c>
      <c r="AX836" s="86" t="str">
        <f>+IF($AG836=AX$22,MONTH($D836),"")</f>
        <v/>
      </c>
      <c r="AY836" s="89"/>
      <c r="AZ836" s="89"/>
      <c r="BA836" s="89"/>
      <c r="BB836" s="89"/>
      <c r="BC836" s="89"/>
      <c r="BD836" s="89"/>
      <c r="BE836" s="89"/>
      <c r="BF836" s="89"/>
      <c r="BG836" s="89"/>
      <c r="BH836" s="89"/>
      <c r="BI836" s="89"/>
      <c r="BJ836" s="89"/>
      <c r="BK836" s="89"/>
      <c r="BL836" s="89"/>
      <c r="BM836" s="89"/>
      <c r="BN836" s="89"/>
      <c r="BO836" s="89"/>
      <c r="BP836" s="89"/>
    </row>
    <row r="837" spans="1:68" s="56" customFormat="1" ht="26.25" hidden="1" customHeight="1">
      <c r="A837" s="204">
        <f>+IFERROR(VALUE(MID(AB837,4,4)),"")</f>
        <v>382</v>
      </c>
      <c r="B837" s="204">
        <f>VALUE(RIGHT(C837,LEN(C837)-2))</f>
        <v>1886</v>
      </c>
      <c r="C837" s="74" t="s">
        <v>3181</v>
      </c>
      <c r="D837" s="75">
        <v>45200</v>
      </c>
      <c r="E837" s="70" t="s">
        <v>53</v>
      </c>
      <c r="F837" s="70" t="s">
        <v>642</v>
      </c>
      <c r="G837" s="68" t="s">
        <v>210</v>
      </c>
      <c r="H837" s="59"/>
      <c r="I837" s="69" t="s">
        <v>3182</v>
      </c>
      <c r="J837" s="69"/>
      <c r="K837" s="68" t="s">
        <v>13</v>
      </c>
      <c r="L837" s="69" t="s">
        <v>123</v>
      </c>
      <c r="M837" s="71" t="s">
        <v>141</v>
      </c>
      <c r="N837" s="69" t="e" vm="1">
        <v>#VALUE!</v>
      </c>
      <c r="O837" s="164">
        <v>45300</v>
      </c>
      <c r="P837" s="164" t="s">
        <v>689</v>
      </c>
      <c r="Q837" s="72" t="s">
        <v>229</v>
      </c>
      <c r="R837" s="162"/>
      <c r="S837" s="146"/>
      <c r="T837" s="68" t="s">
        <v>3</v>
      </c>
      <c r="U837" s="87"/>
      <c r="V837" s="183">
        <v>45391</v>
      </c>
      <c r="W837" s="73">
        <v>5375</v>
      </c>
      <c r="X837" s="73">
        <v>232</v>
      </c>
      <c r="Y837" s="83">
        <f>IF(SUM(W837:W837)&gt;0,X837/SUM(W837:W837)*1000000,"N/A")</f>
        <v>43162.79069767442</v>
      </c>
      <c r="Z837" s="183"/>
      <c r="AA837" s="183"/>
      <c r="AB837" s="73" t="s">
        <v>3183</v>
      </c>
      <c r="AC837" s="153"/>
      <c r="AD837" s="331"/>
      <c r="AE837" s="57"/>
      <c r="AF837" s="88"/>
      <c r="AG837" s="182">
        <f>YEAR(V837)</f>
        <v>2024</v>
      </c>
      <c r="AH837" s="86" t="str">
        <f>+IF(AF837=$AI$22,MONTH(U837),"")</f>
        <v/>
      </c>
      <c r="AI837" s="86" t="str">
        <f>+IF(AG837=$AI$22,MONTH(V837),"")</f>
        <v/>
      </c>
      <c r="AJ837" s="86">
        <f>+IF(AG837=$AJ$22,MONTH(V837),"")</f>
        <v>4</v>
      </c>
      <c r="AK837" s="86" t="str">
        <f>+IF(AG837=$AK$22,MONTH(V837),"")</f>
        <v/>
      </c>
      <c r="AL837" s="86"/>
      <c r="AM837" s="89"/>
      <c r="AN837" s="89"/>
      <c r="AO837" s="89"/>
      <c r="AP837" s="89"/>
      <c r="AQ837" s="89"/>
      <c r="AR837" s="89"/>
      <c r="AS837" s="89"/>
      <c r="AT837" s="89"/>
      <c r="AU837" s="89"/>
      <c r="AV837" s="89"/>
      <c r="AW837" s="86" t="str">
        <f>+IF($AG837=AW$22,MONTH($D837),"")</f>
        <v/>
      </c>
      <c r="AX837" s="86" t="str">
        <f>+IF($AG837=AX$22,MONTH($D837),"")</f>
        <v/>
      </c>
      <c r="AY837" s="89"/>
      <c r="AZ837" s="89"/>
      <c r="BA837" s="89"/>
      <c r="BB837" s="89"/>
      <c r="BC837" s="89"/>
      <c r="BD837" s="89"/>
      <c r="BE837" s="89"/>
      <c r="BF837" s="89"/>
      <c r="BG837" s="89"/>
      <c r="BH837" s="89"/>
      <c r="BI837" s="89"/>
      <c r="BJ837" s="89"/>
      <c r="BK837" s="89"/>
      <c r="BL837" s="89"/>
      <c r="BM837" s="89"/>
      <c r="BN837" s="89"/>
      <c r="BO837" s="89"/>
      <c r="BP837" s="89"/>
    </row>
    <row r="838" spans="1:68" s="56" customFormat="1" ht="24.75" hidden="1" customHeight="1">
      <c r="A838" s="204" t="str">
        <f>+IFERROR(VALUE(MID(AB838,4,4)),"")</f>
        <v/>
      </c>
      <c r="B838" s="204">
        <f>VALUE(RIGHT(C838,LEN(C838)-2))</f>
        <v>1885</v>
      </c>
      <c r="C838" s="74" t="s">
        <v>3184</v>
      </c>
      <c r="D838" s="75">
        <v>45230</v>
      </c>
      <c r="E838" s="70" t="s">
        <v>939</v>
      </c>
      <c r="F838" s="70" t="s">
        <v>940</v>
      </c>
      <c r="G838" s="68" t="s">
        <v>2409</v>
      </c>
      <c r="H838" s="59"/>
      <c r="I838" s="69" t="s">
        <v>3185</v>
      </c>
      <c r="J838" s="69"/>
      <c r="K838" s="68" t="s">
        <v>45</v>
      </c>
      <c r="L838" s="69" t="s">
        <v>123</v>
      </c>
      <c r="M838" s="71" t="s">
        <v>141</v>
      </c>
      <c r="N838" s="69" t="e" vm="1">
        <v>#VALUE!</v>
      </c>
      <c r="O838" s="164">
        <v>45252</v>
      </c>
      <c r="P838" s="164" t="s">
        <v>701</v>
      </c>
      <c r="Q838" s="72" t="s">
        <v>623</v>
      </c>
      <c r="R838" s="162"/>
      <c r="S838" s="146" t="s">
        <v>3186</v>
      </c>
      <c r="T838" s="68" t="s">
        <v>165</v>
      </c>
      <c r="U838" s="87"/>
      <c r="V838" s="80">
        <v>45309</v>
      </c>
      <c r="W838" s="73">
        <v>2197</v>
      </c>
      <c r="X838" s="73">
        <v>106</v>
      </c>
      <c r="Y838" s="83">
        <f>IF(SUM(W838:W838)&gt;0,X838/SUM(W838:W838)*1000000,"N/A")</f>
        <v>48247.610377787896</v>
      </c>
      <c r="Z838" s="80"/>
      <c r="AA838" s="80"/>
      <c r="AB838" s="73"/>
      <c r="AC838" s="153"/>
      <c r="AD838" s="331"/>
      <c r="AE838" s="57"/>
      <c r="AF838" s="88"/>
      <c r="AG838" s="182">
        <f>YEAR(V838)</f>
        <v>2024</v>
      </c>
      <c r="AH838" s="86" t="str">
        <f>+IF(AF838=$AI$22,MONTH(U838),"")</f>
        <v/>
      </c>
      <c r="AI838" s="86" t="str">
        <f>+IF(AG838=$AI$22,MONTH(V838),"")</f>
        <v/>
      </c>
      <c r="AJ838" s="86">
        <f>+IF(AG838=$AJ$22,MONTH(V838),"")</f>
        <v>1</v>
      </c>
      <c r="AK838" s="86" t="str">
        <f>+IF(AG838=$AK$22,MONTH(V838),"")</f>
        <v/>
      </c>
      <c r="AL838" s="86"/>
      <c r="AM838" s="89"/>
      <c r="AN838" s="89"/>
      <c r="AO838" s="89"/>
      <c r="AP838" s="89"/>
      <c r="AQ838" s="89"/>
      <c r="AR838" s="89"/>
      <c r="AS838" s="89"/>
      <c r="AT838" s="89"/>
      <c r="AU838" s="89"/>
      <c r="AV838" s="89"/>
      <c r="AW838" s="86" t="str">
        <f>+IF($AG838=AW$22,MONTH($D838),"")</f>
        <v/>
      </c>
      <c r="AX838" s="86" t="str">
        <f>+IF($AG838=AX$22,MONTH($D838),"")</f>
        <v/>
      </c>
      <c r="AY838" s="89"/>
      <c r="AZ838" s="89"/>
      <c r="BA838" s="89"/>
      <c r="BB838" s="89"/>
      <c r="BC838" s="89"/>
      <c r="BD838" s="89"/>
      <c r="BE838" s="89"/>
      <c r="BF838" s="89"/>
      <c r="BG838" s="89"/>
      <c r="BH838" s="89"/>
      <c r="BI838" s="89"/>
      <c r="BJ838" s="89"/>
      <c r="BK838" s="89"/>
      <c r="BL838" s="89"/>
      <c r="BM838" s="89"/>
      <c r="BN838" s="89"/>
      <c r="BO838" s="89"/>
      <c r="BP838" s="89"/>
    </row>
    <row r="839" spans="1:68" s="56" customFormat="1" ht="40.5" hidden="1">
      <c r="A839" s="204" t="str">
        <f>+IFERROR(VALUE(MID(AB839,4,4)),"")</f>
        <v/>
      </c>
      <c r="B839" s="204">
        <f>VALUE(RIGHT(C839,LEN(C839)-2))</f>
        <v>1884</v>
      </c>
      <c r="C839" s="74" t="s">
        <v>3187</v>
      </c>
      <c r="D839" s="75">
        <v>45230</v>
      </c>
      <c r="E839" s="70" t="s">
        <v>53</v>
      </c>
      <c r="F839" s="70" t="s">
        <v>630</v>
      </c>
      <c r="G839" s="68" t="s">
        <v>210</v>
      </c>
      <c r="H839" s="59"/>
      <c r="I839" s="69" t="s">
        <v>3188</v>
      </c>
      <c r="J839" s="69"/>
      <c r="K839" s="68" t="s">
        <v>275</v>
      </c>
      <c r="L839" s="69" t="s">
        <v>123</v>
      </c>
      <c r="M839" s="71" t="s">
        <v>141</v>
      </c>
      <c r="N839" s="69" t="e" vm="1">
        <v>#VALUE!</v>
      </c>
      <c r="O839" s="164">
        <v>45287</v>
      </c>
      <c r="P839" s="164" t="s">
        <v>701</v>
      </c>
      <c r="Q839" s="72" t="s">
        <v>1097</v>
      </c>
      <c r="R839" s="162"/>
      <c r="S839" s="146" t="s">
        <v>3189</v>
      </c>
      <c r="T839" s="68" t="s">
        <v>168</v>
      </c>
      <c r="U839" s="87"/>
      <c r="V839" s="183">
        <v>45369</v>
      </c>
      <c r="W839" s="73"/>
      <c r="X839" s="73"/>
      <c r="Y839" s="83" t="str">
        <f>IF(SUM(W839:W839)&gt;0,X839/SUM(W839:W839)*1000000,"N/A")</f>
        <v>N/A</v>
      </c>
      <c r="Z839" s="183"/>
      <c r="AA839" s="183"/>
      <c r="AB839" s="73"/>
      <c r="AC839" s="153"/>
      <c r="AD839" s="331"/>
      <c r="AE839" s="57"/>
      <c r="AF839" s="88"/>
      <c r="AG839" s="182">
        <f>YEAR(V839)</f>
        <v>2024</v>
      </c>
      <c r="AH839" s="86" t="str">
        <f>+IF(AF839=$AI$22,MONTH(U839),"")</f>
        <v/>
      </c>
      <c r="AI839" s="86" t="str">
        <f>+IF(AG839=$AI$22,MONTH(V839),"")</f>
        <v/>
      </c>
      <c r="AJ839" s="86">
        <f>+IF(AG839=$AJ$22,MONTH(V839),"")</f>
        <v>3</v>
      </c>
      <c r="AK839" s="86" t="str">
        <f>+IF(AG839=$AK$22,MONTH(V839),"")</f>
        <v/>
      </c>
      <c r="AL839" s="86"/>
      <c r="AM839" s="89"/>
      <c r="AN839" s="89"/>
      <c r="AO839" s="89"/>
      <c r="AP839" s="89"/>
      <c r="AQ839" s="89"/>
      <c r="AR839" s="89"/>
      <c r="AS839" s="89"/>
      <c r="AT839" s="89"/>
      <c r="AU839" s="89"/>
      <c r="AV839" s="89"/>
      <c r="AW839" s="86" t="str">
        <f>+IF($AG839=AW$22,MONTH($D839),"")</f>
        <v/>
      </c>
      <c r="AX839" s="86" t="str">
        <f>+IF($AG839=AX$22,MONTH($D839),"")</f>
        <v/>
      </c>
      <c r="AY839" s="89"/>
      <c r="AZ839" s="89"/>
      <c r="BA839" s="89"/>
      <c r="BB839" s="89"/>
      <c r="BC839" s="89"/>
      <c r="BD839" s="89"/>
      <c r="BE839" s="89"/>
      <c r="BF839" s="89"/>
      <c r="BG839" s="89"/>
      <c r="BH839" s="89"/>
      <c r="BI839" s="89"/>
      <c r="BJ839" s="89"/>
      <c r="BK839" s="89"/>
      <c r="BL839" s="89"/>
      <c r="BM839" s="89"/>
      <c r="BN839" s="89"/>
      <c r="BO839" s="89"/>
      <c r="BP839" s="89"/>
    </row>
    <row r="840" spans="1:68" s="56" customFormat="1" ht="13.5" hidden="1">
      <c r="A840" s="204" t="str">
        <f>+IFERROR(VALUE(MID(AB840,4,4)),"")</f>
        <v/>
      </c>
      <c r="B840" s="204">
        <f>VALUE(RIGHT(C840,LEN(C840)-2))</f>
        <v>1883</v>
      </c>
      <c r="C840" s="74" t="s">
        <v>3190</v>
      </c>
      <c r="D840" s="75">
        <v>45229</v>
      </c>
      <c r="E840" s="70" t="s">
        <v>353</v>
      </c>
      <c r="F840" s="70" t="s">
        <v>353</v>
      </c>
      <c r="G840" s="68"/>
      <c r="H840" s="59"/>
      <c r="I840" s="69" t="s">
        <v>3191</v>
      </c>
      <c r="J840" s="69"/>
      <c r="K840" s="68" t="s">
        <v>13</v>
      </c>
      <c r="L840" s="69" t="s">
        <v>123</v>
      </c>
      <c r="M840" s="71" t="s">
        <v>141</v>
      </c>
      <c r="N840" s="69" t="e" vm="1">
        <v>#VALUE!</v>
      </c>
      <c r="O840" s="164">
        <v>45251</v>
      </c>
      <c r="P840" s="164" t="s">
        <v>402</v>
      </c>
      <c r="Q840" s="72" t="s">
        <v>316</v>
      </c>
      <c r="R840" s="162"/>
      <c r="S840" s="146"/>
      <c r="T840" s="68" t="s">
        <v>165</v>
      </c>
      <c r="U840" s="87"/>
      <c r="V840" s="80">
        <v>45254</v>
      </c>
      <c r="W840" s="73">
        <v>9790</v>
      </c>
      <c r="X840" s="73">
        <f>443028600/1000000</f>
        <v>443.02859999999998</v>
      </c>
      <c r="Y840" s="83">
        <f>IF(SUM(W840:W840)&gt;0,X840/SUM(W840:W840)*1000000,"N/A")</f>
        <v>45253.176710929518</v>
      </c>
      <c r="Z840" s="80"/>
      <c r="AA840" s="80"/>
      <c r="AB840" s="73"/>
      <c r="AC840" s="153"/>
      <c r="AD840" s="331"/>
      <c r="AE840" s="57"/>
      <c r="AF840" s="88"/>
      <c r="AG840" s="182">
        <f>YEAR(V840)</f>
        <v>2023</v>
      </c>
      <c r="AH840" s="86" t="str">
        <f>+IF(AF840=$AI$22,MONTH(U840),"")</f>
        <v/>
      </c>
      <c r="AI840" s="86" t="str">
        <f>+IF(AG840=$AI$22,MONTH(V840),"")</f>
        <v/>
      </c>
      <c r="AJ840" s="86" t="str">
        <f>+IF(AG840=$AJ$22,MONTH(V840),"")</f>
        <v/>
      </c>
      <c r="AK840" s="86">
        <f>+IF(AG840=$AK$22,MONTH(V840),"")</f>
        <v>11</v>
      </c>
      <c r="AL840" s="86"/>
      <c r="AM840" s="89"/>
      <c r="AN840" s="89"/>
      <c r="AO840" s="89"/>
      <c r="AP840" s="89"/>
      <c r="AQ840" s="89"/>
      <c r="AR840" s="89"/>
      <c r="AS840" s="89"/>
      <c r="AT840" s="89"/>
      <c r="AU840" s="89"/>
      <c r="AV840" s="89"/>
      <c r="AW840" s="86" t="str">
        <f>+IF($AG840=AW$22,MONTH($D840),"")</f>
        <v/>
      </c>
      <c r="AX840" s="86" t="str">
        <f>+IF($AG840=AX$22,MONTH($D840),"")</f>
        <v/>
      </c>
      <c r="AY840" s="89"/>
      <c r="AZ840" s="89"/>
      <c r="BA840" s="89"/>
      <c r="BB840" s="89"/>
      <c r="BC840" s="89"/>
      <c r="BD840" s="89"/>
      <c r="BE840" s="89"/>
      <c r="BF840" s="89"/>
      <c r="BG840" s="89"/>
      <c r="BH840" s="89"/>
      <c r="BI840" s="89"/>
      <c r="BJ840" s="89"/>
      <c r="BK840" s="89"/>
      <c r="BL840" s="89"/>
      <c r="BM840" s="89"/>
      <c r="BN840" s="89"/>
      <c r="BO840" s="89"/>
      <c r="BP840" s="89"/>
    </row>
    <row r="841" spans="1:68" s="56" customFormat="1" ht="35.25" hidden="1" customHeight="1">
      <c r="A841" s="204" t="str">
        <f>+IFERROR(VALUE(MID(AB841,4,4)),"")</f>
        <v/>
      </c>
      <c r="B841" s="204">
        <f>VALUE(RIGHT(C841,LEN(C841)-2))</f>
        <v>1882</v>
      </c>
      <c r="C841" s="74" t="s">
        <v>3192</v>
      </c>
      <c r="D841" s="75">
        <v>45225</v>
      </c>
      <c r="E841" s="70" t="s">
        <v>262</v>
      </c>
      <c r="F841" s="70" t="s">
        <v>262</v>
      </c>
      <c r="G841" s="68" t="s">
        <v>3193</v>
      </c>
      <c r="H841" s="111" t="s">
        <v>2243</v>
      </c>
      <c r="I841" s="69" t="s">
        <v>3194</v>
      </c>
      <c r="J841" s="69"/>
      <c r="K841" s="68" t="s">
        <v>212</v>
      </c>
      <c r="L841" s="69" t="s">
        <v>123</v>
      </c>
      <c r="M841" s="71" t="s">
        <v>141</v>
      </c>
      <c r="N841" s="69" t="e" vm="1">
        <v>#VALUE!</v>
      </c>
      <c r="O841" s="164"/>
      <c r="P841" s="72"/>
      <c r="Q841" s="72" t="s">
        <v>259</v>
      </c>
      <c r="R841" s="162"/>
      <c r="S841" s="146" t="s">
        <v>3195</v>
      </c>
      <c r="T841" s="68" t="s">
        <v>155</v>
      </c>
      <c r="U841" s="87"/>
      <c r="V841" s="183">
        <v>45225</v>
      </c>
      <c r="W841" s="73"/>
      <c r="X841" s="73"/>
      <c r="Y841" s="83" t="str">
        <f>IF(SUM(W841:W841)&gt;0,X841/SUM(W841:W841)*1000000,"N/A")</f>
        <v>N/A</v>
      </c>
      <c r="Z841" s="183"/>
      <c r="AA841" s="183"/>
      <c r="AB841" s="73"/>
      <c r="AC841" s="153"/>
      <c r="AD841" s="331"/>
      <c r="AE841" s="57"/>
      <c r="AF841" s="88"/>
      <c r="AG841" s="182">
        <f>YEAR(V841)</f>
        <v>2023</v>
      </c>
      <c r="AH841" s="86" t="str">
        <f>+IF(AF841=$AI$22,MONTH(U841),"")</f>
        <v/>
      </c>
      <c r="AI841" s="86" t="str">
        <f>+IF(AG841=$AI$22,MONTH(V841),"")</f>
        <v/>
      </c>
      <c r="AJ841" s="86" t="str">
        <f>+IF(AG841=$AJ$22,MONTH(V841),"")</f>
        <v/>
      </c>
      <c r="AK841" s="86">
        <f>+IF(AG841=$AK$22,MONTH(V841),"")</f>
        <v>10</v>
      </c>
      <c r="AL841" s="86" t="str">
        <f>+IF(AG841=$AL$22,MONTH(V841),"")</f>
        <v/>
      </c>
      <c r="AM841" s="86" t="str">
        <f>+IF($AG841=$AM$22,MONTH($D841),"")</f>
        <v/>
      </c>
      <c r="AN841" s="89" t="str">
        <f>+IF($AG841=AN$22,MONTH($D841),"")</f>
        <v/>
      </c>
      <c r="AO841" s="89" t="str">
        <f>+IF($AG841=AO$22,MONTH($D841),"")</f>
        <v/>
      </c>
      <c r="AP841" s="89" t="str">
        <f>+IF($AG841=AP$22,MONTH($D841),"")</f>
        <v/>
      </c>
      <c r="AQ841" s="89" t="str">
        <f>+IF($AG841=AQ$22,MONTH($D841),"")</f>
        <v/>
      </c>
      <c r="AR841" s="89" t="str">
        <f>+IF($AG841=AR$22,MONTH($D841),"")</f>
        <v/>
      </c>
      <c r="AS841" s="89" t="str">
        <f>+IF($AG841=AS$22,MONTH($D841),"")</f>
        <v/>
      </c>
      <c r="AT841" s="89" t="str">
        <f>+IF($AG841=AT$22,MONTH($D841),"")</f>
        <v/>
      </c>
      <c r="AU841" s="89" t="str">
        <f>+IF($AG841=AU$22,MONTH($D841),"")</f>
        <v/>
      </c>
      <c r="AV841" s="89" t="str">
        <f>+IF($AG841=AV$22,MONTH($D841),"")</f>
        <v/>
      </c>
      <c r="AW841" s="86" t="str">
        <f>+IF($AG841=AW$22,MONTH($D841),"")</f>
        <v/>
      </c>
      <c r="AX841" s="86" t="str">
        <f>+IF($AG841=AX$22,MONTH($D841),"")</f>
        <v/>
      </c>
      <c r="AY841" s="89"/>
      <c r="AZ841" s="89"/>
      <c r="BA841" s="89"/>
      <c r="BB841" s="89"/>
      <c r="BC841" s="89"/>
      <c r="BD841" s="89"/>
      <c r="BE841" s="89"/>
      <c r="BF841" s="89"/>
      <c r="BG841" s="89"/>
      <c r="BH841" s="89"/>
      <c r="BI841" s="89"/>
      <c r="BJ841" s="89"/>
      <c r="BK841" s="89"/>
      <c r="BL841" s="89"/>
      <c r="BM841" s="89"/>
      <c r="BN841" s="89"/>
      <c r="BO841" s="89"/>
      <c r="BP841" s="89"/>
    </row>
    <row r="842" spans="1:68" s="56" customFormat="1" ht="13.5" hidden="1">
      <c r="A842" s="204" t="str">
        <f>+IFERROR(VALUE(MID(AB842,4,4)),"")</f>
        <v/>
      </c>
      <c r="B842" s="204">
        <f>VALUE(RIGHT(C842,LEN(C842)-2))</f>
        <v>1881</v>
      </c>
      <c r="C842" s="74" t="s">
        <v>3196</v>
      </c>
      <c r="D842" s="75">
        <v>45223</v>
      </c>
      <c r="E842" s="70" t="s">
        <v>53</v>
      </c>
      <c r="F842" s="70" t="s">
        <v>252</v>
      </c>
      <c r="G842" s="68" t="s">
        <v>210</v>
      </c>
      <c r="H842" s="179"/>
      <c r="I842" s="69" t="s">
        <v>3197</v>
      </c>
      <c r="J842" s="69"/>
      <c r="K842" s="68" t="s">
        <v>212</v>
      </c>
      <c r="L842" s="69" t="s">
        <v>123</v>
      </c>
      <c r="M842" s="71" t="s">
        <v>141</v>
      </c>
      <c r="N842" s="69" t="e" vm="1">
        <v>#VALUE!</v>
      </c>
      <c r="O842" s="164"/>
      <c r="P842" s="72"/>
      <c r="Q842" s="82" t="s">
        <v>259</v>
      </c>
      <c r="R842" s="69"/>
      <c r="S842" s="146" t="s">
        <v>587</v>
      </c>
      <c r="T842" s="68" t="s">
        <v>155</v>
      </c>
      <c r="U842" s="87"/>
      <c r="V842" s="183">
        <v>45223</v>
      </c>
      <c r="W842" s="73"/>
      <c r="X842" s="73"/>
      <c r="Y842" s="83" t="str">
        <f>IF(SUM(W842:W842)&gt;0,X842/SUM(W842:W842)*1000000,"N/A")</f>
        <v>N/A</v>
      </c>
      <c r="Z842" s="183"/>
      <c r="AA842" s="183"/>
      <c r="AB842" s="73"/>
      <c r="AC842" s="153"/>
      <c r="AD842" s="331"/>
      <c r="AE842" s="57"/>
      <c r="AF842" s="88"/>
      <c r="AG842" s="182">
        <f>YEAR(V842)</f>
        <v>2023</v>
      </c>
      <c r="AH842" s="86" t="str">
        <f>+IF(AF842=$AI$22,MONTH(U842),"")</f>
        <v/>
      </c>
      <c r="AI842" s="86" t="str">
        <f>+IF(AG842=$AI$22,MONTH(V842),"")</f>
        <v/>
      </c>
      <c r="AJ842" s="86" t="str">
        <f>+IF(AG842=$AJ$22,MONTH(V842),"")</f>
        <v/>
      </c>
      <c r="AK842" s="86">
        <f>+IF(AG842=$AK$22,MONTH(V842),"")</f>
        <v>10</v>
      </c>
      <c r="AL842" s="86" t="str">
        <f>+IF(AG842=$AL$22,MONTH(V842),"")</f>
        <v/>
      </c>
      <c r="AM842" s="86" t="str">
        <f>+IF($AG842=$AM$22,MONTH($D842),"")</f>
        <v/>
      </c>
      <c r="AN842" s="89" t="str">
        <f>+IF($AG842=AN$22,MONTH($D842),"")</f>
        <v/>
      </c>
      <c r="AO842" s="89" t="str">
        <f>+IF($AG842=AO$22,MONTH($D842),"")</f>
        <v/>
      </c>
      <c r="AP842" s="89" t="str">
        <f>+IF($AG842=AP$22,MONTH($D842),"")</f>
        <v/>
      </c>
      <c r="AQ842" s="89" t="str">
        <f>+IF($AG842=AQ$22,MONTH($D842),"")</f>
        <v/>
      </c>
      <c r="AR842" s="89" t="str">
        <f>+IF($AG842=AR$22,MONTH($D842),"")</f>
        <v/>
      </c>
      <c r="AS842" s="89" t="str">
        <f>+IF($AG842=AS$22,MONTH($D842),"")</f>
        <v/>
      </c>
      <c r="AT842" s="89" t="str">
        <f>+IF($AG842=AT$22,MONTH($D842),"")</f>
        <v/>
      </c>
      <c r="AU842" s="89" t="str">
        <f>+IF($AG842=AU$22,MONTH($D842),"")</f>
        <v/>
      </c>
      <c r="AV842" s="89" t="str">
        <f>+IF($AG842=AV$22,MONTH($D842),"")</f>
        <v/>
      </c>
      <c r="AW842" s="86" t="str">
        <f>+IF($AG842=AW$22,MONTH($D842),"")</f>
        <v/>
      </c>
      <c r="AX842" s="86" t="str">
        <f>+IF($AG842=AX$22,MONTH($D842),"")</f>
        <v/>
      </c>
      <c r="AY842" s="89"/>
      <c r="AZ842" s="89"/>
      <c r="BA842" s="89"/>
      <c r="BB842" s="89"/>
      <c r="BC842" s="89"/>
      <c r="BD842" s="89"/>
      <c r="BE842" s="89"/>
      <c r="BF842" s="89"/>
      <c r="BG842" s="89"/>
      <c r="BH842" s="89"/>
      <c r="BI842" s="89"/>
      <c r="BJ842" s="89"/>
      <c r="BK842" s="89"/>
      <c r="BL842" s="89"/>
      <c r="BM842" s="89"/>
      <c r="BN842" s="89"/>
      <c r="BO842" s="89"/>
      <c r="BP842" s="89"/>
    </row>
    <row r="843" spans="1:68" s="56" customFormat="1" ht="27" hidden="1">
      <c r="A843" s="204">
        <f>+IFERROR(VALUE(MID(AB843,4,4)),"")</f>
        <v>265</v>
      </c>
      <c r="B843" s="204">
        <f>VALUE(RIGHT(C843,LEN(C843)-2))</f>
        <v>1880</v>
      </c>
      <c r="C843" s="74" t="s">
        <v>3198</v>
      </c>
      <c r="D843" s="75">
        <v>45222</v>
      </c>
      <c r="E843" s="70" t="s">
        <v>332</v>
      </c>
      <c r="F843" s="70" t="s">
        <v>332</v>
      </c>
      <c r="G843" s="68" t="s">
        <v>333</v>
      </c>
      <c r="H843" s="179" t="s">
        <v>3052</v>
      </c>
      <c r="I843" s="162" t="s">
        <v>3199</v>
      </c>
      <c r="J843" s="162"/>
      <c r="K843" s="68" t="s">
        <v>13</v>
      </c>
      <c r="L843" s="69" t="s">
        <v>129</v>
      </c>
      <c r="M843" s="71" t="s">
        <v>141</v>
      </c>
      <c r="N843" s="69" t="e" vm="1">
        <v>#VALUE!</v>
      </c>
      <c r="O843" s="164">
        <v>45223</v>
      </c>
      <c r="P843" s="72" t="s">
        <v>382</v>
      </c>
      <c r="Q843" s="72" t="s">
        <v>837</v>
      </c>
      <c r="R843" s="162"/>
      <c r="S843" s="146"/>
      <c r="T843" s="68" t="s">
        <v>3</v>
      </c>
      <c r="U843" s="87"/>
      <c r="V843" s="183">
        <v>45231</v>
      </c>
      <c r="W843" s="73">
        <v>956</v>
      </c>
      <c r="X843" s="73">
        <v>33</v>
      </c>
      <c r="Y843" s="83">
        <f>IF(SUM(W843:W843)&gt;0,X843/SUM(W843:W843)*1000000,"N/A")</f>
        <v>34518.828451882844</v>
      </c>
      <c r="Z843" s="183"/>
      <c r="AA843" s="183"/>
      <c r="AB843" s="73" t="s">
        <v>3200</v>
      </c>
      <c r="AC843" s="153"/>
      <c r="AD843" s="331"/>
      <c r="AE843" s="57"/>
      <c r="AF843" s="88"/>
      <c r="AG843" s="182">
        <f>YEAR(V843)</f>
        <v>2023</v>
      </c>
      <c r="AH843" s="86" t="str">
        <f>+IF(AF843=$AI$22,MONTH(U843),"")</f>
        <v/>
      </c>
      <c r="AI843" s="86" t="str">
        <f>+IF(AG843=$AI$22,MONTH(V843),"")</f>
        <v/>
      </c>
      <c r="AJ843" s="86" t="str">
        <f>+IF(AG843=$AJ$22,MONTH(V843),"")</f>
        <v/>
      </c>
      <c r="AK843" s="86">
        <f>+IF(AG843=$AK$22,MONTH(V843),"")</f>
        <v>11</v>
      </c>
      <c r="AL843" s="86"/>
      <c r="AM843" s="89"/>
      <c r="AN843" s="89"/>
      <c r="AO843" s="89"/>
      <c r="AP843" s="89"/>
      <c r="AQ843" s="89"/>
      <c r="AR843" s="89"/>
      <c r="AS843" s="89"/>
      <c r="AT843" s="89"/>
      <c r="AU843" s="89"/>
      <c r="AV843" s="89"/>
      <c r="AW843" s="86" t="str">
        <f>+IF($AG843=AW$22,MONTH($D843),"")</f>
        <v/>
      </c>
      <c r="AX843" s="86" t="str">
        <f>+IF($AG843=AX$22,MONTH($D843),"")</f>
        <v/>
      </c>
      <c r="AY843" s="89"/>
      <c r="AZ843" s="89"/>
      <c r="BA843" s="89"/>
      <c r="BB843" s="89"/>
      <c r="BC843" s="89"/>
      <c r="BD843" s="89"/>
      <c r="BE843" s="89"/>
      <c r="BF843" s="89"/>
      <c r="BG843" s="89"/>
      <c r="BH843" s="89"/>
      <c r="BI843" s="89"/>
      <c r="BJ843" s="89"/>
      <c r="BK843" s="89"/>
      <c r="BL843" s="89"/>
      <c r="BM843" s="89"/>
      <c r="BN843" s="89"/>
      <c r="BO843" s="89"/>
      <c r="BP843" s="89"/>
    </row>
    <row r="844" spans="1:68" s="56" customFormat="1" ht="53.25" hidden="1">
      <c r="A844" s="204" t="str">
        <f>+IFERROR(VALUE(MID(AB844,4,4)),"")</f>
        <v/>
      </c>
      <c r="B844" s="204">
        <f>VALUE(RIGHT(C844,LEN(C844)-2))</f>
        <v>1879</v>
      </c>
      <c r="C844" s="74" t="s">
        <v>3201</v>
      </c>
      <c r="D844" s="75">
        <v>45222</v>
      </c>
      <c r="E844" s="70" t="s">
        <v>685</v>
      </c>
      <c r="F844" s="70" t="s">
        <v>685</v>
      </c>
      <c r="G844" s="68" t="s">
        <v>3202</v>
      </c>
      <c r="H844" s="59" t="s">
        <v>2377</v>
      </c>
      <c r="I844" s="69" t="s">
        <v>3203</v>
      </c>
      <c r="J844" s="69"/>
      <c r="K844" s="95" t="s">
        <v>9</v>
      </c>
      <c r="L844" s="69" t="s">
        <v>120</v>
      </c>
      <c r="M844" s="71" t="s">
        <v>141</v>
      </c>
      <c r="N844" s="69" t="e" vm="1">
        <v>#VALUE!</v>
      </c>
      <c r="O844" s="84" t="s">
        <v>267</v>
      </c>
      <c r="P844" s="72" t="s">
        <v>689</v>
      </c>
      <c r="Q844" s="82" t="s">
        <v>623</v>
      </c>
      <c r="R844" s="69"/>
      <c r="S844" s="146" t="s">
        <v>3204</v>
      </c>
      <c r="T844" s="68" t="s">
        <v>168</v>
      </c>
      <c r="U844" s="87"/>
      <c r="V844" s="183">
        <v>45222</v>
      </c>
      <c r="W844" s="150"/>
      <c r="X844" s="150"/>
      <c r="Y844" s="83" t="str">
        <f>IF(SUM(W844:W844)&gt;0,X844/SUM(W844:W844)*1000000,"N/A")</f>
        <v>N/A</v>
      </c>
      <c r="Z844" s="183"/>
      <c r="AA844" s="183"/>
      <c r="AB844" s="73"/>
      <c r="AC844" s="153"/>
      <c r="AD844" s="331"/>
      <c r="AE844" s="57"/>
      <c r="AF844" s="88"/>
      <c r="AG844" s="182">
        <f>YEAR(V844)</f>
        <v>2023</v>
      </c>
      <c r="AH844" s="86" t="str">
        <f>+IF(AF844=$AI$22,MONTH(U844),"")</f>
        <v/>
      </c>
      <c r="AI844" s="86" t="str">
        <f>+IF(AG844=$AI$22,MONTH(V844),"")</f>
        <v/>
      </c>
      <c r="AJ844" s="86" t="str">
        <f>+IF(AG844=$AJ$22,MONTH(V844),"")</f>
        <v/>
      </c>
      <c r="AK844" s="86">
        <f>+IF(AG844=$AK$22,MONTH(V844),"")</f>
        <v>10</v>
      </c>
      <c r="AL844" s="86" t="str">
        <f>+IF(AG844=$AL$22,MONTH(V844),"")</f>
        <v/>
      </c>
      <c r="AM844" s="86" t="str">
        <f>+IF($AG844=$AM$22,MONTH($D844),"")</f>
        <v/>
      </c>
      <c r="AN844" s="89" t="str">
        <f>+IF($AG844=AN$22,MONTH($D844),"")</f>
        <v/>
      </c>
      <c r="AO844" s="89" t="str">
        <f>+IF($AG844=AO$22,MONTH($D844),"")</f>
        <v/>
      </c>
      <c r="AP844" s="89" t="str">
        <f>+IF($AG844=AP$22,MONTH($D844),"")</f>
        <v/>
      </c>
      <c r="AQ844" s="89" t="str">
        <f>+IF($AG844=AQ$22,MONTH($D844),"")</f>
        <v/>
      </c>
      <c r="AR844" s="89" t="str">
        <f>+IF($AG844=AR$22,MONTH($D844),"")</f>
        <v/>
      </c>
      <c r="AS844" s="89" t="str">
        <f>+IF($AG844=AS$22,MONTH($D844),"")</f>
        <v/>
      </c>
      <c r="AT844" s="89" t="str">
        <f>+IF($AG844=AT$22,MONTH($D844),"")</f>
        <v/>
      </c>
      <c r="AU844" s="89" t="str">
        <f>+IF($AG844=AU$22,MONTH($D844),"")</f>
        <v/>
      </c>
      <c r="AV844" s="89" t="str">
        <f>+IF($AG844=AV$22,MONTH($D844),"")</f>
        <v/>
      </c>
      <c r="AW844" s="86" t="str">
        <f>+IF($AG844=AW$22,MONTH($D844),"")</f>
        <v/>
      </c>
      <c r="AX844" s="86" t="str">
        <f>+IF($AG844=AX$22,MONTH($D844),"")</f>
        <v/>
      </c>
      <c r="AY844" s="89"/>
      <c r="AZ844" s="89"/>
      <c r="BA844" s="89"/>
      <c r="BB844" s="89"/>
      <c r="BC844" s="89"/>
      <c r="BD844" s="89"/>
      <c r="BE844" s="89"/>
      <c r="BF844" s="89"/>
      <c r="BG844" s="89"/>
      <c r="BH844" s="89"/>
      <c r="BI844" s="89"/>
      <c r="BJ844" s="89"/>
      <c r="BK844" s="89"/>
      <c r="BL844" s="89"/>
      <c r="BM844" s="89"/>
      <c r="BN844" s="89"/>
      <c r="BO844" s="89"/>
      <c r="BP844" s="89"/>
    </row>
    <row r="845" spans="1:68" s="56" customFormat="1" ht="27" hidden="1">
      <c r="A845" s="204" t="str">
        <f>+IFERROR(VALUE(MID(AB845,4,4)),"")</f>
        <v/>
      </c>
      <c r="B845" s="204">
        <f>VALUE(RIGHT(C845,LEN(C845)-2))</f>
        <v>1878</v>
      </c>
      <c r="C845" s="74" t="s">
        <v>3205</v>
      </c>
      <c r="D845" s="75">
        <v>45160</v>
      </c>
      <c r="E845" s="70" t="s">
        <v>3206</v>
      </c>
      <c r="F845" s="70" t="s">
        <v>1379</v>
      </c>
      <c r="G845" s="76" t="s">
        <v>3207</v>
      </c>
      <c r="H845" s="59" t="s">
        <v>3128</v>
      </c>
      <c r="I845" s="69" t="s">
        <v>3208</v>
      </c>
      <c r="J845" s="69"/>
      <c r="K845" s="68" t="s">
        <v>13</v>
      </c>
      <c r="L845" s="69" t="s">
        <v>120</v>
      </c>
      <c r="M845" s="71" t="s">
        <v>141</v>
      </c>
      <c r="N845" s="69" t="e" vm="1">
        <v>#VALUE!</v>
      </c>
      <c r="O845" s="84">
        <v>45222</v>
      </c>
      <c r="P845" s="72" t="s">
        <v>3209</v>
      </c>
      <c r="Q845" s="72" t="s">
        <v>316</v>
      </c>
      <c r="R845" s="162"/>
      <c r="S845" s="146"/>
      <c r="T845" s="68" t="s">
        <v>165</v>
      </c>
      <c r="U845" s="87"/>
      <c r="V845" s="80">
        <v>45291</v>
      </c>
      <c r="W845" s="73">
        <v>28965</v>
      </c>
      <c r="X845" s="73">
        <f>1128547178/1000000</f>
        <v>1128.547178</v>
      </c>
      <c r="Y845" s="83">
        <f>IF(SUM(W845:W845)&gt;0,X845/SUM(W845:W845)*1000000,"N/A")</f>
        <v>38962.443569825649</v>
      </c>
      <c r="Z845" s="80"/>
      <c r="AA845" s="80"/>
      <c r="AB845" s="73"/>
      <c r="AC845" s="153"/>
      <c r="AD845" s="331"/>
      <c r="AE845" s="57"/>
      <c r="AF845" s="88"/>
      <c r="AG845" s="182">
        <f>YEAR(V845)</f>
        <v>2023</v>
      </c>
      <c r="AH845" s="86" t="str">
        <f>+IF(AF845=$AI$22,MONTH(U845),"")</f>
        <v/>
      </c>
      <c r="AI845" s="86" t="str">
        <f>+IF(AG845=$AI$22,MONTH(V845),"")</f>
        <v/>
      </c>
      <c r="AJ845" s="86" t="str">
        <f>+IF(AG845=$AJ$22,MONTH(V845),"")</f>
        <v/>
      </c>
      <c r="AK845" s="86">
        <f>+IF(AG845=$AK$22,MONTH(V845),"")</f>
        <v>12</v>
      </c>
      <c r="AL845" s="86" t="str">
        <f>+IF(AG845=$AL$22,MONTH(V845),"")</f>
        <v/>
      </c>
      <c r="AM845" s="86" t="str">
        <f>+IF($AG845=$AM$22,MONTH($D845),"")</f>
        <v/>
      </c>
      <c r="AN845" s="89" t="str">
        <f>+IF($AG845=AN$22,MONTH($D845),"")</f>
        <v/>
      </c>
      <c r="AO845" s="89" t="str">
        <f>+IF($AG845=AO$22,MONTH($D845),"")</f>
        <v/>
      </c>
      <c r="AP845" s="89" t="str">
        <f>+IF($AG845=AP$22,MONTH($D845),"")</f>
        <v/>
      </c>
      <c r="AQ845" s="89" t="str">
        <f>+IF($AG845=AQ$22,MONTH($D845),"")</f>
        <v/>
      </c>
      <c r="AR845" s="89" t="str">
        <f>+IF($AG845=AR$22,MONTH($D845),"")</f>
        <v/>
      </c>
      <c r="AS845" s="89" t="str">
        <f>+IF($AG845=AS$22,MONTH($D845),"")</f>
        <v/>
      </c>
      <c r="AT845" s="89" t="str">
        <f>+IF($AG845=AT$22,MONTH($D845),"")</f>
        <v/>
      </c>
      <c r="AU845" s="89" t="str">
        <f>+IF($AG845=AU$22,MONTH($D845),"")</f>
        <v/>
      </c>
      <c r="AV845" s="89" t="str">
        <f>+IF($AG845=AV$22,MONTH($D845),"")</f>
        <v/>
      </c>
      <c r="AW845" s="86" t="str">
        <f>+IF($AG845=AW$22,MONTH($D845),"")</f>
        <v/>
      </c>
      <c r="AX845" s="86" t="str">
        <f>+IF($AG845=AX$22,MONTH($D845),"")</f>
        <v/>
      </c>
      <c r="AY845" s="89"/>
      <c r="AZ845" s="89"/>
      <c r="BA845" s="89"/>
      <c r="BB845" s="89"/>
      <c r="BC845" s="89"/>
      <c r="BD845" s="89"/>
      <c r="BE845" s="89"/>
      <c r="BF845" s="89"/>
      <c r="BG845" s="89"/>
      <c r="BH845" s="89"/>
      <c r="BI845" s="89"/>
      <c r="BJ845" s="89"/>
      <c r="BK845" s="89"/>
      <c r="BL845" s="89"/>
      <c r="BM845" s="89"/>
      <c r="BN845" s="89"/>
      <c r="BO845" s="89"/>
      <c r="BP845" s="89"/>
    </row>
    <row r="846" spans="1:68" s="56" customFormat="1" ht="13.5" hidden="1">
      <c r="A846" s="204" t="str">
        <f>+IFERROR(VALUE(MID(AB846,4,4)),"")</f>
        <v/>
      </c>
      <c r="B846" s="204">
        <f>VALUE(RIGHT(C846,LEN(C846)-2))</f>
        <v>1877</v>
      </c>
      <c r="C846" s="74" t="s">
        <v>3210</v>
      </c>
      <c r="D846" s="75">
        <v>45215</v>
      </c>
      <c r="E846" s="70" t="s">
        <v>53</v>
      </c>
      <c r="F846" s="70" t="s">
        <v>1379</v>
      </c>
      <c r="G846" s="68" t="s">
        <v>210</v>
      </c>
      <c r="H846" s="179"/>
      <c r="I846" s="69" t="s">
        <v>3211</v>
      </c>
      <c r="J846" s="69"/>
      <c r="K846" s="68" t="s">
        <v>212</v>
      </c>
      <c r="L846" s="69" t="s">
        <v>123</v>
      </c>
      <c r="M846" s="71" t="s">
        <v>141</v>
      </c>
      <c r="N846" s="69" t="e" vm="1">
        <v>#VALUE!</v>
      </c>
      <c r="O846" s="84">
        <v>45250</v>
      </c>
      <c r="P846" s="72"/>
      <c r="Q846" s="82" t="s">
        <v>405</v>
      </c>
      <c r="R846" s="69"/>
      <c r="S846" s="146" t="s">
        <v>587</v>
      </c>
      <c r="T846" s="68" t="s">
        <v>155</v>
      </c>
      <c r="U846" s="87"/>
      <c r="V846" s="183">
        <v>45215</v>
      </c>
      <c r="W846" s="73"/>
      <c r="X846" s="73"/>
      <c r="Y846" s="83" t="str">
        <f>IF(SUM(W846:W846)&gt;0,X846/SUM(W846:W846)*1000000,"N/A")</f>
        <v>N/A</v>
      </c>
      <c r="Z846" s="183"/>
      <c r="AA846" s="183"/>
      <c r="AB846" s="73"/>
      <c r="AC846" s="153"/>
      <c r="AD846" s="331"/>
      <c r="AE846" s="57"/>
      <c r="AF846" s="88"/>
      <c r="AG846" s="182">
        <f>YEAR(V846)</f>
        <v>2023</v>
      </c>
      <c r="AH846" s="86" t="str">
        <f>+IF(AF846=$AI$22,MONTH(U846),"")</f>
        <v/>
      </c>
      <c r="AI846" s="86" t="str">
        <f>+IF(AG846=$AI$22,MONTH(V846),"")</f>
        <v/>
      </c>
      <c r="AJ846" s="86" t="str">
        <f>+IF(AG846=$AJ$22,MONTH(V846),"")</f>
        <v/>
      </c>
      <c r="AK846" s="86">
        <f>+IF(AG846=$AK$22,MONTH(V846),"")</f>
        <v>10</v>
      </c>
      <c r="AL846" s="86" t="str">
        <f>+IF(AG846=$AL$22,MONTH(V846),"")</f>
        <v/>
      </c>
      <c r="AM846" s="86" t="str">
        <f>+IF($AG846=$AM$22,MONTH($D846),"")</f>
        <v/>
      </c>
      <c r="AN846" s="89" t="str">
        <f>+IF($AG846=AN$22,MONTH($D846),"")</f>
        <v/>
      </c>
      <c r="AO846" s="89" t="str">
        <f>+IF($AG846=AO$22,MONTH($D846),"")</f>
        <v/>
      </c>
      <c r="AP846" s="89" t="str">
        <f>+IF($AG846=AP$22,MONTH($D846),"")</f>
        <v/>
      </c>
      <c r="AQ846" s="89" t="str">
        <f>+IF($AG846=AQ$22,MONTH($D846),"")</f>
        <v/>
      </c>
      <c r="AR846" s="89" t="str">
        <f>+IF($AG846=AR$22,MONTH($D846),"")</f>
        <v/>
      </c>
      <c r="AS846" s="89" t="str">
        <f>+IF($AG846=AS$22,MONTH($D846),"")</f>
        <v/>
      </c>
      <c r="AT846" s="89" t="str">
        <f>+IF($AG846=AT$22,MONTH($D846),"")</f>
        <v/>
      </c>
      <c r="AU846" s="89" t="str">
        <f>+IF($AG846=AU$22,MONTH($D846),"")</f>
        <v/>
      </c>
      <c r="AV846" s="89" t="str">
        <f>+IF($AG846=AV$22,MONTH($D846),"")</f>
        <v/>
      </c>
      <c r="AW846" s="86" t="str">
        <f>+IF($AG846=AW$22,MONTH($D846),"")</f>
        <v/>
      </c>
      <c r="AX846" s="86" t="str">
        <f>+IF($AG846=AX$22,MONTH($D846),"")</f>
        <v/>
      </c>
      <c r="AY846" s="89"/>
      <c r="AZ846" s="89"/>
      <c r="BA846" s="89"/>
      <c r="BB846" s="89"/>
      <c r="BC846" s="89"/>
      <c r="BD846" s="89"/>
      <c r="BE846" s="89"/>
      <c r="BF846" s="89"/>
      <c r="BG846" s="89"/>
      <c r="BH846" s="89"/>
      <c r="BI846" s="89"/>
      <c r="BJ846" s="89"/>
      <c r="BK846" s="89"/>
      <c r="BL846" s="89"/>
      <c r="BM846" s="89"/>
      <c r="BN846" s="89"/>
      <c r="BO846" s="89"/>
      <c r="BP846" s="89"/>
    </row>
    <row r="847" spans="1:68" s="56" customFormat="1" ht="27" hidden="1">
      <c r="A847" s="204" t="str">
        <f>+IFERROR(VALUE(MID(AB847,4,4)),"")</f>
        <v/>
      </c>
      <c r="B847" s="204">
        <f>VALUE(RIGHT(C847,LEN(C847)-2))</f>
        <v>1876</v>
      </c>
      <c r="C847" s="74" t="s">
        <v>3212</v>
      </c>
      <c r="D847" s="75">
        <v>45212</v>
      </c>
      <c r="E847" s="70" t="s">
        <v>53</v>
      </c>
      <c r="F847" s="70" t="s">
        <v>3213</v>
      </c>
      <c r="G847" s="68" t="s">
        <v>210</v>
      </c>
      <c r="H847" s="179"/>
      <c r="I847" s="69" t="s">
        <v>3214</v>
      </c>
      <c r="J847" s="69"/>
      <c r="K847" s="95" t="s">
        <v>13</v>
      </c>
      <c r="L847" s="69" t="s">
        <v>123</v>
      </c>
      <c r="M847" s="71" t="s">
        <v>141</v>
      </c>
      <c r="N847" s="69" t="e" vm="1">
        <v>#VALUE!</v>
      </c>
      <c r="O847" s="84">
        <v>45238</v>
      </c>
      <c r="P847" s="72" t="s">
        <v>701</v>
      </c>
      <c r="Q847" s="162" t="s">
        <v>310</v>
      </c>
      <c r="R847" s="162"/>
      <c r="S847" s="146" t="s">
        <v>587</v>
      </c>
      <c r="T847" s="68" t="s">
        <v>155</v>
      </c>
      <c r="U847" s="87"/>
      <c r="V847" s="183">
        <v>45215</v>
      </c>
      <c r="W847" s="73"/>
      <c r="X847" s="73"/>
      <c r="Y847" s="83" t="str">
        <f>IF(SUM(W847:W847)&gt;0,X847/SUM(W847:W847)*1000000,"N/A")</f>
        <v>N/A</v>
      </c>
      <c r="Z847" s="183"/>
      <c r="AA847" s="183"/>
      <c r="AB847" s="73"/>
      <c r="AC847" s="153"/>
      <c r="AD847" s="331"/>
      <c r="AE847" s="57"/>
      <c r="AF847" s="88"/>
      <c r="AG847" s="182">
        <f>YEAR(V847)</f>
        <v>2023</v>
      </c>
      <c r="AH847" s="86" t="str">
        <f>+IF(AF847=$AI$22,MONTH(U847),"")</f>
        <v/>
      </c>
      <c r="AI847" s="86" t="str">
        <f>+IF(AG847=$AI$22,MONTH(V847),"")</f>
        <v/>
      </c>
      <c r="AJ847" s="86" t="str">
        <f>+IF(AG847=$AJ$22,MONTH(V847),"")</f>
        <v/>
      </c>
      <c r="AK847" s="86">
        <f>+IF(AG847=$AK$22,MONTH(V847),"")</f>
        <v>10</v>
      </c>
      <c r="AL847" s="86" t="str">
        <f>+IF(AG847=$AL$22,MONTH(V847),"")</f>
        <v/>
      </c>
      <c r="AM847" s="86" t="str">
        <f>+IF($AG847=$AM$22,MONTH($D847),"")</f>
        <v/>
      </c>
      <c r="AN847" s="89" t="str">
        <f>+IF($AG847=AN$22,MONTH($D847),"")</f>
        <v/>
      </c>
      <c r="AO847" s="89" t="str">
        <f>+IF($AG847=AO$22,MONTH($D847),"")</f>
        <v/>
      </c>
      <c r="AP847" s="89" t="str">
        <f>+IF($AG847=AP$22,MONTH($D847),"")</f>
        <v/>
      </c>
      <c r="AQ847" s="89" t="str">
        <f>+IF($AG847=AQ$22,MONTH($D847),"")</f>
        <v/>
      </c>
      <c r="AR847" s="89" t="str">
        <f>+IF($AG847=AR$22,MONTH($D847),"")</f>
        <v/>
      </c>
      <c r="AS847" s="89" t="str">
        <f>+IF($AG847=AS$22,MONTH($D847),"")</f>
        <v/>
      </c>
      <c r="AT847" s="89" t="str">
        <f>+IF($AG847=AT$22,MONTH($D847),"")</f>
        <v/>
      </c>
      <c r="AU847" s="89" t="str">
        <f>+IF($AG847=AU$22,MONTH($D847),"")</f>
        <v/>
      </c>
      <c r="AV847" s="89" t="str">
        <f>+IF($AG847=AV$22,MONTH($D847),"")</f>
        <v/>
      </c>
      <c r="AW847" s="86" t="str">
        <f>+IF($AG847=AW$22,MONTH($D847),"")</f>
        <v/>
      </c>
      <c r="AX847" s="86" t="str">
        <f>+IF($AG847=AX$22,MONTH($D847),"")</f>
        <v/>
      </c>
      <c r="AY847" s="89"/>
      <c r="AZ847" s="89"/>
      <c r="BA847" s="89"/>
      <c r="BB847" s="89"/>
      <c r="BC847" s="89"/>
      <c r="BD847" s="89"/>
      <c r="BE847" s="89"/>
      <c r="BF847" s="89"/>
      <c r="BG847" s="89"/>
      <c r="BH847" s="89"/>
      <c r="BI847" s="89"/>
      <c r="BJ847" s="89"/>
      <c r="BK847" s="89"/>
      <c r="BL847" s="89"/>
      <c r="BM847" s="89"/>
      <c r="BN847" s="89"/>
      <c r="BO847" s="89"/>
      <c r="BP847" s="89"/>
    </row>
    <row r="848" spans="1:68" s="56" customFormat="1" ht="13.5" hidden="1">
      <c r="A848" s="204" t="str">
        <f>+IFERROR(VALUE(MID(AB848,4,4)),"")</f>
        <v/>
      </c>
      <c r="B848" s="204">
        <f>VALUE(RIGHT(C848,LEN(C848)-2))</f>
        <v>1875</v>
      </c>
      <c r="C848" s="74" t="s">
        <v>3215</v>
      </c>
      <c r="D848" s="75">
        <v>45205</v>
      </c>
      <c r="E848" s="70" t="s">
        <v>53</v>
      </c>
      <c r="F848" s="70" t="s">
        <v>252</v>
      </c>
      <c r="G848" s="68" t="s">
        <v>210</v>
      </c>
      <c r="H848" s="179"/>
      <c r="I848" s="69" t="s">
        <v>3216</v>
      </c>
      <c r="J848" s="69"/>
      <c r="K848" s="95" t="s">
        <v>11</v>
      </c>
      <c r="L848" s="69" t="s">
        <v>123</v>
      </c>
      <c r="M848" s="71" t="s">
        <v>141</v>
      </c>
      <c r="N848" s="69" t="e" vm="1">
        <v>#VALUE!</v>
      </c>
      <c r="O848" s="84">
        <v>45271</v>
      </c>
      <c r="P848" s="82"/>
      <c r="Q848" s="82" t="s">
        <v>259</v>
      </c>
      <c r="R848" s="69"/>
      <c r="S848" s="146" t="s">
        <v>587</v>
      </c>
      <c r="T848" s="68" t="s">
        <v>155</v>
      </c>
      <c r="U848" s="87"/>
      <c r="V848" s="183">
        <v>45211</v>
      </c>
      <c r="W848" s="73"/>
      <c r="X848" s="73"/>
      <c r="Y848" s="83" t="str">
        <f>IF(SUM(W848:W848)&gt;0,X848/SUM(W848:W848)*1000000,"N/A")</f>
        <v>N/A</v>
      </c>
      <c r="Z848" s="183"/>
      <c r="AA848" s="183"/>
      <c r="AB848" s="73"/>
      <c r="AC848" s="153"/>
      <c r="AD848" s="331"/>
      <c r="AE848" s="57"/>
      <c r="AF848" s="88"/>
      <c r="AG848" s="182">
        <f>YEAR(V848)</f>
        <v>2023</v>
      </c>
      <c r="AH848" s="86" t="str">
        <f>+IF(AF848=$AI$22,MONTH(U848),"")</f>
        <v/>
      </c>
      <c r="AI848" s="86" t="str">
        <f>+IF(AG848=$AI$22,MONTH(V848),"")</f>
        <v/>
      </c>
      <c r="AJ848" s="86" t="str">
        <f>+IF(AG848=$AJ$22,MONTH(V848),"")</f>
        <v/>
      </c>
      <c r="AK848" s="86">
        <f>+IF(AG848=$AK$22,MONTH(V848),"")</f>
        <v>10</v>
      </c>
      <c r="AL848" s="86" t="str">
        <f>+IF(AG848=$AL$22,MONTH(V848),"")</f>
        <v/>
      </c>
      <c r="AM848" s="86" t="str">
        <f>+IF($AG848=$AM$22,MONTH($D848),"")</f>
        <v/>
      </c>
      <c r="AN848" s="89" t="str">
        <f>+IF($AG848=AN$22,MONTH($D848),"")</f>
        <v/>
      </c>
      <c r="AO848" s="89" t="str">
        <f>+IF($AG848=AO$22,MONTH($D848),"")</f>
        <v/>
      </c>
      <c r="AP848" s="89" t="str">
        <f>+IF($AG848=AP$22,MONTH($D848),"")</f>
        <v/>
      </c>
      <c r="AQ848" s="89" t="str">
        <f>+IF($AG848=AQ$22,MONTH($D848),"")</f>
        <v/>
      </c>
      <c r="AR848" s="89" t="str">
        <f>+IF($AG848=AR$22,MONTH($D848),"")</f>
        <v/>
      </c>
      <c r="AS848" s="89" t="str">
        <f>+IF($AG848=AS$22,MONTH($D848),"")</f>
        <v/>
      </c>
      <c r="AT848" s="89" t="str">
        <f>+IF($AG848=AT$22,MONTH($D848),"")</f>
        <v/>
      </c>
      <c r="AU848" s="89" t="str">
        <f>+IF($AG848=AU$22,MONTH($D848),"")</f>
        <v/>
      </c>
      <c r="AV848" s="89" t="str">
        <f>+IF($AG848=AV$22,MONTH($D848),"")</f>
        <v/>
      </c>
      <c r="AW848" s="86" t="str">
        <f>+IF($AG848=AW$22,MONTH($D848),"")</f>
        <v/>
      </c>
      <c r="AX848" s="86" t="str">
        <f>+IF($AG848=AX$22,MONTH($D848),"")</f>
        <v/>
      </c>
      <c r="AY848" s="89"/>
      <c r="AZ848" s="89"/>
      <c r="BA848" s="89"/>
      <c r="BB848" s="89"/>
      <c r="BC848" s="89"/>
      <c r="BD848" s="89"/>
      <c r="BE848" s="89"/>
      <c r="BF848" s="89"/>
      <c r="BG848" s="89"/>
      <c r="BH848" s="89"/>
      <c r="BI848" s="89"/>
      <c r="BJ848" s="89"/>
      <c r="BK848" s="89"/>
      <c r="BL848" s="89"/>
      <c r="BM848" s="89"/>
      <c r="BN848" s="89"/>
      <c r="BO848" s="89"/>
      <c r="BP848" s="89"/>
    </row>
    <row r="849" spans="1:68" s="56" customFormat="1" ht="27" hidden="1">
      <c r="A849" s="204">
        <f>+IFERROR(VALUE(MID(AB849,4,4)),"")</f>
        <v>384</v>
      </c>
      <c r="B849" s="204">
        <f>VALUE(RIGHT(C849,LEN(C849)-2))</f>
        <v>1874</v>
      </c>
      <c r="C849" s="74" t="s">
        <v>3217</v>
      </c>
      <c r="D849" s="75">
        <v>45210</v>
      </c>
      <c r="E849" s="70" t="s">
        <v>332</v>
      </c>
      <c r="F849" s="70" t="s">
        <v>332</v>
      </c>
      <c r="G849" s="68" t="s">
        <v>333</v>
      </c>
      <c r="H849" s="179" t="s">
        <v>3052</v>
      </c>
      <c r="I849" s="162" t="s">
        <v>3218</v>
      </c>
      <c r="J849" s="162"/>
      <c r="K849" s="68" t="s">
        <v>13</v>
      </c>
      <c r="L849" s="69" t="s">
        <v>129</v>
      </c>
      <c r="M849" s="71" t="s">
        <v>141</v>
      </c>
      <c r="N849" s="69" t="e" vm="1">
        <v>#VALUE!</v>
      </c>
      <c r="O849" s="164">
        <v>45889</v>
      </c>
      <c r="P849" s="72" t="s">
        <v>382</v>
      </c>
      <c r="Q849" s="72" t="s">
        <v>623</v>
      </c>
      <c r="R849" s="162"/>
      <c r="S849" s="146"/>
      <c r="T849" s="68" t="s">
        <v>3</v>
      </c>
      <c r="U849" s="87"/>
      <c r="V849" s="183">
        <v>45904</v>
      </c>
      <c r="W849" s="73">
        <v>1053</v>
      </c>
      <c r="X849" s="73">
        <f>1094*39340/1000000</f>
        <v>43.037959999999998</v>
      </c>
      <c r="Y849" s="83">
        <f>IF(SUM(W849:W849)&gt;0,X849/SUM(W849:W849)*1000000,"N/A")</f>
        <v>40871.756885090217</v>
      </c>
      <c r="Z849" s="183"/>
      <c r="AA849" s="183"/>
      <c r="AB849" s="73" t="s">
        <v>3219</v>
      </c>
      <c r="AC849" s="153"/>
      <c r="AD849" s="331"/>
      <c r="AE849" s="57"/>
      <c r="AF849" s="88"/>
      <c r="AG849" s="182">
        <f>YEAR(V849)</f>
        <v>2025</v>
      </c>
      <c r="AH849" s="86" t="str">
        <f>+IF(AF849=$AI$22,MONTH(U849),"")</f>
        <v/>
      </c>
      <c r="AI849" s="86">
        <f>+IF(AG849=$AI$22,MONTH(V849),"")</f>
        <v>9</v>
      </c>
      <c r="AJ849" s="86" t="str">
        <f>+IF(AG849=$AJ$22,MONTH(V849),"")</f>
        <v/>
      </c>
      <c r="AK849" s="86" t="str">
        <f>+IF(AG849=$AK$22,MONTH(V849),"")</f>
        <v/>
      </c>
      <c r="AL849" s="86"/>
      <c r="AM849" s="89"/>
      <c r="AN849" s="89"/>
      <c r="AO849" s="89"/>
      <c r="AP849" s="89"/>
      <c r="AQ849" s="89"/>
      <c r="AR849" s="89"/>
      <c r="AS849" s="89"/>
      <c r="AT849" s="89"/>
      <c r="AU849" s="89"/>
      <c r="AV849" s="89"/>
      <c r="AW849" s="86" t="str">
        <f>+IF($AG849=AW$22,MONTH($D849),"")</f>
        <v/>
      </c>
      <c r="AX849" s="86" t="str">
        <f>+IF($AG849=AX$22,MONTH($D849),"")</f>
        <v/>
      </c>
      <c r="AY849" s="89"/>
      <c r="AZ849" s="89"/>
      <c r="BA849" s="89"/>
      <c r="BB849" s="89"/>
      <c r="BC849" s="89"/>
      <c r="BD849" s="89"/>
      <c r="BE849" s="89"/>
      <c r="BF849" s="89"/>
      <c r="BG849" s="89"/>
      <c r="BH849" s="89"/>
      <c r="BI849" s="89"/>
      <c r="BJ849" s="89"/>
      <c r="BK849" s="89"/>
      <c r="BL849" s="89"/>
      <c r="BM849" s="89"/>
      <c r="BN849" s="89"/>
      <c r="BO849" s="89"/>
      <c r="BP849" s="89"/>
    </row>
    <row r="850" spans="1:68" s="56" customFormat="1" ht="27" hidden="1">
      <c r="A850" s="204" t="str">
        <f>+IFERROR(VALUE(MID(AB850,4,4)),"")</f>
        <v/>
      </c>
      <c r="B850" s="204">
        <f>VALUE(RIGHT(C850,LEN(C850)-2))</f>
        <v>1873</v>
      </c>
      <c r="C850" s="74" t="s">
        <v>3220</v>
      </c>
      <c r="D850" s="75">
        <v>45210</v>
      </c>
      <c r="E850" s="70" t="s">
        <v>106</v>
      </c>
      <c r="F850" s="70" t="s">
        <v>106</v>
      </c>
      <c r="G850" s="68" t="s">
        <v>3221</v>
      </c>
      <c r="H850" s="179" t="s">
        <v>3222</v>
      </c>
      <c r="I850" s="69" t="s">
        <v>3223</v>
      </c>
      <c r="J850" s="69"/>
      <c r="K850" s="95" t="s">
        <v>45</v>
      </c>
      <c r="L850" s="69" t="s">
        <v>120</v>
      </c>
      <c r="M850" s="71" t="s">
        <v>141</v>
      </c>
      <c r="N850" s="69" t="e" vm="1">
        <v>#VALUE!</v>
      </c>
      <c r="O850" s="84">
        <v>45227</v>
      </c>
      <c r="P850" s="82"/>
      <c r="Q850" s="82" t="s">
        <v>229</v>
      </c>
      <c r="R850" s="69"/>
      <c r="S850" s="146" t="s">
        <v>587</v>
      </c>
      <c r="T850" s="68" t="s">
        <v>155</v>
      </c>
      <c r="U850" s="87"/>
      <c r="V850" s="183">
        <v>45210</v>
      </c>
      <c r="W850" s="73"/>
      <c r="X850" s="73"/>
      <c r="Y850" s="83" t="str">
        <f>IF(SUM(W850:W850)&gt;0,X850/SUM(W850:W850)*1000000,"N/A")</f>
        <v>N/A</v>
      </c>
      <c r="Z850" s="183"/>
      <c r="AA850" s="183"/>
      <c r="AB850" s="73"/>
      <c r="AC850" s="153"/>
      <c r="AD850" s="331"/>
      <c r="AE850" s="57"/>
      <c r="AF850" s="88"/>
      <c r="AG850" s="182">
        <f>YEAR(V850)</f>
        <v>2023</v>
      </c>
      <c r="AH850" s="86" t="str">
        <f>+IF(AF850=$AI$22,MONTH(U850),"")</f>
        <v/>
      </c>
      <c r="AI850" s="86" t="str">
        <f>+IF(AG850=$AI$22,MONTH(V850),"")</f>
        <v/>
      </c>
      <c r="AJ850" s="86" t="str">
        <f>+IF(AG850=$AJ$22,MONTH(V850),"")</f>
        <v/>
      </c>
      <c r="AK850" s="86">
        <f>+IF(AG850=$AK$22,MONTH(V850),"")</f>
        <v>10</v>
      </c>
      <c r="AL850" s="86" t="str">
        <f>+IF(AG850=$AL$22,MONTH(V850),"")</f>
        <v/>
      </c>
      <c r="AM850" s="86" t="str">
        <f>+IF($AG850=$AM$22,MONTH($D850),"")</f>
        <v/>
      </c>
      <c r="AN850" s="89" t="str">
        <f>+IF($AG850=AN$22,MONTH($D850),"")</f>
        <v/>
      </c>
      <c r="AO850" s="89" t="str">
        <f>+IF($AG850=AO$22,MONTH($D850),"")</f>
        <v/>
      </c>
      <c r="AP850" s="89" t="str">
        <f>+IF($AG850=AP$22,MONTH($D850),"")</f>
        <v/>
      </c>
      <c r="AQ850" s="89" t="str">
        <f>+IF($AG850=AQ$22,MONTH($D850),"")</f>
        <v/>
      </c>
      <c r="AR850" s="89" t="str">
        <f>+IF($AG850=AR$22,MONTH($D850),"")</f>
        <v/>
      </c>
      <c r="AS850" s="89" t="str">
        <f>+IF($AG850=AS$22,MONTH($D850),"")</f>
        <v/>
      </c>
      <c r="AT850" s="89" t="str">
        <f>+IF($AG850=AT$22,MONTH($D850),"")</f>
        <v/>
      </c>
      <c r="AU850" s="89" t="str">
        <f>+IF($AG850=AU$22,MONTH($D850),"")</f>
        <v/>
      </c>
      <c r="AV850" s="89" t="str">
        <f>+IF($AG850=AV$22,MONTH($D850),"")</f>
        <v/>
      </c>
      <c r="AW850" s="86" t="str">
        <f>+IF($AG850=AW$22,MONTH($D850),"")</f>
        <v/>
      </c>
      <c r="AX850" s="86" t="str">
        <f>+IF($AG850=AX$22,MONTH($D850),"")</f>
        <v/>
      </c>
      <c r="AY850" s="89"/>
      <c r="AZ850" s="89"/>
      <c r="BA850" s="89"/>
      <c r="BB850" s="89"/>
      <c r="BC850" s="89"/>
      <c r="BD850" s="89"/>
      <c r="BE850" s="89"/>
      <c r="BF850" s="89"/>
      <c r="BG850" s="89"/>
      <c r="BH850" s="89"/>
      <c r="BI850" s="89"/>
      <c r="BJ850" s="89"/>
      <c r="BK850" s="89"/>
      <c r="BL850" s="89"/>
      <c r="BM850" s="89"/>
      <c r="BN850" s="89"/>
      <c r="BO850" s="89"/>
      <c r="BP850" s="89"/>
    </row>
    <row r="851" spans="1:68" s="56" customFormat="1" ht="27" hidden="1">
      <c r="A851" s="204" t="str">
        <f>+IFERROR(VALUE(MID(AB851,4,4)),"")</f>
        <v/>
      </c>
      <c r="B851" s="204">
        <f>VALUE(RIGHT(C851,LEN(C851)-2))</f>
        <v>1872</v>
      </c>
      <c r="C851" s="74" t="s">
        <v>3224</v>
      </c>
      <c r="D851" s="75">
        <v>45210</v>
      </c>
      <c r="E851" s="70" t="s">
        <v>106</v>
      </c>
      <c r="F851" s="70" t="s">
        <v>106</v>
      </c>
      <c r="G851" s="68" t="s">
        <v>3221</v>
      </c>
      <c r="H851" s="179" t="s">
        <v>3222</v>
      </c>
      <c r="I851" s="69" t="s">
        <v>3225</v>
      </c>
      <c r="J851" s="69"/>
      <c r="K851" s="95" t="s">
        <v>13</v>
      </c>
      <c r="L851" s="69" t="s">
        <v>120</v>
      </c>
      <c r="M851" s="71" t="s">
        <v>141</v>
      </c>
      <c r="N851" s="69" t="e" vm="1">
        <v>#VALUE!</v>
      </c>
      <c r="O851" s="84">
        <v>45227</v>
      </c>
      <c r="P851" s="82"/>
      <c r="Q851" s="82" t="s">
        <v>259</v>
      </c>
      <c r="R851" s="69"/>
      <c r="S851" s="146" t="s">
        <v>587</v>
      </c>
      <c r="T851" s="68" t="s">
        <v>155</v>
      </c>
      <c r="U851" s="87"/>
      <c r="V851" s="183">
        <v>45210</v>
      </c>
      <c r="W851" s="73"/>
      <c r="X851" s="73"/>
      <c r="Y851" s="83" t="str">
        <f>IF(SUM(W851:W851)&gt;0,X851/SUM(W851:W851)*1000000,"N/A")</f>
        <v>N/A</v>
      </c>
      <c r="Z851" s="183"/>
      <c r="AA851" s="183"/>
      <c r="AB851" s="73"/>
      <c r="AC851" s="153"/>
      <c r="AD851" s="331"/>
      <c r="AE851" s="57"/>
      <c r="AF851" s="88"/>
      <c r="AG851" s="182">
        <f>YEAR(V851)</f>
        <v>2023</v>
      </c>
      <c r="AH851" s="86" t="str">
        <f>+IF(AF851=$AI$22,MONTH(U851),"")</f>
        <v/>
      </c>
      <c r="AI851" s="86" t="str">
        <f>+IF(AG851=$AI$22,MONTH(V851),"")</f>
        <v/>
      </c>
      <c r="AJ851" s="86" t="str">
        <f>+IF(AG851=$AJ$22,MONTH(V851),"")</f>
        <v/>
      </c>
      <c r="AK851" s="86">
        <f>+IF(AG851=$AK$22,MONTH(V851),"")</f>
        <v>10</v>
      </c>
      <c r="AL851" s="86" t="str">
        <f>+IF(AG851=$AL$22,MONTH(V851),"")</f>
        <v/>
      </c>
      <c r="AM851" s="86" t="str">
        <f>+IF($AG851=$AM$22,MONTH($D851),"")</f>
        <v/>
      </c>
      <c r="AN851" s="89" t="str">
        <f>+IF($AG851=AN$22,MONTH($D851),"")</f>
        <v/>
      </c>
      <c r="AO851" s="89" t="str">
        <f>+IF($AG851=AO$22,MONTH($D851),"")</f>
        <v/>
      </c>
      <c r="AP851" s="89" t="str">
        <f>+IF($AG851=AP$22,MONTH($D851),"")</f>
        <v/>
      </c>
      <c r="AQ851" s="89" t="str">
        <f>+IF($AG851=AQ$22,MONTH($D851),"")</f>
        <v/>
      </c>
      <c r="AR851" s="89" t="str">
        <f>+IF($AG851=AR$22,MONTH($D851),"")</f>
        <v/>
      </c>
      <c r="AS851" s="89" t="str">
        <f>+IF($AG851=AS$22,MONTH($D851),"")</f>
        <v/>
      </c>
      <c r="AT851" s="89" t="str">
        <f>+IF($AG851=AT$22,MONTH($D851),"")</f>
        <v/>
      </c>
      <c r="AU851" s="89" t="str">
        <f>+IF($AG851=AU$22,MONTH($D851),"")</f>
        <v/>
      </c>
      <c r="AV851" s="89" t="str">
        <f>+IF($AG851=AV$22,MONTH($D851),"")</f>
        <v/>
      </c>
      <c r="AW851" s="86" t="str">
        <f>+IF($AG851=AW$22,MONTH($D851),"")</f>
        <v/>
      </c>
      <c r="AX851" s="86" t="str">
        <f>+IF($AG851=AX$22,MONTH($D851),"")</f>
        <v/>
      </c>
      <c r="AY851" s="89"/>
      <c r="AZ851" s="89"/>
      <c r="BA851" s="89"/>
      <c r="BB851" s="89"/>
      <c r="BC851" s="89"/>
      <c r="BD851" s="89"/>
      <c r="BE851" s="89"/>
      <c r="BF851" s="89"/>
      <c r="BG851" s="89"/>
      <c r="BH851" s="89"/>
      <c r="BI851" s="89"/>
      <c r="BJ851" s="89"/>
      <c r="BK851" s="89"/>
      <c r="BL851" s="89"/>
      <c r="BM851" s="89"/>
      <c r="BN851" s="89"/>
      <c r="BO851" s="89"/>
      <c r="BP851" s="89"/>
    </row>
    <row r="852" spans="1:68" s="56" customFormat="1" ht="27" hidden="1">
      <c r="A852" s="204">
        <f>+IFERROR(VALUE(MID(AB852,4,4)),"")</f>
        <v>271</v>
      </c>
      <c r="B852" s="204">
        <f>VALUE(RIGHT(C852,LEN(C852)-2))</f>
        <v>1871</v>
      </c>
      <c r="C852" s="74" t="s">
        <v>3226</v>
      </c>
      <c r="D852" s="75">
        <v>45203</v>
      </c>
      <c r="E852" s="70" t="s">
        <v>277</v>
      </c>
      <c r="F852" s="70" t="s">
        <v>277</v>
      </c>
      <c r="G852" s="68" t="s">
        <v>3227</v>
      </c>
      <c r="H852" s="179" t="s">
        <v>3228</v>
      </c>
      <c r="I852" s="69" t="s">
        <v>3229</v>
      </c>
      <c r="J852" s="69"/>
      <c r="K852" s="95" t="s">
        <v>259</v>
      </c>
      <c r="L852" s="69" t="s">
        <v>129</v>
      </c>
      <c r="M852" s="71" t="s">
        <v>141</v>
      </c>
      <c r="N852" s="69" t="e" vm="1">
        <v>#VALUE!</v>
      </c>
      <c r="O852" s="84">
        <v>45223</v>
      </c>
      <c r="P852" s="82" t="s">
        <v>402</v>
      </c>
      <c r="Q852" s="82" t="s">
        <v>259</v>
      </c>
      <c r="R852" s="69"/>
      <c r="S852" s="146"/>
      <c r="T852" s="68" t="s">
        <v>3</v>
      </c>
      <c r="U852" s="87"/>
      <c r="V852" s="183">
        <v>45233</v>
      </c>
      <c r="W852" s="73">
        <v>122</v>
      </c>
      <c r="X852" s="73">
        <f>7550611/1000000</f>
        <v>7.550611</v>
      </c>
      <c r="Y852" s="83">
        <f>IF(SUM(W852:W852)&gt;0,X852/SUM(W852:W852)*1000000,"N/A")</f>
        <v>61890.25409836066</v>
      </c>
      <c r="Z852" s="183"/>
      <c r="AA852" s="183"/>
      <c r="AB852" s="150" t="s">
        <v>3230</v>
      </c>
      <c r="AC852" s="153"/>
      <c r="AD852" s="331"/>
      <c r="AE852" s="57"/>
      <c r="AF852" s="88"/>
      <c r="AG852" s="182">
        <f>YEAR(V852)</f>
        <v>2023</v>
      </c>
      <c r="AH852" s="86" t="str">
        <f>+IF(AF852=$AI$22,MONTH(U852),"")</f>
        <v/>
      </c>
      <c r="AI852" s="86" t="str">
        <f>+IF(AG852=$AI$22,MONTH(V852),"")</f>
        <v/>
      </c>
      <c r="AJ852" s="86" t="str">
        <f>+IF(AG852=$AJ$22,MONTH(V852),"")</f>
        <v/>
      </c>
      <c r="AK852" s="86">
        <f>+IF(AG852=$AK$22,MONTH(V852),"")</f>
        <v>11</v>
      </c>
      <c r="AL852" s="86" t="str">
        <f>+IF(AG852=$AL$22,MONTH(V852),"")</f>
        <v/>
      </c>
      <c r="AM852" s="86" t="str">
        <f>+IF($AG852=$AM$22,MONTH($D852),"")</f>
        <v/>
      </c>
      <c r="AN852" s="89" t="str">
        <f>+IF($AG852=AN$22,MONTH($D852),"")</f>
        <v/>
      </c>
      <c r="AO852" s="89" t="str">
        <f>+IF($AG852=AO$22,MONTH($D852),"")</f>
        <v/>
      </c>
      <c r="AP852" s="89" t="str">
        <f>+IF($AG852=AP$22,MONTH($D852),"")</f>
        <v/>
      </c>
      <c r="AQ852" s="89" t="str">
        <f>+IF($AG852=AQ$22,MONTH($D852),"")</f>
        <v/>
      </c>
      <c r="AR852" s="89" t="str">
        <f>+IF($AG852=AR$22,MONTH($D852),"")</f>
        <v/>
      </c>
      <c r="AS852" s="89" t="str">
        <f>+IF($AG852=AS$22,MONTH($D852),"")</f>
        <v/>
      </c>
      <c r="AT852" s="89" t="str">
        <f>+IF($AG852=AT$22,MONTH($D852),"")</f>
        <v/>
      </c>
      <c r="AU852" s="89" t="str">
        <f>+IF($AG852=AU$22,MONTH($D852),"")</f>
        <v/>
      </c>
      <c r="AV852" s="89" t="str">
        <f>+IF($AG852=AV$22,MONTH($D852),"")</f>
        <v/>
      </c>
      <c r="AW852" s="86" t="str">
        <f>+IF($AG852=AW$22,MONTH($D852),"")</f>
        <v/>
      </c>
      <c r="AX852" s="86" t="str">
        <f>+IF($AG852=AX$22,MONTH($D852),"")</f>
        <v/>
      </c>
      <c r="AY852" s="89"/>
      <c r="AZ852" s="89"/>
      <c r="BA852" s="89"/>
      <c r="BB852" s="89"/>
      <c r="BC852" s="89"/>
      <c r="BD852" s="89"/>
      <c r="BE852" s="89"/>
      <c r="BF852" s="89"/>
      <c r="BG852" s="89"/>
      <c r="BH852" s="89"/>
      <c r="BI852" s="89"/>
      <c r="BJ852" s="89"/>
      <c r="BK852" s="89"/>
      <c r="BL852" s="89"/>
      <c r="BM852" s="89"/>
      <c r="BN852" s="89"/>
      <c r="BO852" s="89"/>
      <c r="BP852" s="89"/>
    </row>
    <row r="853" spans="1:68" s="56" customFormat="1" ht="13.5" hidden="1">
      <c r="A853" s="204" t="str">
        <f>+IFERROR(VALUE(MID(AB853,4,4)),"")</f>
        <v/>
      </c>
      <c r="B853" s="204">
        <f>VALUE(RIGHT(C853,LEN(C853)-2))</f>
        <v>1870</v>
      </c>
      <c r="C853" s="74" t="s">
        <v>3231</v>
      </c>
      <c r="D853" s="75">
        <v>45205</v>
      </c>
      <c r="E853" s="70" t="s">
        <v>53</v>
      </c>
      <c r="F853" s="70" t="s">
        <v>252</v>
      </c>
      <c r="G853" s="68" t="s">
        <v>210</v>
      </c>
      <c r="H853" s="179"/>
      <c r="I853" s="69" t="s">
        <v>3232</v>
      </c>
      <c r="J853" s="69"/>
      <c r="K853" s="95" t="s">
        <v>11</v>
      </c>
      <c r="L853" s="69" t="s">
        <v>123</v>
      </c>
      <c r="M853" s="71" t="s">
        <v>141</v>
      </c>
      <c r="N853" s="69" t="e" vm="1">
        <v>#VALUE!</v>
      </c>
      <c r="O853" s="84">
        <v>45258</v>
      </c>
      <c r="P853" s="82"/>
      <c r="Q853" s="82" t="s">
        <v>229</v>
      </c>
      <c r="R853" s="69"/>
      <c r="S853" s="146" t="s">
        <v>587</v>
      </c>
      <c r="T853" s="68" t="s">
        <v>155</v>
      </c>
      <c r="U853" s="87"/>
      <c r="V853" s="183">
        <v>45205</v>
      </c>
      <c r="W853" s="73"/>
      <c r="X853" s="73"/>
      <c r="Y853" s="83" t="str">
        <f>IF(SUM(W853:W853)&gt;0,X853/SUM(W853:W853)*1000000,"N/A")</f>
        <v>N/A</v>
      </c>
      <c r="Z853" s="183"/>
      <c r="AA853" s="183"/>
      <c r="AB853" s="73"/>
      <c r="AC853" s="153"/>
      <c r="AD853" s="331"/>
      <c r="AE853" s="57"/>
      <c r="AF853" s="88"/>
      <c r="AG853" s="182">
        <f>YEAR(V853)</f>
        <v>2023</v>
      </c>
      <c r="AH853" s="86" t="str">
        <f>+IF(AF853=$AI$22,MONTH(U853),"")</f>
        <v/>
      </c>
      <c r="AI853" s="86" t="str">
        <f>+IF(AG853=$AI$22,MONTH(V853),"")</f>
        <v/>
      </c>
      <c r="AJ853" s="86" t="str">
        <f>+IF(AG853=$AJ$22,MONTH(V853),"")</f>
        <v/>
      </c>
      <c r="AK853" s="86">
        <f>+IF(AG853=$AK$22,MONTH(V853),"")</f>
        <v>10</v>
      </c>
      <c r="AL853" s="86" t="str">
        <f>+IF(AG853=$AL$22,MONTH(V853),"")</f>
        <v/>
      </c>
      <c r="AM853" s="86" t="str">
        <f>+IF($AG853=$AM$22,MONTH($D853),"")</f>
        <v/>
      </c>
      <c r="AN853" s="89" t="str">
        <f>+IF($AG853=AN$22,MONTH($D853),"")</f>
        <v/>
      </c>
      <c r="AO853" s="89" t="str">
        <f>+IF($AG853=AO$22,MONTH($D853),"")</f>
        <v/>
      </c>
      <c r="AP853" s="89" t="str">
        <f>+IF($AG853=AP$22,MONTH($D853),"")</f>
        <v/>
      </c>
      <c r="AQ853" s="89" t="str">
        <f>+IF($AG853=AQ$22,MONTH($D853),"")</f>
        <v/>
      </c>
      <c r="AR853" s="89" t="str">
        <f>+IF($AG853=AR$22,MONTH($D853),"")</f>
        <v/>
      </c>
      <c r="AS853" s="89" t="str">
        <f>+IF($AG853=AS$22,MONTH($D853),"")</f>
        <v/>
      </c>
      <c r="AT853" s="89" t="str">
        <f>+IF($AG853=AT$22,MONTH($D853),"")</f>
        <v/>
      </c>
      <c r="AU853" s="89" t="str">
        <f>+IF($AG853=AU$22,MONTH($D853),"")</f>
        <v/>
      </c>
      <c r="AV853" s="89" t="str">
        <f>+IF($AG853=AV$22,MONTH($D853),"")</f>
        <v/>
      </c>
      <c r="AW853" s="86" t="str">
        <f>+IF($AG853=AW$22,MONTH($D853),"")</f>
        <v/>
      </c>
      <c r="AX853" s="86" t="str">
        <f>+IF($AG853=AX$22,MONTH($D853),"")</f>
        <v/>
      </c>
      <c r="AY853" s="89"/>
      <c r="AZ853" s="89"/>
      <c r="BA853" s="89"/>
      <c r="BB853" s="89"/>
      <c r="BC853" s="89"/>
      <c r="BD853" s="89"/>
      <c r="BE853" s="89"/>
      <c r="BF853" s="89"/>
      <c r="BG853" s="89"/>
      <c r="BH853" s="89"/>
      <c r="BI853" s="89"/>
      <c r="BJ853" s="89"/>
      <c r="BK853" s="89"/>
      <c r="BL853" s="89"/>
      <c r="BM853" s="89"/>
      <c r="BN853" s="89"/>
      <c r="BO853" s="89"/>
      <c r="BP853" s="89"/>
    </row>
    <row r="854" spans="1:68" s="56" customFormat="1" ht="13.5" hidden="1">
      <c r="A854" s="204" t="str">
        <f>+IFERROR(VALUE(MID(AB854,4,4)),"")</f>
        <v/>
      </c>
      <c r="B854" s="204">
        <f>VALUE(RIGHT(C854,LEN(C854)-2))</f>
        <v>1869</v>
      </c>
      <c r="C854" s="74" t="s">
        <v>3233</v>
      </c>
      <c r="D854" s="75">
        <v>45205</v>
      </c>
      <c r="E854" s="70" t="s">
        <v>53</v>
      </c>
      <c r="F854" s="70" t="s">
        <v>313</v>
      </c>
      <c r="G854" s="68" t="s">
        <v>210</v>
      </c>
      <c r="H854" s="179"/>
      <c r="I854" s="69" t="s">
        <v>3234</v>
      </c>
      <c r="J854" s="69"/>
      <c r="K854" s="95" t="s">
        <v>9</v>
      </c>
      <c r="L854" s="69" t="s">
        <v>123</v>
      </c>
      <c r="M854" s="71" t="s">
        <v>141</v>
      </c>
      <c r="N854" s="69" t="e" vm="1">
        <v>#VALUE!</v>
      </c>
      <c r="O854" s="84">
        <v>45261</v>
      </c>
      <c r="P854" s="82" t="s">
        <v>1154</v>
      </c>
      <c r="Q854" s="82" t="s">
        <v>316</v>
      </c>
      <c r="R854" s="69"/>
      <c r="S854" s="146" t="s">
        <v>3235</v>
      </c>
      <c r="T854" s="68" t="s">
        <v>155</v>
      </c>
      <c r="U854" s="87"/>
      <c r="V854" s="183">
        <v>45205</v>
      </c>
      <c r="W854" s="73"/>
      <c r="X854" s="73"/>
      <c r="Y854" s="83" t="str">
        <f>IF(SUM(W854:W854)&gt;0,X854/SUM(W854:W854)*1000000,"N/A")</f>
        <v>N/A</v>
      </c>
      <c r="Z854" s="183"/>
      <c r="AA854" s="183"/>
      <c r="AB854" s="73"/>
      <c r="AC854" s="153"/>
      <c r="AD854" s="331"/>
      <c r="AE854" s="57"/>
      <c r="AF854" s="88"/>
      <c r="AG854" s="182">
        <f>YEAR(V854)</f>
        <v>2023</v>
      </c>
      <c r="AH854" s="86" t="str">
        <f>+IF(AF854=$AI$22,MONTH(U854),"")</f>
        <v/>
      </c>
      <c r="AI854" s="86" t="str">
        <f>+IF(AG854=$AI$22,MONTH(V854),"")</f>
        <v/>
      </c>
      <c r="AJ854" s="86" t="str">
        <f>+IF(AG854=$AJ$22,MONTH(V854),"")</f>
        <v/>
      </c>
      <c r="AK854" s="86">
        <f>+IF(AG854=$AK$22,MONTH(V854),"")</f>
        <v>10</v>
      </c>
      <c r="AL854" s="86" t="str">
        <f>+IF(AG854=$AL$22,MONTH(V854),"")</f>
        <v/>
      </c>
      <c r="AM854" s="86" t="str">
        <f>+IF($AG854=$AM$22,MONTH($D854),"")</f>
        <v/>
      </c>
      <c r="AN854" s="89" t="str">
        <f>+IF($AG854=AN$22,MONTH($D854),"")</f>
        <v/>
      </c>
      <c r="AO854" s="89" t="str">
        <f>+IF($AG854=AO$22,MONTH($D854),"")</f>
        <v/>
      </c>
      <c r="AP854" s="89" t="str">
        <f>+IF($AG854=AP$22,MONTH($D854),"")</f>
        <v/>
      </c>
      <c r="AQ854" s="89" t="str">
        <f>+IF($AG854=AQ$22,MONTH($D854),"")</f>
        <v/>
      </c>
      <c r="AR854" s="89" t="str">
        <f>+IF($AG854=AR$22,MONTH($D854),"")</f>
        <v/>
      </c>
      <c r="AS854" s="89" t="str">
        <f>+IF($AG854=AS$22,MONTH($D854),"")</f>
        <v/>
      </c>
      <c r="AT854" s="89" t="str">
        <f>+IF($AG854=AT$22,MONTH($D854),"")</f>
        <v/>
      </c>
      <c r="AU854" s="89" t="str">
        <f>+IF($AG854=AU$22,MONTH($D854),"")</f>
        <v/>
      </c>
      <c r="AV854" s="89" t="str">
        <f>+IF($AG854=AV$22,MONTH($D854),"")</f>
        <v/>
      </c>
      <c r="AW854" s="86" t="str">
        <f>+IF($AG854=AW$22,MONTH($D854),"")</f>
        <v/>
      </c>
      <c r="AX854" s="86" t="str">
        <f>+IF($AG854=AX$22,MONTH($D854),"")</f>
        <v/>
      </c>
      <c r="AY854" s="89"/>
      <c r="AZ854" s="89"/>
      <c r="BA854" s="89"/>
      <c r="BB854" s="89"/>
      <c r="BC854" s="89"/>
      <c r="BD854" s="89"/>
      <c r="BE854" s="89"/>
      <c r="BF854" s="89"/>
      <c r="BG854" s="89"/>
      <c r="BH854" s="89"/>
      <c r="BI854" s="89"/>
      <c r="BJ854" s="89"/>
      <c r="BK854" s="89"/>
      <c r="BL854" s="89"/>
      <c r="BM854" s="89"/>
      <c r="BN854" s="89"/>
      <c r="BO854" s="89"/>
      <c r="BP854" s="89"/>
    </row>
    <row r="855" spans="1:68" s="56" customFormat="1" ht="27" hidden="1">
      <c r="A855" s="204" t="str">
        <f>+IFERROR(VALUE(MID(AB855,4,4)),"")</f>
        <v/>
      </c>
      <c r="B855" s="204">
        <f>VALUE(RIGHT(C855,LEN(C855)-2))</f>
        <v>1868</v>
      </c>
      <c r="C855" s="74" t="s">
        <v>3236</v>
      </c>
      <c r="D855" s="75">
        <v>45203</v>
      </c>
      <c r="E855" s="70" t="s">
        <v>277</v>
      </c>
      <c r="F855" s="70" t="s">
        <v>277</v>
      </c>
      <c r="G855" s="68" t="s">
        <v>1781</v>
      </c>
      <c r="H855" s="179" t="s">
        <v>2413</v>
      </c>
      <c r="I855" s="69" t="s">
        <v>3237</v>
      </c>
      <c r="J855" s="69"/>
      <c r="K855" s="95" t="s">
        <v>259</v>
      </c>
      <c r="L855" s="69" t="s">
        <v>129</v>
      </c>
      <c r="M855" s="71" t="s">
        <v>141</v>
      </c>
      <c r="N855" s="69" t="e" vm="1">
        <v>#VALUE!</v>
      </c>
      <c r="O855" s="164">
        <v>45323</v>
      </c>
      <c r="P855" s="82" t="s">
        <v>3238</v>
      </c>
      <c r="Q855" s="82" t="s">
        <v>1097</v>
      </c>
      <c r="R855" s="69"/>
      <c r="S855" s="146"/>
      <c r="T855" s="68" t="s">
        <v>165</v>
      </c>
      <c r="U855" s="87"/>
      <c r="V855" s="183">
        <v>45797</v>
      </c>
      <c r="W855" s="73">
        <v>996</v>
      </c>
      <c r="X855" s="73">
        <f>1404*37000/1000000</f>
        <v>51.948</v>
      </c>
      <c r="Y855" s="83">
        <f>IF(SUM(W855:W855)&gt;0,X855/SUM(W855:W855)*1000000,"N/A")</f>
        <v>52156.626506024098</v>
      </c>
      <c r="Z855" s="183"/>
      <c r="AA855" s="183"/>
      <c r="AB855" s="73"/>
      <c r="AC855" s="153">
        <v>45541</v>
      </c>
      <c r="AD855" s="331"/>
      <c r="AE855" s="57"/>
      <c r="AF855" s="88"/>
      <c r="AG855" s="182">
        <f>YEAR(V855)</f>
        <v>2025</v>
      </c>
      <c r="AH855" s="86" t="str">
        <f>+IF(AF855=$AI$22,MONTH(U855),"")</f>
        <v/>
      </c>
      <c r="AI855" s="86">
        <f>+IF(AG855=$AI$22,MONTH(V855),"")</f>
        <v>5</v>
      </c>
      <c r="AJ855" s="86" t="str">
        <f>+IF(AG855=$AJ$22,MONTH(V855),"")</f>
        <v/>
      </c>
      <c r="AK855" s="86" t="str">
        <f>+IF(AG855=$AK$22,MONTH(V855),"")</f>
        <v/>
      </c>
      <c r="AL855" s="86" t="str">
        <f>+IF(AG855=$AL$22,MONTH(V855),"")</f>
        <v/>
      </c>
      <c r="AM855" s="86" t="str">
        <f>+IF($AG855=$AM$22,MONTH($D855),"")</f>
        <v/>
      </c>
      <c r="AN855" s="89" t="str">
        <f>+IF($AG855=AN$22,MONTH($D855),"")</f>
        <v/>
      </c>
      <c r="AO855" s="89" t="str">
        <f>+IF($AG855=AO$22,MONTH($D855),"")</f>
        <v/>
      </c>
      <c r="AP855" s="89" t="str">
        <f>+IF($AG855=AP$22,MONTH($D855),"")</f>
        <v/>
      </c>
      <c r="AQ855" s="89" t="str">
        <f>+IF($AG855=AQ$22,MONTH($D855),"")</f>
        <v/>
      </c>
      <c r="AR855" s="89" t="str">
        <f>+IF($AG855=AR$22,MONTH($D855),"")</f>
        <v/>
      </c>
      <c r="AS855" s="89" t="str">
        <f>+IF($AG855=AS$22,MONTH($D855),"")</f>
        <v/>
      </c>
      <c r="AT855" s="89" t="str">
        <f>+IF($AG855=AT$22,MONTH($D855),"")</f>
        <v/>
      </c>
      <c r="AU855" s="89" t="str">
        <f>+IF($AG855=AU$22,MONTH($D855),"")</f>
        <v/>
      </c>
      <c r="AV855" s="89" t="str">
        <f>+IF($AG855=AV$22,MONTH($D855),"")</f>
        <v/>
      </c>
      <c r="AW855" s="86" t="str">
        <f>+IF($AG855=AW$22,MONTH($D855),"")</f>
        <v/>
      </c>
      <c r="AX855" s="86" t="str">
        <f>+IF($AG855=AX$22,MONTH($D855),"")</f>
        <v/>
      </c>
      <c r="AY855" s="89"/>
      <c r="AZ855" s="89"/>
      <c r="BA855" s="89"/>
      <c r="BB855" s="89"/>
      <c r="BC855" s="89"/>
      <c r="BD855" s="89"/>
      <c r="BE855" s="89"/>
      <c r="BF855" s="89"/>
      <c r="BG855" s="89"/>
      <c r="BH855" s="89"/>
      <c r="BI855" s="89"/>
      <c r="BJ855" s="89"/>
      <c r="BK855" s="89"/>
      <c r="BL855" s="89"/>
      <c r="BM855" s="89"/>
      <c r="BN855" s="89"/>
      <c r="BO855" s="89"/>
      <c r="BP855" s="89"/>
    </row>
    <row r="856" spans="1:68" s="56" customFormat="1" ht="27" hidden="1">
      <c r="A856" s="204" t="str">
        <f>+IFERROR(VALUE(MID(AB856,4,4)),"")</f>
        <v/>
      </c>
      <c r="B856" s="204">
        <f>VALUE(RIGHT(C856,LEN(C856)-2))</f>
        <v>1867</v>
      </c>
      <c r="C856" s="74" t="s">
        <v>3239</v>
      </c>
      <c r="D856" s="75">
        <v>45203</v>
      </c>
      <c r="E856" s="70" t="s">
        <v>106</v>
      </c>
      <c r="F856" s="70" t="s">
        <v>106</v>
      </c>
      <c r="G856" s="68" t="s">
        <v>1851</v>
      </c>
      <c r="H856" s="179" t="s">
        <v>3240</v>
      </c>
      <c r="I856" s="69" t="s">
        <v>3241</v>
      </c>
      <c r="J856" s="69"/>
      <c r="K856" s="95" t="s">
        <v>11</v>
      </c>
      <c r="L856" s="69" t="s">
        <v>120</v>
      </c>
      <c r="M856" s="71" t="s">
        <v>141</v>
      </c>
      <c r="N856" s="69" t="e" vm="1">
        <v>#VALUE!</v>
      </c>
      <c r="O856" s="84">
        <v>45224</v>
      </c>
      <c r="P856" s="82" t="s">
        <v>3242</v>
      </c>
      <c r="Q856" s="82" t="s">
        <v>1097</v>
      </c>
      <c r="R856" s="69"/>
      <c r="S856" s="146" t="s">
        <v>3243</v>
      </c>
      <c r="T856" s="68" t="s">
        <v>155</v>
      </c>
      <c r="U856" s="87"/>
      <c r="V856" s="183">
        <v>45204</v>
      </c>
      <c r="W856" s="73"/>
      <c r="X856" s="73"/>
      <c r="Y856" s="83" t="str">
        <f>IF(SUM(W856:W856)&gt;0,X856/SUM(W856:W856)*1000000,"N/A")</f>
        <v>N/A</v>
      </c>
      <c r="Z856" s="183"/>
      <c r="AA856" s="183"/>
      <c r="AB856" s="73"/>
      <c r="AC856" s="153"/>
      <c r="AD856" s="331"/>
      <c r="AE856" s="57"/>
      <c r="AF856" s="88"/>
      <c r="AG856" s="182">
        <f>YEAR(V856)</f>
        <v>2023</v>
      </c>
      <c r="AH856" s="86" t="str">
        <f>+IF(AF856=$AI$22,MONTH(U856),"")</f>
        <v/>
      </c>
      <c r="AI856" s="86" t="str">
        <f>+IF(AG856=$AI$22,MONTH(V856),"")</f>
        <v/>
      </c>
      <c r="AJ856" s="86" t="str">
        <f>+IF(AG856=$AJ$22,MONTH(V856),"")</f>
        <v/>
      </c>
      <c r="AK856" s="86">
        <f>+IF(AG856=$AK$22,MONTH(V856),"")</f>
        <v>10</v>
      </c>
      <c r="AL856" s="86" t="str">
        <f>+IF(AG856=$AL$22,MONTH(V856),"")</f>
        <v/>
      </c>
      <c r="AM856" s="86" t="str">
        <f>+IF($AG856=$AM$22,MONTH($D856),"")</f>
        <v/>
      </c>
      <c r="AN856" s="89" t="str">
        <f>+IF($AG856=AN$22,MONTH($D856),"")</f>
        <v/>
      </c>
      <c r="AO856" s="89" t="str">
        <f>+IF($AG856=AO$22,MONTH($D856),"")</f>
        <v/>
      </c>
      <c r="AP856" s="89" t="str">
        <f>+IF($AG856=AP$22,MONTH($D856),"")</f>
        <v/>
      </c>
      <c r="AQ856" s="89" t="str">
        <f>+IF($AG856=AQ$22,MONTH($D856),"")</f>
        <v/>
      </c>
      <c r="AR856" s="89" t="str">
        <f>+IF($AG856=AR$22,MONTH($D856),"")</f>
        <v/>
      </c>
      <c r="AS856" s="89" t="str">
        <f>+IF($AG856=AS$22,MONTH($D856),"")</f>
        <v/>
      </c>
      <c r="AT856" s="89" t="str">
        <f>+IF($AG856=AT$22,MONTH($D856),"")</f>
        <v/>
      </c>
      <c r="AU856" s="89" t="str">
        <f>+IF($AG856=AU$22,MONTH($D856),"")</f>
        <v/>
      </c>
      <c r="AV856" s="89" t="str">
        <f>+IF($AG856=AV$22,MONTH($D856),"")</f>
        <v/>
      </c>
      <c r="AW856" s="86" t="str">
        <f>+IF($AG856=AW$22,MONTH($D856),"")</f>
        <v/>
      </c>
      <c r="AX856" s="86" t="str">
        <f>+IF($AG856=AX$22,MONTH($D856),"")</f>
        <v/>
      </c>
      <c r="AY856" s="89"/>
      <c r="AZ856" s="89"/>
      <c r="BA856" s="89"/>
      <c r="BB856" s="89"/>
      <c r="BC856" s="89"/>
      <c r="BD856" s="89"/>
      <c r="BE856" s="89"/>
      <c r="BF856" s="89"/>
      <c r="BG856" s="89"/>
      <c r="BH856" s="89"/>
      <c r="BI856" s="89"/>
      <c r="BJ856" s="89"/>
      <c r="BK856" s="89"/>
      <c r="BL856" s="89"/>
      <c r="BM856" s="89"/>
      <c r="BN856" s="89"/>
      <c r="BO856" s="89"/>
      <c r="BP856" s="89"/>
    </row>
    <row r="857" spans="1:68" s="56" customFormat="1" ht="27" hidden="1">
      <c r="A857" s="204" t="str">
        <f>+IFERROR(VALUE(MID(AB857,4,4)),"")</f>
        <v/>
      </c>
      <c r="B857" s="204">
        <f>VALUE(RIGHT(C857,LEN(C857)-2))</f>
        <v>1866</v>
      </c>
      <c r="C857" s="74" t="s">
        <v>3244</v>
      </c>
      <c r="D857" s="75">
        <v>45202</v>
      </c>
      <c r="E857" s="70" t="s">
        <v>479</v>
      </c>
      <c r="F857" s="70" t="s">
        <v>479</v>
      </c>
      <c r="G857" s="68" t="s">
        <v>3245</v>
      </c>
      <c r="H857" s="59" t="s">
        <v>3246</v>
      </c>
      <c r="I857" s="69" t="s">
        <v>3247</v>
      </c>
      <c r="J857" s="69"/>
      <c r="K857" s="68" t="s">
        <v>13</v>
      </c>
      <c r="L857" s="69" t="s">
        <v>123</v>
      </c>
      <c r="M857" s="71" t="s">
        <v>113</v>
      </c>
      <c r="N857" s="69" t="e" vm="2">
        <v>#VALUE!</v>
      </c>
      <c r="O857" s="84">
        <v>45236</v>
      </c>
      <c r="P857" s="72" t="s">
        <v>483</v>
      </c>
      <c r="Q857" s="72" t="s">
        <v>623</v>
      </c>
      <c r="R857" s="162"/>
      <c r="S857" s="146"/>
      <c r="T857" s="68" t="s">
        <v>165</v>
      </c>
      <c r="U857" s="87"/>
      <c r="V857" s="183">
        <v>45254</v>
      </c>
      <c r="W857" s="150">
        <v>114810</v>
      </c>
      <c r="X857" s="150">
        <f>(182*25849401)/1000000</f>
        <v>4704.5909819999997</v>
      </c>
      <c r="Y857" s="83">
        <f>IF(SUM(W857:W857)&gt;0,X857/SUM(W857:W857)*1000000,"N/A")</f>
        <v>40977.188241442374</v>
      </c>
      <c r="Z857" s="183"/>
      <c r="AA857" s="183"/>
      <c r="AB857" s="73"/>
      <c r="AC857" s="153"/>
      <c r="AD857" s="331"/>
      <c r="AE857" s="57"/>
      <c r="AF857" s="88"/>
      <c r="AG857" s="182">
        <f>YEAR(V857)</f>
        <v>2023</v>
      </c>
      <c r="AH857" s="86" t="str">
        <f>+IF(AF857=$AI$22,MONTH(U857),"")</f>
        <v/>
      </c>
      <c r="AI857" s="86" t="str">
        <f>+IF(AG857=$AI$22,MONTH(V857),"")</f>
        <v/>
      </c>
      <c r="AJ857" s="86" t="str">
        <f>+IF(AG857=$AJ$22,MONTH(V857),"")</f>
        <v/>
      </c>
      <c r="AK857" s="86">
        <f>+IF(AG857=$AK$22,MONTH(V857),"")</f>
        <v>11</v>
      </c>
      <c r="AL857" s="86" t="str">
        <f>+IF(AG857=$AL$22,MONTH(V857),"")</f>
        <v/>
      </c>
      <c r="AM857" s="86" t="str">
        <f>+IF($AG857=$AM$22,MONTH($D857),"")</f>
        <v/>
      </c>
      <c r="AN857" s="89" t="str">
        <f>+IF($AG857=AN$22,MONTH($D857),"")</f>
        <v/>
      </c>
      <c r="AO857" s="89" t="str">
        <f>+IF($AG857=AO$22,MONTH($D857),"")</f>
        <v/>
      </c>
      <c r="AP857" s="89" t="str">
        <f>+IF($AG857=AP$22,MONTH($D857),"")</f>
        <v/>
      </c>
      <c r="AQ857" s="89" t="str">
        <f>+IF($AG857=AQ$22,MONTH($D857),"")</f>
        <v/>
      </c>
      <c r="AR857" s="89" t="str">
        <f>+IF($AG857=AR$22,MONTH($D857),"")</f>
        <v/>
      </c>
      <c r="AS857" s="89" t="str">
        <f>+IF($AG857=AS$22,MONTH($D857),"")</f>
        <v/>
      </c>
      <c r="AT857" s="89" t="str">
        <f>+IF($AG857=AT$22,MONTH($D857),"")</f>
        <v/>
      </c>
      <c r="AU857" s="89" t="str">
        <f>+IF($AG857=AU$22,MONTH($D857),"")</f>
        <v/>
      </c>
      <c r="AV857" s="89" t="str">
        <f>+IF($AG857=AV$22,MONTH($D857),"")</f>
        <v/>
      </c>
      <c r="AW857" s="86" t="str">
        <f>+IF($AG857=AW$22,MONTH($D857),"")</f>
        <v/>
      </c>
      <c r="AX857" s="86" t="str">
        <f>+IF($AG857=AX$22,MONTH($D857),"")</f>
        <v/>
      </c>
      <c r="AY857" s="89"/>
      <c r="AZ857" s="89"/>
      <c r="BA857" s="89"/>
      <c r="BB857" s="89"/>
      <c r="BC857" s="89"/>
      <c r="BD857" s="89"/>
      <c r="BE857" s="89"/>
      <c r="BF857" s="89"/>
      <c r="BG857" s="89"/>
      <c r="BH857" s="89"/>
      <c r="BI857" s="89"/>
      <c r="BJ857" s="89"/>
      <c r="BK857" s="89"/>
      <c r="BL857" s="89"/>
      <c r="BM857" s="89"/>
      <c r="BN857" s="89"/>
      <c r="BO857" s="89"/>
      <c r="BP857" s="89"/>
    </row>
    <row r="858" spans="1:68" s="56" customFormat="1" ht="13.5" hidden="1">
      <c r="A858" s="204">
        <f>+IFERROR(VALUE(MID(AB858,4,4)),"")</f>
        <v>361</v>
      </c>
      <c r="B858" s="204">
        <f>VALUE(RIGHT(C858,LEN(C858)-2))</f>
        <v>1865</v>
      </c>
      <c r="C858" s="74" t="s">
        <v>3248</v>
      </c>
      <c r="D858" s="75">
        <v>45202</v>
      </c>
      <c r="E858" s="70" t="s">
        <v>939</v>
      </c>
      <c r="F858" s="70" t="s">
        <v>940</v>
      </c>
      <c r="G858" s="68" t="s">
        <v>2409</v>
      </c>
      <c r="H858" s="59"/>
      <c r="I858" s="69" t="s">
        <v>3249</v>
      </c>
      <c r="J858" s="69"/>
      <c r="K858" s="68" t="s">
        <v>13</v>
      </c>
      <c r="L858" s="69" t="s">
        <v>123</v>
      </c>
      <c r="M858" s="71" t="s">
        <v>141</v>
      </c>
      <c r="N858" s="69" t="e" vm="1">
        <v>#VALUE!</v>
      </c>
      <c r="O858" s="84">
        <v>45219</v>
      </c>
      <c r="P858" s="164" t="s">
        <v>3250</v>
      </c>
      <c r="Q858" s="72" t="s">
        <v>259</v>
      </c>
      <c r="R858" s="162"/>
      <c r="S858" s="146"/>
      <c r="T858" s="68" t="s">
        <v>3</v>
      </c>
      <c r="U858" s="177"/>
      <c r="V858" s="80">
        <v>45254</v>
      </c>
      <c r="W858" s="73">
        <v>3551</v>
      </c>
      <c r="X858" s="73">
        <v>162</v>
      </c>
      <c r="Y858" s="83">
        <f>IF(SUM(W858:W858)&gt;0,X858/SUM(W858:W858)*1000000,"N/A")</f>
        <v>45620.951844550829</v>
      </c>
      <c r="Z858" s="80"/>
      <c r="AA858" s="80"/>
      <c r="AB858" s="73" t="s">
        <v>3251</v>
      </c>
      <c r="AC858" s="153"/>
      <c r="AD858" s="331"/>
      <c r="AE858" s="57"/>
      <c r="AF858" s="88"/>
      <c r="AG858" s="182">
        <f>YEAR(V858)</f>
        <v>2023</v>
      </c>
      <c r="AH858" s="86" t="str">
        <f>+IF(AF858=$AI$22,MONTH(U858),"")</f>
        <v/>
      </c>
      <c r="AI858" s="86" t="str">
        <f>+IF(AG858=$AI$22,MONTH(V858),"")</f>
        <v/>
      </c>
      <c r="AJ858" s="86" t="str">
        <f>+IF(AG858=$AJ$22,MONTH(V858),"")</f>
        <v/>
      </c>
      <c r="AK858" s="86">
        <f>+IF(AG858=$AK$22,MONTH(V858),"")</f>
        <v>11</v>
      </c>
      <c r="AL858" s="86" t="str">
        <f>+IF(AG858=$AL$22,MONTH(V858),"")</f>
        <v/>
      </c>
      <c r="AM858" s="86" t="str">
        <f>+IF($AG858=$AM$22,MONTH($D858),"")</f>
        <v/>
      </c>
      <c r="AN858" s="89" t="str">
        <f>+IF($AG858=AN$22,MONTH($D858),"")</f>
        <v/>
      </c>
      <c r="AO858" s="89" t="str">
        <f>+IF($AG858=AO$22,MONTH($D858),"")</f>
        <v/>
      </c>
      <c r="AP858" s="89" t="str">
        <f>+IF($AG858=AP$22,MONTH($D858),"")</f>
        <v/>
      </c>
      <c r="AQ858" s="89" t="str">
        <f>+IF($AG858=AQ$22,MONTH($D858),"")</f>
        <v/>
      </c>
      <c r="AR858" s="89" t="str">
        <f>+IF($AG858=AR$22,MONTH($D858),"")</f>
        <v/>
      </c>
      <c r="AS858" s="89" t="str">
        <f>+IF($AG858=AS$22,MONTH($D858),"")</f>
        <v/>
      </c>
      <c r="AT858" s="89" t="str">
        <f>+IF($AG858=AT$22,MONTH($D858),"")</f>
        <v/>
      </c>
      <c r="AU858" s="89" t="str">
        <f>+IF($AG858=AU$22,MONTH($D858),"")</f>
        <v/>
      </c>
      <c r="AV858" s="89" t="str">
        <f>+IF($AG858=AV$22,MONTH($D858),"")</f>
        <v/>
      </c>
      <c r="AW858" s="86" t="str">
        <f>+IF($AG858=AW$22,MONTH($D858),"")</f>
        <v/>
      </c>
      <c r="AX858" s="86" t="str">
        <f>+IF($AG858=AX$22,MONTH($D858),"")</f>
        <v/>
      </c>
      <c r="AY858" s="89"/>
      <c r="AZ858" s="89"/>
      <c r="BA858" s="89"/>
      <c r="BB858" s="89"/>
      <c r="BC858" s="89"/>
      <c r="BD858" s="89"/>
      <c r="BE858" s="89"/>
      <c r="BF858" s="89"/>
      <c r="BG858" s="89"/>
      <c r="BH858" s="89"/>
      <c r="BI858" s="89"/>
      <c r="BJ858" s="89"/>
      <c r="BK858" s="89"/>
      <c r="BL858" s="89"/>
      <c r="BM858" s="89"/>
      <c r="BN858" s="89"/>
      <c r="BO858" s="89"/>
      <c r="BP858" s="89"/>
    </row>
    <row r="859" spans="1:68" s="56" customFormat="1" ht="53.25" hidden="1">
      <c r="A859" s="204" t="str">
        <f>+IFERROR(VALUE(MID(AB859,4,4)),"")</f>
        <v/>
      </c>
      <c r="B859" s="204">
        <f>VALUE(RIGHT(C859,LEN(C859)-2))</f>
        <v>1864</v>
      </c>
      <c r="C859" s="74" t="s">
        <v>3252</v>
      </c>
      <c r="D859" s="75">
        <v>45196</v>
      </c>
      <c r="E859" s="70" t="s">
        <v>3253</v>
      </c>
      <c r="F859" s="70" t="s">
        <v>3253</v>
      </c>
      <c r="G859" s="68" t="s">
        <v>210</v>
      </c>
      <c r="H859" s="59"/>
      <c r="I859" s="69" t="s">
        <v>3254</v>
      </c>
      <c r="J859" s="69"/>
      <c r="K859" s="68" t="s">
        <v>212</v>
      </c>
      <c r="L859" s="69" t="s">
        <v>123</v>
      </c>
      <c r="M859" s="71" t="s">
        <v>141</v>
      </c>
      <c r="N859" s="69" t="e" vm="1">
        <v>#VALUE!</v>
      </c>
      <c r="O859" s="84">
        <v>45257</v>
      </c>
      <c r="P859" s="164" t="s">
        <v>3250</v>
      </c>
      <c r="Q859" s="72" t="s">
        <v>405</v>
      </c>
      <c r="R859" s="162"/>
      <c r="S859" s="146" t="s">
        <v>3136</v>
      </c>
      <c r="T859" s="68" t="s">
        <v>165</v>
      </c>
      <c r="U859" s="87"/>
      <c r="V859" s="183">
        <v>45369</v>
      </c>
      <c r="W859" s="73">
        <v>1000</v>
      </c>
      <c r="X859" s="73">
        <v>42</v>
      </c>
      <c r="Y859" s="83">
        <f>IF(SUM(W859:W859)&gt;0,X859/SUM(W859:W859)*1000000,"N/A")</f>
        <v>42000</v>
      </c>
      <c r="Z859" s="183"/>
      <c r="AA859" s="183"/>
      <c r="AB859" s="73"/>
      <c r="AC859" s="153">
        <v>45571</v>
      </c>
      <c r="AD859" s="331"/>
      <c r="AE859" s="57"/>
      <c r="AF859" s="88"/>
      <c r="AG859" s="182">
        <f>YEAR(V859)</f>
        <v>2024</v>
      </c>
      <c r="AH859" s="86" t="str">
        <f>+IF(AF859=$AI$22,MONTH(U859),"")</f>
        <v/>
      </c>
      <c r="AI859" s="86" t="str">
        <f>+IF(AG859=$AI$22,MONTH(V859),"")</f>
        <v/>
      </c>
      <c r="AJ859" s="86">
        <f>+IF(AG859=$AJ$22,MONTH(V859),"")</f>
        <v>3</v>
      </c>
      <c r="AK859" s="86" t="str">
        <f>+IF(AG859=$AK$22,MONTH(V859),"")</f>
        <v/>
      </c>
      <c r="AL859" s="86" t="str">
        <f>+IF(AG859=$AL$22,MONTH(V859),"")</f>
        <v/>
      </c>
      <c r="AM859" s="86" t="str">
        <f>+IF($AG859=$AM$22,MONTH($D859),"")</f>
        <v/>
      </c>
      <c r="AN859" s="89" t="str">
        <f>+IF($AG859=AN$22,MONTH($D859),"")</f>
        <v/>
      </c>
      <c r="AO859" s="89" t="str">
        <f>+IF($AG859=AO$22,MONTH($D859),"")</f>
        <v/>
      </c>
      <c r="AP859" s="89" t="str">
        <f>+IF($AG859=AP$22,MONTH($D859),"")</f>
        <v/>
      </c>
      <c r="AQ859" s="89" t="str">
        <f>+IF($AG859=AQ$22,MONTH($D859),"")</f>
        <v/>
      </c>
      <c r="AR859" s="89" t="str">
        <f>+IF($AG859=AR$22,MONTH($D859),"")</f>
        <v/>
      </c>
      <c r="AS859" s="89" t="str">
        <f>+IF($AG859=AS$22,MONTH($D859),"")</f>
        <v/>
      </c>
      <c r="AT859" s="89" t="str">
        <f>+IF($AG859=AT$22,MONTH($D859),"")</f>
        <v/>
      </c>
      <c r="AU859" s="89" t="str">
        <f>+IF($AG859=AU$22,MONTH($D859),"")</f>
        <v/>
      </c>
      <c r="AV859" s="89" t="str">
        <f>+IF($AG859=AV$22,MONTH($D859),"")</f>
        <v/>
      </c>
      <c r="AW859" s="86" t="str">
        <f>+IF($AG859=AW$22,MONTH($D859),"")</f>
        <v/>
      </c>
      <c r="AX859" s="86" t="str">
        <f>+IF($AG859=AX$22,MONTH($D859),"")</f>
        <v/>
      </c>
      <c r="AY859" s="89"/>
      <c r="AZ859" s="89"/>
      <c r="BA859" s="89"/>
      <c r="BB859" s="89"/>
      <c r="BC859" s="89"/>
      <c r="BD859" s="89"/>
      <c r="BE859" s="89"/>
      <c r="BF859" s="89"/>
      <c r="BG859" s="89"/>
      <c r="BH859" s="89"/>
      <c r="BI859" s="89"/>
      <c r="BJ859" s="89"/>
      <c r="BK859" s="89"/>
      <c r="BL859" s="89"/>
      <c r="BM859" s="89"/>
      <c r="BN859" s="89"/>
      <c r="BO859" s="89"/>
      <c r="BP859" s="89"/>
    </row>
    <row r="860" spans="1:68" s="56" customFormat="1" ht="13.5" hidden="1">
      <c r="A860" s="204">
        <f>+IFERROR(VALUE(MID(AB860,4,4)),"")</f>
        <v>365</v>
      </c>
      <c r="B860" s="204">
        <f>VALUE(RIGHT(C860,LEN(C860)-2))</f>
        <v>1863</v>
      </c>
      <c r="C860" s="74" t="s">
        <v>3255</v>
      </c>
      <c r="D860" s="75">
        <v>45190</v>
      </c>
      <c r="E860" s="70" t="s">
        <v>939</v>
      </c>
      <c r="F860" s="70" t="s">
        <v>940</v>
      </c>
      <c r="G860" s="68" t="s">
        <v>3256</v>
      </c>
      <c r="H860" s="59"/>
      <c r="I860" s="69" t="s">
        <v>3257</v>
      </c>
      <c r="J860" s="69"/>
      <c r="K860" s="68" t="s">
        <v>13</v>
      </c>
      <c r="L860" s="69" t="s">
        <v>123</v>
      </c>
      <c r="M860" s="71" t="s">
        <v>141</v>
      </c>
      <c r="N860" s="69" t="e" vm="1">
        <v>#VALUE!</v>
      </c>
      <c r="O860" s="84">
        <v>45217</v>
      </c>
      <c r="P860" s="72" t="s">
        <v>1154</v>
      </c>
      <c r="Q860" s="72" t="s">
        <v>259</v>
      </c>
      <c r="R860" s="162"/>
      <c r="S860" s="146" t="s">
        <v>3258</v>
      </c>
      <c r="T860" s="68" t="s">
        <v>3</v>
      </c>
      <c r="U860" s="177"/>
      <c r="V860" s="80">
        <v>45310</v>
      </c>
      <c r="W860" s="73">
        <v>6239</v>
      </c>
      <c r="X860" s="73">
        <v>277</v>
      </c>
      <c r="Y860" s="83">
        <f>IF(SUM(W860:W860)&gt;0,X860/SUM(W860:W860)*1000000,"N/A")</f>
        <v>44398.140727680715</v>
      </c>
      <c r="Z860" s="80"/>
      <c r="AA860" s="80"/>
      <c r="AB860" s="73" t="s">
        <v>3259</v>
      </c>
      <c r="AC860" s="153"/>
      <c r="AD860" s="331"/>
      <c r="AE860" s="57"/>
      <c r="AF860" s="88"/>
      <c r="AG860" s="182">
        <f>YEAR(V860)</f>
        <v>2024</v>
      </c>
      <c r="AH860" s="86" t="str">
        <f>+IF(AF860=$AI$22,MONTH(U860),"")</f>
        <v/>
      </c>
      <c r="AI860" s="86" t="str">
        <f>+IF(AG860=$AI$22,MONTH(V860),"")</f>
        <v/>
      </c>
      <c r="AJ860" s="86">
        <f>+IF(AG860=$AJ$22,MONTH(V860),"")</f>
        <v>1</v>
      </c>
      <c r="AK860" s="86" t="str">
        <f>+IF(AG860=$AK$22,MONTH(V860),"")</f>
        <v/>
      </c>
      <c r="AL860" s="86" t="str">
        <f>+IF(AG860=$AL$22,MONTH(V860),"")</f>
        <v/>
      </c>
      <c r="AM860" s="86" t="str">
        <f>+IF($AG860=$AM$22,MONTH($D860),"")</f>
        <v/>
      </c>
      <c r="AN860" s="89" t="str">
        <f>+IF($AG860=AN$22,MONTH($D860),"")</f>
        <v/>
      </c>
      <c r="AO860" s="89" t="str">
        <f>+IF($AG860=AO$22,MONTH($D860),"")</f>
        <v/>
      </c>
      <c r="AP860" s="89" t="str">
        <f>+IF($AG860=AP$22,MONTH($D860),"")</f>
        <v/>
      </c>
      <c r="AQ860" s="89" t="str">
        <f>+IF($AG860=AQ$22,MONTH($D860),"")</f>
        <v/>
      </c>
      <c r="AR860" s="89" t="str">
        <f>+IF($AG860=AR$22,MONTH($D860),"")</f>
        <v/>
      </c>
      <c r="AS860" s="89" t="str">
        <f>+IF($AG860=AS$22,MONTH($D860),"")</f>
        <v/>
      </c>
      <c r="AT860" s="89" t="str">
        <f>+IF($AG860=AT$22,MONTH($D860),"")</f>
        <v/>
      </c>
      <c r="AU860" s="89" t="str">
        <f>+IF($AG860=AU$22,MONTH($D860),"")</f>
        <v/>
      </c>
      <c r="AV860" s="89" t="str">
        <f>+IF($AG860=AV$22,MONTH($D860),"")</f>
        <v/>
      </c>
      <c r="AW860" s="86" t="str">
        <f>+IF($AG860=AW$22,MONTH($D860),"")</f>
        <v/>
      </c>
      <c r="AX860" s="86" t="str">
        <f>+IF($AG860=AX$22,MONTH($D860),"")</f>
        <v/>
      </c>
      <c r="AY860" s="89"/>
      <c r="AZ860" s="89"/>
      <c r="BA860" s="89"/>
      <c r="BB860" s="89"/>
      <c r="BC860" s="89"/>
      <c r="BD860" s="89"/>
      <c r="BE860" s="89"/>
      <c r="BF860" s="89"/>
      <c r="BG860" s="89"/>
      <c r="BH860" s="89"/>
      <c r="BI860" s="89"/>
      <c r="BJ860" s="89"/>
      <c r="BK860" s="89"/>
      <c r="BL860" s="89"/>
      <c r="BM860" s="89"/>
      <c r="BN860" s="89"/>
      <c r="BO860" s="89"/>
      <c r="BP860" s="89"/>
    </row>
    <row r="861" spans="1:68" s="56" customFormat="1" ht="53.25" hidden="1">
      <c r="A861" s="204" t="str">
        <f>+IFERROR(VALUE(MID(AB861,4,4)),"")</f>
        <v/>
      </c>
      <c r="B861" s="204">
        <f>VALUE(RIGHT(C861,LEN(C861)-2))</f>
        <v>1862</v>
      </c>
      <c r="C861" s="74" t="s">
        <v>3260</v>
      </c>
      <c r="D861" s="75">
        <v>45183</v>
      </c>
      <c r="E861" s="70" t="s">
        <v>53</v>
      </c>
      <c r="F861" s="70" t="s">
        <v>630</v>
      </c>
      <c r="G861" s="68" t="s">
        <v>256</v>
      </c>
      <c r="H861" s="59"/>
      <c r="I861" s="69" t="s">
        <v>3261</v>
      </c>
      <c r="J861" s="69"/>
      <c r="K861" s="68" t="s">
        <v>212</v>
      </c>
      <c r="L861" s="69" t="s">
        <v>123</v>
      </c>
      <c r="M861" s="71" t="s">
        <v>141</v>
      </c>
      <c r="N861" s="69" t="e" vm="1">
        <v>#VALUE!</v>
      </c>
      <c r="O861" s="84">
        <v>45215</v>
      </c>
      <c r="P861" s="164" t="s">
        <v>1154</v>
      </c>
      <c r="Q861" s="72" t="s">
        <v>405</v>
      </c>
      <c r="R861" s="162"/>
      <c r="S861" s="146" t="s">
        <v>3262</v>
      </c>
      <c r="T861" s="68" t="s">
        <v>168</v>
      </c>
      <c r="U861" s="87"/>
      <c r="V861" s="80">
        <v>45194</v>
      </c>
      <c r="W861" s="73"/>
      <c r="X861" s="73"/>
      <c r="Y861" s="83" t="str">
        <f>IF(SUM(W861:W861)&gt;0,X861/SUM(W861:W861)*1000000,"N/A")</f>
        <v>N/A</v>
      </c>
      <c r="Z861" s="80"/>
      <c r="AA861" s="80"/>
      <c r="AB861" s="73"/>
      <c r="AC861" s="153"/>
      <c r="AD861" s="331"/>
      <c r="AE861" s="57"/>
      <c r="AF861" s="88"/>
      <c r="AG861" s="182">
        <f>YEAR(V861)</f>
        <v>2023</v>
      </c>
      <c r="AH861" s="86" t="str">
        <f>+IF(AF861=$AI$22,MONTH(U861),"")</f>
        <v/>
      </c>
      <c r="AI861" s="86" t="str">
        <f>+IF(AG861=$AI$22,MONTH(V861),"")</f>
        <v/>
      </c>
      <c r="AJ861" s="86" t="str">
        <f>+IF(AG861=$AJ$22,MONTH(V861),"")</f>
        <v/>
      </c>
      <c r="AK861" s="86">
        <f>+IF(AG861=$AK$22,MONTH(V861),"")</f>
        <v>9</v>
      </c>
      <c r="AL861" s="86"/>
      <c r="AM861" s="89"/>
      <c r="AN861" s="89"/>
      <c r="AO861" s="89"/>
      <c r="AP861" s="89"/>
      <c r="AQ861" s="89"/>
      <c r="AR861" s="89"/>
      <c r="AS861" s="89"/>
      <c r="AT861" s="89"/>
      <c r="AU861" s="89"/>
      <c r="AV861" s="89"/>
      <c r="AW861" s="86" t="str">
        <f>+IF($AG861=AW$22,MONTH($D861),"")</f>
        <v/>
      </c>
      <c r="AX861" s="86" t="str">
        <f>+IF($AG861=AX$22,MONTH($D861),"")</f>
        <v/>
      </c>
      <c r="AY861" s="89"/>
      <c r="AZ861" s="89"/>
      <c r="BA861" s="89"/>
      <c r="BB861" s="89"/>
      <c r="BC861" s="89"/>
      <c r="BD861" s="89"/>
      <c r="BE861" s="89"/>
      <c r="BF861" s="89"/>
      <c r="BG861" s="89"/>
      <c r="BH861" s="89"/>
      <c r="BI861" s="89"/>
      <c r="BJ861" s="89"/>
      <c r="BK861" s="89"/>
      <c r="BL861" s="89"/>
      <c r="BM861" s="89"/>
      <c r="BN861" s="89"/>
      <c r="BO861" s="89"/>
      <c r="BP861" s="89"/>
    </row>
    <row r="862" spans="1:68" s="56" customFormat="1" ht="23.25" hidden="1" customHeight="1">
      <c r="A862" s="204" t="str">
        <f>+IFERROR(VALUE(MID(AB862,4,4)),"")</f>
        <v/>
      </c>
      <c r="B862" s="204">
        <f>VALUE(RIGHT(C862,LEN(C862)-2))</f>
        <v>1861</v>
      </c>
      <c r="C862" s="74" t="s">
        <v>3263</v>
      </c>
      <c r="D862" s="75">
        <v>45194</v>
      </c>
      <c r="E862" s="70" t="s">
        <v>353</v>
      </c>
      <c r="F862" s="70" t="s">
        <v>353</v>
      </c>
      <c r="G862" s="68"/>
      <c r="H862" s="59"/>
      <c r="I862" s="69" t="s">
        <v>3264</v>
      </c>
      <c r="J862" s="69"/>
      <c r="K862" s="68" t="s">
        <v>13</v>
      </c>
      <c r="L862" s="69" t="s">
        <v>123</v>
      </c>
      <c r="M862" s="71" t="s">
        <v>141</v>
      </c>
      <c r="N862" s="69" t="e" vm="1">
        <v>#VALUE!</v>
      </c>
      <c r="O862" s="164">
        <v>45197</v>
      </c>
      <c r="P862" s="164" t="s">
        <v>749</v>
      </c>
      <c r="Q862" s="72" t="s">
        <v>316</v>
      </c>
      <c r="R862" s="162"/>
      <c r="S862" s="146"/>
      <c r="T862" s="68" t="s">
        <v>165</v>
      </c>
      <c r="U862" s="87">
        <v>0</v>
      </c>
      <c r="V862" s="80">
        <v>45194</v>
      </c>
      <c r="W862" s="73">
        <v>1946</v>
      </c>
      <c r="X862" s="73">
        <f>90694008/1000000</f>
        <v>90.694007999999997</v>
      </c>
      <c r="Y862" s="83">
        <f>IF(SUM(W862:W862)&gt;0,X862/SUM(W862:W862)*1000000,"N/A")</f>
        <v>46605.348406988691</v>
      </c>
      <c r="Z862" s="80"/>
      <c r="AA862" s="80"/>
      <c r="AB862" s="73"/>
      <c r="AC862" s="153"/>
      <c r="AD862" s="331"/>
      <c r="AE862" s="57"/>
      <c r="AF862" s="88"/>
      <c r="AG862" s="182">
        <f>YEAR(V862)</f>
        <v>2023</v>
      </c>
      <c r="AH862" s="86" t="str">
        <f>+IF(AF862=$AI$22,MONTH(U862),"")</f>
        <v/>
      </c>
      <c r="AI862" s="86" t="str">
        <f>+IF(AG862=$AI$22,MONTH(V862),"")</f>
        <v/>
      </c>
      <c r="AJ862" s="86" t="str">
        <f>+IF(AG862=$AJ$22,MONTH(V862),"")</f>
        <v/>
      </c>
      <c r="AK862" s="86">
        <f>+IF(AG862=$AK$22,MONTH(V862),"")</f>
        <v>9</v>
      </c>
      <c r="AL862" s="86"/>
      <c r="AM862" s="89"/>
      <c r="AN862" s="89"/>
      <c r="AO862" s="89"/>
      <c r="AP862" s="89"/>
      <c r="AQ862" s="89"/>
      <c r="AR862" s="89"/>
      <c r="AS862" s="89"/>
      <c r="AT862" s="89"/>
      <c r="AU862" s="89"/>
      <c r="AV862" s="89"/>
      <c r="AW862" s="86" t="str">
        <f>+IF($AG862=AW$22,MONTH($D862),"")</f>
        <v/>
      </c>
      <c r="AX862" s="86" t="str">
        <f>+IF($AG862=AX$22,MONTH($D862),"")</f>
        <v/>
      </c>
      <c r="AY862" s="89"/>
      <c r="AZ862" s="89"/>
      <c r="BA862" s="89"/>
      <c r="BB862" s="89"/>
      <c r="BC862" s="89"/>
      <c r="BD862" s="89"/>
      <c r="BE862" s="89"/>
      <c r="BF862" s="89"/>
      <c r="BG862" s="89"/>
      <c r="BH862" s="89"/>
      <c r="BI862" s="89"/>
      <c r="BJ862" s="89"/>
      <c r="BK862" s="89"/>
      <c r="BL862" s="89"/>
      <c r="BM862" s="89"/>
      <c r="BN862" s="89"/>
      <c r="BO862" s="89"/>
      <c r="BP862" s="89"/>
    </row>
    <row r="863" spans="1:68" s="56" customFormat="1" ht="18.75" hidden="1" customHeight="1">
      <c r="A863" s="204" t="str">
        <f>+IFERROR(VALUE(MID(AB863,4,4)),"")</f>
        <v/>
      </c>
      <c r="B863" s="204">
        <f>VALUE(RIGHT(C863,LEN(C863)-2))</f>
        <v>1860</v>
      </c>
      <c r="C863" s="74" t="s">
        <v>3265</v>
      </c>
      <c r="D863" s="75">
        <v>45183</v>
      </c>
      <c r="E863" s="70" t="s">
        <v>74</v>
      </c>
      <c r="F863" s="70" t="s">
        <v>3266</v>
      </c>
      <c r="G863" s="160" t="s">
        <v>3127</v>
      </c>
      <c r="H863" s="179" t="s">
        <v>3128</v>
      </c>
      <c r="I863" s="69" t="s">
        <v>3267</v>
      </c>
      <c r="J863" s="69"/>
      <c r="K863" s="160" t="s">
        <v>13</v>
      </c>
      <c r="L863" s="164" t="s">
        <v>120</v>
      </c>
      <c r="M863" s="71" t="s">
        <v>141</v>
      </c>
      <c r="N863" s="69" t="e" vm="1">
        <v>#VALUE!</v>
      </c>
      <c r="O863" s="164">
        <f>15+D863</f>
        <v>45198</v>
      </c>
      <c r="P863" s="164" t="s">
        <v>1629</v>
      </c>
      <c r="Q863" s="164" t="s">
        <v>316</v>
      </c>
      <c r="R863" s="162"/>
      <c r="S863" s="146"/>
      <c r="T863" s="68" t="s">
        <v>168</v>
      </c>
      <c r="U863" s="87"/>
      <c r="V863" s="80">
        <v>45327</v>
      </c>
      <c r="W863" s="150"/>
      <c r="X863" s="150"/>
      <c r="Y863" s="83" t="str">
        <f>IF(SUM(W863:W863)&gt;0,X863/SUM(W863:W863)*1000000,"N/A")</f>
        <v>N/A</v>
      </c>
      <c r="Z863" s="80"/>
      <c r="AA863" s="80"/>
      <c r="AB863" s="73"/>
      <c r="AC863" s="153"/>
      <c r="AD863" s="331"/>
      <c r="AE863" s="57"/>
      <c r="AF863" s="88"/>
      <c r="AG863" s="182">
        <f>YEAR(V863)</f>
        <v>2024</v>
      </c>
      <c r="AH863" s="86" t="str">
        <f>+IF(AF863=$AI$22,MONTH(U863),"")</f>
        <v/>
      </c>
      <c r="AI863" s="86" t="str">
        <f>+IF(AG863=$AI$22,MONTH(V863),"")</f>
        <v/>
      </c>
      <c r="AJ863" s="86">
        <f>+IF(AG863=$AJ$22,MONTH(V863),"")</f>
        <v>2</v>
      </c>
      <c r="AK863" s="86" t="str">
        <f>+IF(AG863=$AK$22,MONTH(V863),"")</f>
        <v/>
      </c>
      <c r="AL863" s="86" t="str">
        <f>+IF(AG863=$AL$22,MONTH(V863),"")</f>
        <v/>
      </c>
      <c r="AM863" s="86" t="str">
        <f>+IF($AG863=$AM$22,MONTH($D863),"")</f>
        <v/>
      </c>
      <c r="AN863" s="89" t="str">
        <f>+IF($AG863=AN$22,MONTH($D863),"")</f>
        <v/>
      </c>
      <c r="AO863" s="89" t="str">
        <f>+IF($AG863=AO$22,MONTH($D863),"")</f>
        <v/>
      </c>
      <c r="AP863" s="89" t="str">
        <f>+IF($AG863=AP$22,MONTH($D863),"")</f>
        <v/>
      </c>
      <c r="AQ863" s="89" t="str">
        <f>+IF($AG863=AQ$22,MONTH($D863),"")</f>
        <v/>
      </c>
      <c r="AR863" s="89" t="str">
        <f>+IF($AG863=AR$22,MONTH($D863),"")</f>
        <v/>
      </c>
      <c r="AS863" s="89" t="str">
        <f>+IF($AG863=AS$22,MONTH($D863),"")</f>
        <v/>
      </c>
      <c r="AT863" s="89" t="str">
        <f>+IF($AG863=AT$22,MONTH($D863),"")</f>
        <v/>
      </c>
      <c r="AU863" s="89" t="str">
        <f>+IF($AG863=AU$22,MONTH($D863),"")</f>
        <v/>
      </c>
      <c r="AV863" s="89" t="str">
        <f>+IF($AG863=AV$22,MONTH($D863),"")</f>
        <v/>
      </c>
      <c r="AW863" s="86" t="str">
        <f>+IF($AG863=AW$22,MONTH($D863),"")</f>
        <v/>
      </c>
      <c r="AX863" s="86" t="str">
        <f>+IF($AG863=AX$22,MONTH($D863),"")</f>
        <v/>
      </c>
      <c r="AY863" s="89"/>
      <c r="AZ863" s="89"/>
      <c r="BA863" s="89"/>
      <c r="BB863" s="89"/>
      <c r="BC863" s="89"/>
      <c r="BD863" s="89"/>
      <c r="BE863" s="89"/>
      <c r="BF863" s="89"/>
      <c r="BG863" s="89"/>
      <c r="BH863" s="89"/>
      <c r="BI863" s="89"/>
      <c r="BJ863" s="89"/>
      <c r="BK863" s="89"/>
      <c r="BL863" s="89"/>
      <c r="BM863" s="89"/>
      <c r="BN863" s="89"/>
      <c r="BO863" s="89"/>
      <c r="BP863" s="89"/>
    </row>
    <row r="864" spans="1:68" s="56" customFormat="1" ht="27" hidden="1">
      <c r="A864" s="204" t="str">
        <f>+IFERROR(VALUE(MID(AB864,4,4)),"")</f>
        <v/>
      </c>
      <c r="B864" s="204">
        <f>VALUE(RIGHT(C864,LEN(C864)-2))</f>
        <v>1859</v>
      </c>
      <c r="C864" s="74" t="s">
        <v>3268</v>
      </c>
      <c r="D864" s="75">
        <v>45183</v>
      </c>
      <c r="E864" s="161" t="s">
        <v>3269</v>
      </c>
      <c r="F864" s="70" t="s">
        <v>252</v>
      </c>
      <c r="G864" s="160" t="s">
        <v>3270</v>
      </c>
      <c r="H864" s="179" t="s">
        <v>3271</v>
      </c>
      <c r="I864" s="69" t="s">
        <v>3272</v>
      </c>
      <c r="J864" s="69"/>
      <c r="K864" s="160" t="s">
        <v>401</v>
      </c>
      <c r="L864" s="164" t="s">
        <v>120</v>
      </c>
      <c r="M864" s="71" t="s">
        <v>141</v>
      </c>
      <c r="N864" s="69" t="e" vm="1">
        <v>#VALUE!</v>
      </c>
      <c r="O864" s="164">
        <v>45191</v>
      </c>
      <c r="P864" s="164" t="s">
        <v>3273</v>
      </c>
      <c r="Q864" s="164" t="s">
        <v>229</v>
      </c>
      <c r="R864" s="162"/>
      <c r="S864" s="146"/>
      <c r="T864" s="68" t="s">
        <v>165</v>
      </c>
      <c r="U864" s="87"/>
      <c r="V864" s="183">
        <v>45247</v>
      </c>
      <c r="W864" s="73">
        <v>765</v>
      </c>
      <c r="X864" s="73">
        <f>75902501/1000000</f>
        <v>75.902501000000001</v>
      </c>
      <c r="Y864" s="83">
        <f>IF(SUM(W864:W864)&gt;0,X864/SUM(W864:W864)*1000000,"N/A")</f>
        <v>99218.955555555556</v>
      </c>
      <c r="Z864" s="183"/>
      <c r="AA864" s="183"/>
      <c r="AB864" s="73"/>
      <c r="AC864" s="153"/>
      <c r="AD864" s="331"/>
      <c r="AE864" s="57"/>
      <c r="AF864" s="88"/>
      <c r="AG864" s="182">
        <f>YEAR(V864)</f>
        <v>2023</v>
      </c>
      <c r="AH864" s="86" t="str">
        <f>+IF(AF864=$AI$22,MONTH(U864),"")</f>
        <v/>
      </c>
      <c r="AI864" s="86" t="str">
        <f>+IF(AG864=$AI$22,MONTH(V864),"")</f>
        <v/>
      </c>
      <c r="AJ864" s="86" t="str">
        <f>+IF(AG864=$AJ$22,MONTH(V864),"")</f>
        <v/>
      </c>
      <c r="AK864" s="86">
        <f>+IF(AG864=$AK$22,MONTH(V864),"")</f>
        <v>11</v>
      </c>
      <c r="AL864" s="86" t="str">
        <f>+IF(AG864=$AL$22,MONTH(V864),"")</f>
        <v/>
      </c>
      <c r="AM864" s="86" t="str">
        <f>+IF($AG864=$AM$22,MONTH($D864),"")</f>
        <v/>
      </c>
      <c r="AN864" s="89" t="str">
        <f>+IF($AG864=AN$22,MONTH($D864),"")</f>
        <v/>
      </c>
      <c r="AO864" s="89" t="str">
        <f>+IF($AG864=AO$22,MONTH($D864),"")</f>
        <v/>
      </c>
      <c r="AP864" s="89" t="str">
        <f>+IF($AG864=AP$22,MONTH($D864),"")</f>
        <v/>
      </c>
      <c r="AQ864" s="89" t="str">
        <f>+IF($AG864=AQ$22,MONTH($D864),"")</f>
        <v/>
      </c>
      <c r="AR864" s="89" t="str">
        <f>+IF($AG864=AR$22,MONTH($D864),"")</f>
        <v/>
      </c>
      <c r="AS864" s="89" t="str">
        <f>+IF($AG864=AS$22,MONTH($D864),"")</f>
        <v/>
      </c>
      <c r="AT864" s="89" t="str">
        <f>+IF($AG864=AT$22,MONTH($D864),"")</f>
        <v/>
      </c>
      <c r="AU864" s="89" t="str">
        <f>+IF($AG864=AU$22,MONTH($D864),"")</f>
        <v/>
      </c>
      <c r="AV864" s="89" t="str">
        <f>+IF($AG864=AV$22,MONTH($D864),"")</f>
        <v/>
      </c>
      <c r="AW864" s="86" t="str">
        <f>+IF($AG864=AW$22,MONTH($D864),"")</f>
        <v/>
      </c>
      <c r="AX864" s="86" t="str">
        <f>+IF($AG864=AX$22,MONTH($D864),"")</f>
        <v/>
      </c>
      <c r="AY864" s="89"/>
      <c r="AZ864" s="89"/>
      <c r="BA864" s="89"/>
      <c r="BB864" s="89"/>
      <c r="BC864" s="89"/>
      <c r="BD864" s="89"/>
      <c r="BE864" s="89"/>
      <c r="BF864" s="89"/>
      <c r="BG864" s="89"/>
      <c r="BH864" s="89"/>
      <c r="BI864" s="89"/>
      <c r="BJ864" s="89"/>
      <c r="BK864" s="89"/>
      <c r="BL864" s="89"/>
      <c r="BM864" s="89"/>
      <c r="BN864" s="89"/>
      <c r="BO864" s="89"/>
      <c r="BP864" s="89"/>
    </row>
    <row r="865" spans="1:68" s="56" customFormat="1" ht="21.75" hidden="1" customHeight="1">
      <c r="A865" s="204" t="str">
        <f>+IFERROR(VALUE(MID(AB865,4,4)),"")</f>
        <v/>
      </c>
      <c r="B865" s="204">
        <f>VALUE(RIGHT(C865,LEN(C865)-2))</f>
        <v>1858</v>
      </c>
      <c r="C865" s="74" t="s">
        <v>3274</v>
      </c>
      <c r="D865" s="75">
        <v>45182</v>
      </c>
      <c r="E865" s="70" t="s">
        <v>479</v>
      </c>
      <c r="F865" s="70" t="s">
        <v>479</v>
      </c>
      <c r="G865" s="160" t="s">
        <v>3275</v>
      </c>
      <c r="H865" s="179" t="s">
        <v>3276</v>
      </c>
      <c r="I865" s="69" t="s">
        <v>3277</v>
      </c>
      <c r="J865" s="69"/>
      <c r="K865" s="68" t="s">
        <v>12</v>
      </c>
      <c r="L865" s="69" t="s">
        <v>123</v>
      </c>
      <c r="M865" s="71" t="s">
        <v>113</v>
      </c>
      <c r="N865" s="69" t="e" vm="2">
        <v>#VALUE!</v>
      </c>
      <c r="O865" s="164">
        <f>15+D865</f>
        <v>45197</v>
      </c>
      <c r="P865" s="72" t="s">
        <v>483</v>
      </c>
      <c r="Q865" s="72" t="s">
        <v>623</v>
      </c>
      <c r="R865" s="162"/>
      <c r="S865" s="146"/>
      <c r="T865" s="68" t="s">
        <v>155</v>
      </c>
      <c r="U865" s="87"/>
      <c r="V865" s="183">
        <v>45345</v>
      </c>
      <c r="W865" s="150">
        <v>2302</v>
      </c>
      <c r="X865" s="150">
        <v>84</v>
      </c>
      <c r="Y865" s="83">
        <f>IF(SUM(W865:W865)&gt;0,X865/SUM(W865:W865)*1000000,"N/A")</f>
        <v>36490.008688097303</v>
      </c>
      <c r="Z865" s="183"/>
      <c r="AA865" s="183"/>
      <c r="AB865" s="73"/>
      <c r="AC865" s="153"/>
      <c r="AD865" s="331"/>
      <c r="AE865" s="57"/>
      <c r="AF865" s="88"/>
      <c r="AG865" s="182">
        <f>YEAR(V865)</f>
        <v>2024</v>
      </c>
      <c r="AH865" s="86" t="str">
        <f>+IF(AF865=$AI$22,MONTH(U865),"")</f>
        <v/>
      </c>
      <c r="AI865" s="86" t="str">
        <f>+IF(AG865=$AI$22,MONTH(V865),"")</f>
        <v/>
      </c>
      <c r="AJ865" s="86">
        <f>+IF(AG865=$AJ$22,MONTH(V865),"")</f>
        <v>2</v>
      </c>
      <c r="AK865" s="86" t="str">
        <f>+IF(AG865=$AK$22,MONTH(V865),"")</f>
        <v/>
      </c>
      <c r="AL865" s="86" t="str">
        <f>+IF(AG865=$AL$22,MONTH(V865),"")</f>
        <v/>
      </c>
      <c r="AM865" s="86" t="str">
        <f>+IF($AG865=$AM$22,MONTH($D865),"")</f>
        <v/>
      </c>
      <c r="AN865" s="89" t="str">
        <f>+IF($AG865=AN$22,MONTH($D865),"")</f>
        <v/>
      </c>
      <c r="AO865" s="89" t="str">
        <f>+IF($AG865=AO$22,MONTH($D865),"")</f>
        <v/>
      </c>
      <c r="AP865" s="89" t="str">
        <f>+IF($AG865=AP$22,MONTH($D865),"")</f>
        <v/>
      </c>
      <c r="AQ865" s="89" t="str">
        <f>+IF($AG865=AQ$22,MONTH($D865),"")</f>
        <v/>
      </c>
      <c r="AR865" s="89" t="str">
        <f>+IF($AG865=AR$22,MONTH($D865),"")</f>
        <v/>
      </c>
      <c r="AS865" s="89" t="str">
        <f>+IF($AG865=AS$22,MONTH($D865),"")</f>
        <v/>
      </c>
      <c r="AT865" s="89" t="str">
        <f>+IF($AG865=AT$22,MONTH($D865),"")</f>
        <v/>
      </c>
      <c r="AU865" s="89" t="str">
        <f>+IF($AG865=AU$22,MONTH($D865),"")</f>
        <v/>
      </c>
      <c r="AV865" s="89" t="str">
        <f>+IF($AG865=AV$22,MONTH($D865),"")</f>
        <v/>
      </c>
      <c r="AW865" s="86" t="str">
        <f>+IF($AG865=AW$22,MONTH($D865),"")</f>
        <v/>
      </c>
      <c r="AX865" s="86" t="str">
        <f>+IF($AG865=AX$22,MONTH($D865),"")</f>
        <v/>
      </c>
      <c r="AY865" s="89"/>
      <c r="AZ865" s="89"/>
      <c r="BA865" s="89"/>
      <c r="BB865" s="89"/>
      <c r="BC865" s="89"/>
      <c r="BD865" s="89"/>
      <c r="BE865" s="89"/>
      <c r="BF865" s="89"/>
      <c r="BG865" s="89"/>
      <c r="BH865" s="89"/>
      <c r="BI865" s="89"/>
      <c r="BJ865" s="89"/>
      <c r="BK865" s="89"/>
      <c r="BL865" s="89"/>
      <c r="BM865" s="89"/>
      <c r="BN865" s="89"/>
      <c r="BO865" s="89"/>
      <c r="BP865" s="89"/>
    </row>
    <row r="866" spans="1:68" s="56" customFormat="1" ht="21.75" hidden="1" customHeight="1">
      <c r="A866" s="204" t="str">
        <f>+IFERROR(VALUE(MID(AB866,4,4)),"")</f>
        <v/>
      </c>
      <c r="B866" s="204">
        <f>VALUE(RIGHT(C866,LEN(C866)-2))</f>
        <v>1857</v>
      </c>
      <c r="C866" s="74" t="s">
        <v>3278</v>
      </c>
      <c r="D866" s="75">
        <v>45182</v>
      </c>
      <c r="E866" s="70" t="s">
        <v>473</v>
      </c>
      <c r="F866" s="70" t="s">
        <v>473</v>
      </c>
      <c r="G866" s="68" t="s">
        <v>2503</v>
      </c>
      <c r="H866" s="179"/>
      <c r="I866" s="69" t="s">
        <v>3279</v>
      </c>
      <c r="J866" s="69"/>
      <c r="K866" s="68" t="s">
        <v>14</v>
      </c>
      <c r="L866" s="69" t="s">
        <v>120</v>
      </c>
      <c r="M866" s="71" t="s">
        <v>141</v>
      </c>
      <c r="N866" s="69" t="e" vm="1">
        <v>#VALUE!</v>
      </c>
      <c r="O866" s="164" t="s">
        <v>3172</v>
      </c>
      <c r="P866" s="164" t="s">
        <v>1629</v>
      </c>
      <c r="Q866" s="72" t="s">
        <v>316</v>
      </c>
      <c r="R866" s="162"/>
      <c r="S866" s="146" t="s">
        <v>3280</v>
      </c>
      <c r="T866" s="68" t="s">
        <v>155</v>
      </c>
      <c r="U866" s="87"/>
      <c r="V866" s="183">
        <v>45182</v>
      </c>
      <c r="W866" s="150"/>
      <c r="X866" s="150"/>
      <c r="Y866" s="83" t="str">
        <f>IF(SUM(W866:W866)&gt;0,X866/SUM(W866:W866)*1000000,"N/A")</f>
        <v>N/A</v>
      </c>
      <c r="Z866" s="183"/>
      <c r="AA866" s="183"/>
      <c r="AB866" s="73"/>
      <c r="AC866" s="153"/>
      <c r="AD866" s="331"/>
      <c r="AE866" s="57"/>
      <c r="AF866" s="88"/>
      <c r="AG866" s="182">
        <f>YEAR(V866)</f>
        <v>2023</v>
      </c>
      <c r="AH866" s="86" t="str">
        <f>+IF(AF866=$AI$22,MONTH(U866),"")</f>
        <v/>
      </c>
      <c r="AI866" s="86" t="str">
        <f>+IF(AG866=$AI$22,MONTH(V866),"")</f>
        <v/>
      </c>
      <c r="AJ866" s="86" t="str">
        <f>+IF(AG866=$AJ$22,MONTH(V866),"")</f>
        <v/>
      </c>
      <c r="AK866" s="86">
        <f>+IF(AG866=$AK$22,MONTH(V866),"")</f>
        <v>9</v>
      </c>
      <c r="AL866" s="86" t="str">
        <f>+IF(AG866=$AL$22,MONTH(V866),"")</f>
        <v/>
      </c>
      <c r="AM866" s="86" t="str">
        <f>+IF($AG866=$AM$22,MONTH($D866),"")</f>
        <v/>
      </c>
      <c r="AN866" s="89" t="str">
        <f>+IF($AG866=AN$22,MONTH($D866),"")</f>
        <v/>
      </c>
      <c r="AO866" s="89" t="str">
        <f>+IF($AG866=AO$22,MONTH($D866),"")</f>
        <v/>
      </c>
      <c r="AP866" s="89" t="str">
        <f>+IF($AG866=AP$22,MONTH($D866),"")</f>
        <v/>
      </c>
      <c r="AQ866" s="89" t="str">
        <f>+IF($AG866=AQ$22,MONTH($D866),"")</f>
        <v/>
      </c>
      <c r="AR866" s="89" t="str">
        <f>+IF($AG866=AR$22,MONTH($D866),"")</f>
        <v/>
      </c>
      <c r="AS866" s="89" t="str">
        <f>+IF($AG866=AS$22,MONTH($D866),"")</f>
        <v/>
      </c>
      <c r="AT866" s="89" t="str">
        <f>+IF($AG866=AT$22,MONTH($D866),"")</f>
        <v/>
      </c>
      <c r="AU866" s="89" t="str">
        <f>+IF($AG866=AU$22,MONTH($D866),"")</f>
        <v/>
      </c>
      <c r="AV866" s="89" t="str">
        <f>+IF($AG866=AV$22,MONTH($D866),"")</f>
        <v/>
      </c>
      <c r="AW866" s="86" t="str">
        <f>+IF($AG866=AW$22,MONTH($D866),"")</f>
        <v/>
      </c>
      <c r="AX866" s="86" t="str">
        <f>+IF($AG866=AX$22,MONTH($D866),"")</f>
        <v/>
      </c>
      <c r="AY866" s="89"/>
      <c r="AZ866" s="89"/>
      <c r="BA866" s="89"/>
      <c r="BB866" s="89"/>
      <c r="BC866" s="89"/>
      <c r="BD866" s="89"/>
      <c r="BE866" s="89"/>
      <c r="BF866" s="89"/>
      <c r="BG866" s="89"/>
      <c r="BH866" s="89"/>
      <c r="BI866" s="89"/>
      <c r="BJ866" s="89"/>
      <c r="BK866" s="89"/>
      <c r="BL866" s="89"/>
      <c r="BM866" s="89"/>
      <c r="BN866" s="89"/>
      <c r="BO866" s="89"/>
      <c r="BP866" s="89"/>
    </row>
    <row r="867" spans="1:68" s="56" customFormat="1" ht="21.75" hidden="1" customHeight="1">
      <c r="A867" s="204" t="str">
        <f>+IFERROR(VALUE(MID(AB867,4,4)),"")</f>
        <v/>
      </c>
      <c r="B867" s="204">
        <f>VALUE(RIGHT(C867,LEN(C867)-2))</f>
        <v>1856</v>
      </c>
      <c r="C867" s="74" t="s">
        <v>3281</v>
      </c>
      <c r="D867" s="75">
        <v>45182</v>
      </c>
      <c r="E867" s="70" t="s">
        <v>3282</v>
      </c>
      <c r="F867" s="70" t="s">
        <v>3282</v>
      </c>
      <c r="G867" s="160" t="s">
        <v>3283</v>
      </c>
      <c r="H867" s="179" t="s">
        <v>3284</v>
      </c>
      <c r="I867" s="69" t="s">
        <v>3285</v>
      </c>
      <c r="J867" s="69"/>
      <c r="K867" s="95" t="s">
        <v>3286</v>
      </c>
      <c r="L867" s="69" t="s">
        <v>120</v>
      </c>
      <c r="M867" s="71" t="s">
        <v>113</v>
      </c>
      <c r="N867" s="69" t="e" vm="9">
        <v>#VALUE!</v>
      </c>
      <c r="O867" s="164">
        <v>45201</v>
      </c>
      <c r="P867" s="164" t="s">
        <v>749</v>
      </c>
      <c r="Q867" s="82" t="s">
        <v>229</v>
      </c>
      <c r="R867" s="69"/>
      <c r="S867" s="146"/>
      <c r="T867" s="68" t="s">
        <v>165</v>
      </c>
      <c r="U867" s="87"/>
      <c r="V867" s="183">
        <v>45240</v>
      </c>
      <c r="W867" s="73">
        <v>1807</v>
      </c>
      <c r="X867" s="73">
        <f>+(133574*800)/1000000</f>
        <v>106.8592</v>
      </c>
      <c r="Y867" s="83">
        <f>IF(SUM(W867:W867)&gt;0,X867/SUM(W867:W867)*1000000,"N/A")</f>
        <v>59136.247924737138</v>
      </c>
      <c r="Z867" s="183"/>
      <c r="AA867" s="183"/>
      <c r="AB867" s="73"/>
      <c r="AC867" s="153"/>
      <c r="AD867" s="331"/>
      <c r="AE867" s="57"/>
      <c r="AF867" s="88"/>
      <c r="AG867" s="182">
        <f>YEAR(V867)</f>
        <v>2023</v>
      </c>
      <c r="AH867" s="86" t="str">
        <f>+IF(AF867=$AI$22,MONTH(U867),"")</f>
        <v/>
      </c>
      <c r="AI867" s="86" t="str">
        <f>+IF(AG867=$AI$22,MONTH(V867),"")</f>
        <v/>
      </c>
      <c r="AJ867" s="86" t="str">
        <f>+IF(AG867=$AJ$22,MONTH(V867),"")</f>
        <v/>
      </c>
      <c r="AK867" s="86">
        <f>+IF(AG867=$AK$22,MONTH(V867),"")</f>
        <v>11</v>
      </c>
      <c r="AL867" s="86" t="str">
        <f>+IF(AG867=$AL$22,MONTH(V867),"")</f>
        <v/>
      </c>
      <c r="AM867" s="86" t="str">
        <f>+IF($AG867=$AM$22,MONTH($D867),"")</f>
        <v/>
      </c>
      <c r="AN867" s="89" t="str">
        <f>+IF($AG867=AN$22,MONTH($D867),"")</f>
        <v/>
      </c>
      <c r="AO867" s="89" t="str">
        <f>+IF($AG867=AO$22,MONTH($D867),"")</f>
        <v/>
      </c>
      <c r="AP867" s="89" t="str">
        <f>+IF($AG867=AP$22,MONTH($D867),"")</f>
        <v/>
      </c>
      <c r="AQ867" s="89" t="str">
        <f>+IF($AG867=AQ$22,MONTH($D867),"")</f>
        <v/>
      </c>
      <c r="AR867" s="89" t="str">
        <f>+IF($AG867=AR$22,MONTH($D867),"")</f>
        <v/>
      </c>
      <c r="AS867" s="89" t="str">
        <f>+IF($AG867=AS$22,MONTH($D867),"")</f>
        <v/>
      </c>
      <c r="AT867" s="89" t="str">
        <f>+IF($AG867=AT$22,MONTH($D867),"")</f>
        <v/>
      </c>
      <c r="AU867" s="89" t="str">
        <f>+IF($AG867=AU$22,MONTH($D867),"")</f>
        <v/>
      </c>
      <c r="AV867" s="89" t="str">
        <f>+IF($AG867=AV$22,MONTH($D867),"")</f>
        <v/>
      </c>
      <c r="AW867" s="86" t="str">
        <f>+IF($AG867=AW$22,MONTH($D867),"")</f>
        <v/>
      </c>
      <c r="AX867" s="86" t="str">
        <f>+IF($AG867=AX$22,MONTH($D867),"")</f>
        <v/>
      </c>
      <c r="AY867" s="89"/>
      <c r="AZ867" s="89"/>
      <c r="BA867" s="89"/>
      <c r="BB867" s="89"/>
      <c r="BC867" s="89"/>
      <c r="BD867" s="89"/>
      <c r="BE867" s="89"/>
      <c r="BF867" s="89"/>
      <c r="BG867" s="89"/>
      <c r="BH867" s="89"/>
      <c r="BI867" s="89"/>
      <c r="BJ867" s="89"/>
      <c r="BK867" s="89"/>
      <c r="BL867" s="89"/>
      <c r="BM867" s="89"/>
      <c r="BN867" s="89"/>
      <c r="BO867" s="89"/>
      <c r="BP867" s="89"/>
    </row>
    <row r="868" spans="1:68" s="56" customFormat="1" ht="21.75" hidden="1" customHeight="1">
      <c r="A868" s="204" t="str">
        <f>+IFERROR(VALUE(MID(AB868,4,4)),"")</f>
        <v/>
      </c>
      <c r="B868" s="204">
        <f>VALUE(RIGHT(C868,LEN(C868)-2))</f>
        <v>1855</v>
      </c>
      <c r="C868" s="74" t="s">
        <v>3287</v>
      </c>
      <c r="D868" s="75">
        <v>45181</v>
      </c>
      <c r="E868" s="70" t="s">
        <v>53</v>
      </c>
      <c r="F868" s="70" t="s">
        <v>2436</v>
      </c>
      <c r="G868" s="160" t="s">
        <v>3288</v>
      </c>
      <c r="H868" s="180" t="s">
        <v>3289</v>
      </c>
      <c r="I868" s="69" t="s">
        <v>3290</v>
      </c>
      <c r="J868" s="69"/>
      <c r="K868" s="95" t="s">
        <v>13</v>
      </c>
      <c r="L868" s="69" t="s">
        <v>123</v>
      </c>
      <c r="M868" s="71" t="s">
        <v>141</v>
      </c>
      <c r="N868" s="69" t="e" vm="1">
        <v>#VALUE!</v>
      </c>
      <c r="O868" s="164">
        <v>45205</v>
      </c>
      <c r="P868" s="164" t="s">
        <v>701</v>
      </c>
      <c r="Q868" s="72" t="s">
        <v>623</v>
      </c>
      <c r="R868" s="162"/>
      <c r="S868" s="146" t="s">
        <v>3291</v>
      </c>
      <c r="T868" s="68" t="s">
        <v>165</v>
      </c>
      <c r="U868" s="87"/>
      <c r="V868" s="183">
        <v>45310</v>
      </c>
      <c r="W868" s="73">
        <v>1061</v>
      </c>
      <c r="X868" s="73">
        <f>(1663*37000)/1000000</f>
        <v>61.530999999999999</v>
      </c>
      <c r="Y868" s="83">
        <f>IF(SUM(W868:W868)&gt;0,X868/SUM(W868:W868)*1000000,"N/A")</f>
        <v>57993.402450518377</v>
      </c>
      <c r="Z868" s="183"/>
      <c r="AA868" s="183"/>
      <c r="AB868" s="73"/>
      <c r="AC868" s="153"/>
      <c r="AD868" s="331"/>
      <c r="AE868" s="57"/>
      <c r="AF868" s="88"/>
      <c r="AG868" s="182">
        <f>YEAR(V868)</f>
        <v>2024</v>
      </c>
      <c r="AH868" s="86" t="str">
        <f>+IF(AF868=$AI$22,MONTH(U868),"")</f>
        <v/>
      </c>
      <c r="AI868" s="86" t="str">
        <f>+IF(AG868=$AI$22,MONTH(V868),"")</f>
        <v/>
      </c>
      <c r="AJ868" s="86">
        <f>+IF(AG868=$AJ$22,MONTH(V868),"")</f>
        <v>1</v>
      </c>
      <c r="AK868" s="86" t="str">
        <f>+IF(AG868=$AK$22,MONTH(V868),"")</f>
        <v/>
      </c>
      <c r="AL868" s="86" t="str">
        <f>+IF(AG868=$AL$22,MONTH(V868),"")</f>
        <v/>
      </c>
      <c r="AM868" s="86" t="str">
        <f>+IF($AG868=$AM$22,MONTH($D868),"")</f>
        <v/>
      </c>
      <c r="AN868" s="89" t="str">
        <f>+IF($AG868=AN$22,MONTH($D868),"")</f>
        <v/>
      </c>
      <c r="AO868" s="89" t="str">
        <f>+IF($AG868=AO$22,MONTH($D868),"")</f>
        <v/>
      </c>
      <c r="AP868" s="89" t="str">
        <f>+IF($AG868=AP$22,MONTH($D868),"")</f>
        <v/>
      </c>
      <c r="AQ868" s="89" t="str">
        <f>+IF($AG868=AQ$22,MONTH($D868),"")</f>
        <v/>
      </c>
      <c r="AR868" s="89" t="str">
        <f>+IF($AG868=AR$22,MONTH($D868),"")</f>
        <v/>
      </c>
      <c r="AS868" s="89" t="str">
        <f>+IF($AG868=AS$22,MONTH($D868),"")</f>
        <v/>
      </c>
      <c r="AT868" s="89" t="str">
        <f>+IF($AG868=AT$22,MONTH($D868),"")</f>
        <v/>
      </c>
      <c r="AU868" s="89" t="str">
        <f>+IF($AG868=AU$22,MONTH($D868),"")</f>
        <v/>
      </c>
      <c r="AV868" s="89" t="str">
        <f>+IF($AG868=AV$22,MONTH($D868),"")</f>
        <v/>
      </c>
      <c r="AW868" s="86" t="str">
        <f>+IF($AG868=AW$22,MONTH($D868),"")</f>
        <v/>
      </c>
      <c r="AX868" s="86" t="str">
        <f>+IF($AG868=AX$22,MONTH($D868),"")</f>
        <v/>
      </c>
      <c r="AY868" s="89"/>
      <c r="AZ868" s="89"/>
      <c r="BA868" s="89"/>
      <c r="BB868" s="89"/>
      <c r="BC868" s="89"/>
      <c r="BD868" s="89"/>
      <c r="BE868" s="89"/>
      <c r="BF868" s="89"/>
      <c r="BG868" s="89"/>
      <c r="BH868" s="89"/>
      <c r="BI868" s="89"/>
      <c r="BJ868" s="89"/>
      <c r="BK868" s="89"/>
      <c r="BL868" s="89"/>
      <c r="BM868" s="89"/>
      <c r="BN868" s="89"/>
      <c r="BO868" s="89"/>
      <c r="BP868" s="89"/>
    </row>
    <row r="869" spans="1:68" s="56" customFormat="1" ht="21.75" hidden="1" customHeight="1">
      <c r="A869" s="204">
        <f>+IFERROR(VALUE(MID(AB869,4,4)),"")</f>
        <v>353</v>
      </c>
      <c r="B869" s="204">
        <f>VALUE(RIGHT(C869,LEN(C869)-2))</f>
        <v>1854</v>
      </c>
      <c r="C869" s="74" t="s">
        <v>3292</v>
      </c>
      <c r="D869" s="75">
        <v>45175</v>
      </c>
      <c r="E869" s="70" t="s">
        <v>3293</v>
      </c>
      <c r="F869" s="70" t="s">
        <v>332</v>
      </c>
      <c r="G869" s="68" t="s">
        <v>3294</v>
      </c>
      <c r="H869" s="59" t="s">
        <v>3295</v>
      </c>
      <c r="I869" s="69" t="s">
        <v>3296</v>
      </c>
      <c r="J869" s="69"/>
      <c r="K869" s="68" t="s">
        <v>24</v>
      </c>
      <c r="L869" s="69" t="s">
        <v>120</v>
      </c>
      <c r="M869" s="71" t="s">
        <v>141</v>
      </c>
      <c r="N869" s="69" t="e" vm="1">
        <v>#VALUE!</v>
      </c>
      <c r="O869" s="84">
        <v>45176</v>
      </c>
      <c r="P869" s="164" t="s">
        <v>2370</v>
      </c>
      <c r="Q869" s="72" t="s">
        <v>229</v>
      </c>
      <c r="R869" s="162"/>
      <c r="S869" s="146" t="s">
        <v>3297</v>
      </c>
      <c r="T869" s="68" t="s">
        <v>3</v>
      </c>
      <c r="U869" s="87"/>
      <c r="V869" s="183">
        <v>45176</v>
      </c>
      <c r="W869" s="150">
        <v>1000</v>
      </c>
      <c r="X869" s="150">
        <v>1</v>
      </c>
      <c r="Y869" s="83">
        <f>IF(SUM(W869:W869)&gt;0,X869/SUM(W869:W869)*1000000,"N/A")</f>
        <v>1000</v>
      </c>
      <c r="Z869" s="183"/>
      <c r="AA869" s="183"/>
      <c r="AB869" s="73" t="s">
        <v>3298</v>
      </c>
      <c r="AC869" s="153"/>
      <c r="AD869" s="331"/>
      <c r="AE869" s="57"/>
      <c r="AF869" s="88"/>
      <c r="AG869" s="182">
        <f>YEAR(V869)</f>
        <v>2023</v>
      </c>
      <c r="AH869" s="86" t="str">
        <f>+IF(AF869=$AI$22,MONTH(U869),"")</f>
        <v/>
      </c>
      <c r="AI869" s="86" t="str">
        <f>+IF(AG869=$AI$22,MONTH(V869),"")</f>
        <v/>
      </c>
      <c r="AJ869" s="86" t="str">
        <f>+IF(AG869=$AJ$22,MONTH(V869),"")</f>
        <v/>
      </c>
      <c r="AK869" s="86">
        <f>+IF(AG869=$AK$22,MONTH(V869),"")</f>
        <v>9</v>
      </c>
      <c r="AL869" s="86" t="str">
        <f>+IF(AG869=$AL$22,MONTH(V869),"")</f>
        <v/>
      </c>
      <c r="AM869" s="86" t="str">
        <f>+IF($AG869=$AM$22,MONTH($D869),"")</f>
        <v/>
      </c>
      <c r="AN869" s="89" t="str">
        <f>+IF($AG869=AN$22,MONTH($D869),"")</f>
        <v/>
      </c>
      <c r="AO869" s="89" t="str">
        <f>+IF($AG869=AO$22,MONTH($D869),"")</f>
        <v/>
      </c>
      <c r="AP869" s="89" t="str">
        <f>+IF($AG869=AP$22,MONTH($D869),"")</f>
        <v/>
      </c>
      <c r="AQ869" s="89" t="str">
        <f>+IF($AG869=AQ$22,MONTH($D869),"")</f>
        <v/>
      </c>
      <c r="AR869" s="89" t="str">
        <f>+IF($AG869=AR$22,MONTH($D869),"")</f>
        <v/>
      </c>
      <c r="AS869" s="89" t="str">
        <f>+IF($AG869=AS$22,MONTH($D869),"")</f>
        <v/>
      </c>
      <c r="AT869" s="89" t="str">
        <f>+IF($AG869=AT$22,MONTH($D869),"")</f>
        <v/>
      </c>
      <c r="AU869" s="89" t="str">
        <f>+IF($AG869=AU$22,MONTH($D869),"")</f>
        <v/>
      </c>
      <c r="AV869" s="89" t="str">
        <f>+IF($AG869=AV$22,MONTH($D869),"")</f>
        <v/>
      </c>
      <c r="AW869" s="86" t="str">
        <f>+IF($AG869=AW$22,MONTH($D869),"")</f>
        <v/>
      </c>
      <c r="AX869" s="86" t="str">
        <f>+IF($AG869=AX$22,MONTH($D869),"")</f>
        <v/>
      </c>
      <c r="AY869" s="89"/>
      <c r="AZ869" s="89"/>
      <c r="BA869" s="89"/>
      <c r="BB869" s="89"/>
      <c r="BC869" s="89"/>
      <c r="BD869" s="89"/>
      <c r="BE869" s="89"/>
      <c r="BF869" s="89"/>
      <c r="BG869" s="89"/>
      <c r="BH869" s="89"/>
      <c r="BI869" s="89"/>
      <c r="BJ869" s="89"/>
      <c r="BK869" s="89"/>
      <c r="BL869" s="89"/>
      <c r="BM869" s="89"/>
      <c r="BN869" s="89"/>
      <c r="BO869" s="89"/>
      <c r="BP869" s="89"/>
    </row>
    <row r="870" spans="1:68" s="56" customFormat="1" ht="21.75" hidden="1" customHeight="1">
      <c r="A870" s="204" t="str">
        <f>+IFERROR(VALUE(MID(AB870,4,4)),"")</f>
        <v/>
      </c>
      <c r="B870" s="204">
        <f>VALUE(RIGHT(C870,LEN(C870)-2))</f>
        <v>1853</v>
      </c>
      <c r="C870" s="74" t="s">
        <v>3299</v>
      </c>
      <c r="D870" s="75">
        <v>45173</v>
      </c>
      <c r="E870" s="70" t="s">
        <v>479</v>
      </c>
      <c r="F870" s="70" t="s">
        <v>479</v>
      </c>
      <c r="G870" s="68" t="s">
        <v>1329</v>
      </c>
      <c r="H870" s="59" t="s">
        <v>699</v>
      </c>
      <c r="I870" s="69" t="s">
        <v>3300</v>
      </c>
      <c r="J870" s="69"/>
      <c r="K870" s="68" t="s">
        <v>30</v>
      </c>
      <c r="L870" s="69" t="s">
        <v>123</v>
      </c>
      <c r="M870" s="71" t="s">
        <v>113</v>
      </c>
      <c r="N870" s="69" t="e" vm="2">
        <v>#VALUE!</v>
      </c>
      <c r="O870" s="84">
        <v>45174</v>
      </c>
      <c r="P870" s="72" t="s">
        <v>483</v>
      </c>
      <c r="Q870" s="72" t="s">
        <v>623</v>
      </c>
      <c r="R870" s="162"/>
      <c r="S870" s="146"/>
      <c r="T870" s="68" t="s">
        <v>165</v>
      </c>
      <c r="U870" s="87"/>
      <c r="V870" s="183">
        <v>45173</v>
      </c>
      <c r="W870" s="150">
        <v>93</v>
      </c>
      <c r="X870" s="150">
        <v>3</v>
      </c>
      <c r="Y870" s="83">
        <f>IF(SUM(W870:W870)&gt;0,X870/SUM(W870:W870)*1000000,"N/A")</f>
        <v>32258.06451612903</v>
      </c>
      <c r="Z870" s="183"/>
      <c r="AA870" s="183"/>
      <c r="AB870" s="73"/>
      <c r="AC870" s="153"/>
      <c r="AD870" s="331"/>
      <c r="AE870" s="57"/>
      <c r="AF870" s="88"/>
      <c r="AG870" s="182">
        <f>YEAR(V870)</f>
        <v>2023</v>
      </c>
      <c r="AH870" s="86" t="str">
        <f>+IF(AF870=$AI$22,MONTH(U870),"")</f>
        <v/>
      </c>
      <c r="AI870" s="86" t="str">
        <f>+IF(AG870=$AI$22,MONTH(V870),"")</f>
        <v/>
      </c>
      <c r="AJ870" s="86" t="str">
        <f>+IF(AG870=$AJ$22,MONTH(V870),"")</f>
        <v/>
      </c>
      <c r="AK870" s="86">
        <f>+IF(AG870=$AK$22,MONTH(V870),"")</f>
        <v>9</v>
      </c>
      <c r="AL870" s="86" t="str">
        <f>+IF(AG870=$AL$22,MONTH(V870),"")</f>
        <v/>
      </c>
      <c r="AM870" s="86" t="str">
        <f>+IF($AG870=$AM$22,MONTH($D870),"")</f>
        <v/>
      </c>
      <c r="AN870" s="89" t="str">
        <f>+IF($AG870=AN$22,MONTH($D870),"")</f>
        <v/>
      </c>
      <c r="AO870" s="89" t="str">
        <f>+IF($AG870=AO$22,MONTH($D870),"")</f>
        <v/>
      </c>
      <c r="AP870" s="89" t="str">
        <f>+IF($AG870=AP$22,MONTH($D870),"")</f>
        <v/>
      </c>
      <c r="AQ870" s="89" t="str">
        <f>+IF($AG870=AQ$22,MONTH($D870),"")</f>
        <v/>
      </c>
      <c r="AR870" s="89" t="str">
        <f>+IF($AG870=AR$22,MONTH($D870),"")</f>
        <v/>
      </c>
      <c r="AS870" s="89" t="str">
        <f>+IF($AG870=AS$22,MONTH($D870),"")</f>
        <v/>
      </c>
      <c r="AT870" s="89" t="str">
        <f>+IF($AG870=AT$22,MONTH($D870),"")</f>
        <v/>
      </c>
      <c r="AU870" s="89" t="str">
        <f>+IF($AG870=AU$22,MONTH($D870),"")</f>
        <v/>
      </c>
      <c r="AV870" s="89" t="str">
        <f>+IF($AG870=AV$22,MONTH($D870),"")</f>
        <v/>
      </c>
      <c r="AW870" s="86" t="str">
        <f>+IF($AG870=AW$22,MONTH($D870),"")</f>
        <v/>
      </c>
      <c r="AX870" s="86" t="str">
        <f>+IF($AG870=AX$22,MONTH($D870),"")</f>
        <v/>
      </c>
      <c r="AY870" s="89"/>
      <c r="AZ870" s="89"/>
      <c r="BA870" s="89"/>
      <c r="BB870" s="89"/>
      <c r="BC870" s="89"/>
      <c r="BD870" s="89"/>
      <c r="BE870" s="89"/>
      <c r="BF870" s="89"/>
      <c r="BG870" s="89"/>
      <c r="BH870" s="89"/>
      <c r="BI870" s="89"/>
      <c r="BJ870" s="89"/>
      <c r="BK870" s="89"/>
      <c r="BL870" s="89"/>
      <c r="BM870" s="89"/>
      <c r="BN870" s="89"/>
      <c r="BO870" s="89"/>
      <c r="BP870" s="89"/>
    </row>
    <row r="871" spans="1:68" s="56" customFormat="1" ht="13.5" hidden="1">
      <c r="A871" s="204" t="str">
        <f>+IFERROR(VALUE(MID(AB871,4,4)),"")</f>
        <v/>
      </c>
      <c r="B871" s="204">
        <f>VALUE(RIGHT(C871,LEN(C871)-2))</f>
        <v>1852</v>
      </c>
      <c r="C871" s="74" t="s">
        <v>3301</v>
      </c>
      <c r="D871" s="75">
        <v>45169</v>
      </c>
      <c r="E871" s="70" t="s">
        <v>3302</v>
      </c>
      <c r="F871" s="70" t="s">
        <v>3303</v>
      </c>
      <c r="G871" s="68"/>
      <c r="H871" s="59"/>
      <c r="I871" s="69" t="s">
        <v>3304</v>
      </c>
      <c r="J871" s="69"/>
      <c r="K871" s="68" t="s">
        <v>13</v>
      </c>
      <c r="L871" s="69" t="s">
        <v>120</v>
      </c>
      <c r="M871" s="71" t="s">
        <v>141</v>
      </c>
      <c r="N871" s="69" t="e" vm="1">
        <v>#VALUE!</v>
      </c>
      <c r="O871" s="84"/>
      <c r="P871" s="164"/>
      <c r="Q871" s="72"/>
      <c r="R871" s="162"/>
      <c r="S871" s="146"/>
      <c r="T871" s="68" t="s">
        <v>155</v>
      </c>
      <c r="U871" s="87"/>
      <c r="V871" s="183">
        <v>45169</v>
      </c>
      <c r="W871" s="150"/>
      <c r="X871" s="150"/>
      <c r="Y871" s="83" t="str">
        <f>IF(SUM(W871:W871)&gt;0,X871/SUM(W871:W871)*1000000,"N/A")</f>
        <v>N/A</v>
      </c>
      <c r="Z871" s="183"/>
      <c r="AA871" s="183"/>
      <c r="AB871" s="73"/>
      <c r="AC871" s="153">
        <v>45571</v>
      </c>
      <c r="AD871" s="331"/>
      <c r="AE871" s="57"/>
      <c r="AF871" s="88"/>
      <c r="AG871" s="182">
        <f>YEAR(V871)</f>
        <v>2023</v>
      </c>
      <c r="AH871" s="86" t="str">
        <f>+IF(AF871=$AI$22,MONTH(U871),"")</f>
        <v/>
      </c>
      <c r="AI871" s="86" t="str">
        <f>+IF(AG871=$AI$22,MONTH(V871),"")</f>
        <v/>
      </c>
      <c r="AJ871" s="86" t="str">
        <f>+IF(AG871=$AJ$22,MONTH(V871),"")</f>
        <v/>
      </c>
      <c r="AK871" s="86">
        <f>+IF(AG871=$AK$22,MONTH(V871),"")</f>
        <v>8</v>
      </c>
      <c r="AL871" s="86" t="str">
        <f>+IF(AG871=$AL$22,MONTH(V871),"")</f>
        <v/>
      </c>
      <c r="AM871" s="86" t="str">
        <f>+IF($AG871=$AM$22,MONTH($D871),"")</f>
        <v/>
      </c>
      <c r="AN871" s="89" t="str">
        <f>+IF($AG871=AN$22,MONTH($D871),"")</f>
        <v/>
      </c>
      <c r="AO871" s="89" t="str">
        <f>+IF($AG871=AO$22,MONTH($D871),"")</f>
        <v/>
      </c>
      <c r="AP871" s="89" t="str">
        <f>+IF($AG871=AP$22,MONTH($D871),"")</f>
        <v/>
      </c>
      <c r="AQ871" s="89" t="str">
        <f>+IF($AG871=AQ$22,MONTH($D871),"")</f>
        <v/>
      </c>
      <c r="AR871" s="89" t="str">
        <f>+IF($AG871=AR$22,MONTH($D871),"")</f>
        <v/>
      </c>
      <c r="AS871" s="89" t="str">
        <f>+IF($AG871=AS$22,MONTH($D871),"")</f>
        <v/>
      </c>
      <c r="AT871" s="89" t="str">
        <f>+IF($AG871=AT$22,MONTH($D871),"")</f>
        <v/>
      </c>
      <c r="AU871" s="89" t="str">
        <f>+IF($AG871=AU$22,MONTH($D871),"")</f>
        <v/>
      </c>
      <c r="AV871" s="89" t="str">
        <f>+IF($AG871=AV$22,MONTH($D871),"")</f>
        <v/>
      </c>
      <c r="AW871" s="86" t="str">
        <f>+IF($AG871=AW$22,MONTH($D871),"")</f>
        <v/>
      </c>
      <c r="AX871" s="86" t="str">
        <f>+IF($AG871=AX$22,MONTH($D871),"")</f>
        <v/>
      </c>
      <c r="AY871" s="89"/>
      <c r="AZ871" s="89"/>
      <c r="BA871" s="89"/>
      <c r="BB871" s="89"/>
      <c r="BC871" s="89"/>
      <c r="BD871" s="89"/>
      <c r="BE871" s="89"/>
      <c r="BF871" s="89"/>
      <c r="BG871" s="89"/>
      <c r="BH871" s="89"/>
      <c r="BI871" s="89"/>
      <c r="BJ871" s="89"/>
      <c r="BK871" s="89"/>
      <c r="BL871" s="89"/>
      <c r="BM871" s="89"/>
      <c r="BN871" s="89"/>
      <c r="BO871" s="89"/>
      <c r="BP871" s="89"/>
    </row>
    <row r="872" spans="1:68" s="56" customFormat="1" ht="25.5" hidden="1" customHeight="1">
      <c r="A872" s="204" t="str">
        <f>+IFERROR(VALUE(MID(AB872,4,4)),"")</f>
        <v/>
      </c>
      <c r="B872" s="204">
        <f>VALUE(RIGHT(C872,LEN(C872)-2))</f>
        <v>1851</v>
      </c>
      <c r="C872" s="74" t="s">
        <v>3305</v>
      </c>
      <c r="D872" s="75">
        <v>45125</v>
      </c>
      <c r="E872" s="70" t="s">
        <v>848</v>
      </c>
      <c r="F872" s="70" t="s">
        <v>848</v>
      </c>
      <c r="G872" s="68" t="s">
        <v>3306</v>
      </c>
      <c r="H872" s="59" t="s">
        <v>3307</v>
      </c>
      <c r="I872" s="69" t="s">
        <v>3308</v>
      </c>
      <c r="J872" s="69"/>
      <c r="K872" s="68" t="s">
        <v>90</v>
      </c>
      <c r="L872" s="69" t="s">
        <v>120</v>
      </c>
      <c r="M872" s="71" t="s">
        <v>141</v>
      </c>
      <c r="N872" s="69" t="e" vm="1">
        <v>#VALUE!</v>
      </c>
      <c r="O872" s="84">
        <v>45177</v>
      </c>
      <c r="P872" s="72" t="s">
        <v>701</v>
      </c>
      <c r="Q872" s="72" t="s">
        <v>1210</v>
      </c>
      <c r="R872" s="162"/>
      <c r="S872" s="146"/>
      <c r="T872" s="68" t="s">
        <v>165</v>
      </c>
      <c r="U872" s="87">
        <v>0.01</v>
      </c>
      <c r="V872" s="183">
        <v>45366</v>
      </c>
      <c r="W872" s="150">
        <v>1000</v>
      </c>
      <c r="X872" s="150">
        <v>1</v>
      </c>
      <c r="Y872" s="83">
        <f>IF(SUM(W872:W872)&gt;0,X872/SUM(W872:W872)*1000000,"N/A")</f>
        <v>1000</v>
      </c>
      <c r="Z872" s="183"/>
      <c r="AA872" s="183"/>
      <c r="AB872" s="73"/>
      <c r="AC872" s="153">
        <v>45571</v>
      </c>
      <c r="AD872" s="331"/>
      <c r="AE872" s="57"/>
      <c r="AF872" s="88"/>
      <c r="AG872" s="182">
        <f>YEAR(V872)</f>
        <v>2024</v>
      </c>
      <c r="AH872" s="86" t="str">
        <f>+IF(AF872=$AI$22,MONTH(U872),"")</f>
        <v/>
      </c>
      <c r="AI872" s="86" t="str">
        <f>+IF(AG872=$AI$22,MONTH(V872),"")</f>
        <v/>
      </c>
      <c r="AJ872" s="86">
        <f>+IF(AG872=$AJ$22,MONTH(V872),"")</f>
        <v>3</v>
      </c>
      <c r="AK872" s="86" t="str">
        <f>+IF(AG872=$AK$22,MONTH(V872),"")</f>
        <v/>
      </c>
      <c r="AL872" s="86" t="str">
        <f>+IF(AG872=$AL$22,MONTH(V872),"")</f>
        <v/>
      </c>
      <c r="AM872" s="86" t="str">
        <f>+IF($AG872=$AM$22,MONTH($D872),"")</f>
        <v/>
      </c>
      <c r="AN872" s="89" t="str">
        <f>+IF($AG872=AN$22,MONTH($D872),"")</f>
        <v/>
      </c>
      <c r="AO872" s="89" t="str">
        <f>+IF($AG872=AO$22,MONTH($D872),"")</f>
        <v/>
      </c>
      <c r="AP872" s="89" t="str">
        <f>+IF($AG872=AP$22,MONTH($D872),"")</f>
        <v/>
      </c>
      <c r="AQ872" s="89" t="str">
        <f>+IF($AG872=AQ$22,MONTH($D872),"")</f>
        <v/>
      </c>
      <c r="AR872" s="89" t="str">
        <f>+IF($AG872=AR$22,MONTH($D872),"")</f>
        <v/>
      </c>
      <c r="AS872" s="89" t="str">
        <f>+IF($AG872=AS$22,MONTH($D872),"")</f>
        <v/>
      </c>
      <c r="AT872" s="89" t="str">
        <f>+IF($AG872=AT$22,MONTH($D872),"")</f>
        <v/>
      </c>
      <c r="AU872" s="89" t="str">
        <f>+IF($AG872=AU$22,MONTH($D872),"")</f>
        <v/>
      </c>
      <c r="AV872" s="89" t="str">
        <f>+IF($AG872=AV$22,MONTH($D872),"")</f>
        <v/>
      </c>
      <c r="AW872" s="86" t="str">
        <f>+IF($AG872=AW$22,MONTH($D872),"")</f>
        <v/>
      </c>
      <c r="AX872" s="86" t="str">
        <f>+IF($AG872=AX$22,MONTH($D872),"")</f>
        <v/>
      </c>
      <c r="AY872" s="89"/>
      <c r="AZ872" s="89"/>
      <c r="BA872" s="89"/>
      <c r="BB872" s="89"/>
      <c r="BC872" s="89"/>
      <c r="BD872" s="89"/>
      <c r="BE872" s="89"/>
      <c r="BF872" s="89"/>
      <c r="BG872" s="89"/>
      <c r="BH872" s="89"/>
      <c r="BI872" s="89"/>
      <c r="BJ872" s="89"/>
      <c r="BK872" s="89"/>
      <c r="BL872" s="89"/>
      <c r="BM872" s="89"/>
      <c r="BN872" s="89"/>
      <c r="BO872" s="89"/>
      <c r="BP872" s="89"/>
    </row>
    <row r="873" spans="1:68" s="56" customFormat="1" ht="21" hidden="1" customHeight="1">
      <c r="A873" s="204" t="str">
        <f>+IFERROR(VALUE(MID(AB873,4,4)),"")</f>
        <v/>
      </c>
      <c r="B873" s="204">
        <f>VALUE(RIGHT(C873,LEN(C873)-2))</f>
        <v>1850</v>
      </c>
      <c r="C873" s="74" t="s">
        <v>3309</v>
      </c>
      <c r="D873" s="75">
        <v>45166</v>
      </c>
      <c r="E873" s="70" t="s">
        <v>1013</v>
      </c>
      <c r="F873" s="70" t="s">
        <v>2840</v>
      </c>
      <c r="G873" s="160" t="s">
        <v>3310</v>
      </c>
      <c r="H873" s="180" t="s">
        <v>3311</v>
      </c>
      <c r="I873" s="69" t="s">
        <v>3312</v>
      </c>
      <c r="J873" s="69"/>
      <c r="K873" s="95" t="s">
        <v>13</v>
      </c>
      <c r="L873" s="69" t="s">
        <v>120</v>
      </c>
      <c r="M873" s="71" t="s">
        <v>141</v>
      </c>
      <c r="N873" s="69" t="e" vm="1">
        <v>#VALUE!</v>
      </c>
      <c r="O873" s="164">
        <v>45223</v>
      </c>
      <c r="P873" s="164" t="s">
        <v>737</v>
      </c>
      <c r="Q873" s="82" t="s">
        <v>316</v>
      </c>
      <c r="R873" s="69"/>
      <c r="S873" s="146"/>
      <c r="T873" s="68" t="s">
        <v>168</v>
      </c>
      <c r="U873" s="87"/>
      <c r="V873" s="183">
        <v>45247</v>
      </c>
      <c r="W873" s="73">
        <v>59205</v>
      </c>
      <c r="X873" s="73">
        <f>+(68150*36300)/1000000</f>
        <v>2473.8449999999998</v>
      </c>
      <c r="Y873" s="83">
        <f>IF(SUM(W873:W873)&gt;0,X873/SUM(W873:W873)*1000000,"N/A")</f>
        <v>41784.393210032933</v>
      </c>
      <c r="Z873" s="183"/>
      <c r="AA873" s="183"/>
      <c r="AB873" s="73"/>
      <c r="AC873" s="153"/>
      <c r="AD873" s="331"/>
      <c r="AE873" s="57"/>
      <c r="AF873" s="88"/>
      <c r="AG873" s="182">
        <f>YEAR(V873)</f>
        <v>2023</v>
      </c>
      <c r="AH873" s="86" t="str">
        <f>+IF(AF873=$AI$22,MONTH(U873),"")</f>
        <v/>
      </c>
      <c r="AI873" s="86" t="str">
        <f>+IF(AG873=$AI$22,MONTH(V873),"")</f>
        <v/>
      </c>
      <c r="AJ873" s="86" t="str">
        <f>+IF(AG873=$AJ$22,MONTH(V873),"")</f>
        <v/>
      </c>
      <c r="AK873" s="86">
        <f>+IF(AG873=$AK$22,MONTH(V873),"")</f>
        <v>11</v>
      </c>
      <c r="AL873" s="86" t="str">
        <f>+IF(AG873=$AL$22,MONTH(V873),"")</f>
        <v/>
      </c>
      <c r="AM873" s="86" t="str">
        <f>+IF($AG873=$AM$22,MONTH($D873),"")</f>
        <v/>
      </c>
      <c r="AN873" s="89" t="str">
        <f>+IF($AG873=AN$22,MONTH($D873),"")</f>
        <v/>
      </c>
      <c r="AO873" s="89" t="str">
        <f>+IF($AG873=AO$22,MONTH($D873),"")</f>
        <v/>
      </c>
      <c r="AP873" s="89" t="str">
        <f>+IF($AG873=AP$22,MONTH($D873),"")</f>
        <v/>
      </c>
      <c r="AQ873" s="89" t="str">
        <f>+IF($AG873=AQ$22,MONTH($D873),"")</f>
        <v/>
      </c>
      <c r="AR873" s="89" t="str">
        <f>+IF($AG873=AR$22,MONTH($D873),"")</f>
        <v/>
      </c>
      <c r="AS873" s="89" t="str">
        <f>+IF($AG873=AS$22,MONTH($D873),"")</f>
        <v/>
      </c>
      <c r="AT873" s="89" t="str">
        <f>+IF($AG873=AT$22,MONTH($D873),"")</f>
        <v/>
      </c>
      <c r="AU873" s="89" t="str">
        <f>+IF($AG873=AU$22,MONTH($D873),"")</f>
        <v/>
      </c>
      <c r="AV873" s="89" t="str">
        <f>+IF($AG873=AV$22,MONTH($D873),"")</f>
        <v/>
      </c>
      <c r="AW873" s="86" t="str">
        <f>+IF($AG873=AW$22,MONTH($D873),"")</f>
        <v/>
      </c>
      <c r="AX873" s="86" t="str">
        <f>+IF($AG873=AX$22,MONTH($D873),"")</f>
        <v/>
      </c>
      <c r="AY873" s="89"/>
      <c r="AZ873" s="89"/>
      <c r="BA873" s="89"/>
      <c r="BB873" s="89"/>
      <c r="BC873" s="89"/>
      <c r="BD873" s="89"/>
      <c r="BE873" s="89"/>
      <c r="BF873" s="89"/>
      <c r="BG873" s="89"/>
      <c r="BH873" s="89"/>
      <c r="BI873" s="89"/>
      <c r="BJ873" s="89"/>
      <c r="BK873" s="89"/>
      <c r="BL873" s="89"/>
      <c r="BM873" s="89"/>
      <c r="BN873" s="89"/>
      <c r="BO873" s="89"/>
      <c r="BP873" s="89"/>
    </row>
    <row r="874" spans="1:68" s="56" customFormat="1" ht="94.5" hidden="1">
      <c r="A874" s="204" t="str">
        <f>+IFERROR(VALUE(MID(AB874,4,4)),"")</f>
        <v/>
      </c>
      <c r="B874" s="204">
        <f>VALUE(RIGHT(C874,LEN(C874)-2))</f>
        <v>1849</v>
      </c>
      <c r="C874" s="74" t="s">
        <v>3313</v>
      </c>
      <c r="D874" s="75">
        <v>45166</v>
      </c>
      <c r="E874" s="70" t="s">
        <v>53</v>
      </c>
      <c r="F874" s="70" t="s">
        <v>1379</v>
      </c>
      <c r="G874" s="68" t="s">
        <v>210</v>
      </c>
      <c r="H874" s="164"/>
      <c r="I874" s="69" t="s">
        <v>3314</v>
      </c>
      <c r="J874" s="69"/>
      <c r="K874" s="68" t="s">
        <v>212</v>
      </c>
      <c r="L874" s="69" t="s">
        <v>123</v>
      </c>
      <c r="M874" s="71" t="s">
        <v>141</v>
      </c>
      <c r="N874" s="69" t="e" vm="1">
        <v>#VALUE!</v>
      </c>
      <c r="O874" s="84">
        <v>45244</v>
      </c>
      <c r="P874" s="164" t="s">
        <v>689</v>
      </c>
      <c r="Q874" s="72" t="s">
        <v>405</v>
      </c>
      <c r="R874" s="162"/>
      <c r="S874" s="146" t="s">
        <v>3315</v>
      </c>
      <c r="T874" s="68" t="s">
        <v>165</v>
      </c>
      <c r="U874" s="87"/>
      <c r="V874" s="183">
        <v>45366</v>
      </c>
      <c r="W874" s="73">
        <v>1000</v>
      </c>
      <c r="X874" s="73">
        <v>42</v>
      </c>
      <c r="Y874" s="83">
        <f>IF(SUM(W874:W874)&gt;0,X874/SUM(W874:W874)*1000000,"N/A")</f>
        <v>42000</v>
      </c>
      <c r="Z874" s="183"/>
      <c r="AA874" s="183"/>
      <c r="AB874" s="73"/>
      <c r="AC874" s="153"/>
      <c r="AD874" s="331"/>
      <c r="AE874" s="57"/>
      <c r="AF874" s="88"/>
      <c r="AG874" s="182">
        <f>YEAR(V874)</f>
        <v>2024</v>
      </c>
      <c r="AH874" s="86" t="str">
        <f>+IF(AF874=$AI$22,MONTH(U874),"")</f>
        <v/>
      </c>
      <c r="AI874" s="86" t="str">
        <f>+IF(AG874=$AI$22,MONTH(V874),"")</f>
        <v/>
      </c>
      <c r="AJ874" s="86">
        <f>+IF(AG874=$AJ$22,MONTH(V874),"")</f>
        <v>3</v>
      </c>
      <c r="AK874" s="86" t="str">
        <f>+IF(AG874=$AK$22,MONTH(V874),"")</f>
        <v/>
      </c>
      <c r="AL874" s="86" t="str">
        <f>+IF(AG874=$AL$22,MONTH(V874),"")</f>
        <v/>
      </c>
      <c r="AM874" s="86" t="str">
        <f>+IF($AG874=$AM$22,MONTH($D874),"")</f>
        <v/>
      </c>
      <c r="AN874" s="89" t="str">
        <f>+IF($AG874=AN$22,MONTH($D874),"")</f>
        <v/>
      </c>
      <c r="AO874" s="89" t="str">
        <f>+IF($AG874=AO$22,MONTH($D874),"")</f>
        <v/>
      </c>
      <c r="AP874" s="89" t="str">
        <f>+IF($AG874=AP$22,MONTH($D874),"")</f>
        <v/>
      </c>
      <c r="AQ874" s="89" t="str">
        <f>+IF($AG874=AQ$22,MONTH($D874),"")</f>
        <v/>
      </c>
      <c r="AR874" s="89" t="str">
        <f>+IF($AG874=AR$22,MONTH($D874),"")</f>
        <v/>
      </c>
      <c r="AS874" s="89" t="str">
        <f>+IF($AG874=AS$22,MONTH($D874),"")</f>
        <v/>
      </c>
      <c r="AT874" s="89" t="str">
        <f>+IF($AG874=AT$22,MONTH($D874),"")</f>
        <v/>
      </c>
      <c r="AU874" s="89" t="str">
        <f>+IF($AG874=AU$22,MONTH($D874),"")</f>
        <v/>
      </c>
      <c r="AV874" s="89" t="str">
        <f>+IF($AG874=AV$22,MONTH($D874),"")</f>
        <v/>
      </c>
      <c r="AW874" s="86" t="str">
        <f>+IF($AG874=AW$22,MONTH($D874),"")</f>
        <v/>
      </c>
      <c r="AX874" s="86" t="str">
        <f>+IF($AG874=AX$22,MONTH($D874),"")</f>
        <v/>
      </c>
      <c r="AY874" s="89"/>
      <c r="AZ874" s="89"/>
      <c r="BA874" s="89"/>
      <c r="BB874" s="89"/>
      <c r="BC874" s="89"/>
      <c r="BD874" s="89"/>
      <c r="BE874" s="89"/>
      <c r="BF874" s="89"/>
      <c r="BG874" s="89"/>
      <c r="BH874" s="89"/>
      <c r="BI874" s="89"/>
      <c r="BJ874" s="89"/>
      <c r="BK874" s="89"/>
      <c r="BL874" s="89"/>
      <c r="BM874" s="89"/>
      <c r="BN874" s="89"/>
      <c r="BO874" s="89"/>
      <c r="BP874" s="89"/>
    </row>
    <row r="875" spans="1:68" s="56" customFormat="1" ht="27" hidden="1">
      <c r="A875" s="204">
        <f>+IFERROR(VALUE(MID(AB875,4,4)),"")</f>
        <v>375</v>
      </c>
      <c r="B875" s="204">
        <f>VALUE(RIGHT(C875,LEN(C875)-2))</f>
        <v>1848</v>
      </c>
      <c r="C875" s="74" t="s">
        <v>3316</v>
      </c>
      <c r="D875" s="75">
        <v>45163</v>
      </c>
      <c r="E875" s="70" t="s">
        <v>262</v>
      </c>
      <c r="F875" s="70" t="s">
        <v>262</v>
      </c>
      <c r="G875" s="160" t="s">
        <v>3317</v>
      </c>
      <c r="H875" s="59" t="s">
        <v>3318</v>
      </c>
      <c r="I875" s="69" t="s">
        <v>3319</v>
      </c>
      <c r="J875" s="69"/>
      <c r="K875" s="95" t="s">
        <v>90</v>
      </c>
      <c r="L875" s="69" t="s">
        <v>120</v>
      </c>
      <c r="M875" s="71" t="s">
        <v>141</v>
      </c>
      <c r="N875" s="69" t="e" vm="1">
        <v>#VALUE!</v>
      </c>
      <c r="O875" s="164">
        <v>45356</v>
      </c>
      <c r="P875" s="82" t="s">
        <v>274</v>
      </c>
      <c r="Q875" s="82" t="s">
        <v>275</v>
      </c>
      <c r="R875" s="69"/>
      <c r="S875" s="146" t="s">
        <v>3320</v>
      </c>
      <c r="T875" s="68" t="s">
        <v>3</v>
      </c>
      <c r="U875" s="87"/>
      <c r="V875" s="183">
        <v>45356</v>
      </c>
      <c r="W875" s="73">
        <v>440</v>
      </c>
      <c r="X875" s="73">
        <v>25.6</v>
      </c>
      <c r="Y875" s="83">
        <f>IF(SUM(W875:W875)&gt;0,X875/SUM(W875:W875)*1000000,"N/A")</f>
        <v>58181.818181818184</v>
      </c>
      <c r="Z875" s="183"/>
      <c r="AA875" s="183"/>
      <c r="AB875" s="73" t="s">
        <v>3321</v>
      </c>
      <c r="AC875" s="153"/>
      <c r="AD875" s="331"/>
      <c r="AE875" s="57"/>
      <c r="AF875" s="88"/>
      <c r="AG875" s="182">
        <f>YEAR(V875)</f>
        <v>2024</v>
      </c>
      <c r="AH875" s="86" t="str">
        <f>+IF(AF875=$AI$22,MONTH(U875),"")</f>
        <v/>
      </c>
      <c r="AI875" s="86" t="str">
        <f>+IF(AG875=$AI$22,MONTH(V875),"")</f>
        <v/>
      </c>
      <c r="AJ875" s="86">
        <f>+IF(AG875=$AJ$22,MONTH(V875),"")</f>
        <v>3</v>
      </c>
      <c r="AK875" s="86" t="str">
        <f>+IF(AG875=$AK$22,MONTH(V875),"")</f>
        <v/>
      </c>
      <c r="AL875" s="86" t="str">
        <f>+IF(AG875=$AL$22,MONTH(V875),"")</f>
        <v/>
      </c>
      <c r="AM875" s="86" t="str">
        <f>+IF($AG875=$AM$22,MONTH($D875),"")</f>
        <v/>
      </c>
      <c r="AN875" s="89" t="str">
        <f>+IF($AG875=AN$22,MONTH($D875),"")</f>
        <v/>
      </c>
      <c r="AO875" s="89" t="str">
        <f>+IF($AG875=AO$22,MONTH($D875),"")</f>
        <v/>
      </c>
      <c r="AP875" s="89" t="str">
        <f>+IF($AG875=AP$22,MONTH($D875),"")</f>
        <v/>
      </c>
      <c r="AQ875" s="89" t="str">
        <f>+IF($AG875=AQ$22,MONTH($D875),"")</f>
        <v/>
      </c>
      <c r="AR875" s="89" t="str">
        <f>+IF($AG875=AR$22,MONTH($D875),"")</f>
        <v/>
      </c>
      <c r="AS875" s="89" t="str">
        <f>+IF($AG875=AS$22,MONTH($D875),"")</f>
        <v/>
      </c>
      <c r="AT875" s="89" t="str">
        <f>+IF($AG875=AT$22,MONTH($D875),"")</f>
        <v/>
      </c>
      <c r="AU875" s="89" t="str">
        <f>+IF($AG875=AU$22,MONTH($D875),"")</f>
        <v/>
      </c>
      <c r="AV875" s="89" t="str">
        <f>+IF($AG875=AV$22,MONTH($D875),"")</f>
        <v/>
      </c>
      <c r="AW875" s="86" t="str">
        <f>+IF($AG875=AW$22,MONTH($D875),"")</f>
        <v/>
      </c>
      <c r="AX875" s="86" t="str">
        <f>+IF($AG875=AX$22,MONTH($D875),"")</f>
        <v/>
      </c>
      <c r="AY875" s="89"/>
      <c r="AZ875" s="89"/>
      <c r="BA875" s="89"/>
      <c r="BB875" s="89"/>
      <c r="BC875" s="89"/>
      <c r="BD875" s="89"/>
      <c r="BE875" s="89"/>
      <c r="BF875" s="89"/>
      <c r="BG875" s="89"/>
      <c r="BH875" s="89"/>
      <c r="BI875" s="89"/>
      <c r="BJ875" s="89"/>
      <c r="BK875" s="89"/>
      <c r="BL875" s="89"/>
      <c r="BM875" s="89"/>
      <c r="BN875" s="89"/>
      <c r="BO875" s="89"/>
      <c r="BP875" s="89"/>
    </row>
    <row r="876" spans="1:68" s="56" customFormat="1" ht="13.5" hidden="1">
      <c r="A876" s="204" t="str">
        <f>+IFERROR(VALUE(MID(AB876,4,4)),"")</f>
        <v/>
      </c>
      <c r="B876" s="204">
        <f>VALUE(RIGHT(C876,LEN(C876)-2))</f>
        <v>1847</v>
      </c>
      <c r="C876" s="74" t="s">
        <v>3322</v>
      </c>
      <c r="D876" s="75">
        <v>45163</v>
      </c>
      <c r="E876" s="70" t="s">
        <v>394</v>
      </c>
      <c r="F876" s="70" t="s">
        <v>243</v>
      </c>
      <c r="G876" s="68" t="s">
        <v>210</v>
      </c>
      <c r="H876" s="164"/>
      <c r="I876" s="69" t="s">
        <v>3323</v>
      </c>
      <c r="J876" s="69"/>
      <c r="K876" s="68" t="s">
        <v>212</v>
      </c>
      <c r="L876" s="69" t="s">
        <v>123</v>
      </c>
      <c r="M876" s="71" t="s">
        <v>141</v>
      </c>
      <c r="N876" s="69" t="e" vm="1">
        <v>#VALUE!</v>
      </c>
      <c r="O876" s="84">
        <v>45174</v>
      </c>
      <c r="P876" s="164" t="s">
        <v>1154</v>
      </c>
      <c r="Q876" s="72" t="s">
        <v>405</v>
      </c>
      <c r="R876" s="162"/>
      <c r="S876" s="146"/>
      <c r="T876" s="68" t="s">
        <v>155</v>
      </c>
      <c r="U876" s="87"/>
      <c r="V876" s="183">
        <v>45166</v>
      </c>
      <c r="W876" s="73"/>
      <c r="X876" s="73"/>
      <c r="Y876" s="83" t="str">
        <f>IF(SUM(W876:W876)&gt;0,X876/SUM(W876:W876)*1000000,"N/A")</f>
        <v>N/A</v>
      </c>
      <c r="Z876" s="183"/>
      <c r="AA876" s="183"/>
      <c r="AB876" s="73"/>
      <c r="AC876" s="153"/>
      <c r="AD876" s="331"/>
      <c r="AE876" s="57"/>
      <c r="AF876" s="88"/>
      <c r="AG876" s="182">
        <f>YEAR(V876)</f>
        <v>2023</v>
      </c>
      <c r="AH876" s="86" t="str">
        <f>+IF(AF876=$AI$22,MONTH(U876),"")</f>
        <v/>
      </c>
      <c r="AI876" s="86" t="str">
        <f>+IF(AG876=$AI$22,MONTH(V876),"")</f>
        <v/>
      </c>
      <c r="AJ876" s="86" t="str">
        <f>+IF(AG876=$AJ$22,MONTH(V876),"")</f>
        <v/>
      </c>
      <c r="AK876" s="86">
        <f>+IF(AG876=$AK$22,MONTH(V876),"")</f>
        <v>8</v>
      </c>
      <c r="AL876" s="86" t="str">
        <f>+IF(AG876=$AL$22,MONTH(V876),"")</f>
        <v/>
      </c>
      <c r="AM876" s="86" t="str">
        <f>+IF($AG876=$AM$22,MONTH($D876),"")</f>
        <v/>
      </c>
      <c r="AN876" s="89" t="str">
        <f>+IF($AG876=AN$22,MONTH($D876),"")</f>
        <v/>
      </c>
      <c r="AO876" s="89" t="str">
        <f>+IF($AG876=AO$22,MONTH($D876),"")</f>
        <v/>
      </c>
      <c r="AP876" s="89" t="str">
        <f>+IF($AG876=AP$22,MONTH($D876),"")</f>
        <v/>
      </c>
      <c r="AQ876" s="89" t="str">
        <f>+IF($AG876=AQ$22,MONTH($D876),"")</f>
        <v/>
      </c>
      <c r="AR876" s="89" t="str">
        <f>+IF($AG876=AR$22,MONTH($D876),"")</f>
        <v/>
      </c>
      <c r="AS876" s="89" t="str">
        <f>+IF($AG876=AS$22,MONTH($D876),"")</f>
        <v/>
      </c>
      <c r="AT876" s="89" t="str">
        <f>+IF($AG876=AT$22,MONTH($D876),"")</f>
        <v/>
      </c>
      <c r="AU876" s="89" t="str">
        <f>+IF($AG876=AU$22,MONTH($D876),"")</f>
        <v/>
      </c>
      <c r="AV876" s="89" t="str">
        <f>+IF($AG876=AV$22,MONTH($D876),"")</f>
        <v/>
      </c>
      <c r="AW876" s="86" t="str">
        <f>+IF($AG876=AW$22,MONTH($D876),"")</f>
        <v/>
      </c>
      <c r="AX876" s="86" t="str">
        <f>+IF($AG876=AX$22,MONTH($D876),"")</f>
        <v/>
      </c>
      <c r="AY876" s="89"/>
      <c r="AZ876" s="89"/>
      <c r="BA876" s="89"/>
      <c r="BB876" s="89"/>
      <c r="BC876" s="89"/>
      <c r="BD876" s="89"/>
      <c r="BE876" s="89"/>
      <c r="BF876" s="89"/>
      <c r="BG876" s="89"/>
      <c r="BH876" s="89"/>
      <c r="BI876" s="89"/>
      <c r="BJ876" s="89"/>
      <c r="BK876" s="89"/>
      <c r="BL876" s="89"/>
      <c r="BM876" s="89"/>
      <c r="BN876" s="89"/>
      <c r="BO876" s="89"/>
      <c r="BP876" s="89"/>
    </row>
    <row r="877" spans="1:68" s="56" customFormat="1" ht="22.5" hidden="1" customHeight="1">
      <c r="A877" s="204">
        <f>+IFERROR(VALUE(MID(AB877,4,4)),"")</f>
        <v>358</v>
      </c>
      <c r="B877" s="204">
        <f>VALUE(RIGHT(C877,LEN(C877)-2))</f>
        <v>1846</v>
      </c>
      <c r="C877" s="74" t="s">
        <v>3324</v>
      </c>
      <c r="D877" s="75">
        <v>45166</v>
      </c>
      <c r="E877" s="70" t="s">
        <v>473</v>
      </c>
      <c r="F877" s="70" t="s">
        <v>473</v>
      </c>
      <c r="G877" s="68" t="s">
        <v>2521</v>
      </c>
      <c r="H877" s="59" t="s">
        <v>2522</v>
      </c>
      <c r="I877" s="69" t="s">
        <v>3325</v>
      </c>
      <c r="J877" s="69"/>
      <c r="K877" s="68" t="s">
        <v>13</v>
      </c>
      <c r="L877" s="69" t="s">
        <v>120</v>
      </c>
      <c r="M877" s="71" t="s">
        <v>141</v>
      </c>
      <c r="N877" s="69" t="e" vm="1">
        <v>#VALUE!</v>
      </c>
      <c r="O877" s="164">
        <v>45169</v>
      </c>
      <c r="P877" s="72" t="s">
        <v>402</v>
      </c>
      <c r="Q877" s="72" t="s">
        <v>623</v>
      </c>
      <c r="R877" s="162"/>
      <c r="S877" s="146"/>
      <c r="T877" s="68" t="s">
        <v>3</v>
      </c>
      <c r="U877" s="87"/>
      <c r="V877" s="183">
        <v>45247</v>
      </c>
      <c r="W877" s="150">
        <v>2944</v>
      </c>
      <c r="X877" s="150">
        <f>131464800/1000000</f>
        <v>131.4648</v>
      </c>
      <c r="Y877" s="83">
        <f>IF(SUM(W877:W877)&gt;0,X877/SUM(W877:W877)*1000000,"N/A")</f>
        <v>44655.163043478264</v>
      </c>
      <c r="Z877" s="183"/>
      <c r="AA877" s="183"/>
      <c r="AB877" s="73" t="s">
        <v>3326</v>
      </c>
      <c r="AC877" s="153"/>
      <c r="AD877" s="331"/>
      <c r="AE877" s="57"/>
      <c r="AF877" s="88"/>
      <c r="AG877" s="182">
        <f>YEAR(V877)</f>
        <v>2023</v>
      </c>
      <c r="AH877" s="86" t="str">
        <f>+IF(AF877=$AI$22,MONTH(U877),"")</f>
        <v/>
      </c>
      <c r="AI877" s="86" t="str">
        <f>+IF(AG877=$AI$22,MONTH(V877),"")</f>
        <v/>
      </c>
      <c r="AJ877" s="86" t="str">
        <f>+IF(AG877=$AJ$22,MONTH(V877),"")</f>
        <v/>
      </c>
      <c r="AK877" s="86">
        <f>+IF(AG877=$AK$22,MONTH(V877),"")</f>
        <v>11</v>
      </c>
      <c r="AL877" s="86"/>
      <c r="AM877" s="89"/>
      <c r="AN877" s="89"/>
      <c r="AO877" s="89"/>
      <c r="AP877" s="89"/>
      <c r="AQ877" s="89"/>
      <c r="AR877" s="89"/>
      <c r="AS877" s="89"/>
      <c r="AT877" s="89"/>
      <c r="AU877" s="89"/>
      <c r="AV877" s="89"/>
      <c r="AW877" s="86" t="str">
        <f>+IF($AG877=AW$22,MONTH($D877),"")</f>
        <v/>
      </c>
      <c r="AX877" s="86" t="str">
        <f>+IF($AG877=AX$22,MONTH($D877),"")</f>
        <v/>
      </c>
      <c r="AY877" s="89"/>
      <c r="AZ877" s="89"/>
      <c r="BA877" s="89"/>
      <c r="BB877" s="89"/>
      <c r="BC877" s="89"/>
      <c r="BD877" s="89"/>
      <c r="BE877" s="89"/>
      <c r="BF877" s="89"/>
      <c r="BG877" s="89"/>
      <c r="BH877" s="89"/>
      <c r="BI877" s="89"/>
      <c r="BJ877" s="89"/>
      <c r="BK877" s="89"/>
      <c r="BL877" s="89"/>
      <c r="BM877" s="89"/>
      <c r="BN877" s="89"/>
      <c r="BO877" s="89"/>
      <c r="BP877" s="89"/>
    </row>
    <row r="878" spans="1:68" s="56" customFormat="1" ht="27" hidden="1">
      <c r="A878" s="204">
        <f>+IFERROR(VALUE(MID(AB878,4,4)),"")</f>
        <v>271</v>
      </c>
      <c r="B878" s="204">
        <f>VALUE(RIGHT(C878,LEN(C878)-2))</f>
        <v>1845</v>
      </c>
      <c r="C878" s="74" t="s">
        <v>3327</v>
      </c>
      <c r="D878" s="75">
        <v>45166</v>
      </c>
      <c r="E878" s="70" t="s">
        <v>277</v>
      </c>
      <c r="F878" s="70" t="s">
        <v>277</v>
      </c>
      <c r="G878" s="68" t="s">
        <v>1781</v>
      </c>
      <c r="H878" s="59" t="s">
        <v>2413</v>
      </c>
      <c r="I878" s="69" t="s">
        <v>3328</v>
      </c>
      <c r="J878" s="69"/>
      <c r="K878" s="68" t="s">
        <v>45</v>
      </c>
      <c r="L878" s="69" t="s">
        <v>129</v>
      </c>
      <c r="M878" s="71" t="s">
        <v>141</v>
      </c>
      <c r="N878" s="69" t="e" vm="1">
        <v>#VALUE!</v>
      </c>
      <c r="O878" s="84">
        <v>45179</v>
      </c>
      <c r="P878" s="72" t="s">
        <v>2852</v>
      </c>
      <c r="Q878" s="72" t="s">
        <v>229</v>
      </c>
      <c r="R878" s="162"/>
      <c r="S878" s="146"/>
      <c r="T878" s="68" t="s">
        <v>3</v>
      </c>
      <c r="U878" s="87"/>
      <c r="V878" s="183">
        <v>45166</v>
      </c>
      <c r="W878" s="73">
        <v>857</v>
      </c>
      <c r="X878" s="150">
        <f>(38650123+5628104)/1000000</f>
        <v>44.278227000000001</v>
      </c>
      <c r="Y878" s="83">
        <f>IF(SUM(W878:W878)&gt;0,X878/SUM(W878:W878)*1000000,"N/A")</f>
        <v>51666.542590431738</v>
      </c>
      <c r="Z878" s="183"/>
      <c r="AA878" s="183"/>
      <c r="AB878" s="150" t="s">
        <v>3329</v>
      </c>
      <c r="AC878" s="153"/>
      <c r="AD878" s="331"/>
      <c r="AE878" s="57"/>
      <c r="AF878" s="88"/>
      <c r="AG878" s="182">
        <f>YEAR(V878)</f>
        <v>2023</v>
      </c>
      <c r="AH878" s="86" t="str">
        <f>+IF(AF878=$AI$22,MONTH(U878),"")</f>
        <v/>
      </c>
      <c r="AI878" s="86" t="str">
        <f>+IF(AG878=$AI$22,MONTH(V878),"")</f>
        <v/>
      </c>
      <c r="AJ878" s="86" t="str">
        <f>+IF(AG878=$AJ$22,MONTH(V878),"")</f>
        <v/>
      </c>
      <c r="AK878" s="86">
        <f>+IF(AG878=$AK$22,MONTH(V878),"")</f>
        <v>8</v>
      </c>
      <c r="AL878" s="86"/>
      <c r="AM878" s="89"/>
      <c r="AN878" s="89"/>
      <c r="AO878" s="89"/>
      <c r="AP878" s="89"/>
      <c r="AQ878" s="89"/>
      <c r="AR878" s="89"/>
      <c r="AS878" s="89"/>
      <c r="AT878" s="89"/>
      <c r="AU878" s="89"/>
      <c r="AV878" s="89"/>
      <c r="AW878" s="86" t="str">
        <f>+IF($AG878=AW$22,MONTH($D878),"")</f>
        <v/>
      </c>
      <c r="AX878" s="86" t="str">
        <f>+IF($AG878=AX$22,MONTH($D878),"")</f>
        <v/>
      </c>
      <c r="AY878" s="89"/>
      <c r="AZ878" s="89"/>
      <c r="BA878" s="89"/>
      <c r="BB878" s="89"/>
      <c r="BC878" s="89"/>
      <c r="BD878" s="89"/>
      <c r="BE878" s="89"/>
      <c r="BF878" s="89"/>
      <c r="BG878" s="89"/>
      <c r="BH878" s="89"/>
      <c r="BI878" s="89"/>
      <c r="BJ878" s="89"/>
      <c r="BK878" s="89"/>
      <c r="BL878" s="89"/>
      <c r="BM878" s="89"/>
      <c r="BN878" s="89"/>
      <c r="BO878" s="89"/>
      <c r="BP878" s="89"/>
    </row>
    <row r="879" spans="1:68" s="56" customFormat="1" ht="24" hidden="1">
      <c r="A879" s="204" t="str">
        <f>+IFERROR(VALUE(MID(AB879,4,4)),"")</f>
        <v/>
      </c>
      <c r="B879" s="204">
        <f>VALUE(RIGHT(C879,LEN(C879)-2))</f>
        <v>1844</v>
      </c>
      <c r="C879" s="74" t="s">
        <v>3330</v>
      </c>
      <c r="D879" s="75">
        <v>45161</v>
      </c>
      <c r="E879" s="161" t="s">
        <v>3331</v>
      </c>
      <c r="F879" s="161" t="s">
        <v>3331</v>
      </c>
      <c r="G879" s="160" t="s">
        <v>3332</v>
      </c>
      <c r="H879" s="282" t="s">
        <v>3333</v>
      </c>
      <c r="I879" s="162" t="s">
        <v>3334</v>
      </c>
      <c r="J879" s="162"/>
      <c r="K879" s="160" t="s">
        <v>13</v>
      </c>
      <c r="L879" s="164" t="s">
        <v>120</v>
      </c>
      <c r="M879" s="264" t="s">
        <v>113</v>
      </c>
      <c r="N879" s="164" t="e" vm="2">
        <v>#VALUE!</v>
      </c>
      <c r="O879" s="164">
        <v>45170</v>
      </c>
      <c r="P879" s="72" t="s">
        <v>483</v>
      </c>
      <c r="Q879" s="72" t="s">
        <v>229</v>
      </c>
      <c r="R879" s="162"/>
      <c r="S879" s="146"/>
      <c r="T879" s="68" t="s">
        <v>168</v>
      </c>
      <c r="U879" s="87"/>
      <c r="V879" s="183">
        <v>45310</v>
      </c>
      <c r="W879" s="150"/>
      <c r="X879" s="150"/>
      <c r="Y879" s="83" t="str">
        <f>IF(SUM(W879:W879)&gt;0,X879/SUM(W879:W879)*1000000,"N/A")</f>
        <v>N/A</v>
      </c>
      <c r="Z879" s="183"/>
      <c r="AA879" s="183"/>
      <c r="AB879" s="73"/>
      <c r="AC879" s="153"/>
      <c r="AD879" s="331"/>
      <c r="AE879" s="57"/>
      <c r="AF879" s="88"/>
      <c r="AG879" s="182">
        <f>YEAR(V879)</f>
        <v>2024</v>
      </c>
      <c r="AH879" s="86" t="str">
        <f>+IF(AF879=$AI$22,MONTH(U879),"")</f>
        <v/>
      </c>
      <c r="AI879" s="86" t="str">
        <f>+IF(AG879=$AI$22,MONTH(V879),"")</f>
        <v/>
      </c>
      <c r="AJ879" s="86">
        <f>+IF(AG879=$AJ$22,MONTH(V879),"")</f>
        <v>1</v>
      </c>
      <c r="AK879" s="86" t="str">
        <f>+IF(AG879=$AK$22,MONTH(V879),"")</f>
        <v/>
      </c>
      <c r="AL879" s="86"/>
      <c r="AM879" s="89"/>
      <c r="AN879" s="89"/>
      <c r="AO879" s="89"/>
      <c r="AP879" s="89"/>
      <c r="AQ879" s="89"/>
      <c r="AR879" s="89"/>
      <c r="AS879" s="89"/>
      <c r="AT879" s="89"/>
      <c r="AU879" s="89"/>
      <c r="AV879" s="89"/>
      <c r="AW879" s="86" t="str">
        <f>+IF($AG879=AW$22,MONTH($D879),"")</f>
        <v/>
      </c>
      <c r="AX879" s="86" t="str">
        <f>+IF($AG879=AX$22,MONTH($D879),"")</f>
        <v/>
      </c>
      <c r="AY879" s="89"/>
      <c r="AZ879" s="89"/>
      <c r="BA879" s="89"/>
      <c r="BB879" s="89"/>
      <c r="BC879" s="89"/>
      <c r="BD879" s="89"/>
      <c r="BE879" s="89"/>
      <c r="BF879" s="89"/>
      <c r="BG879" s="89"/>
      <c r="BH879" s="89"/>
      <c r="BI879" s="89"/>
      <c r="BJ879" s="89"/>
      <c r="BK879" s="89"/>
      <c r="BL879" s="89"/>
      <c r="BM879" s="89"/>
      <c r="BN879" s="89"/>
      <c r="BO879" s="89"/>
      <c r="BP879" s="89"/>
    </row>
    <row r="880" spans="1:68" s="56" customFormat="1" ht="53.25" hidden="1">
      <c r="A880" s="204" t="str">
        <f>+IFERROR(VALUE(MID(AB880,4,4)),"")</f>
        <v/>
      </c>
      <c r="B880" s="204">
        <f>VALUE(RIGHT(C880,LEN(C880)-2))</f>
        <v>1843</v>
      </c>
      <c r="C880" s="74" t="s">
        <v>3335</v>
      </c>
      <c r="D880" s="75">
        <v>45161</v>
      </c>
      <c r="E880" s="161" t="s">
        <v>3336</v>
      </c>
      <c r="F880" s="161" t="s">
        <v>3336</v>
      </c>
      <c r="G880" s="160" t="s">
        <v>3337</v>
      </c>
      <c r="H880" s="180" t="s">
        <v>3338</v>
      </c>
      <c r="I880" s="162" t="s">
        <v>3339</v>
      </c>
      <c r="J880" s="162"/>
      <c r="K880" s="76" t="s">
        <v>13</v>
      </c>
      <c r="L880" s="162" t="s">
        <v>120</v>
      </c>
      <c r="M880" s="163" t="s">
        <v>141</v>
      </c>
      <c r="N880" s="162" t="e" vm="1">
        <v>#VALUE!</v>
      </c>
      <c r="O880" s="164">
        <f>14+D880</f>
        <v>45175</v>
      </c>
      <c r="P880" s="164" t="s">
        <v>701</v>
      </c>
      <c r="Q880" s="72" t="s">
        <v>316</v>
      </c>
      <c r="R880" s="162"/>
      <c r="S880" s="146" t="s">
        <v>3340</v>
      </c>
      <c r="T880" s="68" t="s">
        <v>165</v>
      </c>
      <c r="U880" s="87">
        <v>0.01</v>
      </c>
      <c r="V880" s="183">
        <v>45366</v>
      </c>
      <c r="W880" s="150">
        <v>1000</v>
      </c>
      <c r="X880" s="150">
        <v>42</v>
      </c>
      <c r="Y880" s="83">
        <f>IF(SUM(W880:W880)&gt;0,X880/SUM(W880:W880)*1000000,"N/A")</f>
        <v>42000</v>
      </c>
      <c r="Z880" s="183"/>
      <c r="AA880" s="183"/>
      <c r="AB880" s="73"/>
      <c r="AC880" s="153">
        <v>45571</v>
      </c>
      <c r="AD880" s="331"/>
      <c r="AE880" s="57"/>
      <c r="AF880" s="88"/>
      <c r="AG880" s="182">
        <f>YEAR(V880)</f>
        <v>2024</v>
      </c>
      <c r="AH880" s="86" t="str">
        <f>+IF(AF880=$AI$22,MONTH(U880),"")</f>
        <v/>
      </c>
      <c r="AI880" s="86" t="str">
        <f>+IF(AG880=$AI$22,MONTH(V880),"")</f>
        <v/>
      </c>
      <c r="AJ880" s="86">
        <f>+IF(AG880=$AJ$22,MONTH(V880),"")</f>
        <v>3</v>
      </c>
      <c r="AK880" s="86" t="str">
        <f>+IF(AG880=$AK$22,MONTH(V880),"")</f>
        <v/>
      </c>
      <c r="AL880" s="86"/>
      <c r="AM880" s="89"/>
      <c r="AN880" s="89"/>
      <c r="AO880" s="89"/>
      <c r="AP880" s="89"/>
      <c r="AQ880" s="89"/>
      <c r="AR880" s="89"/>
      <c r="AS880" s="89"/>
      <c r="AT880" s="89"/>
      <c r="AU880" s="89"/>
      <c r="AV880" s="89"/>
      <c r="AW880" s="86" t="str">
        <f>+IF($AG880=AW$22,MONTH($D880),"")</f>
        <v/>
      </c>
      <c r="AX880" s="86" t="str">
        <f>+IF($AG880=AX$22,MONTH($D880),"")</f>
        <v/>
      </c>
      <c r="AY880" s="89"/>
      <c r="AZ880" s="89"/>
      <c r="BA880" s="89"/>
      <c r="BB880" s="89"/>
      <c r="BC880" s="89"/>
      <c r="BD880" s="89"/>
      <c r="BE880" s="89"/>
      <c r="BF880" s="89"/>
      <c r="BG880" s="89"/>
      <c r="BH880" s="89"/>
      <c r="BI880" s="89"/>
      <c r="BJ880" s="89"/>
      <c r="BK880" s="89"/>
      <c r="BL880" s="89"/>
      <c r="BM880" s="89"/>
      <c r="BN880" s="89"/>
      <c r="BO880" s="89"/>
      <c r="BP880" s="89"/>
    </row>
    <row r="881" spans="1:68" s="56" customFormat="1" ht="27" hidden="1">
      <c r="A881" s="204">
        <f>+IFERROR(VALUE(MID(AB881,4,4)),"")</f>
        <v>271</v>
      </c>
      <c r="B881" s="204">
        <f>VALUE(RIGHT(C881,LEN(C881)-2))</f>
        <v>1842</v>
      </c>
      <c r="C881" s="74" t="s">
        <v>3341</v>
      </c>
      <c r="D881" s="75">
        <v>45161</v>
      </c>
      <c r="E881" s="70" t="s">
        <v>277</v>
      </c>
      <c r="F881" s="70" t="s">
        <v>277</v>
      </c>
      <c r="G881" s="68" t="s">
        <v>3342</v>
      </c>
      <c r="H881" s="59" t="s">
        <v>3343</v>
      </c>
      <c r="I881" s="69" t="s">
        <v>3344</v>
      </c>
      <c r="J881" s="69"/>
      <c r="K881" s="68" t="s">
        <v>13</v>
      </c>
      <c r="L881" s="69" t="s">
        <v>129</v>
      </c>
      <c r="M881" s="71" t="s">
        <v>141</v>
      </c>
      <c r="N881" s="69" t="s">
        <v>1075</v>
      </c>
      <c r="O881" s="84">
        <v>45173</v>
      </c>
      <c r="P881" s="82" t="s">
        <v>2852</v>
      </c>
      <c r="Q881" s="82" t="s">
        <v>623</v>
      </c>
      <c r="R881" s="69"/>
      <c r="S881" s="146"/>
      <c r="T881" s="68" t="s">
        <v>3</v>
      </c>
      <c r="U881" s="90"/>
      <c r="V881" s="80">
        <v>45161</v>
      </c>
      <c r="W881" s="150">
        <v>1564</v>
      </c>
      <c r="X881" s="150">
        <f>69264671/1000000</f>
        <v>69.264671000000007</v>
      </c>
      <c r="Y881" s="83">
        <f>IF(SUM(W881:W881)&gt;0,X881/SUM(W881:W881)*1000000,"N/A")</f>
        <v>44286.874040920724</v>
      </c>
      <c r="Z881" s="80"/>
      <c r="AA881" s="80"/>
      <c r="AB881" s="150" t="s">
        <v>3345</v>
      </c>
      <c r="AC881" s="153"/>
      <c r="AD881" s="331"/>
      <c r="AE881" s="57"/>
      <c r="AF881" s="88"/>
      <c r="AG881" s="182">
        <f>YEAR(V881)</f>
        <v>2023</v>
      </c>
      <c r="AH881" s="86" t="str">
        <f>+IF(AF881=$AI$22,MONTH(U881),"")</f>
        <v/>
      </c>
      <c r="AI881" s="86" t="str">
        <f>+IF(AG881=$AI$22,MONTH(V881),"")</f>
        <v/>
      </c>
      <c r="AJ881" s="86" t="str">
        <f>+IF(AG881=$AJ$22,MONTH(V881),"")</f>
        <v/>
      </c>
      <c r="AK881" s="86">
        <f>+IF(AG881=$AK$22,MONTH(V881),"")</f>
        <v>8</v>
      </c>
      <c r="AL881" s="86" t="str">
        <f>+IF(AG881=$AL$22,MONTH(V881),"")</f>
        <v/>
      </c>
      <c r="AM881" s="86" t="str">
        <f>+IF($AG881=$AM$22,MONTH($D881),"")</f>
        <v/>
      </c>
      <c r="AN881" s="89" t="str">
        <f>+IF($AG881=AN$22,MONTH($D881),"")</f>
        <v/>
      </c>
      <c r="AO881" s="89" t="str">
        <f>+IF($AG881=AO$22,MONTH($D881),"")</f>
        <v/>
      </c>
      <c r="AP881" s="89" t="str">
        <f>+IF($AG881=AP$22,MONTH($D881),"")</f>
        <v/>
      </c>
      <c r="AQ881" s="89" t="str">
        <f>+IF($AG881=AQ$22,MONTH($D881),"")</f>
        <v/>
      </c>
      <c r="AR881" s="89" t="str">
        <f>+IF($AG881=AR$22,MONTH($D881),"")</f>
        <v/>
      </c>
      <c r="AS881" s="89" t="str">
        <f>+IF($AG881=AS$22,MONTH($D881),"")</f>
        <v/>
      </c>
      <c r="AT881" s="89" t="str">
        <f>+IF($AG881=AT$22,MONTH($D881),"")</f>
        <v/>
      </c>
      <c r="AU881" s="89" t="str">
        <f>+IF($AG881=AU$22,MONTH($D881),"")</f>
        <v/>
      </c>
      <c r="AV881" s="89" t="str">
        <f>+IF($AG881=AV$22,MONTH($D881),"")</f>
        <v/>
      </c>
      <c r="AW881" s="86" t="str">
        <f>+IF($AG881=AW$22,MONTH($D881),"")</f>
        <v/>
      </c>
      <c r="AX881" s="86" t="str">
        <f>+IF($AG881=AX$22,MONTH($D881),"")</f>
        <v/>
      </c>
      <c r="AY881" s="89"/>
      <c r="AZ881" s="89"/>
      <c r="BA881" s="89"/>
      <c r="BB881" s="89"/>
      <c r="BC881" s="89"/>
      <c r="BD881" s="89"/>
      <c r="BE881" s="89"/>
      <c r="BF881" s="89"/>
      <c r="BG881" s="89"/>
      <c r="BH881" s="89"/>
      <c r="BI881" s="89"/>
      <c r="BJ881" s="89"/>
      <c r="BK881" s="89"/>
      <c r="BL881" s="89"/>
      <c r="BM881" s="89"/>
      <c r="BN881" s="89"/>
      <c r="BO881" s="89"/>
      <c r="BP881" s="89"/>
    </row>
    <row r="882" spans="1:68" s="56" customFormat="1" ht="40.5" hidden="1">
      <c r="A882" s="204" t="str">
        <f>+IFERROR(VALUE(MID(AB882,4,4)),"")</f>
        <v/>
      </c>
      <c r="B882" s="204">
        <f>VALUE(RIGHT(C882,LEN(C882)-2))</f>
        <v>1841</v>
      </c>
      <c r="C882" s="74" t="s">
        <v>3346</v>
      </c>
      <c r="D882" s="75">
        <v>45161</v>
      </c>
      <c r="E882" s="70" t="s">
        <v>473</v>
      </c>
      <c r="F882" s="70" t="s">
        <v>473</v>
      </c>
      <c r="G882" s="68" t="s">
        <v>2503</v>
      </c>
      <c r="H882" s="59" t="s">
        <v>3347</v>
      </c>
      <c r="I882" s="69" t="s">
        <v>3348</v>
      </c>
      <c r="J882" s="69"/>
      <c r="K882" s="68" t="s">
        <v>13</v>
      </c>
      <c r="L882" s="69" t="s">
        <v>120</v>
      </c>
      <c r="M882" s="71" t="s">
        <v>141</v>
      </c>
      <c r="N882" s="69" t="e" vm="1">
        <v>#VALUE!</v>
      </c>
      <c r="O882" s="164">
        <v>45168</v>
      </c>
      <c r="P882" s="72" t="s">
        <v>3349</v>
      </c>
      <c r="Q882" s="72" t="s">
        <v>229</v>
      </c>
      <c r="R882" s="162"/>
      <c r="S882" s="146"/>
      <c r="T882" s="68" t="s">
        <v>165</v>
      </c>
      <c r="U882" s="87"/>
      <c r="V882" s="183">
        <v>45162</v>
      </c>
      <c r="W882" s="73"/>
      <c r="X882" s="73"/>
      <c r="Y882" s="83" t="str">
        <f>IF(SUM(W882:W882)&gt;0,X882/SUM(W882:W882)*1000000,"N/A")</f>
        <v>N/A</v>
      </c>
      <c r="Z882" s="183"/>
      <c r="AA882" s="183"/>
      <c r="AB882" s="73"/>
      <c r="AC882" s="153"/>
      <c r="AD882" s="331"/>
      <c r="AE882" s="57"/>
      <c r="AF882" s="88"/>
      <c r="AG882" s="182">
        <f>YEAR(V882)</f>
        <v>2023</v>
      </c>
      <c r="AH882" s="86" t="str">
        <f>+IF(AF882=$AI$22,MONTH(U882),"")</f>
        <v/>
      </c>
      <c r="AI882" s="86" t="str">
        <f>+IF(AG882=$AI$22,MONTH(V882),"")</f>
        <v/>
      </c>
      <c r="AJ882" s="86" t="str">
        <f>+IF(AG882=$AJ$22,MONTH(V882),"")</f>
        <v/>
      </c>
      <c r="AK882" s="86">
        <f>+IF(AG882=$AK$22,MONTH(V882),"")</f>
        <v>8</v>
      </c>
      <c r="AL882" s="86"/>
      <c r="AM882" s="89"/>
      <c r="AN882" s="89"/>
      <c r="AO882" s="89"/>
      <c r="AP882" s="89"/>
      <c r="AQ882" s="89"/>
      <c r="AR882" s="89"/>
      <c r="AS882" s="89"/>
      <c r="AT882" s="89"/>
      <c r="AU882" s="89"/>
      <c r="AV882" s="89"/>
      <c r="AW882" s="86" t="str">
        <f>+IF($AG882=AW$22,MONTH($D882),"")</f>
        <v/>
      </c>
      <c r="AX882" s="86" t="str">
        <f>+IF($AG882=AX$22,MONTH($D882),"")</f>
        <v/>
      </c>
      <c r="AY882" s="89"/>
      <c r="AZ882" s="89"/>
      <c r="BA882" s="89"/>
      <c r="BB882" s="89"/>
      <c r="BC882" s="89"/>
      <c r="BD882" s="89"/>
      <c r="BE882" s="89"/>
      <c r="BF882" s="89"/>
      <c r="BG882" s="89"/>
      <c r="BH882" s="89"/>
      <c r="BI882" s="89"/>
      <c r="BJ882" s="89"/>
      <c r="BK882" s="89"/>
      <c r="BL882" s="89"/>
      <c r="BM882" s="89"/>
      <c r="BN882" s="89"/>
      <c r="BO882" s="89"/>
      <c r="BP882" s="89"/>
    </row>
    <row r="883" spans="1:68" s="56" customFormat="1" ht="27" hidden="1">
      <c r="A883" s="204" t="str">
        <f>+IFERROR(VALUE(MID(AB883,4,4)),"")</f>
        <v/>
      </c>
      <c r="B883" s="204">
        <f>VALUE(RIGHT(C883,LEN(C883)-2))</f>
        <v>1840</v>
      </c>
      <c r="C883" s="74" t="s">
        <v>3350</v>
      </c>
      <c r="D883" s="75">
        <v>45161</v>
      </c>
      <c r="E883" s="70" t="s">
        <v>3351</v>
      </c>
      <c r="F883" s="70" t="s">
        <v>3351</v>
      </c>
      <c r="G883" s="68" t="s">
        <v>3352</v>
      </c>
      <c r="H883" s="179" t="s">
        <v>3353</v>
      </c>
      <c r="I883" s="69" t="s">
        <v>3354</v>
      </c>
      <c r="J883" s="69"/>
      <c r="K883" s="68" t="s">
        <v>13</v>
      </c>
      <c r="L883" s="69" t="s">
        <v>120</v>
      </c>
      <c r="M883" s="71" t="s">
        <v>113</v>
      </c>
      <c r="N883" s="69" t="e" vm="4">
        <v>#VALUE!</v>
      </c>
      <c r="O883" s="84">
        <v>45173</v>
      </c>
      <c r="P883" s="82" t="s">
        <v>1154</v>
      </c>
      <c r="Q883" s="72" t="s">
        <v>13</v>
      </c>
      <c r="R883" s="162"/>
      <c r="S883" s="146"/>
      <c r="T883" s="68" t="s">
        <v>155</v>
      </c>
      <c r="U883" s="87"/>
      <c r="V883" s="80">
        <v>45161</v>
      </c>
      <c r="W883" s="150"/>
      <c r="X883" s="150"/>
      <c r="Y883" s="83" t="str">
        <f>IF(SUM(W883:W883)&gt;0,X883/SUM(W883:W883)*1000000,"N/A")</f>
        <v>N/A</v>
      </c>
      <c r="Z883" s="80"/>
      <c r="AA883" s="80"/>
      <c r="AB883" s="73"/>
      <c r="AC883" s="153"/>
      <c r="AD883" s="331"/>
      <c r="AE883" s="57"/>
      <c r="AF883" s="88"/>
      <c r="AG883" s="182">
        <f>YEAR(V883)</f>
        <v>2023</v>
      </c>
      <c r="AH883" s="86" t="str">
        <f>+IF(AF883=$AI$22,MONTH(U883),"")</f>
        <v/>
      </c>
      <c r="AI883" s="86" t="str">
        <f>+IF(AG883=$AI$22,MONTH(V883),"")</f>
        <v/>
      </c>
      <c r="AJ883" s="86" t="str">
        <f>+IF(AG883=$AJ$22,MONTH(V883),"")</f>
        <v/>
      </c>
      <c r="AK883" s="86">
        <f>+IF(AG883=$AK$22,MONTH(V883),"")</f>
        <v>8</v>
      </c>
      <c r="AL883" s="86" t="str">
        <f>+IF(AG883=$AL$22,MONTH(V883),"")</f>
        <v/>
      </c>
      <c r="AM883" s="86" t="str">
        <f>+IF($AG883=$AM$22,MONTH($D883),"")</f>
        <v/>
      </c>
      <c r="AN883" s="89" t="str">
        <f>+IF($AG883=AN$22,MONTH($D883),"")</f>
        <v/>
      </c>
      <c r="AO883" s="89" t="str">
        <f>+IF($AG883=AO$22,MONTH($D883),"")</f>
        <v/>
      </c>
      <c r="AP883" s="89" t="str">
        <f>+IF($AG883=AP$22,MONTH($D883),"")</f>
        <v/>
      </c>
      <c r="AQ883" s="89" t="str">
        <f>+IF($AG883=AQ$22,MONTH($D883),"")</f>
        <v/>
      </c>
      <c r="AR883" s="89" t="str">
        <f>+IF($AG883=AR$22,MONTH($D883),"")</f>
        <v/>
      </c>
      <c r="AS883" s="89" t="str">
        <f>+IF($AG883=AS$22,MONTH($D883),"")</f>
        <v/>
      </c>
      <c r="AT883" s="89" t="str">
        <f>+IF($AG883=AT$22,MONTH($D883),"")</f>
        <v/>
      </c>
      <c r="AU883" s="89" t="str">
        <f>+IF($AG883=AU$22,MONTH($D883),"")</f>
        <v/>
      </c>
      <c r="AV883" s="89" t="str">
        <f>+IF($AG883=AV$22,MONTH($D883),"")</f>
        <v/>
      </c>
      <c r="AW883" s="86" t="str">
        <f>+IF($AG883=AW$22,MONTH($D883),"")</f>
        <v/>
      </c>
      <c r="AX883" s="86" t="str">
        <f>+IF($AG883=AX$22,MONTH($D883),"")</f>
        <v/>
      </c>
      <c r="AY883" s="89"/>
      <c r="AZ883" s="89"/>
      <c r="BA883" s="89"/>
      <c r="BB883" s="89"/>
      <c r="BC883" s="89"/>
      <c r="BD883" s="89"/>
      <c r="BE883" s="89"/>
      <c r="BF883" s="89"/>
      <c r="BG883" s="89"/>
      <c r="BH883" s="89"/>
      <c r="BI883" s="89"/>
      <c r="BJ883" s="89"/>
      <c r="BK883" s="89"/>
      <c r="BL883" s="89"/>
      <c r="BM883" s="89"/>
      <c r="BN883" s="89"/>
      <c r="BO883" s="89"/>
      <c r="BP883" s="89"/>
    </row>
    <row r="884" spans="1:68" s="56" customFormat="1" ht="27" hidden="1">
      <c r="A884" s="204" t="str">
        <f>+IFERROR(VALUE(MID(AB884,4,4)),"")</f>
        <v/>
      </c>
      <c r="B884" s="204">
        <f>VALUE(RIGHT(C884,LEN(C884)-2))</f>
        <v>1839</v>
      </c>
      <c r="C884" s="159" t="s">
        <v>3355</v>
      </c>
      <c r="D884" s="160">
        <v>45160</v>
      </c>
      <c r="E884" s="161" t="s">
        <v>96</v>
      </c>
      <c r="F884" s="161" t="s">
        <v>96</v>
      </c>
      <c r="G884" s="76" t="s">
        <v>3356</v>
      </c>
      <c r="H884" s="179" t="s">
        <v>3357</v>
      </c>
      <c r="I884" s="162" t="s">
        <v>3358</v>
      </c>
      <c r="J884" s="162"/>
      <c r="K884" s="274" t="s">
        <v>9</v>
      </c>
      <c r="L884" s="162" t="s">
        <v>120</v>
      </c>
      <c r="M884" s="163" t="s">
        <v>141</v>
      </c>
      <c r="N884" s="162" t="e" vm="1">
        <v>#VALUE!</v>
      </c>
      <c r="O884" s="164">
        <v>45162</v>
      </c>
      <c r="P884" s="72" t="s">
        <v>749</v>
      </c>
      <c r="Q884" s="72" t="s">
        <v>259</v>
      </c>
      <c r="R884" s="162"/>
      <c r="S884" s="155"/>
      <c r="T884" s="68" t="s">
        <v>155</v>
      </c>
      <c r="U884" s="211"/>
      <c r="V884" s="183">
        <v>45162</v>
      </c>
      <c r="W884" s="150"/>
      <c r="X884" s="150"/>
      <c r="Y884" s="169" t="str">
        <f>IF(SUM(W884:W884)&gt;0,X884/SUM(W884:W884)*1000000,"N/A")</f>
        <v>N/A</v>
      </c>
      <c r="Z884" s="183"/>
      <c r="AA884" s="183"/>
      <c r="AB884" s="150"/>
      <c r="AC884" s="165"/>
      <c r="AD884" s="335"/>
      <c r="AE884" s="61"/>
      <c r="AF884" s="281"/>
      <c r="AG884" s="182">
        <f>YEAR(V884)</f>
        <v>2023</v>
      </c>
      <c r="AH884" s="86" t="str">
        <f>+IF(AF884=$AI$22,MONTH(U884),"")</f>
        <v/>
      </c>
      <c r="AI884" s="86" t="str">
        <f>+IF(AG884=$AI$22,MONTH(V884),"")</f>
        <v/>
      </c>
      <c r="AJ884" s="86" t="str">
        <f>+IF(AG884=$AJ$22,MONTH(V884),"")</f>
        <v/>
      </c>
      <c r="AK884" s="168">
        <f>+IF(AG884=$AK$22,MONTH(V884),"")</f>
        <v>8</v>
      </c>
      <c r="AL884" s="168"/>
      <c r="AM884" s="167"/>
      <c r="AN884" s="167"/>
      <c r="AO884" s="167"/>
      <c r="AP884" s="167"/>
      <c r="AQ884" s="167"/>
      <c r="AR884" s="167"/>
      <c r="AS884" s="167"/>
      <c r="AT884" s="167"/>
      <c r="AU884" s="167"/>
      <c r="AV884" s="167"/>
      <c r="AW884" s="86" t="str">
        <f>+IF($AG884=AW$22,MONTH($D884),"")</f>
        <v/>
      </c>
      <c r="AX884" s="86" t="str">
        <f>+IF($AG884=AX$22,MONTH($D884),"")</f>
        <v/>
      </c>
      <c r="AY884" s="89"/>
      <c r="AZ884" s="89"/>
      <c r="BA884" s="89"/>
      <c r="BB884" s="89"/>
      <c r="BC884" s="89"/>
      <c r="BD884" s="89"/>
      <c r="BE884" s="89"/>
      <c r="BF884" s="89"/>
      <c r="BG884" s="89"/>
      <c r="BH884" s="89"/>
      <c r="BI884" s="89"/>
      <c r="BJ884" s="89"/>
      <c r="BK884" s="89"/>
      <c r="BL884" s="89"/>
      <c r="BM884" s="89"/>
      <c r="BN884" s="89"/>
      <c r="BO884" s="89"/>
      <c r="BP884" s="89"/>
    </row>
    <row r="885" spans="1:68" s="56" customFormat="1" ht="21.75" hidden="1" customHeight="1">
      <c r="A885" s="204" t="str">
        <f>+IFERROR(VALUE(MID(AB885,4,4)),"")</f>
        <v/>
      </c>
      <c r="B885" s="204">
        <f>VALUE(RIGHT(C885,LEN(C885)-2))</f>
        <v>1838</v>
      </c>
      <c r="C885" s="74" t="s">
        <v>3359</v>
      </c>
      <c r="D885" s="75">
        <v>45160</v>
      </c>
      <c r="E885" s="70" t="s">
        <v>74</v>
      </c>
      <c r="F885" s="70" t="s">
        <v>1379</v>
      </c>
      <c r="G885" s="76" t="s">
        <v>3127</v>
      </c>
      <c r="H885" s="59" t="s">
        <v>3128</v>
      </c>
      <c r="I885" s="69" t="s">
        <v>3208</v>
      </c>
      <c r="J885" s="69"/>
      <c r="K885" s="68" t="s">
        <v>13</v>
      </c>
      <c r="L885" s="69" t="s">
        <v>120</v>
      </c>
      <c r="M885" s="71" t="s">
        <v>141</v>
      </c>
      <c r="N885" s="69" t="e" vm="1">
        <v>#VALUE!</v>
      </c>
      <c r="O885" s="84">
        <v>45209</v>
      </c>
      <c r="P885" s="72" t="s">
        <v>3209</v>
      </c>
      <c r="Q885" s="72" t="s">
        <v>316</v>
      </c>
      <c r="R885" s="162"/>
      <c r="S885" s="146"/>
      <c r="T885" s="68" t="s">
        <v>168</v>
      </c>
      <c r="U885" s="87"/>
      <c r="V885" s="80">
        <v>45247</v>
      </c>
      <c r="W885" s="73">
        <v>28965</v>
      </c>
      <c r="X885" s="73">
        <f>1128547178/1000000</f>
        <v>1128.547178</v>
      </c>
      <c r="Y885" s="83">
        <f>IF(SUM(W885:W885)&gt;0,X885/SUM(W885:W885)*1000000,"N/A")</f>
        <v>38962.443569825649</v>
      </c>
      <c r="Z885" s="80"/>
      <c r="AA885" s="80"/>
      <c r="AB885" s="73"/>
      <c r="AC885" s="153"/>
      <c r="AD885" s="331"/>
      <c r="AE885" s="57"/>
      <c r="AF885" s="88"/>
      <c r="AG885" s="182">
        <f>YEAR(V885)</f>
        <v>2023</v>
      </c>
      <c r="AH885" s="86" t="str">
        <f>+IF(AF885=$AI$22,MONTH(U885),"")</f>
        <v/>
      </c>
      <c r="AI885" s="86" t="str">
        <f>+IF(AG885=$AI$22,MONTH(V885),"")</f>
        <v/>
      </c>
      <c r="AJ885" s="86" t="str">
        <f>+IF(AG885=$AJ$22,MONTH(V885),"")</f>
        <v/>
      </c>
      <c r="AK885" s="86">
        <f>+IF(AG885=$AK$22,MONTH(V885),"")</f>
        <v>11</v>
      </c>
      <c r="AL885" s="86" t="str">
        <f>+IF(AG885=$AL$22,MONTH(V885),"")</f>
        <v/>
      </c>
      <c r="AM885" s="86" t="str">
        <f>+IF($AG885=$AM$22,MONTH($D885),"")</f>
        <v/>
      </c>
      <c r="AN885" s="89" t="str">
        <f>+IF($AG885=AN$22,MONTH($D885),"")</f>
        <v/>
      </c>
      <c r="AO885" s="89" t="str">
        <f>+IF($AG885=AO$22,MONTH($D885),"")</f>
        <v/>
      </c>
      <c r="AP885" s="89" t="str">
        <f>+IF($AG885=AP$22,MONTH($D885),"")</f>
        <v/>
      </c>
      <c r="AQ885" s="89" t="str">
        <f>+IF($AG885=AQ$22,MONTH($D885),"")</f>
        <v/>
      </c>
      <c r="AR885" s="89" t="str">
        <f>+IF($AG885=AR$22,MONTH($D885),"")</f>
        <v/>
      </c>
      <c r="AS885" s="89" t="str">
        <f>+IF($AG885=AS$22,MONTH($D885),"")</f>
        <v/>
      </c>
      <c r="AT885" s="89" t="str">
        <f>+IF($AG885=AT$22,MONTH($D885),"")</f>
        <v/>
      </c>
      <c r="AU885" s="89" t="str">
        <f>+IF($AG885=AU$22,MONTH($D885),"")</f>
        <v/>
      </c>
      <c r="AV885" s="89" t="str">
        <f>+IF($AG885=AV$22,MONTH($D885),"")</f>
        <v/>
      </c>
      <c r="AW885" s="86" t="str">
        <f>+IF($AG885=AW$22,MONTH($D885),"")</f>
        <v/>
      </c>
      <c r="AX885" s="86" t="str">
        <f>+IF($AG885=AX$22,MONTH($D885),"")</f>
        <v/>
      </c>
      <c r="AY885" s="89"/>
      <c r="AZ885" s="89"/>
      <c r="BA885" s="89"/>
      <c r="BB885" s="89"/>
      <c r="BC885" s="89"/>
      <c r="BD885" s="89"/>
      <c r="BE885" s="89"/>
      <c r="BF885" s="89"/>
      <c r="BG885" s="89"/>
      <c r="BH885" s="89"/>
      <c r="BI885" s="89"/>
      <c r="BJ885" s="89"/>
      <c r="BK885" s="89"/>
      <c r="BL885" s="89"/>
      <c r="BM885" s="89"/>
      <c r="BN885" s="89"/>
      <c r="BO885" s="89"/>
      <c r="BP885" s="89"/>
    </row>
    <row r="886" spans="1:68" s="56" customFormat="1" ht="27" hidden="1">
      <c r="A886" s="204" t="str">
        <f>+IFERROR(VALUE(MID(AB886,4,4)),"")</f>
        <v/>
      </c>
      <c r="B886" s="204">
        <f>VALUE(RIGHT(C886,LEN(C886)-2))</f>
        <v>1837</v>
      </c>
      <c r="C886" s="74" t="s">
        <v>3360</v>
      </c>
      <c r="D886" s="75">
        <v>45159</v>
      </c>
      <c r="E886" s="70" t="s">
        <v>53</v>
      </c>
      <c r="F886" s="70" t="s">
        <v>313</v>
      </c>
      <c r="G886" s="68" t="s">
        <v>210</v>
      </c>
      <c r="H886" s="59"/>
      <c r="I886" s="69" t="s">
        <v>3361</v>
      </c>
      <c r="J886" s="69"/>
      <c r="K886" s="68" t="s">
        <v>14</v>
      </c>
      <c r="L886" s="69" t="s">
        <v>123</v>
      </c>
      <c r="M886" s="71" t="s">
        <v>141</v>
      </c>
      <c r="N886" s="69" t="e" vm="1">
        <v>#VALUE!</v>
      </c>
      <c r="O886" s="84">
        <v>45181</v>
      </c>
      <c r="P886" s="72"/>
      <c r="Q886" s="72" t="s">
        <v>229</v>
      </c>
      <c r="R886" s="162"/>
      <c r="S886" s="146" t="s">
        <v>3362</v>
      </c>
      <c r="T886" s="68" t="s">
        <v>155</v>
      </c>
      <c r="U886" s="87"/>
      <c r="V886" s="80">
        <v>45159</v>
      </c>
      <c r="W886" s="73"/>
      <c r="X886" s="73"/>
      <c r="Y886" s="83" t="str">
        <f>IF(SUM(W886:W886)&gt;0,X886/SUM(W886:W886)*1000000,"N/A")</f>
        <v>N/A</v>
      </c>
      <c r="Z886" s="80"/>
      <c r="AA886" s="80"/>
      <c r="AB886" s="73"/>
      <c r="AC886" s="153"/>
      <c r="AD886" s="331"/>
      <c r="AE886" s="57"/>
      <c r="AF886" s="88"/>
      <c r="AG886" s="182">
        <f>YEAR(V886)</f>
        <v>2023</v>
      </c>
      <c r="AH886" s="86" t="str">
        <f>+IF(AF886=$AI$22,MONTH(U886),"")</f>
        <v/>
      </c>
      <c r="AI886" s="86" t="str">
        <f>+IF(AG886=$AI$22,MONTH(V886),"")</f>
        <v/>
      </c>
      <c r="AJ886" s="86" t="str">
        <f>+IF(AG886=$AJ$22,MONTH(V886),"")</f>
        <v/>
      </c>
      <c r="AK886" s="86">
        <f>+IF(AG886=$AK$22,MONTH(V886),"")</f>
        <v>8</v>
      </c>
      <c r="AL886" s="86"/>
      <c r="AM886" s="89"/>
      <c r="AN886" s="89"/>
      <c r="AO886" s="89"/>
      <c r="AP886" s="89"/>
      <c r="AQ886" s="89"/>
      <c r="AR886" s="89"/>
      <c r="AS886" s="89"/>
      <c r="AT886" s="89"/>
      <c r="AU886" s="89"/>
      <c r="AV886" s="89"/>
      <c r="AW886" s="86" t="str">
        <f>+IF($AG886=AW$22,MONTH($D886),"")</f>
        <v/>
      </c>
      <c r="AX886" s="86" t="str">
        <f>+IF($AG886=AX$22,MONTH($D886),"")</f>
        <v/>
      </c>
      <c r="AY886" s="89"/>
      <c r="AZ886" s="89"/>
      <c r="BA886" s="89"/>
      <c r="BB886" s="89"/>
      <c r="BC886" s="89"/>
      <c r="BD886" s="89"/>
      <c r="BE886" s="89"/>
      <c r="BF886" s="89"/>
      <c r="BG886" s="89"/>
      <c r="BH886" s="89"/>
      <c r="BI886" s="89"/>
      <c r="BJ886" s="89"/>
      <c r="BK886" s="89"/>
      <c r="BL886" s="89"/>
      <c r="BM886" s="89"/>
      <c r="BN886" s="89"/>
      <c r="BO886" s="89"/>
      <c r="BP886" s="89"/>
    </row>
    <row r="887" spans="1:68" s="56" customFormat="1" ht="13.5" hidden="1">
      <c r="A887" s="204" t="str">
        <f>+IFERROR(VALUE(MID(AB887,4,4)),"")</f>
        <v/>
      </c>
      <c r="B887" s="204">
        <f>VALUE(RIGHT(C887,LEN(C887)-2))</f>
        <v>1836</v>
      </c>
      <c r="C887" s="74" t="s">
        <v>3363</v>
      </c>
      <c r="D887" s="75">
        <v>45155</v>
      </c>
      <c r="E887" s="70" t="s">
        <v>106</v>
      </c>
      <c r="F887" s="70" t="s">
        <v>106</v>
      </c>
      <c r="G887" s="68" t="s">
        <v>3364</v>
      </c>
      <c r="H887" s="179" t="s">
        <v>3365</v>
      </c>
      <c r="I887" s="69" t="s">
        <v>3366</v>
      </c>
      <c r="J887" s="69"/>
      <c r="K887" s="95" t="s">
        <v>12</v>
      </c>
      <c r="L887" s="69" t="s">
        <v>120</v>
      </c>
      <c r="M887" s="71" t="s">
        <v>141</v>
      </c>
      <c r="N887" s="69" t="e" vm="1">
        <v>#VALUE!</v>
      </c>
      <c r="O887" s="84">
        <v>45173</v>
      </c>
      <c r="P887" s="82" t="s">
        <v>1154</v>
      </c>
      <c r="Q887" s="82" t="s">
        <v>316</v>
      </c>
      <c r="R887" s="69"/>
      <c r="S887" s="146"/>
      <c r="T887" s="68" t="s">
        <v>155</v>
      </c>
      <c r="U887" s="87"/>
      <c r="V887" s="183">
        <v>45156</v>
      </c>
      <c r="W887" s="73"/>
      <c r="X887" s="73"/>
      <c r="Y887" s="83" t="str">
        <f>IF(SUM(W887:W887)&gt;0,X887/SUM(W887:W887)*1000000,"N/A")</f>
        <v>N/A</v>
      </c>
      <c r="Z887" s="183"/>
      <c r="AA887" s="183"/>
      <c r="AB887" s="73"/>
      <c r="AC887" s="153"/>
      <c r="AD887" s="331"/>
      <c r="AE887" s="57"/>
      <c r="AF887" s="88"/>
      <c r="AG887" s="182">
        <f>YEAR(V887)</f>
        <v>2023</v>
      </c>
      <c r="AH887" s="86" t="str">
        <f>+IF(AF887=$AI$22,MONTH(U887),"")</f>
        <v/>
      </c>
      <c r="AI887" s="86" t="str">
        <f>+IF(AG887=$AI$22,MONTH(V887),"")</f>
        <v/>
      </c>
      <c r="AJ887" s="86" t="str">
        <f>+IF(AG887=$AJ$22,MONTH(V887),"")</f>
        <v/>
      </c>
      <c r="AK887" s="86">
        <f>+IF(AG887=$AK$22,MONTH(V887),"")</f>
        <v>8</v>
      </c>
      <c r="AL887" s="86" t="str">
        <f>+IF(AG887=$AL$22,MONTH(V887),"")</f>
        <v/>
      </c>
      <c r="AM887" s="86" t="str">
        <f>+IF($AG887=$AM$22,MONTH($D887),"")</f>
        <v/>
      </c>
      <c r="AN887" s="89" t="str">
        <f>+IF($AG887=AN$22,MONTH($D887),"")</f>
        <v/>
      </c>
      <c r="AO887" s="89" t="str">
        <f>+IF($AG887=AO$22,MONTH($D887),"")</f>
        <v/>
      </c>
      <c r="AP887" s="89" t="str">
        <f>+IF($AG887=AP$22,MONTH($D887),"")</f>
        <v/>
      </c>
      <c r="AQ887" s="89" t="str">
        <f>+IF($AG887=AQ$22,MONTH($D887),"")</f>
        <v/>
      </c>
      <c r="AR887" s="89" t="str">
        <f>+IF($AG887=AR$22,MONTH($D887),"")</f>
        <v/>
      </c>
      <c r="AS887" s="89" t="str">
        <f>+IF($AG887=AS$22,MONTH($D887),"")</f>
        <v/>
      </c>
      <c r="AT887" s="89" t="str">
        <f>+IF($AG887=AT$22,MONTH($D887),"")</f>
        <v/>
      </c>
      <c r="AU887" s="89" t="str">
        <f>+IF($AG887=AU$22,MONTH($D887),"")</f>
        <v/>
      </c>
      <c r="AV887" s="89" t="str">
        <f>+IF($AG887=AV$22,MONTH($D887),"")</f>
        <v/>
      </c>
      <c r="AW887" s="86" t="str">
        <f>+IF($AG887=AW$22,MONTH($D887),"")</f>
        <v/>
      </c>
      <c r="AX887" s="86" t="str">
        <f>+IF($AG887=AX$22,MONTH($D887),"")</f>
        <v/>
      </c>
      <c r="AY887" s="89"/>
      <c r="AZ887" s="89"/>
      <c r="BA887" s="89"/>
      <c r="BB887" s="89"/>
      <c r="BC887" s="89"/>
      <c r="BD887" s="89"/>
      <c r="BE887" s="89"/>
      <c r="BF887" s="89"/>
      <c r="BG887" s="89"/>
      <c r="BH887" s="89"/>
      <c r="BI887" s="89"/>
      <c r="BJ887" s="89"/>
      <c r="BK887" s="89"/>
      <c r="BL887" s="89"/>
      <c r="BM887" s="89"/>
      <c r="BN887" s="89"/>
      <c r="BO887" s="89"/>
      <c r="BP887" s="89"/>
    </row>
    <row r="888" spans="1:68" s="56" customFormat="1" ht="94.5" hidden="1">
      <c r="A888" s="204">
        <f>+IFERROR(VALUE(MID(AB888,4,4)),"")</f>
        <v>350</v>
      </c>
      <c r="B888" s="204">
        <f>VALUE(RIGHT(C888,LEN(C888)-2))</f>
        <v>1835</v>
      </c>
      <c r="C888" s="74" t="s">
        <v>3367</v>
      </c>
      <c r="D888" s="75">
        <v>45155</v>
      </c>
      <c r="E888" s="70" t="s">
        <v>473</v>
      </c>
      <c r="F888" s="70" t="s">
        <v>473</v>
      </c>
      <c r="G888" s="68" t="s">
        <v>2503</v>
      </c>
      <c r="H888" s="59" t="s">
        <v>3347</v>
      </c>
      <c r="I888" s="69" t="s">
        <v>3368</v>
      </c>
      <c r="J888" s="69"/>
      <c r="K888" s="68" t="s">
        <v>45</v>
      </c>
      <c r="L888" s="69" t="s">
        <v>120</v>
      </c>
      <c r="M888" s="71" t="s">
        <v>141</v>
      </c>
      <c r="N888" s="69" t="e" vm="1">
        <v>#VALUE!</v>
      </c>
      <c r="O888" s="164">
        <v>45159</v>
      </c>
      <c r="P888" s="72" t="s">
        <v>402</v>
      </c>
      <c r="Q888" s="72" t="s">
        <v>259</v>
      </c>
      <c r="R888" s="162"/>
      <c r="S888" s="146" t="s">
        <v>3369</v>
      </c>
      <c r="T888" s="68" t="s">
        <v>165</v>
      </c>
      <c r="U888" s="87"/>
      <c r="V888" s="183">
        <v>45167</v>
      </c>
      <c r="W888" s="73">
        <v>430</v>
      </c>
      <c r="X888" s="73">
        <f>(559*36116.36)/1000000</f>
        <v>20.189045240000002</v>
      </c>
      <c r="Y888" s="83">
        <f>IF(SUM(W888:W888)&gt;0,X888/SUM(W888:W888)*1000000,"N/A")</f>
        <v>46951.268000000004</v>
      </c>
      <c r="Z888" s="183"/>
      <c r="AA888" s="183"/>
      <c r="AB888" s="73" t="s">
        <v>3370</v>
      </c>
      <c r="AC888" s="153"/>
      <c r="AD888" s="331"/>
      <c r="AE888" s="57"/>
      <c r="AF888" s="88"/>
      <c r="AG888" s="182">
        <f>YEAR(V888)</f>
        <v>2023</v>
      </c>
      <c r="AH888" s="86" t="str">
        <f>+IF(AF888=$AI$22,MONTH(U888),"")</f>
        <v/>
      </c>
      <c r="AI888" s="86" t="str">
        <f>+IF(AG888=$AI$22,MONTH(V888),"")</f>
        <v/>
      </c>
      <c r="AJ888" s="86" t="str">
        <f>+IF(AG888=$AJ$22,MONTH(V888),"")</f>
        <v/>
      </c>
      <c r="AK888" s="86">
        <f>+IF(AG888=$AK$22,MONTH(V888),"")</f>
        <v>8</v>
      </c>
      <c r="AL888" s="86"/>
      <c r="AM888" s="89"/>
      <c r="AN888" s="89"/>
      <c r="AO888" s="89"/>
      <c r="AP888" s="89"/>
      <c r="AQ888" s="89"/>
      <c r="AR888" s="89"/>
      <c r="AS888" s="89"/>
      <c r="AT888" s="89"/>
      <c r="AU888" s="89"/>
      <c r="AV888" s="89"/>
      <c r="AW888" s="86" t="str">
        <f>+IF($AG888=AW$22,MONTH($D888),"")</f>
        <v/>
      </c>
      <c r="AX888" s="86" t="str">
        <f>+IF($AG888=AX$22,MONTH($D888),"")</f>
        <v/>
      </c>
      <c r="AY888" s="89"/>
      <c r="AZ888" s="89"/>
      <c r="BA888" s="89"/>
      <c r="BB888" s="89"/>
      <c r="BC888" s="89"/>
      <c r="BD888" s="89"/>
      <c r="BE888" s="89"/>
      <c r="BF888" s="89"/>
      <c r="BG888" s="89"/>
      <c r="BH888" s="89"/>
      <c r="BI888" s="89"/>
      <c r="BJ888" s="89"/>
      <c r="BK888" s="89"/>
      <c r="BL888" s="89"/>
      <c r="BM888" s="89"/>
      <c r="BN888" s="89"/>
      <c r="BO888" s="89"/>
      <c r="BP888" s="89"/>
    </row>
    <row r="889" spans="1:68" s="56" customFormat="1" ht="35.25" hidden="1" customHeight="1">
      <c r="A889" s="204" t="str">
        <f>+IFERROR(VALUE(MID(AB889,4,4)),"")</f>
        <v/>
      </c>
      <c r="B889" s="204">
        <f>VALUE(RIGHT(C889,LEN(C889)-2))</f>
        <v>1834</v>
      </c>
      <c r="C889" s="74" t="s">
        <v>3371</v>
      </c>
      <c r="D889" s="75">
        <v>45154</v>
      </c>
      <c r="E889" s="70" t="s">
        <v>277</v>
      </c>
      <c r="F889" s="70" t="s">
        <v>277</v>
      </c>
      <c r="G889" s="68" t="s">
        <v>2416</v>
      </c>
      <c r="H889" s="59" t="s">
        <v>2413</v>
      </c>
      <c r="I889" s="69" t="s">
        <v>3372</v>
      </c>
      <c r="J889" s="69"/>
      <c r="K889" s="68" t="s">
        <v>45</v>
      </c>
      <c r="L889" s="69" t="s">
        <v>129</v>
      </c>
      <c r="M889" s="71" t="s">
        <v>141</v>
      </c>
      <c r="N889" s="69" t="e" vm="1">
        <v>#VALUE!</v>
      </c>
      <c r="O889" s="164">
        <v>45477</v>
      </c>
      <c r="P889" s="72" t="s">
        <v>402</v>
      </c>
      <c r="Q889" s="72" t="s">
        <v>623</v>
      </c>
      <c r="R889" s="162"/>
      <c r="S889" s="146" t="s">
        <v>3373</v>
      </c>
      <c r="T889" s="68" t="s">
        <v>165</v>
      </c>
      <c r="U889" s="87"/>
      <c r="V889" s="80">
        <v>45477</v>
      </c>
      <c r="W889" s="73">
        <f>4480+1380</f>
        <v>5860</v>
      </c>
      <c r="X889" s="150">
        <v>304</v>
      </c>
      <c r="Y889" s="83">
        <f>IF(SUM(W889:W889)&gt;0,X889/SUM(W889:W889)*1000000,"N/A")</f>
        <v>51877.133105802044</v>
      </c>
      <c r="Z889" s="80"/>
      <c r="AA889" s="80"/>
      <c r="AB889" s="73"/>
      <c r="AC889" s="153">
        <v>45663</v>
      </c>
      <c r="AD889" s="331" t="s">
        <v>3374</v>
      </c>
      <c r="AE889" s="57"/>
      <c r="AF889" s="88" t="s">
        <v>3375</v>
      </c>
      <c r="AG889" s="182">
        <f>YEAR(V889)</f>
        <v>2024</v>
      </c>
      <c r="AH889" s="86" t="str">
        <f>+IF(AF889=$AI$22,MONTH(U889),"")</f>
        <v/>
      </c>
      <c r="AI889" s="86" t="str">
        <f>+IF(AG889=$AI$22,MONTH(V889),"")</f>
        <v/>
      </c>
      <c r="AJ889" s="86">
        <f>+IF(AG889=$AJ$22,MONTH(V889),"")</f>
        <v>7</v>
      </c>
      <c r="AK889" s="86" t="str">
        <f>+IF(AG889=$AK$22,MONTH(V889),"")</f>
        <v/>
      </c>
      <c r="AL889" s="86"/>
      <c r="AM889" s="89"/>
      <c r="AN889" s="89"/>
      <c r="AO889" s="89"/>
      <c r="AP889" s="89"/>
      <c r="AQ889" s="89"/>
      <c r="AR889" s="89"/>
      <c r="AS889" s="89"/>
      <c r="AT889" s="89"/>
      <c r="AU889" s="89"/>
      <c r="AV889" s="89"/>
      <c r="AW889" s="86" t="str">
        <f>+IF($AG889=AW$22,MONTH($D889),"")</f>
        <v/>
      </c>
      <c r="AX889" s="86" t="str">
        <f>+IF($AG889=AX$22,MONTH($D889),"")</f>
        <v/>
      </c>
      <c r="AY889" s="89"/>
      <c r="AZ889" s="89"/>
      <c r="BA889" s="89"/>
      <c r="BB889" s="89"/>
      <c r="BC889" s="89"/>
      <c r="BD889" s="89"/>
      <c r="BE889" s="89"/>
      <c r="BF889" s="89"/>
      <c r="BG889" s="89"/>
      <c r="BH889" s="89"/>
      <c r="BI889" s="89"/>
      <c r="BJ889" s="89"/>
      <c r="BK889" s="89"/>
      <c r="BL889" s="89"/>
      <c r="BM889" s="89"/>
      <c r="BN889" s="89"/>
      <c r="BO889" s="89"/>
      <c r="BP889" s="89"/>
    </row>
    <row r="890" spans="1:68" s="56" customFormat="1" ht="27" hidden="1">
      <c r="A890" s="204">
        <f>+IFERROR(VALUE(MID(AB890,4,4)),"")</f>
        <v>265</v>
      </c>
      <c r="B890" s="204">
        <f>VALUE(RIGHT(C890,LEN(C890)-2))</f>
        <v>1833</v>
      </c>
      <c r="C890" s="74" t="s">
        <v>3376</v>
      </c>
      <c r="D890" s="75">
        <v>45154</v>
      </c>
      <c r="E890" s="70" t="s">
        <v>332</v>
      </c>
      <c r="F890" s="70" t="s">
        <v>332</v>
      </c>
      <c r="G890" s="68" t="s">
        <v>333</v>
      </c>
      <c r="H890" s="179" t="s">
        <v>3052</v>
      </c>
      <c r="I890" s="162" t="s">
        <v>3377</v>
      </c>
      <c r="J890" s="162"/>
      <c r="K890" s="68" t="s">
        <v>13</v>
      </c>
      <c r="L890" s="69" t="s">
        <v>129</v>
      </c>
      <c r="M890" s="71" t="s">
        <v>141</v>
      </c>
      <c r="N890" s="69" t="e" vm="1">
        <v>#VALUE!</v>
      </c>
      <c r="O890" s="164">
        <v>45160</v>
      </c>
      <c r="P890" s="72" t="s">
        <v>382</v>
      </c>
      <c r="Q890" s="72" t="s">
        <v>229</v>
      </c>
      <c r="R890" s="162"/>
      <c r="S890" s="146" t="s">
        <v>3378</v>
      </c>
      <c r="T890" s="68" t="s">
        <v>3</v>
      </c>
      <c r="U890" s="87">
        <v>0</v>
      </c>
      <c r="V890" s="80">
        <v>45158</v>
      </c>
      <c r="W890" s="73">
        <v>2284</v>
      </c>
      <c r="X890" s="73">
        <f>81409655.04/1000000</f>
        <v>81.409655040000004</v>
      </c>
      <c r="Y890" s="83">
        <f>IF(SUM(W890:W890)&gt;0,X890/SUM(W890:W890)*1000000,"N/A")</f>
        <v>35643.456672504384</v>
      </c>
      <c r="Z890" s="80"/>
      <c r="AA890" s="80"/>
      <c r="AB890" s="73" t="s">
        <v>3055</v>
      </c>
      <c r="AC890" s="153"/>
      <c r="AD890" s="331"/>
      <c r="AE890" s="57"/>
      <c r="AF890" s="88"/>
      <c r="AG890" s="182">
        <f>YEAR(V890)</f>
        <v>2023</v>
      </c>
      <c r="AH890" s="86" t="str">
        <f>+IF(AF890=$AI$22,MONTH(U890),"")</f>
        <v/>
      </c>
      <c r="AI890" s="86" t="str">
        <f>+IF(AG890=$AI$22,MONTH(V890),"")</f>
        <v/>
      </c>
      <c r="AJ890" s="86" t="str">
        <f>+IF(AG890=$AJ$22,MONTH(V890),"")</f>
        <v/>
      </c>
      <c r="AK890" s="86">
        <f>+IF(AG890=$AK$22,MONTH(V890),"")</f>
        <v>8</v>
      </c>
      <c r="AL890" s="86"/>
      <c r="AM890" s="89"/>
      <c r="AN890" s="89"/>
      <c r="AO890" s="89"/>
      <c r="AP890" s="89"/>
      <c r="AQ890" s="89"/>
      <c r="AR890" s="89"/>
      <c r="AS890" s="89"/>
      <c r="AT890" s="89"/>
      <c r="AU890" s="89"/>
      <c r="AV890" s="89"/>
      <c r="AW890" s="86" t="str">
        <f>+IF($AG890=AW$22,MONTH($D890),"")</f>
        <v/>
      </c>
      <c r="AX890" s="86" t="str">
        <f>+IF($AG890=AX$22,MONTH($D890),"")</f>
        <v/>
      </c>
      <c r="AY890" s="89"/>
      <c r="AZ890" s="89"/>
      <c r="BA890" s="89"/>
      <c r="BB890" s="89"/>
      <c r="BC890" s="89"/>
      <c r="BD890" s="89"/>
      <c r="BE890" s="89"/>
      <c r="BF890" s="89"/>
      <c r="BG890" s="89"/>
      <c r="BH890" s="89"/>
      <c r="BI890" s="89"/>
      <c r="BJ890" s="89"/>
      <c r="BK890" s="89"/>
      <c r="BL890" s="89"/>
      <c r="BM890" s="89"/>
      <c r="BN890" s="89"/>
      <c r="BO890" s="89"/>
      <c r="BP890" s="89"/>
    </row>
    <row r="891" spans="1:68" s="56" customFormat="1" ht="13.5" hidden="1">
      <c r="A891" s="204" t="str">
        <f>+IFERROR(VALUE(MID(AB891,4,4)),"")</f>
        <v/>
      </c>
      <c r="B891" s="204">
        <f>VALUE(RIGHT(C891,LEN(C891)-2))</f>
        <v>1832</v>
      </c>
      <c r="C891" s="74" t="s">
        <v>3379</v>
      </c>
      <c r="D891" s="75">
        <v>45149</v>
      </c>
      <c r="E891" s="70" t="s">
        <v>479</v>
      </c>
      <c r="F891" s="70" t="s">
        <v>479</v>
      </c>
      <c r="G891" s="68" t="s">
        <v>2250</v>
      </c>
      <c r="H891" s="179" t="s">
        <v>3132</v>
      </c>
      <c r="I891" s="162" t="s">
        <v>3380</v>
      </c>
      <c r="J891" s="162"/>
      <c r="K891" s="76" t="s">
        <v>45</v>
      </c>
      <c r="L891" s="69" t="s">
        <v>120</v>
      </c>
      <c r="M891" s="71" t="s">
        <v>113</v>
      </c>
      <c r="N891" s="69" t="e" vm="2">
        <v>#VALUE!</v>
      </c>
      <c r="O891" s="164">
        <v>45168</v>
      </c>
      <c r="P891" s="72" t="s">
        <v>483</v>
      </c>
      <c r="Q891" s="72" t="s">
        <v>623</v>
      </c>
      <c r="R891" s="162"/>
      <c r="S891" s="146"/>
      <c r="T891" s="68" t="s">
        <v>155</v>
      </c>
      <c r="U891" s="87"/>
      <c r="V891" s="183">
        <v>45156</v>
      </c>
      <c r="W891" s="73"/>
      <c r="X891" s="73"/>
      <c r="Y891" s="83" t="str">
        <f>IF(SUM(W891:W891)&gt;0,X891/SUM(W891:W891)*1000000,"N/A")</f>
        <v>N/A</v>
      </c>
      <c r="Z891" s="183"/>
      <c r="AA891" s="183"/>
      <c r="AB891" s="73"/>
      <c r="AC891" s="153"/>
      <c r="AD891" s="331"/>
      <c r="AE891" s="57"/>
      <c r="AF891" s="88"/>
      <c r="AG891" s="182">
        <f>YEAR(V891)</f>
        <v>2023</v>
      </c>
      <c r="AH891" s="86" t="str">
        <f>+IF(AF891=$AI$22,MONTH(U891),"")</f>
        <v/>
      </c>
      <c r="AI891" s="86" t="str">
        <f>+IF(AG891=$AI$22,MONTH(V891),"")</f>
        <v/>
      </c>
      <c r="AJ891" s="86" t="str">
        <f>+IF(AG891=$AJ$22,MONTH(V891),"")</f>
        <v/>
      </c>
      <c r="AK891" s="86">
        <f>+IF(AG891=$AK$22,MONTH(V891),"")</f>
        <v>8</v>
      </c>
      <c r="AL891" s="86"/>
      <c r="AM891" s="89"/>
      <c r="AN891" s="89"/>
      <c r="AO891" s="89"/>
      <c r="AP891" s="89"/>
      <c r="AQ891" s="89"/>
      <c r="AR891" s="89"/>
      <c r="AS891" s="89"/>
      <c r="AT891" s="89"/>
      <c r="AU891" s="89"/>
      <c r="AV891" s="89"/>
      <c r="AW891" s="86" t="str">
        <f>+IF($AG891=AW$22,MONTH($D891),"")</f>
        <v/>
      </c>
      <c r="AX891" s="86" t="str">
        <f>+IF($AG891=AX$22,MONTH($D891),"")</f>
        <v/>
      </c>
      <c r="AY891" s="89"/>
      <c r="AZ891" s="89"/>
      <c r="BA891" s="89"/>
      <c r="BB891" s="89"/>
      <c r="BC891" s="89"/>
      <c r="BD891" s="89"/>
      <c r="BE891" s="89"/>
      <c r="BF891" s="89"/>
      <c r="BG891" s="89"/>
      <c r="BH891" s="89"/>
      <c r="BI891" s="89"/>
      <c r="BJ891" s="89"/>
      <c r="BK891" s="89"/>
      <c r="BL891" s="89"/>
      <c r="BM891" s="89"/>
      <c r="BN891" s="89"/>
      <c r="BO891" s="89"/>
      <c r="BP891" s="89"/>
    </row>
    <row r="892" spans="1:68" s="56" customFormat="1" ht="27" hidden="1">
      <c r="A892" s="204" t="str">
        <f>+IFERROR(VALUE(MID(AB892,4,4)),"")</f>
        <v/>
      </c>
      <c r="B892" s="204">
        <f>VALUE(RIGHT(C892,LEN(C892)-2))</f>
        <v>1831</v>
      </c>
      <c r="C892" s="74" t="s">
        <v>3381</v>
      </c>
      <c r="D892" s="75">
        <v>45149</v>
      </c>
      <c r="E892" s="70" t="s">
        <v>479</v>
      </c>
      <c r="F892" s="70" t="s">
        <v>479</v>
      </c>
      <c r="G892" s="68" t="s">
        <v>3382</v>
      </c>
      <c r="H892" s="179" t="s">
        <v>3383</v>
      </c>
      <c r="I892" s="162" t="s">
        <v>3384</v>
      </c>
      <c r="J892" s="162"/>
      <c r="K892" s="68" t="s">
        <v>12</v>
      </c>
      <c r="L892" s="69" t="s">
        <v>120</v>
      </c>
      <c r="M892" s="71" t="s">
        <v>113</v>
      </c>
      <c r="N892" s="69" t="e" vm="2">
        <v>#VALUE!</v>
      </c>
      <c r="O892" s="164">
        <v>45156</v>
      </c>
      <c r="P892" s="72" t="s">
        <v>818</v>
      </c>
      <c r="Q892" s="72" t="s">
        <v>229</v>
      </c>
      <c r="R892" s="162"/>
      <c r="S892" s="146"/>
      <c r="T892" s="68" t="s">
        <v>155</v>
      </c>
      <c r="U892" s="87"/>
      <c r="V892" s="183">
        <v>45156</v>
      </c>
      <c r="W892" s="73">
        <v>496</v>
      </c>
      <c r="X892" s="73">
        <f>16053465.47/1000000</f>
        <v>16.053465469999999</v>
      </c>
      <c r="Y892" s="83">
        <f>IF(SUM(W892:W892)&gt;0,X892/SUM(W892:W892)*1000000,"N/A")</f>
        <v>32365.857802419352</v>
      </c>
      <c r="Z892" s="183"/>
      <c r="AA892" s="183"/>
      <c r="AB892" s="73"/>
      <c r="AC892" s="153"/>
      <c r="AD892" s="331"/>
      <c r="AE892" s="57"/>
      <c r="AF892" s="88"/>
      <c r="AG892" s="182">
        <f>YEAR(V892)</f>
        <v>2023</v>
      </c>
      <c r="AH892" s="86" t="str">
        <f>+IF(AF892=$AI$22,MONTH(U892),"")</f>
        <v/>
      </c>
      <c r="AI892" s="86" t="str">
        <f>+IF(AG892=$AI$22,MONTH(V892),"")</f>
        <v/>
      </c>
      <c r="AJ892" s="86" t="str">
        <f>+IF(AG892=$AJ$22,MONTH(V892),"")</f>
        <v/>
      </c>
      <c r="AK892" s="86">
        <f>+IF(AG892=$AK$22,MONTH(V892),"")</f>
        <v>8</v>
      </c>
      <c r="AL892" s="86"/>
      <c r="AM892" s="89"/>
      <c r="AN892" s="89"/>
      <c r="AO892" s="89"/>
      <c r="AP892" s="89"/>
      <c r="AQ892" s="89"/>
      <c r="AR892" s="89"/>
      <c r="AS892" s="89"/>
      <c r="AT892" s="89"/>
      <c r="AU892" s="89"/>
      <c r="AV892" s="89"/>
      <c r="AW892" s="86" t="str">
        <f>+IF($AG892=AW$22,MONTH($D892),"")</f>
        <v/>
      </c>
      <c r="AX892" s="86" t="str">
        <f>+IF($AG892=AX$22,MONTH($D892),"")</f>
        <v/>
      </c>
      <c r="AY892" s="89"/>
      <c r="AZ892" s="89"/>
      <c r="BA892" s="89"/>
      <c r="BB892" s="89"/>
      <c r="BC892" s="89"/>
      <c r="BD892" s="89"/>
      <c r="BE892" s="89"/>
      <c r="BF892" s="89"/>
      <c r="BG892" s="89"/>
      <c r="BH892" s="89"/>
      <c r="BI892" s="89"/>
      <c r="BJ892" s="89"/>
      <c r="BK892" s="89"/>
      <c r="BL892" s="89"/>
      <c r="BM892" s="89"/>
      <c r="BN892" s="89"/>
      <c r="BO892" s="89"/>
      <c r="BP892" s="89"/>
    </row>
    <row r="893" spans="1:68" s="56" customFormat="1" ht="27" hidden="1">
      <c r="A893" s="204" t="str">
        <f>+IFERROR(VALUE(MID(AB893,4,4)),"")</f>
        <v/>
      </c>
      <c r="B893" s="204">
        <f>VALUE(RIGHT(C893,LEN(C893)-2))</f>
        <v>1830</v>
      </c>
      <c r="C893" s="74" t="s">
        <v>3385</v>
      </c>
      <c r="D893" s="75">
        <v>45149</v>
      </c>
      <c r="E893" s="70" t="s">
        <v>479</v>
      </c>
      <c r="F893" s="70" t="s">
        <v>479</v>
      </c>
      <c r="G893" s="68" t="s">
        <v>3382</v>
      </c>
      <c r="H893" s="179" t="s">
        <v>3383</v>
      </c>
      <c r="I893" s="162" t="s">
        <v>3386</v>
      </c>
      <c r="J893" s="162"/>
      <c r="K893" s="68" t="s">
        <v>12</v>
      </c>
      <c r="L893" s="69" t="s">
        <v>120</v>
      </c>
      <c r="M893" s="71" t="s">
        <v>113</v>
      </c>
      <c r="N893" s="69" t="e" vm="2">
        <v>#VALUE!</v>
      </c>
      <c r="O893" s="164">
        <v>45156</v>
      </c>
      <c r="P893" s="72" t="s">
        <v>818</v>
      </c>
      <c r="Q893" s="72" t="s">
        <v>229</v>
      </c>
      <c r="R893" s="162"/>
      <c r="S893" s="146"/>
      <c r="T893" s="68" t="s">
        <v>155</v>
      </c>
      <c r="U893" s="87"/>
      <c r="V893" s="183">
        <v>45156</v>
      </c>
      <c r="W893" s="73">
        <v>447</v>
      </c>
      <c r="X893" s="73">
        <f>15190580/1000000</f>
        <v>15.190580000000001</v>
      </c>
      <c r="Y893" s="83">
        <f>IF(SUM(W893:W893)&gt;0,X893/SUM(W893:W893)*1000000,"N/A")</f>
        <v>33983.400447427295</v>
      </c>
      <c r="Z893" s="183"/>
      <c r="AA893" s="183"/>
      <c r="AB893" s="73"/>
      <c r="AC893" s="153"/>
      <c r="AD893" s="331"/>
      <c r="AE893" s="57"/>
      <c r="AF893" s="88"/>
      <c r="AG893" s="182">
        <f>YEAR(V893)</f>
        <v>2023</v>
      </c>
      <c r="AH893" s="86" t="str">
        <f>+IF(AF893=$AI$22,MONTH(U893),"")</f>
        <v/>
      </c>
      <c r="AI893" s="86" t="str">
        <f>+IF(AG893=$AI$22,MONTH(V893),"")</f>
        <v/>
      </c>
      <c r="AJ893" s="86" t="str">
        <f>+IF(AG893=$AJ$22,MONTH(V893),"")</f>
        <v/>
      </c>
      <c r="AK893" s="86">
        <f>+IF(AG893=$AK$22,MONTH(V893),"")</f>
        <v>8</v>
      </c>
      <c r="AL893" s="86"/>
      <c r="AM893" s="89"/>
      <c r="AN893" s="89"/>
      <c r="AO893" s="89"/>
      <c r="AP893" s="89"/>
      <c r="AQ893" s="89"/>
      <c r="AR893" s="89"/>
      <c r="AS893" s="89"/>
      <c r="AT893" s="89"/>
      <c r="AU893" s="89"/>
      <c r="AV893" s="89"/>
      <c r="AW893" s="86" t="str">
        <f>+IF($AG893=AW$22,MONTH($D893),"")</f>
        <v/>
      </c>
      <c r="AX893" s="86" t="str">
        <f>+IF($AG893=AX$22,MONTH($D893),"")</f>
        <v/>
      </c>
      <c r="AY893" s="89"/>
      <c r="AZ893" s="89"/>
      <c r="BA893" s="89"/>
      <c r="BB893" s="89"/>
      <c r="BC893" s="89"/>
      <c r="BD893" s="89"/>
      <c r="BE893" s="89"/>
      <c r="BF893" s="89"/>
      <c r="BG893" s="89"/>
      <c r="BH893" s="89"/>
      <c r="BI893" s="89"/>
      <c r="BJ893" s="89"/>
      <c r="BK893" s="89"/>
      <c r="BL893" s="89"/>
      <c r="BM893" s="89"/>
      <c r="BN893" s="89"/>
      <c r="BO893" s="89"/>
      <c r="BP893" s="89"/>
    </row>
    <row r="894" spans="1:68" s="56" customFormat="1" ht="27" hidden="1">
      <c r="A894" s="204" t="str">
        <f>+IFERROR(VALUE(MID(AB894,4,4)),"")</f>
        <v/>
      </c>
      <c r="B894" s="204">
        <f>VALUE(RIGHT(C894,LEN(C894)-2))</f>
        <v>1829</v>
      </c>
      <c r="C894" s="74" t="s">
        <v>3387</v>
      </c>
      <c r="D894" s="75">
        <v>45145</v>
      </c>
      <c r="E894" s="70" t="s">
        <v>53</v>
      </c>
      <c r="F894" s="70" t="s">
        <v>1379</v>
      </c>
      <c r="G894" s="68" t="s">
        <v>210</v>
      </c>
      <c r="H894" s="59"/>
      <c r="I894" s="69" t="s">
        <v>3388</v>
      </c>
      <c r="J894" s="69"/>
      <c r="K894" s="68" t="s">
        <v>3389</v>
      </c>
      <c r="L894" s="69" t="s">
        <v>123</v>
      </c>
      <c r="M894" s="71" t="s">
        <v>141</v>
      </c>
      <c r="N894" s="69" t="e" vm="1">
        <v>#VALUE!</v>
      </c>
      <c r="O894" s="84">
        <v>45190</v>
      </c>
      <c r="P894" s="72" t="s">
        <v>1629</v>
      </c>
      <c r="Q894" s="82" t="s">
        <v>644</v>
      </c>
      <c r="R894" s="69"/>
      <c r="S894" s="146" t="s">
        <v>3362</v>
      </c>
      <c r="T894" s="68" t="s">
        <v>155</v>
      </c>
      <c r="U894" s="87"/>
      <c r="V894" s="183">
        <v>45156</v>
      </c>
      <c r="W894" s="73"/>
      <c r="X894" s="73"/>
      <c r="Y894" s="83" t="str">
        <f>IF(SUM(W894:W894)&gt;0,X894/SUM(W894:W894)*1000000,"N/A")</f>
        <v>N/A</v>
      </c>
      <c r="Z894" s="183"/>
      <c r="AA894" s="183"/>
      <c r="AB894" s="73"/>
      <c r="AC894" s="153"/>
      <c r="AD894" s="331"/>
      <c r="AE894" s="57"/>
      <c r="AF894" s="88"/>
      <c r="AG894" s="182">
        <f>YEAR(V894)</f>
        <v>2023</v>
      </c>
      <c r="AH894" s="86" t="str">
        <f>+IF(AF894=$AI$22,MONTH(U894),"")</f>
        <v/>
      </c>
      <c r="AI894" s="86" t="str">
        <f>+IF(AG894=$AI$22,MONTH(V894),"")</f>
        <v/>
      </c>
      <c r="AJ894" s="86" t="str">
        <f>+IF(AG894=$AJ$22,MONTH(V894),"")</f>
        <v/>
      </c>
      <c r="AK894" s="86">
        <f>+IF(AG894=$AK$22,MONTH(V894),"")</f>
        <v>8</v>
      </c>
      <c r="AL894" s="86" t="str">
        <f>+IF(AG894=$AL$22,MONTH(V894),"")</f>
        <v/>
      </c>
      <c r="AM894" s="86" t="str">
        <f>+IF($AG894=$AM$22,MONTH($D894),"")</f>
        <v/>
      </c>
      <c r="AN894" s="89" t="str">
        <f>+IF($AG894=AN$22,MONTH($D894),"")</f>
        <v/>
      </c>
      <c r="AO894" s="89" t="str">
        <f>+IF($AG894=AO$22,MONTH($D894),"")</f>
        <v/>
      </c>
      <c r="AP894" s="89" t="str">
        <f>+IF($AG894=AP$22,MONTH($D894),"")</f>
        <v/>
      </c>
      <c r="AQ894" s="89" t="str">
        <f>+IF($AG894=AQ$22,MONTH($D894),"")</f>
        <v/>
      </c>
      <c r="AR894" s="89" t="str">
        <f>+IF($AG894=AR$22,MONTH($D894),"")</f>
        <v/>
      </c>
      <c r="AS894" s="89" t="str">
        <f>+IF($AG894=AS$22,MONTH($D894),"")</f>
        <v/>
      </c>
      <c r="AT894" s="89" t="str">
        <f>+IF($AG894=AT$22,MONTH($D894),"")</f>
        <v/>
      </c>
      <c r="AU894" s="89" t="str">
        <f>+IF($AG894=AU$22,MONTH($D894),"")</f>
        <v/>
      </c>
      <c r="AV894" s="89" t="str">
        <f>+IF($AG894=AV$22,MONTH($D894),"")</f>
        <v/>
      </c>
      <c r="AW894" s="86" t="str">
        <f>+IF($AG894=AW$22,MONTH($D894),"")</f>
        <v/>
      </c>
      <c r="AX894" s="86" t="str">
        <f>+IF($AG894=AX$22,MONTH($D894),"")</f>
        <v/>
      </c>
      <c r="AY894" s="89"/>
      <c r="AZ894" s="89"/>
      <c r="BA894" s="89"/>
      <c r="BB894" s="89"/>
      <c r="BC894" s="89"/>
      <c r="BD894" s="89"/>
      <c r="BE894" s="89"/>
      <c r="BF894" s="89"/>
      <c r="BG894" s="89"/>
      <c r="BH894" s="89"/>
      <c r="BI894" s="89"/>
      <c r="BJ894" s="89"/>
      <c r="BK894" s="89"/>
      <c r="BL894" s="89"/>
      <c r="BM894" s="89"/>
      <c r="BN894" s="89"/>
      <c r="BO894" s="89"/>
      <c r="BP894" s="89"/>
    </row>
    <row r="895" spans="1:68" s="56" customFormat="1" ht="27" hidden="1">
      <c r="A895" s="204">
        <f>+IFERROR(VALUE(MID(AB895,4,4)),"")</f>
        <v>274</v>
      </c>
      <c r="B895" s="204">
        <f>VALUE(RIGHT(C895,LEN(C895)-2))</f>
        <v>1828</v>
      </c>
      <c r="C895" s="74" t="s">
        <v>3390</v>
      </c>
      <c r="D895" s="75">
        <v>45142</v>
      </c>
      <c r="E895" s="70" t="s">
        <v>1054</v>
      </c>
      <c r="F895" s="70" t="s">
        <v>252</v>
      </c>
      <c r="G895" s="68" t="s">
        <v>1055</v>
      </c>
      <c r="H895" s="59" t="s">
        <v>1056</v>
      </c>
      <c r="I895" s="69" t="s">
        <v>3391</v>
      </c>
      <c r="J895" s="69"/>
      <c r="K895" s="68" t="s">
        <v>13</v>
      </c>
      <c r="L895" s="69" t="s">
        <v>129</v>
      </c>
      <c r="M895" s="71" t="s">
        <v>141</v>
      </c>
      <c r="N895" s="69" t="e" vm="1">
        <v>#VALUE!</v>
      </c>
      <c r="O895" s="84">
        <v>45226</v>
      </c>
      <c r="P895" s="72" t="s">
        <v>3250</v>
      </c>
      <c r="Q895" s="82" t="s">
        <v>623</v>
      </c>
      <c r="R895" s="69"/>
      <c r="S895" s="146"/>
      <c r="T895" s="68" t="s">
        <v>3</v>
      </c>
      <c r="U895" s="87"/>
      <c r="V895" s="183">
        <v>45156</v>
      </c>
      <c r="W895" s="73">
        <v>595</v>
      </c>
      <c r="X895" s="73">
        <f>14000000/1000000</f>
        <v>14</v>
      </c>
      <c r="Y895" s="83">
        <f>IF(SUM(W895:W895)&gt;0,X895/SUM(W895:W895)*1000000,"N/A")</f>
        <v>23529.411764705881</v>
      </c>
      <c r="Z895" s="183"/>
      <c r="AA895" s="183"/>
      <c r="AB895" s="73" t="s">
        <v>3392</v>
      </c>
      <c r="AC895" s="153"/>
      <c r="AD895" s="331"/>
      <c r="AE895" s="57"/>
      <c r="AF895" s="88"/>
      <c r="AG895" s="182">
        <f>YEAR(V895)</f>
        <v>2023</v>
      </c>
      <c r="AH895" s="86" t="str">
        <f>+IF(AF895=$AI$22,MONTH(U895),"")</f>
        <v/>
      </c>
      <c r="AI895" s="86" t="str">
        <f>+IF(AG895=$AI$22,MONTH(V895),"")</f>
        <v/>
      </c>
      <c r="AJ895" s="86" t="str">
        <f>+IF(AG895=$AJ$22,MONTH(V895),"")</f>
        <v/>
      </c>
      <c r="AK895" s="86">
        <f>+IF(AG895=$AK$22,MONTH(V895),"")</f>
        <v>8</v>
      </c>
      <c r="AL895" s="86" t="str">
        <f>+IF(AG895=$AL$22,MONTH(V895),"")</f>
        <v/>
      </c>
      <c r="AM895" s="86" t="str">
        <f>+IF($AG895=$AM$22,MONTH($D895),"")</f>
        <v/>
      </c>
      <c r="AN895" s="89" t="str">
        <f>+IF($AG895=AN$22,MONTH($D895),"")</f>
        <v/>
      </c>
      <c r="AO895" s="89" t="str">
        <f>+IF($AG895=AO$22,MONTH($D895),"")</f>
        <v/>
      </c>
      <c r="AP895" s="89" t="str">
        <f>+IF($AG895=AP$22,MONTH($D895),"")</f>
        <v/>
      </c>
      <c r="AQ895" s="89" t="str">
        <f>+IF($AG895=AQ$22,MONTH($D895),"")</f>
        <v/>
      </c>
      <c r="AR895" s="89" t="str">
        <f>+IF($AG895=AR$22,MONTH($D895),"")</f>
        <v/>
      </c>
      <c r="AS895" s="89" t="str">
        <f>+IF($AG895=AS$22,MONTH($D895),"")</f>
        <v/>
      </c>
      <c r="AT895" s="89" t="str">
        <f>+IF($AG895=AT$22,MONTH($D895),"")</f>
        <v/>
      </c>
      <c r="AU895" s="89" t="str">
        <f>+IF($AG895=AU$22,MONTH($D895),"")</f>
        <v/>
      </c>
      <c r="AV895" s="89" t="str">
        <f>+IF($AG895=AV$22,MONTH($D895),"")</f>
        <v/>
      </c>
      <c r="AW895" s="86" t="str">
        <f>+IF($AG895=AW$22,MONTH($D895),"")</f>
        <v/>
      </c>
      <c r="AX895" s="86" t="str">
        <f>+IF($AG895=AX$22,MONTH($D895),"")</f>
        <v/>
      </c>
      <c r="AY895" s="89"/>
      <c r="AZ895" s="89"/>
      <c r="BA895" s="89"/>
      <c r="BB895" s="89"/>
      <c r="BC895" s="89"/>
      <c r="BD895" s="89"/>
      <c r="BE895" s="89"/>
      <c r="BF895" s="89"/>
      <c r="BG895" s="89"/>
      <c r="BH895" s="89"/>
      <c r="BI895" s="89"/>
      <c r="BJ895" s="89"/>
      <c r="BK895" s="89"/>
      <c r="BL895" s="89"/>
      <c r="BM895" s="89"/>
      <c r="BN895" s="89"/>
      <c r="BO895" s="89"/>
      <c r="BP895" s="89"/>
    </row>
    <row r="896" spans="1:68" s="56" customFormat="1" ht="13.5" hidden="1">
      <c r="A896" s="204" t="str">
        <f>+IFERROR(VALUE(MID(AB896,4,4)),"")</f>
        <v/>
      </c>
      <c r="B896" s="204">
        <f>VALUE(RIGHT(C896,LEN(C896)-2))</f>
        <v>1827</v>
      </c>
      <c r="C896" s="74" t="s">
        <v>3393</v>
      </c>
      <c r="D896" s="75">
        <v>45141</v>
      </c>
      <c r="E896" s="70" t="s">
        <v>53</v>
      </c>
      <c r="F896" s="70" t="s">
        <v>1379</v>
      </c>
      <c r="G896" s="68" t="s">
        <v>210</v>
      </c>
      <c r="H896" s="59"/>
      <c r="I896" s="69" t="s">
        <v>3394</v>
      </c>
      <c r="J896" s="69"/>
      <c r="K896" s="68" t="s">
        <v>13</v>
      </c>
      <c r="L896" s="69" t="s">
        <v>123</v>
      </c>
      <c r="M896" s="71" t="s">
        <v>141</v>
      </c>
      <c r="N896" s="69" t="e" vm="1">
        <v>#VALUE!</v>
      </c>
      <c r="O896" s="84">
        <v>45175</v>
      </c>
      <c r="P896" s="72" t="s">
        <v>1154</v>
      </c>
      <c r="Q896" s="72" t="s">
        <v>259</v>
      </c>
      <c r="R896" s="162"/>
      <c r="S896" s="146" t="s">
        <v>587</v>
      </c>
      <c r="T896" s="68" t="s">
        <v>155</v>
      </c>
      <c r="U896" s="87"/>
      <c r="V896" s="183">
        <v>45156</v>
      </c>
      <c r="W896" s="73"/>
      <c r="X896" s="73"/>
      <c r="Y896" s="83" t="str">
        <f>IF(SUM(W896:W896)&gt;0,X896/SUM(W896:W896)*1000000,"N/A")</f>
        <v>N/A</v>
      </c>
      <c r="Z896" s="183"/>
      <c r="AA896" s="183"/>
      <c r="AB896" s="73"/>
      <c r="AC896" s="153"/>
      <c r="AD896" s="331"/>
      <c r="AE896" s="57"/>
      <c r="AF896" s="88"/>
      <c r="AG896" s="182">
        <f>YEAR(V896)</f>
        <v>2023</v>
      </c>
      <c r="AH896" s="86" t="str">
        <f>+IF(AF896=$AI$22,MONTH(U896),"")</f>
        <v/>
      </c>
      <c r="AI896" s="86" t="str">
        <f>+IF(AG896=$AI$22,MONTH(V896),"")</f>
        <v/>
      </c>
      <c r="AJ896" s="86" t="str">
        <f>+IF(AG896=$AJ$22,MONTH(V896),"")</f>
        <v/>
      </c>
      <c r="AK896" s="86">
        <f>+IF(AG896=$AK$22,MONTH(V896),"")</f>
        <v>8</v>
      </c>
      <c r="AL896" s="86"/>
      <c r="AM896" s="89"/>
      <c r="AN896" s="89"/>
      <c r="AO896" s="89"/>
      <c r="AP896" s="89"/>
      <c r="AQ896" s="89"/>
      <c r="AR896" s="89"/>
      <c r="AS896" s="89"/>
      <c r="AT896" s="89"/>
      <c r="AU896" s="89"/>
      <c r="AV896" s="89"/>
      <c r="AW896" s="86" t="str">
        <f>+IF($AG896=AW$22,MONTH($D896),"")</f>
        <v/>
      </c>
      <c r="AX896" s="86" t="str">
        <f>+IF($AG896=AX$22,MONTH($D896),"")</f>
        <v/>
      </c>
      <c r="AY896" s="89"/>
      <c r="AZ896" s="89"/>
      <c r="BA896" s="89"/>
      <c r="BB896" s="89"/>
      <c r="BC896" s="89"/>
      <c r="BD896" s="89"/>
      <c r="BE896" s="89"/>
      <c r="BF896" s="89"/>
      <c r="BG896" s="89"/>
      <c r="BH896" s="89"/>
      <c r="BI896" s="89"/>
      <c r="BJ896" s="89"/>
      <c r="BK896" s="89"/>
      <c r="BL896" s="89"/>
      <c r="BM896" s="89"/>
      <c r="BN896" s="89"/>
      <c r="BO896" s="89"/>
      <c r="BP896" s="89"/>
    </row>
    <row r="897" spans="1:68" s="56" customFormat="1" ht="30.75" hidden="1" customHeight="1">
      <c r="A897" s="204" t="str">
        <f>+IFERROR(VALUE(MID(AB897,4,4)),"")</f>
        <v/>
      </c>
      <c r="B897" s="204">
        <f>VALUE(RIGHT(C897,LEN(C897)-2))</f>
        <v>1826</v>
      </c>
      <c r="C897" s="74" t="s">
        <v>3395</v>
      </c>
      <c r="D897" s="75">
        <v>45142</v>
      </c>
      <c r="E897" s="70" t="s">
        <v>53</v>
      </c>
      <c r="F897" s="70" t="s">
        <v>1379</v>
      </c>
      <c r="G897" s="68" t="s">
        <v>210</v>
      </c>
      <c r="H897" s="59"/>
      <c r="I897" s="69" t="s">
        <v>3396</v>
      </c>
      <c r="J897" s="69"/>
      <c r="K897" s="68" t="s">
        <v>3389</v>
      </c>
      <c r="L897" s="69" t="s">
        <v>123</v>
      </c>
      <c r="M897" s="71" t="s">
        <v>141</v>
      </c>
      <c r="N897" s="69" t="e" vm="1">
        <v>#VALUE!</v>
      </c>
      <c r="O897" s="84">
        <v>45181</v>
      </c>
      <c r="P897" s="72"/>
      <c r="Q897" s="72" t="s">
        <v>389</v>
      </c>
      <c r="R897" s="162"/>
      <c r="S897" s="146" t="s">
        <v>3362</v>
      </c>
      <c r="T897" s="68" t="s">
        <v>155</v>
      </c>
      <c r="U897" s="87"/>
      <c r="V897" s="183">
        <v>45156</v>
      </c>
      <c r="W897" s="73"/>
      <c r="X897" s="73"/>
      <c r="Y897" s="83" t="str">
        <f>IF(SUM(W897:W897)&gt;0,X897/SUM(W897:W897)*1000000,"N/A")</f>
        <v>N/A</v>
      </c>
      <c r="Z897" s="183"/>
      <c r="AA897" s="183"/>
      <c r="AB897" s="73"/>
      <c r="AC897" s="153"/>
      <c r="AD897" s="331"/>
      <c r="AE897" s="57"/>
      <c r="AF897" s="88"/>
      <c r="AG897" s="182">
        <f>YEAR(V897)</f>
        <v>2023</v>
      </c>
      <c r="AH897" s="86" t="str">
        <f>+IF(AF897=$AI$22,MONTH(U897),"")</f>
        <v/>
      </c>
      <c r="AI897" s="86" t="str">
        <f>+IF(AG897=$AI$22,MONTH(V897),"")</f>
        <v/>
      </c>
      <c r="AJ897" s="86" t="str">
        <f>+IF(AG897=$AJ$22,MONTH(V897),"")</f>
        <v/>
      </c>
      <c r="AK897" s="86">
        <f>+IF(AG897=$AK$22,MONTH(V897),"")</f>
        <v>8</v>
      </c>
      <c r="AL897" s="86"/>
      <c r="AM897" s="89"/>
      <c r="AN897" s="89"/>
      <c r="AO897" s="89"/>
      <c r="AP897" s="89"/>
      <c r="AQ897" s="89"/>
      <c r="AR897" s="89"/>
      <c r="AS897" s="89"/>
      <c r="AT897" s="89"/>
      <c r="AU897" s="89"/>
      <c r="AV897" s="89"/>
      <c r="AW897" s="86" t="str">
        <f>+IF($AG897=AW$22,MONTH($D897),"")</f>
        <v/>
      </c>
      <c r="AX897" s="86" t="str">
        <f>+IF($AG897=AX$22,MONTH($D897),"")</f>
        <v/>
      </c>
      <c r="AY897" s="89"/>
      <c r="AZ897" s="89"/>
      <c r="BA897" s="89"/>
      <c r="BB897" s="89"/>
      <c r="BC897" s="89"/>
      <c r="BD897" s="89"/>
      <c r="BE897" s="89"/>
      <c r="BF897" s="89"/>
      <c r="BG897" s="89"/>
      <c r="BH897" s="89"/>
      <c r="BI897" s="89"/>
      <c r="BJ897" s="89"/>
      <c r="BK897" s="89"/>
      <c r="BL897" s="89"/>
      <c r="BM897" s="89"/>
      <c r="BN897" s="89"/>
      <c r="BO897" s="89"/>
      <c r="BP897" s="89"/>
    </row>
    <row r="898" spans="1:68" s="56" customFormat="1" ht="27" hidden="1">
      <c r="A898" s="204">
        <f>+IFERROR(VALUE(MID(AB898,4,4)),"")</f>
        <v>265</v>
      </c>
      <c r="B898" s="204">
        <f>VALUE(RIGHT(C898,LEN(C898)-2))</f>
        <v>1825</v>
      </c>
      <c r="C898" s="74" t="s">
        <v>3397</v>
      </c>
      <c r="D898" s="75">
        <v>45141</v>
      </c>
      <c r="E898" s="70" t="s">
        <v>332</v>
      </c>
      <c r="F898" s="70" t="s">
        <v>332</v>
      </c>
      <c r="G898" s="68" t="s">
        <v>333</v>
      </c>
      <c r="H898" s="59" t="s">
        <v>3052</v>
      </c>
      <c r="I898" s="69" t="s">
        <v>3398</v>
      </c>
      <c r="J898" s="69"/>
      <c r="K898" s="68" t="s">
        <v>12</v>
      </c>
      <c r="L898" s="69" t="s">
        <v>129</v>
      </c>
      <c r="M898" s="71" t="s">
        <v>141</v>
      </c>
      <c r="N898" s="69" t="e" vm="1">
        <v>#VALUE!</v>
      </c>
      <c r="O898" s="84">
        <v>45152</v>
      </c>
      <c r="P898" s="72" t="s">
        <v>382</v>
      </c>
      <c r="Q898" s="72" t="s">
        <v>623</v>
      </c>
      <c r="R898" s="162"/>
      <c r="S898" s="146"/>
      <c r="T898" s="68" t="s">
        <v>3</v>
      </c>
      <c r="U898" s="87">
        <v>0</v>
      </c>
      <c r="V898" s="80">
        <v>45148</v>
      </c>
      <c r="W898" s="73">
        <v>170</v>
      </c>
      <c r="X898" s="73">
        <f>7638940/1000000</f>
        <v>7.6389399999999998</v>
      </c>
      <c r="Y898" s="83">
        <f>IF(SUM(W898:W898)&gt;0,X898/SUM(W898:W898)*1000000,"N/A")</f>
        <v>44934.941176470587</v>
      </c>
      <c r="Z898" s="80"/>
      <c r="AA898" s="80"/>
      <c r="AB898" s="73" t="s">
        <v>3399</v>
      </c>
      <c r="AC898" s="153"/>
      <c r="AD898" s="331"/>
      <c r="AE898" s="57"/>
      <c r="AF898" s="88"/>
      <c r="AG898" s="182">
        <f>YEAR(V898)</f>
        <v>2023</v>
      </c>
      <c r="AH898" s="86" t="str">
        <f>+IF(AF898=$AI$22,MONTH(U898),"")</f>
        <v/>
      </c>
      <c r="AI898" s="86" t="str">
        <f>+IF(AG898=$AI$22,MONTH(V898),"")</f>
        <v/>
      </c>
      <c r="AJ898" s="86" t="str">
        <f>+IF(AG898=$AJ$22,MONTH(V898),"")</f>
        <v/>
      </c>
      <c r="AK898" s="86">
        <f>+IF(AG898=$AK$22,MONTH(V898),"")</f>
        <v>8</v>
      </c>
      <c r="AL898" s="86"/>
      <c r="AM898" s="89"/>
      <c r="AN898" s="89"/>
      <c r="AO898" s="89"/>
      <c r="AP898" s="89"/>
      <c r="AQ898" s="89"/>
      <c r="AR898" s="89"/>
      <c r="AS898" s="89"/>
      <c r="AT898" s="89"/>
      <c r="AU898" s="89"/>
      <c r="AV898" s="89"/>
      <c r="AW898" s="86" t="str">
        <f>+IF($AG898=AW$22,MONTH($D898),"")</f>
        <v/>
      </c>
      <c r="AX898" s="86" t="str">
        <f>+IF($AG898=AX$22,MONTH($D898),"")</f>
        <v/>
      </c>
      <c r="AY898" s="89"/>
      <c r="AZ898" s="89"/>
      <c r="BA898" s="89"/>
      <c r="BB898" s="89"/>
      <c r="BC898" s="89"/>
      <c r="BD898" s="89"/>
      <c r="BE898" s="89"/>
      <c r="BF898" s="89"/>
      <c r="BG898" s="89"/>
      <c r="BH898" s="89"/>
      <c r="BI898" s="89"/>
      <c r="BJ898" s="89"/>
      <c r="BK898" s="89"/>
      <c r="BL898" s="89"/>
      <c r="BM898" s="89"/>
      <c r="BN898" s="89"/>
      <c r="BO898" s="89"/>
      <c r="BP898" s="89"/>
    </row>
    <row r="899" spans="1:68" s="56" customFormat="1" ht="27" hidden="1">
      <c r="A899" s="204" t="str">
        <f>+IFERROR(VALUE(MID(AB899,4,4)),"")</f>
        <v/>
      </c>
      <c r="B899" s="204">
        <f>VALUE(RIGHT(C899,LEN(C899)-2))</f>
        <v>1824</v>
      </c>
      <c r="C899" s="74" t="s">
        <v>3400</v>
      </c>
      <c r="D899" s="75">
        <v>45140</v>
      </c>
      <c r="E899" s="70" t="s">
        <v>939</v>
      </c>
      <c r="F899" s="70" t="s">
        <v>940</v>
      </c>
      <c r="G899" s="68" t="s">
        <v>3401</v>
      </c>
      <c r="H899" s="59" t="s">
        <v>3402</v>
      </c>
      <c r="I899" s="69" t="s">
        <v>3403</v>
      </c>
      <c r="J899" s="69"/>
      <c r="K899" s="68" t="s">
        <v>13</v>
      </c>
      <c r="L899" s="69" t="s">
        <v>120</v>
      </c>
      <c r="M899" s="71" t="s">
        <v>141</v>
      </c>
      <c r="N899" s="69" t="e" vm="1">
        <v>#VALUE!</v>
      </c>
      <c r="O899" s="84">
        <v>45142</v>
      </c>
      <c r="P899" s="72" t="s">
        <v>228</v>
      </c>
      <c r="Q899" s="72" t="s">
        <v>45</v>
      </c>
      <c r="R899" s="162"/>
      <c r="S899" s="146"/>
      <c r="T899" s="68" t="s">
        <v>165</v>
      </c>
      <c r="U899" s="87"/>
      <c r="V899" s="80">
        <v>45327</v>
      </c>
      <c r="W899" s="73">
        <v>266</v>
      </c>
      <c r="X899" s="73">
        <v>11.47465476</v>
      </c>
      <c r="Y899" s="83">
        <f>IF(SUM(W899:W899)&gt;0,X899/SUM(W899:W899)*1000000,"N/A")</f>
        <v>43137.799849624062</v>
      </c>
      <c r="Z899" s="80"/>
      <c r="AA899" s="80"/>
      <c r="AB899" s="73"/>
      <c r="AC899" s="153"/>
      <c r="AD899" s="331"/>
      <c r="AE899" s="57"/>
      <c r="AF899" s="88"/>
      <c r="AG899" s="182">
        <f>YEAR(V899)</f>
        <v>2024</v>
      </c>
      <c r="AH899" s="86" t="str">
        <f>+IF(AF899=$AI$22,MONTH(U899),"")</f>
        <v/>
      </c>
      <c r="AI899" s="86" t="str">
        <f>+IF(AG899=$AI$22,MONTH(V899),"")</f>
        <v/>
      </c>
      <c r="AJ899" s="86">
        <f>+IF(AG899=$AJ$22,MONTH(V899),"")</f>
        <v>2</v>
      </c>
      <c r="AK899" s="86" t="str">
        <f>+IF(AG899=$AK$22,MONTH(V899),"")</f>
        <v/>
      </c>
      <c r="AL899" s="86" t="str">
        <f>+IF(AG899=$AL$22,MONTH(V899),"")</f>
        <v/>
      </c>
      <c r="AM899" s="86" t="str">
        <f>+IF($AG899=$AM$22,MONTH($D899),"")</f>
        <v/>
      </c>
      <c r="AN899" s="89" t="str">
        <f>+IF($AG899=AN$22,MONTH($D899),"")</f>
        <v/>
      </c>
      <c r="AO899" s="89" t="str">
        <f>+IF($AG899=AO$22,MONTH($D899),"")</f>
        <v/>
      </c>
      <c r="AP899" s="89" t="str">
        <f>+IF($AG899=AP$22,MONTH($D899),"")</f>
        <v/>
      </c>
      <c r="AQ899" s="89" t="str">
        <f>+IF($AG899=AQ$22,MONTH($D899),"")</f>
        <v/>
      </c>
      <c r="AR899" s="89" t="str">
        <f>+IF($AG899=AR$22,MONTH($D899),"")</f>
        <v/>
      </c>
      <c r="AS899" s="89" t="str">
        <f>+IF($AG899=AS$22,MONTH($D899),"")</f>
        <v/>
      </c>
      <c r="AT899" s="89" t="str">
        <f>+IF($AG899=AT$22,MONTH($D899),"")</f>
        <v/>
      </c>
      <c r="AU899" s="89" t="str">
        <f>+IF($AG899=AU$22,MONTH($D899),"")</f>
        <v/>
      </c>
      <c r="AV899" s="89" t="str">
        <f>+IF($AG899=AV$22,MONTH($D899),"")</f>
        <v/>
      </c>
      <c r="AW899" s="86" t="str">
        <f>+IF($AG899=AW$22,MONTH($D899),"")</f>
        <v/>
      </c>
      <c r="AX899" s="86" t="str">
        <f>+IF($AG899=AX$22,MONTH($D899),"")</f>
        <v/>
      </c>
      <c r="AY899" s="89"/>
      <c r="AZ899" s="89"/>
      <c r="BA899" s="89"/>
      <c r="BB899" s="89"/>
      <c r="BC899" s="89"/>
      <c r="BD899" s="89"/>
      <c r="BE899" s="89"/>
      <c r="BF899" s="89"/>
      <c r="BG899" s="89"/>
      <c r="BH899" s="89"/>
      <c r="BI899" s="89"/>
      <c r="BJ899" s="89"/>
      <c r="BK899" s="89"/>
      <c r="BL899" s="89"/>
      <c r="BM899" s="89"/>
      <c r="BN899" s="89"/>
      <c r="BO899" s="89"/>
      <c r="BP899" s="89"/>
    </row>
    <row r="900" spans="1:68" s="56" customFormat="1" ht="19.5" hidden="1" customHeight="1">
      <c r="A900" s="204" t="str">
        <f>+IFERROR(VALUE(MID(AB900,4,4)),"")</f>
        <v/>
      </c>
      <c r="B900" s="204">
        <f>VALUE(RIGHT(C900,LEN(C900)-2))</f>
        <v>1823</v>
      </c>
      <c r="C900" s="74" t="s">
        <v>3404</v>
      </c>
      <c r="D900" s="75">
        <v>45139</v>
      </c>
      <c r="E900" s="70" t="s">
        <v>53</v>
      </c>
      <c r="F900" s="70" t="s">
        <v>252</v>
      </c>
      <c r="G900" s="68" t="s">
        <v>210</v>
      </c>
      <c r="H900" s="59"/>
      <c r="I900" s="69" t="s">
        <v>3405</v>
      </c>
      <c r="J900" s="69"/>
      <c r="K900" s="68" t="s">
        <v>12</v>
      </c>
      <c r="L900" s="69" t="s">
        <v>123</v>
      </c>
      <c r="M900" s="71" t="s">
        <v>141</v>
      </c>
      <c r="N900" s="69" t="e" vm="1">
        <v>#VALUE!</v>
      </c>
      <c r="O900" s="84">
        <v>45180</v>
      </c>
      <c r="P900" s="72" t="s">
        <v>3273</v>
      </c>
      <c r="Q900" s="72" t="s">
        <v>623</v>
      </c>
      <c r="R900" s="162"/>
      <c r="S900" s="146" t="s">
        <v>3406</v>
      </c>
      <c r="T900" s="68" t="s">
        <v>155</v>
      </c>
      <c r="U900" s="87"/>
      <c r="V900" s="80">
        <v>45173</v>
      </c>
      <c r="W900" s="73"/>
      <c r="X900" s="73"/>
      <c r="Y900" s="83" t="str">
        <f>IF(SUM(W900:W900)&gt;0,X900/SUM(W900:W900)*1000000,"N/A")</f>
        <v>N/A</v>
      </c>
      <c r="Z900" s="80"/>
      <c r="AA900" s="80"/>
      <c r="AB900" s="73"/>
      <c r="AC900" s="153"/>
      <c r="AD900" s="331"/>
      <c r="AE900" s="57"/>
      <c r="AF900" s="88"/>
      <c r="AG900" s="182">
        <f>YEAR(V900)</f>
        <v>2023</v>
      </c>
      <c r="AH900" s="86" t="str">
        <f>+IF(AF900=$AI$22,MONTH(U900),"")</f>
        <v/>
      </c>
      <c r="AI900" s="86" t="str">
        <f>+IF(AG900=$AI$22,MONTH(V900),"")</f>
        <v/>
      </c>
      <c r="AJ900" s="86" t="str">
        <f>+IF(AG900=$AJ$22,MONTH(V900),"")</f>
        <v/>
      </c>
      <c r="AK900" s="86">
        <f>+IF(AG900=$AK$22,MONTH(V900),"")</f>
        <v>9</v>
      </c>
      <c r="AL900" s="86"/>
      <c r="AM900" s="89"/>
      <c r="AN900" s="89"/>
      <c r="AO900" s="89"/>
      <c r="AP900" s="89"/>
      <c r="AQ900" s="89"/>
      <c r="AR900" s="89"/>
      <c r="AS900" s="89"/>
      <c r="AT900" s="89"/>
      <c r="AU900" s="89"/>
      <c r="AV900" s="89"/>
      <c r="AW900" s="86" t="str">
        <f>+IF($AG900=AW$22,MONTH($D900),"")</f>
        <v/>
      </c>
      <c r="AX900" s="86" t="str">
        <f>+IF($AG900=AX$22,MONTH($D900),"")</f>
        <v/>
      </c>
      <c r="AY900" s="89"/>
      <c r="AZ900" s="89"/>
      <c r="BA900" s="89"/>
      <c r="BB900" s="89"/>
      <c r="BC900" s="89"/>
      <c r="BD900" s="89"/>
      <c r="BE900" s="89"/>
      <c r="BF900" s="89"/>
      <c r="BG900" s="89"/>
      <c r="BH900" s="89"/>
      <c r="BI900" s="89"/>
      <c r="BJ900" s="89"/>
      <c r="BK900" s="89"/>
      <c r="BL900" s="89"/>
      <c r="BM900" s="89"/>
      <c r="BN900" s="89"/>
      <c r="BO900" s="89"/>
      <c r="BP900" s="89"/>
    </row>
    <row r="901" spans="1:68" s="56" customFormat="1" ht="27" hidden="1">
      <c r="A901" s="204" t="str">
        <f>+IFERROR(VALUE(MID(AB901,4,4)),"")</f>
        <v/>
      </c>
      <c r="B901" s="204">
        <f>VALUE(RIGHT(C901,LEN(C901)-2))</f>
        <v>1822</v>
      </c>
      <c r="C901" s="74" t="s">
        <v>3407</v>
      </c>
      <c r="D901" s="75">
        <v>45139</v>
      </c>
      <c r="E901" s="70" t="s">
        <v>53</v>
      </c>
      <c r="F901" s="70" t="s">
        <v>1379</v>
      </c>
      <c r="G901" s="68" t="s">
        <v>210</v>
      </c>
      <c r="H901" s="59"/>
      <c r="I901" s="69" t="s">
        <v>3408</v>
      </c>
      <c r="J901" s="69"/>
      <c r="K901" s="68" t="s">
        <v>14</v>
      </c>
      <c r="L901" s="69" t="s">
        <v>123</v>
      </c>
      <c r="M901" s="71" t="s">
        <v>141</v>
      </c>
      <c r="N901" s="69" t="e" vm="1">
        <v>#VALUE!</v>
      </c>
      <c r="O901" s="84">
        <v>45181</v>
      </c>
      <c r="P901" s="72"/>
      <c r="Q901" s="72" t="s">
        <v>259</v>
      </c>
      <c r="R901" s="162"/>
      <c r="S901" s="146" t="s">
        <v>3362</v>
      </c>
      <c r="T901" s="68" t="s">
        <v>155</v>
      </c>
      <c r="U901" s="87"/>
      <c r="V901" s="80">
        <v>45140</v>
      </c>
      <c r="W901" s="73"/>
      <c r="X901" s="73"/>
      <c r="Y901" s="83" t="str">
        <f>IF(SUM(W901:W901)&gt;0,X901/SUM(W901:W901)*1000000,"N/A")</f>
        <v>N/A</v>
      </c>
      <c r="Z901" s="80"/>
      <c r="AA901" s="80"/>
      <c r="AB901" s="73"/>
      <c r="AC901" s="153"/>
      <c r="AD901" s="331"/>
      <c r="AE901" s="57"/>
      <c r="AF901" s="88"/>
      <c r="AG901" s="182">
        <f>YEAR(V901)</f>
        <v>2023</v>
      </c>
      <c r="AH901" s="86" t="str">
        <f>+IF(AF901=$AI$22,MONTH(U901),"")</f>
        <v/>
      </c>
      <c r="AI901" s="86" t="str">
        <f>+IF(AG901=$AI$22,MONTH(V901),"")</f>
        <v/>
      </c>
      <c r="AJ901" s="86" t="str">
        <f>+IF(AG901=$AJ$22,MONTH(V901),"")</f>
        <v/>
      </c>
      <c r="AK901" s="86">
        <f>+IF(AG901=$AK$22,MONTH(V901),"")</f>
        <v>8</v>
      </c>
      <c r="AL901" s="86"/>
      <c r="AM901" s="89"/>
      <c r="AN901" s="89"/>
      <c r="AO901" s="89"/>
      <c r="AP901" s="89"/>
      <c r="AQ901" s="89"/>
      <c r="AR901" s="89"/>
      <c r="AS901" s="89"/>
      <c r="AT901" s="89"/>
      <c r="AU901" s="89"/>
      <c r="AV901" s="89"/>
      <c r="AW901" s="86" t="str">
        <f>+IF($AG901=AW$22,MONTH($D901),"")</f>
        <v/>
      </c>
      <c r="AX901" s="86" t="str">
        <f>+IF($AG901=AX$22,MONTH($D901),"")</f>
        <v/>
      </c>
      <c r="AY901" s="89"/>
      <c r="AZ901" s="89"/>
      <c r="BA901" s="89"/>
      <c r="BB901" s="89"/>
      <c r="BC901" s="89"/>
      <c r="BD901" s="89"/>
      <c r="BE901" s="89"/>
      <c r="BF901" s="89"/>
      <c r="BG901" s="89"/>
      <c r="BH901" s="89"/>
      <c r="BI901" s="89"/>
      <c r="BJ901" s="89"/>
      <c r="BK901" s="89"/>
      <c r="BL901" s="89"/>
      <c r="BM901" s="89"/>
      <c r="BN901" s="89"/>
      <c r="BO901" s="89"/>
      <c r="BP901" s="89"/>
    </row>
    <row r="902" spans="1:68" s="56" customFormat="1" ht="13.5" hidden="1">
      <c r="A902" s="204" t="str">
        <f>+IFERROR(VALUE(MID(AB902,4,4)),"")</f>
        <v/>
      </c>
      <c r="B902" s="204">
        <f>VALUE(RIGHT(C902,LEN(C902)-2))</f>
        <v>1821</v>
      </c>
      <c r="C902" s="74" t="s">
        <v>3409</v>
      </c>
      <c r="D902" s="75">
        <v>45139</v>
      </c>
      <c r="E902" s="70" t="s">
        <v>53</v>
      </c>
      <c r="F902" s="70" t="s">
        <v>460</v>
      </c>
      <c r="G902" s="68" t="s">
        <v>210</v>
      </c>
      <c r="H902" s="59"/>
      <c r="I902" s="69" t="s">
        <v>3410</v>
      </c>
      <c r="J902" s="69"/>
      <c r="K902" s="68" t="s">
        <v>275</v>
      </c>
      <c r="L902" s="69" t="s">
        <v>123</v>
      </c>
      <c r="M902" s="71" t="s">
        <v>141</v>
      </c>
      <c r="N902" s="69" t="e" vm="1">
        <v>#VALUE!</v>
      </c>
      <c r="O902" s="84">
        <v>45181</v>
      </c>
      <c r="P902" s="72" t="s">
        <v>1154</v>
      </c>
      <c r="Q902" s="72" t="s">
        <v>259</v>
      </c>
      <c r="R902" s="162"/>
      <c r="S902" s="146" t="s">
        <v>587</v>
      </c>
      <c r="T902" s="68" t="s">
        <v>155</v>
      </c>
      <c r="U902" s="87"/>
      <c r="V902" s="80">
        <v>45149</v>
      </c>
      <c r="W902" s="73"/>
      <c r="X902" s="73"/>
      <c r="Y902" s="83" t="str">
        <f>IF(SUM(W902:W902)&gt;0,X902/SUM(W902:W902)*1000000,"N/A")</f>
        <v>N/A</v>
      </c>
      <c r="Z902" s="80"/>
      <c r="AA902" s="80"/>
      <c r="AB902" s="73"/>
      <c r="AC902" s="153"/>
      <c r="AD902" s="331"/>
      <c r="AE902" s="57"/>
      <c r="AF902" s="88"/>
      <c r="AG902" s="182">
        <f>YEAR(V902)</f>
        <v>2023</v>
      </c>
      <c r="AH902" s="86" t="str">
        <f>+IF(AF902=$AI$22,MONTH(U902),"")</f>
        <v/>
      </c>
      <c r="AI902" s="86" t="str">
        <f>+IF(AG902=$AI$22,MONTH(V902),"")</f>
        <v/>
      </c>
      <c r="AJ902" s="86" t="str">
        <f>+IF(AG902=$AJ$22,MONTH(V902),"")</f>
        <v/>
      </c>
      <c r="AK902" s="86">
        <f>+IF(AG902=$AK$22,MONTH(V902),"")</f>
        <v>8</v>
      </c>
      <c r="AL902" s="86"/>
      <c r="AM902" s="89"/>
      <c r="AN902" s="89"/>
      <c r="AO902" s="89"/>
      <c r="AP902" s="89"/>
      <c r="AQ902" s="89"/>
      <c r="AR902" s="89"/>
      <c r="AS902" s="89"/>
      <c r="AT902" s="89"/>
      <c r="AU902" s="89"/>
      <c r="AV902" s="89"/>
      <c r="AW902" s="86" t="str">
        <f>+IF($AG902=AW$22,MONTH($D902),"")</f>
        <v/>
      </c>
      <c r="AX902" s="86" t="str">
        <f>+IF($AG902=AX$22,MONTH($D902),"")</f>
        <v/>
      </c>
      <c r="AY902" s="89"/>
      <c r="AZ902" s="89"/>
      <c r="BA902" s="89"/>
      <c r="BB902" s="89"/>
      <c r="BC902" s="89"/>
      <c r="BD902" s="89"/>
      <c r="BE902" s="89"/>
      <c r="BF902" s="89"/>
      <c r="BG902" s="89"/>
      <c r="BH902" s="89"/>
      <c r="BI902" s="89"/>
      <c r="BJ902" s="89"/>
      <c r="BK902" s="89"/>
      <c r="BL902" s="89"/>
      <c r="BM902" s="89"/>
      <c r="BN902" s="89"/>
      <c r="BO902" s="89"/>
      <c r="BP902" s="89"/>
    </row>
    <row r="903" spans="1:68" s="56" customFormat="1" ht="13.5" hidden="1">
      <c r="A903" s="204" t="str">
        <f>+IFERROR(VALUE(MID(AB903,4,4)),"")</f>
        <v/>
      </c>
      <c r="B903" s="204">
        <f>VALUE(RIGHT(C903,LEN(C903)-2))</f>
        <v>1820</v>
      </c>
      <c r="C903" s="74" t="s">
        <v>3411</v>
      </c>
      <c r="D903" s="75">
        <v>45138</v>
      </c>
      <c r="E903" s="70" t="s">
        <v>53</v>
      </c>
      <c r="F903" s="70" t="s">
        <v>1379</v>
      </c>
      <c r="G903" s="68" t="s">
        <v>210</v>
      </c>
      <c r="H903" s="59"/>
      <c r="I903" s="69" t="s">
        <v>3412</v>
      </c>
      <c r="J903" s="69"/>
      <c r="K903" s="68" t="s">
        <v>598</v>
      </c>
      <c r="L903" s="69" t="s">
        <v>123</v>
      </c>
      <c r="M903" s="71" t="s">
        <v>141</v>
      </c>
      <c r="N903" s="69" t="e" vm="1">
        <v>#VALUE!</v>
      </c>
      <c r="O903" s="84">
        <v>45174</v>
      </c>
      <c r="P903" s="72" t="s">
        <v>701</v>
      </c>
      <c r="Q903" s="72" t="s">
        <v>229</v>
      </c>
      <c r="R903" s="162"/>
      <c r="S903" s="176">
        <v>0.5</v>
      </c>
      <c r="T903" s="68" t="s">
        <v>165</v>
      </c>
      <c r="U903" s="87"/>
      <c r="V903" s="80">
        <v>45247</v>
      </c>
      <c r="W903" s="73">
        <v>8231</v>
      </c>
      <c r="X903" s="73">
        <f>300283559/1000000</f>
        <v>300.28355900000003</v>
      </c>
      <c r="Y903" s="83">
        <f>IF(SUM(W903:W903)&gt;0,X903/SUM(W903:W903)*1000000,"N/A")</f>
        <v>36482.026363746809</v>
      </c>
      <c r="Z903" s="80"/>
      <c r="AA903" s="80"/>
      <c r="AB903" s="73"/>
      <c r="AC903" s="153"/>
      <c r="AD903" s="331"/>
      <c r="AE903" s="57"/>
      <c r="AF903" s="88"/>
      <c r="AG903" s="182">
        <f>YEAR(V903)</f>
        <v>2023</v>
      </c>
      <c r="AH903" s="86" t="str">
        <f>+IF(AF903=$AI$22,MONTH(U903),"")</f>
        <v/>
      </c>
      <c r="AI903" s="86" t="str">
        <f>+IF(AG903=$AI$22,MONTH(V903),"")</f>
        <v/>
      </c>
      <c r="AJ903" s="86" t="str">
        <f>+IF(AG903=$AJ$22,MONTH(V903),"")</f>
        <v/>
      </c>
      <c r="AK903" s="86">
        <f>+IF(AG903=$AK$22,MONTH(V903),"")</f>
        <v>11</v>
      </c>
      <c r="AL903" s="86"/>
      <c r="AM903" s="89"/>
      <c r="AN903" s="89"/>
      <c r="AO903" s="89"/>
      <c r="AP903" s="89"/>
      <c r="AQ903" s="89"/>
      <c r="AR903" s="89"/>
      <c r="AS903" s="89"/>
      <c r="AT903" s="89"/>
      <c r="AU903" s="89"/>
      <c r="AV903" s="89"/>
      <c r="AW903" s="86" t="str">
        <f>+IF($AG903=AW$22,MONTH($D903),"")</f>
        <v/>
      </c>
      <c r="AX903" s="86" t="str">
        <f>+IF($AG903=AX$22,MONTH($D903),"")</f>
        <v/>
      </c>
      <c r="AY903" s="89"/>
      <c r="AZ903" s="89"/>
      <c r="BA903" s="89"/>
      <c r="BB903" s="89"/>
      <c r="BC903" s="89"/>
      <c r="BD903" s="89"/>
      <c r="BE903" s="89"/>
      <c r="BF903" s="89"/>
      <c r="BG903" s="89"/>
      <c r="BH903" s="89"/>
      <c r="BI903" s="89"/>
      <c r="BJ903" s="89"/>
      <c r="BK903" s="89"/>
      <c r="BL903" s="89"/>
      <c r="BM903" s="89"/>
      <c r="BN903" s="89"/>
      <c r="BO903" s="89"/>
      <c r="BP903" s="89"/>
    </row>
    <row r="904" spans="1:68" s="56" customFormat="1" ht="27" hidden="1">
      <c r="A904" s="204">
        <f>+IFERROR(VALUE(MID(AB904,4,4)),"")</f>
        <v>348</v>
      </c>
      <c r="B904" s="204">
        <f>VALUE(RIGHT(C904,LEN(C904)-2))</f>
        <v>1819</v>
      </c>
      <c r="C904" s="159" t="s">
        <v>3413</v>
      </c>
      <c r="D904" s="160">
        <v>45138</v>
      </c>
      <c r="E904" s="161" t="s">
        <v>3089</v>
      </c>
      <c r="F904" s="161" t="s">
        <v>3089</v>
      </c>
      <c r="G904" s="76" t="s">
        <v>3090</v>
      </c>
      <c r="H904" s="179" t="s">
        <v>3091</v>
      </c>
      <c r="I904" s="162" t="s">
        <v>3414</v>
      </c>
      <c r="J904" s="162"/>
      <c r="K904" s="274" t="s">
        <v>90</v>
      </c>
      <c r="L904" s="162" t="s">
        <v>120</v>
      </c>
      <c r="M904" s="163" t="s">
        <v>141</v>
      </c>
      <c r="N904" s="162" t="e" vm="1">
        <v>#VALUE!</v>
      </c>
      <c r="O904" s="164">
        <v>45159</v>
      </c>
      <c r="P904" s="72" t="s">
        <v>701</v>
      </c>
      <c r="Q904" s="162" t="s">
        <v>310</v>
      </c>
      <c r="R904" s="162"/>
      <c r="S904" s="155"/>
      <c r="T904" s="68" t="s">
        <v>3</v>
      </c>
      <c r="U904" s="211"/>
      <c r="V904" s="183">
        <v>45149</v>
      </c>
      <c r="W904" s="150">
        <v>8</v>
      </c>
      <c r="X904" s="213">
        <v>0.57734112000000004</v>
      </c>
      <c r="Y904" s="169">
        <f>IF(SUM(W904:W904)&gt;0,X904/SUM(W904:W904)*1000000,"N/A")</f>
        <v>72167.64</v>
      </c>
      <c r="Z904" s="183"/>
      <c r="AA904" s="183"/>
      <c r="AB904" s="150" t="s">
        <v>3415</v>
      </c>
      <c r="AC904" s="165"/>
      <c r="AD904" s="335"/>
      <c r="AE904" s="61"/>
      <c r="AF904" s="281"/>
      <c r="AG904" s="182">
        <f>YEAR(V904)</f>
        <v>2023</v>
      </c>
      <c r="AH904" s="86" t="str">
        <f>+IF(AF904=$AI$22,MONTH(U904),"")</f>
        <v/>
      </c>
      <c r="AI904" s="86" t="str">
        <f>+IF(AG904=$AI$22,MONTH(V904),"")</f>
        <v/>
      </c>
      <c r="AJ904" s="86" t="str">
        <f>+IF(AG904=$AJ$22,MONTH(V904),"")</f>
        <v/>
      </c>
      <c r="AK904" s="168">
        <f>+IF(AG904=$AK$22,MONTH(V904),"")</f>
        <v>8</v>
      </c>
      <c r="AL904" s="168"/>
      <c r="AM904" s="167"/>
      <c r="AN904" s="167"/>
      <c r="AO904" s="167"/>
      <c r="AP904" s="167"/>
      <c r="AQ904" s="167"/>
      <c r="AR904" s="167"/>
      <c r="AS904" s="167"/>
      <c r="AT904" s="167"/>
      <c r="AU904" s="167"/>
      <c r="AV904" s="167"/>
      <c r="AW904" s="86"/>
      <c r="AX904" s="86"/>
      <c r="AY904" s="89"/>
      <c r="AZ904" s="89"/>
      <c r="BA904" s="89"/>
      <c r="BB904" s="89"/>
      <c r="BC904" s="89"/>
      <c r="BD904" s="89"/>
      <c r="BE904" s="89"/>
      <c r="BF904" s="89"/>
      <c r="BG904" s="89"/>
      <c r="BH904" s="89"/>
      <c r="BI904" s="89"/>
      <c r="BJ904" s="89"/>
      <c r="BK904" s="89"/>
      <c r="BL904" s="89"/>
      <c r="BM904" s="89"/>
      <c r="BN904" s="89"/>
      <c r="BO904" s="89"/>
      <c r="BP904" s="89"/>
    </row>
    <row r="905" spans="1:68" s="56" customFormat="1" ht="81" hidden="1">
      <c r="A905" s="204" t="str">
        <f>+IFERROR(VALUE(MID(AB905,4,4)),"")</f>
        <v/>
      </c>
      <c r="B905" s="204">
        <f>VALUE(RIGHT(C905,LEN(C905)-2))</f>
        <v>1818</v>
      </c>
      <c r="C905" s="159" t="s">
        <v>3416</v>
      </c>
      <c r="D905" s="160">
        <v>45134</v>
      </c>
      <c r="E905" s="70" t="s">
        <v>353</v>
      </c>
      <c r="F905" s="161" t="s">
        <v>2570</v>
      </c>
      <c r="G905" s="76" t="s">
        <v>3417</v>
      </c>
      <c r="H905" s="179" t="s">
        <v>3418</v>
      </c>
      <c r="I905" s="162" t="s">
        <v>3419</v>
      </c>
      <c r="J905" s="162"/>
      <c r="K905" s="274" t="s">
        <v>9</v>
      </c>
      <c r="L905" s="162" t="s">
        <v>120</v>
      </c>
      <c r="M905" s="163" t="s">
        <v>141</v>
      </c>
      <c r="N905" s="162" t="e" vm="1">
        <v>#VALUE!</v>
      </c>
      <c r="O905" s="164">
        <v>45160</v>
      </c>
      <c r="P905" s="72" t="s">
        <v>1154</v>
      </c>
      <c r="Q905" s="72" t="s">
        <v>259</v>
      </c>
      <c r="R905" s="162"/>
      <c r="S905" s="155" t="s">
        <v>3420</v>
      </c>
      <c r="T905" s="68" t="s">
        <v>155</v>
      </c>
      <c r="U905" s="211"/>
      <c r="V905" s="183">
        <v>45149</v>
      </c>
      <c r="W905" s="150"/>
      <c r="X905" s="150"/>
      <c r="Y905" s="169" t="str">
        <f>IF(SUM(W905:W905)&gt;0,X905/SUM(W905:W905)*1000000,"N/A")</f>
        <v>N/A</v>
      </c>
      <c r="Z905" s="183"/>
      <c r="AA905" s="183"/>
      <c r="AB905" s="150"/>
      <c r="AC905" s="165"/>
      <c r="AD905" s="335"/>
      <c r="AE905" s="61"/>
      <c r="AF905" s="281"/>
      <c r="AG905" s="182">
        <f>YEAR(V905)</f>
        <v>2023</v>
      </c>
      <c r="AH905" s="86" t="str">
        <f>+IF(AF905=$AI$22,MONTH(U905),"")</f>
        <v/>
      </c>
      <c r="AI905" s="86" t="str">
        <f>+IF(AG905=$AI$22,MONTH(V905),"")</f>
        <v/>
      </c>
      <c r="AJ905" s="86" t="str">
        <f>+IF(AG905=$AJ$22,MONTH(V905),"")</f>
        <v/>
      </c>
      <c r="AK905" s="168">
        <f>+IF(AG905=$AK$22,MONTH(V905),"")</f>
        <v>8</v>
      </c>
      <c r="AL905" s="168" t="str">
        <f>+IF(AG905=$AL$22,MONTH(V905),"")</f>
        <v/>
      </c>
      <c r="AM905" s="168" t="str">
        <f>+IF($AG905=$AM$22,MONTH($D905),"")</f>
        <v/>
      </c>
      <c r="AN905" s="167" t="str">
        <f>+IF($AG905=AN$22,MONTH($D905),"")</f>
        <v/>
      </c>
      <c r="AO905" s="167" t="str">
        <f>+IF($AG905=AO$22,MONTH($D905),"")</f>
        <v/>
      </c>
      <c r="AP905" s="167" t="str">
        <f>+IF($AG905=AP$22,MONTH($D905),"")</f>
        <v/>
      </c>
      <c r="AQ905" s="167" t="str">
        <f>+IF($AG905=AQ$22,MONTH($D905),"")</f>
        <v/>
      </c>
      <c r="AR905" s="167" t="str">
        <f>+IF($AG905=AR$22,MONTH($D905),"")</f>
        <v/>
      </c>
      <c r="AS905" s="167" t="str">
        <f>+IF($AG905=AS$22,MONTH($D905),"")</f>
        <v/>
      </c>
      <c r="AT905" s="167" t="str">
        <f>+IF($AG905=AT$22,MONTH($D905),"")</f>
        <v/>
      </c>
      <c r="AU905" s="167" t="str">
        <f>+IF($AG905=AU$22,MONTH($D905),"")</f>
        <v/>
      </c>
      <c r="AV905" s="167" t="str">
        <f>+IF($AG905=AV$22,MONTH($D905),"")</f>
        <v/>
      </c>
      <c r="AW905" s="86"/>
      <c r="AX905" s="86"/>
      <c r="AY905" s="89"/>
      <c r="AZ905" s="89"/>
      <c r="BA905" s="89"/>
      <c r="BB905" s="89"/>
      <c r="BC905" s="89"/>
      <c r="BD905" s="89"/>
      <c r="BE905" s="89"/>
      <c r="BF905" s="89"/>
      <c r="BG905" s="89"/>
      <c r="BH905" s="89"/>
      <c r="BI905" s="89"/>
      <c r="BJ905" s="89"/>
      <c r="BK905" s="89"/>
      <c r="BL905" s="89"/>
      <c r="BM905" s="89"/>
      <c r="BN905" s="89"/>
      <c r="BO905" s="89"/>
      <c r="BP905" s="89"/>
    </row>
    <row r="906" spans="1:68" s="56" customFormat="1" ht="27" hidden="1">
      <c r="A906" s="204" t="str">
        <f>+IFERROR(VALUE(MID(AB906,4,4)),"")</f>
        <v/>
      </c>
      <c r="B906" s="204">
        <f>VALUE(RIGHT(C906,LEN(C906)-2))</f>
        <v>1817</v>
      </c>
      <c r="C906" s="159" t="s">
        <v>3421</v>
      </c>
      <c r="D906" s="160">
        <v>45114</v>
      </c>
      <c r="E906" s="161" t="s">
        <v>96</v>
      </c>
      <c r="F906" s="161" t="s">
        <v>96</v>
      </c>
      <c r="G906" s="76" t="s">
        <v>3422</v>
      </c>
      <c r="H906" s="179" t="s">
        <v>3357</v>
      </c>
      <c r="I906" s="162" t="s">
        <v>3423</v>
      </c>
      <c r="J906" s="162"/>
      <c r="K906" s="274" t="s">
        <v>9</v>
      </c>
      <c r="L906" s="162" t="s">
        <v>120</v>
      </c>
      <c r="M906" s="163" t="s">
        <v>141</v>
      </c>
      <c r="N906" s="162" t="e" vm="1">
        <v>#VALUE!</v>
      </c>
      <c r="O906" s="164">
        <v>45140</v>
      </c>
      <c r="P906" s="72" t="s">
        <v>2370</v>
      </c>
      <c r="Q906" s="72" t="s">
        <v>259</v>
      </c>
      <c r="R906" s="162"/>
      <c r="S906" s="155"/>
      <c r="T906" s="68" t="s">
        <v>165</v>
      </c>
      <c r="U906" s="211"/>
      <c r="V906" s="183">
        <v>45448</v>
      </c>
      <c r="W906" s="150">
        <v>606</v>
      </c>
      <c r="X906" s="150">
        <f>24084827/1000000</f>
        <v>24.084827000000001</v>
      </c>
      <c r="Y906" s="169">
        <f>IF(SUM(W906:W906)&gt;0,X906/SUM(W906:W906)*1000000,"N/A")</f>
        <v>39743.938943894391</v>
      </c>
      <c r="Z906" s="183"/>
      <c r="AA906" s="183"/>
      <c r="AB906" s="150"/>
      <c r="AC906" s="165"/>
      <c r="AD906" s="335"/>
      <c r="AE906" s="61"/>
      <c r="AF906" s="281"/>
      <c r="AG906" s="182">
        <f>YEAR(V906)</f>
        <v>2024</v>
      </c>
      <c r="AH906" s="86" t="str">
        <f>+IF(AF906=$AI$22,MONTH(U906),"")</f>
        <v/>
      </c>
      <c r="AI906" s="86" t="str">
        <f>+IF(AG906=$AI$22,MONTH(V906),"")</f>
        <v/>
      </c>
      <c r="AJ906" s="86">
        <f>+IF(AG906=$AJ$22,MONTH(V906),"")</f>
        <v>6</v>
      </c>
      <c r="AK906" s="168" t="str">
        <f>+IF(AG906=$AK$22,MONTH(V906),"")</f>
        <v/>
      </c>
      <c r="AL906" s="168"/>
      <c r="AM906" s="167"/>
      <c r="AN906" s="167"/>
      <c r="AO906" s="167"/>
      <c r="AP906" s="167"/>
      <c r="AQ906" s="167"/>
      <c r="AR906" s="167"/>
      <c r="AS906" s="167"/>
      <c r="AT906" s="167"/>
      <c r="AU906" s="167"/>
      <c r="AV906" s="167"/>
      <c r="AW906" s="86"/>
      <c r="AX906" s="86"/>
      <c r="AY906" s="89"/>
      <c r="AZ906" s="89"/>
      <c r="BA906" s="89"/>
      <c r="BB906" s="89"/>
      <c r="BC906" s="89"/>
      <c r="BD906" s="89"/>
      <c r="BE906" s="89"/>
      <c r="BF906" s="89"/>
      <c r="BG906" s="89"/>
      <c r="BH906" s="89"/>
      <c r="BI906" s="89"/>
      <c r="BJ906" s="89"/>
      <c r="BK906" s="89"/>
      <c r="BL906" s="89"/>
      <c r="BM906" s="89"/>
      <c r="BN906" s="89"/>
      <c r="BO906" s="89"/>
      <c r="BP906" s="89"/>
    </row>
    <row r="907" spans="1:68" s="56" customFormat="1" ht="27" hidden="1">
      <c r="A907" s="204" t="str">
        <f>+IFERROR(VALUE(MID(AB907,4,4)),"")</f>
        <v/>
      </c>
      <c r="B907" s="204">
        <f>VALUE(RIGHT(C907,LEN(C907)-2))</f>
        <v>1816</v>
      </c>
      <c r="C907" s="74" t="s">
        <v>3424</v>
      </c>
      <c r="D907" s="75">
        <v>45134</v>
      </c>
      <c r="E907" s="70" t="s">
        <v>779</v>
      </c>
      <c r="F907" s="70" t="s">
        <v>685</v>
      </c>
      <c r="G907" s="68" t="s">
        <v>3425</v>
      </c>
      <c r="H907" s="59" t="s">
        <v>3426</v>
      </c>
      <c r="I907" s="69" t="s">
        <v>3427</v>
      </c>
      <c r="J907" s="69"/>
      <c r="K907" s="95" t="s">
        <v>13</v>
      </c>
      <c r="L907" s="69" t="s">
        <v>120</v>
      </c>
      <c r="M907" s="71" t="s">
        <v>141</v>
      </c>
      <c r="N907" s="69" t="e" vm="1">
        <v>#VALUE!</v>
      </c>
      <c r="O907" s="84">
        <v>45145</v>
      </c>
      <c r="P907" s="82" t="s">
        <v>649</v>
      </c>
      <c r="Q907" s="82" t="s">
        <v>229</v>
      </c>
      <c r="R907" s="69"/>
      <c r="S907" s="146"/>
      <c r="T907" s="68" t="s">
        <v>165</v>
      </c>
      <c r="U907" s="87"/>
      <c r="V907" s="183">
        <v>45254</v>
      </c>
      <c r="W907" s="150">
        <v>1260</v>
      </c>
      <c r="X907" s="150">
        <f>(2025*36000)/1000000</f>
        <v>72.900000000000006</v>
      </c>
      <c r="Y907" s="83">
        <f>IF(SUM(W907:W907)&gt;0,X907/SUM(W907:W907)*1000000,"N/A")</f>
        <v>57857.142857142862</v>
      </c>
      <c r="Z907" s="183"/>
      <c r="AA907" s="183"/>
      <c r="AB907" s="73"/>
      <c r="AC907" s="153"/>
      <c r="AD907" s="331"/>
      <c r="AE907" s="57"/>
      <c r="AF907" s="88"/>
      <c r="AG907" s="182">
        <f>YEAR(V907)</f>
        <v>2023</v>
      </c>
      <c r="AH907" s="86" t="str">
        <f>+IF(AF907=$AI$22,MONTH(U907),"")</f>
        <v/>
      </c>
      <c r="AI907" s="86" t="str">
        <f>+IF(AG907=$AI$22,MONTH(V907),"")</f>
        <v/>
      </c>
      <c r="AJ907" s="86" t="str">
        <f>+IF(AG907=$AJ$22,MONTH(V907),"")</f>
        <v/>
      </c>
      <c r="AK907" s="86">
        <f>+IF(AG907=$AK$22,MONTH(V907),"")</f>
        <v>11</v>
      </c>
      <c r="AL907" s="86" t="str">
        <f>+IF(AG907=$AL$22,MONTH(V907),"")</f>
        <v/>
      </c>
      <c r="AM907" s="86" t="str">
        <f>+IF($AG907=$AM$22,MONTH($D907),"")</f>
        <v/>
      </c>
      <c r="AN907" s="89" t="str">
        <f>+IF($AG907=AN$22,MONTH($D907),"")</f>
        <v/>
      </c>
      <c r="AO907" s="89" t="str">
        <f>+IF($AG907=AO$22,MONTH($D907),"")</f>
        <v/>
      </c>
      <c r="AP907" s="89" t="str">
        <f>+IF($AG907=AP$22,MONTH($D907),"")</f>
        <v/>
      </c>
      <c r="AQ907" s="89" t="str">
        <f>+IF($AG907=AQ$22,MONTH($D907),"")</f>
        <v/>
      </c>
      <c r="AR907" s="89" t="str">
        <f>+IF($AG907=AR$22,MONTH($D907),"")</f>
        <v/>
      </c>
      <c r="AS907" s="89" t="str">
        <f>+IF($AG907=AS$22,MONTH($D907),"")</f>
        <v/>
      </c>
      <c r="AT907" s="89" t="str">
        <f>+IF($AG907=AT$22,MONTH($D907),"")</f>
        <v/>
      </c>
      <c r="AU907" s="89" t="str">
        <f>+IF($AG907=AU$22,MONTH($D907),"")</f>
        <v/>
      </c>
      <c r="AV907" s="89" t="str">
        <f>+IF($AG907=AV$22,MONTH($D907),"")</f>
        <v/>
      </c>
      <c r="AW907" s="86" t="str">
        <f>+IF($AG907=AW$22,MONTH($D907),"")</f>
        <v/>
      </c>
      <c r="AX907" s="86" t="str">
        <f>+IF($AG907=AX$22,MONTH($D907),"")</f>
        <v/>
      </c>
      <c r="AY907" s="89"/>
      <c r="AZ907" s="89"/>
      <c r="BA907" s="89"/>
      <c r="BB907" s="89"/>
      <c r="BC907" s="89"/>
      <c r="BD907" s="89"/>
      <c r="BE907" s="89"/>
      <c r="BF907" s="89"/>
      <c r="BG907" s="89"/>
      <c r="BH907" s="89"/>
      <c r="BI907" s="89"/>
      <c r="BJ907" s="89"/>
      <c r="BK907" s="89"/>
      <c r="BL907" s="89"/>
      <c r="BM907" s="89"/>
      <c r="BN907" s="89"/>
      <c r="BO907" s="89"/>
      <c r="BP907" s="89"/>
    </row>
    <row r="908" spans="1:68" s="56" customFormat="1" ht="27" hidden="1">
      <c r="A908" s="204">
        <f>+IFERROR(VALUE(MID(AB908,4,4)),"")</f>
        <v>340</v>
      </c>
      <c r="B908" s="204">
        <f>VALUE(RIGHT(C908,LEN(C908)-2))</f>
        <v>1815</v>
      </c>
      <c r="C908" s="74" t="s">
        <v>3428</v>
      </c>
      <c r="D908" s="75">
        <v>45121</v>
      </c>
      <c r="E908" s="70" t="s">
        <v>394</v>
      </c>
      <c r="F908" s="70" t="s">
        <v>2269</v>
      </c>
      <c r="G908" s="68" t="s">
        <v>2270</v>
      </c>
      <c r="H908" s="59" t="s">
        <v>2271</v>
      </c>
      <c r="I908" s="69" t="s">
        <v>3429</v>
      </c>
      <c r="J908" s="69"/>
      <c r="K908" s="95" t="s">
        <v>13</v>
      </c>
      <c r="L908" s="69" t="s">
        <v>120</v>
      </c>
      <c r="M908" s="71" t="s">
        <v>141</v>
      </c>
      <c r="N908" s="69" t="e" vm="1">
        <v>#VALUE!</v>
      </c>
      <c r="O908" s="84">
        <v>45124</v>
      </c>
      <c r="P908" s="82" t="s">
        <v>2273</v>
      </c>
      <c r="Q908" s="82" t="s">
        <v>623</v>
      </c>
      <c r="R908" s="69"/>
      <c r="S908" s="146" t="s">
        <v>3430</v>
      </c>
      <c r="T908" s="68" t="s">
        <v>3</v>
      </c>
      <c r="U908" s="87"/>
      <c r="V908" s="183">
        <v>45134</v>
      </c>
      <c r="W908" s="73">
        <v>9</v>
      </c>
      <c r="X908" s="73">
        <v>0.5</v>
      </c>
      <c r="Y908" s="83">
        <f>IF(SUM(W908:W908)&gt;0,X908/SUM(W908:W908)*1000000,"N/A")</f>
        <v>55555.555555555555</v>
      </c>
      <c r="Z908" s="183"/>
      <c r="AA908" s="183"/>
      <c r="AB908" s="73" t="s">
        <v>3431</v>
      </c>
      <c r="AC908" s="153"/>
      <c r="AD908" s="331"/>
      <c r="AE908" s="57"/>
      <c r="AF908" s="88"/>
      <c r="AG908" s="182">
        <f>YEAR(V908)</f>
        <v>2023</v>
      </c>
      <c r="AH908" s="86" t="str">
        <f>+IF(AF908=$AI$22,MONTH(U908),"")</f>
        <v/>
      </c>
      <c r="AI908" s="86" t="str">
        <f>+IF(AG908=$AI$22,MONTH(V908),"")</f>
        <v/>
      </c>
      <c r="AJ908" s="86" t="str">
        <f>+IF(AG908=$AJ$22,MONTH(V908),"")</f>
        <v/>
      </c>
      <c r="AK908" s="86">
        <f>+IF(AG908=$AK$22,MONTH(V908),"")</f>
        <v>7</v>
      </c>
      <c r="AL908" s="86" t="str">
        <f>+IF(AG908=$AL$22,MONTH(V908),"")</f>
        <v/>
      </c>
      <c r="AM908" s="86" t="str">
        <f>+IF($AG908=$AM$22,MONTH($D908),"")</f>
        <v/>
      </c>
      <c r="AN908" s="89" t="str">
        <f>+IF($AG908=AN$22,MONTH($D908),"")</f>
        <v/>
      </c>
      <c r="AO908" s="89" t="str">
        <f>+IF($AG908=AO$22,MONTH($D908),"")</f>
        <v/>
      </c>
      <c r="AP908" s="89" t="str">
        <f>+IF($AG908=AP$22,MONTH($D908),"")</f>
        <v/>
      </c>
      <c r="AQ908" s="89" t="str">
        <f>+IF($AG908=AQ$22,MONTH($D908),"")</f>
        <v/>
      </c>
      <c r="AR908" s="89" t="str">
        <f>+IF($AG908=AR$22,MONTH($D908),"")</f>
        <v/>
      </c>
      <c r="AS908" s="89" t="str">
        <f>+IF($AG908=AS$22,MONTH($D908),"")</f>
        <v/>
      </c>
      <c r="AT908" s="89" t="str">
        <f>+IF($AG908=AT$22,MONTH($D908),"")</f>
        <v/>
      </c>
      <c r="AU908" s="89" t="str">
        <f>+IF($AG908=AU$22,MONTH($D908),"")</f>
        <v/>
      </c>
      <c r="AV908" s="89" t="str">
        <f>+IF($AG908=AV$22,MONTH($D908),"")</f>
        <v/>
      </c>
      <c r="AW908" s="86" t="str">
        <f>+IF($AG908=AW$22,MONTH($D908),"")</f>
        <v/>
      </c>
      <c r="AX908" s="86" t="str">
        <f>+IF($AG908=AX$22,MONTH($D908),"")</f>
        <v/>
      </c>
      <c r="AY908" s="89"/>
      <c r="AZ908" s="89"/>
      <c r="BA908" s="89"/>
      <c r="BB908" s="89"/>
      <c r="BC908" s="89"/>
      <c r="BD908" s="89"/>
      <c r="BE908" s="89"/>
      <c r="BF908" s="89"/>
      <c r="BG908" s="89"/>
      <c r="BH908" s="89"/>
      <c r="BI908" s="89"/>
      <c r="BJ908" s="89"/>
      <c r="BK908" s="89"/>
      <c r="BL908" s="89"/>
      <c r="BM908" s="89"/>
      <c r="BN908" s="89"/>
      <c r="BO908" s="89"/>
      <c r="BP908" s="89"/>
    </row>
    <row r="909" spans="1:68" s="56" customFormat="1" ht="39.75" hidden="1" customHeight="1">
      <c r="A909" s="204">
        <f>+IFERROR(VALUE(MID(AB909,4,4)),"")</f>
        <v>363</v>
      </c>
      <c r="B909" s="204">
        <f>VALUE(RIGHT(C909,LEN(C909)-2))</f>
        <v>1814</v>
      </c>
      <c r="C909" s="74" t="s">
        <v>3432</v>
      </c>
      <c r="D909" s="75">
        <v>45132</v>
      </c>
      <c r="E909" s="70" t="s">
        <v>106</v>
      </c>
      <c r="F909" s="70" t="s">
        <v>106</v>
      </c>
      <c r="G909" s="68" t="s">
        <v>1918</v>
      </c>
      <c r="H909" s="59" t="s">
        <v>3124</v>
      </c>
      <c r="I909" s="69" t="s">
        <v>3433</v>
      </c>
      <c r="J909" s="69"/>
      <c r="K909" s="95" t="s">
        <v>13</v>
      </c>
      <c r="L909" s="69" t="s">
        <v>120</v>
      </c>
      <c r="M909" s="71" t="s">
        <v>141</v>
      </c>
      <c r="N909" s="69" t="e" vm="1">
        <v>#VALUE!</v>
      </c>
      <c r="O909" s="84">
        <v>45138</v>
      </c>
      <c r="P909" s="82" t="s">
        <v>402</v>
      </c>
      <c r="Q909" s="82" t="s">
        <v>229</v>
      </c>
      <c r="R909" s="69"/>
      <c r="S909" s="146"/>
      <c r="T909" s="68" t="s">
        <v>3</v>
      </c>
      <c r="U909" s="87"/>
      <c r="V909" s="183">
        <v>45270</v>
      </c>
      <c r="W909" s="73">
        <v>109</v>
      </c>
      <c r="X909" s="73">
        <f>116.7*35600/1000000</f>
        <v>4.1545199999999998</v>
      </c>
      <c r="Y909" s="83">
        <f>IF(SUM(W909:W909)&gt;0,X909/SUM(W909:W909)*1000000,"N/A")</f>
        <v>38114.862385321103</v>
      </c>
      <c r="Z909" s="183"/>
      <c r="AA909" s="183"/>
      <c r="AB909" s="73" t="s">
        <v>3434</v>
      </c>
      <c r="AC909" s="153"/>
      <c r="AD909" s="331"/>
      <c r="AE909" s="57"/>
      <c r="AF909" s="88"/>
      <c r="AG909" s="182">
        <f>YEAR(V909)</f>
        <v>2023</v>
      </c>
      <c r="AH909" s="86" t="str">
        <f>+IF(AF909=$AI$22,MONTH(U909),"")</f>
        <v/>
      </c>
      <c r="AI909" s="86" t="str">
        <f>+IF(AG909=$AI$22,MONTH(V909),"")</f>
        <v/>
      </c>
      <c r="AJ909" s="86" t="str">
        <f>+IF(AG909=$AJ$22,MONTH(V909),"")</f>
        <v/>
      </c>
      <c r="AK909" s="86">
        <f>+IF(AG909=$AK$22,MONTH(V909),"")</f>
        <v>12</v>
      </c>
      <c r="AL909" s="86" t="str">
        <f>+IF(AG909=$AL$22,MONTH(V909),"")</f>
        <v/>
      </c>
      <c r="AM909" s="86" t="str">
        <f>+IF($AG909=$AM$22,MONTH($D909),"")</f>
        <v/>
      </c>
      <c r="AN909" s="89" t="str">
        <f>+IF($AG909=AN$22,MONTH($D909),"")</f>
        <v/>
      </c>
      <c r="AO909" s="89" t="str">
        <f>+IF($AG909=AO$22,MONTH($D909),"")</f>
        <v/>
      </c>
      <c r="AP909" s="89" t="str">
        <f>+IF($AG909=AP$22,MONTH($D909),"")</f>
        <v/>
      </c>
      <c r="AQ909" s="89" t="str">
        <f>+IF($AG909=AQ$22,MONTH($D909),"")</f>
        <v/>
      </c>
      <c r="AR909" s="89" t="str">
        <f>+IF($AG909=AR$22,MONTH($D909),"")</f>
        <v/>
      </c>
      <c r="AS909" s="89" t="str">
        <f>+IF($AG909=AS$22,MONTH($D909),"")</f>
        <v/>
      </c>
      <c r="AT909" s="89" t="str">
        <f>+IF($AG909=AT$22,MONTH($D909),"")</f>
        <v/>
      </c>
      <c r="AU909" s="89" t="str">
        <f>+IF($AG909=AU$22,MONTH($D909),"")</f>
        <v/>
      </c>
      <c r="AV909" s="89" t="str">
        <f>+IF($AG909=AV$22,MONTH($D909),"")</f>
        <v/>
      </c>
      <c r="AW909" s="86" t="str">
        <f>+IF($AG909=AW$22,MONTH($D909),"")</f>
        <v/>
      </c>
      <c r="AX909" s="86" t="str">
        <f>+IF($AG909=AX$22,MONTH($D909),"")</f>
        <v/>
      </c>
      <c r="AY909" s="89"/>
      <c r="AZ909" s="89"/>
      <c r="BA909" s="89"/>
      <c r="BB909" s="89"/>
      <c r="BC909" s="89"/>
      <c r="BD909" s="89"/>
      <c r="BE909" s="89"/>
      <c r="BF909" s="89"/>
      <c r="BG909" s="89"/>
      <c r="BH909" s="89"/>
      <c r="BI909" s="89"/>
      <c r="BJ909" s="89"/>
      <c r="BK909" s="89"/>
      <c r="BL909" s="89"/>
      <c r="BM909" s="89"/>
      <c r="BN909" s="89"/>
      <c r="BO909" s="89"/>
      <c r="BP909" s="89"/>
    </row>
    <row r="910" spans="1:68" s="56" customFormat="1" ht="27" hidden="1">
      <c r="A910" s="204" t="str">
        <f>+IFERROR(VALUE(MID(AB910,4,4)),"")</f>
        <v/>
      </c>
      <c r="B910" s="204">
        <f>VALUE(RIGHT(C910,LEN(C910)-2))</f>
        <v>1813</v>
      </c>
      <c r="C910" s="74" t="s">
        <v>3435</v>
      </c>
      <c r="D910" s="75">
        <v>45127</v>
      </c>
      <c r="E910" s="70" t="s">
        <v>3436</v>
      </c>
      <c r="F910" s="70" t="s">
        <v>3437</v>
      </c>
      <c r="G910" s="68" t="s">
        <v>3438</v>
      </c>
      <c r="H910" s="59" t="s">
        <v>3439</v>
      </c>
      <c r="I910" s="69" t="s">
        <v>3440</v>
      </c>
      <c r="J910" s="69"/>
      <c r="K910" s="95" t="s">
        <v>9</v>
      </c>
      <c r="L910" s="69" t="s">
        <v>120</v>
      </c>
      <c r="M910" s="71" t="s">
        <v>113</v>
      </c>
      <c r="N910" s="69" t="e" vm="3">
        <v>#VALUE!</v>
      </c>
      <c r="O910" s="84">
        <v>45132</v>
      </c>
      <c r="P910" s="82" t="s">
        <v>274</v>
      </c>
      <c r="Q910" s="82" t="s">
        <v>623</v>
      </c>
      <c r="R910" s="69"/>
      <c r="S910" s="146"/>
      <c r="T910" s="68" t="s">
        <v>165</v>
      </c>
      <c r="U910" s="87"/>
      <c r="V910" s="183">
        <v>45134</v>
      </c>
      <c r="W910" s="150">
        <v>3058</v>
      </c>
      <c r="X910" s="150">
        <f>+(3942*36000)/1000000</f>
        <v>141.91200000000001</v>
      </c>
      <c r="Y910" s="83">
        <f>IF(SUM(W910:W910)&gt;0,X910/SUM(W910:W910)*1000000,"N/A")</f>
        <v>46406.801831262266</v>
      </c>
      <c r="Z910" s="183"/>
      <c r="AA910" s="183"/>
      <c r="AB910" s="73"/>
      <c r="AC910" s="153"/>
      <c r="AD910" s="331"/>
      <c r="AE910" s="57"/>
      <c r="AF910" s="88"/>
      <c r="AG910" s="182">
        <f>YEAR(V910)</f>
        <v>2023</v>
      </c>
      <c r="AH910" s="86" t="str">
        <f>+IF(AF910=$AI$22,MONTH(U910),"")</f>
        <v/>
      </c>
      <c r="AI910" s="86" t="str">
        <f>+IF(AG910=$AI$22,MONTH(V910),"")</f>
        <v/>
      </c>
      <c r="AJ910" s="86" t="str">
        <f>+IF(AG910=$AJ$22,MONTH(V910),"")</f>
        <v/>
      </c>
      <c r="AK910" s="86">
        <f>+IF(AG910=$AK$22,MONTH(V910),"")</f>
        <v>7</v>
      </c>
      <c r="AL910" s="86" t="str">
        <f>+IF(AG910=$AL$22,MONTH(V910),"")</f>
        <v/>
      </c>
      <c r="AM910" s="86" t="str">
        <f>+IF($AG910=$AM$22,MONTH($D910),"")</f>
        <v/>
      </c>
      <c r="AN910" s="89" t="str">
        <f>+IF($AG910=AN$22,MONTH($D910),"")</f>
        <v/>
      </c>
      <c r="AO910" s="89" t="str">
        <f>+IF($AG910=AO$22,MONTH($D910),"")</f>
        <v/>
      </c>
      <c r="AP910" s="89" t="str">
        <f>+IF($AG910=AP$22,MONTH($D910),"")</f>
        <v/>
      </c>
      <c r="AQ910" s="89" t="str">
        <f>+IF($AG910=AQ$22,MONTH($D910),"")</f>
        <v/>
      </c>
      <c r="AR910" s="89" t="str">
        <f>+IF($AG910=AR$22,MONTH($D910),"")</f>
        <v/>
      </c>
      <c r="AS910" s="89" t="str">
        <f>+IF($AG910=AS$22,MONTH($D910),"")</f>
        <v/>
      </c>
      <c r="AT910" s="89" t="str">
        <f>+IF($AG910=AT$22,MONTH($D910),"")</f>
        <v/>
      </c>
      <c r="AU910" s="89" t="str">
        <f>+IF($AG910=AU$22,MONTH($D910),"")</f>
        <v/>
      </c>
      <c r="AV910" s="89" t="str">
        <f>+IF($AG910=AV$22,MONTH($D910),"")</f>
        <v/>
      </c>
      <c r="AW910" s="86" t="str">
        <f>+IF($AG910=AW$22,MONTH($D910),"")</f>
        <v/>
      </c>
      <c r="AX910" s="86" t="str">
        <f>+IF($AG910=AX$22,MONTH($D910),"")</f>
        <v/>
      </c>
      <c r="AY910" s="89"/>
      <c r="AZ910" s="89"/>
      <c r="BA910" s="89"/>
      <c r="BB910" s="89"/>
      <c r="BC910" s="89"/>
      <c r="BD910" s="89"/>
      <c r="BE910" s="89"/>
      <c r="BF910" s="89"/>
      <c r="BG910" s="89"/>
      <c r="BH910" s="89"/>
      <c r="BI910" s="89"/>
      <c r="BJ910" s="89"/>
      <c r="BK910" s="89"/>
      <c r="BL910" s="89"/>
      <c r="BM910" s="89"/>
      <c r="BN910" s="89"/>
      <c r="BO910" s="89"/>
      <c r="BP910" s="89"/>
    </row>
    <row r="911" spans="1:68" s="56" customFormat="1" ht="27" hidden="1">
      <c r="A911" s="204">
        <f>+IFERROR(VALUE(MID(AB911,4,4)),"")</f>
        <v>351</v>
      </c>
      <c r="B911" s="204">
        <f>VALUE(RIGHT(C911,LEN(C911)-2))</f>
        <v>1812</v>
      </c>
      <c r="C911" s="74" t="s">
        <v>3441</v>
      </c>
      <c r="D911" s="75">
        <v>45125</v>
      </c>
      <c r="E911" s="70" t="s">
        <v>848</v>
      </c>
      <c r="F911" s="70" t="s">
        <v>848</v>
      </c>
      <c r="G911" s="68" t="s">
        <v>2560</v>
      </c>
      <c r="H911" s="59" t="s">
        <v>3442</v>
      </c>
      <c r="I911" s="69" t="s">
        <v>3443</v>
      </c>
      <c r="J911" s="69"/>
      <c r="K911" s="68" t="s">
        <v>90</v>
      </c>
      <c r="L911" s="69" t="s">
        <v>120</v>
      </c>
      <c r="M911" s="71" t="s">
        <v>141</v>
      </c>
      <c r="N911" s="69" t="e" vm="1">
        <v>#VALUE!</v>
      </c>
      <c r="O911" s="84">
        <v>45125</v>
      </c>
      <c r="P911" s="72" t="s">
        <v>2104</v>
      </c>
      <c r="Q911" s="72" t="s">
        <v>1210</v>
      </c>
      <c r="R911" s="162"/>
      <c r="S911" s="146" t="s">
        <v>1207</v>
      </c>
      <c r="T911" s="68" t="s">
        <v>3</v>
      </c>
      <c r="U911" s="87"/>
      <c r="V911" s="183">
        <v>45181</v>
      </c>
      <c r="W911" s="150">
        <v>1015</v>
      </c>
      <c r="X911" s="150">
        <f>(1835.5*36000)/1000000</f>
        <v>66.078000000000003</v>
      </c>
      <c r="Y911" s="83">
        <f>IF(SUM(W911:W911)&gt;0,X911/SUM(W911:W911)*1000000,"N/A")</f>
        <v>65101.477832512312</v>
      </c>
      <c r="Z911" s="183"/>
      <c r="AA911" s="183"/>
      <c r="AB911" s="73" t="s">
        <v>3444</v>
      </c>
      <c r="AC911" s="153"/>
      <c r="AD911" s="331"/>
      <c r="AE911" s="57"/>
      <c r="AF911" s="88"/>
      <c r="AG911" s="182">
        <f>YEAR(V911)</f>
        <v>2023</v>
      </c>
      <c r="AH911" s="86" t="str">
        <f>+IF(AF911=$AI$22,MONTH(U911),"")</f>
        <v/>
      </c>
      <c r="AI911" s="86" t="str">
        <f>+IF(AG911=$AI$22,MONTH(V911),"")</f>
        <v/>
      </c>
      <c r="AJ911" s="86" t="str">
        <f>+IF(AG911=$AJ$22,MONTH(V911),"")</f>
        <v/>
      </c>
      <c r="AK911" s="86">
        <f>+IF(AG911=$AK$22,MONTH(V911),"")</f>
        <v>9</v>
      </c>
      <c r="AL911" s="86" t="str">
        <f>+IF(AG911=$AL$22,MONTH(V911),"")</f>
        <v/>
      </c>
      <c r="AM911" s="86" t="str">
        <f>+IF($AG911=$AM$22,MONTH($D911),"")</f>
        <v/>
      </c>
      <c r="AN911" s="89" t="str">
        <f>+IF($AG911=AN$22,MONTH($D911),"")</f>
        <v/>
      </c>
      <c r="AO911" s="89" t="str">
        <f>+IF($AG911=AO$22,MONTH($D911),"")</f>
        <v/>
      </c>
      <c r="AP911" s="89" t="str">
        <f>+IF($AG911=AP$22,MONTH($D911),"")</f>
        <v/>
      </c>
      <c r="AQ911" s="89" t="str">
        <f>+IF($AG911=AQ$22,MONTH($D911),"")</f>
        <v/>
      </c>
      <c r="AR911" s="89" t="str">
        <f>+IF($AG911=AR$22,MONTH($D911),"")</f>
        <v/>
      </c>
      <c r="AS911" s="89" t="str">
        <f>+IF($AG911=AS$22,MONTH($D911),"")</f>
        <v/>
      </c>
      <c r="AT911" s="89" t="str">
        <f>+IF($AG911=AT$22,MONTH($D911),"")</f>
        <v/>
      </c>
      <c r="AU911" s="89" t="str">
        <f>+IF($AG911=AU$22,MONTH($D911),"")</f>
        <v/>
      </c>
      <c r="AV911" s="89" t="str">
        <f>+IF($AG911=AV$22,MONTH($D911),"")</f>
        <v/>
      </c>
      <c r="AW911" s="86" t="str">
        <f>+IF($AG911=AW$22,MONTH($D911),"")</f>
        <v/>
      </c>
      <c r="AX911" s="86" t="str">
        <f>+IF($AG911=AX$22,MONTH($D911),"")</f>
        <v/>
      </c>
      <c r="AY911" s="89"/>
      <c r="AZ911" s="89"/>
      <c r="BA911" s="89"/>
      <c r="BB911" s="89"/>
      <c r="BC911" s="89"/>
      <c r="BD911" s="89"/>
      <c r="BE911" s="89"/>
      <c r="BF911" s="89"/>
      <c r="BG911" s="89"/>
      <c r="BH911" s="89"/>
      <c r="BI911" s="89"/>
      <c r="BJ911" s="89"/>
      <c r="BK911" s="89"/>
      <c r="BL911" s="89"/>
      <c r="BM911" s="89"/>
      <c r="BN911" s="89"/>
      <c r="BO911" s="89"/>
      <c r="BP911" s="89"/>
    </row>
    <row r="912" spans="1:68" s="56" customFormat="1" ht="27" hidden="1">
      <c r="A912" s="204">
        <f>+IFERROR(VALUE(MID(AB912,4,4)),"")</f>
        <v>330</v>
      </c>
      <c r="B912" s="204">
        <f>VALUE(RIGHT(C912,LEN(C912)-2))</f>
        <v>1811</v>
      </c>
      <c r="C912" s="74" t="s">
        <v>3445</v>
      </c>
      <c r="D912" s="75">
        <v>45014</v>
      </c>
      <c r="E912" s="70" t="s">
        <v>262</v>
      </c>
      <c r="F912" s="70" t="s">
        <v>270</v>
      </c>
      <c r="G912" s="68" t="s">
        <v>3446</v>
      </c>
      <c r="H912" s="59" t="s">
        <v>3447</v>
      </c>
      <c r="I912" s="69" t="s">
        <v>3448</v>
      </c>
      <c r="J912" s="69"/>
      <c r="K912" s="68" t="s">
        <v>401</v>
      </c>
      <c r="L912" s="69" t="s">
        <v>120</v>
      </c>
      <c r="M912" s="71" t="s">
        <v>141</v>
      </c>
      <c r="N912" s="69" t="e" vm="1">
        <v>#VALUE!</v>
      </c>
      <c r="O912" s="84">
        <v>45133</v>
      </c>
      <c r="P912" s="72" t="s">
        <v>274</v>
      </c>
      <c r="Q912" s="72" t="s">
        <v>623</v>
      </c>
      <c r="R912" s="162"/>
      <c r="S912" s="146"/>
      <c r="T912" s="68" t="s">
        <v>168</v>
      </c>
      <c r="U912" s="87"/>
      <c r="V912" s="183">
        <v>45134</v>
      </c>
      <c r="W912" s="73">
        <v>3417</v>
      </c>
      <c r="X912" s="73">
        <f>129162600/1000000</f>
        <v>129.1626</v>
      </c>
      <c r="Y912" s="169">
        <f>IF(SUM(W912:W912)&gt;0,X912/SUM(W912:W912)*1000000,"N/A")</f>
        <v>37800</v>
      </c>
      <c r="Z912" s="183"/>
      <c r="AA912" s="183"/>
      <c r="AB912" s="73" t="s">
        <v>3449</v>
      </c>
      <c r="AC912" s="153"/>
      <c r="AD912" s="331"/>
      <c r="AE912" s="57"/>
      <c r="AF912" s="88"/>
      <c r="AG912" s="182">
        <f>YEAR(V912)</f>
        <v>2023</v>
      </c>
      <c r="AH912" s="86" t="str">
        <f>+IF(AF912=$AI$22,MONTH(U912),"")</f>
        <v/>
      </c>
      <c r="AI912" s="86" t="str">
        <f>+IF(AG912=$AI$22,MONTH(V912),"")</f>
        <v/>
      </c>
      <c r="AJ912" s="86" t="str">
        <f>+IF(AG912=$AJ$22,MONTH(V912),"")</f>
        <v/>
      </c>
      <c r="AK912" s="86">
        <f>+IF(AG912=$AK$22,MONTH(V912),"")</f>
        <v>7</v>
      </c>
      <c r="AL912" s="86" t="str">
        <f>+IF(AG912=$AL$22,MONTH(V912),"")</f>
        <v/>
      </c>
      <c r="AM912" s="86" t="str">
        <f>+IF($AG912=$AM$22,MONTH($D912),"")</f>
        <v/>
      </c>
      <c r="AN912" s="89" t="str">
        <f>+IF($AG912=AN$22,MONTH($D912),"")</f>
        <v/>
      </c>
      <c r="AO912" s="89" t="str">
        <f>+IF($AG912=AO$22,MONTH($D912),"")</f>
        <v/>
      </c>
      <c r="AP912" s="89" t="str">
        <f>+IF($AG912=AP$22,MONTH($D912),"")</f>
        <v/>
      </c>
      <c r="AQ912" s="89" t="str">
        <f>+IF($AG912=AQ$22,MONTH($D912),"")</f>
        <v/>
      </c>
      <c r="AR912" s="89" t="str">
        <f>+IF($AG912=AR$22,MONTH($D912),"")</f>
        <v/>
      </c>
      <c r="AS912" s="89" t="str">
        <f>+IF($AG912=AS$22,MONTH($D912),"")</f>
        <v/>
      </c>
      <c r="AT912" s="89" t="str">
        <f>+IF($AG912=AT$22,MONTH($D912),"")</f>
        <v/>
      </c>
      <c r="AU912" s="89" t="str">
        <f>+IF($AG912=AU$22,MONTH($D912),"")</f>
        <v/>
      </c>
      <c r="AV912" s="89" t="str">
        <f>+IF($AG912=AV$22,MONTH($D912),"")</f>
        <v/>
      </c>
      <c r="AW912" s="86" t="str">
        <f>+IF($AG912=AW$22,MONTH($D912),"")</f>
        <v/>
      </c>
      <c r="AX912" s="86" t="str">
        <f>+IF($AG912=AX$22,MONTH($D912),"")</f>
        <v/>
      </c>
      <c r="AY912" s="89"/>
      <c r="AZ912" s="89"/>
      <c r="BA912" s="89"/>
      <c r="BB912" s="89"/>
      <c r="BC912" s="89"/>
      <c r="BD912" s="89"/>
      <c r="BE912" s="89"/>
      <c r="BF912" s="89"/>
      <c r="BG912" s="89"/>
      <c r="BH912" s="89"/>
      <c r="BI912" s="89"/>
      <c r="BJ912" s="89"/>
      <c r="BK912" s="89"/>
      <c r="BL912" s="89"/>
      <c r="BM912" s="89"/>
      <c r="BN912" s="89"/>
      <c r="BO912" s="89"/>
      <c r="BP912" s="89"/>
    </row>
    <row r="913" spans="1:68" s="56" customFormat="1" ht="13.5" hidden="1">
      <c r="A913" s="204">
        <f>+IFERROR(VALUE(MID(AB913,4,4)),"")</f>
        <v>357</v>
      </c>
      <c r="B913" s="204">
        <f>VALUE(RIGHT(C913,LEN(C913)-2))</f>
        <v>1810</v>
      </c>
      <c r="C913" s="74" t="s">
        <v>3450</v>
      </c>
      <c r="D913" s="75">
        <v>45121</v>
      </c>
      <c r="E913" s="70" t="s">
        <v>262</v>
      </c>
      <c r="F913" s="70" t="s">
        <v>270</v>
      </c>
      <c r="G913" s="68" t="s">
        <v>3193</v>
      </c>
      <c r="H913" s="111" t="s">
        <v>2243</v>
      </c>
      <c r="I913" s="69" t="s">
        <v>3451</v>
      </c>
      <c r="J913" s="69"/>
      <c r="K913" s="68" t="s">
        <v>212</v>
      </c>
      <c r="L913" s="69" t="s">
        <v>123</v>
      </c>
      <c r="M913" s="71" t="s">
        <v>141</v>
      </c>
      <c r="N913" s="69" t="e" vm="1">
        <v>#VALUE!</v>
      </c>
      <c r="O913" s="84">
        <v>45155</v>
      </c>
      <c r="P913" s="72" t="s">
        <v>402</v>
      </c>
      <c r="Q913" s="72" t="s">
        <v>389</v>
      </c>
      <c r="R913" s="162"/>
      <c r="S913" s="69" t="s">
        <v>3452</v>
      </c>
      <c r="T913" s="68" t="s">
        <v>3</v>
      </c>
      <c r="U913" s="87"/>
      <c r="V913" s="183">
        <v>45149</v>
      </c>
      <c r="W913" s="73">
        <v>1000</v>
      </c>
      <c r="X913" s="73">
        <v>42</v>
      </c>
      <c r="Y913" s="83">
        <f>IF(SUM(W913:W913)&gt;0,X913/SUM(W913:W913)*1000000,"N/A")</f>
        <v>42000</v>
      </c>
      <c r="Z913" s="183"/>
      <c r="AA913" s="183"/>
      <c r="AB913" s="73" t="s">
        <v>3453</v>
      </c>
      <c r="AC913" s="153"/>
      <c r="AD913" s="331"/>
      <c r="AE913" s="57"/>
      <c r="AF913" s="88"/>
      <c r="AG913" s="182">
        <f>YEAR(V913)</f>
        <v>2023</v>
      </c>
      <c r="AH913" s="86" t="str">
        <f>+IF(AF913=$AI$22,MONTH(U913),"")</f>
        <v/>
      </c>
      <c r="AI913" s="86" t="str">
        <f>+IF(AG913=$AI$22,MONTH(V913),"")</f>
        <v/>
      </c>
      <c r="AJ913" s="86" t="str">
        <f>+IF(AG913=$AJ$22,MONTH(V913),"")</f>
        <v/>
      </c>
      <c r="AK913" s="86">
        <f>+IF(AG913=$AK$22,MONTH(V913),"")</f>
        <v>8</v>
      </c>
      <c r="AL913" s="86" t="str">
        <f>+IF(AG913=$AL$22,MONTH(V913),"")</f>
        <v/>
      </c>
      <c r="AM913" s="86" t="str">
        <f>+IF($AG913=$AM$22,MONTH($D913),"")</f>
        <v/>
      </c>
      <c r="AN913" s="89" t="str">
        <f>+IF($AG913=AN$22,MONTH($D913),"")</f>
        <v/>
      </c>
      <c r="AO913" s="89" t="str">
        <f>+IF($AG913=AO$22,MONTH($D913),"")</f>
        <v/>
      </c>
      <c r="AP913" s="89" t="str">
        <f>+IF($AG913=AP$22,MONTH($D913),"")</f>
        <v/>
      </c>
      <c r="AQ913" s="89" t="str">
        <f>+IF($AG913=AQ$22,MONTH($D913),"")</f>
        <v/>
      </c>
      <c r="AR913" s="89" t="str">
        <f>+IF($AG913=AR$22,MONTH($D913),"")</f>
        <v/>
      </c>
      <c r="AS913" s="89" t="str">
        <f>+IF($AG913=AS$22,MONTH($D913),"")</f>
        <v/>
      </c>
      <c r="AT913" s="89" t="str">
        <f>+IF($AG913=AT$22,MONTH($D913),"")</f>
        <v/>
      </c>
      <c r="AU913" s="89" t="str">
        <f>+IF($AG913=AU$22,MONTH($D913),"")</f>
        <v/>
      </c>
      <c r="AV913" s="89" t="str">
        <f>+IF($AG913=AV$22,MONTH($D913),"")</f>
        <v/>
      </c>
      <c r="AW913" s="86" t="str">
        <f>+IF($AG913=AW$22,MONTH($D913),"")</f>
        <v/>
      </c>
      <c r="AX913" s="86" t="str">
        <f>+IF($AG913=AX$22,MONTH($D913),"")</f>
        <v/>
      </c>
      <c r="AY913" s="89"/>
      <c r="AZ913" s="89"/>
      <c r="BA913" s="89"/>
      <c r="BB913" s="89"/>
      <c r="BC913" s="89"/>
      <c r="BD913" s="89"/>
      <c r="BE913" s="89"/>
      <c r="BF913" s="89"/>
      <c r="BG913" s="89"/>
      <c r="BH913" s="89"/>
      <c r="BI913" s="89"/>
      <c r="BJ913" s="89"/>
      <c r="BK913" s="89"/>
      <c r="BL913" s="89"/>
      <c r="BM913" s="89"/>
      <c r="BN913" s="89"/>
      <c r="BO913" s="89"/>
      <c r="BP913" s="89"/>
    </row>
    <row r="914" spans="1:68" s="56" customFormat="1" ht="40.5" hidden="1">
      <c r="A914" s="204" t="str">
        <f>+IFERROR(VALUE(MID(AB914,4,4)),"")</f>
        <v/>
      </c>
      <c r="B914" s="204">
        <f>VALUE(RIGHT(C914,LEN(C914)-2))</f>
        <v>1809</v>
      </c>
      <c r="C914" s="74" t="s">
        <v>3454</v>
      </c>
      <c r="D914" s="75">
        <v>45120</v>
      </c>
      <c r="E914" s="70" t="s">
        <v>479</v>
      </c>
      <c r="F914" s="70" t="s">
        <v>479</v>
      </c>
      <c r="G914" s="68" t="s">
        <v>3455</v>
      </c>
      <c r="H914" s="59" t="s">
        <v>3456</v>
      </c>
      <c r="I914" s="69" t="s">
        <v>3457</v>
      </c>
      <c r="J914" s="69"/>
      <c r="K914" s="95" t="s">
        <v>9</v>
      </c>
      <c r="L914" s="69" t="s">
        <v>120</v>
      </c>
      <c r="M914" s="71" t="s">
        <v>113</v>
      </c>
      <c r="N914" s="69" t="e" vm="2">
        <v>#VALUE!</v>
      </c>
      <c r="O914" s="84">
        <v>45168</v>
      </c>
      <c r="P914" s="82" t="s">
        <v>483</v>
      </c>
      <c r="Q914" s="82" t="s">
        <v>229</v>
      </c>
      <c r="R914" s="69"/>
      <c r="S914" s="146"/>
      <c r="T914" s="68" t="s">
        <v>165</v>
      </c>
      <c r="U914" s="87"/>
      <c r="V914" s="183">
        <v>45247</v>
      </c>
      <c r="W914" s="73">
        <v>1537</v>
      </c>
      <c r="X914" s="73">
        <f>55600546/1000000</f>
        <v>55.600546000000001</v>
      </c>
      <c r="Y914" s="83">
        <f>IF(SUM(W914:W914)&gt;0,X914/SUM(W914:W914)*1000000,"N/A")</f>
        <v>36174.720884840593</v>
      </c>
      <c r="Z914" s="183"/>
      <c r="AA914" s="183"/>
      <c r="AB914" s="73"/>
      <c r="AC914" s="153"/>
      <c r="AD914" s="331"/>
      <c r="AE914" s="57"/>
      <c r="AF914" s="88"/>
      <c r="AG914" s="182">
        <f>YEAR(V914)</f>
        <v>2023</v>
      </c>
      <c r="AH914" s="86" t="str">
        <f>+IF(AF914=$AI$22,MONTH(U914),"")</f>
        <v/>
      </c>
      <c r="AI914" s="86" t="str">
        <f>+IF(AG914=$AI$22,MONTH(V914),"")</f>
        <v/>
      </c>
      <c r="AJ914" s="86" t="str">
        <f>+IF(AG914=$AJ$22,MONTH(V914),"")</f>
        <v/>
      </c>
      <c r="AK914" s="86">
        <f>+IF(AG914=$AK$22,MONTH(V914),"")</f>
        <v>11</v>
      </c>
      <c r="AL914" s="86" t="str">
        <f>+IF(AG914=$AL$22,MONTH(V914),"")</f>
        <v/>
      </c>
      <c r="AM914" s="86" t="str">
        <f>+IF($AG914=$AM$22,MONTH($D914),"")</f>
        <v/>
      </c>
      <c r="AN914" s="89" t="str">
        <f>+IF($AG914=AN$22,MONTH($D914),"")</f>
        <v/>
      </c>
      <c r="AO914" s="89" t="str">
        <f>+IF($AG914=AO$22,MONTH($D914),"")</f>
        <v/>
      </c>
      <c r="AP914" s="89" t="str">
        <f>+IF($AG914=AP$22,MONTH($D914),"")</f>
        <v/>
      </c>
      <c r="AQ914" s="89" t="str">
        <f>+IF($AG914=AQ$22,MONTH($D914),"")</f>
        <v/>
      </c>
      <c r="AR914" s="89" t="str">
        <f>+IF($AG914=AR$22,MONTH($D914),"")</f>
        <v/>
      </c>
      <c r="AS914" s="89" t="str">
        <f>+IF($AG914=AS$22,MONTH($D914),"")</f>
        <v/>
      </c>
      <c r="AT914" s="89" t="str">
        <f>+IF($AG914=AT$22,MONTH($D914),"")</f>
        <v/>
      </c>
      <c r="AU914" s="89" t="str">
        <f>+IF($AG914=AU$22,MONTH($D914),"")</f>
        <v/>
      </c>
      <c r="AV914" s="89" t="str">
        <f>+IF($AG914=AV$22,MONTH($D914),"")</f>
        <v/>
      </c>
      <c r="AW914" s="86" t="str">
        <f>+IF($AG914=AW$22,MONTH($D914),"")</f>
        <v/>
      </c>
      <c r="AX914" s="86" t="str">
        <f>+IF($AG914=AX$22,MONTH($D914),"")</f>
        <v/>
      </c>
      <c r="AY914" s="89"/>
      <c r="AZ914" s="89"/>
      <c r="BA914" s="89"/>
      <c r="BB914" s="89"/>
      <c r="BC914" s="89"/>
      <c r="BD914" s="89"/>
      <c r="BE914" s="89"/>
      <c r="BF914" s="89"/>
      <c r="BG914" s="89"/>
      <c r="BH914" s="89"/>
      <c r="BI914" s="89"/>
      <c r="BJ914" s="89"/>
      <c r="BK914" s="89"/>
      <c r="BL914" s="89"/>
      <c r="BM914" s="89"/>
      <c r="BN914" s="89"/>
      <c r="BO914" s="89"/>
      <c r="BP914" s="89"/>
    </row>
    <row r="915" spans="1:68" s="56" customFormat="1" ht="23.25" hidden="1" customHeight="1">
      <c r="A915" s="204" t="str">
        <f>+IFERROR(VALUE(MID(AB915,4,4)),"")</f>
        <v/>
      </c>
      <c r="B915" s="204">
        <f>VALUE(RIGHT(C915,LEN(C915)-2))</f>
        <v>1808</v>
      </c>
      <c r="C915" s="74" t="s">
        <v>3458</v>
      </c>
      <c r="D915" s="75">
        <v>45118</v>
      </c>
      <c r="E915" s="70" t="s">
        <v>332</v>
      </c>
      <c r="F915" s="70" t="s">
        <v>332</v>
      </c>
      <c r="G915" s="68" t="s">
        <v>333</v>
      </c>
      <c r="H915" s="59" t="s">
        <v>3459</v>
      </c>
      <c r="I915" s="69" t="s">
        <v>3460</v>
      </c>
      <c r="J915" s="69"/>
      <c r="K915" s="68" t="s">
        <v>13</v>
      </c>
      <c r="L915" s="69" t="s">
        <v>129</v>
      </c>
      <c r="M915" s="71" t="s">
        <v>141</v>
      </c>
      <c r="N915" s="69" t="e" vm="1">
        <v>#VALUE!</v>
      </c>
      <c r="O915" s="84">
        <v>45120</v>
      </c>
      <c r="P915" s="72" t="s">
        <v>369</v>
      </c>
      <c r="Q915" s="82" t="s">
        <v>229</v>
      </c>
      <c r="R915" s="69"/>
      <c r="S915" s="146" t="s">
        <v>3461</v>
      </c>
      <c r="T915" s="68" t="s">
        <v>165</v>
      </c>
      <c r="U915" s="87"/>
      <c r="V915" s="183">
        <v>45134</v>
      </c>
      <c r="W915" s="73">
        <v>1248</v>
      </c>
      <c r="X915" s="73">
        <f>1150*36095/1000000</f>
        <v>41.509250000000002</v>
      </c>
      <c r="Y915" s="83">
        <f>IF(SUM(W915:W915)&gt;0,X915/SUM(W915:W915)*1000000,"N/A")</f>
        <v>33260.616987179492</v>
      </c>
      <c r="Z915" s="183"/>
      <c r="AA915" s="183"/>
      <c r="AB915" s="73"/>
      <c r="AC915" s="153"/>
      <c r="AD915" s="331"/>
      <c r="AE915" s="57"/>
      <c r="AF915" s="88"/>
      <c r="AG915" s="182">
        <f>YEAR(V915)</f>
        <v>2023</v>
      </c>
      <c r="AH915" s="86" t="str">
        <f>+IF(AF915=$AI$22,MONTH(U915),"")</f>
        <v/>
      </c>
      <c r="AI915" s="86" t="str">
        <f>+IF(AG915=$AI$22,MONTH(V915),"")</f>
        <v/>
      </c>
      <c r="AJ915" s="86" t="str">
        <f>+IF(AG915=$AJ$22,MONTH(V915),"")</f>
        <v/>
      </c>
      <c r="AK915" s="86">
        <f>+IF(AG915=$AK$22,MONTH(V915),"")</f>
        <v>7</v>
      </c>
      <c r="AL915" s="86" t="str">
        <f>+IF(AG915=$AL$22,MONTH(V915),"")</f>
        <v/>
      </c>
      <c r="AM915" s="86" t="str">
        <f>+IF($AG915=$AM$22,MONTH($D915),"")</f>
        <v/>
      </c>
      <c r="AN915" s="89" t="str">
        <f>+IF($AG915=AN$22,MONTH($D915),"")</f>
        <v/>
      </c>
      <c r="AO915" s="89" t="str">
        <f>+IF($AG915=AO$22,MONTH($D915),"")</f>
        <v/>
      </c>
      <c r="AP915" s="89" t="str">
        <f>+IF($AG915=AP$22,MONTH($D915),"")</f>
        <v/>
      </c>
      <c r="AQ915" s="89" t="str">
        <f>+IF($AG915=AQ$22,MONTH($D915),"")</f>
        <v/>
      </c>
      <c r="AR915" s="89" t="str">
        <f>+IF($AG915=AR$22,MONTH($D915),"")</f>
        <v/>
      </c>
      <c r="AS915" s="89" t="str">
        <f>+IF($AG915=AS$22,MONTH($D915),"")</f>
        <v/>
      </c>
      <c r="AT915" s="89" t="str">
        <f>+IF($AG915=AT$22,MONTH($D915),"")</f>
        <v/>
      </c>
      <c r="AU915" s="89" t="str">
        <f>+IF($AG915=AU$22,MONTH($D915),"")</f>
        <v/>
      </c>
      <c r="AV915" s="89" t="str">
        <f>+IF($AG915=AV$22,MONTH($D915),"")</f>
        <v/>
      </c>
      <c r="AW915" s="86" t="str">
        <f>+IF($AG915=AW$22,MONTH($D915),"")</f>
        <v/>
      </c>
      <c r="AX915" s="86" t="str">
        <f>+IF($AG915=AX$22,MONTH($D915),"")</f>
        <v/>
      </c>
      <c r="AY915" s="89"/>
      <c r="AZ915" s="89"/>
      <c r="BA915" s="89"/>
      <c r="BB915" s="89"/>
      <c r="BC915" s="89"/>
      <c r="BD915" s="89"/>
      <c r="BE915" s="89"/>
      <c r="BF915" s="89"/>
      <c r="BG915" s="89"/>
      <c r="BH915" s="89"/>
      <c r="BI915" s="89"/>
      <c r="BJ915" s="89"/>
      <c r="BK915" s="89"/>
      <c r="BL915" s="89"/>
      <c r="BM915" s="89"/>
      <c r="BN915" s="89"/>
      <c r="BO915" s="89"/>
      <c r="BP915" s="89"/>
    </row>
    <row r="916" spans="1:68" s="56" customFormat="1" ht="27" hidden="1">
      <c r="A916" s="204">
        <f>+IFERROR(VALUE(MID(AB916,4,4)),"")</f>
        <v>333</v>
      </c>
      <c r="B916" s="204">
        <f>VALUE(RIGHT(C916,LEN(C916)-2))</f>
        <v>1807</v>
      </c>
      <c r="C916" s="74" t="s">
        <v>3462</v>
      </c>
      <c r="D916" s="75">
        <v>45064</v>
      </c>
      <c r="E916" s="70" t="s">
        <v>53</v>
      </c>
      <c r="F916" s="70" t="s">
        <v>630</v>
      </c>
      <c r="G916" s="68" t="s">
        <v>1976</v>
      </c>
      <c r="H916" s="59" t="s">
        <v>3463</v>
      </c>
      <c r="I916" s="69" t="s">
        <v>3464</v>
      </c>
      <c r="J916" s="69"/>
      <c r="K916" s="68" t="s">
        <v>11</v>
      </c>
      <c r="L916" s="69" t="s">
        <v>129</v>
      </c>
      <c r="M916" s="71" t="s">
        <v>141</v>
      </c>
      <c r="N916" s="69" t="e" vm="1">
        <v>#VALUE!</v>
      </c>
      <c r="O916" s="84">
        <v>45146</v>
      </c>
      <c r="P916" s="82" t="s">
        <v>1154</v>
      </c>
      <c r="Q916" s="72" t="s">
        <v>623</v>
      </c>
      <c r="R916" s="162"/>
      <c r="S916" s="146"/>
      <c r="T916" s="68" t="s">
        <v>165</v>
      </c>
      <c r="U916" s="87"/>
      <c r="V916" s="183">
        <v>45149</v>
      </c>
      <c r="W916" s="150">
        <v>4500</v>
      </c>
      <c r="X916" s="150">
        <f>201370649/1000000</f>
        <v>201.37064899999999</v>
      </c>
      <c r="Y916" s="83">
        <f>IF(SUM(W916:W916)&gt;0,X916/SUM(W916:W916)*1000000,"N/A")</f>
        <v>44749.033111111108</v>
      </c>
      <c r="Z916" s="183"/>
      <c r="AA916" s="183"/>
      <c r="AB916" s="73" t="s">
        <v>3465</v>
      </c>
      <c r="AC916" s="153"/>
      <c r="AD916" s="331"/>
      <c r="AE916" s="57"/>
      <c r="AF916" s="88"/>
      <c r="AG916" s="182">
        <f>YEAR(V916)</f>
        <v>2023</v>
      </c>
      <c r="AH916" s="86" t="str">
        <f>+IF(AF916=$AI$22,MONTH(U916),"")</f>
        <v/>
      </c>
      <c r="AI916" s="86" t="str">
        <f>+IF(AG916=$AI$22,MONTH(V916),"")</f>
        <v/>
      </c>
      <c r="AJ916" s="86" t="str">
        <f>+IF(AG916=$AJ$22,MONTH(V916),"")</f>
        <v/>
      </c>
      <c r="AK916" s="86">
        <f>+IF(AG916=$AK$22,MONTH(V916),"")</f>
        <v>8</v>
      </c>
      <c r="AL916" s="86"/>
      <c r="AM916" s="89"/>
      <c r="AN916" s="89"/>
      <c r="AO916" s="89"/>
      <c r="AP916" s="89"/>
      <c r="AQ916" s="89"/>
      <c r="AR916" s="89"/>
      <c r="AS916" s="89"/>
      <c r="AT916" s="89"/>
      <c r="AU916" s="89"/>
      <c r="AV916" s="89"/>
      <c r="AW916" s="86" t="str">
        <f>+IF($AG916=AW$22,MONTH($D916),"")</f>
        <v/>
      </c>
      <c r="AX916" s="86" t="str">
        <f>+IF($AG916=AX$22,MONTH($D916),"")</f>
        <v/>
      </c>
      <c r="AY916" s="89"/>
      <c r="AZ916" s="89"/>
      <c r="BA916" s="89"/>
      <c r="BB916" s="89"/>
      <c r="BC916" s="89"/>
      <c r="BD916" s="89"/>
      <c r="BE916" s="89"/>
      <c r="BF916" s="89"/>
      <c r="BG916" s="89"/>
      <c r="BH916" s="89"/>
      <c r="BI916" s="89"/>
      <c r="BJ916" s="89"/>
      <c r="BK916" s="89"/>
      <c r="BL916" s="89"/>
      <c r="BM916" s="89"/>
      <c r="BN916" s="89"/>
      <c r="BO916" s="89"/>
      <c r="BP916" s="89"/>
    </row>
    <row r="917" spans="1:68" s="56" customFormat="1" ht="27" hidden="1">
      <c r="A917" s="204">
        <f>+IFERROR(VALUE(MID(AB917,4,4)),"")</f>
        <v>296</v>
      </c>
      <c r="B917" s="204">
        <f>VALUE(RIGHT(C917,LEN(C917)-2))</f>
        <v>1806</v>
      </c>
      <c r="C917" s="74" t="s">
        <v>3466</v>
      </c>
      <c r="D917" s="75">
        <v>45117</v>
      </c>
      <c r="E917" s="70" t="s">
        <v>479</v>
      </c>
      <c r="F917" s="70" t="s">
        <v>479</v>
      </c>
      <c r="G917" s="68" t="s">
        <v>3467</v>
      </c>
      <c r="H917" s="59"/>
      <c r="I917" s="69" t="s">
        <v>3468</v>
      </c>
      <c r="J917" s="69"/>
      <c r="K917" s="95" t="s">
        <v>18</v>
      </c>
      <c r="L917" s="69" t="s">
        <v>120</v>
      </c>
      <c r="M917" s="71" t="s">
        <v>113</v>
      </c>
      <c r="N917" s="69" t="e" vm="2">
        <v>#VALUE!</v>
      </c>
      <c r="O917" s="84">
        <v>45117</v>
      </c>
      <c r="P917" s="82" t="s">
        <v>483</v>
      </c>
      <c r="Q917" s="82" t="s">
        <v>837</v>
      </c>
      <c r="R917" s="69"/>
      <c r="S917" s="146"/>
      <c r="T917" s="68" t="s">
        <v>165</v>
      </c>
      <c r="U917" s="87"/>
      <c r="V917" s="183">
        <v>45327</v>
      </c>
      <c r="W917" s="73">
        <v>238</v>
      </c>
      <c r="X917" s="73">
        <v>7.3</v>
      </c>
      <c r="Y917" s="83">
        <f>IF(SUM(W917:W917)&gt;0,X917/SUM(W917:W917)*1000000,"N/A")</f>
        <v>30672.268907563022</v>
      </c>
      <c r="Z917" s="183"/>
      <c r="AA917" s="183"/>
      <c r="AB917" s="73" t="s">
        <v>3469</v>
      </c>
      <c r="AC917" s="153"/>
      <c r="AD917" s="331"/>
      <c r="AE917" s="57"/>
      <c r="AF917" s="88"/>
      <c r="AG917" s="182">
        <f>YEAR(V917)</f>
        <v>2024</v>
      </c>
      <c r="AH917" s="86" t="str">
        <f>+IF(AF917=$AI$22,MONTH(U917),"")</f>
        <v/>
      </c>
      <c r="AI917" s="86" t="str">
        <f>+IF(AG917=$AI$22,MONTH(V917),"")</f>
        <v/>
      </c>
      <c r="AJ917" s="86">
        <f>+IF(AG917=$AJ$22,MONTH(V917),"")</f>
        <v>2</v>
      </c>
      <c r="AK917" s="86" t="str">
        <f>+IF(AG917=$AK$22,MONTH(V917),"")</f>
        <v/>
      </c>
      <c r="AL917" s="86" t="str">
        <f>+IF(AG917=$AL$22,MONTH(V917),"")</f>
        <v/>
      </c>
      <c r="AM917" s="86" t="str">
        <f>+IF($AG917=$AM$22,MONTH($D917),"")</f>
        <v/>
      </c>
      <c r="AN917" s="89" t="str">
        <f>+IF($AG917=AN$22,MONTH($D917),"")</f>
        <v/>
      </c>
      <c r="AO917" s="89" t="str">
        <f>+IF($AG917=AO$22,MONTH($D917),"")</f>
        <v/>
      </c>
      <c r="AP917" s="89" t="str">
        <f>+IF($AG917=AP$22,MONTH($D917),"")</f>
        <v/>
      </c>
      <c r="AQ917" s="89" t="str">
        <f>+IF($AG917=AQ$22,MONTH($D917),"")</f>
        <v/>
      </c>
      <c r="AR917" s="89" t="str">
        <f>+IF($AG917=AR$22,MONTH($D917),"")</f>
        <v/>
      </c>
      <c r="AS917" s="89" t="str">
        <f>+IF($AG917=AS$22,MONTH($D917),"")</f>
        <v/>
      </c>
      <c r="AT917" s="89" t="str">
        <f>+IF($AG917=AT$22,MONTH($D917),"")</f>
        <v/>
      </c>
      <c r="AU917" s="89" t="str">
        <f>+IF($AG917=AU$22,MONTH($D917),"")</f>
        <v/>
      </c>
      <c r="AV917" s="89" t="str">
        <f>+IF($AG917=AV$22,MONTH($D917),"")</f>
        <v/>
      </c>
      <c r="AW917" s="86" t="str">
        <f>+IF($AG917=AW$22,MONTH($D917),"")</f>
        <v/>
      </c>
      <c r="AX917" s="86" t="str">
        <f>+IF($AG917=AX$22,MONTH($D917),"")</f>
        <v/>
      </c>
      <c r="AY917" s="89"/>
      <c r="AZ917" s="89"/>
      <c r="BA917" s="89"/>
      <c r="BB917" s="89"/>
      <c r="BC917" s="89"/>
      <c r="BD917" s="89"/>
      <c r="BE917" s="89"/>
      <c r="BF917" s="89"/>
      <c r="BG917" s="89"/>
      <c r="BH917" s="89"/>
      <c r="BI917" s="89"/>
      <c r="BJ917" s="89"/>
      <c r="BK917" s="89"/>
      <c r="BL917" s="89"/>
      <c r="BM917" s="89"/>
      <c r="BN917" s="89"/>
      <c r="BO917" s="89"/>
      <c r="BP917" s="89"/>
    </row>
    <row r="918" spans="1:68" s="56" customFormat="1" ht="81" hidden="1">
      <c r="A918" s="204">
        <f>+IFERROR(VALUE(MID(AB918,4,4)),"")</f>
        <v>337</v>
      </c>
      <c r="B918" s="204">
        <f>VALUE(RIGHT(C918,LEN(C918)-2))</f>
        <v>1805</v>
      </c>
      <c r="C918" s="74" t="s">
        <v>3470</v>
      </c>
      <c r="D918" s="75">
        <v>45118</v>
      </c>
      <c r="E918" s="70" t="s">
        <v>685</v>
      </c>
      <c r="F918" s="70" t="s">
        <v>685</v>
      </c>
      <c r="G918" s="68" t="s">
        <v>931</v>
      </c>
      <c r="H918" s="59" t="s">
        <v>2377</v>
      </c>
      <c r="I918" s="69" t="s">
        <v>3471</v>
      </c>
      <c r="J918" s="69"/>
      <c r="K918" s="95" t="s">
        <v>9</v>
      </c>
      <c r="L918" s="69" t="s">
        <v>120</v>
      </c>
      <c r="M918" s="71" t="s">
        <v>141</v>
      </c>
      <c r="N918" s="69" t="e" vm="1">
        <v>#VALUE!</v>
      </c>
      <c r="O918" s="84">
        <v>45120</v>
      </c>
      <c r="P918" s="82" t="s">
        <v>2273</v>
      </c>
      <c r="Q918" s="82" t="s">
        <v>623</v>
      </c>
      <c r="R918" s="69"/>
      <c r="S918" s="146" t="s">
        <v>3472</v>
      </c>
      <c r="T918" s="68" t="s">
        <v>165</v>
      </c>
      <c r="U918" s="87"/>
      <c r="V918" s="183">
        <v>45134</v>
      </c>
      <c r="W918" s="150">
        <v>438</v>
      </c>
      <c r="X918" s="150">
        <v>22</v>
      </c>
      <c r="Y918" s="83">
        <f>IF(SUM(W918:W918)&gt;0,X918/SUM(W918:W918)*1000000,"N/A")</f>
        <v>50228.310502283101</v>
      </c>
      <c r="Z918" s="183"/>
      <c r="AA918" s="183"/>
      <c r="AB918" s="73" t="s">
        <v>3473</v>
      </c>
      <c r="AC918" s="153"/>
      <c r="AD918" s="331"/>
      <c r="AE918" s="57"/>
      <c r="AF918" s="88"/>
      <c r="AG918" s="182">
        <f>YEAR(V918)</f>
        <v>2023</v>
      </c>
      <c r="AH918" s="86" t="str">
        <f>+IF(AF918=$AI$22,MONTH(U918),"")</f>
        <v/>
      </c>
      <c r="AI918" s="86" t="str">
        <f>+IF(AG918=$AI$22,MONTH(V918),"")</f>
        <v/>
      </c>
      <c r="AJ918" s="86" t="str">
        <f>+IF(AG918=$AJ$22,MONTH(V918),"")</f>
        <v/>
      </c>
      <c r="AK918" s="86">
        <f>+IF(AG918=$AK$22,MONTH(V918),"")</f>
        <v>7</v>
      </c>
      <c r="AL918" s="86" t="str">
        <f>+IF(AG918=$AL$22,MONTH(V918),"")</f>
        <v/>
      </c>
      <c r="AM918" s="86" t="str">
        <f>+IF($AG918=$AM$22,MONTH($D918),"")</f>
        <v/>
      </c>
      <c r="AN918" s="89" t="str">
        <f>+IF($AG918=AN$22,MONTH($D918),"")</f>
        <v/>
      </c>
      <c r="AO918" s="89" t="str">
        <f>+IF($AG918=AO$22,MONTH($D918),"")</f>
        <v/>
      </c>
      <c r="AP918" s="89" t="str">
        <f>+IF($AG918=AP$22,MONTH($D918),"")</f>
        <v/>
      </c>
      <c r="AQ918" s="89" t="str">
        <f>+IF($AG918=AQ$22,MONTH($D918),"")</f>
        <v/>
      </c>
      <c r="AR918" s="89" t="str">
        <f>+IF($AG918=AR$22,MONTH($D918),"")</f>
        <v/>
      </c>
      <c r="AS918" s="89" t="str">
        <f>+IF($AG918=AS$22,MONTH($D918),"")</f>
        <v/>
      </c>
      <c r="AT918" s="89" t="str">
        <f>+IF($AG918=AT$22,MONTH($D918),"")</f>
        <v/>
      </c>
      <c r="AU918" s="89" t="str">
        <f>+IF($AG918=AU$22,MONTH($D918),"")</f>
        <v/>
      </c>
      <c r="AV918" s="89" t="str">
        <f>+IF($AG918=AV$22,MONTH($D918),"")</f>
        <v/>
      </c>
      <c r="AW918" s="86" t="str">
        <f>+IF($AG918=AW$22,MONTH($D918),"")</f>
        <v/>
      </c>
      <c r="AX918" s="86" t="str">
        <f>+IF($AG918=AX$22,MONTH($D918),"")</f>
        <v/>
      </c>
      <c r="AY918" s="89"/>
      <c r="AZ918" s="89"/>
      <c r="BA918" s="89"/>
      <c r="BB918" s="89"/>
      <c r="BC918" s="89"/>
      <c r="BD918" s="89"/>
      <c r="BE918" s="89"/>
      <c r="BF918" s="89"/>
      <c r="BG918" s="89"/>
      <c r="BH918" s="89"/>
      <c r="BI918" s="89"/>
      <c r="BJ918" s="167"/>
      <c r="BK918" s="167"/>
      <c r="BL918" s="167"/>
      <c r="BM918" s="167"/>
      <c r="BN918" s="89"/>
      <c r="BO918" s="89"/>
      <c r="BP918" s="89"/>
    </row>
    <row r="919" spans="1:68" s="166" customFormat="1" ht="27" hidden="1">
      <c r="A919" s="204">
        <f>+IFERROR(VALUE(MID(AB919,4,4)),"")</f>
        <v>295</v>
      </c>
      <c r="B919" s="204">
        <f>VALUE(RIGHT(C919,LEN(C919)-2))</f>
        <v>1804</v>
      </c>
      <c r="C919" s="74" t="s">
        <v>3474</v>
      </c>
      <c r="D919" s="75">
        <v>45117</v>
      </c>
      <c r="E919" s="70" t="s">
        <v>479</v>
      </c>
      <c r="F919" s="70" t="s">
        <v>479</v>
      </c>
      <c r="G919" s="68" t="s">
        <v>3467</v>
      </c>
      <c r="H919" s="59"/>
      <c r="I919" s="69" t="s">
        <v>3475</v>
      </c>
      <c r="J919" s="69"/>
      <c r="K919" s="95" t="s">
        <v>18</v>
      </c>
      <c r="L919" s="69" t="s">
        <v>120</v>
      </c>
      <c r="M919" s="71" t="s">
        <v>113</v>
      </c>
      <c r="N919" s="69" t="e" vm="2">
        <v>#VALUE!</v>
      </c>
      <c r="O919" s="84">
        <v>45117</v>
      </c>
      <c r="P919" s="82" t="s">
        <v>483</v>
      </c>
      <c r="Q919" s="82" t="s">
        <v>837</v>
      </c>
      <c r="R919" s="69"/>
      <c r="S919" s="146"/>
      <c r="T919" s="68" t="s">
        <v>165</v>
      </c>
      <c r="U919" s="87"/>
      <c r="V919" s="183">
        <v>45327</v>
      </c>
      <c r="W919" s="73">
        <v>313</v>
      </c>
      <c r="X919" s="73">
        <v>9.5</v>
      </c>
      <c r="Y919" s="83">
        <f>IF(SUM(W919:W919)&gt;0,X919/SUM(W919:W919)*1000000,"N/A")</f>
        <v>30351.437699680511</v>
      </c>
      <c r="Z919" s="183"/>
      <c r="AA919" s="183"/>
      <c r="AB919" s="73" t="s">
        <v>3476</v>
      </c>
      <c r="AC919" s="153"/>
      <c r="AD919" s="331"/>
      <c r="AE919" s="57"/>
      <c r="AF919" s="88"/>
      <c r="AG919" s="182">
        <f>YEAR(V919)</f>
        <v>2024</v>
      </c>
      <c r="AH919" s="86" t="str">
        <f>+IF(AF919=$AI$22,MONTH(U919),"")</f>
        <v/>
      </c>
      <c r="AI919" s="86" t="str">
        <f>+IF(AG919=$AI$22,MONTH(V919),"")</f>
        <v/>
      </c>
      <c r="AJ919" s="86">
        <f>+IF(AG919=$AJ$22,MONTH(V919),"")</f>
        <v>2</v>
      </c>
      <c r="AK919" s="86" t="str">
        <f>+IF(AG919=$AK$22,MONTH(V919),"")</f>
        <v/>
      </c>
      <c r="AL919" s="86" t="str">
        <f>+IF(AG919=$AL$22,MONTH(V919),"")</f>
        <v/>
      </c>
      <c r="AM919" s="86" t="str">
        <f>+IF($AG919=$AM$22,MONTH($D919),"")</f>
        <v/>
      </c>
      <c r="AN919" s="89" t="str">
        <f>+IF($AG919=AN$22,MONTH($D919),"")</f>
        <v/>
      </c>
      <c r="AO919" s="89" t="str">
        <f>+IF($AG919=AO$22,MONTH($D919),"")</f>
        <v/>
      </c>
      <c r="AP919" s="89" t="str">
        <f>+IF($AG919=AP$22,MONTH($D919),"")</f>
        <v/>
      </c>
      <c r="AQ919" s="89" t="str">
        <f>+IF($AG919=AQ$22,MONTH($D919),"")</f>
        <v/>
      </c>
      <c r="AR919" s="89" t="str">
        <f>+IF($AG919=AR$22,MONTH($D919),"")</f>
        <v/>
      </c>
      <c r="AS919" s="89" t="str">
        <f>+IF($AG919=AS$22,MONTH($D919),"")</f>
        <v/>
      </c>
      <c r="AT919" s="89" t="str">
        <f>+IF($AG919=AT$22,MONTH($D919),"")</f>
        <v/>
      </c>
      <c r="AU919" s="89" t="str">
        <f>+IF($AG919=AU$22,MONTH($D919),"")</f>
        <v/>
      </c>
      <c r="AV919" s="89" t="str">
        <f>+IF($AG919=AV$22,MONTH($D919),"")</f>
        <v/>
      </c>
      <c r="AW919" s="86" t="str">
        <f>+IF($AG919=AW$22,MONTH($D919),"")</f>
        <v/>
      </c>
      <c r="AX919" s="86" t="str">
        <f>+IF($AG919=AX$22,MONTH($D919),"")</f>
        <v/>
      </c>
      <c r="AY919" s="89"/>
      <c r="AZ919" s="89"/>
      <c r="BA919" s="89"/>
      <c r="BB919" s="89"/>
      <c r="BC919" s="89"/>
      <c r="BD919" s="89"/>
      <c r="BE919" s="89"/>
      <c r="BF919" s="89"/>
      <c r="BG919" s="89"/>
      <c r="BH919" s="89"/>
      <c r="BI919" s="89"/>
      <c r="BJ919" s="89"/>
      <c r="BK919" s="89"/>
      <c r="BL919" s="89"/>
      <c r="BM919" s="89"/>
      <c r="BN919" s="167"/>
      <c r="BO919" s="167"/>
      <c r="BP919" s="167"/>
    </row>
    <row r="920" spans="1:68" s="56" customFormat="1" ht="27" hidden="1">
      <c r="A920" s="204">
        <f>+IFERROR(VALUE(MID(AB920,4,4)),"")</f>
        <v>320</v>
      </c>
      <c r="B920" s="204">
        <f>VALUE(RIGHT(C920,LEN(C920)-2))</f>
        <v>1803</v>
      </c>
      <c r="C920" s="74" t="s">
        <v>3477</v>
      </c>
      <c r="D920" s="75">
        <v>45117</v>
      </c>
      <c r="E920" s="70" t="s">
        <v>479</v>
      </c>
      <c r="F920" s="70" t="s">
        <v>479</v>
      </c>
      <c r="G920" s="68" t="s">
        <v>3478</v>
      </c>
      <c r="H920" s="59" t="s">
        <v>3479</v>
      </c>
      <c r="I920" s="69" t="s">
        <v>3480</v>
      </c>
      <c r="J920" s="69"/>
      <c r="K920" s="68" t="s">
        <v>3481</v>
      </c>
      <c r="L920" s="69" t="s">
        <v>120</v>
      </c>
      <c r="M920" s="71" t="s">
        <v>113</v>
      </c>
      <c r="N920" s="69" t="e" vm="2">
        <v>#VALUE!</v>
      </c>
      <c r="O920" s="84">
        <v>45132</v>
      </c>
      <c r="P920" s="72" t="s">
        <v>402</v>
      </c>
      <c r="Q920" s="72" t="s">
        <v>229</v>
      </c>
      <c r="R920" s="162"/>
      <c r="S920" s="146"/>
      <c r="T920" s="68" t="s">
        <v>155</v>
      </c>
      <c r="U920" s="87"/>
      <c r="V920" s="183">
        <v>45134</v>
      </c>
      <c r="W920" s="73"/>
      <c r="X920" s="73"/>
      <c r="Y920" s="83" t="str">
        <f>IF(SUM(W920:W920)&gt;0,X920/SUM(W920:W920)*1000000,"N/A")</f>
        <v>N/A</v>
      </c>
      <c r="Z920" s="183"/>
      <c r="AA920" s="183"/>
      <c r="AB920" s="73" t="s">
        <v>3482</v>
      </c>
      <c r="AC920" s="153"/>
      <c r="AD920" s="331"/>
      <c r="AE920" s="57"/>
      <c r="AF920" s="88"/>
      <c r="AG920" s="182">
        <f>YEAR(V920)</f>
        <v>2023</v>
      </c>
      <c r="AH920" s="86" t="str">
        <f>+IF(AF920=$AI$22,MONTH(U920),"")</f>
        <v/>
      </c>
      <c r="AI920" s="86" t="str">
        <f>+IF(AG920=$AI$22,MONTH(V920),"")</f>
        <v/>
      </c>
      <c r="AJ920" s="86" t="str">
        <f>+IF(AG920=$AJ$22,MONTH(V920),"")</f>
        <v/>
      </c>
      <c r="AK920" s="86">
        <f>+IF(AG920=$AK$22,MONTH(V920),"")</f>
        <v>7</v>
      </c>
      <c r="AL920" s="86" t="str">
        <f>+IF(AG920=$AL$22,MONTH(V920),"")</f>
        <v/>
      </c>
      <c r="AM920" s="86" t="str">
        <f>+IF($AG920=$AM$22,MONTH($D920),"")</f>
        <v/>
      </c>
      <c r="AN920" s="89" t="str">
        <f>+IF($AG920=AN$22,MONTH($D920),"")</f>
        <v/>
      </c>
      <c r="AO920" s="89" t="str">
        <f>+IF($AG920=AO$22,MONTH($D920),"")</f>
        <v/>
      </c>
      <c r="AP920" s="89" t="str">
        <f>+IF($AG920=AP$22,MONTH($D920),"")</f>
        <v/>
      </c>
      <c r="AQ920" s="89" t="str">
        <f>+IF($AG920=AQ$22,MONTH($D920),"")</f>
        <v/>
      </c>
      <c r="AR920" s="89" t="str">
        <f>+IF($AG920=AR$22,MONTH($D920),"")</f>
        <v/>
      </c>
      <c r="AS920" s="89" t="str">
        <f>+IF($AG920=AS$22,MONTH($D920),"")</f>
        <v/>
      </c>
      <c r="AT920" s="89" t="str">
        <f>+IF($AG920=AT$22,MONTH($D920),"")</f>
        <v/>
      </c>
      <c r="AU920" s="89" t="str">
        <f>+IF($AG920=AU$22,MONTH($D920),"")</f>
        <v/>
      </c>
      <c r="AV920" s="89" t="str">
        <f>+IF($AG920=AV$22,MONTH($D920),"")</f>
        <v/>
      </c>
      <c r="AW920" s="86" t="str">
        <f>+IF($AG920=AW$22,MONTH($D920),"")</f>
        <v/>
      </c>
      <c r="AX920" s="86" t="str">
        <f>+IF($AG920=AX$22,MONTH($D920),"")</f>
        <v/>
      </c>
      <c r="AY920" s="89"/>
      <c r="AZ920" s="89"/>
      <c r="BA920" s="89"/>
      <c r="BB920" s="89"/>
      <c r="BC920" s="89"/>
      <c r="BD920" s="89"/>
      <c r="BE920" s="89"/>
      <c r="BF920" s="89"/>
      <c r="BG920" s="89"/>
      <c r="BH920" s="89"/>
      <c r="BI920" s="89"/>
      <c r="BJ920" s="89"/>
      <c r="BK920" s="89"/>
      <c r="BL920" s="89"/>
      <c r="BM920" s="89"/>
      <c r="BN920" s="89"/>
      <c r="BO920" s="89"/>
      <c r="BP920" s="89"/>
    </row>
    <row r="921" spans="1:68" s="56" customFormat="1" ht="27" hidden="1">
      <c r="A921" s="204">
        <f>+IFERROR(VALUE(MID(AB921,4,4)),"")</f>
        <v>322</v>
      </c>
      <c r="B921" s="204">
        <f>VALUE(RIGHT(C921,LEN(C921)-2))</f>
        <v>1802</v>
      </c>
      <c r="C921" s="74" t="s">
        <v>3483</v>
      </c>
      <c r="D921" s="75">
        <v>45117</v>
      </c>
      <c r="E921" s="70" t="s">
        <v>479</v>
      </c>
      <c r="F921" s="70" t="s">
        <v>479</v>
      </c>
      <c r="G921" s="68" t="s">
        <v>2059</v>
      </c>
      <c r="H921" s="59" t="s">
        <v>3479</v>
      </c>
      <c r="I921" s="69" t="s">
        <v>3484</v>
      </c>
      <c r="J921" s="69"/>
      <c r="K921" s="68" t="s">
        <v>3485</v>
      </c>
      <c r="L921" s="69" t="s">
        <v>120</v>
      </c>
      <c r="M921" s="71" t="s">
        <v>113</v>
      </c>
      <c r="N921" s="69" t="e" vm="2">
        <v>#VALUE!</v>
      </c>
      <c r="O921" s="84">
        <v>45133</v>
      </c>
      <c r="P921" s="72" t="s">
        <v>2779</v>
      </c>
      <c r="Q921" s="72" t="s">
        <v>229</v>
      </c>
      <c r="R921" s="162"/>
      <c r="S921" s="146"/>
      <c r="T921" s="68" t="s">
        <v>155</v>
      </c>
      <c r="U921" s="87"/>
      <c r="V921" s="183">
        <v>45134</v>
      </c>
      <c r="W921" s="73"/>
      <c r="X921" s="73"/>
      <c r="Y921" s="83" t="str">
        <f>IF(SUM(W921:W921)&gt;0,X921/SUM(W921:W921)*1000000,"N/A")</f>
        <v>N/A</v>
      </c>
      <c r="Z921" s="183"/>
      <c r="AA921" s="183"/>
      <c r="AB921" s="73" t="s">
        <v>3486</v>
      </c>
      <c r="AC921" s="153"/>
      <c r="AD921" s="331"/>
      <c r="AE921" s="57"/>
      <c r="AF921" s="88"/>
      <c r="AG921" s="182">
        <f>YEAR(V921)</f>
        <v>2023</v>
      </c>
      <c r="AH921" s="86" t="str">
        <f>+IF(AF921=$AI$22,MONTH(U921),"")</f>
        <v/>
      </c>
      <c r="AI921" s="86" t="str">
        <f>+IF(AG921=$AI$22,MONTH(V921),"")</f>
        <v/>
      </c>
      <c r="AJ921" s="86" t="str">
        <f>+IF(AG921=$AJ$22,MONTH(V921),"")</f>
        <v/>
      </c>
      <c r="AK921" s="86">
        <f>+IF(AG921=$AK$22,MONTH(V921),"")</f>
        <v>7</v>
      </c>
      <c r="AL921" s="86" t="str">
        <f>+IF(AG921=$AL$22,MONTH(V921),"")</f>
        <v/>
      </c>
      <c r="AM921" s="86" t="str">
        <f>+IF($AG921=$AM$22,MONTH($D921),"")</f>
        <v/>
      </c>
      <c r="AN921" s="89" t="str">
        <f>+IF($AG921=AN$22,MONTH($D921),"")</f>
        <v/>
      </c>
      <c r="AO921" s="89" t="str">
        <f>+IF($AG921=AO$22,MONTH($D921),"")</f>
        <v/>
      </c>
      <c r="AP921" s="89" t="str">
        <f>+IF($AG921=AP$22,MONTH($D921),"")</f>
        <v/>
      </c>
      <c r="AQ921" s="89" t="str">
        <f>+IF($AG921=AQ$22,MONTH($D921),"")</f>
        <v/>
      </c>
      <c r="AR921" s="89" t="str">
        <f>+IF($AG921=AR$22,MONTH($D921),"")</f>
        <v/>
      </c>
      <c r="AS921" s="89" t="str">
        <f>+IF($AG921=AS$22,MONTH($D921),"")</f>
        <v/>
      </c>
      <c r="AT921" s="89" t="str">
        <f>+IF($AG921=AT$22,MONTH($D921),"")</f>
        <v/>
      </c>
      <c r="AU921" s="89" t="str">
        <f>+IF($AG921=AU$22,MONTH($D921),"")</f>
        <v/>
      </c>
      <c r="AV921" s="89" t="str">
        <f>+IF($AG921=AV$22,MONTH($D921),"")</f>
        <v/>
      </c>
      <c r="AW921" s="86" t="str">
        <f>+IF($AG921=AW$22,MONTH($D921),"")</f>
        <v/>
      </c>
      <c r="AX921" s="86" t="str">
        <f>+IF($AG921=AX$22,MONTH($D921),"")</f>
        <v/>
      </c>
      <c r="AY921" s="89"/>
      <c r="AZ921" s="89"/>
      <c r="BA921" s="89"/>
      <c r="BB921" s="89"/>
      <c r="BC921" s="89"/>
      <c r="BD921" s="89"/>
      <c r="BE921" s="89"/>
      <c r="BF921" s="89"/>
      <c r="BG921" s="89"/>
      <c r="BH921" s="89"/>
      <c r="BI921" s="89"/>
      <c r="BJ921" s="89"/>
      <c r="BK921" s="89"/>
      <c r="BL921" s="89"/>
      <c r="BM921" s="89"/>
      <c r="BN921" s="89"/>
      <c r="BO921" s="89"/>
      <c r="BP921" s="89"/>
    </row>
    <row r="922" spans="1:68" s="56" customFormat="1" ht="81" hidden="1">
      <c r="A922" s="204" t="str">
        <f>+IFERROR(VALUE(MID(AB922,4,4)),"")</f>
        <v/>
      </c>
      <c r="B922" s="204">
        <f>VALUE(RIGHT(C922,LEN(C922)-2))</f>
        <v>1801</v>
      </c>
      <c r="C922" s="74" t="s">
        <v>3487</v>
      </c>
      <c r="D922" s="75">
        <v>45117</v>
      </c>
      <c r="E922" s="70" t="s">
        <v>479</v>
      </c>
      <c r="F922" s="70" t="s">
        <v>479</v>
      </c>
      <c r="G922" s="68" t="s">
        <v>3488</v>
      </c>
      <c r="H922" s="59" t="s">
        <v>3479</v>
      </c>
      <c r="I922" s="69" t="s">
        <v>3489</v>
      </c>
      <c r="J922" s="69"/>
      <c r="K922" s="68" t="s">
        <v>944</v>
      </c>
      <c r="L922" s="69" t="s">
        <v>120</v>
      </c>
      <c r="M922" s="71" t="s">
        <v>113</v>
      </c>
      <c r="N922" s="69" t="e" vm="2">
        <v>#VALUE!</v>
      </c>
      <c r="O922" s="84">
        <v>45117</v>
      </c>
      <c r="P922" s="72" t="s">
        <v>402</v>
      </c>
      <c r="Q922" s="82" t="s">
        <v>837</v>
      </c>
      <c r="R922" s="69"/>
      <c r="S922" s="146" t="s">
        <v>3490</v>
      </c>
      <c r="T922" s="68" t="s">
        <v>155</v>
      </c>
      <c r="U922" s="87"/>
      <c r="V922" s="183">
        <v>45254</v>
      </c>
      <c r="W922" s="73">
        <v>8800</v>
      </c>
      <c r="X922" s="73">
        <v>332</v>
      </c>
      <c r="Y922" s="83">
        <f>IF(SUM(W922:W922)&gt;0,X922/SUM(W922:W922)*1000000,"N/A")</f>
        <v>37727.272727272728</v>
      </c>
      <c r="Z922" s="183"/>
      <c r="AA922" s="183"/>
      <c r="AB922" s="73"/>
      <c r="AC922" s="153"/>
      <c r="AD922" s="331"/>
      <c r="AE922" s="57"/>
      <c r="AF922" s="88"/>
      <c r="AG922" s="182">
        <f>YEAR(V922)</f>
        <v>2023</v>
      </c>
      <c r="AH922" s="86" t="str">
        <f>+IF(AF922=$AI$22,MONTH(U922),"")</f>
        <v/>
      </c>
      <c r="AI922" s="86" t="str">
        <f>+IF(AG922=$AI$22,MONTH(V922),"")</f>
        <v/>
      </c>
      <c r="AJ922" s="86" t="str">
        <f>+IF(AG922=$AJ$22,MONTH(V922),"")</f>
        <v/>
      </c>
      <c r="AK922" s="86">
        <f>+IF(AG922=$AK$22,MONTH(V922),"")</f>
        <v>11</v>
      </c>
      <c r="AL922" s="86"/>
      <c r="AM922" s="86" t="str">
        <f>+IF($AG922=$AM$22,MONTH($D922),"")</f>
        <v/>
      </c>
      <c r="AN922" s="89" t="str">
        <f>+IF($AG922=AN$22,MONTH($D922),"")</f>
        <v/>
      </c>
      <c r="AO922" s="89" t="str">
        <f>+IF($AG922=AO$22,MONTH($D922),"")</f>
        <v/>
      </c>
      <c r="AP922" s="89" t="str">
        <f>+IF($AG922=AP$22,MONTH($D922),"")</f>
        <v/>
      </c>
      <c r="AQ922" s="89" t="str">
        <f>+IF($AG922=AQ$22,MONTH($D922),"")</f>
        <v/>
      </c>
      <c r="AR922" s="89" t="str">
        <f>+IF($AG922=AR$22,MONTH($D922),"")</f>
        <v/>
      </c>
      <c r="AS922" s="89" t="str">
        <f>+IF($AG922=AS$22,MONTH($D922),"")</f>
        <v/>
      </c>
      <c r="AT922" s="89" t="str">
        <f>+IF($AG922=AT$22,MONTH($D922),"")</f>
        <v/>
      </c>
      <c r="AU922" s="89" t="str">
        <f>+IF($AG922=AU$22,MONTH($D922),"")</f>
        <v/>
      </c>
      <c r="AV922" s="89" t="str">
        <f>+IF($AG922=AV$22,MONTH($D922),"")</f>
        <v/>
      </c>
      <c r="AW922" s="86" t="str">
        <f>+IF($AG922=AW$22,MONTH($D922),"")</f>
        <v/>
      </c>
      <c r="AX922" s="86" t="str">
        <f>+IF($AG922=AX$22,MONTH($D922),"")</f>
        <v/>
      </c>
      <c r="AY922" s="89"/>
      <c r="AZ922" s="89"/>
      <c r="BA922" s="89"/>
      <c r="BB922" s="89"/>
      <c r="BC922" s="89"/>
      <c r="BD922" s="89"/>
      <c r="BE922" s="89"/>
      <c r="BF922" s="89"/>
      <c r="BG922" s="89"/>
      <c r="BH922" s="89"/>
      <c r="BI922" s="89"/>
      <c r="BJ922" s="89"/>
      <c r="BK922" s="89"/>
      <c r="BL922" s="89"/>
      <c r="BM922" s="89"/>
      <c r="BN922" s="89"/>
      <c r="BO922" s="89"/>
      <c r="BP922" s="89"/>
    </row>
    <row r="923" spans="1:68" s="56" customFormat="1" ht="40.5" hidden="1">
      <c r="A923" s="204">
        <f>+IFERROR(VALUE(MID(AB923,4,4)),"")</f>
        <v>336</v>
      </c>
      <c r="B923" s="204">
        <f>VALUE(RIGHT(C923,LEN(C923)-2))</f>
        <v>1800</v>
      </c>
      <c r="C923" s="74" t="s">
        <v>3491</v>
      </c>
      <c r="D923" s="75">
        <v>45117</v>
      </c>
      <c r="E923" s="70" t="s">
        <v>479</v>
      </c>
      <c r="F923" s="70" t="s">
        <v>479</v>
      </c>
      <c r="G923" s="68" t="s">
        <v>3492</v>
      </c>
      <c r="H923" s="59"/>
      <c r="I923" s="69" t="s">
        <v>3493</v>
      </c>
      <c r="J923" s="69"/>
      <c r="K923" s="68" t="s">
        <v>13</v>
      </c>
      <c r="L923" s="69" t="s">
        <v>120</v>
      </c>
      <c r="M923" s="71" t="s">
        <v>113</v>
      </c>
      <c r="N923" s="69" t="e" vm="2">
        <v>#VALUE!</v>
      </c>
      <c r="O923" s="84">
        <v>45133</v>
      </c>
      <c r="P923" s="72" t="s">
        <v>402</v>
      </c>
      <c r="Q923" s="72" t="s">
        <v>229</v>
      </c>
      <c r="R923" s="162"/>
      <c r="S923" s="146" t="s">
        <v>3494</v>
      </c>
      <c r="T923" s="68" t="s">
        <v>165</v>
      </c>
      <c r="U923" s="87">
        <v>0</v>
      </c>
      <c r="V923" s="183">
        <v>45134</v>
      </c>
      <c r="W923" s="73">
        <v>606</v>
      </c>
      <c r="X923" s="73">
        <v>18.100000000000001</v>
      </c>
      <c r="Y923" s="83">
        <f>IF(SUM(W923:W923)&gt;0,X923/SUM(W923:W923)*1000000,"N/A")</f>
        <v>29867.986798679871</v>
      </c>
      <c r="Z923" s="183"/>
      <c r="AA923" s="183"/>
      <c r="AB923" s="73" t="s">
        <v>3495</v>
      </c>
      <c r="AC923" s="153"/>
      <c r="AD923" s="331"/>
      <c r="AE923" s="57"/>
      <c r="AF923" s="88"/>
      <c r="AG923" s="182">
        <f>YEAR(V923)</f>
        <v>2023</v>
      </c>
      <c r="AH923" s="86" t="str">
        <f>+IF(AF923=$AI$22,MONTH(U923),"")</f>
        <v/>
      </c>
      <c r="AI923" s="86" t="str">
        <f>+IF(AG923=$AI$22,MONTH(V923),"")</f>
        <v/>
      </c>
      <c r="AJ923" s="86" t="str">
        <f>+IF(AG923=$AJ$22,MONTH(V923),"")</f>
        <v/>
      </c>
      <c r="AK923" s="86">
        <f>+IF(AG923=$AK$22,MONTH(V923),"")</f>
        <v>7</v>
      </c>
      <c r="AL923" s="86" t="str">
        <f>+IF(AG923=$AL$22,MONTH(V923),"")</f>
        <v/>
      </c>
      <c r="AM923" s="86" t="str">
        <f>+IF($AG923=$AM$22,MONTH($D923),"")</f>
        <v/>
      </c>
      <c r="AN923" s="89" t="str">
        <f>+IF($AG923=AN$22,MONTH($D923),"")</f>
        <v/>
      </c>
      <c r="AO923" s="89" t="str">
        <f>+IF($AG923=AO$22,MONTH($D923),"")</f>
        <v/>
      </c>
      <c r="AP923" s="89" t="str">
        <f>+IF($AG923=AP$22,MONTH($D923),"")</f>
        <v/>
      </c>
      <c r="AQ923" s="89" t="str">
        <f>+IF($AG923=AQ$22,MONTH($D923),"")</f>
        <v/>
      </c>
      <c r="AR923" s="89" t="str">
        <f>+IF($AG923=AR$22,MONTH($D923),"")</f>
        <v/>
      </c>
      <c r="AS923" s="89" t="str">
        <f>+IF($AG923=AS$22,MONTH($D923),"")</f>
        <v/>
      </c>
      <c r="AT923" s="89" t="str">
        <f>+IF($AG923=AT$22,MONTH($D923),"")</f>
        <v/>
      </c>
      <c r="AU923" s="89" t="str">
        <f>+IF($AG923=AU$22,MONTH($D923),"")</f>
        <v/>
      </c>
      <c r="AV923" s="89" t="str">
        <f>+IF($AG923=AV$22,MONTH($D923),"")</f>
        <v/>
      </c>
      <c r="AW923" s="86" t="str">
        <f>+IF($AG923=AW$22,MONTH($D923),"")</f>
        <v/>
      </c>
      <c r="AX923" s="86" t="str">
        <f>+IF($AG923=AX$22,MONTH($D923),"")</f>
        <v/>
      </c>
      <c r="AY923" s="89"/>
      <c r="AZ923" s="89"/>
      <c r="BA923" s="89"/>
      <c r="BB923" s="89"/>
      <c r="BC923" s="89"/>
      <c r="BD923" s="89"/>
      <c r="BE923" s="89"/>
      <c r="BF923" s="89"/>
      <c r="BG923" s="89"/>
      <c r="BH923" s="89"/>
      <c r="BI923" s="89"/>
      <c r="BJ923" s="89"/>
      <c r="BK923" s="89"/>
      <c r="BL923" s="89"/>
      <c r="BM923" s="89"/>
      <c r="BN923" s="89"/>
      <c r="BO923" s="89"/>
      <c r="BP923" s="89"/>
    </row>
    <row r="924" spans="1:68" s="89" customFormat="1" ht="27" hidden="1">
      <c r="A924" s="204" t="str">
        <f>+IFERROR(VALUE(MID(AB924,4,4)),"")</f>
        <v/>
      </c>
      <c r="B924" s="204">
        <f>VALUE(RIGHT(C924,LEN(C924)-2))</f>
        <v>1799</v>
      </c>
      <c r="C924" s="74" t="s">
        <v>3496</v>
      </c>
      <c r="D924" s="75">
        <v>45114</v>
      </c>
      <c r="E924" s="70" t="s">
        <v>479</v>
      </c>
      <c r="F924" s="70" t="s">
        <v>479</v>
      </c>
      <c r="G924" s="68" t="s">
        <v>3497</v>
      </c>
      <c r="H924" s="59"/>
      <c r="I924" s="69" t="s">
        <v>3498</v>
      </c>
      <c r="J924" s="69"/>
      <c r="K924" s="68" t="s">
        <v>30</v>
      </c>
      <c r="L924" s="69" t="s">
        <v>120</v>
      </c>
      <c r="M924" s="71" t="s">
        <v>113</v>
      </c>
      <c r="N924" s="69" t="e" vm="2">
        <v>#VALUE!</v>
      </c>
      <c r="O924" s="84">
        <v>45132</v>
      </c>
      <c r="P924" s="72" t="s">
        <v>483</v>
      </c>
      <c r="Q924" s="82" t="s">
        <v>229</v>
      </c>
      <c r="R924" s="69"/>
      <c r="S924" s="146"/>
      <c r="T924" s="68" t="s">
        <v>165</v>
      </c>
      <c r="U924" s="87"/>
      <c r="V924" s="183">
        <v>45247</v>
      </c>
      <c r="W924" s="73">
        <v>9990</v>
      </c>
      <c r="X924" s="73">
        <v>319</v>
      </c>
      <c r="Y924" s="83">
        <f>IF(SUM(W924:W924)&gt;0,X924/SUM(W924:W924)*1000000,"N/A")</f>
        <v>31931.931931931933</v>
      </c>
      <c r="Z924" s="183"/>
      <c r="AA924" s="183"/>
      <c r="AB924" s="73"/>
      <c r="AC924" s="153"/>
      <c r="AD924" s="331"/>
      <c r="AE924" s="57"/>
      <c r="AF924" s="88"/>
      <c r="AG924" s="182">
        <f>YEAR(V924)</f>
        <v>2023</v>
      </c>
      <c r="AH924" s="86" t="str">
        <f>+IF(AF924=$AI$22,MONTH(U924),"")</f>
        <v/>
      </c>
      <c r="AI924" s="86" t="str">
        <f>+IF(AG924=$AI$22,MONTH(V924),"")</f>
        <v/>
      </c>
      <c r="AJ924" s="86" t="str">
        <f>+IF(AG924=$AJ$22,MONTH(V924),"")</f>
        <v/>
      </c>
      <c r="AK924" s="86">
        <f>+IF(AG924=$AK$22,MONTH(V924),"")</f>
        <v>11</v>
      </c>
      <c r="AL924" s="86"/>
      <c r="AM924" s="86" t="str">
        <f>+IF($AG924=$AM$22,MONTH($D924),"")</f>
        <v/>
      </c>
      <c r="AN924" s="89" t="str">
        <f>+IF($AG924=AN$22,MONTH($D924),"")</f>
        <v/>
      </c>
      <c r="AO924" s="89" t="str">
        <f>+IF($AG924=AO$22,MONTH($D924),"")</f>
        <v/>
      </c>
      <c r="AP924" s="89" t="str">
        <f>+IF($AG924=AP$22,MONTH($D924),"")</f>
        <v/>
      </c>
      <c r="AQ924" s="89" t="str">
        <f>+IF($AG924=AQ$22,MONTH($D924),"")</f>
        <v/>
      </c>
      <c r="AR924" s="89" t="str">
        <f>+IF($AG924=AR$22,MONTH($D924),"")</f>
        <v/>
      </c>
      <c r="AS924" s="89" t="str">
        <f>+IF($AG924=AS$22,MONTH($D924),"")</f>
        <v/>
      </c>
      <c r="AT924" s="89" t="str">
        <f>+IF($AG924=AT$22,MONTH($D924),"")</f>
        <v/>
      </c>
      <c r="AU924" s="89" t="str">
        <f>+IF($AG924=AU$22,MONTH($D924),"")</f>
        <v/>
      </c>
      <c r="AV924" s="89" t="str">
        <f>+IF($AG924=AV$22,MONTH($D924),"")</f>
        <v/>
      </c>
      <c r="AW924" s="86" t="str">
        <f>+IF($AG924=AW$22,MONTH($D924),"")</f>
        <v/>
      </c>
      <c r="AX924" s="86" t="str">
        <f>+IF($AG924=AX$22,MONTH($D924),"")</f>
        <v/>
      </c>
    </row>
    <row r="925" spans="1:68" s="56" customFormat="1" ht="13.5" hidden="1">
      <c r="A925" s="204" t="str">
        <f>+IFERROR(VALUE(MID(AB925,4,4)),"")</f>
        <v/>
      </c>
      <c r="B925" s="204">
        <f>VALUE(RIGHT(C925,LEN(C925)-2))</f>
        <v>1798</v>
      </c>
      <c r="C925" s="74" t="s">
        <v>3499</v>
      </c>
      <c r="D925" s="75">
        <v>45114</v>
      </c>
      <c r="E925" s="70" t="s">
        <v>479</v>
      </c>
      <c r="F925" s="70" t="s">
        <v>479</v>
      </c>
      <c r="G925" s="68" t="s">
        <v>3500</v>
      </c>
      <c r="H925" s="59"/>
      <c r="I925" s="69" t="s">
        <v>3501</v>
      </c>
      <c r="J925" s="69"/>
      <c r="K925" s="68" t="s">
        <v>30</v>
      </c>
      <c r="L925" s="69" t="s">
        <v>120</v>
      </c>
      <c r="M925" s="71" t="s">
        <v>113</v>
      </c>
      <c r="N925" s="69" t="e" vm="2">
        <v>#VALUE!</v>
      </c>
      <c r="O925" s="84">
        <v>45119</v>
      </c>
      <c r="P925" s="72" t="s">
        <v>483</v>
      </c>
      <c r="Q925" s="82" t="s">
        <v>229</v>
      </c>
      <c r="R925" s="69"/>
      <c r="S925" s="146"/>
      <c r="T925" s="68" t="s">
        <v>165</v>
      </c>
      <c r="U925" s="87">
        <v>0</v>
      </c>
      <c r="V925" s="183">
        <v>45134</v>
      </c>
      <c r="W925" s="73">
        <v>9043</v>
      </c>
      <c r="X925" s="73">
        <v>294.2</v>
      </c>
      <c r="Y925" s="83">
        <f>IF(SUM(W925:W925)&gt;0,X925/SUM(W925:W925)*1000000,"N/A")</f>
        <v>32533.451288289285</v>
      </c>
      <c r="Z925" s="183"/>
      <c r="AA925" s="183"/>
      <c r="AB925" s="73"/>
      <c r="AC925" s="153"/>
      <c r="AD925" s="331"/>
      <c r="AE925" s="57"/>
      <c r="AF925" s="88"/>
      <c r="AG925" s="182">
        <f>YEAR(V925)</f>
        <v>2023</v>
      </c>
      <c r="AH925" s="86" t="str">
        <f>+IF(AF925=$AI$22,MONTH(U925),"")</f>
        <v/>
      </c>
      <c r="AI925" s="86" t="str">
        <f>+IF(AG925=$AI$22,MONTH(V925),"")</f>
        <v/>
      </c>
      <c r="AJ925" s="86" t="str">
        <f>+IF(AG925=$AJ$22,MONTH(V925),"")</f>
        <v/>
      </c>
      <c r="AK925" s="86">
        <f>+IF(AG925=$AK$22,MONTH(V925),"")</f>
        <v>7</v>
      </c>
      <c r="AL925" s="86"/>
      <c r="AM925" s="86" t="str">
        <f>+IF($AG925=$AM$22,MONTH($D925),"")</f>
        <v/>
      </c>
      <c r="AN925" s="89" t="str">
        <f>+IF($AG925=AN$22,MONTH($D925),"")</f>
        <v/>
      </c>
      <c r="AO925" s="89" t="str">
        <f>+IF($AG925=AO$22,MONTH($D925),"")</f>
        <v/>
      </c>
      <c r="AP925" s="89" t="str">
        <f>+IF($AG925=AP$22,MONTH($D925),"")</f>
        <v/>
      </c>
      <c r="AQ925" s="89" t="str">
        <f>+IF($AG925=AQ$22,MONTH($D925),"")</f>
        <v/>
      </c>
      <c r="AR925" s="89" t="str">
        <f>+IF($AG925=AR$22,MONTH($D925),"")</f>
        <v/>
      </c>
      <c r="AS925" s="89" t="str">
        <f>+IF($AG925=AS$22,MONTH($D925),"")</f>
        <v/>
      </c>
      <c r="AT925" s="89" t="str">
        <f>+IF($AG925=AT$22,MONTH($D925),"")</f>
        <v/>
      </c>
      <c r="AU925" s="89" t="str">
        <f>+IF($AG925=AU$22,MONTH($D925),"")</f>
        <v/>
      </c>
      <c r="AV925" s="89" t="str">
        <f>+IF($AG925=AV$22,MONTH($D925),"")</f>
        <v/>
      </c>
      <c r="AW925" s="86" t="str">
        <f>+IF($AG925=AW$22,MONTH($D925),"")</f>
        <v/>
      </c>
      <c r="AX925" s="86" t="str">
        <f>+IF($AG925=AX$22,MONTH($D925),"")</f>
        <v/>
      </c>
      <c r="AY925" s="89"/>
      <c r="AZ925" s="89"/>
      <c r="BA925" s="89"/>
      <c r="BB925" s="89"/>
      <c r="BC925" s="89"/>
      <c r="BD925" s="89"/>
      <c r="BE925" s="89"/>
      <c r="BF925" s="89"/>
      <c r="BG925" s="89"/>
      <c r="BH925" s="89"/>
      <c r="BI925" s="89"/>
      <c r="BJ925" s="89"/>
      <c r="BK925" s="89"/>
      <c r="BL925" s="89"/>
      <c r="BM925" s="89"/>
      <c r="BN925" s="89"/>
      <c r="BO925" s="89"/>
      <c r="BP925" s="89"/>
    </row>
    <row r="926" spans="1:68" s="89" customFormat="1" ht="27" hidden="1">
      <c r="A926" s="204">
        <f>+IFERROR(VALUE(MID(AB926,4,4)),"")</f>
        <v>354</v>
      </c>
      <c r="B926" s="204">
        <f>VALUE(RIGHT(C926,LEN(C926)-2))</f>
        <v>1797</v>
      </c>
      <c r="C926" s="74" t="s">
        <v>3502</v>
      </c>
      <c r="D926" s="75">
        <v>45113</v>
      </c>
      <c r="E926" s="70" t="s">
        <v>51</v>
      </c>
      <c r="F926" s="70" t="s">
        <v>51</v>
      </c>
      <c r="G926" s="68" t="s">
        <v>3503</v>
      </c>
      <c r="H926" s="59"/>
      <c r="I926" s="69" t="s">
        <v>3504</v>
      </c>
      <c r="J926" s="69"/>
      <c r="K926" s="95" t="s">
        <v>275</v>
      </c>
      <c r="L926" s="69" t="s">
        <v>123</v>
      </c>
      <c r="M926" s="71" t="s">
        <v>141</v>
      </c>
      <c r="N926" s="69" t="e" vm="1">
        <v>#VALUE!</v>
      </c>
      <c r="O926" s="84">
        <v>45154</v>
      </c>
      <c r="P926" s="82" t="s">
        <v>274</v>
      </c>
      <c r="Q926" s="82" t="s">
        <v>1097</v>
      </c>
      <c r="R926" s="69"/>
      <c r="S926" s="146" t="s">
        <v>3505</v>
      </c>
      <c r="T926" s="68" t="s">
        <v>3</v>
      </c>
      <c r="U926" s="87"/>
      <c r="V926" s="183">
        <v>45154</v>
      </c>
      <c r="W926" s="73">
        <v>10466.5</v>
      </c>
      <c r="X926" s="73">
        <f>475899824/1000000</f>
        <v>475.89982400000002</v>
      </c>
      <c r="Y926" s="83">
        <f>IF(SUM(W926:W926)&gt;0,X926/SUM(W926:W926)*1000000,"N/A")</f>
        <v>45468.860077389771</v>
      </c>
      <c r="Z926" s="183"/>
      <c r="AA926" s="183"/>
      <c r="AB926" s="73" t="s">
        <v>3506</v>
      </c>
      <c r="AC926" s="153"/>
      <c r="AD926" s="331"/>
      <c r="AE926" s="57"/>
      <c r="AF926" s="88"/>
      <c r="AG926" s="182">
        <f>YEAR(V926)</f>
        <v>2023</v>
      </c>
      <c r="AH926" s="86" t="str">
        <f>+IF(AF926=$AI$22,MONTH(U926),"")</f>
        <v/>
      </c>
      <c r="AI926" s="86" t="str">
        <f>+IF(AG926=$AI$22,MONTH(V926),"")</f>
        <v/>
      </c>
      <c r="AJ926" s="86" t="str">
        <f>+IF(AG926=$AJ$22,MONTH(V926),"")</f>
        <v/>
      </c>
      <c r="AK926" s="86">
        <f>+IF(AG926=$AK$22,MONTH(V926),"")</f>
        <v>8</v>
      </c>
      <c r="AL926" s="86" t="str">
        <f>+IF(AG926=$AL$22,MONTH(V926),"")</f>
        <v/>
      </c>
      <c r="AM926" s="86" t="str">
        <f>+IF($AG926=$AM$22,MONTH($D926),"")</f>
        <v/>
      </c>
      <c r="AN926" s="89" t="str">
        <f>+IF($AG926=AN$22,MONTH($D926),"")</f>
        <v/>
      </c>
      <c r="AO926" s="89" t="str">
        <f>+IF($AG926=AO$22,MONTH($D926),"")</f>
        <v/>
      </c>
      <c r="AP926" s="89" t="str">
        <f>+IF($AG926=AP$22,MONTH($D926),"")</f>
        <v/>
      </c>
      <c r="AQ926" s="89" t="str">
        <f>+IF($AG926=AQ$22,MONTH($D926),"")</f>
        <v/>
      </c>
      <c r="AR926" s="89" t="str">
        <f>+IF($AG926=AR$22,MONTH($D926),"")</f>
        <v/>
      </c>
      <c r="AS926" s="89" t="str">
        <f>+IF($AG926=AS$22,MONTH($D926),"")</f>
        <v/>
      </c>
      <c r="AT926" s="89" t="str">
        <f>+IF($AG926=AT$22,MONTH($D926),"")</f>
        <v/>
      </c>
      <c r="AU926" s="89" t="str">
        <f>+IF($AG926=AU$22,MONTH($D926),"")</f>
        <v/>
      </c>
      <c r="AV926" s="89" t="str">
        <f>+IF($AG926=AV$22,MONTH($D926),"")</f>
        <v/>
      </c>
      <c r="AW926" s="86" t="str">
        <f>+IF($AG926=AW$22,MONTH($D926),"")</f>
        <v/>
      </c>
      <c r="AX926" s="86" t="str">
        <f>+IF($AG926=AX$22,MONTH($D926),"")</f>
        <v/>
      </c>
    </row>
    <row r="927" spans="1:68" s="89" customFormat="1" ht="27.75" hidden="1" customHeight="1">
      <c r="A927" s="204" t="str">
        <f>+IFERROR(VALUE(MID(AB927,4,4)),"")</f>
        <v/>
      </c>
      <c r="B927" s="204">
        <f>VALUE(RIGHT(C927,LEN(C927)-2))</f>
        <v>1796</v>
      </c>
      <c r="C927" s="74" t="s">
        <v>3507</v>
      </c>
      <c r="D927" s="75">
        <v>45113</v>
      </c>
      <c r="E927" s="70" t="s">
        <v>479</v>
      </c>
      <c r="F927" s="70" t="s">
        <v>479</v>
      </c>
      <c r="G927" s="68" t="s">
        <v>3478</v>
      </c>
      <c r="H927" s="59" t="s">
        <v>3479</v>
      </c>
      <c r="I927" s="69" t="s">
        <v>3508</v>
      </c>
      <c r="J927" s="69"/>
      <c r="K927" s="68" t="s">
        <v>30</v>
      </c>
      <c r="L927" s="69" t="s">
        <v>120</v>
      </c>
      <c r="M927" s="71" t="s">
        <v>113</v>
      </c>
      <c r="N927" s="69" t="e" vm="2">
        <v>#VALUE!</v>
      </c>
      <c r="O927" s="84">
        <v>45117</v>
      </c>
      <c r="P927" s="72" t="s">
        <v>483</v>
      </c>
      <c r="Q927" s="82" t="s">
        <v>837</v>
      </c>
      <c r="R927" s="69"/>
      <c r="S927" s="146"/>
      <c r="T927" s="68" t="s">
        <v>165</v>
      </c>
      <c r="U927" s="87">
        <v>0</v>
      </c>
      <c r="V927" s="183">
        <v>45134</v>
      </c>
      <c r="W927" s="73">
        <v>2422</v>
      </c>
      <c r="X927" s="73">
        <v>73.2</v>
      </c>
      <c r="Y927" s="83">
        <f>IF(SUM(W927:W927)&gt;0,X927/SUM(W927:W927)*1000000,"N/A")</f>
        <v>30222.956234516929</v>
      </c>
      <c r="Z927" s="183"/>
      <c r="AA927" s="183"/>
      <c r="AB927" s="73"/>
      <c r="AC927" s="153"/>
      <c r="AD927" s="331"/>
      <c r="AE927" s="57"/>
      <c r="AF927" s="88"/>
      <c r="AG927" s="182">
        <f>YEAR(V927)</f>
        <v>2023</v>
      </c>
      <c r="AH927" s="86" t="str">
        <f>+IF(AF927=$AI$22,MONTH(U927),"")</f>
        <v/>
      </c>
      <c r="AI927" s="86" t="str">
        <f>+IF(AG927=$AI$22,MONTH(V927),"")</f>
        <v/>
      </c>
      <c r="AJ927" s="86" t="str">
        <f>+IF(AG927=$AJ$22,MONTH(V927),"")</f>
        <v/>
      </c>
      <c r="AK927" s="86">
        <f>+IF(AG927=$AK$22,MONTH(V927),"")</f>
        <v>7</v>
      </c>
      <c r="AL927" s="86"/>
      <c r="AM927" s="86" t="str">
        <f>+IF($AG927=$AM$22,MONTH($D927),"")</f>
        <v/>
      </c>
      <c r="AN927" s="89" t="str">
        <f>+IF($AG927=AN$22,MONTH($D927),"")</f>
        <v/>
      </c>
      <c r="AO927" s="89" t="str">
        <f>+IF($AG927=AO$22,MONTH($D927),"")</f>
        <v/>
      </c>
      <c r="AP927" s="89" t="str">
        <f>+IF($AG927=AP$22,MONTH($D927),"")</f>
        <v/>
      </c>
      <c r="AQ927" s="89" t="str">
        <f>+IF($AG927=AQ$22,MONTH($D927),"")</f>
        <v/>
      </c>
      <c r="AR927" s="89" t="str">
        <f>+IF($AG927=AR$22,MONTH($D927),"")</f>
        <v/>
      </c>
      <c r="AS927" s="89" t="str">
        <f>+IF($AG927=AS$22,MONTH($D927),"")</f>
        <v/>
      </c>
      <c r="AT927" s="89" t="str">
        <f>+IF($AG927=AT$22,MONTH($D927),"")</f>
        <v/>
      </c>
      <c r="AU927" s="89" t="str">
        <f>+IF($AG927=AU$22,MONTH($D927),"")</f>
        <v/>
      </c>
      <c r="AV927" s="89" t="str">
        <f>+IF($AG927=AV$22,MONTH($D927),"")</f>
        <v/>
      </c>
      <c r="AW927" s="86" t="str">
        <f>+IF($AG927=AW$22,MONTH($D927),"")</f>
        <v/>
      </c>
      <c r="AX927" s="86" t="str">
        <f>+IF($AG927=AX$22,MONTH($D927),"")</f>
        <v/>
      </c>
    </row>
    <row r="928" spans="1:68" s="89" customFormat="1" ht="27" hidden="1">
      <c r="A928" s="204" t="str">
        <f>+IFERROR(VALUE(MID(AB928,4,4)),"")</f>
        <v/>
      </c>
      <c r="B928" s="204">
        <f>VALUE(RIGHT(C928,LEN(C928)-2))</f>
        <v>1795</v>
      </c>
      <c r="C928" s="74" t="s">
        <v>3509</v>
      </c>
      <c r="D928" s="75">
        <v>45112</v>
      </c>
      <c r="E928" s="70" t="s">
        <v>353</v>
      </c>
      <c r="F928" s="70" t="s">
        <v>2570</v>
      </c>
      <c r="G928" s="68" t="s">
        <v>3510</v>
      </c>
      <c r="H928" s="59"/>
      <c r="I928" s="69" t="s">
        <v>3511</v>
      </c>
      <c r="J928" s="69"/>
      <c r="K928" s="95" t="s">
        <v>30</v>
      </c>
      <c r="L928" s="69" t="s">
        <v>120</v>
      </c>
      <c r="M928" s="71" t="s">
        <v>141</v>
      </c>
      <c r="N928" s="69" t="e" vm="1">
        <v>#VALUE!</v>
      </c>
      <c r="O928" s="84">
        <v>45124</v>
      </c>
      <c r="P928" s="82" t="s">
        <v>666</v>
      </c>
      <c r="Q928" s="82" t="s">
        <v>229</v>
      </c>
      <c r="R928" s="69"/>
      <c r="S928" s="146" t="s">
        <v>3512</v>
      </c>
      <c r="T928" s="68" t="s">
        <v>168</v>
      </c>
      <c r="U928" s="87"/>
      <c r="V928" s="183">
        <v>45173</v>
      </c>
      <c r="W928" s="73">
        <v>3370</v>
      </c>
      <c r="X928" s="73">
        <f>151952550/1000000</f>
        <v>151.95255</v>
      </c>
      <c r="Y928" s="83">
        <f>IF(SUM(W928:W928)&gt;0,X928/SUM(W928:W928)*1000000,"N/A")</f>
        <v>45089.777448071218</v>
      </c>
      <c r="Z928" s="183"/>
      <c r="AA928" s="183"/>
      <c r="AB928" s="73"/>
      <c r="AC928" s="153"/>
      <c r="AD928" s="331"/>
      <c r="AE928" s="57"/>
      <c r="AF928" s="88"/>
      <c r="AG928" s="182">
        <f>YEAR(V928)</f>
        <v>2023</v>
      </c>
      <c r="AH928" s="86" t="str">
        <f>+IF(AF928=$AI$22,MONTH(U928),"")</f>
        <v/>
      </c>
      <c r="AI928" s="86" t="str">
        <f>+IF(AG928=$AI$22,MONTH(V928),"")</f>
        <v/>
      </c>
      <c r="AJ928" s="86" t="str">
        <f>+IF(AG928=$AJ$22,MONTH(V928),"")</f>
        <v/>
      </c>
      <c r="AK928" s="86">
        <f>+IF(AG928=$AK$22,MONTH(V928),"")</f>
        <v>9</v>
      </c>
      <c r="AL928" s="86" t="str">
        <f>+IF(AG928=$AL$22,MONTH(V928),"")</f>
        <v/>
      </c>
      <c r="AM928" s="86" t="str">
        <f>+IF($AG928=$AM$22,MONTH($D928),"")</f>
        <v/>
      </c>
      <c r="AN928" s="89" t="str">
        <f>+IF($AG928=AN$22,MONTH($D928),"")</f>
        <v/>
      </c>
      <c r="AO928" s="89" t="str">
        <f>+IF($AG928=AO$22,MONTH($D928),"")</f>
        <v/>
      </c>
      <c r="AP928" s="89" t="str">
        <f>+IF($AG928=AP$22,MONTH($D928),"")</f>
        <v/>
      </c>
      <c r="AQ928" s="89" t="str">
        <f>+IF($AG928=AQ$22,MONTH($D928),"")</f>
        <v/>
      </c>
      <c r="AR928" s="89" t="str">
        <f>+IF($AG928=AR$22,MONTH($D928),"")</f>
        <v/>
      </c>
      <c r="AS928" s="89" t="str">
        <f>+IF($AG928=AS$22,MONTH($D928),"")</f>
        <v/>
      </c>
      <c r="AT928" s="89" t="str">
        <f>+IF($AG928=AT$22,MONTH($D928),"")</f>
        <v/>
      </c>
      <c r="AU928" s="89" t="str">
        <f>+IF($AG928=AU$22,MONTH($D928),"")</f>
        <v/>
      </c>
      <c r="AV928" s="89" t="str">
        <f>+IF($AG928=AV$22,MONTH($D928),"")</f>
        <v/>
      </c>
      <c r="AW928" s="86" t="str">
        <f>+IF($AG928=AW$22,MONTH($D928),"")</f>
        <v/>
      </c>
      <c r="AX928" s="86" t="str">
        <f>+IF($AG928=AX$22,MONTH($D928),"")</f>
        <v/>
      </c>
    </row>
    <row r="929" spans="1:68" s="56" customFormat="1" ht="27" hidden="1" customHeight="1">
      <c r="A929" s="204">
        <f>+IFERROR(VALUE(MID(AB929,4,4)),"")</f>
        <v>337</v>
      </c>
      <c r="B929" s="204">
        <f>VALUE(RIGHT(C929,LEN(C929)-2))</f>
        <v>1794</v>
      </c>
      <c r="C929" s="74" t="s">
        <v>3513</v>
      </c>
      <c r="D929" s="75">
        <v>45111</v>
      </c>
      <c r="E929" s="70" t="s">
        <v>685</v>
      </c>
      <c r="F929" s="70" t="s">
        <v>685</v>
      </c>
      <c r="G929" s="68" t="s">
        <v>931</v>
      </c>
      <c r="H929" s="59" t="s">
        <v>2377</v>
      </c>
      <c r="I929" s="69" t="s">
        <v>3514</v>
      </c>
      <c r="J929" s="69"/>
      <c r="K929" s="95" t="s">
        <v>9</v>
      </c>
      <c r="L929" s="69" t="s">
        <v>120</v>
      </c>
      <c r="M929" s="71" t="s">
        <v>141</v>
      </c>
      <c r="N929" s="69" t="e" vm="1">
        <v>#VALUE!</v>
      </c>
      <c r="O929" s="84">
        <v>45112</v>
      </c>
      <c r="P929" s="82" t="s">
        <v>2273</v>
      </c>
      <c r="Q929" s="82" t="s">
        <v>623</v>
      </c>
      <c r="R929" s="69"/>
      <c r="S929" s="146"/>
      <c r="T929" s="68" t="s">
        <v>3</v>
      </c>
      <c r="U929" s="87"/>
      <c r="V929" s="183">
        <v>45134</v>
      </c>
      <c r="W929" s="73">
        <v>67</v>
      </c>
      <c r="X929" s="73">
        <v>3.7</v>
      </c>
      <c r="Y929" s="83">
        <f>IF(SUM(W929:W929)&gt;0,X929/SUM(W929:W929)*1000000,"N/A")</f>
        <v>55223.880597014926</v>
      </c>
      <c r="Z929" s="183"/>
      <c r="AA929" s="183"/>
      <c r="AB929" s="73" t="s">
        <v>3515</v>
      </c>
      <c r="AC929" s="153"/>
      <c r="AD929" s="331"/>
      <c r="AE929" s="57"/>
      <c r="AF929" s="88"/>
      <c r="AG929" s="182">
        <f>YEAR(V929)</f>
        <v>2023</v>
      </c>
      <c r="AH929" s="86" t="str">
        <f>+IF(AF929=$AI$22,MONTH(U929),"")</f>
        <v/>
      </c>
      <c r="AI929" s="86" t="str">
        <f>+IF(AG929=$AI$22,MONTH(V929),"")</f>
        <v/>
      </c>
      <c r="AJ929" s="86" t="str">
        <f>+IF(AG929=$AJ$22,MONTH(V929),"")</f>
        <v/>
      </c>
      <c r="AK929" s="86">
        <f>+IF(AG929=$AK$22,MONTH(V929),"")</f>
        <v>7</v>
      </c>
      <c r="AL929" s="86" t="str">
        <f>+IF(AG929=$AL$22,MONTH(V929),"")</f>
        <v/>
      </c>
      <c r="AM929" s="86" t="str">
        <f>+IF($AG929=$AM$22,MONTH($D929),"")</f>
        <v/>
      </c>
      <c r="AN929" s="89" t="str">
        <f>+IF($AG929=AN$22,MONTH($D929),"")</f>
        <v/>
      </c>
      <c r="AO929" s="89" t="str">
        <f>+IF($AG929=AO$22,MONTH($D929),"")</f>
        <v/>
      </c>
      <c r="AP929" s="89" t="str">
        <f>+IF($AG929=AP$22,MONTH($D929),"")</f>
        <v/>
      </c>
      <c r="AQ929" s="89" t="str">
        <f>+IF($AG929=AQ$22,MONTH($D929),"")</f>
        <v/>
      </c>
      <c r="AR929" s="89" t="str">
        <f>+IF($AG929=AR$22,MONTH($D929),"")</f>
        <v/>
      </c>
      <c r="AS929" s="89" t="str">
        <f>+IF($AG929=AS$22,MONTH($D929),"")</f>
        <v/>
      </c>
      <c r="AT929" s="89" t="str">
        <f>+IF($AG929=AT$22,MONTH($D929),"")</f>
        <v/>
      </c>
      <c r="AU929" s="89" t="str">
        <f>+IF($AG929=AU$22,MONTH($D929),"")</f>
        <v/>
      </c>
      <c r="AV929" s="89" t="str">
        <f>+IF($AG929=AV$22,MONTH($D929),"")</f>
        <v/>
      </c>
      <c r="AW929" s="86" t="str">
        <f>+IF($AG929=AW$22,MONTH($D929),"")</f>
        <v/>
      </c>
      <c r="AX929" s="86" t="str">
        <f>+IF($AG929=AX$22,MONTH($D929),"")</f>
        <v/>
      </c>
      <c r="AY929" s="89"/>
      <c r="AZ929" s="89"/>
      <c r="BA929" s="89"/>
      <c r="BB929" s="89"/>
      <c r="BC929" s="89"/>
      <c r="BD929" s="89"/>
      <c r="BE929" s="89"/>
      <c r="BF929" s="89"/>
      <c r="BG929" s="89"/>
      <c r="BH929" s="89"/>
      <c r="BI929" s="89"/>
      <c r="BJ929" s="89"/>
      <c r="BK929" s="89"/>
      <c r="BL929" s="89"/>
      <c r="BM929" s="89"/>
      <c r="BN929" s="89"/>
      <c r="BO929" s="89"/>
      <c r="BP929" s="89"/>
    </row>
    <row r="930" spans="1:68" s="56" customFormat="1" ht="27" hidden="1">
      <c r="A930" s="204" t="str">
        <f>+IFERROR(VALUE(MID(AB930,4,4)),"")</f>
        <v/>
      </c>
      <c r="B930" s="204">
        <f>VALUE(RIGHT(C930,LEN(C930)-2))</f>
        <v>1793</v>
      </c>
      <c r="C930" s="74" t="s">
        <v>3516</v>
      </c>
      <c r="D930" s="75">
        <v>45106</v>
      </c>
      <c r="E930" s="70" t="s">
        <v>3517</v>
      </c>
      <c r="F930" s="70" t="s">
        <v>3517</v>
      </c>
      <c r="G930" s="68"/>
      <c r="H930" s="59"/>
      <c r="I930" s="69" t="s">
        <v>3518</v>
      </c>
      <c r="J930" s="69"/>
      <c r="K930" s="95" t="s">
        <v>9</v>
      </c>
      <c r="L930" s="69" t="s">
        <v>123</v>
      </c>
      <c r="M930" s="71" t="s">
        <v>141</v>
      </c>
      <c r="N930" s="69" t="e" vm="1">
        <v>#VALUE!</v>
      </c>
      <c r="O930" s="84">
        <v>45107</v>
      </c>
      <c r="P930" s="82" t="s">
        <v>402</v>
      </c>
      <c r="Q930" s="162" t="s">
        <v>310</v>
      </c>
      <c r="R930" s="162"/>
      <c r="S930" s="146"/>
      <c r="T930" s="68" t="s">
        <v>165</v>
      </c>
      <c r="U930" s="87"/>
      <c r="V930" s="183">
        <v>45134</v>
      </c>
      <c r="W930" s="73"/>
      <c r="X930" s="73"/>
      <c r="Y930" s="83" t="str">
        <f>IF(SUM(W930:W930)&gt;0,X930/SUM(W930:W930)*1000000,"N/A")</f>
        <v>N/A</v>
      </c>
      <c r="Z930" s="183"/>
      <c r="AA930" s="183"/>
      <c r="AB930" s="73"/>
      <c r="AC930" s="153"/>
      <c r="AD930" s="331"/>
      <c r="AE930" s="57"/>
      <c r="AF930" s="88"/>
      <c r="AG930" s="182">
        <f>YEAR(V930)</f>
        <v>2023</v>
      </c>
      <c r="AH930" s="86" t="str">
        <f>+IF(AF930=$AI$22,MONTH(U930),"")</f>
        <v/>
      </c>
      <c r="AI930" s="86" t="str">
        <f>+IF(AG930=$AI$22,MONTH(V930),"")</f>
        <v/>
      </c>
      <c r="AJ930" s="86" t="str">
        <f>+IF(AG930=$AJ$22,MONTH(V930),"")</f>
        <v/>
      </c>
      <c r="AK930" s="86">
        <f>+IF(AG930=$AK$22,MONTH(V930),"")</f>
        <v>7</v>
      </c>
      <c r="AL930" s="86" t="str">
        <f>+IF(AG930=$AL$22,MONTH(V930),"")</f>
        <v/>
      </c>
      <c r="AM930" s="86" t="str">
        <f>+IF($AG930=$AM$22,MONTH($D930),"")</f>
        <v/>
      </c>
      <c r="AN930" s="89" t="str">
        <f>+IF($AG930=AN$22,MONTH($D930),"")</f>
        <v/>
      </c>
      <c r="AO930" s="89" t="str">
        <f>+IF($AG930=AO$22,MONTH($D930),"")</f>
        <v/>
      </c>
      <c r="AP930" s="89" t="str">
        <f>+IF($AG930=AP$22,MONTH($D930),"")</f>
        <v/>
      </c>
      <c r="AQ930" s="89" t="str">
        <f>+IF($AG930=AQ$22,MONTH($D930),"")</f>
        <v/>
      </c>
      <c r="AR930" s="89" t="str">
        <f>+IF($AG930=AR$22,MONTH($D930),"")</f>
        <v/>
      </c>
      <c r="AS930" s="89" t="str">
        <f>+IF($AG930=AS$22,MONTH($D930),"")</f>
        <v/>
      </c>
      <c r="AT930" s="89" t="str">
        <f>+IF($AG930=AT$22,MONTH($D930),"")</f>
        <v/>
      </c>
      <c r="AU930" s="89" t="str">
        <f>+IF($AG930=AU$22,MONTH($D930),"")</f>
        <v/>
      </c>
      <c r="AV930" s="89" t="str">
        <f>+IF($AG930=AV$22,MONTH($D930),"")</f>
        <v/>
      </c>
      <c r="AW930" s="86" t="str">
        <f>+IF($AG930=AW$22,MONTH($D930),"")</f>
        <v/>
      </c>
      <c r="AX930" s="86" t="str">
        <f>+IF($AG930=AX$22,MONTH($D930),"")</f>
        <v/>
      </c>
      <c r="AY930" s="89"/>
      <c r="AZ930" s="89"/>
      <c r="BA930" s="89"/>
      <c r="BB930" s="89"/>
      <c r="BC930" s="89"/>
      <c r="BD930" s="89"/>
      <c r="BE930" s="89"/>
      <c r="BF930" s="89"/>
      <c r="BG930" s="89"/>
      <c r="BH930" s="89"/>
      <c r="BI930" s="89"/>
      <c r="BJ930" s="89"/>
      <c r="BK930" s="89"/>
      <c r="BL930" s="89"/>
      <c r="BM930" s="89"/>
      <c r="BN930" s="89"/>
      <c r="BO930" s="89"/>
      <c r="BP930" s="89"/>
    </row>
    <row r="931" spans="1:68" s="56" customFormat="1" ht="27" hidden="1">
      <c r="A931" s="204">
        <f>+IFERROR(VALUE(MID(AB931,4,4)),"")</f>
        <v>345</v>
      </c>
      <c r="B931" s="204">
        <f>VALUE(RIGHT(C931,LEN(C931)-2))</f>
        <v>1792</v>
      </c>
      <c r="C931" s="74" t="s">
        <v>3519</v>
      </c>
      <c r="D931" s="75">
        <v>45105</v>
      </c>
      <c r="E931" s="70" t="s">
        <v>3282</v>
      </c>
      <c r="F931" s="70" t="s">
        <v>3520</v>
      </c>
      <c r="G931" s="68" t="s">
        <v>3283</v>
      </c>
      <c r="H931" s="59" t="s">
        <v>3284</v>
      </c>
      <c r="I931" s="69" t="s">
        <v>3521</v>
      </c>
      <c r="J931" s="69"/>
      <c r="K931" s="95" t="s">
        <v>9</v>
      </c>
      <c r="L931" s="69" t="s">
        <v>120</v>
      </c>
      <c r="M931" s="71" t="s">
        <v>113</v>
      </c>
      <c r="N931" s="69" t="e" vm="9">
        <v>#VALUE!</v>
      </c>
      <c r="O931" s="84">
        <v>45105</v>
      </c>
      <c r="P931" s="82" t="s">
        <v>402</v>
      </c>
      <c r="Q931" s="82" t="s">
        <v>316</v>
      </c>
      <c r="R931" s="69"/>
      <c r="S931" s="146"/>
      <c r="T931" s="68" t="s">
        <v>3</v>
      </c>
      <c r="U931" s="87"/>
      <c r="V931" s="80">
        <v>45107</v>
      </c>
      <c r="W931" s="73">
        <v>80</v>
      </c>
      <c r="X931" s="73">
        <f>4631*801/1000000</f>
        <v>3.7094309999999999</v>
      </c>
      <c r="Y931" s="83">
        <f>IF(SUM(W931:W931)&gt;0,X931/SUM(W931:W931)*1000000,"N/A")</f>
        <v>46367.887499999997</v>
      </c>
      <c r="Z931" s="80"/>
      <c r="AA931" s="80"/>
      <c r="AB931" s="73" t="s">
        <v>3522</v>
      </c>
      <c r="AC931" s="153"/>
      <c r="AD931" s="331"/>
      <c r="AE931" s="57"/>
      <c r="AF931" s="88"/>
      <c r="AG931" s="182">
        <f>YEAR(V931)</f>
        <v>2023</v>
      </c>
      <c r="AH931" s="86" t="str">
        <f>+IF(AF931=$AI$22,MONTH(U931),"")</f>
        <v/>
      </c>
      <c r="AI931" s="86" t="str">
        <f>+IF(AG931=$AI$22,MONTH(V931),"")</f>
        <v/>
      </c>
      <c r="AJ931" s="86" t="str">
        <f>+IF(AG931=$AJ$22,MONTH(V931),"")</f>
        <v/>
      </c>
      <c r="AK931" s="86">
        <f>+IF(AG931=$AK$22,MONTH(V931),"")</f>
        <v>6</v>
      </c>
      <c r="AL931" s="86" t="str">
        <f>+IF(AG931=$AL$22,MONTH(V931),"")</f>
        <v/>
      </c>
      <c r="AM931" s="86" t="str">
        <f>+IF($AG931=$AM$22,MONTH($D931),"")</f>
        <v/>
      </c>
      <c r="AN931" s="89" t="str">
        <f>+IF($AG931=AN$22,MONTH($D931),"")</f>
        <v/>
      </c>
      <c r="AO931" s="89" t="str">
        <f>+IF($AG931=AO$22,MONTH($D931),"")</f>
        <v/>
      </c>
      <c r="AP931" s="89" t="str">
        <f>+IF($AG931=AP$22,MONTH($D931),"")</f>
        <v/>
      </c>
      <c r="AQ931" s="89" t="str">
        <f>+IF($AG931=AQ$22,MONTH($D931),"")</f>
        <v/>
      </c>
      <c r="AR931" s="89" t="str">
        <f>+IF($AG931=AR$22,MONTH($D931),"")</f>
        <v/>
      </c>
      <c r="AS931" s="89" t="str">
        <f>+IF($AG931=AS$22,MONTH($D931),"")</f>
        <v/>
      </c>
      <c r="AT931" s="89" t="str">
        <f>+IF($AG931=AT$22,MONTH($D931),"")</f>
        <v/>
      </c>
      <c r="AU931" s="89" t="str">
        <f>+IF($AG931=AU$22,MONTH($D931),"")</f>
        <v/>
      </c>
      <c r="AV931" s="89" t="str">
        <f>+IF($AG931=AV$22,MONTH($D931),"")</f>
        <v/>
      </c>
      <c r="AW931" s="86" t="str">
        <f>+IF($AG931=AW$22,MONTH($D931),"")</f>
        <v/>
      </c>
      <c r="AX931" s="86" t="str">
        <f>+IF($AG931=AX$22,MONTH($D931),"")</f>
        <v/>
      </c>
      <c r="AY931" s="89"/>
      <c r="AZ931" s="89"/>
      <c r="BA931" s="89"/>
      <c r="BB931" s="89"/>
      <c r="BC931" s="89"/>
      <c r="BD931" s="89"/>
      <c r="BE931" s="89"/>
      <c r="BF931" s="89"/>
      <c r="BG931" s="89"/>
      <c r="BH931" s="89"/>
      <c r="BI931" s="89"/>
      <c r="BJ931" s="89"/>
      <c r="BK931" s="89"/>
      <c r="BL931" s="89"/>
      <c r="BM931" s="89"/>
      <c r="BN931" s="89"/>
      <c r="BO931" s="89"/>
      <c r="BP931" s="89"/>
    </row>
    <row r="932" spans="1:68" s="56" customFormat="1" ht="13.5" hidden="1">
      <c r="A932" s="204">
        <f>+IFERROR(VALUE(MID(AB932,4,4)),"")</f>
        <v>355</v>
      </c>
      <c r="B932" s="204">
        <f>VALUE(RIGHT(C932,LEN(C932)-2))</f>
        <v>1791</v>
      </c>
      <c r="C932" s="74" t="s">
        <v>3523</v>
      </c>
      <c r="D932" s="75">
        <v>45104</v>
      </c>
      <c r="E932" s="70" t="s">
        <v>1903</v>
      </c>
      <c r="F932" s="70" t="s">
        <v>51</v>
      </c>
      <c r="G932" s="68" t="s">
        <v>2404</v>
      </c>
      <c r="H932" s="59" t="s">
        <v>2405</v>
      </c>
      <c r="I932" s="69" t="s">
        <v>3524</v>
      </c>
      <c r="J932" s="69"/>
      <c r="K932" s="68" t="s">
        <v>14</v>
      </c>
      <c r="L932" s="69" t="s">
        <v>120</v>
      </c>
      <c r="M932" s="71" t="s">
        <v>141</v>
      </c>
      <c r="N932" s="69" t="e" vm="1">
        <v>#VALUE!</v>
      </c>
      <c r="O932" s="84">
        <v>45107</v>
      </c>
      <c r="P932" s="72" t="s">
        <v>402</v>
      </c>
      <c r="Q932" s="72" t="s">
        <v>229</v>
      </c>
      <c r="R932" s="162"/>
      <c r="S932" s="146" t="s">
        <v>3525</v>
      </c>
      <c r="T932" s="68" t="s">
        <v>3</v>
      </c>
      <c r="U932" s="87"/>
      <c r="V932" s="80">
        <v>45159</v>
      </c>
      <c r="W932" s="73">
        <v>2961</v>
      </c>
      <c r="X932" s="73">
        <f>135733325/1000000</f>
        <v>135.73332500000001</v>
      </c>
      <c r="Y932" s="83">
        <f>IF(SUM(W932:W932)&gt;0,X932/SUM(W932:W932)*1000000,"N/A")</f>
        <v>45840.366430260052</v>
      </c>
      <c r="Z932" s="80"/>
      <c r="AA932" s="80"/>
      <c r="AB932" s="73" t="s">
        <v>3526</v>
      </c>
      <c r="AC932" s="153"/>
      <c r="AD932" s="331"/>
      <c r="AE932" s="57"/>
      <c r="AF932" s="88"/>
      <c r="AG932" s="182">
        <f>YEAR(V932)</f>
        <v>2023</v>
      </c>
      <c r="AH932" s="86" t="str">
        <f>+IF(AF932=$AI$22,MONTH(U932),"")</f>
        <v/>
      </c>
      <c r="AI932" s="86" t="str">
        <f>+IF(AG932=$AI$22,MONTH(V932),"")</f>
        <v/>
      </c>
      <c r="AJ932" s="86" t="str">
        <f>+IF(AG932=$AJ$22,MONTH(V932),"")</f>
        <v/>
      </c>
      <c r="AK932" s="86">
        <f>+IF(AG932=$AK$22,MONTH(V932),"")</f>
        <v>8</v>
      </c>
      <c r="AL932" s="86"/>
      <c r="AM932" s="89"/>
      <c r="AN932" s="89"/>
      <c r="AO932" s="89"/>
      <c r="AP932" s="89"/>
      <c r="AQ932" s="89"/>
      <c r="AR932" s="89"/>
      <c r="AS932" s="89"/>
      <c r="AT932" s="89"/>
      <c r="AU932" s="89"/>
      <c r="AV932" s="89"/>
      <c r="AW932" s="86" t="str">
        <f>+IF($AG932=AW$22,MONTH($D932),"")</f>
        <v/>
      </c>
      <c r="AX932" s="86" t="str">
        <f>+IF($AG932=AX$22,MONTH($D932),"")</f>
        <v/>
      </c>
      <c r="AY932" s="89"/>
      <c r="AZ932" s="89"/>
      <c r="BA932" s="89"/>
      <c r="BB932" s="89"/>
      <c r="BC932" s="89"/>
      <c r="BD932" s="89"/>
      <c r="BE932" s="89"/>
      <c r="BF932" s="89"/>
      <c r="BG932" s="89"/>
      <c r="BH932" s="89"/>
      <c r="BI932" s="89"/>
      <c r="BJ932" s="89"/>
      <c r="BK932" s="89"/>
      <c r="BL932" s="89"/>
      <c r="BM932" s="89"/>
      <c r="BN932" s="89"/>
      <c r="BO932" s="89"/>
      <c r="BP932" s="89"/>
    </row>
    <row r="933" spans="1:68" s="56" customFormat="1" ht="13.5" hidden="1">
      <c r="A933" s="204">
        <f>+IFERROR(VALUE(MID(AB933,4,4)),"")</f>
        <v>342</v>
      </c>
      <c r="B933" s="204">
        <f>VALUE(RIGHT(C933,LEN(C933)-2))</f>
        <v>1790</v>
      </c>
      <c r="C933" s="74" t="s">
        <v>3527</v>
      </c>
      <c r="D933" s="75">
        <v>45104</v>
      </c>
      <c r="E933" s="70" t="s">
        <v>3528</v>
      </c>
      <c r="F933" s="70" t="s">
        <v>262</v>
      </c>
      <c r="G933" s="68" t="s">
        <v>3529</v>
      </c>
      <c r="H933" s="59" t="s">
        <v>3530</v>
      </c>
      <c r="I933" s="69" t="s">
        <v>3531</v>
      </c>
      <c r="J933" s="69"/>
      <c r="K933" s="68" t="s">
        <v>9</v>
      </c>
      <c r="L933" s="69" t="s">
        <v>120</v>
      </c>
      <c r="M933" s="71" t="s">
        <v>141</v>
      </c>
      <c r="N933" s="69" t="e" vm="1">
        <v>#VALUE!</v>
      </c>
      <c r="O933" s="84">
        <v>45105</v>
      </c>
      <c r="P933" s="72" t="s">
        <v>701</v>
      </c>
      <c r="Q933" s="162" t="s">
        <v>310</v>
      </c>
      <c r="R933" s="162"/>
      <c r="S933" s="146"/>
      <c r="T933" s="68" t="s">
        <v>3</v>
      </c>
      <c r="U933" s="87"/>
      <c r="V933" s="80">
        <v>45107</v>
      </c>
      <c r="W933" s="73">
        <v>545</v>
      </c>
      <c r="X933" s="73">
        <f>950*36080/1000000</f>
        <v>34.276000000000003</v>
      </c>
      <c r="Y933" s="83">
        <f>IF(SUM(W933:W933)&gt;0,X933/SUM(W933:W933)*1000000,"N/A")</f>
        <v>62891.743119266059</v>
      </c>
      <c r="Z933" s="80"/>
      <c r="AA933" s="80"/>
      <c r="AB933" s="73" t="s">
        <v>3532</v>
      </c>
      <c r="AC933" s="153"/>
      <c r="AD933" s="331"/>
      <c r="AE933" s="57"/>
      <c r="AF933" s="88"/>
      <c r="AG933" s="182">
        <f>YEAR(V933)</f>
        <v>2023</v>
      </c>
      <c r="AH933" s="86" t="str">
        <f>+IF(AF933=$AI$22,MONTH(U933),"")</f>
        <v/>
      </c>
      <c r="AI933" s="86" t="str">
        <f>+IF(AG933=$AI$22,MONTH(V933),"")</f>
        <v/>
      </c>
      <c r="AJ933" s="86" t="str">
        <f>+IF(AG933=$AJ$22,MONTH(V933),"")</f>
        <v/>
      </c>
      <c r="AK933" s="86">
        <f>+IF(AG933=$AK$22,MONTH(V933),"")</f>
        <v>6</v>
      </c>
      <c r="AL933" s="86"/>
      <c r="AM933" s="89"/>
      <c r="AN933" s="89"/>
      <c r="AO933" s="89"/>
      <c r="AP933" s="89"/>
      <c r="AQ933" s="89"/>
      <c r="AR933" s="89"/>
      <c r="AS933" s="89"/>
      <c r="AT933" s="89"/>
      <c r="AU933" s="89"/>
      <c r="AV933" s="89"/>
      <c r="AW933" s="86" t="str">
        <f>+IF($AG933=AW$22,MONTH($D933),"")</f>
        <v/>
      </c>
      <c r="AX933" s="86" t="str">
        <f>+IF($AG933=AX$22,MONTH($D933),"")</f>
        <v/>
      </c>
      <c r="AY933" s="89"/>
      <c r="AZ933" s="89"/>
      <c r="BA933" s="89"/>
      <c r="BB933" s="89"/>
      <c r="BC933" s="89"/>
      <c r="BD933" s="89"/>
      <c r="BE933" s="89"/>
      <c r="BF933" s="89"/>
      <c r="BG933" s="89"/>
      <c r="BH933" s="89"/>
      <c r="BI933" s="89"/>
      <c r="BJ933" s="89"/>
      <c r="BK933" s="89"/>
      <c r="BL933" s="89"/>
      <c r="BM933" s="89"/>
      <c r="BN933" s="89"/>
      <c r="BO933" s="89"/>
      <c r="BP933" s="89"/>
    </row>
    <row r="934" spans="1:68" s="56" customFormat="1" ht="27" hidden="1">
      <c r="A934" s="204">
        <f>+IFERROR(VALUE(MID(AB934,4,4)),"")</f>
        <v>346</v>
      </c>
      <c r="B934" s="204">
        <f>VALUE(RIGHT(C934,LEN(C934)-2))</f>
        <v>1789</v>
      </c>
      <c r="C934" s="74" t="s">
        <v>3533</v>
      </c>
      <c r="D934" s="75">
        <v>45104</v>
      </c>
      <c r="E934" s="70" t="s">
        <v>3534</v>
      </c>
      <c r="F934" s="70" t="s">
        <v>3534</v>
      </c>
      <c r="G934" s="68" t="s">
        <v>3535</v>
      </c>
      <c r="H934" s="59" t="s">
        <v>3536</v>
      </c>
      <c r="I934" s="69" t="s">
        <v>3537</v>
      </c>
      <c r="J934" s="69"/>
      <c r="K934" s="68" t="s">
        <v>11</v>
      </c>
      <c r="L934" s="69" t="s">
        <v>120</v>
      </c>
      <c r="M934" s="71" t="s">
        <v>141</v>
      </c>
      <c r="N934" s="69" t="e" vm="1">
        <v>#VALUE!</v>
      </c>
      <c r="O934" s="84">
        <v>45114</v>
      </c>
      <c r="P934" s="72" t="s">
        <v>701</v>
      </c>
      <c r="Q934" s="72" t="s">
        <v>229</v>
      </c>
      <c r="R934" s="162"/>
      <c r="S934" s="146"/>
      <c r="T934" s="68" t="s">
        <v>3</v>
      </c>
      <c r="U934" s="87"/>
      <c r="V934" s="80">
        <v>45132</v>
      </c>
      <c r="W934" s="73">
        <v>1339</v>
      </c>
      <c r="X934" s="73">
        <f>63215*800/1000000</f>
        <v>50.572000000000003</v>
      </c>
      <c r="Y934" s="83">
        <f>IF(SUM(W934:W934)&gt;0,X934/SUM(W934:W934)*1000000,"N/A")</f>
        <v>37768.483943241226</v>
      </c>
      <c r="Z934" s="80"/>
      <c r="AA934" s="80"/>
      <c r="AB934" s="73" t="s">
        <v>3538</v>
      </c>
      <c r="AC934" s="153"/>
      <c r="AD934" s="331"/>
      <c r="AE934" s="57"/>
      <c r="AF934" s="88"/>
      <c r="AG934" s="182">
        <f>YEAR(V934)</f>
        <v>2023</v>
      </c>
      <c r="AH934" s="86" t="str">
        <f>+IF(AF934=$AI$22,MONTH(U934),"")</f>
        <v/>
      </c>
      <c r="AI934" s="86" t="str">
        <f>+IF(AG934=$AI$22,MONTH(V934),"")</f>
        <v/>
      </c>
      <c r="AJ934" s="86" t="str">
        <f>+IF(AG934=$AJ$22,MONTH(V934),"")</f>
        <v/>
      </c>
      <c r="AK934" s="86">
        <f>+IF(AG934=$AK$22,MONTH(V934),"")</f>
        <v>7</v>
      </c>
      <c r="AL934" s="86" t="str">
        <f>+IF(AG934=$AL$22,MONTH(V934),"")</f>
        <v/>
      </c>
      <c r="AM934" s="86" t="str">
        <f>+IF($AG934=$AM$22,MONTH($D934),"")</f>
        <v/>
      </c>
      <c r="AN934" s="89" t="str">
        <f>+IF($AG934=AN$22,MONTH($D934),"")</f>
        <v/>
      </c>
      <c r="AO934" s="86" t="str">
        <f>+IF($AG934=AO$22,MONTH($D934),"")</f>
        <v/>
      </c>
      <c r="AP934" s="86" t="str">
        <f>+IF($AG934=AP$22,MONTH($D934),"")</f>
        <v/>
      </c>
      <c r="AQ934" s="86" t="str">
        <f>+IF($AG934=AQ$22,MONTH($D934),"")</f>
        <v/>
      </c>
      <c r="AR934" s="86" t="str">
        <f>+IF($AG934=AR$22,MONTH($D934),"")</f>
        <v/>
      </c>
      <c r="AS934" s="86" t="str">
        <f>+IF($AG934=AS$22,MONTH($D934),"")</f>
        <v/>
      </c>
      <c r="AT934" s="86" t="str">
        <f>+IF($AG934=AT$22,MONTH($D934),"")</f>
        <v/>
      </c>
      <c r="AU934" s="86" t="str">
        <f>+IF($AG934=AU$22,MONTH($D934),"")</f>
        <v/>
      </c>
      <c r="AV934" s="86" t="str">
        <f>+IF($AG934=AV$22,MONTH($D934),"")</f>
        <v/>
      </c>
      <c r="AW934" s="86" t="str">
        <f>+IF($AG934=AW$22,MONTH($D934),"")</f>
        <v/>
      </c>
      <c r="AX934" s="86" t="str">
        <f>+IF($AG934=AX$22,MONTH($D934),"")</f>
        <v/>
      </c>
      <c r="AY934" s="89"/>
      <c r="AZ934" s="89"/>
      <c r="BA934" s="89"/>
      <c r="BB934" s="89"/>
      <c r="BC934" s="89"/>
      <c r="BD934" s="89"/>
      <c r="BE934" s="89"/>
      <c r="BF934" s="89"/>
      <c r="BG934" s="89"/>
      <c r="BH934" s="89"/>
      <c r="BI934" s="89"/>
      <c r="BJ934" s="89"/>
      <c r="BK934" s="89"/>
      <c r="BL934" s="89"/>
      <c r="BM934" s="89"/>
      <c r="BN934" s="89"/>
      <c r="BO934" s="89"/>
      <c r="BP934" s="89"/>
    </row>
    <row r="935" spans="1:68" s="56" customFormat="1" ht="27" hidden="1">
      <c r="A935" s="204">
        <f>+IFERROR(VALUE(MID(AB935,4,4)),"")</f>
        <v>265</v>
      </c>
      <c r="B935" s="204">
        <f>VALUE(RIGHT(C935,LEN(C935)-2))</f>
        <v>1788</v>
      </c>
      <c r="C935" s="74" t="s">
        <v>3539</v>
      </c>
      <c r="D935" s="75">
        <v>45099</v>
      </c>
      <c r="E935" s="70" t="s">
        <v>332</v>
      </c>
      <c r="F935" s="70" t="s">
        <v>332</v>
      </c>
      <c r="G935" s="68" t="s">
        <v>333</v>
      </c>
      <c r="H935" s="59" t="s">
        <v>3459</v>
      </c>
      <c r="I935" s="69" t="s">
        <v>3540</v>
      </c>
      <c r="J935" s="69"/>
      <c r="K935" s="68" t="s">
        <v>13</v>
      </c>
      <c r="L935" s="69" t="s">
        <v>129</v>
      </c>
      <c r="M935" s="71" t="s">
        <v>141</v>
      </c>
      <c r="N935" s="69" t="e" vm="1">
        <v>#VALUE!</v>
      </c>
      <c r="O935" s="84">
        <v>45100</v>
      </c>
      <c r="P935" s="72" t="s">
        <v>369</v>
      </c>
      <c r="Q935" s="72" t="s">
        <v>623</v>
      </c>
      <c r="R935" s="162"/>
      <c r="S935" s="146"/>
      <c r="T935" s="68" t="s">
        <v>3</v>
      </c>
      <c r="U935" s="87"/>
      <c r="V935" s="80">
        <v>45138</v>
      </c>
      <c r="W935" s="73">
        <v>2942</v>
      </c>
      <c r="X935" s="73">
        <f>2566*36085/1000000</f>
        <v>92.594110000000001</v>
      </c>
      <c r="Y935" s="83">
        <f>IF(SUM(W935:W935)&gt;0,X935/SUM(W935:W935)*1000000,"N/A")</f>
        <v>31473.184908225696</v>
      </c>
      <c r="Z935" s="80"/>
      <c r="AA935" s="80"/>
      <c r="AB935" s="73" t="s">
        <v>3541</v>
      </c>
      <c r="AC935" s="153"/>
      <c r="AD935" s="331"/>
      <c r="AE935" s="57"/>
      <c r="AF935" s="88"/>
      <c r="AG935" s="182">
        <f>YEAR(V935)</f>
        <v>2023</v>
      </c>
      <c r="AH935" s="86" t="str">
        <f>+IF(AF935=$AI$22,MONTH(U935),"")</f>
        <v/>
      </c>
      <c r="AI935" s="86" t="str">
        <f>+IF(AG935=$AI$22,MONTH(V935),"")</f>
        <v/>
      </c>
      <c r="AJ935" s="86" t="str">
        <f>+IF(AG935=$AJ$22,MONTH(V935),"")</f>
        <v/>
      </c>
      <c r="AK935" s="86">
        <f>+IF(AG935=$AK$22,MONTH(V935),"")</f>
        <v>7</v>
      </c>
      <c r="AL935" s="86"/>
      <c r="AM935" s="89"/>
      <c r="AN935" s="89"/>
      <c r="AO935" s="89"/>
      <c r="AP935" s="89"/>
      <c r="AQ935" s="89"/>
      <c r="AR935" s="89"/>
      <c r="AS935" s="89"/>
      <c r="AT935" s="89"/>
      <c r="AU935" s="89"/>
      <c r="AV935" s="89"/>
      <c r="AW935" s="86" t="str">
        <f>+IF($AG935=AW$22,MONTH($D935),"")</f>
        <v/>
      </c>
      <c r="AX935" s="86" t="str">
        <f>+IF($AG935=AX$22,MONTH($D935),"")</f>
        <v/>
      </c>
      <c r="AY935" s="89"/>
      <c r="AZ935" s="89"/>
      <c r="BA935" s="89"/>
      <c r="BB935" s="89"/>
      <c r="BC935" s="89"/>
      <c r="BD935" s="89"/>
      <c r="BE935" s="89"/>
      <c r="BF935" s="89"/>
      <c r="BG935" s="89"/>
      <c r="BH935" s="89"/>
      <c r="BI935" s="89"/>
      <c r="BJ935" s="89"/>
      <c r="BK935" s="89"/>
      <c r="BL935" s="89"/>
      <c r="BM935" s="89"/>
      <c r="BN935" s="89"/>
      <c r="BO935" s="89"/>
      <c r="BP935" s="89"/>
    </row>
    <row r="936" spans="1:68" s="56" customFormat="1" ht="27" hidden="1">
      <c r="A936" s="204" t="str">
        <f>+IFERROR(VALUE(MID(AB936,4,4)),"")</f>
        <v/>
      </c>
      <c r="B936" s="204">
        <f>VALUE(RIGHT(C936,LEN(C936)-2))</f>
        <v>1787</v>
      </c>
      <c r="C936" s="74" t="s">
        <v>3542</v>
      </c>
      <c r="D936" s="75">
        <v>45099</v>
      </c>
      <c r="E936" s="70" t="s">
        <v>332</v>
      </c>
      <c r="F936" s="70" t="s">
        <v>332</v>
      </c>
      <c r="G936" s="68" t="s">
        <v>2973</v>
      </c>
      <c r="H936" s="59" t="s">
        <v>2974</v>
      </c>
      <c r="I936" s="69" t="s">
        <v>3543</v>
      </c>
      <c r="J936" s="69"/>
      <c r="K936" s="68" t="s">
        <v>13</v>
      </c>
      <c r="L936" s="69" t="s">
        <v>129</v>
      </c>
      <c r="M936" s="71" t="s">
        <v>141</v>
      </c>
      <c r="N936" s="69" t="e" vm="1">
        <v>#VALUE!</v>
      </c>
      <c r="O936" s="84">
        <v>45132</v>
      </c>
      <c r="P936" s="72" t="s">
        <v>382</v>
      </c>
      <c r="Q936" s="72" t="s">
        <v>316</v>
      </c>
      <c r="R936" s="162"/>
      <c r="S936" s="146" t="s">
        <v>3461</v>
      </c>
      <c r="T936" s="68" t="s">
        <v>165</v>
      </c>
      <c r="U936" s="87"/>
      <c r="V936" s="80">
        <v>45120</v>
      </c>
      <c r="W936" s="73">
        <v>5991</v>
      </c>
      <c r="X936" s="73">
        <f>196234357/1000000</f>
        <v>196.23435699999999</v>
      </c>
      <c r="Y936" s="83">
        <f>IF(SUM(W936:W936)&gt;0,X936/SUM(W936:W936)*1000000,"N/A")</f>
        <v>32754.858454348188</v>
      </c>
      <c r="Z936" s="80"/>
      <c r="AA936" s="80"/>
      <c r="AB936" s="73"/>
      <c r="AC936" s="153"/>
      <c r="AD936" s="331"/>
      <c r="AE936" s="57"/>
      <c r="AF936" s="88"/>
      <c r="AG936" s="182">
        <f>YEAR(V936)</f>
        <v>2023</v>
      </c>
      <c r="AH936" s="86" t="str">
        <f>+IF(AF936=$AI$22,MONTH(U936),"")</f>
        <v/>
      </c>
      <c r="AI936" s="86" t="str">
        <f>+IF(AG936=$AI$22,MONTH(V936),"")</f>
        <v/>
      </c>
      <c r="AJ936" s="86" t="str">
        <f>+IF(AG936=$AJ$22,MONTH(V936),"")</f>
        <v/>
      </c>
      <c r="AK936" s="86">
        <f>+IF(AG936=$AK$22,MONTH(V936),"")</f>
        <v>7</v>
      </c>
      <c r="AL936" s="86"/>
      <c r="AM936" s="89"/>
      <c r="AN936" s="89"/>
      <c r="AO936" s="89"/>
      <c r="AP936" s="89"/>
      <c r="AQ936" s="89"/>
      <c r="AR936" s="89"/>
      <c r="AS936" s="89"/>
      <c r="AT936" s="89"/>
      <c r="AU936" s="89"/>
      <c r="AV936" s="89"/>
      <c r="AW936" s="86" t="str">
        <f>+IF($AG936=AW$22,MONTH($D936),"")</f>
        <v/>
      </c>
      <c r="AX936" s="86" t="str">
        <f>+IF($AG936=AX$22,MONTH($D936),"")</f>
        <v/>
      </c>
      <c r="AY936" s="89"/>
      <c r="AZ936" s="89"/>
      <c r="BA936" s="89"/>
      <c r="BB936" s="89"/>
      <c r="BC936" s="89"/>
      <c r="BD936" s="89"/>
      <c r="BE936" s="89"/>
      <c r="BF936" s="89"/>
      <c r="BG936" s="89"/>
      <c r="BH936" s="89"/>
      <c r="BI936" s="89"/>
      <c r="BJ936" s="89"/>
      <c r="BK936" s="89"/>
      <c r="BL936" s="89"/>
      <c r="BM936" s="89"/>
      <c r="BN936" s="89"/>
      <c r="BO936" s="89"/>
      <c r="BP936" s="89"/>
    </row>
    <row r="937" spans="1:68" s="56" customFormat="1" ht="27" hidden="1">
      <c r="A937" s="204">
        <f>+IFERROR(VALUE(MID(AB937,4,4)),"")</f>
        <v>265</v>
      </c>
      <c r="B937" s="204">
        <f>VALUE(RIGHT(C937,LEN(C937)-2))</f>
        <v>1786</v>
      </c>
      <c r="C937" s="74" t="s">
        <v>3544</v>
      </c>
      <c r="D937" s="75">
        <v>45097</v>
      </c>
      <c r="E937" s="70" t="s">
        <v>332</v>
      </c>
      <c r="F937" s="70" t="s">
        <v>332</v>
      </c>
      <c r="G937" s="68" t="s">
        <v>333</v>
      </c>
      <c r="H937" s="59" t="s">
        <v>3459</v>
      </c>
      <c r="I937" s="69" t="s">
        <v>3545</v>
      </c>
      <c r="J937" s="69"/>
      <c r="K937" s="68" t="s">
        <v>13</v>
      </c>
      <c r="L937" s="69" t="s">
        <v>129</v>
      </c>
      <c r="M937" s="71" t="s">
        <v>141</v>
      </c>
      <c r="N937" s="69" t="e" vm="1">
        <v>#VALUE!</v>
      </c>
      <c r="O937" s="84">
        <v>45099</v>
      </c>
      <c r="P937" s="72" t="s">
        <v>369</v>
      </c>
      <c r="Q937" s="72" t="s">
        <v>259</v>
      </c>
      <c r="R937" s="162"/>
      <c r="S937" s="146"/>
      <c r="T937" s="68" t="s">
        <v>3</v>
      </c>
      <c r="U937" s="87"/>
      <c r="V937" s="80">
        <v>45104</v>
      </c>
      <c r="W937" s="73">
        <v>18</v>
      </c>
      <c r="X937" s="214">
        <f>22*36000/1000000</f>
        <v>0.79200000000000004</v>
      </c>
      <c r="Y937" s="83">
        <f>IF(SUM(W937:W937)&gt;0,X937/SUM(W937:W937)*1000000,"N/A")</f>
        <v>44000.000000000007</v>
      </c>
      <c r="Z937" s="80"/>
      <c r="AA937" s="80"/>
      <c r="AB937" s="73" t="s">
        <v>3546</v>
      </c>
      <c r="AC937" s="153"/>
      <c r="AD937" s="331"/>
      <c r="AE937" s="57"/>
      <c r="AF937" s="88"/>
      <c r="AG937" s="182">
        <f>YEAR(V937)</f>
        <v>2023</v>
      </c>
      <c r="AH937" s="86" t="str">
        <f>+IF(AF937=$AI$22,MONTH(U937),"")</f>
        <v/>
      </c>
      <c r="AI937" s="86" t="str">
        <f>+IF(AG937=$AI$22,MONTH(V937),"")</f>
        <v/>
      </c>
      <c r="AJ937" s="86" t="str">
        <f>+IF(AG937=$AJ$22,MONTH(V937),"")</f>
        <v/>
      </c>
      <c r="AK937" s="86">
        <f>+IF(AG937=$AK$22,MONTH(V937),"")</f>
        <v>6</v>
      </c>
      <c r="AL937" s="86"/>
      <c r="AM937" s="89"/>
      <c r="AN937" s="89"/>
      <c r="AO937" s="89"/>
      <c r="AP937" s="89"/>
      <c r="AQ937" s="89"/>
      <c r="AR937" s="89"/>
      <c r="AS937" s="89"/>
      <c r="AT937" s="89"/>
      <c r="AU937" s="89"/>
      <c r="AV937" s="89"/>
      <c r="AW937" s="86" t="str">
        <f>+IF($AG937=AW$22,MONTH($D937),"")</f>
        <v/>
      </c>
      <c r="AX937" s="86" t="str">
        <f>+IF($AG937=AX$22,MONTH($D937),"")</f>
        <v/>
      </c>
      <c r="AY937" s="89"/>
      <c r="AZ937" s="89"/>
      <c r="BA937" s="89"/>
      <c r="BB937" s="89"/>
      <c r="BC937" s="89"/>
      <c r="BD937" s="89"/>
      <c r="BE937" s="89"/>
      <c r="BF937" s="89"/>
      <c r="BG937" s="89"/>
      <c r="BH937" s="89"/>
      <c r="BI937" s="89"/>
      <c r="BJ937" s="89"/>
      <c r="BK937" s="89"/>
      <c r="BL937" s="89"/>
      <c r="BM937" s="89"/>
      <c r="BN937" s="89"/>
      <c r="BO937" s="89"/>
      <c r="BP937" s="89"/>
    </row>
    <row r="938" spans="1:68" s="56" customFormat="1" ht="27" hidden="1">
      <c r="A938" s="204" t="str">
        <f>+IFERROR(VALUE(MID(AB938,4,4)),"")</f>
        <v/>
      </c>
      <c r="B938" s="204">
        <f>VALUE(RIGHT(C938,LEN(C938)-2))</f>
        <v>1785</v>
      </c>
      <c r="C938" s="74" t="s">
        <v>3547</v>
      </c>
      <c r="D938" s="75">
        <v>45097</v>
      </c>
      <c r="E938" s="70" t="s">
        <v>53</v>
      </c>
      <c r="F938" s="70" t="s">
        <v>252</v>
      </c>
      <c r="G938" s="68" t="s">
        <v>1055</v>
      </c>
      <c r="H938" s="59" t="s">
        <v>1056</v>
      </c>
      <c r="I938" s="69" t="s">
        <v>3548</v>
      </c>
      <c r="J938" s="69"/>
      <c r="K938" s="68" t="s">
        <v>14</v>
      </c>
      <c r="L938" s="69" t="s">
        <v>129</v>
      </c>
      <c r="M938" s="71" t="s">
        <v>141</v>
      </c>
      <c r="N938" s="69" t="e" vm="1">
        <v>#VALUE!</v>
      </c>
      <c r="O938" s="84">
        <v>45097</v>
      </c>
      <c r="P938" s="72" t="s">
        <v>3250</v>
      </c>
      <c r="Q938" s="82" t="s">
        <v>259</v>
      </c>
      <c r="R938" s="69"/>
      <c r="S938" s="146"/>
      <c r="T938" s="68" t="s">
        <v>155</v>
      </c>
      <c r="U938" s="87"/>
      <c r="V938" s="80">
        <v>45099</v>
      </c>
      <c r="W938" s="73"/>
      <c r="X938" s="73"/>
      <c r="Y938" s="83" t="str">
        <f>IF(SUM(W938:W938)&gt;0,X938/SUM(W938:W938)*1000000,"N/A")</f>
        <v>N/A</v>
      </c>
      <c r="Z938" s="80"/>
      <c r="AA938" s="80"/>
      <c r="AB938" s="73"/>
      <c r="AC938" s="153"/>
      <c r="AD938" s="331"/>
      <c r="AE938" s="57"/>
      <c r="AF938" s="88"/>
      <c r="AG938" s="182">
        <f>YEAR(V938)</f>
        <v>2023</v>
      </c>
      <c r="AH938" s="86" t="str">
        <f>+IF(AF938=$AI$22,MONTH(U938),"")</f>
        <v/>
      </c>
      <c r="AI938" s="86" t="str">
        <f>+IF(AG938=$AI$22,MONTH(V938),"")</f>
        <v/>
      </c>
      <c r="AJ938" s="86" t="str">
        <f>+IF(AG938=$AJ$22,MONTH(V938),"")</f>
        <v/>
      </c>
      <c r="AK938" s="86">
        <f>+IF(AG938=$AK$22,MONTH(V938),"")</f>
        <v>6</v>
      </c>
      <c r="AL938" s="86" t="str">
        <f>+IF(AG938=$AL$22,MONTH(V938),"")</f>
        <v/>
      </c>
      <c r="AM938" s="86" t="str">
        <f>+IF($AG938=$AM$22,MONTH($D938),"")</f>
        <v/>
      </c>
      <c r="AN938" s="89" t="str">
        <f>+IF($AG938=AN$22,MONTH($D938),"")</f>
        <v/>
      </c>
      <c r="AO938" s="89" t="str">
        <f>+IF($AG938=AO$22,MONTH($D938),"")</f>
        <v/>
      </c>
      <c r="AP938" s="89" t="str">
        <f>+IF($AG938=AP$22,MONTH($D938),"")</f>
        <v/>
      </c>
      <c r="AQ938" s="89" t="str">
        <f>+IF($AG938=AQ$22,MONTH($D938),"")</f>
        <v/>
      </c>
      <c r="AR938" s="89" t="str">
        <f>+IF($AG938=AR$22,MONTH($D938),"")</f>
        <v/>
      </c>
      <c r="AS938" s="89" t="str">
        <f>+IF($AG938=AS$22,MONTH($D938),"")</f>
        <v/>
      </c>
      <c r="AT938" s="89" t="str">
        <f>+IF($AG938=AT$22,MONTH($D938),"")</f>
        <v/>
      </c>
      <c r="AU938" s="89" t="str">
        <f>+IF($AG938=AU$22,MONTH($D938),"")</f>
        <v/>
      </c>
      <c r="AV938" s="89" t="str">
        <f>+IF($AG938=AV$22,MONTH($D938),"")</f>
        <v/>
      </c>
      <c r="AW938" s="86" t="str">
        <f>+IF($AG938=AW$22,MONTH($D938),"")</f>
        <v/>
      </c>
      <c r="AX938" s="86" t="str">
        <f>+IF($AG938=AX$22,MONTH($D938),"")</f>
        <v/>
      </c>
      <c r="AY938" s="89"/>
      <c r="AZ938" s="89"/>
      <c r="BA938" s="89"/>
      <c r="BB938" s="89"/>
      <c r="BC938" s="89"/>
      <c r="BD938" s="89"/>
      <c r="BE938" s="89"/>
      <c r="BF938" s="89"/>
      <c r="BG938" s="89"/>
      <c r="BH938" s="89"/>
      <c r="BI938" s="89"/>
      <c r="BJ938" s="167"/>
      <c r="BK938" s="167"/>
      <c r="BL938" s="167"/>
      <c r="BM938" s="167"/>
      <c r="BN938" s="89"/>
      <c r="BO938" s="89"/>
      <c r="BP938" s="89"/>
    </row>
    <row r="939" spans="1:68" s="166" customFormat="1" ht="27" hidden="1">
      <c r="A939" s="204">
        <f>+IFERROR(VALUE(MID(AB939,4,4)),"")</f>
        <v>274</v>
      </c>
      <c r="B939" s="204">
        <f>VALUE(RIGHT(C939,LEN(C939)-2))</f>
        <v>1784</v>
      </c>
      <c r="C939" s="74" t="s">
        <v>3549</v>
      </c>
      <c r="D939" s="75">
        <v>45097</v>
      </c>
      <c r="E939" s="70" t="s">
        <v>1054</v>
      </c>
      <c r="F939" s="70" t="s">
        <v>252</v>
      </c>
      <c r="G939" s="68" t="s">
        <v>1055</v>
      </c>
      <c r="H939" s="59" t="s">
        <v>1056</v>
      </c>
      <c r="I939" s="69" t="s">
        <v>3550</v>
      </c>
      <c r="J939" s="69"/>
      <c r="K939" s="68" t="s">
        <v>12</v>
      </c>
      <c r="L939" s="69" t="s">
        <v>129</v>
      </c>
      <c r="M939" s="71" t="s">
        <v>141</v>
      </c>
      <c r="N939" s="69" t="e" vm="1">
        <v>#VALUE!</v>
      </c>
      <c r="O939" s="84">
        <v>45097</v>
      </c>
      <c r="P939" s="72" t="s">
        <v>1058</v>
      </c>
      <c r="Q939" s="82" t="s">
        <v>259</v>
      </c>
      <c r="R939" s="69"/>
      <c r="S939" s="146" t="s">
        <v>3551</v>
      </c>
      <c r="T939" s="68" t="s">
        <v>3</v>
      </c>
      <c r="U939" s="87"/>
      <c r="V939" s="80">
        <v>45142</v>
      </c>
      <c r="W939" s="73">
        <v>1724</v>
      </c>
      <c r="X939" s="73">
        <f>37985078/1000000</f>
        <v>37.985078000000001</v>
      </c>
      <c r="Y939" s="83">
        <f>IF(SUM(W939:W939)&gt;0,X939/SUM(W939:W939)*1000000,"N/A")</f>
        <v>22033.107888631093</v>
      </c>
      <c r="Z939" s="80"/>
      <c r="AA939" s="80"/>
      <c r="AB939" s="150" t="s">
        <v>3552</v>
      </c>
      <c r="AC939" s="153"/>
      <c r="AD939" s="331"/>
      <c r="AE939" s="57"/>
      <c r="AF939" s="88"/>
      <c r="AG939" s="182">
        <f>YEAR(V939)</f>
        <v>2023</v>
      </c>
      <c r="AH939" s="86" t="str">
        <f>+IF(AF939=$AI$22,MONTH(U939),"")</f>
        <v/>
      </c>
      <c r="AI939" s="86" t="str">
        <f>+IF(AG939=$AI$22,MONTH(V939),"")</f>
        <v/>
      </c>
      <c r="AJ939" s="86" t="str">
        <f>+IF(AG939=$AJ$22,MONTH(V939),"")</f>
        <v/>
      </c>
      <c r="AK939" s="86">
        <f>+IF(AG939=$AK$22,MONTH(V939),"")</f>
        <v>8</v>
      </c>
      <c r="AL939" s="86" t="str">
        <f>+IF(AG939=$AL$22,MONTH(V939),"")</f>
        <v/>
      </c>
      <c r="AM939" s="86" t="str">
        <f>+IF($AG939=$AM$22,MONTH($D939),"")</f>
        <v/>
      </c>
      <c r="AN939" s="89" t="str">
        <f>+IF($AG939=AN$22,MONTH($D939),"")</f>
        <v/>
      </c>
      <c r="AO939" s="89" t="str">
        <f>+IF($AG939=AO$22,MONTH($D939),"")</f>
        <v/>
      </c>
      <c r="AP939" s="89" t="str">
        <f>+IF($AG939=AP$22,MONTH($D939),"")</f>
        <v/>
      </c>
      <c r="AQ939" s="89" t="str">
        <f>+IF($AG939=AQ$22,MONTH($D939),"")</f>
        <v/>
      </c>
      <c r="AR939" s="89" t="str">
        <f>+IF($AG939=AR$22,MONTH($D939),"")</f>
        <v/>
      </c>
      <c r="AS939" s="89" t="str">
        <f>+IF($AG939=AS$22,MONTH($D939),"")</f>
        <v/>
      </c>
      <c r="AT939" s="89" t="str">
        <f>+IF($AG939=AT$22,MONTH($D939),"")</f>
        <v/>
      </c>
      <c r="AU939" s="89" t="str">
        <f>+IF($AG939=AU$22,MONTH($D939),"")</f>
        <v/>
      </c>
      <c r="AV939" s="89" t="str">
        <f>+IF($AG939=AV$22,MONTH($D939),"")</f>
        <v/>
      </c>
      <c r="AW939" s="86" t="str">
        <f>+IF($AG939=AW$22,MONTH($D939),"")</f>
        <v/>
      </c>
      <c r="AX939" s="86" t="str">
        <f>+IF($AG939=AX$22,MONTH($D939),"")</f>
        <v/>
      </c>
      <c r="AY939" s="89"/>
      <c r="AZ939" s="89"/>
      <c r="BA939" s="89"/>
      <c r="BB939" s="89"/>
      <c r="BC939" s="89"/>
      <c r="BD939" s="89"/>
      <c r="BE939" s="89"/>
      <c r="BF939" s="89"/>
      <c r="BG939" s="89"/>
      <c r="BH939" s="89"/>
      <c r="BI939" s="89"/>
      <c r="BJ939" s="167"/>
      <c r="BK939" s="167"/>
      <c r="BL939" s="167"/>
      <c r="BM939" s="167"/>
      <c r="BN939" s="167"/>
      <c r="BO939" s="167"/>
      <c r="BP939" s="167"/>
    </row>
    <row r="940" spans="1:68" s="166" customFormat="1" ht="40.5" hidden="1">
      <c r="A940" s="204" t="str">
        <f>+IFERROR(VALUE(MID(AB940,4,4)),"")</f>
        <v/>
      </c>
      <c r="B940" s="204">
        <f>VALUE(RIGHT(C940,LEN(C940)-2))</f>
        <v>1783</v>
      </c>
      <c r="C940" s="74" t="s">
        <v>3553</v>
      </c>
      <c r="D940" s="75">
        <v>45093</v>
      </c>
      <c r="E940" s="70" t="s">
        <v>74</v>
      </c>
      <c r="F940" s="70" t="s">
        <v>209</v>
      </c>
      <c r="G940" s="68" t="s">
        <v>3127</v>
      </c>
      <c r="H940" s="59"/>
      <c r="I940" s="69" t="s">
        <v>3554</v>
      </c>
      <c r="J940" s="69"/>
      <c r="K940" s="68" t="s">
        <v>13</v>
      </c>
      <c r="L940" s="69" t="s">
        <v>120</v>
      </c>
      <c r="M940" s="71" t="s">
        <v>141</v>
      </c>
      <c r="N940" s="69" t="e" vm="1">
        <v>#VALUE!</v>
      </c>
      <c r="O940" s="84">
        <v>45097</v>
      </c>
      <c r="P940" s="72" t="s">
        <v>402</v>
      </c>
      <c r="Q940" s="72" t="s">
        <v>644</v>
      </c>
      <c r="R940" s="162"/>
      <c r="S940" s="146" t="s">
        <v>3555</v>
      </c>
      <c r="T940" s="68" t="s">
        <v>168</v>
      </c>
      <c r="U940" s="87"/>
      <c r="V940" s="80">
        <v>45131</v>
      </c>
      <c r="W940" s="73">
        <v>2009</v>
      </c>
      <c r="X940" s="73">
        <v>85.3</v>
      </c>
      <c r="Y940" s="83">
        <f>IF(SUM(W940:W940)&gt;0,X940/SUM(W940:W940)*1000000,"N/A")</f>
        <v>42458.934793429566</v>
      </c>
      <c r="Z940" s="75"/>
      <c r="AA940" s="75"/>
      <c r="AB940" s="73"/>
      <c r="AC940" s="153"/>
      <c r="AD940" s="331"/>
      <c r="AE940" s="57"/>
      <c r="AF940" s="88"/>
      <c r="AG940" s="182">
        <f>YEAR(V940)</f>
        <v>2023</v>
      </c>
      <c r="AH940" s="86" t="str">
        <f>+IF(AF940=$AI$22,MONTH(U940),"")</f>
        <v/>
      </c>
      <c r="AI940" s="86" t="str">
        <f>+IF(AG940=$AI$22,MONTH(V940),"")</f>
        <v/>
      </c>
      <c r="AJ940" s="86" t="str">
        <f>+IF(AG940=$AJ$22,MONTH(V940),"")</f>
        <v/>
      </c>
      <c r="AK940" s="86">
        <f>+IF(AG940=$AK$22,MONTH(V940),"")</f>
        <v>7</v>
      </c>
      <c r="AL940" s="86" t="str">
        <f>+IF(AG940=$AL$22,MONTH(V940),"")</f>
        <v/>
      </c>
      <c r="AM940" s="86" t="str">
        <f>+IF($AG940=$AM$22,MONTH($D940),"")</f>
        <v/>
      </c>
      <c r="AN940" s="89" t="str">
        <f>+IF($AG940=AN$22,MONTH($D940),"")</f>
        <v/>
      </c>
      <c r="AO940" s="89" t="str">
        <f>+IF($AG940=AO$22,MONTH($D940),"")</f>
        <v/>
      </c>
      <c r="AP940" s="89" t="str">
        <f>+IF($AG940=AP$22,MONTH($D940),"")</f>
        <v/>
      </c>
      <c r="AQ940" s="89" t="str">
        <f>+IF($AG940=AQ$22,MONTH($D940),"")</f>
        <v/>
      </c>
      <c r="AR940" s="89" t="str">
        <f>+IF($AG940=AR$22,MONTH($D940),"")</f>
        <v/>
      </c>
      <c r="AS940" s="89" t="str">
        <f>+IF($AG940=AS$22,MONTH($D940),"")</f>
        <v/>
      </c>
      <c r="AT940" s="89" t="str">
        <f>+IF($AG940=AT$22,MONTH($D940),"")</f>
        <v/>
      </c>
      <c r="AU940" s="89" t="str">
        <f>+IF($AG940=AU$22,MONTH($D940),"")</f>
        <v/>
      </c>
      <c r="AV940" s="89" t="str">
        <f>+IF($AG940=AV$22,MONTH($D940),"")</f>
        <v/>
      </c>
      <c r="AW940" s="86" t="str">
        <f>+IF($AG940=AW$22,MONTH($D940),"")</f>
        <v/>
      </c>
      <c r="AX940" s="86" t="str">
        <f>+IF($AG940=AX$22,MONTH($D940),"")</f>
        <v/>
      </c>
      <c r="AY940" s="89"/>
      <c r="AZ940" s="89"/>
      <c r="BA940" s="89"/>
      <c r="BB940" s="89"/>
      <c r="BC940" s="89"/>
      <c r="BD940" s="89"/>
      <c r="BE940" s="89"/>
      <c r="BF940" s="89"/>
      <c r="BG940" s="89"/>
      <c r="BH940" s="89"/>
      <c r="BI940" s="89"/>
      <c r="BJ940" s="167"/>
      <c r="BK940" s="167"/>
      <c r="BL940" s="167"/>
      <c r="BM940" s="167"/>
      <c r="BN940" s="167"/>
      <c r="BO940" s="167"/>
      <c r="BP940" s="167"/>
    </row>
    <row r="941" spans="1:68" s="166" customFormat="1" ht="27" hidden="1">
      <c r="A941" s="204">
        <f>+IFERROR(VALUE(MID(AB941,4,4)),"")</f>
        <v>265</v>
      </c>
      <c r="B941" s="204">
        <f>VALUE(RIGHT(C941,LEN(C941)-2))</f>
        <v>1782</v>
      </c>
      <c r="C941" s="74" t="s">
        <v>3556</v>
      </c>
      <c r="D941" s="75">
        <v>45089</v>
      </c>
      <c r="E941" s="70" t="s">
        <v>332</v>
      </c>
      <c r="F941" s="70" t="s">
        <v>332</v>
      </c>
      <c r="G941" s="68" t="s">
        <v>333</v>
      </c>
      <c r="H941" s="59" t="s">
        <v>3459</v>
      </c>
      <c r="I941" s="69" t="s">
        <v>3557</v>
      </c>
      <c r="J941" s="69"/>
      <c r="K941" s="68" t="s">
        <v>13</v>
      </c>
      <c r="L941" s="69" t="s">
        <v>129</v>
      </c>
      <c r="M941" s="71" t="s">
        <v>141</v>
      </c>
      <c r="N941" s="69" t="e" vm="1">
        <v>#VALUE!</v>
      </c>
      <c r="O941" s="84">
        <v>45092</v>
      </c>
      <c r="P941" s="72" t="s">
        <v>369</v>
      </c>
      <c r="Q941" s="72" t="s">
        <v>259</v>
      </c>
      <c r="R941" s="162"/>
      <c r="S941" s="146"/>
      <c r="T941" s="68" t="s">
        <v>3</v>
      </c>
      <c r="U941" s="87"/>
      <c r="V941" s="80">
        <v>45093</v>
      </c>
      <c r="W941" s="73">
        <v>120</v>
      </c>
      <c r="X941" s="73">
        <f>136*36060/1000000</f>
        <v>4.9041600000000001</v>
      </c>
      <c r="Y941" s="83">
        <f>IF(SUM(W941:W941)&gt;0,X941/SUM(W941:W941)*1000000,"N/A")</f>
        <v>40868</v>
      </c>
      <c r="Z941" s="80"/>
      <c r="AA941" s="80"/>
      <c r="AB941" s="73" t="s">
        <v>3558</v>
      </c>
      <c r="AC941" s="153"/>
      <c r="AD941" s="331"/>
      <c r="AE941" s="57"/>
      <c r="AF941" s="88"/>
      <c r="AG941" s="182">
        <f>YEAR(V941)</f>
        <v>2023</v>
      </c>
      <c r="AH941" s="86" t="str">
        <f>+IF(AF941=$AI$22,MONTH(U941),"")</f>
        <v/>
      </c>
      <c r="AI941" s="86" t="str">
        <f>+IF(AG941=$AI$22,MONTH(V941),"")</f>
        <v/>
      </c>
      <c r="AJ941" s="86" t="str">
        <f>+IF(AG941=$AJ$22,MONTH(V941),"")</f>
        <v/>
      </c>
      <c r="AK941" s="86">
        <f>+IF(AG941=$AK$22,MONTH(V941),"")</f>
        <v>6</v>
      </c>
      <c r="AL941" s="86"/>
      <c r="AM941" s="89"/>
      <c r="AN941" s="89"/>
      <c r="AO941" s="89"/>
      <c r="AP941" s="89"/>
      <c r="AQ941" s="89"/>
      <c r="AR941" s="89"/>
      <c r="AS941" s="89"/>
      <c r="AT941" s="89"/>
      <c r="AU941" s="89"/>
      <c r="AV941" s="89"/>
      <c r="AW941" s="86" t="str">
        <f>+IF($AG941=AW$22,MONTH($D941),"")</f>
        <v/>
      </c>
      <c r="AX941" s="86" t="str">
        <f>+IF($AG941=AX$22,MONTH($D941),"")</f>
        <v/>
      </c>
      <c r="AY941" s="89"/>
      <c r="AZ941" s="89"/>
      <c r="BA941" s="89"/>
      <c r="BB941" s="89"/>
      <c r="BC941" s="89"/>
      <c r="BD941" s="89"/>
      <c r="BE941" s="89"/>
      <c r="BF941" s="89"/>
      <c r="BG941" s="89"/>
      <c r="BH941" s="89"/>
      <c r="BI941" s="89"/>
      <c r="BJ941" s="89"/>
      <c r="BK941" s="89"/>
      <c r="BL941" s="89"/>
      <c r="BM941" s="89"/>
      <c r="BN941" s="167"/>
      <c r="BO941" s="167"/>
      <c r="BP941" s="167"/>
    </row>
    <row r="942" spans="1:68" s="56" customFormat="1" ht="13.5" hidden="1">
      <c r="A942" s="204" t="str">
        <f>+IFERROR(VALUE(MID(AB942,4,4)),"")</f>
        <v/>
      </c>
      <c r="B942" s="204">
        <f>VALUE(RIGHT(C942,LEN(C942)-2))</f>
        <v>1781</v>
      </c>
      <c r="C942" s="74" t="s">
        <v>3559</v>
      </c>
      <c r="D942" s="75">
        <v>45066</v>
      </c>
      <c r="E942" s="70" t="s">
        <v>53</v>
      </c>
      <c r="F942" s="70" t="s">
        <v>460</v>
      </c>
      <c r="G942" s="68" t="s">
        <v>210</v>
      </c>
      <c r="H942" s="59"/>
      <c r="I942" s="69" t="s">
        <v>3560</v>
      </c>
      <c r="J942" s="69"/>
      <c r="K942" s="68" t="s">
        <v>212</v>
      </c>
      <c r="L942" s="69" t="s">
        <v>123</v>
      </c>
      <c r="M942" s="71" t="s">
        <v>141</v>
      </c>
      <c r="N942" s="69" t="e" vm="1">
        <v>#VALUE!</v>
      </c>
      <c r="O942" s="84">
        <v>45089</v>
      </c>
      <c r="P942" s="72" t="s">
        <v>228</v>
      </c>
      <c r="Q942" s="72" t="s">
        <v>652</v>
      </c>
      <c r="R942" s="162"/>
      <c r="S942" s="146"/>
      <c r="T942" s="68" t="s">
        <v>165</v>
      </c>
      <c r="U942" s="87"/>
      <c r="V942" s="80">
        <v>45240</v>
      </c>
      <c r="W942" s="73">
        <v>1000</v>
      </c>
      <c r="X942" s="73">
        <v>42</v>
      </c>
      <c r="Y942" s="83">
        <f>IF(SUM(W942:W942)&gt;0,X942/SUM(W942:W942)*1000000,"N/A")</f>
        <v>42000</v>
      </c>
      <c r="Z942" s="80"/>
      <c r="AA942" s="80"/>
      <c r="AB942" s="73"/>
      <c r="AC942" s="153"/>
      <c r="AD942" s="331"/>
      <c r="AE942" s="57"/>
      <c r="AF942" s="88"/>
      <c r="AG942" s="182">
        <f>YEAR(V942)</f>
        <v>2023</v>
      </c>
      <c r="AH942" s="86" t="str">
        <f>+IF(AF942=$AI$22,MONTH(U942),"")</f>
        <v/>
      </c>
      <c r="AI942" s="86" t="str">
        <f>+IF(AG942=$AI$22,MONTH(V942),"")</f>
        <v/>
      </c>
      <c r="AJ942" s="86" t="str">
        <f>+IF(AG942=$AJ$22,MONTH(V942),"")</f>
        <v/>
      </c>
      <c r="AK942" s="86">
        <f>+IF(AG942=$AK$22,MONTH(V942),"")</f>
        <v>11</v>
      </c>
      <c r="AL942" s="86" t="str">
        <f>+IF(AG942=$AL$22,MONTH(V942),"")</f>
        <v/>
      </c>
      <c r="AM942" s="86" t="str">
        <f>+IF($AG942=$AM$22,MONTH($D942),"")</f>
        <v/>
      </c>
      <c r="AN942" s="89" t="str">
        <f>+IF($AG942=AN$22,MONTH($D942),"")</f>
        <v/>
      </c>
      <c r="AO942" s="89" t="str">
        <f>+IF($AG942=AO$22,MONTH($D942),"")</f>
        <v/>
      </c>
      <c r="AP942" s="89" t="str">
        <f>+IF($AG942=AP$22,MONTH($D942),"")</f>
        <v/>
      </c>
      <c r="AQ942" s="89" t="str">
        <f>+IF($AG942=AQ$22,MONTH($D942),"")</f>
        <v/>
      </c>
      <c r="AR942" s="89" t="str">
        <f>+IF($AG942=AR$22,MONTH($D942),"")</f>
        <v/>
      </c>
      <c r="AS942" s="89" t="str">
        <f>+IF($AG942=AS$22,MONTH($D942),"")</f>
        <v/>
      </c>
      <c r="AT942" s="89" t="str">
        <f>+IF($AG942=AT$22,MONTH($D942),"")</f>
        <v/>
      </c>
      <c r="AU942" s="89" t="str">
        <f>+IF($AG942=AU$22,MONTH($D942),"")</f>
        <v/>
      </c>
      <c r="AV942" s="89" t="str">
        <f>+IF($AG942=AV$22,MONTH($D942),"")</f>
        <v/>
      </c>
      <c r="AW942" s="86" t="str">
        <f>+IF($AG942=AW$22,MONTH($D942),"")</f>
        <v/>
      </c>
      <c r="AX942" s="86" t="str">
        <f>+IF($AG942=AX$22,MONTH($D942),"")</f>
        <v/>
      </c>
      <c r="AY942" s="89"/>
      <c r="AZ942" s="89"/>
      <c r="BA942" s="89"/>
      <c r="BB942" s="89"/>
      <c r="BC942" s="89"/>
      <c r="BD942" s="89"/>
      <c r="BE942" s="89"/>
      <c r="BF942" s="89"/>
      <c r="BG942" s="89"/>
      <c r="BH942" s="89"/>
      <c r="BI942" s="89"/>
      <c r="BJ942" s="89"/>
      <c r="BK942" s="89"/>
      <c r="BL942" s="89"/>
      <c r="BM942" s="89"/>
      <c r="BN942" s="89"/>
      <c r="BO942" s="89"/>
      <c r="BP942" s="89"/>
    </row>
    <row r="943" spans="1:68" s="56" customFormat="1" ht="67.5" hidden="1">
      <c r="A943" s="204" t="str">
        <f>+IFERROR(VALUE(MID(AB943,4,4)),"")</f>
        <v/>
      </c>
      <c r="B943" s="204">
        <f>VALUE(RIGHT(C943,LEN(C943)-2))</f>
        <v>1780</v>
      </c>
      <c r="C943" s="74" t="s">
        <v>3561</v>
      </c>
      <c r="D943" s="75">
        <v>45083</v>
      </c>
      <c r="E943" s="70" t="s">
        <v>353</v>
      </c>
      <c r="F943" s="70" t="s">
        <v>2065</v>
      </c>
      <c r="G943" s="68"/>
      <c r="H943" s="59"/>
      <c r="I943" s="69" t="s">
        <v>3562</v>
      </c>
      <c r="J943" s="69"/>
      <c r="K943" s="68" t="s">
        <v>11</v>
      </c>
      <c r="L943" s="69" t="s">
        <v>123</v>
      </c>
      <c r="M943" s="71" t="s">
        <v>141</v>
      </c>
      <c r="N943" s="69" t="e" vm="1">
        <v>#VALUE!</v>
      </c>
      <c r="O943" s="84">
        <v>45097</v>
      </c>
      <c r="P943" s="82" t="s">
        <v>666</v>
      </c>
      <c r="Q943" s="72" t="s">
        <v>3563</v>
      </c>
      <c r="R943" s="162"/>
      <c r="S943" s="146" t="s">
        <v>3564</v>
      </c>
      <c r="T943" s="68" t="s">
        <v>168</v>
      </c>
      <c r="U943" s="87"/>
      <c r="V943" s="80">
        <v>45112</v>
      </c>
      <c r="W943" s="150"/>
      <c r="X943" s="150">
        <v>261</v>
      </c>
      <c r="Y943" s="83" t="str">
        <f>IF(SUM(W943:W943)&gt;0,X943/SUM(W943:W943)*1000000,"N/A")</f>
        <v>N/A</v>
      </c>
      <c r="Z943" s="80"/>
      <c r="AA943" s="80"/>
      <c r="AB943" s="73"/>
      <c r="AC943" s="153"/>
      <c r="AD943" s="331"/>
      <c r="AE943" s="57"/>
      <c r="AF943" s="88"/>
      <c r="AG943" s="182">
        <f>YEAR(V943)</f>
        <v>2023</v>
      </c>
      <c r="AH943" s="86" t="str">
        <f>+IF(AF943=$AI$22,MONTH(U943),"")</f>
        <v/>
      </c>
      <c r="AI943" s="86" t="str">
        <f>+IF(AG943=$AI$22,MONTH(V943),"")</f>
        <v/>
      </c>
      <c r="AJ943" s="86" t="str">
        <f>+IF(AG943=$AJ$22,MONTH(V943),"")</f>
        <v/>
      </c>
      <c r="AK943" s="86">
        <f>+IF(AG943=$AK$22,MONTH(V943),"")</f>
        <v>7</v>
      </c>
      <c r="AL943" s="86" t="str">
        <f>+IF(AG943=$AL$22,MONTH(V943),"")</f>
        <v/>
      </c>
      <c r="AM943" s="86" t="str">
        <f>+IF($AG943=$AM$22,MONTH($D943),"")</f>
        <v/>
      </c>
      <c r="AN943" s="89"/>
      <c r="AO943" s="89"/>
      <c r="AP943" s="89"/>
      <c r="AQ943" s="89"/>
      <c r="AR943" s="89"/>
      <c r="AS943" s="89"/>
      <c r="AT943" s="89"/>
      <c r="AU943" s="89"/>
      <c r="AV943" s="89"/>
      <c r="AW943" s="86" t="str">
        <f>+IF($AG943=AW$22,MONTH($D943),"")</f>
        <v/>
      </c>
      <c r="AX943" s="86" t="str">
        <f>+IF($AG943=AX$22,MONTH($D943),"")</f>
        <v/>
      </c>
      <c r="AY943" s="89"/>
      <c r="AZ943" s="89"/>
      <c r="BA943" s="89"/>
      <c r="BB943" s="89"/>
      <c r="BC943" s="89"/>
      <c r="BD943" s="89"/>
      <c r="BE943" s="89"/>
      <c r="BF943" s="89"/>
      <c r="BG943" s="89"/>
      <c r="BH943" s="89"/>
      <c r="BI943" s="89"/>
      <c r="BJ943" s="89"/>
      <c r="BK943" s="89"/>
      <c r="BL943" s="89"/>
      <c r="BM943" s="89"/>
      <c r="BN943" s="89"/>
      <c r="BO943" s="89"/>
      <c r="BP943" s="89"/>
    </row>
    <row r="944" spans="1:68" s="56" customFormat="1" ht="27" hidden="1">
      <c r="A944" s="204">
        <f>+IFERROR(VALUE(MID(AB944,4,4)),"")</f>
        <v>343</v>
      </c>
      <c r="B944" s="204">
        <f>VALUE(RIGHT(C944,LEN(C944)-2))</f>
        <v>1779</v>
      </c>
      <c r="C944" s="74" t="s">
        <v>3565</v>
      </c>
      <c r="D944" s="75">
        <v>45079</v>
      </c>
      <c r="E944" s="70" t="s">
        <v>685</v>
      </c>
      <c r="F944" s="70" t="s">
        <v>685</v>
      </c>
      <c r="G944" s="68" t="s">
        <v>3202</v>
      </c>
      <c r="H944" s="59" t="s">
        <v>3566</v>
      </c>
      <c r="I944" s="69" t="s">
        <v>3567</v>
      </c>
      <c r="J944" s="69"/>
      <c r="K944" s="68" t="s">
        <v>18</v>
      </c>
      <c r="L944" s="69" t="s">
        <v>120</v>
      </c>
      <c r="M944" s="71" t="s">
        <v>141</v>
      </c>
      <c r="N944" s="69" t="e" vm="1">
        <v>#VALUE!</v>
      </c>
      <c r="O944" s="84">
        <v>45090</v>
      </c>
      <c r="P944" s="72" t="s">
        <v>1641</v>
      </c>
      <c r="Q944" s="72" t="s">
        <v>229</v>
      </c>
      <c r="R944" s="162"/>
      <c r="S944" s="146" t="s">
        <v>3568</v>
      </c>
      <c r="T944" s="68" t="s">
        <v>3</v>
      </c>
      <c r="U944" s="87"/>
      <c r="V944" s="80">
        <v>45107</v>
      </c>
      <c r="W944" s="73">
        <v>895</v>
      </c>
      <c r="X944" s="73">
        <v>50</v>
      </c>
      <c r="Y944" s="83">
        <f>IF(SUM(W944:W944)&gt;0,X944/SUM(W944:W944)*1000000,"N/A")</f>
        <v>55865.921787709492</v>
      </c>
      <c r="Z944" s="80"/>
      <c r="AA944" s="80"/>
      <c r="AB944" s="73" t="s">
        <v>3569</v>
      </c>
      <c r="AC944" s="153"/>
      <c r="AD944" s="331"/>
      <c r="AE944" s="57"/>
      <c r="AF944" s="88"/>
      <c r="AG944" s="182">
        <f>YEAR(V944)</f>
        <v>2023</v>
      </c>
      <c r="AH944" s="86" t="str">
        <f>+IF(AF944=$AI$22,MONTH(U944),"")</f>
        <v/>
      </c>
      <c r="AI944" s="86" t="str">
        <f>+IF(AG944=$AI$22,MONTH(V944),"")</f>
        <v/>
      </c>
      <c r="AJ944" s="86" t="str">
        <f>+IF(AG944=$AJ$22,MONTH(V944),"")</f>
        <v/>
      </c>
      <c r="AK944" s="86">
        <f>+IF(AG944=$AK$22,MONTH(V944),"")</f>
        <v>6</v>
      </c>
      <c r="AL944" s="86"/>
      <c r="AM944" s="89"/>
      <c r="AN944" s="89"/>
      <c r="AO944" s="89"/>
      <c r="AP944" s="89"/>
      <c r="AQ944" s="89"/>
      <c r="AR944" s="89"/>
      <c r="AS944" s="89"/>
      <c r="AT944" s="89"/>
      <c r="AU944" s="89"/>
      <c r="AV944" s="89"/>
      <c r="AW944" s="86" t="str">
        <f>+IF($AG944=AW$22,MONTH($D944),"")</f>
        <v/>
      </c>
      <c r="AX944" s="86" t="str">
        <f>+IF($AG944=AX$22,MONTH($D944),"")</f>
        <v/>
      </c>
      <c r="AY944" s="89"/>
      <c r="AZ944" s="89"/>
      <c r="BA944" s="89"/>
      <c r="BB944" s="89"/>
      <c r="BC944" s="89"/>
      <c r="BD944" s="89"/>
      <c r="BE944" s="89"/>
      <c r="BF944" s="89"/>
      <c r="BG944" s="89"/>
      <c r="BH944" s="89"/>
      <c r="BI944" s="89"/>
      <c r="BJ944" s="89"/>
      <c r="BK944" s="89"/>
      <c r="BL944" s="89"/>
      <c r="BM944" s="89"/>
      <c r="BN944" s="89"/>
      <c r="BO944" s="89"/>
      <c r="BP944" s="89"/>
    </row>
    <row r="945" spans="1:68" s="56" customFormat="1" ht="27" hidden="1">
      <c r="A945" s="204">
        <f>+IFERROR(VALUE(MID(AB945,4,4)),"")</f>
        <v>289</v>
      </c>
      <c r="B945" s="204">
        <f>VALUE(RIGHT(C945,LEN(C945)-2))</f>
        <v>1778</v>
      </c>
      <c r="C945" s="74" t="s">
        <v>3570</v>
      </c>
      <c r="D945" s="75">
        <v>44774</v>
      </c>
      <c r="E945" s="70" t="s">
        <v>479</v>
      </c>
      <c r="F945" s="70" t="s">
        <v>479</v>
      </c>
      <c r="G945" s="68" t="s">
        <v>3478</v>
      </c>
      <c r="H945" s="59" t="s">
        <v>3571</v>
      </c>
      <c r="I945" s="69" t="s">
        <v>3572</v>
      </c>
      <c r="J945" s="69"/>
      <c r="K945" s="68" t="s">
        <v>9</v>
      </c>
      <c r="L945" s="69" t="s">
        <v>129</v>
      </c>
      <c r="M945" s="71" t="s">
        <v>113</v>
      </c>
      <c r="N945" s="69" t="e" vm="2">
        <v>#VALUE!</v>
      </c>
      <c r="O945" s="84">
        <v>45082</v>
      </c>
      <c r="P945" s="72" t="s">
        <v>483</v>
      </c>
      <c r="Q945" s="82" t="s">
        <v>837</v>
      </c>
      <c r="R945" s="69"/>
      <c r="S945" s="146" t="s">
        <v>3573</v>
      </c>
      <c r="T945" s="68" t="s">
        <v>3</v>
      </c>
      <c r="U945" s="87"/>
      <c r="V945" s="80">
        <v>45122</v>
      </c>
      <c r="W945" s="73">
        <v>197.3</v>
      </c>
      <c r="X945" s="73">
        <v>8.6999999999999993</v>
      </c>
      <c r="Y945" s="83">
        <f>IF(SUM(W945:W945)&gt;0,X945/SUM(W945:W945)*1000000,"N/A")</f>
        <v>44095.286365940185</v>
      </c>
      <c r="Z945" s="80"/>
      <c r="AA945" s="80"/>
      <c r="AB945" s="73" t="s">
        <v>3574</v>
      </c>
      <c r="AC945" s="153"/>
      <c r="AD945" s="331"/>
      <c r="AE945" s="57"/>
      <c r="AF945" s="88"/>
      <c r="AG945" s="182">
        <f>YEAR(V945)</f>
        <v>2023</v>
      </c>
      <c r="AH945" s="86" t="str">
        <f>+IF(AF945=$AI$22,MONTH(U945),"")</f>
        <v/>
      </c>
      <c r="AI945" s="86" t="str">
        <f>+IF(AG945=$AI$22,MONTH(V945),"")</f>
        <v/>
      </c>
      <c r="AJ945" s="86" t="str">
        <f>+IF(AG945=$AJ$22,MONTH(V945),"")</f>
        <v/>
      </c>
      <c r="AK945" s="86">
        <f>+IF(AG945=$AK$22,MONTH(V945),"")</f>
        <v>7</v>
      </c>
      <c r="AL945" s="86"/>
      <c r="AM945" s="86" t="str">
        <f>+IF($AG945=$AM$22,MONTH($D945),"")</f>
        <v/>
      </c>
      <c r="AN945" s="89" t="str">
        <f>+IF($AG945=AN$22,MONTH($D945),"")</f>
        <v/>
      </c>
      <c r="AO945" s="89" t="str">
        <f>+IF($AG945=AO$22,MONTH($D945),"")</f>
        <v/>
      </c>
      <c r="AP945" s="89" t="str">
        <f>+IF($AG945=AP$22,MONTH($D945),"")</f>
        <v/>
      </c>
      <c r="AQ945" s="89" t="str">
        <f>+IF($AG945=AQ$22,MONTH($D945),"")</f>
        <v/>
      </c>
      <c r="AR945" s="89" t="str">
        <f>+IF($AG945=AR$22,MONTH($D945),"")</f>
        <v/>
      </c>
      <c r="AS945" s="89" t="str">
        <f>+IF($AG945=AS$22,MONTH($D945),"")</f>
        <v/>
      </c>
      <c r="AT945" s="89" t="str">
        <f>+IF($AG945=AT$22,MONTH($D945),"")</f>
        <v/>
      </c>
      <c r="AU945" s="89" t="str">
        <f>+IF($AG945=AU$22,MONTH($D945),"")</f>
        <v/>
      </c>
      <c r="AV945" s="89" t="str">
        <f>+IF($AG945=AV$22,MONTH($D945),"")</f>
        <v/>
      </c>
      <c r="AW945" s="86" t="str">
        <f>+IF($AG945=AW$22,MONTH($D945),"")</f>
        <v/>
      </c>
      <c r="AX945" s="86" t="str">
        <f>+IF($AG945=AX$22,MONTH($D945),"")</f>
        <v/>
      </c>
      <c r="AY945" s="89"/>
      <c r="AZ945" s="89"/>
      <c r="BA945" s="89"/>
      <c r="BB945" s="89"/>
      <c r="BC945" s="89"/>
      <c r="BD945" s="89"/>
      <c r="BE945" s="89"/>
      <c r="BF945" s="89"/>
      <c r="BG945" s="89"/>
      <c r="BH945" s="89"/>
      <c r="BI945" s="89"/>
      <c r="BJ945" s="89"/>
      <c r="BK945" s="89"/>
      <c r="BL945" s="89"/>
      <c r="BM945" s="89"/>
      <c r="BN945" s="89"/>
      <c r="BO945" s="89"/>
      <c r="BP945" s="89"/>
    </row>
    <row r="946" spans="1:68" s="56" customFormat="1" ht="13.5" hidden="1">
      <c r="A946" s="204">
        <f>+IFERROR(VALUE(MID(AB946,4,4)),"")</f>
        <v>349</v>
      </c>
      <c r="B946" s="204">
        <f>VALUE(RIGHT(C946,LEN(C946)-2))</f>
        <v>1777</v>
      </c>
      <c r="C946" s="74" t="s">
        <v>3575</v>
      </c>
      <c r="D946" s="75">
        <v>45077</v>
      </c>
      <c r="E946" s="70" t="s">
        <v>74</v>
      </c>
      <c r="F946" s="70" t="s">
        <v>3117</v>
      </c>
      <c r="G946" s="68" t="s">
        <v>3118</v>
      </c>
      <c r="H946" s="59" t="s">
        <v>3119</v>
      </c>
      <c r="I946" s="69" t="s">
        <v>3576</v>
      </c>
      <c r="J946" s="69"/>
      <c r="K946" s="68" t="s">
        <v>13</v>
      </c>
      <c r="L946" s="69" t="s">
        <v>120</v>
      </c>
      <c r="M946" s="71" t="s">
        <v>141</v>
      </c>
      <c r="N946" s="69" t="e" vm="1">
        <v>#VALUE!</v>
      </c>
      <c r="O946" s="84">
        <v>45092</v>
      </c>
      <c r="P946" s="72" t="s">
        <v>1154</v>
      </c>
      <c r="Q946" s="164" t="s">
        <v>1097</v>
      </c>
      <c r="R946" s="162"/>
      <c r="S946" s="146" t="s">
        <v>3577</v>
      </c>
      <c r="T946" s="68" t="s">
        <v>3</v>
      </c>
      <c r="U946" s="87"/>
      <c r="V946" s="80">
        <v>45099</v>
      </c>
      <c r="W946" s="150">
        <v>973</v>
      </c>
      <c r="X946" s="215">
        <f>42508400/1000000</f>
        <v>42.508400000000002</v>
      </c>
      <c r="Y946" s="83">
        <f>IF(SUM(W946:W946)&gt;0,X946/SUM(W946:W946)*1000000,"N/A")</f>
        <v>43687.975334018505</v>
      </c>
      <c r="Z946" s="80"/>
      <c r="AA946" s="80"/>
      <c r="AB946" s="73" t="s">
        <v>3578</v>
      </c>
      <c r="AC946" s="153"/>
      <c r="AD946" s="331"/>
      <c r="AE946" s="57"/>
      <c r="AF946" s="88"/>
      <c r="AG946" s="182">
        <f>YEAR(V946)</f>
        <v>2023</v>
      </c>
      <c r="AH946" s="86" t="str">
        <f>+IF(AF946=$AI$22,MONTH(U946),"")</f>
        <v/>
      </c>
      <c r="AI946" s="86" t="str">
        <f>+IF(AG946=$AI$22,MONTH(V946),"")</f>
        <v/>
      </c>
      <c r="AJ946" s="86" t="str">
        <f>+IF(AG946=$AJ$22,MONTH(V946),"")</f>
        <v/>
      </c>
      <c r="AK946" s="86">
        <f>+IF(AG946=$AK$22,MONTH(V946),"")</f>
        <v>6</v>
      </c>
      <c r="AL946" s="86" t="str">
        <f>+IF(AG946=$AL$22,MONTH(V946),"")</f>
        <v/>
      </c>
      <c r="AM946" s="86" t="str">
        <f>+IF($AG946=$AM$22,MONTH($D946),"")</f>
        <v/>
      </c>
      <c r="AN946" s="89" t="str">
        <f>+IF($AG946=AN$22,MONTH($D946),"")</f>
        <v/>
      </c>
      <c r="AO946" s="89" t="str">
        <f>+IF($AG946=AO$22,MONTH($D946),"")</f>
        <v/>
      </c>
      <c r="AP946" s="89" t="str">
        <f>+IF($AG946=AP$22,MONTH($D946),"")</f>
        <v/>
      </c>
      <c r="AQ946" s="89" t="str">
        <f>+IF($AG946=AQ$22,MONTH($D946),"")</f>
        <v/>
      </c>
      <c r="AR946" s="89" t="str">
        <f>+IF($AG946=AR$22,MONTH($D946),"")</f>
        <v/>
      </c>
      <c r="AS946" s="89" t="str">
        <f>+IF($AG946=AS$22,MONTH($D946),"")</f>
        <v/>
      </c>
      <c r="AT946" s="89" t="str">
        <f>+IF($AG946=AT$22,MONTH($D946),"")</f>
        <v/>
      </c>
      <c r="AU946" s="89" t="str">
        <f>+IF($AG946=AU$22,MONTH($D946),"")</f>
        <v/>
      </c>
      <c r="AV946" s="89" t="str">
        <f>+IF($AG946=AV$22,MONTH($D946),"")</f>
        <v/>
      </c>
      <c r="AW946" s="86" t="str">
        <f>+IF($AG946=AW$22,MONTH($D946),"")</f>
        <v/>
      </c>
      <c r="AX946" s="86" t="str">
        <f>+IF($AG946=AX$22,MONTH($D946),"")</f>
        <v/>
      </c>
      <c r="AY946" s="89"/>
      <c r="AZ946" s="89"/>
      <c r="BA946" s="89"/>
      <c r="BB946" s="89"/>
      <c r="BC946" s="89"/>
      <c r="BD946" s="89"/>
      <c r="BE946" s="89"/>
      <c r="BF946" s="89"/>
      <c r="BG946" s="89"/>
      <c r="BH946" s="89"/>
      <c r="BI946" s="89"/>
      <c r="BJ946" s="89"/>
      <c r="BK946" s="89"/>
      <c r="BL946" s="89"/>
      <c r="BM946" s="89"/>
      <c r="BN946" s="89"/>
      <c r="BO946" s="89"/>
      <c r="BP946" s="89"/>
    </row>
    <row r="947" spans="1:68" s="56" customFormat="1" ht="27" hidden="1">
      <c r="A947" s="204" t="str">
        <f>+IFERROR(VALUE(MID(AB947,4,4)),"")</f>
        <v/>
      </c>
      <c r="B947" s="204">
        <f>VALUE(RIGHT(C947,LEN(C947)-2))</f>
        <v>1776</v>
      </c>
      <c r="C947" s="74" t="s">
        <v>3579</v>
      </c>
      <c r="D947" s="75">
        <v>45071</v>
      </c>
      <c r="E947" s="70" t="s">
        <v>2263</v>
      </c>
      <c r="F947" s="70" t="s">
        <v>209</v>
      </c>
      <c r="G947" s="68" t="s">
        <v>2265</v>
      </c>
      <c r="H947" s="59" t="s">
        <v>3580</v>
      </c>
      <c r="I947" s="69" t="s">
        <v>3554</v>
      </c>
      <c r="J947" s="69"/>
      <c r="K947" s="68" t="s">
        <v>13</v>
      </c>
      <c r="L947" s="69" t="s">
        <v>120</v>
      </c>
      <c r="M947" s="71" t="s">
        <v>141</v>
      </c>
      <c r="N947" s="69" t="e" vm="1">
        <v>#VALUE!</v>
      </c>
      <c r="O947" s="84">
        <v>45079</v>
      </c>
      <c r="P947" s="72" t="s">
        <v>2779</v>
      </c>
      <c r="Q947" s="72" t="s">
        <v>644</v>
      </c>
      <c r="R947" s="162"/>
      <c r="S947" s="146"/>
      <c r="T947" s="68" t="s">
        <v>155</v>
      </c>
      <c r="U947" s="87">
        <v>0</v>
      </c>
      <c r="V947" s="80">
        <v>45131</v>
      </c>
      <c r="W947" s="73"/>
      <c r="X947" s="73"/>
      <c r="Y947" s="83" t="str">
        <f>IF(SUM(W947:W947)&gt;0,X947/SUM(W947:W947)*1000000,"N/A")</f>
        <v>N/A</v>
      </c>
      <c r="Z947" s="80"/>
      <c r="AA947" s="80"/>
      <c r="AB947" s="73"/>
      <c r="AC947" s="153"/>
      <c r="AD947" s="331"/>
      <c r="AE947" s="57"/>
      <c r="AF947" s="88"/>
      <c r="AG947" s="182">
        <f>YEAR(V947)</f>
        <v>2023</v>
      </c>
      <c r="AH947" s="86" t="str">
        <f>+IF(AF947=$AI$22,MONTH(U947),"")</f>
        <v/>
      </c>
      <c r="AI947" s="86" t="str">
        <f>+IF(AG947=$AI$22,MONTH(V947),"")</f>
        <v/>
      </c>
      <c r="AJ947" s="86" t="str">
        <f>+IF(AG947=$AJ$22,MONTH(V947),"")</f>
        <v/>
      </c>
      <c r="AK947" s="86">
        <f>+IF(AG947=$AK$22,MONTH(V947),"")</f>
        <v>7</v>
      </c>
      <c r="AL947" s="86" t="str">
        <f>+IF(AG947=$AL$22,MONTH(V947),"")</f>
        <v/>
      </c>
      <c r="AM947" s="86" t="str">
        <f>+IF($AG947=$AM$22,MONTH($D947),"")</f>
        <v/>
      </c>
      <c r="AN947" s="89" t="str">
        <f>+IF($AG947=AN$22,MONTH($D947),"")</f>
        <v/>
      </c>
      <c r="AO947" s="89" t="str">
        <f>+IF($AG947=AO$22,MONTH($D947),"")</f>
        <v/>
      </c>
      <c r="AP947" s="89" t="str">
        <f>+IF($AG947=AP$22,MONTH($D947),"")</f>
        <v/>
      </c>
      <c r="AQ947" s="89" t="str">
        <f>+IF($AG947=AQ$22,MONTH($D947),"")</f>
        <v/>
      </c>
      <c r="AR947" s="89" t="str">
        <f>+IF($AG947=AR$22,MONTH($D947),"")</f>
        <v/>
      </c>
      <c r="AS947" s="89" t="str">
        <f>+IF($AG947=AS$22,MONTH($D947),"")</f>
        <v/>
      </c>
      <c r="AT947" s="89" t="str">
        <f>+IF($AG947=AT$22,MONTH($D947),"")</f>
        <v/>
      </c>
      <c r="AU947" s="89" t="str">
        <f>+IF($AG947=AU$22,MONTH($D947),"")</f>
        <v/>
      </c>
      <c r="AV947" s="89" t="str">
        <f>+IF($AG947=AV$22,MONTH($D947),"")</f>
        <v/>
      </c>
      <c r="AW947" s="86" t="str">
        <f>+IF($AG947=AW$22,MONTH($D947),"")</f>
        <v/>
      </c>
      <c r="AX947" s="86" t="str">
        <f>+IF($AG947=AX$22,MONTH($D947),"")</f>
        <v/>
      </c>
      <c r="AY947" s="89"/>
      <c r="AZ947" s="89"/>
      <c r="BA947" s="89"/>
      <c r="BB947" s="89"/>
      <c r="BC947" s="89"/>
      <c r="BD947" s="89"/>
      <c r="BE947" s="89"/>
      <c r="BF947" s="89"/>
      <c r="BG947" s="89"/>
      <c r="BH947" s="89"/>
      <c r="BI947" s="89"/>
      <c r="BJ947" s="89"/>
      <c r="BK947" s="89"/>
      <c r="BL947" s="89"/>
      <c r="BM947" s="89"/>
      <c r="BN947" s="89"/>
      <c r="BO947" s="89"/>
      <c r="BP947" s="89"/>
    </row>
    <row r="948" spans="1:68" s="56" customFormat="1" ht="27" hidden="1">
      <c r="A948" s="204" t="str">
        <f>+IFERROR(VALUE(MID(AB948,4,4)),"")</f>
        <v/>
      </c>
      <c r="B948" s="204">
        <f>VALUE(RIGHT(C948,LEN(C948)-2))</f>
        <v>1775</v>
      </c>
      <c r="C948" s="74" t="s">
        <v>3581</v>
      </c>
      <c r="D948" s="75">
        <v>45076</v>
      </c>
      <c r="E948" s="70" t="s">
        <v>277</v>
      </c>
      <c r="F948" s="70" t="s">
        <v>277</v>
      </c>
      <c r="G948" s="68" t="s">
        <v>1781</v>
      </c>
      <c r="H948" s="59" t="s">
        <v>2413</v>
      </c>
      <c r="I948" s="69" t="s">
        <v>3582</v>
      </c>
      <c r="J948" s="69"/>
      <c r="K948" s="68" t="s">
        <v>9</v>
      </c>
      <c r="L948" s="69" t="s">
        <v>129</v>
      </c>
      <c r="M948" s="71" t="s">
        <v>141</v>
      </c>
      <c r="N948" s="69" t="e" vm="1">
        <v>#VALUE!</v>
      </c>
      <c r="O948" s="164">
        <v>45077</v>
      </c>
      <c r="P948" s="72" t="s">
        <v>2852</v>
      </c>
      <c r="Q948" s="72" t="s">
        <v>229</v>
      </c>
      <c r="R948" s="162"/>
      <c r="S948" s="146"/>
      <c r="T948" s="68" t="s">
        <v>165</v>
      </c>
      <c r="U948" s="87"/>
      <c r="V948" s="80">
        <v>45303</v>
      </c>
      <c r="W948" s="73">
        <v>24</v>
      </c>
      <c r="X948" s="150">
        <v>1.2</v>
      </c>
      <c r="Y948" s="83">
        <f>IF(SUM(W948:W948)&gt;0,X948/SUM(W948:W948)*1000000,"N/A")</f>
        <v>49999.999999999993</v>
      </c>
      <c r="Z948" s="80"/>
      <c r="AA948" s="80"/>
      <c r="AB948" s="73"/>
      <c r="AC948" s="153"/>
      <c r="AD948" s="331"/>
      <c r="AE948" s="57"/>
      <c r="AF948" s="88"/>
      <c r="AG948" s="182">
        <f>YEAR(V948)</f>
        <v>2024</v>
      </c>
      <c r="AH948" s="86" t="str">
        <f>+IF(AF948=$AI$22,MONTH(U948),"")</f>
        <v/>
      </c>
      <c r="AI948" s="86" t="str">
        <f>+IF(AG948=$AI$22,MONTH(V948),"")</f>
        <v/>
      </c>
      <c r="AJ948" s="86">
        <f>+IF(AG948=$AJ$22,MONTH(V948),"")</f>
        <v>1</v>
      </c>
      <c r="AK948" s="86" t="str">
        <f>+IF(AG948=$AK$22,MONTH(V948),"")</f>
        <v/>
      </c>
      <c r="AL948" s="86"/>
      <c r="AM948" s="89"/>
      <c r="AN948" s="89"/>
      <c r="AO948" s="89"/>
      <c r="AP948" s="89"/>
      <c r="AQ948" s="89"/>
      <c r="AR948" s="89"/>
      <c r="AS948" s="89"/>
      <c r="AT948" s="89"/>
      <c r="AU948" s="89"/>
      <c r="AV948" s="89"/>
      <c r="AW948" s="86" t="str">
        <f>+IF($AG948=AW$22,MONTH($D948),"")</f>
        <v/>
      </c>
      <c r="AX948" s="86" t="str">
        <f>+IF($AG948=AX$22,MONTH($D948),"")</f>
        <v/>
      </c>
      <c r="AY948" s="89"/>
      <c r="AZ948" s="89"/>
      <c r="BA948" s="89"/>
      <c r="BB948" s="89"/>
      <c r="BC948" s="89"/>
      <c r="BD948" s="89"/>
      <c r="BE948" s="89"/>
      <c r="BF948" s="89"/>
      <c r="BG948" s="89"/>
      <c r="BH948" s="89"/>
      <c r="BI948" s="89"/>
      <c r="BJ948" s="89"/>
      <c r="BK948" s="89"/>
      <c r="BL948" s="89"/>
      <c r="BM948" s="89"/>
      <c r="BN948" s="89"/>
      <c r="BO948" s="89"/>
      <c r="BP948" s="89"/>
    </row>
    <row r="949" spans="1:68" s="56" customFormat="1" ht="27" hidden="1">
      <c r="A949" s="204" t="str">
        <f>+IFERROR(VALUE(MID(AB949,4,4)),"")</f>
        <v/>
      </c>
      <c r="B949" s="204">
        <f>VALUE(RIGHT(C949,LEN(C949)-2))</f>
        <v>1774</v>
      </c>
      <c r="C949" s="74" t="s">
        <v>3583</v>
      </c>
      <c r="D949" s="75">
        <v>45068</v>
      </c>
      <c r="E949" s="70" t="s">
        <v>3584</v>
      </c>
      <c r="F949" s="70" t="s">
        <v>479</v>
      </c>
      <c r="G949" s="68" t="s">
        <v>3585</v>
      </c>
      <c r="H949" s="59" t="s">
        <v>3586</v>
      </c>
      <c r="I949" s="69" t="s">
        <v>3587</v>
      </c>
      <c r="J949" s="69"/>
      <c r="K949" s="68" t="s">
        <v>9</v>
      </c>
      <c r="L949" s="69" t="s">
        <v>123</v>
      </c>
      <c r="M949" s="71" t="s">
        <v>113</v>
      </c>
      <c r="N949" s="69" t="e" vm="2">
        <v>#VALUE!</v>
      </c>
      <c r="O949" s="84">
        <v>45071</v>
      </c>
      <c r="P949" s="72" t="s">
        <v>2779</v>
      </c>
      <c r="Q949" s="72" t="s">
        <v>623</v>
      </c>
      <c r="R949" s="162"/>
      <c r="S949" s="146" t="s">
        <v>3588</v>
      </c>
      <c r="T949" s="68" t="s">
        <v>165</v>
      </c>
      <c r="U949" s="87"/>
      <c r="V949" s="80">
        <v>45099</v>
      </c>
      <c r="W949" s="73">
        <v>1160</v>
      </c>
      <c r="X949" s="73">
        <v>41.5</v>
      </c>
      <c r="Y949" s="83">
        <f>IF(SUM(W949:W949)&gt;0,X949/SUM(W949:W949)*1000000,"N/A")</f>
        <v>35775.862068965522</v>
      </c>
      <c r="Z949" s="80"/>
      <c r="AA949" s="80"/>
      <c r="AB949" s="73"/>
      <c r="AC949" s="153"/>
      <c r="AD949" s="331"/>
      <c r="AE949" s="57"/>
      <c r="AF949" s="88"/>
      <c r="AG949" s="182">
        <f>YEAR(V949)</f>
        <v>2023</v>
      </c>
      <c r="AH949" s="86" t="str">
        <f>+IF(AF949=$AI$22,MONTH(U949),"")</f>
        <v/>
      </c>
      <c r="AI949" s="86" t="str">
        <f>+IF(AG949=$AI$22,MONTH(V949),"")</f>
        <v/>
      </c>
      <c r="AJ949" s="86" t="str">
        <f>+IF(AG949=$AJ$22,MONTH(V949),"")</f>
        <v/>
      </c>
      <c r="AK949" s="86">
        <f>+IF(AG949=$AK$22,MONTH(V949),"")</f>
        <v>6</v>
      </c>
      <c r="AL949" s="86" t="str">
        <f>+IF(AG949=$AL$22,MONTH(V949),"")</f>
        <v/>
      </c>
      <c r="AM949" s="86" t="str">
        <f>+IF($AG949=$AM$22,MONTH($D949),"")</f>
        <v/>
      </c>
      <c r="AN949" s="89" t="str">
        <f>+IF($AG949=AN$22,MONTH($D949),"")</f>
        <v/>
      </c>
      <c r="AO949" s="89" t="str">
        <f>+IF($AG949=AO$22,MONTH($D949),"")</f>
        <v/>
      </c>
      <c r="AP949" s="89" t="str">
        <f>+IF($AG949=AP$22,MONTH($D949),"")</f>
        <v/>
      </c>
      <c r="AQ949" s="89" t="str">
        <f>+IF($AG949=AQ$22,MONTH($D949),"")</f>
        <v/>
      </c>
      <c r="AR949" s="89" t="str">
        <f>+IF($AG949=AR$22,MONTH($D949),"")</f>
        <v/>
      </c>
      <c r="AS949" s="89" t="str">
        <f>+IF($AG949=AS$22,MONTH($D949),"")</f>
        <v/>
      </c>
      <c r="AT949" s="89" t="str">
        <f>+IF($AG949=AT$22,MONTH($D949),"")</f>
        <v/>
      </c>
      <c r="AU949" s="89" t="str">
        <f>+IF($AG949=AU$22,MONTH($D949),"")</f>
        <v/>
      </c>
      <c r="AV949" s="89" t="str">
        <f>+IF($AG949=AV$22,MONTH($D949),"")</f>
        <v/>
      </c>
      <c r="AW949" s="86" t="str">
        <f>+IF($AG949=AW$22,MONTH($D949),"")</f>
        <v/>
      </c>
      <c r="AX949" s="86" t="str">
        <f>+IF($AG949=AX$22,MONTH($D949),"")</f>
        <v/>
      </c>
      <c r="AY949" s="89"/>
      <c r="AZ949" s="89"/>
      <c r="BA949" s="89"/>
      <c r="BB949" s="89"/>
      <c r="BC949" s="89"/>
      <c r="BD949" s="89"/>
      <c r="BE949" s="89"/>
      <c r="BF949" s="89"/>
      <c r="BG949" s="89"/>
      <c r="BH949" s="89"/>
      <c r="BI949" s="89"/>
      <c r="BJ949" s="89"/>
      <c r="BK949" s="89"/>
      <c r="BL949" s="89"/>
      <c r="BM949" s="89"/>
      <c r="BN949" s="89"/>
      <c r="BO949" s="89"/>
      <c r="BP949" s="89"/>
    </row>
    <row r="950" spans="1:68" s="56" customFormat="1" ht="27" hidden="1">
      <c r="A950" s="204">
        <f>+IFERROR(VALUE(MID(AB950,4,4)),"")</f>
        <v>341</v>
      </c>
      <c r="B950" s="204">
        <f>VALUE(RIGHT(C950,LEN(C950)-2))</f>
        <v>1773</v>
      </c>
      <c r="C950" s="74" t="s">
        <v>3589</v>
      </c>
      <c r="D950" s="75">
        <v>45070</v>
      </c>
      <c r="E950" s="70" t="s">
        <v>685</v>
      </c>
      <c r="F950" s="70" t="s">
        <v>685</v>
      </c>
      <c r="G950" s="68" t="s">
        <v>1867</v>
      </c>
      <c r="H950" s="59" t="s">
        <v>1868</v>
      </c>
      <c r="I950" s="69" t="s">
        <v>3590</v>
      </c>
      <c r="J950" s="69"/>
      <c r="K950" s="68" t="s">
        <v>9</v>
      </c>
      <c r="L950" s="69" t="s">
        <v>120</v>
      </c>
      <c r="M950" s="71" t="s">
        <v>141</v>
      </c>
      <c r="N950" s="69" t="e" vm="1">
        <v>#VALUE!</v>
      </c>
      <c r="O950" s="84">
        <v>45078</v>
      </c>
      <c r="P950" s="72" t="s">
        <v>701</v>
      </c>
      <c r="Q950" s="72" t="s">
        <v>316</v>
      </c>
      <c r="R950" s="162"/>
      <c r="S950" s="146"/>
      <c r="T950" s="68" t="s">
        <v>3</v>
      </c>
      <c r="U950" s="87"/>
      <c r="V950" s="80">
        <v>45097</v>
      </c>
      <c r="W950" s="73">
        <v>522</v>
      </c>
      <c r="X950" s="216">
        <f>987*36050/1000000</f>
        <v>35.58135</v>
      </c>
      <c r="Y950" s="83">
        <f>IF(SUM(W950:W950)&gt;0,X950/SUM(W950:W950)*1000000,"N/A")</f>
        <v>68163.505747126444</v>
      </c>
      <c r="Z950" s="80"/>
      <c r="AA950" s="80"/>
      <c r="AB950" s="73" t="s">
        <v>3591</v>
      </c>
      <c r="AC950" s="153"/>
      <c r="AD950" s="331"/>
      <c r="AE950" s="57"/>
      <c r="AF950" s="88"/>
      <c r="AG950" s="182">
        <f>YEAR(V950)</f>
        <v>2023</v>
      </c>
      <c r="AH950" s="86" t="str">
        <f>+IF(AF950=$AI$22,MONTH(U950),"")</f>
        <v/>
      </c>
      <c r="AI950" s="86" t="str">
        <f>+IF(AG950=$AI$22,MONTH(V950),"")</f>
        <v/>
      </c>
      <c r="AJ950" s="86" t="str">
        <f>+IF(AG950=$AJ$22,MONTH(V950),"")</f>
        <v/>
      </c>
      <c r="AK950" s="86">
        <f>+IF(AG950=$AK$22,MONTH(V950),"")</f>
        <v>6</v>
      </c>
      <c r="AL950" s="86"/>
      <c r="AM950" s="89"/>
      <c r="AN950" s="89"/>
      <c r="AO950" s="89"/>
      <c r="AP950" s="89"/>
      <c r="AQ950" s="89"/>
      <c r="AR950" s="89"/>
      <c r="AS950" s="89"/>
      <c r="AT950" s="89"/>
      <c r="AU950" s="89"/>
      <c r="AV950" s="89"/>
      <c r="AW950" s="86" t="str">
        <f>+IF($AG950=AW$22,MONTH($D950),"")</f>
        <v/>
      </c>
      <c r="AX950" s="86" t="str">
        <f>+IF($AG950=AX$22,MONTH($D950),"")</f>
        <v/>
      </c>
      <c r="AY950" s="89"/>
      <c r="AZ950" s="89"/>
      <c r="BA950" s="89"/>
      <c r="BB950" s="89"/>
      <c r="BC950" s="89"/>
      <c r="BD950" s="89"/>
      <c r="BE950" s="89"/>
      <c r="BF950" s="89"/>
      <c r="BG950" s="89"/>
      <c r="BH950" s="89"/>
      <c r="BI950" s="89"/>
      <c r="BJ950" s="89"/>
      <c r="BK950" s="89"/>
      <c r="BL950" s="89"/>
      <c r="BM950" s="89"/>
      <c r="BN950" s="89"/>
      <c r="BO950" s="89"/>
      <c r="BP950" s="89"/>
    </row>
    <row r="951" spans="1:68" s="56" customFormat="1" ht="27" hidden="1">
      <c r="A951" s="204">
        <f>+IFERROR(VALUE(MID(AB951,4,4)),"")</f>
        <v>333</v>
      </c>
      <c r="B951" s="204">
        <f>VALUE(RIGHT(C951,LEN(C951)-2))</f>
        <v>1772</v>
      </c>
      <c r="C951" s="74" t="s">
        <v>3592</v>
      </c>
      <c r="D951" s="75">
        <v>45064</v>
      </c>
      <c r="E951" s="70" t="s">
        <v>53</v>
      </c>
      <c r="F951" s="70" t="s">
        <v>642</v>
      </c>
      <c r="G951" s="68" t="s">
        <v>1976</v>
      </c>
      <c r="H951" s="59" t="s">
        <v>3463</v>
      </c>
      <c r="I951" s="69" t="s">
        <v>3593</v>
      </c>
      <c r="J951" s="69"/>
      <c r="K951" s="68" t="s">
        <v>3594</v>
      </c>
      <c r="L951" s="69" t="s">
        <v>129</v>
      </c>
      <c r="M951" s="71" t="s">
        <v>141</v>
      </c>
      <c r="N951" s="69" t="e" vm="1">
        <v>#VALUE!</v>
      </c>
      <c r="O951" s="84">
        <v>45084</v>
      </c>
      <c r="P951" s="72" t="s">
        <v>701</v>
      </c>
      <c r="Q951" s="72" t="s">
        <v>229</v>
      </c>
      <c r="R951" s="162"/>
      <c r="S951" s="146"/>
      <c r="T951" s="68" t="s">
        <v>165</v>
      </c>
      <c r="U951" s="87"/>
      <c r="V951" s="80">
        <v>45118</v>
      </c>
      <c r="W951" s="150">
        <v>1645</v>
      </c>
      <c r="X951" s="150">
        <v>76</v>
      </c>
      <c r="Y951" s="83">
        <f>IF(SUM(W951:W951)&gt;0,X951/SUM(W951:W951)*1000000,"N/A")</f>
        <v>46200.607902735566</v>
      </c>
      <c r="Z951" s="80"/>
      <c r="AA951" s="80"/>
      <c r="AB951" s="73" t="s">
        <v>3595</v>
      </c>
      <c r="AC951" s="153"/>
      <c r="AD951" s="331"/>
      <c r="AE951" s="57"/>
      <c r="AF951" s="88"/>
      <c r="AG951" s="182">
        <f>YEAR(V951)</f>
        <v>2023</v>
      </c>
      <c r="AH951" s="86" t="str">
        <f>+IF(AF951=$AI$22,MONTH(U951),"")</f>
        <v/>
      </c>
      <c r="AI951" s="86" t="str">
        <f>+IF(AG951=$AI$22,MONTH(V951),"")</f>
        <v/>
      </c>
      <c r="AJ951" s="86" t="str">
        <f>+IF(AG951=$AJ$22,MONTH(V951),"")</f>
        <v/>
      </c>
      <c r="AK951" s="86">
        <f>+IF(AG951=$AK$22,MONTH(V951),"")</f>
        <v>7</v>
      </c>
      <c r="AL951" s="86"/>
      <c r="AM951" s="89"/>
      <c r="AN951" s="89"/>
      <c r="AO951" s="89"/>
      <c r="AP951" s="89"/>
      <c r="AQ951" s="89"/>
      <c r="AR951" s="89"/>
      <c r="AS951" s="89"/>
      <c r="AT951" s="89"/>
      <c r="AU951" s="89"/>
      <c r="AV951" s="89"/>
      <c r="AW951" s="86" t="str">
        <f>+IF($AG951=AW$22,MONTH($D951),"")</f>
        <v/>
      </c>
      <c r="AX951" s="86" t="str">
        <f>+IF($AG951=AX$22,MONTH($D951),"")</f>
        <v/>
      </c>
      <c r="AY951" s="89"/>
      <c r="AZ951" s="89"/>
      <c r="BA951" s="89"/>
      <c r="BB951" s="89"/>
      <c r="BC951" s="89"/>
      <c r="BD951" s="89"/>
      <c r="BE951" s="89"/>
      <c r="BF951" s="89"/>
      <c r="BG951" s="89"/>
      <c r="BH951" s="89"/>
      <c r="BI951" s="89"/>
      <c r="BJ951" s="89"/>
      <c r="BK951" s="89"/>
      <c r="BL951" s="89"/>
      <c r="BM951" s="89"/>
      <c r="BN951" s="89"/>
      <c r="BO951" s="89"/>
      <c r="BP951" s="89"/>
    </row>
    <row r="952" spans="1:68" s="56" customFormat="1" ht="27" hidden="1">
      <c r="A952" s="204">
        <f>+IFERROR(VALUE(MID(AB952,4,4)),"")</f>
        <v>271</v>
      </c>
      <c r="B952" s="204">
        <f>VALUE(RIGHT(C952,LEN(C952)-2))</f>
        <v>1771</v>
      </c>
      <c r="C952" s="74" t="s">
        <v>3596</v>
      </c>
      <c r="D952" s="75">
        <v>45060</v>
      </c>
      <c r="E952" s="70" t="s">
        <v>277</v>
      </c>
      <c r="F952" s="70" t="s">
        <v>277</v>
      </c>
      <c r="G952" s="68" t="s">
        <v>1781</v>
      </c>
      <c r="H952" s="59"/>
      <c r="I952" s="69" t="s">
        <v>3597</v>
      </c>
      <c r="J952" s="69"/>
      <c r="K952" s="68" t="s">
        <v>13</v>
      </c>
      <c r="L952" s="69" t="s">
        <v>129</v>
      </c>
      <c r="M952" s="71" t="s">
        <v>141</v>
      </c>
      <c r="N952" s="69" t="e" vm="1">
        <v>#VALUE!</v>
      </c>
      <c r="O952" s="164">
        <v>45069</v>
      </c>
      <c r="P952" s="72" t="s">
        <v>2852</v>
      </c>
      <c r="Q952" s="72" t="s">
        <v>229</v>
      </c>
      <c r="R952" s="162"/>
      <c r="S952" s="146"/>
      <c r="T952" s="68" t="s">
        <v>3</v>
      </c>
      <c r="U952" s="87"/>
      <c r="V952" s="80">
        <v>45077</v>
      </c>
      <c r="W952" s="73">
        <v>619</v>
      </c>
      <c r="X952" s="150">
        <v>26</v>
      </c>
      <c r="Y952" s="83">
        <f>IF(SUM(W952:W952)&gt;0,X952/SUM(W952:W952)*1000000,"N/A")</f>
        <v>42003.231017770602</v>
      </c>
      <c r="Z952" s="80"/>
      <c r="AA952" s="80"/>
      <c r="AB952" s="73" t="s">
        <v>3598</v>
      </c>
      <c r="AC952" s="153"/>
      <c r="AD952" s="331"/>
      <c r="AE952" s="57"/>
      <c r="AF952" s="88"/>
      <c r="AG952" s="182">
        <f>YEAR(V952)</f>
        <v>2023</v>
      </c>
      <c r="AH952" s="86" t="str">
        <f>+IF(AF952=$AI$22,MONTH(U952),"")</f>
        <v/>
      </c>
      <c r="AI952" s="86" t="str">
        <f>+IF(AG952=$AI$22,MONTH(V952),"")</f>
        <v/>
      </c>
      <c r="AJ952" s="86" t="str">
        <f>+IF(AG952=$AJ$22,MONTH(V952),"")</f>
        <v/>
      </c>
      <c r="AK952" s="86">
        <f>+IF(AG952=$AK$22,MONTH(V952),"")</f>
        <v>5</v>
      </c>
      <c r="AL952" s="86"/>
      <c r="AM952" s="89"/>
      <c r="AN952" s="89"/>
      <c r="AO952" s="89"/>
      <c r="AP952" s="89"/>
      <c r="AQ952" s="89"/>
      <c r="AR952" s="89"/>
      <c r="AS952" s="89"/>
      <c r="AT952" s="89"/>
      <c r="AU952" s="89"/>
      <c r="AV952" s="89"/>
      <c r="AW952" s="86" t="str">
        <f>+IF($AG952=AW$22,MONTH($D952),"")</f>
        <v/>
      </c>
      <c r="AX952" s="86" t="str">
        <f>+IF($AG952=AX$22,MONTH($D952),"")</f>
        <v/>
      </c>
      <c r="AY952" s="89"/>
      <c r="AZ952" s="89"/>
      <c r="BA952" s="89"/>
      <c r="BB952" s="89"/>
      <c r="BC952" s="89"/>
      <c r="BD952" s="89"/>
      <c r="BE952" s="89"/>
      <c r="BF952" s="89"/>
      <c r="BG952" s="89"/>
      <c r="BH952" s="89"/>
      <c r="BI952" s="89"/>
      <c r="BJ952" s="89"/>
      <c r="BK952" s="89"/>
      <c r="BL952" s="89"/>
      <c r="BM952" s="89"/>
      <c r="BN952" s="89"/>
      <c r="BO952" s="89"/>
      <c r="BP952" s="89"/>
    </row>
    <row r="953" spans="1:68" s="56" customFormat="1" ht="27" hidden="1">
      <c r="A953" s="204" t="str">
        <f>+IFERROR(VALUE(MID(AB953,4,4)),"")</f>
        <v/>
      </c>
      <c r="B953" s="204">
        <f>VALUE(RIGHT(C953,LEN(C953)-2))</f>
        <v>1770</v>
      </c>
      <c r="C953" s="74" t="s">
        <v>3599</v>
      </c>
      <c r="D953" s="75">
        <v>45060</v>
      </c>
      <c r="E953" s="70" t="s">
        <v>277</v>
      </c>
      <c r="F953" s="70" t="s">
        <v>277</v>
      </c>
      <c r="G953" s="68" t="s">
        <v>1781</v>
      </c>
      <c r="H953" s="59" t="s">
        <v>2413</v>
      </c>
      <c r="I953" s="69" t="s">
        <v>3600</v>
      </c>
      <c r="J953" s="69"/>
      <c r="K953" s="68" t="s">
        <v>13</v>
      </c>
      <c r="L953" s="69" t="s">
        <v>129</v>
      </c>
      <c r="M953" s="71" t="s">
        <v>141</v>
      </c>
      <c r="N953" s="69" t="e" vm="1">
        <v>#VALUE!</v>
      </c>
      <c r="O953" s="164">
        <v>45084</v>
      </c>
      <c r="P953" s="72" t="s">
        <v>2852</v>
      </c>
      <c r="Q953" s="72" t="s">
        <v>229</v>
      </c>
      <c r="R953" s="162"/>
      <c r="S953" s="146"/>
      <c r="T953" s="68" t="s">
        <v>165</v>
      </c>
      <c r="U953" s="87"/>
      <c r="V953" s="80">
        <v>45303</v>
      </c>
      <c r="W953" s="73">
        <v>1249</v>
      </c>
      <c r="X953" s="150">
        <v>50</v>
      </c>
      <c r="Y953" s="83">
        <f>IF(SUM(W953:W953)&gt;0,X953/SUM(W953:W953)*1000000,"N/A")</f>
        <v>40032.025620496395</v>
      </c>
      <c r="Z953" s="80"/>
      <c r="AA953" s="80"/>
      <c r="AB953" s="73"/>
      <c r="AC953" s="153"/>
      <c r="AD953" s="331"/>
      <c r="AE953" s="57"/>
      <c r="AF953" s="88"/>
      <c r="AG953" s="182">
        <f>YEAR(V953)</f>
        <v>2024</v>
      </c>
      <c r="AH953" s="86" t="str">
        <f>+IF(AF953=$AI$22,MONTH(U953),"")</f>
        <v/>
      </c>
      <c r="AI953" s="86" t="str">
        <f>+IF(AG953=$AI$22,MONTH(V953),"")</f>
        <v/>
      </c>
      <c r="AJ953" s="86">
        <f>+IF(AG953=$AJ$22,MONTH(V953),"")</f>
        <v>1</v>
      </c>
      <c r="AK953" s="86" t="str">
        <f>+IF(AG953=$AK$22,MONTH(V953),"")</f>
        <v/>
      </c>
      <c r="AL953" s="86"/>
      <c r="AM953" s="89"/>
      <c r="AN953" s="89"/>
      <c r="AO953" s="89"/>
      <c r="AP953" s="89"/>
      <c r="AQ953" s="89"/>
      <c r="AR953" s="89"/>
      <c r="AS953" s="89"/>
      <c r="AT953" s="89"/>
      <c r="AU953" s="89"/>
      <c r="AV953" s="89"/>
      <c r="AW953" s="86" t="str">
        <f>+IF($AG953=AW$22,MONTH($D953),"")</f>
        <v/>
      </c>
      <c r="AX953" s="86" t="str">
        <f>+IF($AG953=AX$22,MONTH($D953),"")</f>
        <v/>
      </c>
      <c r="AY953" s="89"/>
      <c r="AZ953" s="89"/>
      <c r="BA953" s="89"/>
      <c r="BB953" s="89"/>
      <c r="BC953" s="89"/>
      <c r="BD953" s="89"/>
      <c r="BE953" s="89"/>
      <c r="BF953" s="89"/>
      <c r="BG953" s="89"/>
      <c r="BH953" s="89"/>
      <c r="BI953" s="89"/>
      <c r="BJ953" s="89"/>
      <c r="BK953" s="89"/>
      <c r="BL953" s="89"/>
      <c r="BM953" s="89"/>
      <c r="BN953" s="89"/>
      <c r="BO953" s="89"/>
      <c r="BP953" s="89"/>
    </row>
    <row r="954" spans="1:68" s="56" customFormat="1" ht="27" hidden="1">
      <c r="A954" s="204">
        <f>+IFERROR(VALUE(MID(AB954,4,4)),"")</f>
        <v>265</v>
      </c>
      <c r="B954" s="204">
        <f>VALUE(RIGHT(C954,LEN(C954)-2))</f>
        <v>1769</v>
      </c>
      <c r="C954" s="74" t="s">
        <v>3601</v>
      </c>
      <c r="D954" s="75">
        <v>45056</v>
      </c>
      <c r="E954" s="70" t="s">
        <v>332</v>
      </c>
      <c r="F954" s="70" t="s">
        <v>332</v>
      </c>
      <c r="G954" s="68" t="s">
        <v>3602</v>
      </c>
      <c r="H954" s="59" t="s">
        <v>3603</v>
      </c>
      <c r="I954" s="69" t="s">
        <v>3604</v>
      </c>
      <c r="J954" s="69"/>
      <c r="K954" s="68" t="s">
        <v>13</v>
      </c>
      <c r="L954" s="69" t="s">
        <v>129</v>
      </c>
      <c r="M954" s="71" t="s">
        <v>141</v>
      </c>
      <c r="N954" s="69" t="e" vm="1">
        <v>#VALUE!</v>
      </c>
      <c r="O954" s="84">
        <v>45063</v>
      </c>
      <c r="P954" s="72" t="s">
        <v>369</v>
      </c>
      <c r="Q954" s="72" t="s">
        <v>229</v>
      </c>
      <c r="R954" s="162"/>
      <c r="S954" s="146" t="s">
        <v>3605</v>
      </c>
      <c r="T954" s="68" t="s">
        <v>3</v>
      </c>
      <c r="U954" s="87"/>
      <c r="V954" s="80">
        <v>45063</v>
      </c>
      <c r="W954" s="73">
        <v>650</v>
      </c>
      <c r="X954" s="73">
        <f>653*36000/1000000</f>
        <v>23.507999999999999</v>
      </c>
      <c r="Y954" s="83">
        <f>IF(SUM(W954:W954)&gt;0,X954/SUM(W954:W954)*1000000,"N/A")</f>
        <v>36166.153846153851</v>
      </c>
      <c r="Z954" s="80"/>
      <c r="AA954" s="80"/>
      <c r="AB954" s="73" t="s">
        <v>3606</v>
      </c>
      <c r="AC954" s="153"/>
      <c r="AD954" s="331"/>
      <c r="AE954" s="57"/>
      <c r="AF954" s="88"/>
      <c r="AG954" s="182">
        <f>YEAR(V954)</f>
        <v>2023</v>
      </c>
      <c r="AH954" s="86" t="str">
        <f>+IF(AF954=$AI$22,MONTH(U954),"")</f>
        <v/>
      </c>
      <c r="AI954" s="86" t="str">
        <f>+IF(AG954=$AI$22,MONTH(V954),"")</f>
        <v/>
      </c>
      <c r="AJ954" s="86" t="str">
        <f>+IF(AG954=$AJ$22,MONTH(V954),"")</f>
        <v/>
      </c>
      <c r="AK954" s="86">
        <f>+IF(AG954=$AK$22,MONTH(V954),"")</f>
        <v>5</v>
      </c>
      <c r="AL954" s="86"/>
      <c r="AM954" s="89"/>
      <c r="AN954" s="89"/>
      <c r="AO954" s="89"/>
      <c r="AP954" s="89"/>
      <c r="AQ954" s="89"/>
      <c r="AR954" s="89"/>
      <c r="AS954" s="89"/>
      <c r="AT954" s="89"/>
      <c r="AU954" s="89"/>
      <c r="AV954" s="89"/>
      <c r="AW954" s="86" t="str">
        <f>+IF($AG954=AW$22,MONTH($D954),"")</f>
        <v/>
      </c>
      <c r="AX954" s="86" t="str">
        <f>+IF($AG954=AX$22,MONTH($D954),"")</f>
        <v/>
      </c>
      <c r="AY954" s="89"/>
      <c r="AZ954" s="89"/>
      <c r="BA954" s="89"/>
      <c r="BB954" s="89"/>
      <c r="BC954" s="89"/>
      <c r="BD954" s="89"/>
      <c r="BE954" s="89"/>
      <c r="BF954" s="89"/>
      <c r="BG954" s="89"/>
      <c r="BH954" s="89"/>
      <c r="BI954" s="89"/>
      <c r="BJ954" s="89"/>
      <c r="BK954" s="89"/>
      <c r="BL954" s="89"/>
      <c r="BM954" s="89"/>
      <c r="BN954" s="89"/>
      <c r="BO954" s="89"/>
      <c r="BP954" s="89"/>
    </row>
    <row r="955" spans="1:68" s="56" customFormat="1" ht="13.5" hidden="1">
      <c r="A955" s="204" t="str">
        <f>+IFERROR(VALUE(MID(AB955,4,4)),"")</f>
        <v/>
      </c>
      <c r="B955" s="204">
        <f>VALUE(RIGHT(C955,LEN(C955)-2))</f>
        <v>1768</v>
      </c>
      <c r="C955" s="74" t="s">
        <v>3607</v>
      </c>
      <c r="D955" s="75">
        <v>45062</v>
      </c>
      <c r="E955" s="70" t="s">
        <v>2890</v>
      </c>
      <c r="F955" s="70" t="s">
        <v>2890</v>
      </c>
      <c r="G955" s="68" t="s">
        <v>239</v>
      </c>
      <c r="H955" s="59" t="s">
        <v>3608</v>
      </c>
      <c r="I955" s="69" t="s">
        <v>3609</v>
      </c>
      <c r="J955" s="69"/>
      <c r="K955" s="95" t="s">
        <v>24</v>
      </c>
      <c r="L955" s="69" t="s">
        <v>120</v>
      </c>
      <c r="M955" s="71" t="s">
        <v>141</v>
      </c>
      <c r="N955" s="69" t="e" vm="1">
        <v>#VALUE!</v>
      </c>
      <c r="O955" s="84">
        <v>45063</v>
      </c>
      <c r="P955" s="82" t="s">
        <v>2779</v>
      </c>
      <c r="Q955" s="72" t="s">
        <v>259</v>
      </c>
      <c r="R955" s="162"/>
      <c r="S955" s="69" t="s">
        <v>3610</v>
      </c>
      <c r="T955" s="68" t="s">
        <v>165</v>
      </c>
      <c r="U955" s="87"/>
      <c r="V955" s="80">
        <v>45078</v>
      </c>
      <c r="W955" s="73">
        <v>160</v>
      </c>
      <c r="X955" s="73">
        <f>160*36000/1000000</f>
        <v>5.76</v>
      </c>
      <c r="Y955" s="83">
        <f>IF(SUM(W955:W955)&gt;0,X955/SUM(W955:W955)*1000000,"N/A")</f>
        <v>36000</v>
      </c>
      <c r="Z955" s="80"/>
      <c r="AA955" s="80"/>
      <c r="AB955" s="73"/>
      <c r="AC955" s="153"/>
      <c r="AD955" s="331"/>
      <c r="AE955" s="57"/>
      <c r="AF955" s="88"/>
      <c r="AG955" s="182">
        <f>YEAR(V955)</f>
        <v>2023</v>
      </c>
      <c r="AH955" s="86" t="str">
        <f>+IF(AF955=$AI$22,MONTH(U955),"")</f>
        <v/>
      </c>
      <c r="AI955" s="86" t="str">
        <f>+IF(AG955=$AI$22,MONTH(V955),"")</f>
        <v/>
      </c>
      <c r="AJ955" s="86" t="str">
        <f>+IF(AG955=$AJ$22,MONTH(V955),"")</f>
        <v/>
      </c>
      <c r="AK955" s="86">
        <f>+IF(AG955=$AK$22,MONTH(V955),"")</f>
        <v>6</v>
      </c>
      <c r="AL955" s="86" t="str">
        <f>+IF(AG955=$AL$22,MONTH(V955),"")</f>
        <v/>
      </c>
      <c r="AM955" s="86" t="str">
        <f>+IF($AG955=$AM$22,MONTH($D955),"")</f>
        <v/>
      </c>
      <c r="AN955" s="89" t="str">
        <f>+IF($AG955=AN$22,MONTH($D955),"")</f>
        <v/>
      </c>
      <c r="AO955" s="89" t="str">
        <f>+IF($AG955=AO$22,MONTH($D955),"")</f>
        <v/>
      </c>
      <c r="AP955" s="89" t="str">
        <f>+IF($AG955=AP$22,MONTH($D955),"")</f>
        <v/>
      </c>
      <c r="AQ955" s="89" t="str">
        <f>+IF($AG955=AQ$22,MONTH($D955),"")</f>
        <v/>
      </c>
      <c r="AR955" s="89" t="str">
        <f>+IF($AG955=AR$22,MONTH($D955),"")</f>
        <v/>
      </c>
      <c r="AS955" s="89" t="str">
        <f>+IF($AG955=AS$22,MONTH($D955),"")</f>
        <v/>
      </c>
      <c r="AT955" s="89" t="str">
        <f>+IF($AG955=AT$22,MONTH($D955),"")</f>
        <v/>
      </c>
      <c r="AU955" s="89" t="str">
        <f>+IF($AG955=AU$22,MONTH($D955),"")</f>
        <v/>
      </c>
      <c r="AV955" s="89" t="str">
        <f>+IF($AG955=AV$22,MONTH($D955),"")</f>
        <v/>
      </c>
      <c r="AW955" s="86" t="str">
        <f>+IF($AG955=AW$22,MONTH($D955),"")</f>
        <v/>
      </c>
      <c r="AX955" s="86" t="str">
        <f>+IF($AG955=AX$22,MONTH($D955),"")</f>
        <v/>
      </c>
      <c r="AY955" s="89"/>
      <c r="AZ955" s="89"/>
      <c r="BA955" s="89"/>
      <c r="BB955" s="89"/>
      <c r="BC955" s="89"/>
      <c r="BD955" s="89"/>
      <c r="BE955" s="89"/>
      <c r="BF955" s="89"/>
      <c r="BG955" s="89"/>
      <c r="BH955" s="89"/>
      <c r="BI955" s="89"/>
      <c r="BJ955" s="89"/>
      <c r="BK955" s="89"/>
      <c r="BL955" s="89"/>
      <c r="BM955" s="89"/>
      <c r="BN955" s="89"/>
      <c r="BO955" s="89"/>
      <c r="BP955" s="89"/>
    </row>
    <row r="956" spans="1:68" s="56" customFormat="1" ht="27" hidden="1">
      <c r="A956" s="204" t="str">
        <f>+IFERROR(VALUE(MID(AB956,4,4)),"")</f>
        <v/>
      </c>
      <c r="B956" s="204">
        <f>VALUE(RIGHT(C956,LEN(C956)-2))</f>
        <v>1767</v>
      </c>
      <c r="C956" s="74" t="s">
        <v>3611</v>
      </c>
      <c r="D956" s="75">
        <v>45061</v>
      </c>
      <c r="E956" s="70" t="s">
        <v>3584</v>
      </c>
      <c r="F956" s="70" t="s">
        <v>479</v>
      </c>
      <c r="G956" s="68" t="s">
        <v>3612</v>
      </c>
      <c r="H956" s="59" t="s">
        <v>3613</v>
      </c>
      <c r="I956" s="69" t="s">
        <v>3614</v>
      </c>
      <c r="J956" s="69"/>
      <c r="K956" s="68" t="s">
        <v>9</v>
      </c>
      <c r="L956" s="69" t="s">
        <v>120</v>
      </c>
      <c r="M956" s="71" t="s">
        <v>113</v>
      </c>
      <c r="N956" s="69" t="e" vm="2">
        <v>#VALUE!</v>
      </c>
      <c r="O956" s="84">
        <v>45064</v>
      </c>
      <c r="P956" s="72" t="s">
        <v>749</v>
      </c>
      <c r="Q956" s="72" t="s">
        <v>229</v>
      </c>
      <c r="R956" s="162"/>
      <c r="S956" s="146"/>
      <c r="T956" s="68" t="s">
        <v>165</v>
      </c>
      <c r="U956" s="87"/>
      <c r="V956" s="80">
        <v>45065</v>
      </c>
      <c r="W956" s="73">
        <v>891</v>
      </c>
      <c r="X956" s="73">
        <v>22.7</v>
      </c>
      <c r="Y956" s="83">
        <f>IF(SUM(W956:W956)&gt;0,X956/SUM(W956:W956)*1000000,"N/A")</f>
        <v>25476.992143658812</v>
      </c>
      <c r="Z956" s="80"/>
      <c r="AA956" s="80"/>
      <c r="AB956" s="73"/>
      <c r="AC956" s="153"/>
      <c r="AD956" s="331"/>
      <c r="AE956" s="57"/>
      <c r="AF956" s="88"/>
      <c r="AG956" s="182">
        <f>YEAR(V956)</f>
        <v>2023</v>
      </c>
      <c r="AH956" s="86" t="str">
        <f>+IF(AF956=$AI$22,MONTH(U956),"")</f>
        <v/>
      </c>
      <c r="AI956" s="86" t="str">
        <f>+IF(AG956=$AI$22,MONTH(V956),"")</f>
        <v/>
      </c>
      <c r="AJ956" s="86" t="str">
        <f>+IF(AG956=$AJ$22,MONTH(V956),"")</f>
        <v/>
      </c>
      <c r="AK956" s="86">
        <f>+IF(AG956=$AK$22,MONTH(V956),"")</f>
        <v>5</v>
      </c>
      <c r="AL956" s="86" t="str">
        <f>+IF(AG956=$AL$22,MONTH(V956),"")</f>
        <v/>
      </c>
      <c r="AM956" s="86" t="str">
        <f>+IF($AG956=$AM$22,MONTH($D956),"")</f>
        <v/>
      </c>
      <c r="AN956" s="89" t="str">
        <f>+IF($AG956=AN$22,MONTH($D956),"")</f>
        <v/>
      </c>
      <c r="AO956" s="89" t="str">
        <f>+IF($AG956=AO$22,MONTH($D956),"")</f>
        <v/>
      </c>
      <c r="AP956" s="89" t="str">
        <f>+IF($AG956=AP$22,MONTH($D956),"")</f>
        <v/>
      </c>
      <c r="AQ956" s="89" t="str">
        <f>+IF($AG956=AQ$22,MONTH($D956),"")</f>
        <v/>
      </c>
      <c r="AR956" s="89" t="str">
        <f>+IF($AG956=AR$22,MONTH($D956),"")</f>
        <v/>
      </c>
      <c r="AS956" s="89" t="str">
        <f>+IF($AG956=AS$22,MONTH($D956),"")</f>
        <v/>
      </c>
      <c r="AT956" s="89" t="str">
        <f>+IF($AG956=AT$22,MONTH($D956),"")</f>
        <v/>
      </c>
      <c r="AU956" s="89" t="str">
        <f>+IF($AG956=AU$22,MONTH($D956),"")</f>
        <v/>
      </c>
      <c r="AV956" s="89" t="str">
        <f>+IF($AG956=AV$22,MONTH($D956),"")</f>
        <v/>
      </c>
      <c r="AW956" s="86" t="str">
        <f>+IF($AG956=AW$22,MONTH($D956),"")</f>
        <v/>
      </c>
      <c r="AX956" s="86" t="str">
        <f>+IF($AG956=AX$22,MONTH($D956),"")</f>
        <v/>
      </c>
      <c r="AY956" s="89"/>
      <c r="AZ956" s="89"/>
      <c r="BA956" s="89"/>
      <c r="BB956" s="89"/>
      <c r="BC956" s="89"/>
      <c r="BD956" s="89"/>
      <c r="BE956" s="89"/>
      <c r="BF956" s="89"/>
      <c r="BG956" s="89"/>
      <c r="BH956" s="89"/>
      <c r="BI956" s="89"/>
      <c r="BJ956" s="89"/>
      <c r="BK956" s="89"/>
      <c r="BL956" s="89"/>
      <c r="BM956" s="89"/>
      <c r="BN956" s="89"/>
      <c r="BO956" s="89"/>
      <c r="BP956" s="89"/>
    </row>
    <row r="957" spans="1:68" s="56" customFormat="1" ht="40.5" hidden="1">
      <c r="A957" s="204" t="str">
        <f>+IFERROR(VALUE(MID(AB957,4,4)),"")</f>
        <v/>
      </c>
      <c r="B957" s="204">
        <f>VALUE(RIGHT(C957,LEN(C957)-2))</f>
        <v>1766</v>
      </c>
      <c r="C957" s="74" t="s">
        <v>3615</v>
      </c>
      <c r="D957" s="75">
        <v>45061</v>
      </c>
      <c r="E957" s="70" t="s">
        <v>2638</v>
      </c>
      <c r="F957" s="70" t="s">
        <v>3616</v>
      </c>
      <c r="G957" s="68" t="s">
        <v>3617</v>
      </c>
      <c r="H957" s="59" t="s">
        <v>3618</v>
      </c>
      <c r="I957" s="69" t="s">
        <v>3619</v>
      </c>
      <c r="J957" s="69"/>
      <c r="K957" s="68" t="s">
        <v>13</v>
      </c>
      <c r="L957" s="69" t="s">
        <v>120</v>
      </c>
      <c r="M957" s="71" t="s">
        <v>141</v>
      </c>
      <c r="N957" s="69" t="e" vm="1">
        <v>#VALUE!</v>
      </c>
      <c r="O957" s="84">
        <v>45100</v>
      </c>
      <c r="P957" s="72" t="s">
        <v>1629</v>
      </c>
      <c r="Q957" s="72" t="s">
        <v>316</v>
      </c>
      <c r="R957" s="162"/>
      <c r="S957" s="146" t="s">
        <v>3620</v>
      </c>
      <c r="T957" s="68" t="s">
        <v>155</v>
      </c>
      <c r="U957" s="87"/>
      <c r="V957" s="80">
        <v>45063</v>
      </c>
      <c r="W957" s="73"/>
      <c r="X957" s="73"/>
      <c r="Y957" s="83" t="str">
        <f>IF(SUM(W957:W957)&gt;0,X957/SUM(W957:W957)*1000000,"N/A")</f>
        <v>N/A</v>
      </c>
      <c r="Z957" s="80"/>
      <c r="AA957" s="80"/>
      <c r="AB957" s="73"/>
      <c r="AC957" s="153"/>
      <c r="AD957" s="331"/>
      <c r="AE957" s="57"/>
      <c r="AF957" s="88"/>
      <c r="AG957" s="182">
        <f>YEAR(V957)</f>
        <v>2023</v>
      </c>
      <c r="AH957" s="86" t="str">
        <f>+IF(AF957=$AI$22,MONTH(U957),"")</f>
        <v/>
      </c>
      <c r="AI957" s="86" t="str">
        <f>+IF(AG957=$AI$22,MONTH(V957),"")</f>
        <v/>
      </c>
      <c r="AJ957" s="86" t="str">
        <f>+IF(AG957=$AJ$22,MONTH(V957),"")</f>
        <v/>
      </c>
      <c r="AK957" s="86">
        <f>+IF(AG957=$AK$22,MONTH(V957),"")</f>
        <v>5</v>
      </c>
      <c r="AL957" s="86" t="str">
        <f>+IF(AG957=$AL$22,MONTH(V957),"")</f>
        <v/>
      </c>
      <c r="AM957" s="86" t="str">
        <f>+IF($AG957=$AM$22,MONTH($D957),"")</f>
        <v/>
      </c>
      <c r="AN957" s="89" t="str">
        <f>+IF($AG957=AN$22,MONTH($D957),"")</f>
        <v/>
      </c>
      <c r="AO957" s="89" t="str">
        <f>+IF($AG957=AO$22,MONTH($D957),"")</f>
        <v/>
      </c>
      <c r="AP957" s="89" t="str">
        <f>+IF($AG957=AP$22,MONTH($D957),"")</f>
        <v/>
      </c>
      <c r="AQ957" s="89" t="str">
        <f>+IF($AG957=AQ$22,MONTH($D957),"")</f>
        <v/>
      </c>
      <c r="AR957" s="89" t="str">
        <f>+IF($AG957=AR$22,MONTH($D957),"")</f>
        <v/>
      </c>
      <c r="AS957" s="89" t="str">
        <f>+IF($AG957=AS$22,MONTH($D957),"")</f>
        <v/>
      </c>
      <c r="AT957" s="89" t="str">
        <f>+IF($AG957=AT$22,MONTH($D957),"")</f>
        <v/>
      </c>
      <c r="AU957" s="89" t="str">
        <f>+IF($AG957=AU$22,MONTH($D957),"")</f>
        <v/>
      </c>
      <c r="AV957" s="89" t="str">
        <f>+IF($AG957=AV$22,MONTH($D957),"")</f>
        <v/>
      </c>
      <c r="AW957" s="86" t="str">
        <f>+IF($AG957=AW$22,MONTH($D957),"")</f>
        <v/>
      </c>
      <c r="AX957" s="86" t="str">
        <f>+IF($AG957=AX$22,MONTH($D957),"")</f>
        <v/>
      </c>
      <c r="AY957" s="89"/>
      <c r="AZ957" s="89"/>
      <c r="BA957" s="89"/>
      <c r="BB957" s="89"/>
      <c r="BC957" s="89"/>
      <c r="BD957" s="89"/>
      <c r="BE957" s="89"/>
      <c r="BF957" s="89"/>
      <c r="BG957" s="89"/>
      <c r="BH957" s="89"/>
      <c r="BI957" s="89"/>
      <c r="BJ957" s="89"/>
      <c r="BK957" s="89"/>
      <c r="BL957" s="89"/>
      <c r="BM957" s="89"/>
      <c r="BN957" s="89"/>
      <c r="BO957" s="89"/>
      <c r="BP957" s="89"/>
    </row>
    <row r="958" spans="1:68" s="56" customFormat="1" ht="21.75" hidden="1" customHeight="1">
      <c r="A958" s="204" t="str">
        <f>+IFERROR(VALUE(MID(AB958,4,4)),"")</f>
        <v/>
      </c>
      <c r="B958" s="204">
        <f>VALUE(RIGHT(C958,LEN(C958)-2))</f>
        <v>1765</v>
      </c>
      <c r="C958" s="74" t="s">
        <v>3621</v>
      </c>
      <c r="D958" s="75">
        <v>45061</v>
      </c>
      <c r="E958" s="70" t="s">
        <v>2767</v>
      </c>
      <c r="F958" s="70" t="s">
        <v>2767</v>
      </c>
      <c r="G958" s="68" t="s">
        <v>2059</v>
      </c>
      <c r="H958" s="59"/>
      <c r="I958" s="69" t="s">
        <v>3622</v>
      </c>
      <c r="J958" s="69"/>
      <c r="K958" s="68" t="s">
        <v>13</v>
      </c>
      <c r="L958" s="69" t="s">
        <v>120</v>
      </c>
      <c r="M958" s="71" t="s">
        <v>113</v>
      </c>
      <c r="N958" s="69" t="e" vm="2">
        <v>#VALUE!</v>
      </c>
      <c r="O958" s="84">
        <v>45366</v>
      </c>
      <c r="P958" s="72" t="s">
        <v>483</v>
      </c>
      <c r="Q958" s="72" t="s">
        <v>316</v>
      </c>
      <c r="R958" s="162"/>
      <c r="S958" s="146" t="s">
        <v>3623</v>
      </c>
      <c r="T958" s="68" t="s">
        <v>165</v>
      </c>
      <c r="U958" s="87"/>
      <c r="V958" s="80">
        <v>45366</v>
      </c>
      <c r="W958" s="73">
        <v>731</v>
      </c>
      <c r="X958" s="73">
        <v>25.5</v>
      </c>
      <c r="Y958" s="83">
        <f>IF(SUM(W958:W958)&gt;0,X958/SUM(W958:W958)*1000000,"N/A")</f>
        <v>34883.720930232557</v>
      </c>
      <c r="Z958" s="80"/>
      <c r="AA958" s="80"/>
      <c r="AB958" s="73"/>
      <c r="AC958" s="153">
        <v>45571</v>
      </c>
      <c r="AD958" s="331"/>
      <c r="AE958" s="57"/>
      <c r="AF958" s="88"/>
      <c r="AG958" s="182">
        <f>YEAR(V958)</f>
        <v>2024</v>
      </c>
      <c r="AH958" s="86" t="str">
        <f>+IF(AF958=$AI$22,MONTH(U958),"")</f>
        <v/>
      </c>
      <c r="AI958" s="86" t="str">
        <f>+IF(AG958=$AI$22,MONTH(V958),"")</f>
        <v/>
      </c>
      <c r="AJ958" s="86">
        <f>+IF(AG958=$AJ$22,MONTH(V958),"")</f>
        <v>3</v>
      </c>
      <c r="AK958" s="86" t="str">
        <f>+IF(AG958=$AK$22,MONTH(V958),"")</f>
        <v/>
      </c>
      <c r="AL958" s="86" t="str">
        <f>+IF(AG958=$AL$22,MONTH(V958),"")</f>
        <v/>
      </c>
      <c r="AM958" s="86" t="str">
        <f>+IF($AG958=$AM$22,MONTH($D958),"")</f>
        <v/>
      </c>
      <c r="AN958" s="89" t="str">
        <f>+IF($AG958=AN$22,MONTH($D958),"")</f>
        <v/>
      </c>
      <c r="AO958" s="89" t="str">
        <f>+IF($AG958=AO$22,MONTH($D958),"")</f>
        <v/>
      </c>
      <c r="AP958" s="89" t="str">
        <f>+IF($AG958=AP$22,MONTH($D958),"")</f>
        <v/>
      </c>
      <c r="AQ958" s="89" t="str">
        <f>+IF($AG958=AQ$22,MONTH($D958),"")</f>
        <v/>
      </c>
      <c r="AR958" s="89" t="str">
        <f>+IF($AG958=AR$22,MONTH($D958),"")</f>
        <v/>
      </c>
      <c r="AS958" s="89" t="str">
        <f>+IF($AG958=AS$22,MONTH($D958),"")</f>
        <v/>
      </c>
      <c r="AT958" s="89" t="str">
        <f>+IF($AG958=AT$22,MONTH($D958),"")</f>
        <v/>
      </c>
      <c r="AU958" s="89" t="str">
        <f>+IF($AG958=AU$22,MONTH($D958),"")</f>
        <v/>
      </c>
      <c r="AV958" s="89" t="str">
        <f>+IF($AG958=AV$22,MONTH($D958),"")</f>
        <v/>
      </c>
      <c r="AW958" s="86" t="str">
        <f>+IF($AG958=AW$22,MONTH($D958),"")</f>
        <v/>
      </c>
      <c r="AX958" s="86" t="str">
        <f>+IF($AG958=AX$22,MONTH($D958),"")</f>
        <v/>
      </c>
      <c r="AY958" s="89"/>
      <c r="AZ958" s="89"/>
      <c r="BA958" s="89"/>
      <c r="BB958" s="89"/>
      <c r="BC958" s="89"/>
      <c r="BD958" s="89"/>
      <c r="BE958" s="89"/>
      <c r="BF958" s="89"/>
      <c r="BG958" s="89"/>
      <c r="BH958" s="89"/>
      <c r="BI958" s="89"/>
      <c r="BJ958" s="89"/>
      <c r="BK958" s="89"/>
      <c r="BL958" s="89"/>
      <c r="BM958" s="89"/>
      <c r="BN958" s="89"/>
      <c r="BO958" s="89"/>
      <c r="BP958" s="89"/>
    </row>
    <row r="959" spans="1:68" s="56" customFormat="1" ht="94.5" hidden="1">
      <c r="A959" s="204" t="str">
        <f>+IFERROR(VALUE(MID(AB959,4,4)),"")</f>
        <v/>
      </c>
      <c r="B959" s="204">
        <f>VALUE(RIGHT(C959,LEN(C959)-2))</f>
        <v>1764</v>
      </c>
      <c r="C959" s="74" t="s">
        <v>3624</v>
      </c>
      <c r="D959" s="75">
        <v>45057</v>
      </c>
      <c r="E959" s="70" t="s">
        <v>53</v>
      </c>
      <c r="F959" s="70" t="s">
        <v>53</v>
      </c>
      <c r="G959" s="68" t="s">
        <v>210</v>
      </c>
      <c r="H959" s="59"/>
      <c r="I959" s="69" t="s">
        <v>3625</v>
      </c>
      <c r="J959" s="69"/>
      <c r="K959" s="68" t="s">
        <v>212</v>
      </c>
      <c r="L959" s="69" t="s">
        <v>123</v>
      </c>
      <c r="M959" s="71" t="s">
        <v>141</v>
      </c>
      <c r="N959" s="69" t="e" vm="1">
        <v>#VALUE!</v>
      </c>
      <c r="O959" s="84">
        <v>45104</v>
      </c>
      <c r="P959" s="72" t="s">
        <v>701</v>
      </c>
      <c r="Q959" s="72" t="s">
        <v>405</v>
      </c>
      <c r="R959" s="162"/>
      <c r="S959" s="146" t="s">
        <v>3626</v>
      </c>
      <c r="T959" s="68" t="s">
        <v>168</v>
      </c>
      <c r="U959" s="87"/>
      <c r="V959" s="80">
        <v>45314</v>
      </c>
      <c r="W959" s="73"/>
      <c r="X959" s="73"/>
      <c r="Y959" s="83" t="str">
        <f>IF(SUM(W959:W959)&gt;0,X959/SUM(W959:W959)*1000000,"N/A")</f>
        <v>N/A</v>
      </c>
      <c r="Z959" s="80"/>
      <c r="AA959" s="80"/>
      <c r="AB959" s="73"/>
      <c r="AC959" s="153">
        <v>45153</v>
      </c>
      <c r="AD959" s="331"/>
      <c r="AE959" s="57"/>
      <c r="AF959" s="88"/>
      <c r="AG959" s="182">
        <f>YEAR(V959)</f>
        <v>2024</v>
      </c>
      <c r="AH959" s="86" t="str">
        <f>+IF(AF959=$AI$22,MONTH(U959),"")</f>
        <v/>
      </c>
      <c r="AI959" s="86" t="str">
        <f>+IF(AG959=$AI$22,MONTH(V959),"")</f>
        <v/>
      </c>
      <c r="AJ959" s="86">
        <f>+IF(AG959=$AJ$22,MONTH(V959),"")</f>
        <v>1</v>
      </c>
      <c r="AK959" s="86" t="str">
        <f>+IF(AG959=$AK$22,MONTH(V959),"")</f>
        <v/>
      </c>
      <c r="AL959" s="86"/>
      <c r="AM959" s="89"/>
      <c r="AN959" s="89"/>
      <c r="AO959" s="89"/>
      <c r="AP959" s="89"/>
      <c r="AQ959" s="89"/>
      <c r="AR959" s="89"/>
      <c r="AS959" s="89"/>
      <c r="AT959" s="89"/>
      <c r="AU959" s="89"/>
      <c r="AV959" s="89"/>
      <c r="AW959" s="86" t="str">
        <f>+IF($AG959=AW$22,MONTH($D959),"")</f>
        <v/>
      </c>
      <c r="AX959" s="86" t="str">
        <f>+IF($AG959=AX$22,MONTH($D959),"")</f>
        <v/>
      </c>
      <c r="AY959" s="89"/>
      <c r="AZ959" s="89"/>
      <c r="BA959" s="89"/>
      <c r="BB959" s="89"/>
      <c r="BC959" s="89"/>
      <c r="BD959" s="89"/>
      <c r="BE959" s="89"/>
      <c r="BF959" s="89"/>
      <c r="BG959" s="89"/>
      <c r="BH959" s="89"/>
      <c r="BI959" s="89"/>
      <c r="BJ959" s="89"/>
      <c r="BK959" s="89"/>
      <c r="BL959" s="89"/>
      <c r="BM959" s="89"/>
      <c r="BN959" s="89"/>
      <c r="BO959" s="89"/>
      <c r="BP959" s="89"/>
    </row>
    <row r="960" spans="1:68" s="56" customFormat="1" ht="27" hidden="1">
      <c r="A960" s="204">
        <f>+IFERROR(VALUE(MID(AB960,4,4)),"")</f>
        <v>274</v>
      </c>
      <c r="B960" s="204">
        <f>VALUE(RIGHT(C960,LEN(C960)-2))</f>
        <v>1763</v>
      </c>
      <c r="C960" s="74" t="s">
        <v>3627</v>
      </c>
      <c r="D960" s="75">
        <v>45044</v>
      </c>
      <c r="E960" s="70" t="s">
        <v>1054</v>
      </c>
      <c r="F960" s="70" t="s">
        <v>252</v>
      </c>
      <c r="G960" s="68" t="s">
        <v>1055</v>
      </c>
      <c r="H960" s="59" t="s">
        <v>1056</v>
      </c>
      <c r="I960" s="69" t="s">
        <v>3628</v>
      </c>
      <c r="J960" s="69"/>
      <c r="K960" s="68" t="s">
        <v>45</v>
      </c>
      <c r="L960" s="69" t="s">
        <v>129</v>
      </c>
      <c r="M960" s="71" t="s">
        <v>141</v>
      </c>
      <c r="N960" s="69" t="e" vm="1">
        <v>#VALUE!</v>
      </c>
      <c r="O960" s="84">
        <v>45055</v>
      </c>
      <c r="P960" s="72" t="s">
        <v>3629</v>
      </c>
      <c r="Q960" s="82" t="s">
        <v>623</v>
      </c>
      <c r="R960" s="69"/>
      <c r="S960" s="146"/>
      <c r="T960" s="68" t="s">
        <v>3</v>
      </c>
      <c r="U960" s="87"/>
      <c r="V960" s="80">
        <v>45062</v>
      </c>
      <c r="W960" s="73">
        <v>700</v>
      </c>
      <c r="X960" s="73">
        <v>17.3</v>
      </c>
      <c r="Y960" s="83">
        <f>IF(SUM(W960:W960)&gt;0,X960/SUM(W960:W960)*1000000,"N/A")</f>
        <v>24714.285714285717</v>
      </c>
      <c r="Z960" s="80"/>
      <c r="AA960" s="80"/>
      <c r="AB960" s="73" t="s">
        <v>3630</v>
      </c>
      <c r="AC960" s="153"/>
      <c r="AD960" s="331"/>
      <c r="AE960" s="57"/>
      <c r="AF960" s="88"/>
      <c r="AG960" s="182">
        <f>YEAR(V960)</f>
        <v>2023</v>
      </c>
      <c r="AH960" s="86" t="str">
        <f>+IF(AF960=$AI$22,MONTH(U960),"")</f>
        <v/>
      </c>
      <c r="AI960" s="86" t="str">
        <f>+IF(AG960=$AI$22,MONTH(V960),"")</f>
        <v/>
      </c>
      <c r="AJ960" s="86" t="str">
        <f>+IF(AG960=$AJ$22,MONTH(V960),"")</f>
        <v/>
      </c>
      <c r="AK960" s="86">
        <f>+IF(AG960=$AK$22,MONTH(V960),"")</f>
        <v>5</v>
      </c>
      <c r="AL960" s="86" t="str">
        <f>+IF(AG960=$AL$22,MONTH(V960),"")</f>
        <v/>
      </c>
      <c r="AM960" s="86" t="str">
        <f>+IF($AG960=$AM$22,MONTH($D960),"")</f>
        <v/>
      </c>
      <c r="AN960" s="89" t="str">
        <f>+IF($AG960=AN$22,MONTH($D960),"")</f>
        <v/>
      </c>
      <c r="AO960" s="89" t="str">
        <f>+IF($AG960=AO$22,MONTH($D960),"")</f>
        <v/>
      </c>
      <c r="AP960" s="89" t="str">
        <f>+IF($AG960=AP$22,MONTH($D960),"")</f>
        <v/>
      </c>
      <c r="AQ960" s="89" t="str">
        <f>+IF($AG960=AQ$22,MONTH($D960),"")</f>
        <v/>
      </c>
      <c r="AR960" s="89" t="str">
        <f>+IF($AG960=AR$22,MONTH($D960),"")</f>
        <v/>
      </c>
      <c r="AS960" s="89" t="str">
        <f>+IF($AG960=AS$22,MONTH($D960),"")</f>
        <v/>
      </c>
      <c r="AT960" s="89" t="str">
        <f>+IF($AG960=AT$22,MONTH($D960),"")</f>
        <v/>
      </c>
      <c r="AU960" s="89" t="str">
        <f>+IF($AG960=AU$22,MONTH($D960),"")</f>
        <v/>
      </c>
      <c r="AV960" s="89" t="str">
        <f>+IF($AG960=AV$22,MONTH($D960),"")</f>
        <v/>
      </c>
      <c r="AW960" s="86" t="str">
        <f>+IF($AG960=AW$22,MONTH($D960),"")</f>
        <v/>
      </c>
      <c r="AX960" s="86" t="str">
        <f>+IF($AG960=AX$22,MONTH($D960),"")</f>
        <v/>
      </c>
      <c r="AY960" s="89"/>
      <c r="AZ960" s="89"/>
      <c r="BA960" s="89"/>
      <c r="BB960" s="89"/>
      <c r="BC960" s="89"/>
      <c r="BD960" s="89"/>
      <c r="BE960" s="89"/>
      <c r="BF960" s="89"/>
      <c r="BG960" s="89"/>
      <c r="BH960" s="89"/>
      <c r="BI960" s="89"/>
      <c r="BJ960" s="89"/>
      <c r="BK960" s="89"/>
      <c r="BL960" s="89"/>
      <c r="BM960" s="89"/>
      <c r="BN960" s="89"/>
      <c r="BO960" s="89"/>
      <c r="BP960" s="89"/>
    </row>
    <row r="961" spans="1:68" s="56" customFormat="1" ht="27" hidden="1">
      <c r="A961" s="204">
        <f>+IFERROR(VALUE(MID(AB961,4,4)),"")</f>
        <v>274</v>
      </c>
      <c r="B961" s="204">
        <f>VALUE(RIGHT(C961,LEN(C961)-2))</f>
        <v>1762</v>
      </c>
      <c r="C961" s="74" t="s">
        <v>3631</v>
      </c>
      <c r="D961" s="75">
        <v>45043</v>
      </c>
      <c r="E961" s="70" t="s">
        <v>1054</v>
      </c>
      <c r="F961" s="70" t="s">
        <v>252</v>
      </c>
      <c r="G961" s="68" t="s">
        <v>1055</v>
      </c>
      <c r="H961" s="59" t="s">
        <v>1056</v>
      </c>
      <c r="I961" s="69" t="s">
        <v>3632</v>
      </c>
      <c r="J961" s="69"/>
      <c r="K961" s="68" t="s">
        <v>13</v>
      </c>
      <c r="L961" s="69" t="s">
        <v>129</v>
      </c>
      <c r="M961" s="71" t="s">
        <v>141</v>
      </c>
      <c r="N961" s="69" t="e" vm="1">
        <v>#VALUE!</v>
      </c>
      <c r="O961" s="84">
        <v>45055</v>
      </c>
      <c r="P961" s="72" t="s">
        <v>3629</v>
      </c>
      <c r="Q961" s="82" t="s">
        <v>623</v>
      </c>
      <c r="R961" s="69"/>
      <c r="S961" s="146"/>
      <c r="T961" s="68" t="s">
        <v>3</v>
      </c>
      <c r="U961" s="87"/>
      <c r="V961" s="80">
        <v>45055</v>
      </c>
      <c r="W961" s="73">
        <v>255</v>
      </c>
      <c r="X961" s="73">
        <v>5.6</v>
      </c>
      <c r="Y961" s="83">
        <f>IF(SUM(W961:W961)&gt;0,X961/SUM(W961:W961)*1000000,"N/A")</f>
        <v>21960.784313725486</v>
      </c>
      <c r="Z961" s="80"/>
      <c r="AA961" s="80"/>
      <c r="AB961" s="73" t="s">
        <v>3633</v>
      </c>
      <c r="AC961" s="153"/>
      <c r="AD961" s="331"/>
      <c r="AE961" s="57"/>
      <c r="AF961" s="88"/>
      <c r="AG961" s="182">
        <f>YEAR(V961)</f>
        <v>2023</v>
      </c>
      <c r="AH961" s="86" t="str">
        <f>+IF(AF961=$AI$22,MONTH(U961),"")</f>
        <v/>
      </c>
      <c r="AI961" s="86" t="str">
        <f>+IF(AG961=$AI$22,MONTH(V961),"")</f>
        <v/>
      </c>
      <c r="AJ961" s="86" t="str">
        <f>+IF(AG961=$AJ$22,MONTH(V961),"")</f>
        <v/>
      </c>
      <c r="AK961" s="86">
        <f>+IF(AG961=$AK$22,MONTH(V961),"")</f>
        <v>5</v>
      </c>
      <c r="AL961" s="86" t="str">
        <f>+IF(AG961=$AL$22,MONTH(V961),"")</f>
        <v/>
      </c>
      <c r="AM961" s="86" t="str">
        <f>+IF($AG961=$AM$22,MONTH($D961),"")</f>
        <v/>
      </c>
      <c r="AN961" s="89" t="str">
        <f>+IF($AG961=AN$22,MONTH($D961),"")</f>
        <v/>
      </c>
      <c r="AO961" s="89" t="str">
        <f>+IF($AG961=AO$22,MONTH($D961),"")</f>
        <v/>
      </c>
      <c r="AP961" s="89" t="str">
        <f>+IF($AG961=AP$22,MONTH($D961),"")</f>
        <v/>
      </c>
      <c r="AQ961" s="89" t="str">
        <f>+IF($AG961=AQ$22,MONTH($D961),"")</f>
        <v/>
      </c>
      <c r="AR961" s="89" t="str">
        <f>+IF($AG961=AR$22,MONTH($D961),"")</f>
        <v/>
      </c>
      <c r="AS961" s="89" t="str">
        <f>+IF($AG961=AS$22,MONTH($D961),"")</f>
        <v/>
      </c>
      <c r="AT961" s="89" t="str">
        <f>+IF($AG961=AT$22,MONTH($D961),"")</f>
        <v/>
      </c>
      <c r="AU961" s="89" t="str">
        <f>+IF($AG961=AU$22,MONTH($D961),"")</f>
        <v/>
      </c>
      <c r="AV961" s="89" t="str">
        <f>+IF($AG961=AV$22,MONTH($D961),"")</f>
        <v/>
      </c>
      <c r="AW961" s="86" t="str">
        <f>+IF($AG961=AW$22,MONTH($D961),"")</f>
        <v/>
      </c>
      <c r="AX961" s="86" t="str">
        <f>+IF($AG961=AX$22,MONTH($D961),"")</f>
        <v/>
      </c>
      <c r="AY961" s="89"/>
      <c r="AZ961" s="89"/>
      <c r="BA961" s="89"/>
      <c r="BB961" s="89"/>
      <c r="BC961" s="89"/>
      <c r="BD961" s="89"/>
      <c r="BE961" s="89"/>
      <c r="BF961" s="89"/>
      <c r="BG961" s="89"/>
      <c r="BH961" s="89"/>
      <c r="BI961" s="89"/>
      <c r="BJ961" s="89"/>
      <c r="BK961" s="89"/>
      <c r="BL961" s="89"/>
      <c r="BM961" s="89"/>
      <c r="BN961" s="89"/>
      <c r="BO961" s="89"/>
      <c r="BP961" s="89"/>
    </row>
    <row r="962" spans="1:68" s="56" customFormat="1" ht="13.5" hidden="1">
      <c r="A962" s="204">
        <f>+IFERROR(VALUE(MID(AB962,4,4)),"")</f>
        <v>337</v>
      </c>
      <c r="B962" s="204">
        <f>VALUE(RIGHT(C962,LEN(C962)-2))</f>
        <v>1761</v>
      </c>
      <c r="C962" s="74" t="s">
        <v>3634</v>
      </c>
      <c r="D962" s="75">
        <v>45055</v>
      </c>
      <c r="E962" s="70" t="s">
        <v>685</v>
      </c>
      <c r="F962" s="70" t="s">
        <v>685</v>
      </c>
      <c r="G962" s="68" t="s">
        <v>931</v>
      </c>
      <c r="H962" s="59" t="s">
        <v>2377</v>
      </c>
      <c r="I962" s="69" t="s">
        <v>870</v>
      </c>
      <c r="J962" s="69"/>
      <c r="K962" s="95" t="s">
        <v>9</v>
      </c>
      <c r="L962" s="69" t="s">
        <v>120</v>
      </c>
      <c r="M962" s="71" t="s">
        <v>141</v>
      </c>
      <c r="N962" s="69" t="e" vm="1">
        <v>#VALUE!</v>
      </c>
      <c r="O962" s="84">
        <v>45056</v>
      </c>
      <c r="P962" s="82" t="s">
        <v>749</v>
      </c>
      <c r="Q962" s="82" t="s">
        <v>623</v>
      </c>
      <c r="R962" s="69"/>
      <c r="S962" s="146"/>
      <c r="T962" s="68" t="s">
        <v>3</v>
      </c>
      <c r="U962" s="87"/>
      <c r="V962" s="80">
        <v>45056</v>
      </c>
      <c r="W962" s="73">
        <v>372</v>
      </c>
      <c r="X962" s="73">
        <v>19.399999999999999</v>
      </c>
      <c r="Y962" s="83">
        <f>IF(SUM(W962:W962)&gt;0,X962/SUM(W962:W962)*1000000,"N/A")</f>
        <v>52150.537634408596</v>
      </c>
      <c r="Z962" s="80"/>
      <c r="AA962" s="80"/>
      <c r="AB962" s="73" t="s">
        <v>3635</v>
      </c>
      <c r="AC962" s="153"/>
      <c r="AD962" s="331"/>
      <c r="AE962" s="57"/>
      <c r="AF962" s="88"/>
      <c r="AG962" s="182">
        <f>YEAR(V962)</f>
        <v>2023</v>
      </c>
      <c r="AH962" s="86" t="str">
        <f>+IF(AF962=$AI$22,MONTH(U962),"")</f>
        <v/>
      </c>
      <c r="AI962" s="86" t="str">
        <f>+IF(AG962=$AI$22,MONTH(V962),"")</f>
        <v/>
      </c>
      <c r="AJ962" s="86" t="str">
        <f>+IF(AG962=$AJ$22,MONTH(V962),"")</f>
        <v/>
      </c>
      <c r="AK962" s="86">
        <f>+IF(AG962=$AK$22,MONTH(V962),"")</f>
        <v>5</v>
      </c>
      <c r="AL962" s="86" t="str">
        <f>+IF(AG962=$AL$22,MONTH(V962),"")</f>
        <v/>
      </c>
      <c r="AM962" s="86" t="str">
        <f>+IF($AG962=$AM$22,MONTH($D962),"")</f>
        <v/>
      </c>
      <c r="AN962" s="89" t="str">
        <f>+IF($AG962=AN$22,MONTH($D962),"")</f>
        <v/>
      </c>
      <c r="AO962" s="89" t="str">
        <f>+IF($AG962=AO$22,MONTH($D962),"")</f>
        <v/>
      </c>
      <c r="AP962" s="89" t="str">
        <f>+IF($AG962=AP$22,MONTH($D962),"")</f>
        <v/>
      </c>
      <c r="AQ962" s="89" t="str">
        <f>+IF($AG962=AQ$22,MONTH($D962),"")</f>
        <v/>
      </c>
      <c r="AR962" s="89" t="str">
        <f>+IF($AG962=AR$22,MONTH($D962),"")</f>
        <v/>
      </c>
      <c r="AS962" s="89" t="str">
        <f>+IF($AG962=AS$22,MONTH($D962),"")</f>
        <v/>
      </c>
      <c r="AT962" s="89" t="str">
        <f>+IF($AG962=AT$22,MONTH($D962),"")</f>
        <v/>
      </c>
      <c r="AU962" s="89" t="str">
        <f>+IF($AG962=AU$22,MONTH($D962),"")</f>
        <v/>
      </c>
      <c r="AV962" s="89" t="str">
        <f>+IF($AG962=AV$22,MONTH($D962),"")</f>
        <v/>
      </c>
      <c r="AW962" s="86" t="str">
        <f>+IF($AG962=AW$22,MONTH($D962),"")</f>
        <v/>
      </c>
      <c r="AX962" s="86" t="str">
        <f>+IF($AG962=AX$22,MONTH($D962),"")</f>
        <v/>
      </c>
      <c r="AY962" s="89"/>
      <c r="AZ962" s="89"/>
      <c r="BA962" s="89"/>
      <c r="BB962" s="89"/>
      <c r="BC962" s="89"/>
      <c r="BD962" s="89"/>
      <c r="BE962" s="89"/>
      <c r="BF962" s="89"/>
      <c r="BG962" s="89"/>
      <c r="BH962" s="89"/>
      <c r="BI962" s="89"/>
      <c r="BJ962" s="89"/>
      <c r="BK962" s="89"/>
      <c r="BL962" s="89"/>
      <c r="BM962" s="89"/>
      <c r="BN962" s="89"/>
      <c r="BO962" s="89"/>
      <c r="BP962" s="89"/>
    </row>
    <row r="963" spans="1:68" s="56" customFormat="1" ht="13.5" hidden="1">
      <c r="A963" s="204">
        <f>+IFERROR(VALUE(MID(AB963,4,4)),"")</f>
        <v>352</v>
      </c>
      <c r="B963" s="204">
        <f>VALUE(RIGHT(C963,LEN(C963)-2))</f>
        <v>1760</v>
      </c>
      <c r="C963" s="74" t="s">
        <v>3636</v>
      </c>
      <c r="D963" s="75">
        <v>45047</v>
      </c>
      <c r="E963" s="70" t="s">
        <v>53</v>
      </c>
      <c r="F963" s="70" t="s">
        <v>1909</v>
      </c>
      <c r="G963" s="68" t="s">
        <v>210</v>
      </c>
      <c r="H963" s="59"/>
      <c r="I963" s="69" t="s">
        <v>3637</v>
      </c>
      <c r="J963" s="69"/>
      <c r="K963" s="68" t="s">
        <v>212</v>
      </c>
      <c r="L963" s="69" t="s">
        <v>123</v>
      </c>
      <c r="M963" s="71" t="s">
        <v>141</v>
      </c>
      <c r="N963" s="69" t="e" vm="1">
        <v>#VALUE!</v>
      </c>
      <c r="O963" s="84">
        <v>45078</v>
      </c>
      <c r="P963" s="72" t="s">
        <v>228</v>
      </c>
      <c r="Q963" s="72" t="s">
        <v>405</v>
      </c>
      <c r="R963" s="162"/>
      <c r="S963" s="146"/>
      <c r="T963" s="68" t="s">
        <v>3</v>
      </c>
      <c r="U963" s="87"/>
      <c r="V963" s="80">
        <v>45054</v>
      </c>
      <c r="W963" s="73"/>
      <c r="X963" s="73"/>
      <c r="Y963" s="83" t="str">
        <f>IF(SUM(W963:W963)&gt;0,X963/SUM(W963:W963)*1000000,"N/A")</f>
        <v>N/A</v>
      </c>
      <c r="Z963" s="80"/>
      <c r="AA963" s="80"/>
      <c r="AB963" s="73" t="s">
        <v>3638</v>
      </c>
      <c r="AC963" s="153"/>
      <c r="AD963" s="331"/>
      <c r="AE963" s="57"/>
      <c r="AF963" s="88"/>
      <c r="AG963" s="182">
        <f>YEAR(V963)</f>
        <v>2023</v>
      </c>
      <c r="AH963" s="86" t="str">
        <f>+IF(AF963=$AI$22,MONTH(U963),"")</f>
        <v/>
      </c>
      <c r="AI963" s="86" t="str">
        <f>+IF(AG963=$AI$22,MONTH(V963),"")</f>
        <v/>
      </c>
      <c r="AJ963" s="86" t="str">
        <f>+IF(AG963=$AJ$22,MONTH(V963),"")</f>
        <v/>
      </c>
      <c r="AK963" s="86">
        <f>+IF(AG963=$AK$22,MONTH(V963),"")</f>
        <v>5</v>
      </c>
      <c r="AL963" s="86"/>
      <c r="AM963" s="89"/>
      <c r="AN963" s="89"/>
      <c r="AO963" s="89"/>
      <c r="AP963" s="89"/>
      <c r="AQ963" s="89"/>
      <c r="AR963" s="89"/>
      <c r="AS963" s="89"/>
      <c r="AT963" s="89"/>
      <c r="AU963" s="89"/>
      <c r="AV963" s="89"/>
      <c r="AW963" s="86" t="str">
        <f>+IF($AG963=AW$22,MONTH($D963),"")</f>
        <v/>
      </c>
      <c r="AX963" s="86" t="str">
        <f>+IF($AG963=AX$22,MONTH($D963),"")</f>
        <v/>
      </c>
      <c r="AY963" s="89"/>
      <c r="AZ963" s="89"/>
      <c r="BA963" s="89"/>
      <c r="BB963" s="89"/>
      <c r="BC963" s="89"/>
      <c r="BD963" s="89"/>
      <c r="BE963" s="89"/>
      <c r="BF963" s="89"/>
      <c r="BG963" s="89"/>
      <c r="BH963" s="89"/>
      <c r="BI963" s="89"/>
      <c r="BJ963" s="89"/>
      <c r="BK963" s="89"/>
      <c r="BL963" s="89"/>
      <c r="BM963" s="89"/>
      <c r="BN963" s="89"/>
      <c r="BO963" s="89"/>
      <c r="BP963" s="89"/>
    </row>
    <row r="964" spans="1:68" s="56" customFormat="1" ht="13.5" hidden="1">
      <c r="A964" s="204">
        <f>+IFERROR(VALUE(MID(AB964,4,4)),"")</f>
        <v>340</v>
      </c>
      <c r="B964" s="204">
        <f>VALUE(RIGHT(C964,LEN(C964)-2))</f>
        <v>1759</v>
      </c>
      <c r="C964" s="74" t="s">
        <v>3639</v>
      </c>
      <c r="D964" s="75">
        <v>45049</v>
      </c>
      <c r="E964" s="70" t="s">
        <v>394</v>
      </c>
      <c r="F964" s="70" t="s">
        <v>2269</v>
      </c>
      <c r="G964" s="68" t="s">
        <v>2270</v>
      </c>
      <c r="H964" s="59" t="s">
        <v>2271</v>
      </c>
      <c r="I964" s="69" t="s">
        <v>3640</v>
      </c>
      <c r="J964" s="69"/>
      <c r="K964" s="95" t="s">
        <v>13</v>
      </c>
      <c r="L964" s="69" t="s">
        <v>120</v>
      </c>
      <c r="M964" s="71" t="s">
        <v>141</v>
      </c>
      <c r="N964" s="69" t="e" vm="1">
        <v>#VALUE!</v>
      </c>
      <c r="O964" s="84">
        <v>45055</v>
      </c>
      <c r="P964" s="82" t="s">
        <v>2273</v>
      </c>
      <c r="Q964" s="82" t="s">
        <v>623</v>
      </c>
      <c r="R964" s="69"/>
      <c r="S964" s="146"/>
      <c r="T964" s="68" t="s">
        <v>3</v>
      </c>
      <c r="U964" s="87"/>
      <c r="V964" s="80">
        <v>45077</v>
      </c>
      <c r="W964" s="73">
        <v>615</v>
      </c>
      <c r="X964" s="73">
        <v>26.7</v>
      </c>
      <c r="Y964" s="83">
        <f>IF(SUM(W964:W964)&gt;0,X964/SUM(W964:W964)*1000000,"N/A")</f>
        <v>43414.634146341457</v>
      </c>
      <c r="Z964" s="80"/>
      <c r="AA964" s="80"/>
      <c r="AB964" s="73" t="s">
        <v>3641</v>
      </c>
      <c r="AC964" s="153"/>
      <c r="AD964" s="331"/>
      <c r="AE964" s="57"/>
      <c r="AF964" s="88"/>
      <c r="AG964" s="182">
        <f>YEAR(V964)</f>
        <v>2023</v>
      </c>
      <c r="AH964" s="86" t="str">
        <f>+IF(AF964=$AI$22,MONTH(U964),"")</f>
        <v/>
      </c>
      <c r="AI964" s="86" t="str">
        <f>+IF(AG964=$AI$22,MONTH(V964),"")</f>
        <v/>
      </c>
      <c r="AJ964" s="86" t="str">
        <f>+IF(AG964=$AJ$22,MONTH(V964),"")</f>
        <v/>
      </c>
      <c r="AK964" s="86">
        <f>+IF(AG964=$AK$22,MONTH(V964),"")</f>
        <v>5</v>
      </c>
      <c r="AL964" s="86" t="str">
        <f>+IF(AG964=$AL$22,MONTH(V964),"")</f>
        <v/>
      </c>
      <c r="AM964" s="86" t="str">
        <f>+IF($AG964=$AM$22,MONTH($D964),"")</f>
        <v/>
      </c>
      <c r="AN964" s="89" t="str">
        <f>+IF($AG964=AN$22,MONTH($D964),"")</f>
        <v/>
      </c>
      <c r="AO964" s="89" t="str">
        <f>+IF($AG964=AO$22,MONTH($D964),"")</f>
        <v/>
      </c>
      <c r="AP964" s="89" t="str">
        <f>+IF($AG964=AP$22,MONTH($D964),"")</f>
        <v/>
      </c>
      <c r="AQ964" s="89" t="str">
        <f>+IF($AG964=AQ$22,MONTH($D964),"")</f>
        <v/>
      </c>
      <c r="AR964" s="89" t="str">
        <f>+IF($AG964=AR$22,MONTH($D964),"")</f>
        <v/>
      </c>
      <c r="AS964" s="89" t="str">
        <f>+IF($AG964=AS$22,MONTH($D964),"")</f>
        <v/>
      </c>
      <c r="AT964" s="89" t="str">
        <f>+IF($AG964=AT$22,MONTH($D964),"")</f>
        <v/>
      </c>
      <c r="AU964" s="89" t="str">
        <f>+IF($AG964=AU$22,MONTH($D964),"")</f>
        <v/>
      </c>
      <c r="AV964" s="89" t="str">
        <f>+IF($AG964=AV$22,MONTH($D964),"")</f>
        <v/>
      </c>
      <c r="AW964" s="86" t="str">
        <f>+IF($AG964=AW$22,MONTH($D964),"")</f>
        <v/>
      </c>
      <c r="AX964" s="86" t="str">
        <f>+IF($AG964=AX$22,MONTH($D964),"")</f>
        <v/>
      </c>
      <c r="AY964" s="89"/>
      <c r="AZ964" s="89"/>
      <c r="BA964" s="89"/>
      <c r="BB964" s="89"/>
      <c r="BC964" s="89"/>
      <c r="BD964" s="89"/>
      <c r="BE964" s="89"/>
      <c r="BF964" s="89"/>
      <c r="BG964" s="89"/>
      <c r="BH964" s="89"/>
      <c r="BI964" s="89"/>
      <c r="BJ964" s="89"/>
      <c r="BK964" s="89"/>
      <c r="BL964" s="89"/>
      <c r="BM964" s="89"/>
      <c r="BN964" s="89"/>
      <c r="BO964" s="89"/>
      <c r="BP964" s="89"/>
    </row>
    <row r="965" spans="1:68" s="56" customFormat="1" ht="27" hidden="1">
      <c r="A965" s="204">
        <f>+IFERROR(VALUE(MID(AB965,4,4)),"")</f>
        <v>274</v>
      </c>
      <c r="B965" s="204">
        <f>VALUE(RIGHT(C965,LEN(C965)-2))</f>
        <v>1758</v>
      </c>
      <c r="C965" s="74" t="s">
        <v>3642</v>
      </c>
      <c r="D965" s="75">
        <v>44966</v>
      </c>
      <c r="E965" s="70" t="s">
        <v>1054</v>
      </c>
      <c r="F965" s="70" t="s">
        <v>252</v>
      </c>
      <c r="G965" s="68" t="s">
        <v>1055</v>
      </c>
      <c r="H965" s="59" t="s">
        <v>1056</v>
      </c>
      <c r="I965" s="69" t="s">
        <v>3643</v>
      </c>
      <c r="J965" s="69"/>
      <c r="K965" s="68" t="s">
        <v>9</v>
      </c>
      <c r="L965" s="69" t="s">
        <v>129</v>
      </c>
      <c r="M965" s="71" t="s">
        <v>141</v>
      </c>
      <c r="N965" s="69" t="e" vm="1">
        <v>#VALUE!</v>
      </c>
      <c r="O965" s="84">
        <v>45049</v>
      </c>
      <c r="P965" s="72" t="s">
        <v>3629</v>
      </c>
      <c r="Q965" s="82" t="s">
        <v>623</v>
      </c>
      <c r="R965" s="69"/>
      <c r="S965" s="146"/>
      <c r="T965" s="68" t="s">
        <v>3</v>
      </c>
      <c r="U965" s="87"/>
      <c r="V965" s="80">
        <v>45062</v>
      </c>
      <c r="W965" s="73">
        <v>204</v>
      </c>
      <c r="X965" s="73">
        <v>6.4</v>
      </c>
      <c r="Y965" s="83">
        <f>IF(SUM(W965:W965)&gt;0,X965/SUM(W965:W965)*1000000,"N/A")</f>
        <v>31372.549019607843</v>
      </c>
      <c r="Z965" s="80"/>
      <c r="AA965" s="80"/>
      <c r="AB965" s="73" t="s">
        <v>3644</v>
      </c>
      <c r="AC965" s="153"/>
      <c r="AD965" s="331"/>
      <c r="AE965" s="57"/>
      <c r="AF965" s="88"/>
      <c r="AG965" s="182">
        <f>YEAR(V965)</f>
        <v>2023</v>
      </c>
      <c r="AH965" s="86" t="str">
        <f>+IF(AF965=$AI$22,MONTH(U965),"")</f>
        <v/>
      </c>
      <c r="AI965" s="86" t="str">
        <f>+IF(AG965=$AI$22,MONTH(V965),"")</f>
        <v/>
      </c>
      <c r="AJ965" s="86" t="str">
        <f>+IF(AG965=$AJ$22,MONTH(V965),"")</f>
        <v/>
      </c>
      <c r="AK965" s="86">
        <f>+IF(AG965=$AK$22,MONTH(V965),"")</f>
        <v>5</v>
      </c>
      <c r="AL965" s="86" t="str">
        <f>+IF(AG965=$AL$22,MONTH(V965),"")</f>
        <v/>
      </c>
      <c r="AM965" s="86" t="str">
        <f>+IF($AG965=$AM$22,MONTH($D965),"")</f>
        <v/>
      </c>
      <c r="AN965" s="89" t="str">
        <f>+IF($AG965=AN$22,MONTH($D965),"")</f>
        <v/>
      </c>
      <c r="AO965" s="89" t="str">
        <f>+IF($AG965=AO$22,MONTH($D965),"")</f>
        <v/>
      </c>
      <c r="AP965" s="89" t="str">
        <f>+IF($AG965=AP$22,MONTH($D965),"")</f>
        <v/>
      </c>
      <c r="AQ965" s="89" t="str">
        <f>+IF($AG965=AQ$22,MONTH($D965),"")</f>
        <v/>
      </c>
      <c r="AR965" s="89" t="str">
        <f>+IF($AG965=AR$22,MONTH($D965),"")</f>
        <v/>
      </c>
      <c r="AS965" s="89" t="str">
        <f>+IF($AG965=AS$22,MONTH($D965),"")</f>
        <v/>
      </c>
      <c r="AT965" s="89" t="str">
        <f>+IF($AG965=AT$22,MONTH($D965),"")</f>
        <v/>
      </c>
      <c r="AU965" s="89" t="str">
        <f>+IF($AG965=AU$22,MONTH($D965),"")</f>
        <v/>
      </c>
      <c r="AV965" s="89" t="str">
        <f>+IF($AG965=AV$22,MONTH($D965),"")</f>
        <v/>
      </c>
      <c r="AW965" s="86" t="str">
        <f>+IF($AG965=AW$22,MONTH($D965),"")</f>
        <v/>
      </c>
      <c r="AX965" s="86" t="str">
        <f>+IF($AG965=AX$22,MONTH($D965),"")</f>
        <v/>
      </c>
      <c r="AY965" s="89"/>
      <c r="AZ965" s="89"/>
      <c r="BA965" s="89"/>
      <c r="BB965" s="89"/>
      <c r="BC965" s="89"/>
      <c r="BD965" s="89"/>
      <c r="BE965" s="89"/>
      <c r="BF965" s="89"/>
      <c r="BG965" s="89"/>
      <c r="BH965" s="89"/>
      <c r="BI965" s="89"/>
      <c r="BJ965" s="89"/>
      <c r="BK965" s="89"/>
      <c r="BL965" s="89"/>
      <c r="BM965" s="89"/>
      <c r="BN965" s="89"/>
      <c r="BO965" s="89"/>
      <c r="BP965" s="89"/>
    </row>
    <row r="966" spans="1:68" s="56" customFormat="1" ht="81" hidden="1">
      <c r="A966" s="204" t="str">
        <f>+IFERROR(VALUE(MID(AB966,4,4)),"")</f>
        <v/>
      </c>
      <c r="B966" s="204">
        <f>VALUE(RIGHT(C966,LEN(C966)-2))</f>
        <v>1757</v>
      </c>
      <c r="C966" s="74" t="s">
        <v>3645</v>
      </c>
      <c r="D966" s="75">
        <v>45043</v>
      </c>
      <c r="E966" s="70" t="s">
        <v>53</v>
      </c>
      <c r="F966" s="70" t="s">
        <v>252</v>
      </c>
      <c r="G966" s="68" t="s">
        <v>3646</v>
      </c>
      <c r="H966" s="59" t="s">
        <v>256</v>
      </c>
      <c r="I966" s="69" t="s">
        <v>3647</v>
      </c>
      <c r="J966" s="69"/>
      <c r="K966" s="68" t="s">
        <v>12</v>
      </c>
      <c r="L966" s="69" t="s">
        <v>123</v>
      </c>
      <c r="M966" s="71" t="s">
        <v>141</v>
      </c>
      <c r="N966" s="69" t="e" vm="1">
        <v>#VALUE!</v>
      </c>
      <c r="O966" s="84">
        <v>45092</v>
      </c>
      <c r="P966" s="72" t="s">
        <v>3648</v>
      </c>
      <c r="Q966" s="72" t="s">
        <v>229</v>
      </c>
      <c r="R966" s="162"/>
      <c r="S966" s="146" t="s">
        <v>3649</v>
      </c>
      <c r="T966" s="68" t="s">
        <v>168</v>
      </c>
      <c r="U966" s="87"/>
      <c r="V966" s="80">
        <v>45077</v>
      </c>
      <c r="W966" s="150"/>
      <c r="X966" s="150"/>
      <c r="Y966" s="83" t="str">
        <f>IF(SUM(W966:W966)&gt;0,X966/SUM(W966:W966)*1000000,"N/A")</f>
        <v>N/A</v>
      </c>
      <c r="Z966" s="80"/>
      <c r="AA966" s="80"/>
      <c r="AB966" s="73"/>
      <c r="AC966" s="153">
        <v>45135</v>
      </c>
      <c r="AD966" s="331"/>
      <c r="AE966" s="57"/>
      <c r="AF966" s="88"/>
      <c r="AG966" s="182">
        <f>YEAR(V966)</f>
        <v>2023</v>
      </c>
      <c r="AH966" s="86" t="str">
        <f>+IF(AF966=$AI$22,MONTH(U966),"")</f>
        <v/>
      </c>
      <c r="AI966" s="86" t="str">
        <f>+IF(AG966=$AI$22,MONTH(V966),"")</f>
        <v/>
      </c>
      <c r="AJ966" s="86" t="str">
        <f>+IF(AG966=$AJ$22,MONTH(V966),"")</f>
        <v/>
      </c>
      <c r="AK966" s="86">
        <f>+IF(AG966=$AK$22,MONTH(V966),"")</f>
        <v>5</v>
      </c>
      <c r="AL966" s="86"/>
      <c r="AM966" s="89"/>
      <c r="AN966" s="89"/>
      <c r="AO966" s="89"/>
      <c r="AP966" s="89"/>
      <c r="AQ966" s="89"/>
      <c r="AR966" s="89"/>
      <c r="AS966" s="89"/>
      <c r="AT966" s="89"/>
      <c r="AU966" s="89"/>
      <c r="AV966" s="89"/>
      <c r="AW966" s="86" t="str">
        <f>+IF($AG966=AW$22,MONTH($D966),"")</f>
        <v/>
      </c>
      <c r="AX966" s="86" t="str">
        <f>+IF($AG966=AX$22,MONTH($D966),"")</f>
        <v/>
      </c>
      <c r="AY966" s="89"/>
      <c r="AZ966" s="89"/>
      <c r="BA966" s="89"/>
      <c r="BB966" s="89"/>
      <c r="BC966" s="89"/>
      <c r="BD966" s="89"/>
      <c r="BE966" s="89"/>
      <c r="BF966" s="89"/>
      <c r="BG966" s="89"/>
      <c r="BH966" s="89"/>
      <c r="BI966" s="89"/>
      <c r="BJ966" s="89"/>
      <c r="BK966" s="89"/>
      <c r="BL966" s="89"/>
      <c r="BM966" s="89"/>
      <c r="BN966" s="89"/>
      <c r="BO966" s="89"/>
      <c r="BP966" s="89"/>
    </row>
    <row r="967" spans="1:68" s="56" customFormat="1" ht="27" hidden="1">
      <c r="A967" s="204" t="str">
        <f>+IFERROR(VALUE(MID(AB967,4,4)),"")</f>
        <v/>
      </c>
      <c r="B967" s="204">
        <f>VALUE(RIGHT(C967,LEN(C967)-2))</f>
        <v>1756</v>
      </c>
      <c r="C967" s="74" t="s">
        <v>3650</v>
      </c>
      <c r="D967" s="75">
        <v>45048</v>
      </c>
      <c r="E967" s="70" t="s">
        <v>685</v>
      </c>
      <c r="F967" s="70" t="s">
        <v>685</v>
      </c>
      <c r="G967" s="68" t="s">
        <v>1867</v>
      </c>
      <c r="H967" s="59" t="s">
        <v>1868</v>
      </c>
      <c r="I967" s="69" t="s">
        <v>3590</v>
      </c>
      <c r="J967" s="69"/>
      <c r="K967" s="68" t="s">
        <v>9</v>
      </c>
      <c r="L967" s="69" t="s">
        <v>120</v>
      </c>
      <c r="M967" s="71" t="s">
        <v>141</v>
      </c>
      <c r="N967" s="69" t="e" vm="1">
        <v>#VALUE!</v>
      </c>
      <c r="O967" s="84">
        <v>45056</v>
      </c>
      <c r="P967" s="72" t="s">
        <v>749</v>
      </c>
      <c r="Q967" s="72" t="s">
        <v>316</v>
      </c>
      <c r="R967" s="162"/>
      <c r="S967" s="146" t="s">
        <v>3651</v>
      </c>
      <c r="T967" s="68" t="s">
        <v>168</v>
      </c>
      <c r="U967" s="87"/>
      <c r="V967" s="80">
        <v>45071</v>
      </c>
      <c r="W967" s="73">
        <v>522</v>
      </c>
      <c r="X967" s="73">
        <f>987*35959/1000000</f>
        <v>35.491532999999997</v>
      </c>
      <c r="Y967" s="83">
        <f>IF(SUM(W967:W967)&gt;0,X967/SUM(W967:W967)*1000000,"N/A")</f>
        <v>67991.442528735628</v>
      </c>
      <c r="Z967" s="80"/>
      <c r="AA967" s="80"/>
      <c r="AB967" s="73"/>
      <c r="AC967" s="153"/>
      <c r="AD967" s="331"/>
      <c r="AE967" s="57"/>
      <c r="AF967" s="88"/>
      <c r="AG967" s="182">
        <f>YEAR(V967)</f>
        <v>2023</v>
      </c>
      <c r="AH967" s="86" t="str">
        <f>+IF(AF967=$AI$22,MONTH(U967),"")</f>
        <v/>
      </c>
      <c r="AI967" s="86" t="str">
        <f>+IF(AG967=$AI$22,MONTH(V967),"")</f>
        <v/>
      </c>
      <c r="AJ967" s="86" t="str">
        <f>+IF(AG967=$AJ$22,MONTH(V967),"")</f>
        <v/>
      </c>
      <c r="AK967" s="86">
        <f>+IF(AG967=$AK$22,MONTH(V967),"")</f>
        <v>5</v>
      </c>
      <c r="AL967" s="86"/>
      <c r="AM967" s="89"/>
      <c r="AN967" s="89"/>
      <c r="AO967" s="89"/>
      <c r="AP967" s="89"/>
      <c r="AQ967" s="89"/>
      <c r="AR967" s="89"/>
      <c r="AS967" s="89"/>
      <c r="AT967" s="89"/>
      <c r="AU967" s="89"/>
      <c r="AV967" s="89"/>
      <c r="AW967" s="86" t="str">
        <f>+IF($AG967=AW$22,MONTH($D967),"")</f>
        <v/>
      </c>
      <c r="AX967" s="86" t="str">
        <f>+IF($AG967=AX$22,MONTH($D967),"")</f>
        <v/>
      </c>
      <c r="AY967" s="89"/>
      <c r="AZ967" s="89"/>
      <c r="BA967" s="89"/>
      <c r="BB967" s="89"/>
      <c r="BC967" s="89"/>
      <c r="BD967" s="89"/>
      <c r="BE967" s="89"/>
      <c r="BF967" s="89"/>
      <c r="BG967" s="89"/>
      <c r="BH967" s="89"/>
      <c r="BI967" s="89"/>
      <c r="BJ967" s="89"/>
      <c r="BK967" s="89"/>
      <c r="BL967" s="89"/>
      <c r="BM967" s="89"/>
      <c r="BN967" s="89"/>
      <c r="BO967" s="89"/>
      <c r="BP967" s="89"/>
    </row>
    <row r="968" spans="1:68" s="56" customFormat="1" ht="27" hidden="1">
      <c r="A968" s="204" t="str">
        <f>+IFERROR(VALUE(MID(AB968,4,4)),"")</f>
        <v/>
      </c>
      <c r="B968" s="204">
        <f>VALUE(RIGHT(C968,LEN(C968)-2))</f>
        <v>1755</v>
      </c>
      <c r="C968" s="74" t="s">
        <v>3652</v>
      </c>
      <c r="D968" s="75">
        <v>45048</v>
      </c>
      <c r="E968" s="70" t="s">
        <v>479</v>
      </c>
      <c r="F968" s="70" t="s">
        <v>479</v>
      </c>
      <c r="G968" s="68" t="s">
        <v>3653</v>
      </c>
      <c r="H968" s="59" t="s">
        <v>3654</v>
      </c>
      <c r="I968" s="69" t="s">
        <v>3655</v>
      </c>
      <c r="J968" s="69"/>
      <c r="K968" s="68" t="s">
        <v>13</v>
      </c>
      <c r="L968" s="69" t="s">
        <v>120</v>
      </c>
      <c r="M968" s="71" t="s">
        <v>113</v>
      </c>
      <c r="N968" s="69" t="e" vm="2">
        <v>#VALUE!</v>
      </c>
      <c r="O968" s="84">
        <v>45051</v>
      </c>
      <c r="P968" s="72" t="s">
        <v>483</v>
      </c>
      <c r="Q968" s="72" t="s">
        <v>229</v>
      </c>
      <c r="R968" s="162"/>
      <c r="S968" s="146"/>
      <c r="T968" s="68" t="s">
        <v>155</v>
      </c>
      <c r="U968" s="87"/>
      <c r="V968" s="80">
        <v>45099</v>
      </c>
      <c r="W968" s="73"/>
      <c r="X968" s="73"/>
      <c r="Y968" s="83" t="str">
        <f>IF(SUM(W968:W968)&gt;0,X968/SUM(W968:W968)*1000000,"N/A")</f>
        <v>N/A</v>
      </c>
      <c r="Z968" s="80"/>
      <c r="AA968" s="80"/>
      <c r="AB968" s="73"/>
      <c r="AC968" s="153"/>
      <c r="AD968" s="331"/>
      <c r="AE968" s="57"/>
      <c r="AF968" s="88"/>
      <c r="AG968" s="182">
        <f>YEAR(V968)</f>
        <v>2023</v>
      </c>
      <c r="AH968" s="86" t="str">
        <f>+IF(AF968=$AI$22,MONTH(U968),"")</f>
        <v/>
      </c>
      <c r="AI968" s="86" t="str">
        <f>+IF(AG968=$AI$22,MONTH(V968),"")</f>
        <v/>
      </c>
      <c r="AJ968" s="86" t="str">
        <f>+IF(AG968=$AJ$22,MONTH(V968),"")</f>
        <v/>
      </c>
      <c r="AK968" s="86">
        <f>+IF(AG968=$AK$22,MONTH(V968),"")</f>
        <v>6</v>
      </c>
      <c r="AL968" s="86" t="str">
        <f>+IF(AG968=$AL$22,MONTH(V968),"")</f>
        <v/>
      </c>
      <c r="AM968" s="86" t="str">
        <f>+IF($AG968=$AM$22,MONTH($D968),"")</f>
        <v/>
      </c>
      <c r="AN968" s="89" t="str">
        <f>+IF($AG968=AN$22,MONTH($D968),"")</f>
        <v/>
      </c>
      <c r="AO968" s="89" t="str">
        <f>+IF($AG968=AO$22,MONTH($D968),"")</f>
        <v/>
      </c>
      <c r="AP968" s="89" t="str">
        <f>+IF($AG968=AP$22,MONTH($D968),"")</f>
        <v/>
      </c>
      <c r="AQ968" s="89" t="str">
        <f>+IF($AG968=AQ$22,MONTH($D968),"")</f>
        <v/>
      </c>
      <c r="AR968" s="89" t="str">
        <f>+IF($AG968=AR$22,MONTH($D968),"")</f>
        <v/>
      </c>
      <c r="AS968" s="89" t="str">
        <f>+IF($AG968=AS$22,MONTH($D968),"")</f>
        <v/>
      </c>
      <c r="AT968" s="89" t="str">
        <f>+IF($AG968=AT$22,MONTH($D968),"")</f>
        <v/>
      </c>
      <c r="AU968" s="89" t="str">
        <f>+IF($AG968=AU$22,MONTH($D968),"")</f>
        <v/>
      </c>
      <c r="AV968" s="89" t="str">
        <f>+IF($AG968=AV$22,MONTH($D968),"")</f>
        <v/>
      </c>
      <c r="AW968" s="86" t="str">
        <f>+IF($AG968=AW$22,MONTH($D968),"")</f>
        <v/>
      </c>
      <c r="AX968" s="86" t="str">
        <f>+IF($AG968=AX$22,MONTH($D968),"")</f>
        <v/>
      </c>
      <c r="AY968" s="89"/>
      <c r="AZ968" s="89"/>
      <c r="BA968" s="89"/>
      <c r="BB968" s="89"/>
      <c r="BC968" s="89"/>
      <c r="BD968" s="89"/>
      <c r="BE968" s="89"/>
      <c r="BF968" s="89"/>
      <c r="BG968" s="89"/>
      <c r="BH968" s="89"/>
      <c r="BI968" s="89"/>
      <c r="BJ968" s="89"/>
      <c r="BK968" s="89"/>
      <c r="BL968" s="89"/>
      <c r="BM968" s="89"/>
      <c r="BN968" s="89"/>
      <c r="BO968" s="89"/>
      <c r="BP968" s="89"/>
    </row>
    <row r="969" spans="1:68" s="56" customFormat="1" ht="27" hidden="1">
      <c r="A969" s="204" t="str">
        <f>+IFERROR(VALUE(MID(AB969,4,4)),"")</f>
        <v/>
      </c>
      <c r="B969" s="204">
        <f>VALUE(RIGHT(C969,LEN(C969)-2))</f>
        <v>1754</v>
      </c>
      <c r="C969" s="74" t="s">
        <v>3656</v>
      </c>
      <c r="D969" s="75">
        <v>45047</v>
      </c>
      <c r="E969" s="68" t="s">
        <v>1668</v>
      </c>
      <c r="F969" s="68" t="s">
        <v>1668</v>
      </c>
      <c r="G969" s="68" t="s">
        <v>3657</v>
      </c>
      <c r="H969" s="59" t="s">
        <v>3658</v>
      </c>
      <c r="I969" s="69" t="s">
        <v>3659</v>
      </c>
      <c r="J969" s="69"/>
      <c r="K969" s="68" t="s">
        <v>13</v>
      </c>
      <c r="L969" s="69" t="s">
        <v>123</v>
      </c>
      <c r="M969" s="71" t="s">
        <v>113</v>
      </c>
      <c r="N969" s="69" t="e" vm="4">
        <v>#VALUE!</v>
      </c>
      <c r="O969" s="84">
        <v>45084</v>
      </c>
      <c r="P969" s="69" t="s">
        <v>749</v>
      </c>
      <c r="Q969" s="69" t="s">
        <v>1097</v>
      </c>
      <c r="R969" s="69"/>
      <c r="S969" s="146"/>
      <c r="T969" s="68" t="s">
        <v>165</v>
      </c>
      <c r="U969" s="87">
        <v>0</v>
      </c>
      <c r="V969" s="80">
        <v>45099</v>
      </c>
      <c r="W969" s="73">
        <v>9627</v>
      </c>
      <c r="X969" s="73">
        <f>470000*802/1000000</f>
        <v>376.94</v>
      </c>
      <c r="Y969" s="83">
        <f>IF(SUM(W969:W969)&gt;0,X969/SUM(W969:W969)*1000000,"N/A")</f>
        <v>39154.461410615972</v>
      </c>
      <c r="Z969" s="80"/>
      <c r="AA969" s="80"/>
      <c r="AB969" s="57"/>
      <c r="AC969" s="75"/>
      <c r="AD969" s="332"/>
      <c r="AE969" s="68"/>
      <c r="AF969" s="88"/>
      <c r="AG969" s="182">
        <f>YEAR(V969)</f>
        <v>2023</v>
      </c>
      <c r="AH969" s="86" t="str">
        <f>+IF(AF969=$AI$22,MONTH(U969),"")</f>
        <v/>
      </c>
      <c r="AI969" s="86" t="str">
        <f>+IF(AG969=$AI$22,MONTH(V969),"")</f>
        <v/>
      </c>
      <c r="AJ969" s="86" t="str">
        <f>+IF(AG969=$AJ$22,MONTH(V969),"")</f>
        <v/>
      </c>
      <c r="AK969" s="86">
        <f>+IF(AG969=$AK$22,MONTH(V969),"")</f>
        <v>6</v>
      </c>
      <c r="AL969" s="86" t="str">
        <f>+IF(AG969=$AL$22,MONTH(V969),"")</f>
        <v/>
      </c>
      <c r="AM969" s="86" t="str">
        <f>+IF($AG969=$AM$22,MONTH($D969),"")</f>
        <v/>
      </c>
      <c r="AN969" s="89" t="str">
        <f>+IF($AG969=AN$22,MONTH($D969),"")</f>
        <v/>
      </c>
      <c r="AO969" s="184" t="str">
        <f>+IF($AG969=AO$22,MONTH($D969),"")</f>
        <v/>
      </c>
      <c r="AP969" s="184" t="str">
        <f>+IF($AG969=AP$22,MONTH($D969),"")</f>
        <v/>
      </c>
      <c r="AQ969" s="184" t="str">
        <f>+IF($AG969=AQ$22,MONTH($D969),"")</f>
        <v/>
      </c>
      <c r="AR969" s="184" t="str">
        <f>+IF($AG969=AR$22,MONTH($D969),"")</f>
        <v/>
      </c>
      <c r="AS969" s="184" t="str">
        <f>+IF($AG969=AS$22,MONTH($D969),"")</f>
        <v/>
      </c>
      <c r="AT969" s="86" t="str">
        <f>+IF($AG969=AT$22,MONTH($D969),"")</f>
        <v/>
      </c>
      <c r="AU969" s="86" t="str">
        <f>+IF($AG969=AU$22,MONTH($D969),"")</f>
        <v/>
      </c>
      <c r="AV969" s="86" t="str">
        <f>+IF($AG969=AV$22,MONTH($D969),"")</f>
        <v/>
      </c>
      <c r="AW969" s="86" t="str">
        <f>+IF($AG969=AW$22,MONTH($D969),"")</f>
        <v/>
      </c>
      <c r="AX969" s="86" t="str">
        <f>+IF($AG969=AX$22,MONTH($D969),"")</f>
        <v/>
      </c>
      <c r="AY969" s="89"/>
      <c r="AZ969" s="89"/>
      <c r="BA969" s="89"/>
      <c r="BB969" s="89"/>
      <c r="BC969" s="89"/>
      <c r="BD969" s="89"/>
      <c r="BE969" s="89"/>
      <c r="BF969" s="89"/>
      <c r="BG969" s="89"/>
      <c r="BH969" s="89"/>
      <c r="BI969" s="89"/>
      <c r="BJ969" s="89"/>
      <c r="BK969" s="89"/>
      <c r="BL969" s="89"/>
      <c r="BM969" s="89"/>
      <c r="BN969" s="89"/>
      <c r="BO969" s="89"/>
      <c r="BP969" s="89"/>
    </row>
    <row r="970" spans="1:68" s="56" customFormat="1" ht="27" hidden="1">
      <c r="A970" s="204" t="str">
        <f>+IFERROR(VALUE(MID(AB970,4,4)),"")</f>
        <v/>
      </c>
      <c r="B970" s="204">
        <f>VALUE(RIGHT(C970,LEN(C970)-2))</f>
        <v>1753</v>
      </c>
      <c r="C970" s="74" t="s">
        <v>3660</v>
      </c>
      <c r="D970" s="75">
        <v>45018</v>
      </c>
      <c r="E970" s="70" t="s">
        <v>1321</v>
      </c>
      <c r="F970" s="70" t="s">
        <v>848</v>
      </c>
      <c r="G970" s="68" t="s">
        <v>1322</v>
      </c>
      <c r="H970" s="59" t="s">
        <v>1323</v>
      </c>
      <c r="I970" s="69" t="s">
        <v>3661</v>
      </c>
      <c r="J970" s="69"/>
      <c r="K970" s="68" t="s">
        <v>3594</v>
      </c>
      <c r="L970" s="69" t="s">
        <v>120</v>
      </c>
      <c r="M970" s="71" t="s">
        <v>141</v>
      </c>
      <c r="N970" s="69" t="e" vm="1">
        <v>#VALUE!</v>
      </c>
      <c r="O970" s="84">
        <v>45061</v>
      </c>
      <c r="P970" s="72" t="s">
        <v>274</v>
      </c>
      <c r="Q970" s="72" t="s">
        <v>623</v>
      </c>
      <c r="R970" s="162"/>
      <c r="S970" s="146" t="s">
        <v>3662</v>
      </c>
      <c r="T970" s="68" t="s">
        <v>165</v>
      </c>
      <c r="U970" s="87"/>
      <c r="V970" s="183">
        <v>45163</v>
      </c>
      <c r="W970" s="73">
        <v>4404</v>
      </c>
      <c r="X970" s="73">
        <f>7509*36000/1000000</f>
        <v>270.32400000000001</v>
      </c>
      <c r="Y970" s="83">
        <f>IF(SUM(W970:W970)&gt;0,X970/SUM(W970:W970)*1000000,"N/A")</f>
        <v>61381.471389645783</v>
      </c>
      <c r="Z970" s="183"/>
      <c r="AA970" s="183"/>
      <c r="AB970" s="73"/>
      <c r="AC970" s="153"/>
      <c r="AD970" s="331"/>
      <c r="AE970" s="57"/>
      <c r="AF970" s="88"/>
      <c r="AG970" s="182">
        <f>YEAR(V970)</f>
        <v>2023</v>
      </c>
      <c r="AH970" s="86" t="str">
        <f>+IF(AF970=$AI$22,MONTH(U970),"")</f>
        <v/>
      </c>
      <c r="AI970" s="86" t="str">
        <f>+IF(AG970=$AI$22,MONTH(V970),"")</f>
        <v/>
      </c>
      <c r="AJ970" s="86" t="str">
        <f>+IF(AG970=$AJ$22,MONTH(V970),"")</f>
        <v/>
      </c>
      <c r="AK970" s="86">
        <f>+IF(AG970=$AK$22,MONTH(V970),"")</f>
        <v>8</v>
      </c>
      <c r="AL970" s="86"/>
      <c r="AM970" s="89"/>
      <c r="AN970" s="89"/>
      <c r="AO970" s="89"/>
      <c r="AP970" s="89"/>
      <c r="AQ970" s="89"/>
      <c r="AR970" s="89"/>
      <c r="AS970" s="89"/>
      <c r="AT970" s="89"/>
      <c r="AU970" s="89"/>
      <c r="AV970" s="89"/>
      <c r="AW970" s="86" t="str">
        <f>+IF($AG970=AW$22,MONTH($D970),"")</f>
        <v/>
      </c>
      <c r="AX970" s="86" t="str">
        <f>+IF($AG970=AX$22,MONTH($D970),"")</f>
        <v/>
      </c>
      <c r="AY970" s="89"/>
      <c r="AZ970" s="89"/>
      <c r="BA970" s="89"/>
      <c r="BB970" s="89"/>
      <c r="BC970" s="89"/>
      <c r="BD970" s="89"/>
      <c r="BE970" s="89"/>
      <c r="BF970" s="89"/>
      <c r="BG970" s="89"/>
      <c r="BH970" s="89"/>
      <c r="BI970" s="89"/>
      <c r="BJ970" s="89"/>
      <c r="BK970" s="89"/>
      <c r="BL970" s="89"/>
      <c r="BM970" s="89"/>
      <c r="BN970" s="89"/>
      <c r="BO970" s="89"/>
      <c r="BP970" s="89"/>
    </row>
    <row r="971" spans="1:68" s="56" customFormat="1" ht="27" hidden="1">
      <c r="A971" s="204" t="str">
        <f>+IFERROR(VALUE(MID(AB971,4,4)),"")</f>
        <v/>
      </c>
      <c r="B971" s="204">
        <f>VALUE(RIGHT(C971,LEN(C971)-2))</f>
        <v>1752</v>
      </c>
      <c r="C971" s="74" t="s">
        <v>3663</v>
      </c>
      <c r="D971" s="75">
        <v>45043</v>
      </c>
      <c r="E971" s="70" t="s">
        <v>332</v>
      </c>
      <c r="F971" s="70" t="s">
        <v>332</v>
      </c>
      <c r="G971" s="68" t="s">
        <v>2973</v>
      </c>
      <c r="H971" s="59" t="s">
        <v>2974</v>
      </c>
      <c r="I971" s="69" t="s">
        <v>3664</v>
      </c>
      <c r="J971" s="69"/>
      <c r="K971" s="68" t="s">
        <v>13</v>
      </c>
      <c r="L971" s="69" t="s">
        <v>129</v>
      </c>
      <c r="M971" s="71" t="s">
        <v>141</v>
      </c>
      <c r="N971" s="69" t="e" vm="1">
        <v>#VALUE!</v>
      </c>
      <c r="O971" s="84">
        <v>45065</v>
      </c>
      <c r="P971" s="72" t="s">
        <v>369</v>
      </c>
      <c r="Q971" s="72" t="s">
        <v>229</v>
      </c>
      <c r="R971" s="162"/>
      <c r="S971" s="146" t="s">
        <v>3665</v>
      </c>
      <c r="T971" s="68" t="s">
        <v>155</v>
      </c>
      <c r="U971" s="87"/>
      <c r="V971" s="80">
        <v>45065</v>
      </c>
      <c r="W971" s="73"/>
      <c r="X971" s="73"/>
      <c r="Y971" s="83" t="str">
        <f>IF(SUM(W971:W971)&gt;0,X971/SUM(W971:W971)*1000000,"N/A")</f>
        <v>N/A</v>
      </c>
      <c r="Z971" s="80"/>
      <c r="AA971" s="80"/>
      <c r="AB971" s="73"/>
      <c r="AC971" s="153"/>
      <c r="AD971" s="331"/>
      <c r="AE971" s="57"/>
      <c r="AF971" s="88"/>
      <c r="AG971" s="182">
        <f>YEAR(V971)</f>
        <v>2023</v>
      </c>
      <c r="AH971" s="86" t="str">
        <f>+IF(AF971=$AI$22,MONTH(U971),"")</f>
        <v/>
      </c>
      <c r="AI971" s="86" t="str">
        <f>+IF(AG971=$AI$22,MONTH(V971),"")</f>
        <v/>
      </c>
      <c r="AJ971" s="86" t="str">
        <f>+IF(AG971=$AJ$22,MONTH(V971),"")</f>
        <v/>
      </c>
      <c r="AK971" s="86">
        <f>+IF(AG971=$AK$22,MONTH(V971),"")</f>
        <v>5</v>
      </c>
      <c r="AL971" s="86"/>
      <c r="AM971" s="89"/>
      <c r="AN971" s="89"/>
      <c r="AO971" s="89"/>
      <c r="AP971" s="89"/>
      <c r="AQ971" s="89"/>
      <c r="AR971" s="89"/>
      <c r="AS971" s="89"/>
      <c r="AT971" s="89"/>
      <c r="AU971" s="89"/>
      <c r="AV971" s="89"/>
      <c r="AW971" s="86" t="str">
        <f>+IF($AG971=AW$22,MONTH($D971),"")</f>
        <v/>
      </c>
      <c r="AX971" s="86" t="str">
        <f>+IF($AG971=AX$22,MONTH($D971),"")</f>
        <v/>
      </c>
      <c r="AY971" s="89"/>
      <c r="AZ971" s="89"/>
      <c r="BA971" s="89"/>
      <c r="BB971" s="89"/>
      <c r="BC971" s="89"/>
      <c r="BD971" s="89"/>
      <c r="BE971" s="89"/>
      <c r="BF971" s="89"/>
      <c r="BG971" s="89"/>
      <c r="BH971" s="89"/>
      <c r="BI971" s="89"/>
      <c r="BJ971" s="89"/>
      <c r="BK971" s="89"/>
      <c r="BL971" s="89"/>
      <c r="BM971" s="89"/>
      <c r="BN971" s="89"/>
      <c r="BO971" s="89"/>
      <c r="BP971" s="89"/>
    </row>
    <row r="972" spans="1:68" s="56" customFormat="1" ht="27" hidden="1">
      <c r="A972" s="204" t="str">
        <f>+IFERROR(VALUE(MID(AB972,4,4)),"")</f>
        <v/>
      </c>
      <c r="B972" s="204">
        <f>VALUE(RIGHT(C972,LEN(C972)-2))</f>
        <v>1751</v>
      </c>
      <c r="C972" s="74" t="s">
        <v>3666</v>
      </c>
      <c r="D972" s="75">
        <v>45043</v>
      </c>
      <c r="E972" s="70" t="s">
        <v>473</v>
      </c>
      <c r="F972" s="70" t="s">
        <v>473</v>
      </c>
      <c r="G972" s="68" t="s">
        <v>3667</v>
      </c>
      <c r="H972" s="59" t="s">
        <v>3668</v>
      </c>
      <c r="I972" s="69" t="s">
        <v>3669</v>
      </c>
      <c r="J972" s="69"/>
      <c r="K972" s="68" t="s">
        <v>212</v>
      </c>
      <c r="L972" s="69" t="s">
        <v>123</v>
      </c>
      <c r="M972" s="71" t="s">
        <v>141</v>
      </c>
      <c r="N972" s="69" t="e" vm="1">
        <v>#VALUE!</v>
      </c>
      <c r="O972" s="84">
        <v>45084</v>
      </c>
      <c r="P972" s="72" t="s">
        <v>228</v>
      </c>
      <c r="Q972" s="72" t="s">
        <v>405</v>
      </c>
      <c r="R972" s="162"/>
      <c r="S972" s="146"/>
      <c r="T972" s="68" t="s">
        <v>165</v>
      </c>
      <c r="U972" s="87"/>
      <c r="V972" s="80">
        <v>45099</v>
      </c>
      <c r="W972" s="73">
        <v>1000</v>
      </c>
      <c r="X972" s="73">
        <v>40</v>
      </c>
      <c r="Y972" s="83">
        <f>IF(SUM(W972:W972)&gt;0,X972/SUM(W972:W972)*1000000,"N/A")</f>
        <v>40000</v>
      </c>
      <c r="Z972" s="80"/>
      <c r="AA972" s="80"/>
      <c r="AB972" s="73"/>
      <c r="AC972" s="153">
        <v>45601</v>
      </c>
      <c r="AD972" s="331"/>
      <c r="AE972" s="57"/>
      <c r="AF972" s="88"/>
      <c r="AG972" s="182">
        <f>YEAR(V972)</f>
        <v>2023</v>
      </c>
      <c r="AH972" s="86" t="str">
        <f>+IF(AF972=$AI$22,MONTH(U972),"")</f>
        <v/>
      </c>
      <c r="AI972" s="86" t="str">
        <f>+IF(AG972=$AI$22,MONTH(V972),"")</f>
        <v/>
      </c>
      <c r="AJ972" s="86" t="str">
        <f>+IF(AG972=$AJ$22,MONTH(V972),"")</f>
        <v/>
      </c>
      <c r="AK972" s="86">
        <f>+IF(AG972=$AK$22,MONTH(V972),"")</f>
        <v>6</v>
      </c>
      <c r="AL972" s="86"/>
      <c r="AM972" s="89"/>
      <c r="AN972" s="89"/>
      <c r="AO972" s="89"/>
      <c r="AP972" s="89"/>
      <c r="AQ972" s="89"/>
      <c r="AR972" s="89"/>
      <c r="AS972" s="89"/>
      <c r="AT972" s="89"/>
      <c r="AU972" s="89"/>
      <c r="AV972" s="89"/>
      <c r="AW972" s="86" t="str">
        <f>+IF($AG972=AW$22,MONTH($D972),"")</f>
        <v/>
      </c>
      <c r="AX972" s="86" t="str">
        <f>+IF($AG972=AX$22,MONTH($D972),"")</f>
        <v/>
      </c>
      <c r="AY972" s="89"/>
      <c r="AZ972" s="89"/>
      <c r="BA972" s="89"/>
      <c r="BB972" s="89"/>
      <c r="BC972" s="89"/>
      <c r="BD972" s="89"/>
      <c r="BE972" s="89"/>
      <c r="BF972" s="89"/>
      <c r="BG972" s="89"/>
      <c r="BH972" s="89"/>
      <c r="BI972" s="89"/>
      <c r="BJ972" s="89"/>
      <c r="BK972" s="89"/>
      <c r="BL972" s="89"/>
      <c r="BM972" s="89"/>
      <c r="BN972" s="89"/>
      <c r="BO972" s="89"/>
      <c r="BP972" s="89"/>
    </row>
    <row r="973" spans="1:68" s="56" customFormat="1" ht="67.5" hidden="1">
      <c r="A973" s="204" t="str">
        <f>+IFERROR(VALUE(MID(AB973,4,4)),"")</f>
        <v/>
      </c>
      <c r="B973" s="204">
        <f>VALUE(RIGHT(C973,LEN(C973)-2))</f>
        <v>1750</v>
      </c>
      <c r="C973" s="74" t="s">
        <v>3670</v>
      </c>
      <c r="D973" s="75">
        <v>45042</v>
      </c>
      <c r="E973" s="70" t="s">
        <v>67</v>
      </c>
      <c r="F973" s="70" t="s">
        <v>67</v>
      </c>
      <c r="G973" s="68" t="s">
        <v>3671</v>
      </c>
      <c r="H973" s="59" t="s">
        <v>3672</v>
      </c>
      <c r="I973" s="69" t="s">
        <v>3673</v>
      </c>
      <c r="J973" s="69"/>
      <c r="K973" s="68" t="s">
        <v>12</v>
      </c>
      <c r="L973" s="69" t="s">
        <v>123</v>
      </c>
      <c r="M973" s="71" t="s">
        <v>141</v>
      </c>
      <c r="N973" s="69" t="e" vm="1">
        <v>#VALUE!</v>
      </c>
      <c r="O973" s="84">
        <v>45068</v>
      </c>
      <c r="P973" s="72" t="s">
        <v>274</v>
      </c>
      <c r="Q973" s="72" t="s">
        <v>623</v>
      </c>
      <c r="R973" s="162"/>
      <c r="S973" s="146" t="s">
        <v>3674</v>
      </c>
      <c r="T973" s="68" t="s">
        <v>165</v>
      </c>
      <c r="U973" s="87"/>
      <c r="V973" s="80">
        <v>45069</v>
      </c>
      <c r="W973" s="73">
        <v>1386</v>
      </c>
      <c r="X973" s="73">
        <v>68.5</v>
      </c>
      <c r="Y973" s="83">
        <f>IF(SUM(W973:W973)&gt;0,X973/SUM(W973:W973)*1000000,"N/A")</f>
        <v>49422.79942279942</v>
      </c>
      <c r="Z973" s="80"/>
      <c r="AA973" s="80"/>
      <c r="AB973" s="73"/>
      <c r="AC973" s="153"/>
      <c r="AD973" s="331"/>
      <c r="AE973" s="57"/>
      <c r="AF973" s="88"/>
      <c r="AG973" s="182">
        <f>YEAR(V973)</f>
        <v>2023</v>
      </c>
      <c r="AH973" s="86" t="str">
        <f>+IF(AF973=$AI$22,MONTH(U973),"")</f>
        <v/>
      </c>
      <c r="AI973" s="86" t="str">
        <f>+IF(AG973=$AI$22,MONTH(V973),"")</f>
        <v/>
      </c>
      <c r="AJ973" s="86" t="str">
        <f>+IF(AG973=$AJ$22,MONTH(V973),"")</f>
        <v/>
      </c>
      <c r="AK973" s="86">
        <f>+IF(AG973=$AK$22,MONTH(V973),"")</f>
        <v>5</v>
      </c>
      <c r="AL973" s="86"/>
      <c r="AM973" s="89"/>
      <c r="AN973" s="89"/>
      <c r="AO973" s="89"/>
      <c r="AP973" s="89"/>
      <c r="AQ973" s="89"/>
      <c r="AR973" s="89"/>
      <c r="AS973" s="89"/>
      <c r="AT973" s="89"/>
      <c r="AU973" s="89"/>
      <c r="AV973" s="89"/>
      <c r="AW973" s="86" t="str">
        <f>+IF($AG973=AW$22,MONTH($D973),"")</f>
        <v/>
      </c>
      <c r="AX973" s="86" t="str">
        <f>+IF($AG973=AX$22,MONTH($D973),"")</f>
        <v/>
      </c>
      <c r="AY973" s="89"/>
      <c r="AZ973" s="89"/>
      <c r="BA973" s="89"/>
      <c r="BB973" s="89"/>
      <c r="BC973" s="89"/>
      <c r="BD973" s="89"/>
      <c r="BE973" s="89"/>
      <c r="BF973" s="89"/>
      <c r="BG973" s="89"/>
      <c r="BH973" s="89"/>
      <c r="BI973" s="89"/>
      <c r="BJ973" s="89"/>
      <c r="BK973" s="89"/>
      <c r="BL973" s="89"/>
      <c r="BM973" s="89"/>
      <c r="BN973" s="89"/>
      <c r="BO973" s="89"/>
      <c r="BP973" s="89"/>
    </row>
    <row r="974" spans="1:68" s="56" customFormat="1" ht="45.75" hidden="1" customHeight="1">
      <c r="A974" s="204">
        <f>+IFERROR(VALUE(MID(AB974,4,4)),"")</f>
        <v>344</v>
      </c>
      <c r="B974" s="204">
        <f>VALUE(RIGHT(C974,LEN(C974)-2))</f>
        <v>1749</v>
      </c>
      <c r="C974" s="74" t="s">
        <v>3675</v>
      </c>
      <c r="D974" s="75">
        <v>45042</v>
      </c>
      <c r="E974" s="70" t="s">
        <v>96</v>
      </c>
      <c r="F974" s="70" t="s">
        <v>96</v>
      </c>
      <c r="G974" s="68" t="s">
        <v>3422</v>
      </c>
      <c r="H974" s="59"/>
      <c r="I974" s="69" t="s">
        <v>3676</v>
      </c>
      <c r="J974" s="69"/>
      <c r="K974" s="95" t="s">
        <v>13</v>
      </c>
      <c r="L974" s="69" t="s">
        <v>120</v>
      </c>
      <c r="M974" s="71" t="s">
        <v>141</v>
      </c>
      <c r="N974" s="69" t="e" vm="1">
        <v>#VALUE!</v>
      </c>
      <c r="O974" s="84">
        <v>45071</v>
      </c>
      <c r="P974" s="72" t="s">
        <v>402</v>
      </c>
      <c r="Q974" s="72" t="s">
        <v>316</v>
      </c>
      <c r="R974" s="162"/>
      <c r="S974" s="146" t="s">
        <v>3677</v>
      </c>
      <c r="T974" s="68" t="s">
        <v>3</v>
      </c>
      <c r="U974" s="87"/>
      <c r="V974" s="80">
        <v>45107</v>
      </c>
      <c r="W974" s="73">
        <v>24960</v>
      </c>
      <c r="X974" s="73">
        <v>1012</v>
      </c>
      <c r="Y974" s="83">
        <f>IF(SUM(W974:W974)&gt;0,X974/SUM(W974:W974)*1000000,"N/A")</f>
        <v>40544.871794871797</v>
      </c>
      <c r="Z974" s="80"/>
      <c r="AA974" s="80"/>
      <c r="AB974" s="73" t="s">
        <v>3678</v>
      </c>
      <c r="AC974" s="153"/>
      <c r="AD974" s="331"/>
      <c r="AE974" s="57"/>
      <c r="AF974" s="88"/>
      <c r="AG974" s="182">
        <f>YEAR(V974)</f>
        <v>2023</v>
      </c>
      <c r="AH974" s="86" t="str">
        <f>+IF(AF974=$AI$22,MONTH(U974),"")</f>
        <v/>
      </c>
      <c r="AI974" s="86" t="str">
        <f>+IF(AG974=$AI$22,MONTH(V974),"")</f>
        <v/>
      </c>
      <c r="AJ974" s="86" t="str">
        <f>+IF(AG974=$AJ$22,MONTH(V974),"")</f>
        <v/>
      </c>
      <c r="AK974" s="86">
        <f>+IF(AG974=$AK$22,MONTH(V974),"")</f>
        <v>6</v>
      </c>
      <c r="AL974" s="86"/>
      <c r="AM974" s="89"/>
      <c r="AN974" s="89"/>
      <c r="AO974" s="89"/>
      <c r="AP974" s="89"/>
      <c r="AQ974" s="89"/>
      <c r="AR974" s="89"/>
      <c r="AS974" s="89"/>
      <c r="AT974" s="89"/>
      <c r="AU974" s="89"/>
      <c r="AV974" s="89"/>
      <c r="AW974" s="86" t="str">
        <f>+IF($AG974=AW$22,MONTH($D974),"")</f>
        <v/>
      </c>
      <c r="AX974" s="86" t="str">
        <f>+IF($AG974=AX$22,MONTH($D974),"")</f>
        <v/>
      </c>
      <c r="AY974" s="89"/>
      <c r="AZ974" s="89"/>
      <c r="BA974" s="89"/>
      <c r="BB974" s="89"/>
      <c r="BC974" s="89"/>
      <c r="BD974" s="89"/>
      <c r="BE974" s="89"/>
      <c r="BF974" s="89"/>
      <c r="BG974" s="89"/>
      <c r="BH974" s="89"/>
      <c r="BI974" s="89"/>
      <c r="BJ974" s="89"/>
      <c r="BK974" s="89"/>
      <c r="BL974" s="89"/>
      <c r="BM974" s="89"/>
      <c r="BN974" s="89"/>
      <c r="BO974" s="89"/>
      <c r="BP974" s="89"/>
    </row>
    <row r="975" spans="1:68" s="56" customFormat="1" ht="81" hidden="1">
      <c r="A975" s="204">
        <f>+IFERROR(VALUE(MID(AB975,4,4)),"")</f>
        <v>333</v>
      </c>
      <c r="B975" s="204">
        <f>VALUE(RIGHT(C975,LEN(C975)-2))</f>
        <v>1748</v>
      </c>
      <c r="C975" s="74" t="s">
        <v>3679</v>
      </c>
      <c r="D975" s="75">
        <v>45042</v>
      </c>
      <c r="E975" s="70" t="s">
        <v>53</v>
      </c>
      <c r="F975" s="70" t="s">
        <v>630</v>
      </c>
      <c r="G975" s="68" t="s">
        <v>1976</v>
      </c>
      <c r="H975" s="59"/>
      <c r="I975" s="69" t="s">
        <v>3680</v>
      </c>
      <c r="J975" s="69"/>
      <c r="K975" s="68" t="s">
        <v>9</v>
      </c>
      <c r="L975" s="69" t="s">
        <v>129</v>
      </c>
      <c r="M975" s="71" t="s">
        <v>141</v>
      </c>
      <c r="N975" s="69" t="e" vm="1">
        <v>#VALUE!</v>
      </c>
      <c r="O975" s="84">
        <v>45054</v>
      </c>
      <c r="P975" s="72" t="s">
        <v>1154</v>
      </c>
      <c r="Q975" s="72" t="s">
        <v>644</v>
      </c>
      <c r="R975" s="162"/>
      <c r="S975" s="146" t="s">
        <v>3681</v>
      </c>
      <c r="T975" s="68" t="s">
        <v>155</v>
      </c>
      <c r="U975" s="87"/>
      <c r="V975" s="80">
        <v>45048</v>
      </c>
      <c r="W975" s="150"/>
      <c r="X975" s="150"/>
      <c r="Y975" s="83" t="str">
        <f>IF(SUM(W975:W975)&gt;0,X975/SUM(W975:W975)*1000000,"N/A")</f>
        <v>N/A</v>
      </c>
      <c r="Z975" s="80"/>
      <c r="AA975" s="80"/>
      <c r="AB975" s="73" t="s">
        <v>3682</v>
      </c>
      <c r="AC975" s="153"/>
      <c r="AD975" s="331"/>
      <c r="AE975" s="57"/>
      <c r="AF975" s="88" t="s">
        <v>3683</v>
      </c>
      <c r="AG975" s="182">
        <f>YEAR(V975)</f>
        <v>2023</v>
      </c>
      <c r="AH975" s="86" t="str">
        <f>+IF(AF975=$AI$22,MONTH(U975),"")</f>
        <v/>
      </c>
      <c r="AI975" s="86" t="str">
        <f>+IF(AG975=$AI$22,MONTH(V975),"")</f>
        <v/>
      </c>
      <c r="AJ975" s="86" t="str">
        <f>+IF(AG975=$AJ$22,MONTH(V975),"")</f>
        <v/>
      </c>
      <c r="AK975" s="86">
        <f>+IF(AG975=$AK$22,MONTH(V975),"")</f>
        <v>5</v>
      </c>
      <c r="AL975" s="86"/>
      <c r="AM975" s="89"/>
      <c r="AN975" s="89"/>
      <c r="AO975" s="89"/>
      <c r="AP975" s="89"/>
      <c r="AQ975" s="89"/>
      <c r="AR975" s="89"/>
      <c r="AS975" s="89"/>
      <c r="AT975" s="89"/>
      <c r="AU975" s="89"/>
      <c r="AV975" s="89"/>
      <c r="AW975" s="86" t="str">
        <f>+IF($AG975=AW$22,MONTH($D975),"")</f>
        <v/>
      </c>
      <c r="AX975" s="86" t="str">
        <f>+IF($AG975=AX$22,MONTH($D975),"")</f>
        <v/>
      </c>
      <c r="AY975" s="89"/>
      <c r="AZ975" s="89"/>
      <c r="BA975" s="89"/>
      <c r="BB975" s="89"/>
      <c r="BC975" s="89"/>
      <c r="BD975" s="89"/>
      <c r="BE975" s="89"/>
      <c r="BF975" s="89"/>
      <c r="BG975" s="89"/>
      <c r="BH975" s="89"/>
      <c r="BI975" s="89"/>
      <c r="BJ975" s="89"/>
      <c r="BK975" s="89"/>
      <c r="BL975" s="89"/>
      <c r="BM975" s="89"/>
      <c r="BN975" s="89"/>
      <c r="BO975" s="89"/>
      <c r="BP975" s="89"/>
    </row>
    <row r="976" spans="1:68" s="56" customFormat="1" ht="53.25" hidden="1">
      <c r="A976" s="204" t="str">
        <f>+IFERROR(VALUE(MID(AB976,4,4)),"")</f>
        <v/>
      </c>
      <c r="B976" s="204">
        <f>VALUE(RIGHT(C976,LEN(C976)-2))</f>
        <v>1747</v>
      </c>
      <c r="C976" s="74" t="s">
        <v>3684</v>
      </c>
      <c r="D976" s="75">
        <v>45040</v>
      </c>
      <c r="E976" s="70" t="s">
        <v>3685</v>
      </c>
      <c r="F976" s="70" t="s">
        <v>3686</v>
      </c>
      <c r="G976" s="68" t="s">
        <v>3687</v>
      </c>
      <c r="H976" s="59" t="s">
        <v>3688</v>
      </c>
      <c r="I976" s="69" t="s">
        <v>3689</v>
      </c>
      <c r="J976" s="69"/>
      <c r="K976" s="95" t="s">
        <v>13</v>
      </c>
      <c r="L976" s="69" t="s">
        <v>123</v>
      </c>
      <c r="M976" s="71" t="s">
        <v>141</v>
      </c>
      <c r="N976" s="69" t="e" vm="1">
        <v>#VALUE!</v>
      </c>
      <c r="O976" s="84">
        <v>45054</v>
      </c>
      <c r="P976" s="82" t="s">
        <v>1629</v>
      </c>
      <c r="Q976" s="82" t="s">
        <v>229</v>
      </c>
      <c r="R976" s="69"/>
      <c r="S976" s="146" t="s">
        <v>3690</v>
      </c>
      <c r="T976" s="68" t="s">
        <v>165</v>
      </c>
      <c r="U976" s="87">
        <v>0</v>
      </c>
      <c r="V976" s="80">
        <v>45345</v>
      </c>
      <c r="W976" s="73">
        <v>5997</v>
      </c>
      <c r="X976" s="73">
        <f>6998*35959/1000000</f>
        <v>251.64108200000001</v>
      </c>
      <c r="Y976" s="83">
        <f>IF(SUM(W976:W976)&gt;0,X976/SUM(W976:W976)*1000000,"N/A")</f>
        <v>41961.160913790227</v>
      </c>
      <c r="Z976" s="80"/>
      <c r="AA976" s="80"/>
      <c r="AB976" s="73"/>
      <c r="AC976" s="153">
        <v>45601</v>
      </c>
      <c r="AD976" s="331"/>
      <c r="AE976" s="57"/>
      <c r="AF976" s="88"/>
      <c r="AG976" s="182">
        <f>YEAR(V976)</f>
        <v>2024</v>
      </c>
      <c r="AH976" s="86" t="str">
        <f>+IF(AF976=$AI$22,MONTH(U976),"")</f>
        <v/>
      </c>
      <c r="AI976" s="86" t="str">
        <f>+IF(AG976=$AI$22,MONTH(V976),"")</f>
        <v/>
      </c>
      <c r="AJ976" s="86">
        <f>+IF(AG976=$AJ$22,MONTH(V976),"")</f>
        <v>2</v>
      </c>
      <c r="AK976" s="86" t="str">
        <f>+IF(AG976=$AK$22,MONTH(V976),"")</f>
        <v/>
      </c>
      <c r="AL976" s="86" t="str">
        <f>+IF(AG976=$AL$22,MONTH(V976),"")</f>
        <v/>
      </c>
      <c r="AM976" s="86" t="str">
        <f>+IF($AG976=$AM$22,MONTH($D976),"")</f>
        <v/>
      </c>
      <c r="AN976" s="89" t="str">
        <f>+IF($AG976=AN$22,MONTH($D976),"")</f>
        <v/>
      </c>
      <c r="AO976" s="89" t="str">
        <f>+IF($AG976=AO$22,MONTH($D976),"")</f>
        <v/>
      </c>
      <c r="AP976" s="89" t="str">
        <f>+IF($AG976=AP$22,MONTH($D976),"")</f>
        <v/>
      </c>
      <c r="AQ976" s="89" t="str">
        <f>+IF($AG976=AQ$22,MONTH($D976),"")</f>
        <v/>
      </c>
      <c r="AR976" s="89" t="str">
        <f>+IF($AG976=AR$22,MONTH($D976),"")</f>
        <v/>
      </c>
      <c r="AS976" s="89" t="str">
        <f>+IF($AG976=AS$22,MONTH($D976),"")</f>
        <v/>
      </c>
      <c r="AT976" s="89" t="str">
        <f>+IF($AG976=AT$22,MONTH($D976),"")</f>
        <v/>
      </c>
      <c r="AU976" s="89" t="str">
        <f>+IF($AG976=AU$22,MONTH($D976),"")</f>
        <v/>
      </c>
      <c r="AV976" s="89" t="str">
        <f>+IF($AG976=AV$22,MONTH($D976),"")</f>
        <v/>
      </c>
      <c r="AW976" s="86" t="str">
        <f>+IF($AG976=AW$22,MONTH($D976),"")</f>
        <v/>
      </c>
      <c r="AX976" s="86" t="str">
        <f>+IF($AG976=AX$22,MONTH($D976),"")</f>
        <v/>
      </c>
      <c r="AY976" s="89"/>
      <c r="AZ976" s="89"/>
      <c r="BA976" s="89"/>
      <c r="BB976" s="89"/>
      <c r="BC976" s="89"/>
      <c r="BD976" s="89"/>
      <c r="BE976" s="89"/>
      <c r="BF976" s="89"/>
      <c r="BG976" s="89"/>
      <c r="BH976" s="89"/>
      <c r="BI976" s="89"/>
      <c r="BJ976" s="89"/>
      <c r="BK976" s="89"/>
      <c r="BL976" s="89"/>
      <c r="BM976" s="89"/>
      <c r="BN976" s="89"/>
      <c r="BO976" s="89"/>
      <c r="BP976" s="89"/>
    </row>
    <row r="977" spans="1:68" s="56" customFormat="1" ht="13.5" hidden="1">
      <c r="A977" s="204" t="str">
        <f>+IFERROR(VALUE(MID(AB977,4,4)),"")</f>
        <v/>
      </c>
      <c r="B977" s="204">
        <f>VALUE(RIGHT(C977,LEN(C977)-2))</f>
        <v>1746</v>
      </c>
      <c r="C977" s="74" t="s">
        <v>3691</v>
      </c>
      <c r="D977" s="75">
        <v>45040</v>
      </c>
      <c r="E977" s="70" t="s">
        <v>3692</v>
      </c>
      <c r="F977" s="70" t="s">
        <v>3692</v>
      </c>
      <c r="G977" s="68" t="s">
        <v>3693</v>
      </c>
      <c r="H977" s="59"/>
      <c r="I977" s="69" t="s">
        <v>3694</v>
      </c>
      <c r="J977" s="69"/>
      <c r="K977" s="68" t="s">
        <v>9</v>
      </c>
      <c r="L977" s="69" t="s">
        <v>120</v>
      </c>
      <c r="M977" s="71" t="s">
        <v>141</v>
      </c>
      <c r="N977" s="69" t="e" vm="1">
        <v>#VALUE!</v>
      </c>
      <c r="O977" s="84">
        <v>45044</v>
      </c>
      <c r="P977" s="72" t="s">
        <v>749</v>
      </c>
      <c r="Q977" s="82" t="s">
        <v>259</v>
      </c>
      <c r="R977" s="69"/>
      <c r="S977" s="146"/>
      <c r="T977" s="68" t="s">
        <v>165</v>
      </c>
      <c r="U977" s="87">
        <v>0</v>
      </c>
      <c r="V977" s="80">
        <v>45048</v>
      </c>
      <c r="W977" s="73">
        <v>145</v>
      </c>
      <c r="X977" s="73">
        <v>7.2</v>
      </c>
      <c r="Y977" s="83">
        <f>IF(SUM(W977:W977)&gt;0,X977/SUM(W977:W977)*1000000,"N/A")</f>
        <v>49655.172413793101</v>
      </c>
      <c r="Z977" s="80"/>
      <c r="AA977" s="80"/>
      <c r="AB977" s="73"/>
      <c r="AC977" s="153"/>
      <c r="AD977" s="331"/>
      <c r="AE977" s="57"/>
      <c r="AF977" s="88"/>
      <c r="AG977" s="182">
        <f>YEAR(V977)</f>
        <v>2023</v>
      </c>
      <c r="AH977" s="86" t="str">
        <f>+IF(AF977=$AI$22,MONTH(U977),"")</f>
        <v/>
      </c>
      <c r="AI977" s="86" t="str">
        <f>+IF(AG977=$AI$22,MONTH(V977),"")</f>
        <v/>
      </c>
      <c r="AJ977" s="86" t="str">
        <f>+IF(AG977=$AJ$22,MONTH(V977),"")</f>
        <v/>
      </c>
      <c r="AK977" s="86">
        <f>+IF(AG977=$AK$22,MONTH(V977),"")</f>
        <v>5</v>
      </c>
      <c r="AL977" s="86" t="str">
        <f>+IF(AG977=$AL$22,MONTH(V977),"")</f>
        <v/>
      </c>
      <c r="AM977" s="86" t="str">
        <f>+IF($AG977=$AM$22,MONTH($D977),"")</f>
        <v/>
      </c>
      <c r="AN977" s="89" t="str">
        <f>+IF($AG977=AN$22,MONTH($D977),"")</f>
        <v/>
      </c>
      <c r="AO977" s="89" t="str">
        <f>+IF($AG977=AO$22,MONTH($D977),"")</f>
        <v/>
      </c>
      <c r="AP977" s="89" t="str">
        <f>+IF($AG977=AP$22,MONTH($D977),"")</f>
        <v/>
      </c>
      <c r="AQ977" s="89" t="str">
        <f>+IF($AG977=AQ$22,MONTH($D977),"")</f>
        <v/>
      </c>
      <c r="AR977" s="89" t="str">
        <f>+IF($AG977=AR$22,MONTH($D977),"")</f>
        <v/>
      </c>
      <c r="AS977" s="89" t="str">
        <f>+IF($AG977=AS$22,MONTH($D977),"")</f>
        <v/>
      </c>
      <c r="AT977" s="89" t="str">
        <f>+IF($AG977=AT$22,MONTH($D977),"")</f>
        <v/>
      </c>
      <c r="AU977" s="89" t="str">
        <f>+IF($AG977=AU$22,MONTH($D977),"")</f>
        <v/>
      </c>
      <c r="AV977" s="89" t="str">
        <f>+IF($AG977=AV$22,MONTH($D977),"")</f>
        <v/>
      </c>
      <c r="AW977" s="86" t="str">
        <f>+IF($AG977=AW$22,MONTH($D977),"")</f>
        <v/>
      </c>
      <c r="AX977" s="86" t="str">
        <f>+IF($AG977=AX$22,MONTH($D977),"")</f>
        <v/>
      </c>
      <c r="AY977" s="89"/>
      <c r="AZ977" s="89"/>
      <c r="BA977" s="89"/>
      <c r="BB977" s="89"/>
      <c r="BC977" s="89"/>
      <c r="BD977" s="89"/>
      <c r="BE977" s="89"/>
      <c r="BF977" s="89"/>
      <c r="BG977" s="89"/>
      <c r="BH977" s="89"/>
      <c r="BI977" s="89"/>
      <c r="BJ977" s="89"/>
      <c r="BK977" s="89"/>
      <c r="BL977" s="89"/>
      <c r="BM977" s="89"/>
      <c r="BN977" s="89"/>
      <c r="BO977" s="89"/>
      <c r="BP977" s="89"/>
    </row>
    <row r="978" spans="1:68" s="56" customFormat="1" ht="27" hidden="1">
      <c r="A978" s="204" t="str">
        <f>+IFERROR(VALUE(MID(AB978,4,4)),"")</f>
        <v/>
      </c>
      <c r="B978" s="204">
        <f>VALUE(RIGHT(C978,LEN(C978)-2))</f>
        <v>1745</v>
      </c>
      <c r="C978" s="74" t="s">
        <v>3695</v>
      </c>
      <c r="D978" s="75">
        <v>45038</v>
      </c>
      <c r="E978" s="68" t="s">
        <v>1856</v>
      </c>
      <c r="F978" s="68" t="s">
        <v>1857</v>
      </c>
      <c r="G978" s="68" t="s">
        <v>3696</v>
      </c>
      <c r="H978" s="59"/>
      <c r="I978" s="69" t="s">
        <v>3697</v>
      </c>
      <c r="J978" s="69"/>
      <c r="K978" s="68" t="s">
        <v>3594</v>
      </c>
      <c r="L978" s="69" t="s">
        <v>123</v>
      </c>
      <c r="M978" s="71" t="s">
        <v>113</v>
      </c>
      <c r="N978" s="69" t="e" vm="7">
        <v>#VALUE!</v>
      </c>
      <c r="O978" s="84">
        <v>45042</v>
      </c>
      <c r="P978" s="69" t="s">
        <v>402</v>
      </c>
      <c r="Q978" s="69" t="s">
        <v>644</v>
      </c>
      <c r="R978" s="69"/>
      <c r="S978" s="146"/>
      <c r="T978" s="68" t="s">
        <v>165</v>
      </c>
      <c r="U978" s="87">
        <v>0</v>
      </c>
      <c r="V978" s="80">
        <v>45099</v>
      </c>
      <c r="W978" s="73">
        <v>2224</v>
      </c>
      <c r="X978" s="216">
        <f>120758*800/1000000</f>
        <v>96.606399999999994</v>
      </c>
      <c r="Y978" s="83">
        <f>IF(SUM(W978:W978)&gt;0,X978/SUM(W978:W978)*1000000,"N/A")</f>
        <v>43438.129496402878</v>
      </c>
      <c r="Z978" s="80"/>
      <c r="AA978" s="80"/>
      <c r="AB978" s="57"/>
      <c r="AC978" s="75"/>
      <c r="AD978" s="332"/>
      <c r="AE978" s="68"/>
      <c r="AF978" s="88"/>
      <c r="AG978" s="182">
        <f>YEAR(V978)</f>
        <v>2023</v>
      </c>
      <c r="AH978" s="86" t="str">
        <f>+IF(AF978=$AI$22,MONTH(U978),"")</f>
        <v/>
      </c>
      <c r="AI978" s="86" t="str">
        <f>+IF(AG978=$AI$22,MONTH(V978),"")</f>
        <v/>
      </c>
      <c r="AJ978" s="86" t="str">
        <f>+IF(AG978=$AJ$22,MONTH(V978),"")</f>
        <v/>
      </c>
      <c r="AK978" s="86">
        <f>+IF(AG978=$AK$22,MONTH(V978),"")</f>
        <v>6</v>
      </c>
      <c r="AL978" s="86" t="str">
        <f>+IF(AG978=$AL$22,MONTH(V978),"")</f>
        <v/>
      </c>
      <c r="AM978" s="86" t="str">
        <f>+IF($AG978=$AM$22,MONTH($D978),"")</f>
        <v/>
      </c>
      <c r="AN978" s="89" t="str">
        <f>+IF($AG978=AN$22,MONTH($D978),"")</f>
        <v/>
      </c>
      <c r="AO978" s="184" t="str">
        <f>+IF($AG978=AO$22,MONTH($D978),"")</f>
        <v/>
      </c>
      <c r="AP978" s="184" t="str">
        <f>+IF($AG978=AP$22,MONTH($D978),"")</f>
        <v/>
      </c>
      <c r="AQ978" s="184" t="str">
        <f>+IF($AG978=AQ$22,MONTH($D978),"")</f>
        <v/>
      </c>
      <c r="AR978" s="184" t="str">
        <f>+IF($AG978=AR$22,MONTH($D978),"")</f>
        <v/>
      </c>
      <c r="AS978" s="184" t="str">
        <f>+IF($AG978=AS$22,MONTH($D978),"")</f>
        <v/>
      </c>
      <c r="AT978" s="86" t="str">
        <f>+IF($AG978=AT$22,MONTH($D978),"")</f>
        <v/>
      </c>
      <c r="AU978" s="86" t="str">
        <f>+IF($AG978=AU$22,MONTH($D978),"")</f>
        <v/>
      </c>
      <c r="AV978" s="86" t="str">
        <f>+IF($AG978=AV$22,MONTH($D978),"")</f>
        <v/>
      </c>
      <c r="AW978" s="86" t="str">
        <f>+IF($AG978=AW$22,MONTH($D978),"")</f>
        <v/>
      </c>
      <c r="AX978" s="86" t="str">
        <f>+IF($AG978=AX$22,MONTH($D978),"")</f>
        <v/>
      </c>
      <c r="AY978" s="89"/>
      <c r="AZ978" s="89"/>
      <c r="BA978" s="89"/>
      <c r="BB978" s="89"/>
      <c r="BC978" s="89"/>
      <c r="BD978" s="89"/>
      <c r="BE978" s="89"/>
      <c r="BF978" s="89"/>
      <c r="BG978" s="89"/>
      <c r="BH978" s="89"/>
      <c r="BI978" s="89"/>
      <c r="BJ978" s="89"/>
      <c r="BK978" s="89"/>
      <c r="BL978" s="89"/>
      <c r="BM978" s="89"/>
      <c r="BN978" s="89"/>
      <c r="BO978" s="89"/>
      <c r="BP978" s="89"/>
    </row>
    <row r="979" spans="1:68" s="56" customFormat="1" ht="27" hidden="1">
      <c r="A979" s="204">
        <f>+IFERROR(VALUE(MID(AB979,4,4)),"")</f>
        <v>265</v>
      </c>
      <c r="B979" s="204">
        <f>VALUE(RIGHT(C979,LEN(C979)-2))</f>
        <v>1744</v>
      </c>
      <c r="C979" s="74" t="s">
        <v>3698</v>
      </c>
      <c r="D979" s="75">
        <v>45033</v>
      </c>
      <c r="E979" s="70" t="s">
        <v>332</v>
      </c>
      <c r="F979" s="70" t="s">
        <v>332</v>
      </c>
      <c r="G979" s="68" t="s">
        <v>3699</v>
      </c>
      <c r="H979" s="59"/>
      <c r="I979" s="69" t="s">
        <v>3700</v>
      </c>
      <c r="J979" s="69"/>
      <c r="K979" s="68" t="s">
        <v>18</v>
      </c>
      <c r="L979" s="69" t="s">
        <v>129</v>
      </c>
      <c r="M979" s="71" t="s">
        <v>141</v>
      </c>
      <c r="N979" s="69" t="e" vm="1">
        <v>#VALUE!</v>
      </c>
      <c r="O979" s="84">
        <v>45048</v>
      </c>
      <c r="P979" s="72" t="s">
        <v>369</v>
      </c>
      <c r="Q979" s="72" t="s">
        <v>229</v>
      </c>
      <c r="R979" s="162"/>
      <c r="S979" s="146" t="s">
        <v>3701</v>
      </c>
      <c r="T979" s="68" t="s">
        <v>3</v>
      </c>
      <c r="U979" s="87"/>
      <c r="V979" s="80">
        <v>45048</v>
      </c>
      <c r="W979" s="150">
        <v>1168</v>
      </c>
      <c r="X979" s="150">
        <f>+(1219*33000)/1000000</f>
        <v>40.226999999999997</v>
      </c>
      <c r="Y979" s="83">
        <f>IF(SUM(W979:W979)&gt;0,X979/SUM(W979:W979)*1000000,"N/A")</f>
        <v>34440.924657534248</v>
      </c>
      <c r="Z979" s="80"/>
      <c r="AA979" s="80"/>
      <c r="AB979" s="73" t="s">
        <v>3702</v>
      </c>
      <c r="AC979" s="153"/>
      <c r="AD979" s="331"/>
      <c r="AE979" s="57"/>
      <c r="AF979" s="88"/>
      <c r="AG979" s="182">
        <f>YEAR(V979)</f>
        <v>2023</v>
      </c>
      <c r="AH979" s="86" t="str">
        <f>+IF(AF979=$AI$22,MONTH(U979),"")</f>
        <v/>
      </c>
      <c r="AI979" s="86" t="str">
        <f>+IF(AG979=$AI$22,MONTH(V979),"")</f>
        <v/>
      </c>
      <c r="AJ979" s="86" t="str">
        <f>+IF(AG979=$AJ$22,MONTH(V979),"")</f>
        <v/>
      </c>
      <c r="AK979" s="86">
        <f>+IF(AG979=$AK$22,MONTH(V979),"")</f>
        <v>5</v>
      </c>
      <c r="AL979" s="86"/>
      <c r="AM979" s="89"/>
      <c r="AN979" s="89"/>
      <c r="AO979" s="89"/>
      <c r="AP979" s="89"/>
      <c r="AQ979" s="89"/>
      <c r="AR979" s="89"/>
      <c r="AS979" s="89"/>
      <c r="AT979" s="89"/>
      <c r="AU979" s="89"/>
      <c r="AV979" s="89"/>
      <c r="AW979" s="86" t="str">
        <f>+IF($AG979=AW$22,MONTH($D979),"")</f>
        <v/>
      </c>
      <c r="AX979" s="86" t="str">
        <f>+IF($AG979=AX$22,MONTH($D979),"")</f>
        <v/>
      </c>
      <c r="AY979" s="89"/>
      <c r="AZ979" s="89"/>
      <c r="BA979" s="89"/>
      <c r="BB979" s="89"/>
      <c r="BC979" s="89"/>
      <c r="BD979" s="89"/>
      <c r="BE979" s="89"/>
      <c r="BF979" s="89"/>
      <c r="BG979" s="89"/>
      <c r="BH979" s="89"/>
      <c r="BI979" s="89"/>
      <c r="BJ979" s="89"/>
      <c r="BK979" s="89"/>
      <c r="BL979" s="89"/>
      <c r="BM979" s="89"/>
      <c r="BN979" s="89"/>
      <c r="BO979" s="89"/>
      <c r="BP979" s="89"/>
    </row>
    <row r="980" spans="1:68" s="56" customFormat="1" ht="26.25" hidden="1" customHeight="1">
      <c r="A980" s="204" t="str">
        <f>+IFERROR(VALUE(MID(AB980,4,4)),"")</f>
        <v/>
      </c>
      <c r="B980" s="204">
        <f>VALUE(RIGHT(C980,LEN(C980)-2))</f>
        <v>1743</v>
      </c>
      <c r="C980" s="74" t="s">
        <v>3703</v>
      </c>
      <c r="D980" s="75">
        <v>45033</v>
      </c>
      <c r="E980" s="68" t="s">
        <v>3704</v>
      </c>
      <c r="F980" s="68" t="s">
        <v>3704</v>
      </c>
      <c r="G980" s="68" t="s">
        <v>3705</v>
      </c>
      <c r="H980" s="59" t="s">
        <v>3706</v>
      </c>
      <c r="I980" s="69" t="s">
        <v>3707</v>
      </c>
      <c r="J980" s="69"/>
      <c r="K980" s="68" t="s">
        <v>9</v>
      </c>
      <c r="L980" s="69" t="s">
        <v>123</v>
      </c>
      <c r="M980" s="71" t="s">
        <v>141</v>
      </c>
      <c r="N980" s="69" t="e" vm="1">
        <v>#VALUE!</v>
      </c>
      <c r="O980" s="84">
        <v>45037</v>
      </c>
      <c r="P980" s="69" t="s">
        <v>402</v>
      </c>
      <c r="Q980" s="69" t="s">
        <v>623</v>
      </c>
      <c r="R980" s="69"/>
      <c r="S980" s="146"/>
      <c r="T980" s="68" t="s">
        <v>165</v>
      </c>
      <c r="U980" s="87"/>
      <c r="V980" s="80">
        <v>45075</v>
      </c>
      <c r="W980" s="73">
        <v>702</v>
      </c>
      <c r="X980" s="73">
        <v>29.7</v>
      </c>
      <c r="Y980" s="83">
        <f>IF(SUM(W980:W980)&gt;0,X980/SUM(W980:W980)*1000000,"N/A")</f>
        <v>42307.692307692312</v>
      </c>
      <c r="Z980" s="80"/>
      <c r="AA980" s="80"/>
      <c r="AB980" s="73"/>
      <c r="AC980" s="75"/>
      <c r="AD980" s="332"/>
      <c r="AE980" s="68"/>
      <c r="AF980" s="73"/>
      <c r="AG980" s="182">
        <f>YEAR(V980)</f>
        <v>2023</v>
      </c>
      <c r="AH980" s="86" t="str">
        <f>+IF(AF980=$AI$22,MONTH(U980),"")</f>
        <v/>
      </c>
      <c r="AI980" s="86" t="str">
        <f>+IF(AG980=$AI$22,MONTH(V980),"")</f>
        <v/>
      </c>
      <c r="AJ980" s="86" t="str">
        <f>+IF(AG980=$AJ$22,MONTH(V980),"")</f>
        <v/>
      </c>
      <c r="AK980" s="86">
        <f>+IF(AG980=$AK$22,MONTH(V980),"")</f>
        <v>5</v>
      </c>
      <c r="AL980" s="86" t="str">
        <f>+IF(AG980=$AL$22,MONTH(V980),"")</f>
        <v/>
      </c>
      <c r="AM980" s="86" t="str">
        <f>+IF($AG980=$AM$22,MONTH($D980),"")</f>
        <v/>
      </c>
      <c r="AN980" s="89" t="str">
        <f>+IF($AG980=AN$22,MONTH($D980),"")</f>
        <v/>
      </c>
      <c r="AO980" s="184" t="str">
        <f>+IF($AG980=AO$22,MONTH($D980),"")</f>
        <v/>
      </c>
      <c r="AP980" s="184" t="str">
        <f>+IF($AG980=AP$22,MONTH($D980),"")</f>
        <v/>
      </c>
      <c r="AQ980" s="184" t="str">
        <f>+IF($AG980=AQ$22,MONTH($D980),"")</f>
        <v/>
      </c>
      <c r="AR980" s="184" t="str">
        <f>+IF($AG980=AR$22,MONTH($D980),"")</f>
        <v/>
      </c>
      <c r="AS980" s="184" t="str">
        <f>+IF($AG980=AS$22,MONTH($D980),"")</f>
        <v/>
      </c>
      <c r="AT980" s="86" t="str">
        <f>+IF($AG980=AT$22,MONTH($D980),"")</f>
        <v/>
      </c>
      <c r="AU980" s="86" t="str">
        <f>+IF($AG980=AU$22,MONTH($D980),"")</f>
        <v/>
      </c>
      <c r="AV980" s="86" t="str">
        <f>+IF($AG980=AV$22,MONTH($D980),"")</f>
        <v/>
      </c>
      <c r="AW980" s="86" t="str">
        <f>+IF($AG980=AW$22,MONTH($D980),"")</f>
        <v/>
      </c>
      <c r="AX980" s="86" t="str">
        <f>+IF($AG980=AX$22,MONTH($D980),"")</f>
        <v/>
      </c>
      <c r="AY980" s="89"/>
      <c r="AZ980" s="89"/>
      <c r="BA980" s="89"/>
      <c r="BB980" s="89"/>
      <c r="BC980" s="89"/>
      <c r="BD980" s="89"/>
      <c r="BE980" s="89"/>
      <c r="BF980" s="89"/>
      <c r="BG980" s="89"/>
      <c r="BH980" s="89"/>
      <c r="BI980" s="89"/>
      <c r="BJ980" s="89"/>
      <c r="BK980" s="89"/>
      <c r="BL980" s="89"/>
      <c r="BM980" s="89"/>
      <c r="BN980" s="89"/>
      <c r="BO980" s="89"/>
      <c r="BP980" s="89"/>
    </row>
    <row r="981" spans="1:68" s="56" customFormat="1" ht="53.25" hidden="1">
      <c r="A981" s="204" t="str">
        <f>+IFERROR(VALUE(MID(AB981,4,4)),"")</f>
        <v/>
      </c>
      <c r="B981" s="204">
        <f>VALUE(RIGHT(C981,LEN(C981)-2))</f>
        <v>1742</v>
      </c>
      <c r="C981" s="74" t="s">
        <v>3708</v>
      </c>
      <c r="D981" s="75">
        <v>45035</v>
      </c>
      <c r="E981" s="68" t="s">
        <v>473</v>
      </c>
      <c r="F981" s="68" t="s">
        <v>473</v>
      </c>
      <c r="G981" s="68" t="s">
        <v>3709</v>
      </c>
      <c r="H981" s="59" t="s">
        <v>3710</v>
      </c>
      <c r="I981" s="69" t="s">
        <v>3711</v>
      </c>
      <c r="J981" s="69"/>
      <c r="K981" s="68" t="s">
        <v>13</v>
      </c>
      <c r="L981" s="69" t="s">
        <v>120</v>
      </c>
      <c r="M981" s="71" t="s">
        <v>141</v>
      </c>
      <c r="N981" s="69" t="e" vm="1">
        <v>#VALUE!</v>
      </c>
      <c r="O981" s="84">
        <v>45041</v>
      </c>
      <c r="P981" s="69" t="s">
        <v>1058</v>
      </c>
      <c r="Q981" s="69" t="s">
        <v>229</v>
      </c>
      <c r="R981" s="69"/>
      <c r="S981" s="146" t="s">
        <v>3712</v>
      </c>
      <c r="T981" s="68" t="s">
        <v>165</v>
      </c>
      <c r="U981" s="87"/>
      <c r="V981" s="80">
        <v>45099</v>
      </c>
      <c r="W981" s="73">
        <v>1758</v>
      </c>
      <c r="X981" s="73">
        <f>2053.6*35750/1000000</f>
        <v>73.416200000000003</v>
      </c>
      <c r="Y981" s="83">
        <f>IF(SUM(W981:W981)&gt;0,X981/SUM(W981:W981)*1000000,"N/A")</f>
        <v>41761.205915813429</v>
      </c>
      <c r="Z981" s="80"/>
      <c r="AA981" s="80"/>
      <c r="AB981" s="73"/>
      <c r="AC981" s="75"/>
      <c r="AD981" s="332"/>
      <c r="AE981" s="68"/>
      <c r="AF981" s="73"/>
      <c r="AG981" s="182">
        <f>YEAR(V981)</f>
        <v>2023</v>
      </c>
      <c r="AH981" s="86" t="str">
        <f>+IF(AF981=$AI$22,MONTH(U981),"")</f>
        <v/>
      </c>
      <c r="AI981" s="86" t="str">
        <f>+IF(AG981=$AI$22,MONTH(V981),"")</f>
        <v/>
      </c>
      <c r="AJ981" s="86" t="str">
        <f>+IF(AG981=$AJ$22,MONTH(V981),"")</f>
        <v/>
      </c>
      <c r="AK981" s="86">
        <f>+IF(AG981=$AK$22,MONTH(V981),"")</f>
        <v>6</v>
      </c>
      <c r="AL981" s="86" t="str">
        <f>+IF(AG981=$AL$22,MONTH(V981),"")</f>
        <v/>
      </c>
      <c r="AM981" s="86" t="str">
        <f>+IF($AG981=$AM$22,MONTH($D981),"")</f>
        <v/>
      </c>
      <c r="AN981" s="89" t="str">
        <f>+IF($AG981=AN$22,MONTH($D981),"")</f>
        <v/>
      </c>
      <c r="AO981" s="184" t="str">
        <f>+IF($AG981=AO$22,MONTH($D981),"")</f>
        <v/>
      </c>
      <c r="AP981" s="184" t="str">
        <f>+IF($AG981=AP$22,MONTH($D981),"")</f>
        <v/>
      </c>
      <c r="AQ981" s="184" t="str">
        <f>+IF($AG981=AQ$22,MONTH($D981),"")</f>
        <v/>
      </c>
      <c r="AR981" s="184" t="str">
        <f>+IF($AG981=AR$22,MONTH($D981),"")</f>
        <v/>
      </c>
      <c r="AS981" s="184" t="str">
        <f>+IF($AG981=AS$22,MONTH($D981),"")</f>
        <v/>
      </c>
      <c r="AT981" s="86" t="str">
        <f>+IF($AG981=AT$22,MONTH($D981),"")</f>
        <v/>
      </c>
      <c r="AU981" s="86" t="str">
        <f>+IF($AG981=AU$22,MONTH($D981),"")</f>
        <v/>
      </c>
      <c r="AV981" s="86" t="str">
        <f>+IF($AG981=AV$22,MONTH($D981),"")</f>
        <v/>
      </c>
      <c r="AW981" s="86" t="str">
        <f>+IF($AG981=AW$22,MONTH($D981),"")</f>
        <v/>
      </c>
      <c r="AX981" s="86" t="str">
        <f>+IF($AG981=AX$22,MONTH($D981),"")</f>
        <v/>
      </c>
      <c r="AY981" s="89"/>
      <c r="AZ981" s="89"/>
      <c r="BA981" s="89"/>
      <c r="BB981" s="89"/>
      <c r="BC981" s="89"/>
      <c r="BD981" s="89"/>
      <c r="BE981" s="89"/>
      <c r="BF981" s="89"/>
      <c r="BG981" s="89"/>
      <c r="BH981" s="89"/>
      <c r="BI981" s="89"/>
      <c r="BJ981" s="89"/>
      <c r="BK981" s="89"/>
      <c r="BL981" s="89"/>
      <c r="BM981" s="89"/>
      <c r="BN981" s="89"/>
      <c r="BO981" s="89"/>
      <c r="BP981" s="89"/>
    </row>
    <row r="982" spans="1:68" s="56" customFormat="1" ht="27" hidden="1">
      <c r="A982" s="204" t="str">
        <f>+IFERROR(VALUE(MID(AB982,4,4)),"")</f>
        <v/>
      </c>
      <c r="B982" s="204">
        <f>VALUE(RIGHT(C982,LEN(C982)-2))</f>
        <v>1741</v>
      </c>
      <c r="C982" s="74" t="s">
        <v>3713</v>
      </c>
      <c r="D982" s="75">
        <v>45034</v>
      </c>
      <c r="E982" s="70" t="s">
        <v>853</v>
      </c>
      <c r="F982" s="70" t="s">
        <v>51</v>
      </c>
      <c r="G982" s="68" t="s">
        <v>3714</v>
      </c>
      <c r="H982" s="59" t="s">
        <v>1558</v>
      </c>
      <c r="I982" s="69" t="s">
        <v>3715</v>
      </c>
      <c r="J982" s="69"/>
      <c r="K982" s="68" t="s">
        <v>9</v>
      </c>
      <c r="L982" s="69" t="s">
        <v>120</v>
      </c>
      <c r="M982" s="71" t="s">
        <v>141</v>
      </c>
      <c r="N982" s="69" t="e" vm="1">
        <v>#VALUE!</v>
      </c>
      <c r="O982" s="84">
        <v>45036</v>
      </c>
      <c r="P982" s="72" t="s">
        <v>402</v>
      </c>
      <c r="Q982" s="72" t="s">
        <v>623</v>
      </c>
      <c r="R982" s="162"/>
      <c r="S982" s="146"/>
      <c r="T982" s="68" t="s">
        <v>165</v>
      </c>
      <c r="U982" s="87">
        <v>0</v>
      </c>
      <c r="V982" s="80">
        <v>45113</v>
      </c>
      <c r="W982" s="73">
        <v>1046</v>
      </c>
      <c r="X982" s="73">
        <v>51</v>
      </c>
      <c r="Y982" s="83">
        <f>IF(SUM(W982:W982)&gt;0,X982/SUM(W982:W982)*1000000,"N/A")</f>
        <v>48757.17017208413</v>
      </c>
      <c r="Z982" s="80"/>
      <c r="AA982" s="80"/>
      <c r="AB982" s="73"/>
      <c r="AC982" s="153"/>
      <c r="AD982" s="331"/>
      <c r="AE982" s="57"/>
      <c r="AF982" s="88"/>
      <c r="AG982" s="182">
        <f>YEAR(V982)</f>
        <v>2023</v>
      </c>
      <c r="AH982" s="86" t="str">
        <f>+IF(AF982=$AI$22,MONTH(U982),"")</f>
        <v/>
      </c>
      <c r="AI982" s="86" t="str">
        <f>+IF(AG982=$AI$22,MONTH(V982),"")</f>
        <v/>
      </c>
      <c r="AJ982" s="86" t="str">
        <f>+IF(AG982=$AJ$22,MONTH(V982),"")</f>
        <v/>
      </c>
      <c r="AK982" s="86">
        <f>+IF(AG982=$AK$22,MONTH(V982),"")</f>
        <v>7</v>
      </c>
      <c r="AL982" s="86" t="str">
        <f>+IF(AG982=$AL$22,MONTH(V982),"")</f>
        <v/>
      </c>
      <c r="AM982" s="86" t="str">
        <f>+IF($AG982=$AM$22,MONTH($D982),"")</f>
        <v/>
      </c>
      <c r="AN982" s="89" t="str">
        <f>+IF($AG982=AN$22,MONTH($D982),"")</f>
        <v/>
      </c>
      <c r="AO982" s="89" t="str">
        <f>+IF($AG982=AO$22,MONTH($D982),"")</f>
        <v/>
      </c>
      <c r="AP982" s="89" t="str">
        <f>+IF($AG982=AP$22,MONTH($D982),"")</f>
        <v/>
      </c>
      <c r="AQ982" s="89" t="str">
        <f>+IF($AG982=AQ$22,MONTH($D982),"")</f>
        <v/>
      </c>
      <c r="AR982" s="89" t="str">
        <f>+IF($AG982=AR$22,MONTH($D982),"")</f>
        <v/>
      </c>
      <c r="AS982" s="89" t="str">
        <f>+IF($AG982=AS$22,MONTH($D982),"")</f>
        <v/>
      </c>
      <c r="AT982" s="89" t="str">
        <f>+IF($AG982=AT$22,MONTH($D982),"")</f>
        <v/>
      </c>
      <c r="AU982" s="89" t="str">
        <f>+IF($AG982=AU$22,MONTH($D982),"")</f>
        <v/>
      </c>
      <c r="AV982" s="89" t="str">
        <f>+IF($AG982=AV$22,MONTH($D982),"")</f>
        <v/>
      </c>
      <c r="AW982" s="86" t="str">
        <f>+IF($AG982=AW$22,MONTH($D982),"")</f>
        <v/>
      </c>
      <c r="AX982" s="86" t="str">
        <f>+IF($AG982=AX$22,MONTH($D982),"")</f>
        <v/>
      </c>
      <c r="AY982" s="89"/>
      <c r="AZ982" s="89"/>
      <c r="BA982" s="89"/>
      <c r="BB982" s="89"/>
      <c r="BC982" s="89"/>
      <c r="BD982" s="89"/>
      <c r="BE982" s="89"/>
      <c r="BF982" s="89"/>
      <c r="BG982" s="89"/>
      <c r="BH982" s="89"/>
      <c r="BI982" s="89"/>
      <c r="BJ982" s="89"/>
      <c r="BK982" s="89"/>
      <c r="BL982" s="89"/>
      <c r="BM982" s="89"/>
      <c r="BN982" s="89"/>
      <c r="BO982" s="89"/>
      <c r="BP982" s="89"/>
    </row>
    <row r="983" spans="1:68" s="56" customFormat="1" ht="13.5" hidden="1">
      <c r="A983" s="204" t="str">
        <f>+IFERROR(VALUE(MID(AB983,4,4)),"")</f>
        <v/>
      </c>
      <c r="B983" s="204">
        <f>VALUE(RIGHT(C983,LEN(C983)-2))</f>
        <v>1740</v>
      </c>
      <c r="C983" s="74" t="s">
        <v>3716</v>
      </c>
      <c r="D983" s="75">
        <v>45033</v>
      </c>
      <c r="E983" s="70" t="s">
        <v>2983</v>
      </c>
      <c r="F983" s="70" t="s">
        <v>51</v>
      </c>
      <c r="G983" s="68" t="s">
        <v>256</v>
      </c>
      <c r="H983" s="59"/>
      <c r="I983" s="69" t="s">
        <v>3717</v>
      </c>
      <c r="J983" s="69"/>
      <c r="K983" s="68" t="s">
        <v>275</v>
      </c>
      <c r="L983" s="69" t="s">
        <v>123</v>
      </c>
      <c r="M983" s="71" t="s">
        <v>141</v>
      </c>
      <c r="N983" s="69" t="e" vm="1">
        <v>#VALUE!</v>
      </c>
      <c r="O983" s="84">
        <v>45042</v>
      </c>
      <c r="P983" s="72" t="s">
        <v>749</v>
      </c>
      <c r="Q983" s="72" t="s">
        <v>229</v>
      </c>
      <c r="R983" s="162"/>
      <c r="S983" s="146"/>
      <c r="T983" s="68" t="s">
        <v>165</v>
      </c>
      <c r="U983" s="87"/>
      <c r="V983" s="80">
        <v>45075</v>
      </c>
      <c r="W983" s="73">
        <v>1700</v>
      </c>
      <c r="X983" s="73">
        <f>2600*35950/1000000</f>
        <v>93.47</v>
      </c>
      <c r="Y983" s="83">
        <f>IF(SUM(W983:W983)&gt;0,X983/SUM(W983:W983)*1000000,"N/A")</f>
        <v>54982.352941176468</v>
      </c>
      <c r="Z983" s="80"/>
      <c r="AA983" s="80"/>
      <c r="AB983" s="73"/>
      <c r="AC983" s="153"/>
      <c r="AD983" s="331"/>
      <c r="AE983" s="57"/>
      <c r="AF983" s="88"/>
      <c r="AG983" s="182">
        <f>YEAR(V983)</f>
        <v>2023</v>
      </c>
      <c r="AH983" s="86" t="str">
        <f>+IF(AF983=$AI$22,MONTH(U983),"")</f>
        <v/>
      </c>
      <c r="AI983" s="86" t="str">
        <f>+IF(AG983=$AI$22,MONTH(V983),"")</f>
        <v/>
      </c>
      <c r="AJ983" s="86" t="str">
        <f>+IF(AG983=$AJ$22,MONTH(V983),"")</f>
        <v/>
      </c>
      <c r="AK983" s="86">
        <f>+IF(AG983=$AK$22,MONTH(V983),"")</f>
        <v>5</v>
      </c>
      <c r="AL983" s="86" t="str">
        <f>+IF(AG983=$AL$22,MONTH(V983),"")</f>
        <v/>
      </c>
      <c r="AM983" s="86" t="str">
        <f>+IF($AG983=$AM$22,MONTH($D983),"")</f>
        <v/>
      </c>
      <c r="AN983" s="89" t="str">
        <f>+IF($AG983=AN$22,MONTH($D983),"")</f>
        <v/>
      </c>
      <c r="AO983" s="89" t="str">
        <f>+IF($AG983=AO$22,MONTH($D983),"")</f>
        <v/>
      </c>
      <c r="AP983" s="89" t="str">
        <f>+IF($AG983=AP$22,MONTH($D983),"")</f>
        <v/>
      </c>
      <c r="AQ983" s="89" t="str">
        <f>+IF($AG983=AQ$22,MONTH($D983),"")</f>
        <v/>
      </c>
      <c r="AR983" s="89" t="str">
        <f>+IF($AG983=AR$22,MONTH($D983),"")</f>
        <v/>
      </c>
      <c r="AS983" s="89" t="str">
        <f>+IF($AG983=AS$22,MONTH($D983),"")</f>
        <v/>
      </c>
      <c r="AT983" s="89" t="str">
        <f>+IF($AG983=AT$22,MONTH($D983),"")</f>
        <v/>
      </c>
      <c r="AU983" s="89" t="str">
        <f>+IF($AG983=AU$22,MONTH($D983),"")</f>
        <v/>
      </c>
      <c r="AV983" s="89" t="str">
        <f>+IF($AG983=AV$22,MONTH($D983),"")</f>
        <v/>
      </c>
      <c r="AW983" s="86" t="str">
        <f>+IF($AG983=AW$22,MONTH($D983),"")</f>
        <v/>
      </c>
      <c r="AX983" s="86" t="str">
        <f>+IF($AG983=AX$22,MONTH($D983),"")</f>
        <v/>
      </c>
      <c r="AY983" s="89"/>
      <c r="AZ983" s="89"/>
      <c r="BA983" s="89"/>
      <c r="BB983" s="89"/>
      <c r="BC983" s="89"/>
      <c r="BD983" s="89"/>
      <c r="BE983" s="89"/>
      <c r="BF983" s="89"/>
      <c r="BG983" s="89"/>
      <c r="BH983" s="89"/>
      <c r="BI983" s="89"/>
      <c r="BJ983" s="89"/>
      <c r="BK983" s="89"/>
      <c r="BL983" s="89"/>
      <c r="BM983" s="89"/>
      <c r="BN983" s="89"/>
      <c r="BO983" s="89"/>
      <c r="BP983" s="89"/>
    </row>
    <row r="984" spans="1:68" s="56" customFormat="1" ht="13.5" hidden="1">
      <c r="A984" s="204">
        <f>+IFERROR(VALUE(MID(AB984,4,4)),"")</f>
        <v>339</v>
      </c>
      <c r="B984" s="204">
        <f>VALUE(RIGHT(C984,LEN(C984)-2))</f>
        <v>1739</v>
      </c>
      <c r="C984" s="74" t="s">
        <v>3718</v>
      </c>
      <c r="D984" s="75">
        <v>45033</v>
      </c>
      <c r="E984" s="70" t="s">
        <v>262</v>
      </c>
      <c r="F984" s="70" t="s">
        <v>270</v>
      </c>
      <c r="G984" s="68" t="s">
        <v>1493</v>
      </c>
      <c r="H984" s="111" t="s">
        <v>1494</v>
      </c>
      <c r="I984" s="69" t="s">
        <v>3719</v>
      </c>
      <c r="J984" s="69"/>
      <c r="K984" s="68" t="s">
        <v>12</v>
      </c>
      <c r="L984" s="69" t="s">
        <v>123</v>
      </c>
      <c r="M984" s="71" t="s">
        <v>141</v>
      </c>
      <c r="N984" s="69" t="e" vm="1">
        <v>#VALUE!</v>
      </c>
      <c r="O984" s="84">
        <v>45054</v>
      </c>
      <c r="P984" s="72" t="s">
        <v>402</v>
      </c>
      <c r="Q984" s="72" t="s">
        <v>623</v>
      </c>
      <c r="R984" s="162"/>
      <c r="S984" s="146" t="s">
        <v>3720</v>
      </c>
      <c r="T984" s="68" t="s">
        <v>3</v>
      </c>
      <c r="U984" s="87"/>
      <c r="V984" s="80">
        <v>45075</v>
      </c>
      <c r="W984" s="73">
        <v>5954</v>
      </c>
      <c r="X984" s="73">
        <v>283.89999999999998</v>
      </c>
      <c r="Y984" s="83">
        <f>IF(SUM(W984:W984)&gt;0,X984/SUM(W984:W984)*1000000,"N/A")</f>
        <v>47682.230433322133</v>
      </c>
      <c r="Z984" s="80"/>
      <c r="AA984" s="80"/>
      <c r="AB984" s="73" t="s">
        <v>3096</v>
      </c>
      <c r="AC984" s="153"/>
      <c r="AD984" s="331"/>
      <c r="AE984" s="57"/>
      <c r="AF984" s="88"/>
      <c r="AG984" s="182">
        <f>YEAR(V984)</f>
        <v>2023</v>
      </c>
      <c r="AH984" s="86" t="str">
        <f>+IF(AF984=$AI$22,MONTH(U984),"")</f>
        <v/>
      </c>
      <c r="AI984" s="86" t="str">
        <f>+IF(AG984=$AI$22,MONTH(V984),"")</f>
        <v/>
      </c>
      <c r="AJ984" s="86" t="str">
        <f>+IF(AG984=$AJ$22,MONTH(V984),"")</f>
        <v/>
      </c>
      <c r="AK984" s="86">
        <f>+IF(AG984=$AK$22,MONTH(V984),"")</f>
        <v>5</v>
      </c>
      <c r="AL984" s="86" t="str">
        <f>+IF(AG984=$AL$22,MONTH(V984),"")</f>
        <v/>
      </c>
      <c r="AM984" s="86" t="str">
        <f>+IF($AG984=$AM$22,MONTH($D984),"")</f>
        <v/>
      </c>
      <c r="AN984" s="89" t="str">
        <f>+IF($AG984=AN$22,MONTH($D984),"")</f>
        <v/>
      </c>
      <c r="AO984" s="89" t="str">
        <f>+IF($AG984=AO$22,MONTH($D984),"")</f>
        <v/>
      </c>
      <c r="AP984" s="89" t="str">
        <f>+IF($AG984=AP$22,MONTH($D984),"")</f>
        <v/>
      </c>
      <c r="AQ984" s="89" t="str">
        <f>+IF($AG984=AQ$22,MONTH($D984),"")</f>
        <v/>
      </c>
      <c r="AR984" s="89" t="str">
        <f>+IF($AG984=AR$22,MONTH($D984),"")</f>
        <v/>
      </c>
      <c r="AS984" s="89" t="str">
        <f>+IF($AG984=AS$22,MONTH($D984),"")</f>
        <v/>
      </c>
      <c r="AT984" s="89" t="str">
        <f>+IF($AG984=AT$22,MONTH($D984),"")</f>
        <v/>
      </c>
      <c r="AU984" s="89" t="str">
        <f>+IF($AG984=AU$22,MONTH($D984),"")</f>
        <v/>
      </c>
      <c r="AV984" s="89" t="str">
        <f>+IF($AG984=AV$22,MONTH($D984),"")</f>
        <v/>
      </c>
      <c r="AW984" s="86" t="str">
        <f>+IF($AG984=AW$22,MONTH($D984),"")</f>
        <v/>
      </c>
      <c r="AX984" s="86" t="str">
        <f>+IF($AG984=AX$22,MONTH($D984),"")</f>
        <v/>
      </c>
      <c r="AY984" s="89"/>
      <c r="AZ984" s="89"/>
      <c r="BA984" s="89"/>
      <c r="BB984" s="89"/>
      <c r="BC984" s="89"/>
      <c r="BD984" s="89"/>
      <c r="BE984" s="89"/>
      <c r="BF984" s="89"/>
      <c r="BG984" s="89"/>
      <c r="BH984" s="89"/>
      <c r="BI984" s="89"/>
      <c r="BJ984" s="89"/>
      <c r="BK984" s="89"/>
      <c r="BL984" s="89"/>
      <c r="BM984" s="89"/>
      <c r="BN984" s="89"/>
      <c r="BO984" s="89"/>
      <c r="BP984" s="89"/>
    </row>
    <row r="985" spans="1:68" s="56" customFormat="1" ht="24" hidden="1" customHeight="1">
      <c r="A985" s="204" t="str">
        <f>+IFERROR(VALUE(MID(AB985,4,4)),"")</f>
        <v/>
      </c>
      <c r="B985" s="204">
        <f>VALUE(RIGHT(C985,LEN(C985)-2))</f>
        <v>1738</v>
      </c>
      <c r="C985" s="74" t="s">
        <v>3721</v>
      </c>
      <c r="D985" s="75">
        <v>45027</v>
      </c>
      <c r="E985" s="70" t="s">
        <v>53</v>
      </c>
      <c r="F985" s="70" t="s">
        <v>313</v>
      </c>
      <c r="G985" s="68" t="s">
        <v>3722</v>
      </c>
      <c r="H985" s="59" t="s">
        <v>256</v>
      </c>
      <c r="I985" s="69" t="s">
        <v>3723</v>
      </c>
      <c r="J985" s="69"/>
      <c r="K985" s="68" t="s">
        <v>11</v>
      </c>
      <c r="L985" s="69" t="s">
        <v>123</v>
      </c>
      <c r="M985" s="71" t="s">
        <v>141</v>
      </c>
      <c r="N985" s="69" t="e" vm="1">
        <v>#VALUE!</v>
      </c>
      <c r="O985" s="84">
        <v>45063</v>
      </c>
      <c r="P985" s="72" t="s">
        <v>402</v>
      </c>
      <c r="Q985" s="72" t="s">
        <v>316</v>
      </c>
      <c r="R985" s="162"/>
      <c r="S985" s="146" t="s">
        <v>3724</v>
      </c>
      <c r="T985" s="68" t="s">
        <v>155</v>
      </c>
      <c r="U985" s="87"/>
      <c r="V985" s="80">
        <v>45063</v>
      </c>
      <c r="W985" s="150"/>
      <c r="X985" s="150"/>
      <c r="Y985" s="83" t="str">
        <f>IF(SUM(W985:W985)&gt;0,X985/SUM(W985:W985)*1000000,"N/A")</f>
        <v>N/A</v>
      </c>
      <c r="Z985" s="80"/>
      <c r="AA985" s="80"/>
      <c r="AB985" s="73"/>
      <c r="AC985" s="153"/>
      <c r="AD985" s="331"/>
      <c r="AE985" s="57"/>
      <c r="AF985" s="88"/>
      <c r="AG985" s="182">
        <f>YEAR(V985)</f>
        <v>2023</v>
      </c>
      <c r="AH985" s="86" t="str">
        <f>+IF(AF985=$AI$22,MONTH(U985),"")</f>
        <v/>
      </c>
      <c r="AI985" s="86" t="str">
        <f>+IF(AG985=$AI$22,MONTH(V985),"")</f>
        <v/>
      </c>
      <c r="AJ985" s="86" t="str">
        <f>+IF(AG985=$AJ$22,MONTH(V985),"")</f>
        <v/>
      </c>
      <c r="AK985" s="86">
        <f>+IF(AG985=$AK$22,MONTH(V985),"")</f>
        <v>5</v>
      </c>
      <c r="AL985" s="86"/>
      <c r="AM985" s="89"/>
      <c r="AN985" s="89"/>
      <c r="AO985" s="89"/>
      <c r="AP985" s="89"/>
      <c r="AQ985" s="89"/>
      <c r="AR985" s="89"/>
      <c r="AS985" s="89"/>
      <c r="AT985" s="89"/>
      <c r="AU985" s="89"/>
      <c r="AV985" s="89"/>
      <c r="AW985" s="86" t="str">
        <f>+IF($AG985=AW$22,MONTH($D985),"")</f>
        <v/>
      </c>
      <c r="AX985" s="86" t="str">
        <f>+IF($AG985=AX$22,MONTH($D985),"")</f>
        <v/>
      </c>
      <c r="AY985" s="89"/>
      <c r="AZ985" s="89"/>
      <c r="BA985" s="89"/>
      <c r="BB985" s="89"/>
      <c r="BC985" s="89"/>
      <c r="BD985" s="89"/>
      <c r="BE985" s="89"/>
      <c r="BF985" s="89"/>
      <c r="BG985" s="89"/>
      <c r="BH985" s="89"/>
      <c r="BI985" s="89"/>
      <c r="BJ985" s="89"/>
      <c r="BK985" s="89"/>
      <c r="BL985" s="89"/>
      <c r="BM985" s="89"/>
      <c r="BN985" s="89"/>
      <c r="BO985" s="89"/>
      <c r="BP985" s="89"/>
    </row>
    <row r="986" spans="1:68" s="56" customFormat="1" ht="67.5" hidden="1">
      <c r="A986" s="204" t="str">
        <f>+IFERROR(VALUE(MID(AB986,4,4)),"")</f>
        <v/>
      </c>
      <c r="B986" s="204">
        <f>VALUE(RIGHT(C986,LEN(C986)-2))</f>
        <v>1737</v>
      </c>
      <c r="C986" s="74" t="s">
        <v>3725</v>
      </c>
      <c r="D986" s="75">
        <v>45015</v>
      </c>
      <c r="E986" s="70" t="s">
        <v>394</v>
      </c>
      <c r="F986" s="70" t="s">
        <v>394</v>
      </c>
      <c r="G986" s="68" t="s">
        <v>3726</v>
      </c>
      <c r="H986" s="59" t="s">
        <v>3727</v>
      </c>
      <c r="I986" s="69" t="s">
        <v>3728</v>
      </c>
      <c r="J986" s="69"/>
      <c r="K986" s="68" t="s">
        <v>13</v>
      </c>
      <c r="L986" s="69" t="s">
        <v>120</v>
      </c>
      <c r="M986" s="71" t="s">
        <v>141</v>
      </c>
      <c r="N986" s="69" t="e" vm="1">
        <v>#VALUE!</v>
      </c>
      <c r="O986" s="84">
        <v>45048</v>
      </c>
      <c r="P986" s="72" t="s">
        <v>1058</v>
      </c>
      <c r="Q986" s="72" t="s">
        <v>623</v>
      </c>
      <c r="R986" s="162"/>
      <c r="S986" s="146" t="s">
        <v>3729</v>
      </c>
      <c r="T986" s="68" t="s">
        <v>165</v>
      </c>
      <c r="U986" s="87"/>
      <c r="V986" s="80">
        <v>45240</v>
      </c>
      <c r="W986" s="73">
        <v>3460</v>
      </c>
      <c r="X986" s="73">
        <v>145</v>
      </c>
      <c r="Y986" s="83">
        <f>IF(SUM(W986:W986)&gt;0,X986/SUM(W986:W986)*1000000,"N/A")</f>
        <v>41907.514450867049</v>
      </c>
      <c r="Z986" s="80"/>
      <c r="AA986" s="80"/>
      <c r="AB986" s="73"/>
      <c r="AC986" s="153"/>
      <c r="AD986" s="331"/>
      <c r="AE986" s="57"/>
      <c r="AF986" s="88"/>
      <c r="AG986" s="182">
        <f>YEAR(V986)</f>
        <v>2023</v>
      </c>
      <c r="AH986" s="86" t="str">
        <f>+IF(AF986=$AI$22,MONTH(U986),"")</f>
        <v/>
      </c>
      <c r="AI986" s="86" t="str">
        <f>+IF(AG986=$AI$22,MONTH(V986),"")</f>
        <v/>
      </c>
      <c r="AJ986" s="86" t="str">
        <f>+IF(AG986=$AJ$22,MONTH(V986),"")</f>
        <v/>
      </c>
      <c r="AK986" s="86">
        <f>+IF(AG986=$AK$22,MONTH(V986),"")</f>
        <v>11</v>
      </c>
      <c r="AL986" s="86" t="str">
        <f>+IF(AG986=$AL$22,MONTH(V986),"")</f>
        <v/>
      </c>
      <c r="AM986" s="86" t="str">
        <f>+IF($AG986=$AM$22,MONTH($D986),"")</f>
        <v/>
      </c>
      <c r="AN986" s="89" t="str">
        <f>+IF($AG986=AN$22,MONTH($D986),"")</f>
        <v/>
      </c>
      <c r="AO986" s="89" t="str">
        <f>+IF($AG986=AO$22,MONTH($D986),"")</f>
        <v/>
      </c>
      <c r="AP986" s="89" t="str">
        <f>+IF($AG986=AP$22,MONTH($D986),"")</f>
        <v/>
      </c>
      <c r="AQ986" s="89" t="str">
        <f>+IF($AG986=AQ$22,MONTH($D986),"")</f>
        <v/>
      </c>
      <c r="AR986" s="89" t="str">
        <f>+IF($AG986=AR$22,MONTH($D986),"")</f>
        <v/>
      </c>
      <c r="AS986" s="89" t="str">
        <f>+IF($AG986=AS$22,MONTH($D986),"")</f>
        <v/>
      </c>
      <c r="AT986" s="89" t="str">
        <f>+IF($AG986=AT$22,MONTH($D986),"")</f>
        <v/>
      </c>
      <c r="AU986" s="89" t="str">
        <f>+IF($AG986=AU$22,MONTH($D986),"")</f>
        <v/>
      </c>
      <c r="AV986" s="89" t="str">
        <f>+IF($AG986=AV$22,MONTH($D986),"")</f>
        <v/>
      </c>
      <c r="AW986" s="86" t="str">
        <f>+IF($AG986=AW$22,MONTH($D986),"")</f>
        <v/>
      </c>
      <c r="AX986" s="86" t="str">
        <f>+IF($AG986=AX$22,MONTH($D986),"")</f>
        <v/>
      </c>
      <c r="AY986" s="89"/>
      <c r="AZ986" s="89"/>
      <c r="BA986" s="89"/>
      <c r="BB986" s="89"/>
      <c r="BC986" s="89"/>
      <c r="BD986" s="89"/>
      <c r="BE986" s="89"/>
      <c r="BF986" s="89"/>
      <c r="BG986" s="89"/>
      <c r="BH986" s="89"/>
      <c r="BI986" s="89"/>
      <c r="BJ986" s="89"/>
      <c r="BK986" s="89"/>
      <c r="BL986" s="89"/>
      <c r="BM986" s="89"/>
      <c r="BN986" s="89"/>
      <c r="BO986" s="89"/>
      <c r="BP986" s="89"/>
    </row>
    <row r="987" spans="1:68" s="56" customFormat="1" ht="27" hidden="1">
      <c r="A987" s="204" t="str">
        <f>+IFERROR(VALUE(MID(AB987,4,4)),"")</f>
        <v/>
      </c>
      <c r="B987" s="204">
        <f>VALUE(RIGHT(C987,LEN(C987)-2))</f>
        <v>1736</v>
      </c>
      <c r="C987" s="74" t="s">
        <v>3730</v>
      </c>
      <c r="D987" s="75">
        <v>45027</v>
      </c>
      <c r="E987" s="70" t="s">
        <v>3731</v>
      </c>
      <c r="F987" s="70" t="s">
        <v>252</v>
      </c>
      <c r="G987" s="68" t="s">
        <v>3270</v>
      </c>
      <c r="H987" s="59" t="s">
        <v>3271</v>
      </c>
      <c r="I987" s="69" t="s">
        <v>3732</v>
      </c>
      <c r="J987" s="69"/>
      <c r="K987" s="68" t="s">
        <v>25</v>
      </c>
      <c r="L987" s="69" t="s">
        <v>120</v>
      </c>
      <c r="M987" s="71" t="s">
        <v>141</v>
      </c>
      <c r="N987" s="69" t="e" vm="1">
        <v>#VALUE!</v>
      </c>
      <c r="O987" s="84">
        <v>45034</v>
      </c>
      <c r="P987" s="72" t="s">
        <v>402</v>
      </c>
      <c r="Q987" s="72" t="s">
        <v>229</v>
      </c>
      <c r="R987" s="162"/>
      <c r="S987" s="146"/>
      <c r="T987" s="68" t="s">
        <v>165</v>
      </c>
      <c r="U987" s="87"/>
      <c r="V987" s="80">
        <v>45448</v>
      </c>
      <c r="W987" s="73">
        <v>166</v>
      </c>
      <c r="X987" s="73">
        <f>292*35575/1000000</f>
        <v>10.3879</v>
      </c>
      <c r="Y987" s="83">
        <f>IF(SUM(W987:W987)&gt;0,X987/SUM(W987:W987)*1000000,"N/A")</f>
        <v>62577.71084337349</v>
      </c>
      <c r="Z987" s="80"/>
      <c r="AA987" s="80"/>
      <c r="AB987" s="73"/>
      <c r="AC987" s="153"/>
      <c r="AD987" s="331"/>
      <c r="AE987" s="57"/>
      <c r="AF987" s="88"/>
      <c r="AG987" s="182">
        <f>YEAR(V987)</f>
        <v>2024</v>
      </c>
      <c r="AH987" s="86" t="str">
        <f>+IF(AF987=$AI$22,MONTH(U987),"")</f>
        <v/>
      </c>
      <c r="AI987" s="86" t="str">
        <f>+IF(AG987=$AI$22,MONTH(V987),"")</f>
        <v/>
      </c>
      <c r="AJ987" s="86">
        <f>+IF(AG987=$AJ$22,MONTH(V987),"")</f>
        <v>6</v>
      </c>
      <c r="AK987" s="86" t="str">
        <f>+IF(AG987=$AK$22,MONTH(V987),"")</f>
        <v/>
      </c>
      <c r="AL987" s="86" t="str">
        <f>+IF(AG987=$AL$22,MONTH(V987),"")</f>
        <v/>
      </c>
      <c r="AM987" s="86" t="str">
        <f>+IF($AG987=$AM$22,MONTH($D987),"")</f>
        <v/>
      </c>
      <c r="AN987" s="89" t="str">
        <f>+IF($AG987=AN$22,MONTH($D987),"")</f>
        <v/>
      </c>
      <c r="AO987" s="89" t="str">
        <f>+IF($AG987=AO$22,MONTH($D987),"")</f>
        <v/>
      </c>
      <c r="AP987" s="89" t="str">
        <f>+IF($AG987=AP$22,MONTH($D987),"")</f>
        <v/>
      </c>
      <c r="AQ987" s="89" t="str">
        <f>+IF($AG987=AQ$22,MONTH($D987),"")</f>
        <v/>
      </c>
      <c r="AR987" s="89" t="str">
        <f>+IF($AG987=AR$22,MONTH($D987),"")</f>
        <v/>
      </c>
      <c r="AS987" s="89" t="str">
        <f>+IF($AG987=AS$22,MONTH($D987),"")</f>
        <v/>
      </c>
      <c r="AT987" s="89" t="str">
        <f>+IF($AG987=AT$22,MONTH($D987),"")</f>
        <v/>
      </c>
      <c r="AU987" s="89" t="str">
        <f>+IF($AG987=AU$22,MONTH($D987),"")</f>
        <v/>
      </c>
      <c r="AV987" s="89" t="str">
        <f>+IF($AG987=AV$22,MONTH($D987),"")</f>
        <v/>
      </c>
      <c r="AW987" s="86" t="str">
        <f>+IF($AG987=AW$22,MONTH($D987),"")</f>
        <v/>
      </c>
      <c r="AX987" s="86" t="str">
        <f>+IF($AG987=AX$22,MONTH($D987),"")</f>
        <v/>
      </c>
      <c r="AY987" s="89"/>
      <c r="AZ987" s="89"/>
      <c r="BA987" s="89"/>
      <c r="BB987" s="89"/>
      <c r="BC987" s="89"/>
      <c r="BD987" s="89"/>
      <c r="BE987" s="89"/>
      <c r="BF987" s="89"/>
      <c r="BG987" s="89"/>
      <c r="BH987" s="89"/>
      <c r="BI987" s="89"/>
      <c r="BJ987" s="89"/>
      <c r="BK987" s="89"/>
      <c r="BL987" s="89"/>
      <c r="BM987" s="89"/>
      <c r="BN987" s="89"/>
      <c r="BO987" s="89"/>
      <c r="BP987" s="89"/>
    </row>
    <row r="988" spans="1:68" s="56" customFormat="1" ht="40.5" hidden="1">
      <c r="A988" s="204" t="str">
        <f>+IFERROR(VALUE(MID(AB988,4,4)),"")</f>
        <v/>
      </c>
      <c r="B988" s="204">
        <f>VALUE(RIGHT(C988,LEN(C988)-2))</f>
        <v>1735</v>
      </c>
      <c r="C988" s="74" t="s">
        <v>3733</v>
      </c>
      <c r="D988" s="75">
        <v>45027</v>
      </c>
      <c r="E988" s="70" t="s">
        <v>53</v>
      </c>
      <c r="F988" s="70" t="s">
        <v>252</v>
      </c>
      <c r="G988" s="68" t="s">
        <v>3646</v>
      </c>
      <c r="H988" s="59" t="s">
        <v>256</v>
      </c>
      <c r="I988" s="69" t="s">
        <v>3734</v>
      </c>
      <c r="J988" s="69"/>
      <c r="K988" s="68" t="s">
        <v>11</v>
      </c>
      <c r="L988" s="69" t="s">
        <v>123</v>
      </c>
      <c r="M988" s="71" t="s">
        <v>141</v>
      </c>
      <c r="N988" s="69" t="e" vm="1">
        <v>#VALUE!</v>
      </c>
      <c r="O988" s="84">
        <v>45084</v>
      </c>
      <c r="P988" s="72" t="s">
        <v>1641</v>
      </c>
      <c r="Q988" s="72" t="s">
        <v>229</v>
      </c>
      <c r="R988" s="162"/>
      <c r="S988" s="146" t="s">
        <v>3735</v>
      </c>
      <c r="T988" s="68" t="s">
        <v>165</v>
      </c>
      <c r="U988" s="87"/>
      <c r="V988" s="80">
        <v>45099</v>
      </c>
      <c r="W988" s="150">
        <v>9448</v>
      </c>
      <c r="X988" s="150">
        <v>359</v>
      </c>
      <c r="Y988" s="83">
        <f>IF(SUM(W988:W988)&gt;0,X988/SUM(W988:W988)*1000000,"N/A")</f>
        <v>37997.459779847588</v>
      </c>
      <c r="Z988" s="80"/>
      <c r="AA988" s="80"/>
      <c r="AB988" s="73"/>
      <c r="AC988" s="153"/>
      <c r="AD988" s="331"/>
      <c r="AE988" s="57"/>
      <c r="AF988" s="88"/>
      <c r="AG988" s="182">
        <f>YEAR(V988)</f>
        <v>2023</v>
      </c>
      <c r="AH988" s="86" t="str">
        <f>+IF(AF988=$AI$22,MONTH(U988),"")</f>
        <v/>
      </c>
      <c r="AI988" s="86" t="str">
        <f>+IF(AG988=$AI$22,MONTH(V988),"")</f>
        <v/>
      </c>
      <c r="AJ988" s="86" t="str">
        <f>+IF(AG988=$AJ$22,MONTH(V988),"")</f>
        <v/>
      </c>
      <c r="AK988" s="86">
        <f>+IF(AG988=$AK$22,MONTH(V988),"")</f>
        <v>6</v>
      </c>
      <c r="AL988" s="86"/>
      <c r="AM988" s="89"/>
      <c r="AN988" s="89"/>
      <c r="AO988" s="89"/>
      <c r="AP988" s="89"/>
      <c r="AQ988" s="89"/>
      <c r="AR988" s="89"/>
      <c r="AS988" s="89"/>
      <c r="AT988" s="89"/>
      <c r="AU988" s="89"/>
      <c r="AV988" s="89"/>
      <c r="AW988" s="86" t="str">
        <f>+IF($AG988=AW$22,MONTH($D988),"")</f>
        <v/>
      </c>
      <c r="AX988" s="86" t="str">
        <f>+IF($AG988=AX$22,MONTH($D988),"")</f>
        <v/>
      </c>
      <c r="AY988" s="89"/>
      <c r="AZ988" s="89"/>
      <c r="BA988" s="89"/>
      <c r="BB988" s="89"/>
      <c r="BC988" s="89"/>
      <c r="BD988" s="89"/>
      <c r="BE988" s="89"/>
      <c r="BF988" s="89"/>
      <c r="BG988" s="89"/>
      <c r="BH988" s="89"/>
      <c r="BI988" s="89"/>
      <c r="BJ988" s="89"/>
      <c r="BK988" s="89"/>
      <c r="BL988" s="89"/>
      <c r="BM988" s="89"/>
      <c r="BN988" s="89"/>
      <c r="BO988" s="89"/>
      <c r="BP988" s="89"/>
    </row>
    <row r="989" spans="1:68" s="56" customFormat="1" ht="13.5" hidden="1">
      <c r="A989" s="204" t="str">
        <f>+IFERROR(VALUE(MID(AB989,4,4)),"")</f>
        <v/>
      </c>
      <c r="B989" s="204">
        <f>VALUE(RIGHT(C989,LEN(C989)-2))</f>
        <v>1734</v>
      </c>
      <c r="C989" s="74" t="s">
        <v>3736</v>
      </c>
      <c r="D989" s="75">
        <v>45026</v>
      </c>
      <c r="E989" s="70" t="s">
        <v>332</v>
      </c>
      <c r="F989" s="70" t="s">
        <v>332</v>
      </c>
      <c r="G989" s="68" t="s">
        <v>3737</v>
      </c>
      <c r="H989" s="59" t="s">
        <v>3738</v>
      </c>
      <c r="I989" s="69" t="s">
        <v>3739</v>
      </c>
      <c r="J989" s="69"/>
      <c r="K989" s="68" t="s">
        <v>9</v>
      </c>
      <c r="L989" s="69" t="s">
        <v>129</v>
      </c>
      <c r="M989" s="71" t="s">
        <v>141</v>
      </c>
      <c r="N989" s="69" t="e" vm="1">
        <v>#VALUE!</v>
      </c>
      <c r="O989" s="84">
        <v>45027</v>
      </c>
      <c r="P989" s="72" t="s">
        <v>402</v>
      </c>
      <c r="Q989" s="72" t="s">
        <v>229</v>
      </c>
      <c r="R989" s="162"/>
      <c r="S989" s="146"/>
      <c r="T989" s="68" t="s">
        <v>155</v>
      </c>
      <c r="U989" s="90"/>
      <c r="V989" s="80">
        <v>45027</v>
      </c>
      <c r="W989" s="73"/>
      <c r="X989" s="73"/>
      <c r="Y989" s="83" t="str">
        <f>IF(SUM(W989:W989)&gt;0,X989/SUM(W989:W989)*1000000,"N/A")</f>
        <v>N/A</v>
      </c>
      <c r="Z989" s="80"/>
      <c r="AA989" s="80"/>
      <c r="AB989" s="73"/>
      <c r="AC989" s="153"/>
      <c r="AD989" s="331"/>
      <c r="AE989" s="57"/>
      <c r="AF989" s="88"/>
      <c r="AG989" s="182">
        <f>YEAR(V989)</f>
        <v>2023</v>
      </c>
      <c r="AH989" s="86" t="str">
        <f>+IF(AF989=$AI$22,MONTH(U989),"")</f>
        <v/>
      </c>
      <c r="AI989" s="86" t="str">
        <f>+IF(AG989=$AI$22,MONTH(V989),"")</f>
        <v/>
      </c>
      <c r="AJ989" s="86" t="str">
        <f>+IF(AG989=$AJ$22,MONTH(V989),"")</f>
        <v/>
      </c>
      <c r="AK989" s="86">
        <f>+IF(AG989=$AK$22,MONTH(V989),"")</f>
        <v>4</v>
      </c>
      <c r="AL989" s="86" t="str">
        <f>+IF(AG989=$AL$22,MONTH(V989),"")</f>
        <v/>
      </c>
      <c r="AM989" s="86" t="str">
        <f>+IF($AG989=$AM$22,MONTH($D989),"")</f>
        <v/>
      </c>
      <c r="AN989" s="89" t="str">
        <f>+IF($AG989=AN$22,MONTH($D989),"")</f>
        <v/>
      </c>
      <c r="AO989" s="89" t="str">
        <f>+IF($AG989=AO$22,MONTH($D989),"")</f>
        <v/>
      </c>
      <c r="AP989" s="89" t="str">
        <f>+IF($AG989=AP$22,MONTH($D989),"")</f>
        <v/>
      </c>
      <c r="AQ989" s="89" t="str">
        <f>+IF($AG989=AQ$22,MONTH($D989),"")</f>
        <v/>
      </c>
      <c r="AR989" s="89" t="str">
        <f>+IF($AG989=AR$22,MONTH($D989),"")</f>
        <v/>
      </c>
      <c r="AS989" s="89" t="str">
        <f>+IF($AG989=AS$22,MONTH($D989),"")</f>
        <v/>
      </c>
      <c r="AT989" s="89" t="str">
        <f>+IF($AG989=AT$22,MONTH($D989),"")</f>
        <v/>
      </c>
      <c r="AU989" s="89" t="str">
        <f>+IF($AG989=AU$22,MONTH($D989),"")</f>
        <v/>
      </c>
      <c r="AV989" s="89" t="str">
        <f>+IF($AG989=AV$22,MONTH($D989),"")</f>
        <v/>
      </c>
      <c r="AW989" s="86" t="str">
        <f>+IF($AG989=AW$22,MONTH($D989),"")</f>
        <v/>
      </c>
      <c r="AX989" s="86" t="str">
        <f>+IF($AG989=AX$22,MONTH($D989),"")</f>
        <v/>
      </c>
      <c r="AY989" s="89"/>
      <c r="AZ989" s="89"/>
      <c r="BA989" s="89"/>
      <c r="BB989" s="89"/>
      <c r="BC989" s="89"/>
      <c r="BD989" s="89"/>
      <c r="BE989" s="89"/>
      <c r="BF989" s="89"/>
      <c r="BG989" s="89"/>
      <c r="BH989" s="89"/>
      <c r="BI989" s="89"/>
      <c r="BJ989" s="89"/>
      <c r="BK989" s="89"/>
      <c r="BL989" s="89"/>
      <c r="BM989" s="89"/>
      <c r="BN989" s="89"/>
      <c r="BO989" s="89"/>
      <c r="BP989" s="89"/>
    </row>
    <row r="990" spans="1:68" s="56" customFormat="1" ht="27" hidden="1">
      <c r="A990" s="204" t="str">
        <f>+IFERROR(VALUE(MID(AB990,4,4)),"")</f>
        <v/>
      </c>
      <c r="B990" s="204">
        <f>VALUE(RIGHT(C990,LEN(C990)-2))</f>
        <v>1733</v>
      </c>
      <c r="C990" s="74" t="s">
        <v>3740</v>
      </c>
      <c r="D990" s="75">
        <v>45019</v>
      </c>
      <c r="E990" s="70" t="s">
        <v>3741</v>
      </c>
      <c r="F990" s="70" t="s">
        <v>3742</v>
      </c>
      <c r="G990" s="68" t="s">
        <v>3743</v>
      </c>
      <c r="H990" s="59" t="s">
        <v>1159</v>
      </c>
      <c r="I990" s="69" t="s">
        <v>3744</v>
      </c>
      <c r="J990" s="69"/>
      <c r="K990" s="68" t="s">
        <v>12</v>
      </c>
      <c r="L990" s="69" t="s">
        <v>120</v>
      </c>
      <c r="M990" s="71" t="s">
        <v>113</v>
      </c>
      <c r="N990" s="69" t="e" vm="2">
        <v>#VALUE!</v>
      </c>
      <c r="O990" s="84">
        <v>45027</v>
      </c>
      <c r="P990" s="72" t="s">
        <v>483</v>
      </c>
      <c r="Q990" s="72" t="s">
        <v>837</v>
      </c>
      <c r="R990" s="162"/>
      <c r="S990" s="146" t="s">
        <v>3745</v>
      </c>
      <c r="T990" s="68" t="s">
        <v>165</v>
      </c>
      <c r="U990" s="87">
        <v>0</v>
      </c>
      <c r="V990" s="80">
        <v>45106</v>
      </c>
      <c r="W990" s="73">
        <v>450</v>
      </c>
      <c r="X990" s="73">
        <v>15.6</v>
      </c>
      <c r="Y990" s="83">
        <f>IF(SUM(W990:W990)&gt;0,X990/SUM(W990:W990)*1000000,"N/A")</f>
        <v>34666.666666666664</v>
      </c>
      <c r="Z990" s="80"/>
      <c r="AA990" s="80"/>
      <c r="AB990" s="73"/>
      <c r="AC990" s="153"/>
      <c r="AD990" s="331"/>
      <c r="AE990" s="57"/>
      <c r="AF990" s="88"/>
      <c r="AG990" s="182">
        <f>YEAR(V990)</f>
        <v>2023</v>
      </c>
      <c r="AH990" s="86" t="str">
        <f>+IF(AF990=$AI$22,MONTH(U990),"")</f>
        <v/>
      </c>
      <c r="AI990" s="86" t="str">
        <f>+IF(AG990=$AI$22,MONTH(V990),"")</f>
        <v/>
      </c>
      <c r="AJ990" s="86" t="str">
        <f>+IF(AG990=$AJ$22,MONTH(V990),"")</f>
        <v/>
      </c>
      <c r="AK990" s="86">
        <f>+IF(AG990=$AK$22,MONTH(V990),"")</f>
        <v>6</v>
      </c>
      <c r="AL990" s="86" t="str">
        <f>+IF(AG990=$AL$22,MONTH(V990),"")</f>
        <v/>
      </c>
      <c r="AM990" s="86" t="str">
        <f>+IF($AG990=$AM$22,MONTH($D990),"")</f>
        <v/>
      </c>
      <c r="AN990" s="89" t="str">
        <f>+IF($AG990=AN$22,MONTH($D990),"")</f>
        <v/>
      </c>
      <c r="AO990" s="89" t="str">
        <f>+IF($AG990=AO$22,MONTH($D990),"")</f>
        <v/>
      </c>
      <c r="AP990" s="89" t="str">
        <f>+IF($AG990=AP$22,MONTH($D990),"")</f>
        <v/>
      </c>
      <c r="AQ990" s="89" t="str">
        <f>+IF($AG990=AQ$22,MONTH($D990),"")</f>
        <v/>
      </c>
      <c r="AR990" s="89" t="str">
        <f>+IF($AG990=AR$22,MONTH($D990),"")</f>
        <v/>
      </c>
      <c r="AS990" s="89" t="str">
        <f>+IF($AG990=AS$22,MONTH($D990),"")</f>
        <v/>
      </c>
      <c r="AT990" s="89" t="str">
        <f>+IF($AG990=AT$22,MONTH($D990),"")</f>
        <v/>
      </c>
      <c r="AU990" s="89" t="str">
        <f>+IF($AG990=AU$22,MONTH($D990),"")</f>
        <v/>
      </c>
      <c r="AV990" s="89" t="str">
        <f>+IF($AG990=AV$22,MONTH($D990),"")</f>
        <v/>
      </c>
      <c r="AW990" s="86" t="str">
        <f>+IF($AG990=AW$22,MONTH($D990),"")</f>
        <v/>
      </c>
      <c r="AX990" s="86" t="str">
        <f>+IF($AG990=AX$22,MONTH($D990),"")</f>
        <v/>
      </c>
      <c r="AY990" s="89"/>
      <c r="AZ990" s="89"/>
      <c r="BA990" s="89"/>
      <c r="BB990" s="89"/>
      <c r="BC990" s="89"/>
      <c r="BD990" s="89"/>
      <c r="BE990" s="89"/>
      <c r="BF990" s="89"/>
      <c r="BG990" s="89"/>
      <c r="BH990" s="89"/>
      <c r="BI990" s="89"/>
      <c r="BJ990" s="89"/>
      <c r="BK990" s="89"/>
      <c r="BL990" s="89"/>
      <c r="BM990" s="89"/>
      <c r="BN990" s="89"/>
      <c r="BO990" s="89"/>
      <c r="BP990" s="89"/>
    </row>
    <row r="991" spans="1:68" s="56" customFormat="1" ht="13.5" hidden="1">
      <c r="A991" s="204" t="str">
        <f>+IFERROR(VALUE(MID(AB991,4,4)),"")</f>
        <v/>
      </c>
      <c r="B991" s="204">
        <f>VALUE(RIGHT(C991,LEN(C991)-2))</f>
        <v>1732</v>
      </c>
      <c r="C991" s="74" t="s">
        <v>3746</v>
      </c>
      <c r="D991" s="75">
        <v>45022</v>
      </c>
      <c r="E991" s="70" t="s">
        <v>332</v>
      </c>
      <c r="F991" s="70" t="s">
        <v>332</v>
      </c>
      <c r="G991" s="68" t="s">
        <v>3737</v>
      </c>
      <c r="H991" s="59" t="s">
        <v>3738</v>
      </c>
      <c r="I991" s="69" t="s">
        <v>3747</v>
      </c>
      <c r="J991" s="69"/>
      <c r="K991" s="68" t="s">
        <v>13</v>
      </c>
      <c r="L991" s="69" t="s">
        <v>129</v>
      </c>
      <c r="M991" s="71" t="s">
        <v>141</v>
      </c>
      <c r="N991" s="69" t="e" vm="1">
        <v>#VALUE!</v>
      </c>
      <c r="O991" s="84">
        <v>45027</v>
      </c>
      <c r="P991" s="72" t="s">
        <v>402</v>
      </c>
      <c r="Q991" s="72" t="s">
        <v>837</v>
      </c>
      <c r="R991" s="162"/>
      <c r="S991" s="146"/>
      <c r="T991" s="68" t="s">
        <v>155</v>
      </c>
      <c r="U991" s="90"/>
      <c r="V991" s="80">
        <v>45027</v>
      </c>
      <c r="W991" s="73"/>
      <c r="X991" s="73"/>
      <c r="Y991" s="83" t="str">
        <f>IF(SUM(W991:W991)&gt;0,X991/SUM(W991:W991)*1000000,"N/A")</f>
        <v>N/A</v>
      </c>
      <c r="Z991" s="80"/>
      <c r="AA991" s="80"/>
      <c r="AB991" s="73"/>
      <c r="AC991" s="153"/>
      <c r="AD991" s="331"/>
      <c r="AE991" s="57"/>
      <c r="AF991" s="88"/>
      <c r="AG991" s="182">
        <f>YEAR(V991)</f>
        <v>2023</v>
      </c>
      <c r="AH991" s="86" t="str">
        <f>+IF(AF991=$AI$22,MONTH(U991),"")</f>
        <v/>
      </c>
      <c r="AI991" s="86" t="str">
        <f>+IF(AG991=$AI$22,MONTH(V991),"")</f>
        <v/>
      </c>
      <c r="AJ991" s="86" t="str">
        <f>+IF(AG991=$AJ$22,MONTH(V991),"")</f>
        <v/>
      </c>
      <c r="AK991" s="86">
        <f>+IF(AG991=$AK$22,MONTH(V991),"")</f>
        <v>4</v>
      </c>
      <c r="AL991" s="86" t="str">
        <f>+IF(AG991=$AL$22,MONTH(V991),"")</f>
        <v/>
      </c>
      <c r="AM991" s="86" t="str">
        <f>+IF($AG991=$AM$22,MONTH($D991),"")</f>
        <v/>
      </c>
      <c r="AN991" s="89" t="str">
        <f>+IF($AG991=AN$22,MONTH($D991),"")</f>
        <v/>
      </c>
      <c r="AO991" s="89" t="str">
        <f>+IF($AG991=AO$22,MONTH($D991),"")</f>
        <v/>
      </c>
      <c r="AP991" s="89" t="str">
        <f>+IF($AG991=AP$22,MONTH($D991),"")</f>
        <v/>
      </c>
      <c r="AQ991" s="89" t="str">
        <f>+IF($AG991=AQ$22,MONTH($D991),"")</f>
        <v/>
      </c>
      <c r="AR991" s="89" t="str">
        <f>+IF($AG991=AR$22,MONTH($D991),"")</f>
        <v/>
      </c>
      <c r="AS991" s="89" t="str">
        <f>+IF($AG991=AS$22,MONTH($D991),"")</f>
        <v/>
      </c>
      <c r="AT991" s="89" t="str">
        <f>+IF($AG991=AT$22,MONTH($D991),"")</f>
        <v/>
      </c>
      <c r="AU991" s="89" t="str">
        <f>+IF($AG991=AU$22,MONTH($D991),"")</f>
        <v/>
      </c>
      <c r="AV991" s="89" t="str">
        <f>+IF($AG991=AV$22,MONTH($D991),"")</f>
        <v/>
      </c>
      <c r="AW991" s="86" t="str">
        <f>+IF($AG991=AW$22,MONTH($D991),"")</f>
        <v/>
      </c>
      <c r="AX991" s="86" t="str">
        <f>+IF($AG991=AX$22,MONTH($D991),"")</f>
        <v/>
      </c>
      <c r="AY991" s="89"/>
      <c r="AZ991" s="89"/>
      <c r="BA991" s="89"/>
      <c r="BB991" s="89"/>
      <c r="BC991" s="89"/>
      <c r="BD991" s="89"/>
      <c r="BE991" s="89"/>
      <c r="BF991" s="89"/>
      <c r="BG991" s="89"/>
      <c r="BH991" s="89"/>
      <c r="BI991" s="89"/>
      <c r="BJ991" s="89"/>
      <c r="BK991" s="89"/>
      <c r="BL991" s="89"/>
      <c r="BM991" s="89"/>
      <c r="BN991" s="89"/>
      <c r="BO991" s="89"/>
      <c r="BP991" s="89"/>
    </row>
    <row r="992" spans="1:68" s="56" customFormat="1" ht="27" hidden="1">
      <c r="A992" s="204">
        <f>+IFERROR(VALUE(MID(AB992,4,4)),"")</f>
        <v>330</v>
      </c>
      <c r="B992" s="204">
        <f>VALUE(RIGHT(C992,LEN(C992)-2))</f>
        <v>1731</v>
      </c>
      <c r="C992" s="74" t="s">
        <v>3748</v>
      </c>
      <c r="D992" s="75">
        <v>45014</v>
      </c>
      <c r="E992" s="70" t="s">
        <v>262</v>
      </c>
      <c r="F992" s="70" t="s">
        <v>270</v>
      </c>
      <c r="G992" s="68" t="s">
        <v>3446</v>
      </c>
      <c r="H992" s="59" t="s">
        <v>3447</v>
      </c>
      <c r="I992" s="69" t="s">
        <v>3749</v>
      </c>
      <c r="J992" s="69"/>
      <c r="K992" s="68" t="s">
        <v>401</v>
      </c>
      <c r="L992" s="69" t="s">
        <v>120</v>
      </c>
      <c r="M992" s="71" t="s">
        <v>141</v>
      </c>
      <c r="N992" s="69" t="e" vm="1">
        <v>#VALUE!</v>
      </c>
      <c r="O992" s="84">
        <v>45022</v>
      </c>
      <c r="P992" s="72" t="s">
        <v>274</v>
      </c>
      <c r="Q992" s="72" t="s">
        <v>623</v>
      </c>
      <c r="R992" s="162"/>
      <c r="S992" s="146" t="s">
        <v>3750</v>
      </c>
      <c r="T992" s="68" t="s">
        <v>3</v>
      </c>
      <c r="U992" s="87"/>
      <c r="V992" s="80">
        <v>45063</v>
      </c>
      <c r="W992" s="73">
        <v>400</v>
      </c>
      <c r="X992" s="73">
        <v>22.95</v>
      </c>
      <c r="Y992" s="169">
        <f>IF(SUM(W992:W992)&gt;0,X992/SUM(W992:W992)*1000000,"N/A")</f>
        <v>57374.999999999993</v>
      </c>
      <c r="Z992" s="80"/>
      <c r="AA992" s="80"/>
      <c r="AB992" s="73" t="s">
        <v>3751</v>
      </c>
      <c r="AC992" s="153"/>
      <c r="AD992" s="331"/>
      <c r="AE992" s="57"/>
      <c r="AF992" s="88"/>
      <c r="AG992" s="182">
        <f>YEAR(V992)</f>
        <v>2023</v>
      </c>
      <c r="AH992" s="86" t="str">
        <f>+IF(AF992=$AI$22,MONTH(U992),"")</f>
        <v/>
      </c>
      <c r="AI992" s="86" t="str">
        <f>+IF(AG992=$AI$22,MONTH(V992),"")</f>
        <v/>
      </c>
      <c r="AJ992" s="86" t="str">
        <f>+IF(AG992=$AJ$22,MONTH(V992),"")</f>
        <v/>
      </c>
      <c r="AK992" s="86">
        <f>+IF(AG992=$AK$22,MONTH(V992),"")</f>
        <v>5</v>
      </c>
      <c r="AL992" s="86" t="str">
        <f>+IF(AG992=$AL$22,MONTH(V992),"")</f>
        <v/>
      </c>
      <c r="AM992" s="86" t="str">
        <f>+IF($AG992=$AM$22,MONTH($D992),"")</f>
        <v/>
      </c>
      <c r="AN992" s="89" t="str">
        <f>+IF($AG992=AN$22,MONTH($D992),"")</f>
        <v/>
      </c>
      <c r="AO992" s="89" t="str">
        <f>+IF($AG992=AO$22,MONTH($D992),"")</f>
        <v/>
      </c>
      <c r="AP992" s="89" t="str">
        <f>+IF($AG992=AP$22,MONTH($D992),"")</f>
        <v/>
      </c>
      <c r="AQ992" s="89" t="str">
        <f>+IF($AG992=AQ$22,MONTH($D992),"")</f>
        <v/>
      </c>
      <c r="AR992" s="89" t="str">
        <f>+IF($AG992=AR$22,MONTH($D992),"")</f>
        <v/>
      </c>
      <c r="AS992" s="89" t="str">
        <f>+IF($AG992=AS$22,MONTH($D992),"")</f>
        <v/>
      </c>
      <c r="AT992" s="89" t="str">
        <f>+IF($AG992=AT$22,MONTH($D992),"")</f>
        <v/>
      </c>
      <c r="AU992" s="89" t="str">
        <f>+IF($AG992=AU$22,MONTH($D992),"")</f>
        <v/>
      </c>
      <c r="AV992" s="89" t="str">
        <f>+IF($AG992=AV$22,MONTH($D992),"")</f>
        <v/>
      </c>
      <c r="AW992" s="86" t="str">
        <f>+IF($AG992=AW$22,MONTH($D992),"")</f>
        <v/>
      </c>
      <c r="AX992" s="86" t="str">
        <f>+IF($AG992=AX$22,MONTH($D992),"")</f>
        <v/>
      </c>
      <c r="AY992" s="89"/>
      <c r="AZ992" s="89"/>
      <c r="BA992" s="89"/>
      <c r="BB992" s="89"/>
      <c r="BC992" s="89"/>
      <c r="BD992" s="89"/>
      <c r="BE992" s="89"/>
      <c r="BF992" s="89"/>
      <c r="BG992" s="89"/>
      <c r="BH992" s="89"/>
      <c r="BI992" s="89"/>
      <c r="BJ992" s="89"/>
      <c r="BK992" s="89"/>
      <c r="BL992" s="89"/>
      <c r="BM992" s="89"/>
      <c r="BN992" s="89"/>
      <c r="BO992" s="89"/>
      <c r="BP992" s="89"/>
    </row>
    <row r="993" spans="1:68" s="56" customFormat="1" ht="27" hidden="1">
      <c r="A993" s="204" t="str">
        <f>+IFERROR(VALUE(MID(AB993,4,4)),"")</f>
        <v/>
      </c>
      <c r="B993" s="204">
        <f>VALUE(RIGHT(C993,LEN(C993)-2))</f>
        <v>1730</v>
      </c>
      <c r="C993" s="74" t="s">
        <v>3752</v>
      </c>
      <c r="D993" s="75">
        <v>45016</v>
      </c>
      <c r="E993" s="70" t="s">
        <v>3685</v>
      </c>
      <c r="F993" s="70" t="s">
        <v>106</v>
      </c>
      <c r="G993" s="68" t="s">
        <v>3687</v>
      </c>
      <c r="H993" s="59" t="s">
        <v>3688</v>
      </c>
      <c r="I993" s="69" t="s">
        <v>3753</v>
      </c>
      <c r="J993" s="69"/>
      <c r="K993" s="68" t="s">
        <v>42</v>
      </c>
      <c r="L993" s="69" t="s">
        <v>120</v>
      </c>
      <c r="M993" s="71" t="s">
        <v>141</v>
      </c>
      <c r="N993" s="69" t="e" vm="1">
        <v>#VALUE!</v>
      </c>
      <c r="O993" s="84">
        <v>45044</v>
      </c>
      <c r="P993" s="72" t="s">
        <v>3754</v>
      </c>
      <c r="Q993" s="82" t="s">
        <v>259</v>
      </c>
      <c r="R993" s="69"/>
      <c r="S993" s="146"/>
      <c r="T993" s="68" t="s">
        <v>155</v>
      </c>
      <c r="U993" s="87"/>
      <c r="V993" s="80">
        <v>45056</v>
      </c>
      <c r="W993" s="73"/>
      <c r="X993" s="73"/>
      <c r="Y993" s="83" t="str">
        <f>IF(SUM(W993:W993)&gt;0,X993/SUM(W993:W993)*1000000,"N/A")</f>
        <v>N/A</v>
      </c>
      <c r="Z993" s="80"/>
      <c r="AA993" s="80"/>
      <c r="AB993" s="73"/>
      <c r="AC993" s="153"/>
      <c r="AD993" s="331"/>
      <c r="AE993" s="57"/>
      <c r="AF993" s="88"/>
      <c r="AG993" s="182">
        <f>YEAR(V993)</f>
        <v>2023</v>
      </c>
      <c r="AH993" s="86" t="str">
        <f>+IF(AF993=$AI$22,MONTH(U993),"")</f>
        <v/>
      </c>
      <c r="AI993" s="86" t="str">
        <f>+IF(AG993=$AI$22,MONTH(V993),"")</f>
        <v/>
      </c>
      <c r="AJ993" s="86" t="str">
        <f>+IF(AG993=$AJ$22,MONTH(V993),"")</f>
        <v/>
      </c>
      <c r="AK993" s="86">
        <f>+IF(AG993=$AK$22,MONTH(V993),"")</f>
        <v>5</v>
      </c>
      <c r="AL993" s="86" t="str">
        <f>+IF(AG993=$AL$22,MONTH(V993),"")</f>
        <v/>
      </c>
      <c r="AM993" s="86" t="str">
        <f>+IF($AG993=$AM$22,MONTH($D993),"")</f>
        <v/>
      </c>
      <c r="AN993" s="89" t="str">
        <f>+IF($AG993=AN$22,MONTH($D993),"")</f>
        <v/>
      </c>
      <c r="AO993" s="89" t="str">
        <f>+IF($AG993=AO$22,MONTH($D993),"")</f>
        <v/>
      </c>
      <c r="AP993" s="89" t="str">
        <f>+IF($AG993=AP$22,MONTH($D993),"")</f>
        <v/>
      </c>
      <c r="AQ993" s="89" t="str">
        <f>+IF($AG993=AQ$22,MONTH($D993),"")</f>
        <v/>
      </c>
      <c r="AR993" s="89" t="str">
        <f>+IF($AG993=AR$22,MONTH($D993),"")</f>
        <v/>
      </c>
      <c r="AS993" s="89" t="str">
        <f>+IF($AG993=AS$22,MONTH($D993),"")</f>
        <v/>
      </c>
      <c r="AT993" s="89" t="str">
        <f>+IF($AG993=AT$22,MONTH($D993),"")</f>
        <v/>
      </c>
      <c r="AU993" s="89" t="str">
        <f>+IF($AG993=AU$22,MONTH($D993),"")</f>
        <v/>
      </c>
      <c r="AV993" s="89" t="str">
        <f>+IF($AG993=AV$22,MONTH($D993),"")</f>
        <v/>
      </c>
      <c r="AW993" s="86" t="str">
        <f>+IF($AG993=AW$22,MONTH($D993),"")</f>
        <v/>
      </c>
      <c r="AX993" s="86" t="str">
        <f>+IF($AG993=AX$22,MONTH($D993),"")</f>
        <v/>
      </c>
      <c r="AY993" s="89"/>
      <c r="AZ993" s="89"/>
      <c r="BA993" s="89"/>
      <c r="BB993" s="89"/>
      <c r="BC993" s="89"/>
      <c r="BD993" s="89"/>
      <c r="BE993" s="89"/>
      <c r="BF993" s="89"/>
      <c r="BG993" s="89"/>
      <c r="BH993" s="89"/>
      <c r="BI993" s="89"/>
      <c r="BJ993" s="89"/>
      <c r="BK993" s="89"/>
      <c r="BL993" s="89"/>
      <c r="BM993" s="89"/>
      <c r="BN993" s="89"/>
      <c r="BO993" s="89"/>
      <c r="BP993" s="89"/>
    </row>
    <row r="994" spans="1:68" s="56" customFormat="1" ht="27" hidden="1">
      <c r="A994" s="204">
        <f>+IFERROR(VALUE(MID(AB994,4,4)),"")</f>
        <v>274</v>
      </c>
      <c r="B994" s="204">
        <f>VALUE(RIGHT(C994,LEN(C994)-2))</f>
        <v>1729</v>
      </c>
      <c r="C994" s="74" t="s">
        <v>3755</v>
      </c>
      <c r="D994" s="75">
        <v>45010</v>
      </c>
      <c r="E994" s="70" t="s">
        <v>1054</v>
      </c>
      <c r="F994" s="70" t="s">
        <v>252</v>
      </c>
      <c r="G994" s="68" t="s">
        <v>1055</v>
      </c>
      <c r="H994" s="59" t="s">
        <v>1056</v>
      </c>
      <c r="I994" s="69" t="s">
        <v>3756</v>
      </c>
      <c r="J994" s="69"/>
      <c r="K994" s="68" t="s">
        <v>9</v>
      </c>
      <c r="L994" s="69" t="s">
        <v>129</v>
      </c>
      <c r="M994" s="71" t="s">
        <v>141</v>
      </c>
      <c r="N994" s="69" t="e" vm="1">
        <v>#VALUE!</v>
      </c>
      <c r="O994" s="84">
        <v>45069</v>
      </c>
      <c r="P994" s="72" t="s">
        <v>1154</v>
      </c>
      <c r="Q994" s="82" t="s">
        <v>259</v>
      </c>
      <c r="R994" s="69"/>
      <c r="S994" s="146"/>
      <c r="T994" s="68" t="s">
        <v>3</v>
      </c>
      <c r="U994" s="87"/>
      <c r="V994" s="80">
        <v>45075</v>
      </c>
      <c r="W994" s="73">
        <v>622</v>
      </c>
      <c r="X994" s="73">
        <v>13.7</v>
      </c>
      <c r="Y994" s="83">
        <f>IF(SUM(W994:W994)&gt;0,X994/SUM(W994:W994)*1000000,"N/A")</f>
        <v>22025.723472668811</v>
      </c>
      <c r="Z994" s="80"/>
      <c r="AA994" s="80"/>
      <c r="AB994" s="73" t="s">
        <v>3757</v>
      </c>
      <c r="AC994" s="153"/>
      <c r="AD994" s="331"/>
      <c r="AE994" s="57"/>
      <c r="AF994" s="88"/>
      <c r="AG994" s="182">
        <f>YEAR(V994)</f>
        <v>2023</v>
      </c>
      <c r="AH994" s="86" t="str">
        <f>+IF(AF994=$AI$22,MONTH(U994),"")</f>
        <v/>
      </c>
      <c r="AI994" s="86" t="str">
        <f>+IF(AG994=$AI$22,MONTH(V994),"")</f>
        <v/>
      </c>
      <c r="AJ994" s="86" t="str">
        <f>+IF(AG994=$AJ$22,MONTH(V994),"")</f>
        <v/>
      </c>
      <c r="AK994" s="86">
        <f>+IF(AG994=$AK$22,MONTH(V994),"")</f>
        <v>5</v>
      </c>
      <c r="AL994" s="86" t="str">
        <f>+IF(AG994=$AL$22,MONTH(V994),"")</f>
        <v/>
      </c>
      <c r="AM994" s="86" t="str">
        <f>+IF($AG994=$AM$22,MONTH($D994),"")</f>
        <v/>
      </c>
      <c r="AN994" s="89" t="str">
        <f>+IF($AG994=AN$22,MONTH($D994),"")</f>
        <v/>
      </c>
      <c r="AO994" s="89" t="str">
        <f>+IF($AG994=AO$22,MONTH($D994),"")</f>
        <v/>
      </c>
      <c r="AP994" s="89" t="str">
        <f>+IF($AG994=AP$22,MONTH($D994),"")</f>
        <v/>
      </c>
      <c r="AQ994" s="89" t="str">
        <f>+IF($AG994=AQ$22,MONTH($D994),"")</f>
        <v/>
      </c>
      <c r="AR994" s="89" t="str">
        <f>+IF($AG994=AR$22,MONTH($D994),"")</f>
        <v/>
      </c>
      <c r="AS994" s="89" t="str">
        <f>+IF($AG994=AS$22,MONTH($D994),"")</f>
        <v/>
      </c>
      <c r="AT994" s="89" t="str">
        <f>+IF($AG994=AT$22,MONTH($D994),"")</f>
        <v/>
      </c>
      <c r="AU994" s="89" t="str">
        <f>+IF($AG994=AU$22,MONTH($D994),"")</f>
        <v/>
      </c>
      <c r="AV994" s="89" t="str">
        <f>+IF($AG994=AV$22,MONTH($D994),"")</f>
        <v/>
      </c>
      <c r="AW994" s="86" t="str">
        <f>+IF($AG994=AW$22,MONTH($D994),"")</f>
        <v/>
      </c>
      <c r="AX994" s="86" t="str">
        <f>+IF($AG994=AX$22,MONTH($D994),"")</f>
        <v/>
      </c>
      <c r="AY994" s="89"/>
      <c r="AZ994" s="89"/>
      <c r="BA994" s="89"/>
      <c r="BB994" s="89"/>
      <c r="BC994" s="89"/>
      <c r="BD994" s="89"/>
      <c r="BE994" s="89"/>
      <c r="BF994" s="89"/>
      <c r="BG994" s="89"/>
      <c r="BH994" s="89"/>
      <c r="BI994" s="89"/>
      <c r="BJ994" s="89"/>
      <c r="BK994" s="89"/>
      <c r="BL994" s="89"/>
      <c r="BM994" s="89"/>
      <c r="BN994" s="89"/>
      <c r="BO994" s="89"/>
      <c r="BP994" s="89"/>
    </row>
    <row r="995" spans="1:68" s="56" customFormat="1" ht="108" hidden="1">
      <c r="A995" s="204" t="str">
        <f>+IFERROR(VALUE(MID(AB995,4,4)),"")</f>
        <v/>
      </c>
      <c r="B995" s="204">
        <f>VALUE(RIGHT(C995,LEN(C995)-2))</f>
        <v>1728</v>
      </c>
      <c r="C995" s="74" t="s">
        <v>3758</v>
      </c>
      <c r="D995" s="75">
        <v>45016</v>
      </c>
      <c r="E995" s="70" t="s">
        <v>3759</v>
      </c>
      <c r="F995" s="70" t="s">
        <v>209</v>
      </c>
      <c r="G995" s="68"/>
      <c r="H995" s="59"/>
      <c r="I995" s="69" t="s">
        <v>3208</v>
      </c>
      <c r="J995" s="69"/>
      <c r="K995" s="68" t="s">
        <v>13</v>
      </c>
      <c r="L995" s="69" t="s">
        <v>120</v>
      </c>
      <c r="M995" s="71" t="s">
        <v>141</v>
      </c>
      <c r="N995" s="69" t="e" vm="1">
        <v>#VALUE!</v>
      </c>
      <c r="O995" s="84">
        <v>45049</v>
      </c>
      <c r="P995" s="72" t="s">
        <v>1058</v>
      </c>
      <c r="Q995" s="72" t="s">
        <v>229</v>
      </c>
      <c r="R995" s="162"/>
      <c r="S995" s="146" t="s">
        <v>3760</v>
      </c>
      <c r="T995" s="68" t="s">
        <v>168</v>
      </c>
      <c r="U995" s="87"/>
      <c r="V995" s="80">
        <v>45055</v>
      </c>
      <c r="W995" s="73"/>
      <c r="X995" s="73"/>
      <c r="Y995" s="83" t="str">
        <f>IF(SUM(W995:W995)&gt;0,X995/SUM(W995:W995)*1000000,"N/A")</f>
        <v>N/A</v>
      </c>
      <c r="Z995" s="80"/>
      <c r="AA995" s="80"/>
      <c r="AB995" s="73"/>
      <c r="AC995" s="153"/>
      <c r="AD995" s="331"/>
      <c r="AE995" s="57"/>
      <c r="AF995" s="88"/>
      <c r="AG995" s="182">
        <f>YEAR(V995)</f>
        <v>2023</v>
      </c>
      <c r="AH995" s="86" t="str">
        <f>+IF(AF995=$AI$22,MONTH(U995),"")</f>
        <v/>
      </c>
      <c r="AI995" s="86" t="str">
        <f>+IF(AG995=$AI$22,MONTH(V995),"")</f>
        <v/>
      </c>
      <c r="AJ995" s="86" t="str">
        <f>+IF(AG995=$AJ$22,MONTH(V995),"")</f>
        <v/>
      </c>
      <c r="AK995" s="86">
        <f>+IF(AG995=$AK$22,MONTH(V995),"")</f>
        <v>5</v>
      </c>
      <c r="AL995" s="86" t="str">
        <f>+IF(AG995=$AL$22,MONTH(V995),"")</f>
        <v/>
      </c>
      <c r="AM995" s="86" t="str">
        <f>+IF($AG995=$AM$22,MONTH($D995),"")</f>
        <v/>
      </c>
      <c r="AN995" s="89" t="str">
        <f>+IF($AG995=AN$22,MONTH($D995),"")</f>
        <v/>
      </c>
      <c r="AO995" s="89" t="str">
        <f>+IF($AG995=AO$22,MONTH($D995),"")</f>
        <v/>
      </c>
      <c r="AP995" s="89" t="str">
        <f>+IF($AG995=AP$22,MONTH($D995),"")</f>
        <v/>
      </c>
      <c r="AQ995" s="89" t="str">
        <f>+IF($AG995=AQ$22,MONTH($D995),"")</f>
        <v/>
      </c>
      <c r="AR995" s="89" t="str">
        <f>+IF($AG995=AR$22,MONTH($D995),"")</f>
        <v/>
      </c>
      <c r="AS995" s="89" t="str">
        <f>+IF($AG995=AS$22,MONTH($D995),"")</f>
        <v/>
      </c>
      <c r="AT995" s="89" t="str">
        <f>+IF($AG995=AT$22,MONTH($D995),"")</f>
        <v/>
      </c>
      <c r="AU995" s="89" t="str">
        <f>+IF($AG995=AU$22,MONTH($D995),"")</f>
        <v/>
      </c>
      <c r="AV995" s="89" t="str">
        <f>+IF($AG995=AV$22,MONTH($D995),"")</f>
        <v/>
      </c>
      <c r="AW995" s="86" t="str">
        <f>+IF($AG995=AW$22,MONTH($D995),"")</f>
        <v/>
      </c>
      <c r="AX995" s="86" t="str">
        <f>+IF($AG995=AX$22,MONTH($D995),"")</f>
        <v/>
      </c>
      <c r="AY995" s="89"/>
      <c r="AZ995" s="89"/>
      <c r="BA995" s="89"/>
      <c r="BB995" s="89"/>
      <c r="BC995" s="89"/>
      <c r="BD995" s="89"/>
      <c r="BE995" s="89"/>
      <c r="BF995" s="89"/>
      <c r="BG995" s="89"/>
      <c r="BH995" s="89"/>
      <c r="BI995" s="89"/>
      <c r="BJ995" s="89"/>
      <c r="BK995" s="89"/>
      <c r="BL995" s="89"/>
      <c r="BM995" s="89"/>
      <c r="BN995" s="89"/>
      <c r="BO995" s="89"/>
      <c r="BP995" s="89"/>
    </row>
    <row r="996" spans="1:68" s="56" customFormat="1" ht="27" hidden="1">
      <c r="A996" s="204" t="str">
        <f>+IFERROR(VALUE(MID(AB996,4,4)),"")</f>
        <v/>
      </c>
      <c r="B996" s="204">
        <f>VALUE(RIGHT(C996,LEN(C996)-2))</f>
        <v>1727</v>
      </c>
      <c r="C996" s="74" t="s">
        <v>3761</v>
      </c>
      <c r="D996" s="75">
        <v>45015</v>
      </c>
      <c r="E996" s="70" t="s">
        <v>223</v>
      </c>
      <c r="F996" s="70" t="s">
        <v>223</v>
      </c>
      <c r="G996" s="68" t="s">
        <v>3762</v>
      </c>
      <c r="H996" s="59" t="s">
        <v>3763</v>
      </c>
      <c r="I996" s="69" t="s">
        <v>3764</v>
      </c>
      <c r="J996" s="69"/>
      <c r="K996" s="95" t="s">
        <v>18</v>
      </c>
      <c r="L996" s="69" t="s">
        <v>123</v>
      </c>
      <c r="M996" s="71" t="s">
        <v>141</v>
      </c>
      <c r="N996" s="69" t="e" vm="1">
        <v>#VALUE!</v>
      </c>
      <c r="O996" s="84">
        <v>45021</v>
      </c>
      <c r="P996" s="82" t="s">
        <v>2273</v>
      </c>
      <c r="Q996" s="82" t="s">
        <v>316</v>
      </c>
      <c r="R996" s="69"/>
      <c r="S996" s="146" t="s">
        <v>3765</v>
      </c>
      <c r="T996" s="68" t="s">
        <v>165</v>
      </c>
      <c r="U996" s="87"/>
      <c r="V996" s="80">
        <v>45448</v>
      </c>
      <c r="W996" s="73">
        <v>321</v>
      </c>
      <c r="X996" s="73">
        <v>16</v>
      </c>
      <c r="Y996" s="83">
        <f>IF(SUM(W996:W996)&gt;0,X996/SUM(W996:W996)*1000000,"N/A")</f>
        <v>49844.236760124608</v>
      </c>
      <c r="Z996" s="80"/>
      <c r="AA996" s="80"/>
      <c r="AB996" s="73"/>
      <c r="AC996" s="153"/>
      <c r="AD996" s="331"/>
      <c r="AE996" s="57"/>
      <c r="AF996" s="88"/>
      <c r="AG996" s="182">
        <f>YEAR(V996)</f>
        <v>2024</v>
      </c>
      <c r="AH996" s="86" t="str">
        <f>+IF(AF996=$AI$22,MONTH(U996),"")</f>
        <v/>
      </c>
      <c r="AI996" s="86" t="str">
        <f>+IF(AG996=$AI$22,MONTH(V996),"")</f>
        <v/>
      </c>
      <c r="AJ996" s="86">
        <f>+IF(AG996=$AJ$22,MONTH(V996),"")</f>
        <v>6</v>
      </c>
      <c r="AK996" s="86" t="str">
        <f>+IF(AG996=$AK$22,MONTH(V996),"")</f>
        <v/>
      </c>
      <c r="AL996" s="86" t="str">
        <f>+IF(AG996=$AL$22,MONTH(V996),"")</f>
        <v/>
      </c>
      <c r="AM996" s="86" t="str">
        <f>+IF($AG996=$AM$22,MONTH($D996),"")</f>
        <v/>
      </c>
      <c r="AN996" s="89" t="str">
        <f>+IF($AG996=AN$22,MONTH($D996),"")</f>
        <v/>
      </c>
      <c r="AO996" s="89" t="str">
        <f>+IF($AG996=AO$22,MONTH($D996),"")</f>
        <v/>
      </c>
      <c r="AP996" s="89" t="str">
        <f>+IF($AG996=AP$22,MONTH($D996),"")</f>
        <v/>
      </c>
      <c r="AQ996" s="89" t="str">
        <f>+IF($AG996=AQ$22,MONTH($D996),"")</f>
        <v/>
      </c>
      <c r="AR996" s="89" t="str">
        <f>+IF($AG996=AR$22,MONTH($D996),"")</f>
        <v/>
      </c>
      <c r="AS996" s="89" t="str">
        <f>+IF($AG996=AS$22,MONTH($D996),"")</f>
        <v/>
      </c>
      <c r="AT996" s="89" t="str">
        <f>+IF($AG996=AT$22,MONTH($D996),"")</f>
        <v/>
      </c>
      <c r="AU996" s="89" t="str">
        <f>+IF($AG996=AU$22,MONTH($D996),"")</f>
        <v/>
      </c>
      <c r="AV996" s="89" t="str">
        <f>+IF($AG996=AV$22,MONTH($D996),"")</f>
        <v/>
      </c>
      <c r="AW996" s="86" t="str">
        <f>+IF($AG996=AW$22,MONTH($D996),"")</f>
        <v/>
      </c>
      <c r="AX996" s="86" t="str">
        <f>+IF($AG996=AX$22,MONTH($D996),"")</f>
        <v/>
      </c>
      <c r="AY996" s="89"/>
      <c r="AZ996" s="89"/>
      <c r="BA996" s="89"/>
      <c r="BB996" s="89"/>
      <c r="BC996" s="89"/>
      <c r="BD996" s="89"/>
      <c r="BE996" s="89"/>
      <c r="BF996" s="89"/>
      <c r="BG996" s="89"/>
      <c r="BH996" s="89"/>
      <c r="BI996" s="89"/>
      <c r="BJ996" s="89"/>
      <c r="BK996" s="89"/>
      <c r="BL996" s="89"/>
      <c r="BM996" s="89"/>
      <c r="BN996" s="89"/>
      <c r="BO996" s="89"/>
      <c r="BP996" s="89"/>
    </row>
    <row r="997" spans="1:68" s="56" customFormat="1" ht="13.5" hidden="1">
      <c r="A997" s="204" t="str">
        <f>+IFERROR(VALUE(MID(AB997,4,4)),"")</f>
        <v/>
      </c>
      <c r="B997" s="204">
        <f>VALUE(RIGHT(C997,LEN(C997)-2))</f>
        <v>1726</v>
      </c>
      <c r="C997" s="74" t="s">
        <v>3766</v>
      </c>
      <c r="D997" s="75">
        <v>45014</v>
      </c>
      <c r="E997" s="70" t="s">
        <v>106</v>
      </c>
      <c r="F997" s="70" t="s">
        <v>106</v>
      </c>
      <c r="G997" s="68" t="s">
        <v>3767</v>
      </c>
      <c r="H997" s="59" t="s">
        <v>3768</v>
      </c>
      <c r="I997" s="69" t="s">
        <v>3769</v>
      </c>
      <c r="J997" s="69"/>
      <c r="K997" s="95" t="s">
        <v>13</v>
      </c>
      <c r="L997" s="69" t="s">
        <v>123</v>
      </c>
      <c r="M997" s="71" t="s">
        <v>141</v>
      </c>
      <c r="N997" s="69" t="e" vm="1">
        <v>#VALUE!</v>
      </c>
      <c r="O997" s="84">
        <v>45042</v>
      </c>
      <c r="P997" s="82" t="s">
        <v>1629</v>
      </c>
      <c r="Q997" s="82" t="s">
        <v>316</v>
      </c>
      <c r="R997" s="69"/>
      <c r="S997" s="146"/>
      <c r="T997" s="68" t="s">
        <v>155</v>
      </c>
      <c r="U997" s="87"/>
      <c r="V997" s="80">
        <v>45044</v>
      </c>
      <c r="W997" s="73"/>
      <c r="X997" s="73"/>
      <c r="Y997" s="83" t="str">
        <f>IF(SUM(W997:W997)&gt;0,X997/SUM(W997:W997)*1000000,"N/A")</f>
        <v>N/A</v>
      </c>
      <c r="Z997" s="80"/>
      <c r="AA997" s="80"/>
      <c r="AB997" s="73"/>
      <c r="AC997" s="153"/>
      <c r="AD997" s="331"/>
      <c r="AE997" s="57"/>
      <c r="AF997" s="88"/>
      <c r="AG997" s="182">
        <f>YEAR(V997)</f>
        <v>2023</v>
      </c>
      <c r="AH997" s="86" t="str">
        <f>+IF(AF997=$AI$22,MONTH(U997),"")</f>
        <v/>
      </c>
      <c r="AI997" s="86" t="str">
        <f>+IF(AG997=$AI$22,MONTH(V997),"")</f>
        <v/>
      </c>
      <c r="AJ997" s="86" t="str">
        <f>+IF(AG997=$AJ$22,MONTH(V997),"")</f>
        <v/>
      </c>
      <c r="AK997" s="86">
        <f>+IF(AG997=$AK$22,MONTH(V997),"")</f>
        <v>4</v>
      </c>
      <c r="AL997" s="86" t="str">
        <f>+IF(AG997=$AL$22,MONTH(V997),"")</f>
        <v/>
      </c>
      <c r="AM997" s="86" t="str">
        <f>+IF($AG997=$AM$22,MONTH($D997),"")</f>
        <v/>
      </c>
      <c r="AN997" s="89" t="str">
        <f>+IF($AG997=AN$22,MONTH($D997),"")</f>
        <v/>
      </c>
      <c r="AO997" s="89" t="str">
        <f>+IF($AG997=AO$22,MONTH($D997),"")</f>
        <v/>
      </c>
      <c r="AP997" s="89" t="str">
        <f>+IF($AG997=AP$22,MONTH($D997),"")</f>
        <v/>
      </c>
      <c r="AQ997" s="89" t="str">
        <f>+IF($AG997=AQ$22,MONTH($D997),"")</f>
        <v/>
      </c>
      <c r="AR997" s="89" t="str">
        <f>+IF($AG997=AR$22,MONTH($D997),"")</f>
        <v/>
      </c>
      <c r="AS997" s="89" t="str">
        <f>+IF($AG997=AS$22,MONTH($D997),"")</f>
        <v/>
      </c>
      <c r="AT997" s="89" t="str">
        <f>+IF($AG997=AT$22,MONTH($D997),"")</f>
        <v/>
      </c>
      <c r="AU997" s="89" t="str">
        <f>+IF($AG997=AU$22,MONTH($D997),"")</f>
        <v/>
      </c>
      <c r="AV997" s="89" t="str">
        <f>+IF($AG997=AV$22,MONTH($D997),"")</f>
        <v/>
      </c>
      <c r="AW997" s="86" t="str">
        <f>+IF($AG997=AW$22,MONTH($D997),"")</f>
        <v/>
      </c>
      <c r="AX997" s="86" t="str">
        <f>+IF($AG997=AX$22,MONTH($D997),"")</f>
        <v/>
      </c>
      <c r="AY997" s="89"/>
      <c r="AZ997" s="89"/>
      <c r="BA997" s="89"/>
      <c r="BB997" s="89"/>
      <c r="BC997" s="89"/>
      <c r="BD997" s="89"/>
      <c r="BE997" s="89"/>
      <c r="BF997" s="89"/>
      <c r="BG997" s="89"/>
      <c r="BH997" s="89"/>
      <c r="BI997" s="89"/>
      <c r="BJ997" s="89"/>
      <c r="BK997" s="89"/>
      <c r="BL997" s="89"/>
      <c r="BM997" s="89"/>
      <c r="BN997" s="89"/>
      <c r="BO997" s="89"/>
      <c r="BP997" s="89"/>
    </row>
    <row r="998" spans="1:68" s="56" customFormat="1" ht="13.5" hidden="1">
      <c r="A998" s="204">
        <f>+IFERROR(VALUE(MID(AB998,4,4)),"")</f>
        <v>338</v>
      </c>
      <c r="B998" s="204">
        <f>VALUE(RIGHT(C998,LEN(C998)-2))</f>
        <v>1725</v>
      </c>
      <c r="C998" s="74" t="s">
        <v>3770</v>
      </c>
      <c r="D998" s="75">
        <v>45014</v>
      </c>
      <c r="E998" s="70" t="s">
        <v>394</v>
      </c>
      <c r="F998" s="70" t="s">
        <v>2269</v>
      </c>
      <c r="G998" s="68" t="s">
        <v>2270</v>
      </c>
      <c r="H998" s="59" t="s">
        <v>2271</v>
      </c>
      <c r="I998" s="69" t="s">
        <v>3771</v>
      </c>
      <c r="J998" s="69"/>
      <c r="K998" s="95" t="s">
        <v>13</v>
      </c>
      <c r="L998" s="69" t="s">
        <v>120</v>
      </c>
      <c r="M998" s="71" t="s">
        <v>141</v>
      </c>
      <c r="N998" s="69" t="e" vm="1">
        <v>#VALUE!</v>
      </c>
      <c r="O998" s="84">
        <v>45037</v>
      </c>
      <c r="P998" s="82" t="s">
        <v>2852</v>
      </c>
      <c r="Q998" s="82" t="s">
        <v>623</v>
      </c>
      <c r="R998" s="69"/>
      <c r="S998" s="146" t="s">
        <v>3772</v>
      </c>
      <c r="T998" s="68" t="s">
        <v>3</v>
      </c>
      <c r="U998" s="87"/>
      <c r="V998" s="80">
        <v>45069</v>
      </c>
      <c r="W998" s="73">
        <v>823</v>
      </c>
      <c r="X998" s="73">
        <v>33.700000000000003</v>
      </c>
      <c r="Y998" s="83">
        <f>IF(SUM(W998:W998)&gt;0,X998/SUM(W998:W998)*1000000,"N/A")</f>
        <v>40947.752126366955</v>
      </c>
      <c r="Z998" s="80"/>
      <c r="AA998" s="80"/>
      <c r="AB998" s="73" t="s">
        <v>3773</v>
      </c>
      <c r="AC998" s="153"/>
      <c r="AD998" s="331"/>
      <c r="AE998" s="57"/>
      <c r="AF998" s="88"/>
      <c r="AG998" s="182">
        <f>YEAR(V998)</f>
        <v>2023</v>
      </c>
      <c r="AH998" s="86" t="str">
        <f>+IF(AF998=$AI$22,MONTH(U998),"")</f>
        <v/>
      </c>
      <c r="AI998" s="86" t="str">
        <f>+IF(AG998=$AI$22,MONTH(V998),"")</f>
        <v/>
      </c>
      <c r="AJ998" s="86" t="str">
        <f>+IF(AG998=$AJ$22,MONTH(V998),"")</f>
        <v/>
      </c>
      <c r="AK998" s="86">
        <f>+IF(AG998=$AK$22,MONTH(V998),"")</f>
        <v>5</v>
      </c>
      <c r="AL998" s="86" t="str">
        <f>+IF(AG998=$AL$22,MONTH(V998),"")</f>
        <v/>
      </c>
      <c r="AM998" s="86" t="str">
        <f>+IF($AG998=$AM$22,MONTH($D998),"")</f>
        <v/>
      </c>
      <c r="AN998" s="89" t="str">
        <f>+IF($AG998=AN$22,MONTH($D998),"")</f>
        <v/>
      </c>
      <c r="AO998" s="89" t="str">
        <f>+IF($AG998=AO$22,MONTH($D998),"")</f>
        <v/>
      </c>
      <c r="AP998" s="89" t="str">
        <f>+IF($AG998=AP$22,MONTH($D998),"")</f>
        <v/>
      </c>
      <c r="AQ998" s="89" t="str">
        <f>+IF($AG998=AQ$22,MONTH($D998),"")</f>
        <v/>
      </c>
      <c r="AR998" s="89" t="str">
        <f>+IF($AG998=AR$22,MONTH($D998),"")</f>
        <v/>
      </c>
      <c r="AS998" s="89" t="str">
        <f>+IF($AG998=AS$22,MONTH($D998),"")</f>
        <v/>
      </c>
      <c r="AT998" s="89" t="str">
        <f>+IF($AG998=AT$22,MONTH($D998),"")</f>
        <v/>
      </c>
      <c r="AU998" s="89" t="str">
        <f>+IF($AG998=AU$22,MONTH($D998),"")</f>
        <v/>
      </c>
      <c r="AV998" s="89" t="str">
        <f>+IF($AG998=AV$22,MONTH($D998),"")</f>
        <v/>
      </c>
      <c r="AW998" s="86" t="str">
        <f>+IF($AG998=AW$22,MONTH($D998),"")</f>
        <v/>
      </c>
      <c r="AX998" s="86" t="str">
        <f>+IF($AG998=AX$22,MONTH($D998),"")</f>
        <v/>
      </c>
      <c r="AY998" s="89"/>
      <c r="AZ998" s="89"/>
      <c r="BA998" s="89"/>
      <c r="BB998" s="89"/>
      <c r="BC998" s="89"/>
      <c r="BD998" s="89"/>
      <c r="BE998" s="89"/>
      <c r="BF998" s="89"/>
      <c r="BG998" s="89"/>
      <c r="BH998" s="89"/>
      <c r="BI998" s="89"/>
      <c r="BJ998" s="89"/>
      <c r="BK998" s="89"/>
      <c r="BL998" s="89"/>
      <c r="BM998" s="89"/>
      <c r="BN998" s="89"/>
      <c r="BO998" s="89"/>
      <c r="BP998" s="89"/>
    </row>
    <row r="999" spans="1:68" s="56" customFormat="1" ht="81" hidden="1">
      <c r="A999" s="204" t="str">
        <f>+IFERROR(VALUE(MID(AB999,4,4)),"")</f>
        <v/>
      </c>
      <c r="B999" s="204">
        <f>VALUE(RIGHT(C999,LEN(C999)-2))</f>
        <v>1724</v>
      </c>
      <c r="C999" s="74" t="s">
        <v>3774</v>
      </c>
      <c r="D999" s="75">
        <v>45014</v>
      </c>
      <c r="E999" s="70" t="s">
        <v>2638</v>
      </c>
      <c r="F999" s="70" t="s">
        <v>209</v>
      </c>
      <c r="G999" s="68"/>
      <c r="H999" s="59"/>
      <c r="I999" s="69" t="s">
        <v>3208</v>
      </c>
      <c r="J999" s="69"/>
      <c r="K999" s="68" t="s">
        <v>13</v>
      </c>
      <c r="L999" s="69" t="s">
        <v>120</v>
      </c>
      <c r="M999" s="71" t="s">
        <v>141</v>
      </c>
      <c r="N999" s="69" t="e" vm="1">
        <v>#VALUE!</v>
      </c>
      <c r="O999" s="84">
        <v>45049</v>
      </c>
      <c r="P999" s="72" t="s">
        <v>1058</v>
      </c>
      <c r="Q999" s="72" t="s">
        <v>229</v>
      </c>
      <c r="R999" s="162"/>
      <c r="S999" s="146" t="s">
        <v>3775</v>
      </c>
      <c r="T999" s="68" t="s">
        <v>155</v>
      </c>
      <c r="U999" s="87"/>
      <c r="V999" s="80">
        <v>45041</v>
      </c>
      <c r="W999" s="73"/>
      <c r="X999" s="73"/>
      <c r="Y999" s="83" t="str">
        <f>IF(SUM(W999:W999)&gt;0,X999/SUM(W999:W999)*1000000,"N/A")</f>
        <v>N/A</v>
      </c>
      <c r="Z999" s="80"/>
      <c r="AA999" s="80"/>
      <c r="AB999" s="73"/>
      <c r="AC999" s="153"/>
      <c r="AD999" s="331"/>
      <c r="AE999" s="57"/>
      <c r="AF999" s="88"/>
      <c r="AG999" s="182">
        <f>YEAR(V999)</f>
        <v>2023</v>
      </c>
      <c r="AH999" s="86" t="str">
        <f>+IF(AF999=$AI$22,MONTH(U999),"")</f>
        <v/>
      </c>
      <c r="AI999" s="86" t="str">
        <f>+IF(AG999=$AI$22,MONTH(V999),"")</f>
        <v/>
      </c>
      <c r="AJ999" s="86" t="str">
        <f>+IF(AG999=$AJ$22,MONTH(V999),"")</f>
        <v/>
      </c>
      <c r="AK999" s="86">
        <f>+IF(AG999=$AK$22,MONTH(V999),"")</f>
        <v>4</v>
      </c>
      <c r="AL999" s="86" t="str">
        <f>+IF(AG999=$AL$22,MONTH(V999),"")</f>
        <v/>
      </c>
      <c r="AM999" s="86" t="str">
        <f>+IF($AG999=$AM$22,MONTH($D999),"")</f>
        <v/>
      </c>
      <c r="AN999" s="89" t="str">
        <f>+IF($AG999=AN$22,MONTH($D999),"")</f>
        <v/>
      </c>
      <c r="AO999" s="89" t="str">
        <f>+IF($AG999=AO$22,MONTH($D999),"")</f>
        <v/>
      </c>
      <c r="AP999" s="89" t="str">
        <f>+IF($AG999=AP$22,MONTH($D999),"")</f>
        <v/>
      </c>
      <c r="AQ999" s="89" t="str">
        <f>+IF($AG999=AQ$22,MONTH($D999),"")</f>
        <v/>
      </c>
      <c r="AR999" s="89" t="str">
        <f>+IF($AG999=AR$22,MONTH($D999),"")</f>
        <v/>
      </c>
      <c r="AS999" s="89" t="str">
        <f>+IF($AG999=AS$22,MONTH($D999),"")</f>
        <v/>
      </c>
      <c r="AT999" s="89" t="str">
        <f>+IF($AG999=AT$22,MONTH($D999),"")</f>
        <v/>
      </c>
      <c r="AU999" s="89" t="str">
        <f>+IF($AG999=AU$22,MONTH($D999),"")</f>
        <v/>
      </c>
      <c r="AV999" s="89" t="str">
        <f>+IF($AG999=AV$22,MONTH($D999),"")</f>
        <v/>
      </c>
      <c r="AW999" s="86" t="str">
        <f>+IF($AG999=AW$22,MONTH($D999),"")</f>
        <v/>
      </c>
      <c r="AX999" s="86" t="str">
        <f>+IF($AG999=AX$22,MONTH($D999),"")</f>
        <v/>
      </c>
      <c r="AY999" s="89"/>
      <c r="AZ999" s="89"/>
      <c r="BA999" s="89"/>
      <c r="BB999" s="89"/>
      <c r="BC999" s="89"/>
      <c r="BD999" s="89"/>
      <c r="BE999" s="89"/>
      <c r="BF999" s="89"/>
      <c r="BG999" s="89"/>
      <c r="BH999" s="89"/>
      <c r="BI999" s="89"/>
      <c r="BJ999" s="89"/>
      <c r="BK999" s="89"/>
      <c r="BL999" s="89"/>
      <c r="BM999" s="89"/>
      <c r="BN999" s="89"/>
      <c r="BO999" s="89"/>
      <c r="BP999" s="89"/>
    </row>
    <row r="1000" spans="1:68" s="56" customFormat="1" ht="27" hidden="1">
      <c r="A1000" s="204" t="str">
        <f>+IFERROR(VALUE(MID(AB1000,4,4)),"")</f>
        <v/>
      </c>
      <c r="B1000" s="204">
        <f>VALUE(RIGHT(C1000,LEN(C1000)-2))</f>
        <v>1723</v>
      </c>
      <c r="C1000" s="74" t="s">
        <v>3776</v>
      </c>
      <c r="D1000" s="75">
        <v>44431</v>
      </c>
      <c r="E1000" s="70" t="s">
        <v>3777</v>
      </c>
      <c r="F1000" s="70" t="s">
        <v>2269</v>
      </c>
      <c r="G1000" s="68" t="s">
        <v>3778</v>
      </c>
      <c r="H1000" s="59" t="s">
        <v>3779</v>
      </c>
      <c r="I1000" s="69" t="s">
        <v>3780</v>
      </c>
      <c r="J1000" s="69"/>
      <c r="K1000" s="95" t="s">
        <v>9</v>
      </c>
      <c r="L1000" s="69" t="s">
        <v>120</v>
      </c>
      <c r="M1000" s="71" t="s">
        <v>141</v>
      </c>
      <c r="N1000" s="69" t="e" vm="1">
        <v>#VALUE!</v>
      </c>
      <c r="O1000" s="84">
        <v>45015</v>
      </c>
      <c r="P1000" s="72" t="s">
        <v>2124</v>
      </c>
      <c r="Q1000" s="72" t="s">
        <v>259</v>
      </c>
      <c r="R1000" s="162"/>
      <c r="S1000" s="146"/>
      <c r="T1000" s="68" t="s">
        <v>165</v>
      </c>
      <c r="U1000" s="87">
        <v>0.01</v>
      </c>
      <c r="V1000" s="80">
        <v>45015</v>
      </c>
      <c r="W1000" s="73">
        <v>296</v>
      </c>
      <c r="X1000" s="73">
        <f>286*35576/1000000</f>
        <v>10.174735999999999</v>
      </c>
      <c r="Y1000" s="83">
        <f>IF(SUM(W1000:W1000)&gt;0,X1000/SUM(W1000:W1000)*1000000,"N/A")</f>
        <v>34374.108108108107</v>
      </c>
      <c r="Z1000" s="80"/>
      <c r="AA1000" s="80"/>
      <c r="AB1000" s="73"/>
      <c r="AC1000" s="153"/>
      <c r="AD1000" s="331"/>
      <c r="AE1000" s="57"/>
      <c r="AF1000" s="88"/>
      <c r="AG1000" s="182">
        <f>YEAR(V1000)</f>
        <v>2023</v>
      </c>
      <c r="AH1000" s="86" t="str">
        <f>+IF(AF1000=$AI$22,MONTH(U1000),"")</f>
        <v/>
      </c>
      <c r="AI1000" s="86" t="str">
        <f>+IF(AG1000=$AI$22,MONTH(V1000),"")</f>
        <v/>
      </c>
      <c r="AJ1000" s="86" t="str">
        <f>+IF(AG1000=$AJ$22,MONTH(V1000),"")</f>
        <v/>
      </c>
      <c r="AK1000" s="86">
        <f>+IF(AG1000=$AK$22,MONTH(V1000),"")</f>
        <v>3</v>
      </c>
      <c r="AL1000" s="86" t="str">
        <f>+IF(AG1000=$AL$22,MONTH(V1000),"")</f>
        <v/>
      </c>
      <c r="AM1000" s="86" t="str">
        <f>+IF($AG1000=$AM$22,MONTH($D1000),"")</f>
        <v/>
      </c>
      <c r="AN1000" s="89" t="str">
        <f>+IF($AG1000=AN$22,MONTH($D1000),"")</f>
        <v/>
      </c>
      <c r="AO1000" s="89" t="str">
        <f>+IF($AG1000=AO$22,MONTH($D1000),"")</f>
        <v/>
      </c>
      <c r="AP1000" s="89" t="str">
        <f>+IF($AG1000=AP$22,MONTH($D1000),"")</f>
        <v/>
      </c>
      <c r="AQ1000" s="89" t="str">
        <f>+IF($AG1000=AQ$22,MONTH($D1000),"")</f>
        <v/>
      </c>
      <c r="AR1000" s="89" t="str">
        <f>+IF($AG1000=AR$22,MONTH($D1000),"")</f>
        <v/>
      </c>
      <c r="AS1000" s="89" t="str">
        <f>+IF($AG1000=AS$22,MONTH($D1000),"")</f>
        <v/>
      </c>
      <c r="AT1000" s="89" t="str">
        <f>+IF($AG1000=AT$22,MONTH($D1000),"")</f>
        <v/>
      </c>
      <c r="AU1000" s="89" t="str">
        <f>+IF($AG1000=AU$22,MONTH($D1000),"")</f>
        <v/>
      </c>
      <c r="AV1000" s="89" t="str">
        <f>+IF($AG1000=AV$22,MONTH($D1000),"")</f>
        <v/>
      </c>
      <c r="AW1000" s="86" t="str">
        <f>+IF($AG1000=AW$22,MONTH($D1000),"")</f>
        <v/>
      </c>
      <c r="AX1000" s="86" t="str">
        <f>+IF($AG1000=AX$22,MONTH($D1000),"")</f>
        <v/>
      </c>
      <c r="AY1000" s="89"/>
      <c r="AZ1000" s="89"/>
      <c r="BA1000" s="89"/>
      <c r="BB1000" s="89"/>
      <c r="BC1000" s="89"/>
      <c r="BD1000" s="89"/>
      <c r="BE1000" s="89"/>
      <c r="BF1000" s="89"/>
      <c r="BG1000" s="89"/>
      <c r="BH1000" s="89"/>
      <c r="BI1000" s="89"/>
      <c r="BJ1000" s="89"/>
      <c r="BK1000" s="89"/>
      <c r="BL1000" s="89"/>
      <c r="BM1000" s="89"/>
      <c r="BN1000" s="89"/>
      <c r="BO1000" s="89"/>
      <c r="BP1000" s="89"/>
    </row>
    <row r="1001" spans="1:68" s="56" customFormat="1" ht="108" hidden="1">
      <c r="A1001" s="204" t="str">
        <f>+IFERROR(VALUE(MID(AB1001,4,4)),"")</f>
        <v/>
      </c>
      <c r="B1001" s="204">
        <f>VALUE(RIGHT(C1001,LEN(C1001)-2))</f>
        <v>1722</v>
      </c>
      <c r="C1001" s="74" t="s">
        <v>3781</v>
      </c>
      <c r="D1001" s="75">
        <v>45008</v>
      </c>
      <c r="E1001" s="70" t="s">
        <v>74</v>
      </c>
      <c r="F1001" s="70" t="s">
        <v>209</v>
      </c>
      <c r="G1001" s="68"/>
      <c r="H1001" s="59"/>
      <c r="I1001" s="69" t="s">
        <v>3208</v>
      </c>
      <c r="J1001" s="69"/>
      <c r="K1001" s="68" t="s">
        <v>13</v>
      </c>
      <c r="L1001" s="69" t="s">
        <v>120</v>
      </c>
      <c r="M1001" s="71" t="s">
        <v>141</v>
      </c>
      <c r="N1001" s="69" t="e" vm="1">
        <v>#VALUE!</v>
      </c>
      <c r="O1001" s="84">
        <v>45049</v>
      </c>
      <c r="P1001" s="72" t="s">
        <v>1058</v>
      </c>
      <c r="Q1001" s="72" t="s">
        <v>229</v>
      </c>
      <c r="R1001" s="162"/>
      <c r="S1001" s="146" t="s">
        <v>3760</v>
      </c>
      <c r="T1001" s="68" t="s">
        <v>168</v>
      </c>
      <c r="U1001" s="87"/>
      <c r="V1001" s="80">
        <v>45055</v>
      </c>
      <c r="W1001" s="73"/>
      <c r="X1001" s="73"/>
      <c r="Y1001" s="83" t="str">
        <f>IF(SUM(W1001:W1001)&gt;0,X1001/SUM(W1001:W1001)*1000000,"N/A")</f>
        <v>N/A</v>
      </c>
      <c r="Z1001" s="80"/>
      <c r="AA1001" s="80"/>
      <c r="AB1001" s="73"/>
      <c r="AC1001" s="153"/>
      <c r="AD1001" s="331"/>
      <c r="AE1001" s="57"/>
      <c r="AF1001" s="88"/>
      <c r="AG1001" s="182">
        <f>YEAR(V1001)</f>
        <v>2023</v>
      </c>
      <c r="AH1001" s="86" t="str">
        <f>+IF(AF1001=$AI$22,MONTH(U1001),"")</f>
        <v/>
      </c>
      <c r="AI1001" s="86" t="str">
        <f>+IF(AG1001=$AI$22,MONTH(V1001),"")</f>
        <v/>
      </c>
      <c r="AJ1001" s="86" t="str">
        <f>+IF(AG1001=$AJ$22,MONTH(V1001),"")</f>
        <v/>
      </c>
      <c r="AK1001" s="86">
        <f>+IF(AG1001=$AK$22,MONTH(V1001),"")</f>
        <v>5</v>
      </c>
      <c r="AL1001" s="86" t="str">
        <f>+IF(AG1001=$AL$22,MONTH(V1001),"")</f>
        <v/>
      </c>
      <c r="AM1001" s="86" t="str">
        <f>+IF($AG1001=$AM$22,MONTH($D1001),"")</f>
        <v/>
      </c>
      <c r="AN1001" s="89" t="str">
        <f>+IF($AG1001=AN$22,MONTH($D1001),"")</f>
        <v/>
      </c>
      <c r="AO1001" s="89" t="str">
        <f>+IF($AG1001=AO$22,MONTH($D1001),"")</f>
        <v/>
      </c>
      <c r="AP1001" s="89" t="str">
        <f>+IF($AG1001=AP$22,MONTH($D1001),"")</f>
        <v/>
      </c>
      <c r="AQ1001" s="89" t="str">
        <f>+IF($AG1001=AQ$22,MONTH($D1001),"")</f>
        <v/>
      </c>
      <c r="AR1001" s="89" t="str">
        <f>+IF($AG1001=AR$22,MONTH($D1001),"")</f>
        <v/>
      </c>
      <c r="AS1001" s="89" t="str">
        <f>+IF($AG1001=AS$22,MONTH($D1001),"")</f>
        <v/>
      </c>
      <c r="AT1001" s="89" t="str">
        <f>+IF($AG1001=AT$22,MONTH($D1001),"")</f>
        <v/>
      </c>
      <c r="AU1001" s="89" t="str">
        <f>+IF($AG1001=AU$22,MONTH($D1001),"")</f>
        <v/>
      </c>
      <c r="AV1001" s="89" t="str">
        <f>+IF($AG1001=AV$22,MONTH($D1001),"")</f>
        <v/>
      </c>
      <c r="AW1001" s="86" t="str">
        <f>+IF($AG1001=AW$22,MONTH($D1001),"")</f>
        <v/>
      </c>
      <c r="AX1001" s="86" t="str">
        <f>+IF($AG1001=AX$22,MONTH($D1001),"")</f>
        <v/>
      </c>
      <c r="AY1001" s="89"/>
      <c r="AZ1001" s="89"/>
      <c r="BA1001" s="89"/>
      <c r="BB1001" s="89"/>
      <c r="BC1001" s="89"/>
      <c r="BD1001" s="89"/>
      <c r="BE1001" s="89"/>
      <c r="BF1001" s="89"/>
      <c r="BG1001" s="89"/>
      <c r="BH1001" s="89"/>
      <c r="BI1001" s="89"/>
      <c r="BJ1001" s="89"/>
      <c r="BK1001" s="89"/>
      <c r="BL1001" s="89"/>
      <c r="BM1001" s="89"/>
      <c r="BN1001" s="89"/>
      <c r="BO1001" s="89"/>
      <c r="BP1001" s="89"/>
    </row>
    <row r="1002" spans="1:68" s="56" customFormat="1" ht="26.25" hidden="1" customHeight="1">
      <c r="A1002" s="204">
        <f>+IFERROR(VALUE(MID(AB1002,4,4)),"")</f>
        <v>360</v>
      </c>
      <c r="B1002" s="204">
        <f>VALUE(RIGHT(C1002,LEN(C1002)-2))</f>
        <v>1721</v>
      </c>
      <c r="C1002" s="74" t="s">
        <v>3782</v>
      </c>
      <c r="D1002" s="75">
        <v>45005</v>
      </c>
      <c r="E1002" s="70" t="s">
        <v>53</v>
      </c>
      <c r="F1002" s="70" t="s">
        <v>630</v>
      </c>
      <c r="G1002" s="68" t="s">
        <v>210</v>
      </c>
      <c r="H1002" s="59"/>
      <c r="I1002" s="69" t="s">
        <v>3783</v>
      </c>
      <c r="J1002" s="69"/>
      <c r="K1002" s="68" t="s">
        <v>212</v>
      </c>
      <c r="L1002" s="69" t="s">
        <v>123</v>
      </c>
      <c r="M1002" s="71" t="s">
        <v>141</v>
      </c>
      <c r="N1002" s="69" t="e" vm="1">
        <v>#VALUE!</v>
      </c>
      <c r="O1002" s="84">
        <v>45049</v>
      </c>
      <c r="P1002" s="72" t="s">
        <v>228</v>
      </c>
      <c r="Q1002" s="72" t="s">
        <v>652</v>
      </c>
      <c r="R1002" s="162"/>
      <c r="S1002" s="146"/>
      <c r="T1002" s="68" t="s">
        <v>3</v>
      </c>
      <c r="U1002" s="87"/>
      <c r="V1002" s="80">
        <v>45259</v>
      </c>
      <c r="W1002" s="73"/>
      <c r="X1002" s="73"/>
      <c r="Y1002" s="83" t="str">
        <f>IF(SUM(W1002:W1002)&gt;0,X1002/SUM(W1002:W1002)*1000000,"N/A")</f>
        <v>N/A</v>
      </c>
      <c r="Z1002" s="80"/>
      <c r="AA1002" s="80"/>
      <c r="AB1002" s="73" t="s">
        <v>3784</v>
      </c>
      <c r="AC1002" s="153"/>
      <c r="AD1002" s="331"/>
      <c r="AE1002" s="57"/>
      <c r="AF1002" s="88"/>
      <c r="AG1002" s="182">
        <f>YEAR(V1002)</f>
        <v>2023</v>
      </c>
      <c r="AH1002" s="86" t="str">
        <f>+IF(AF1002=$AI$22,MONTH(U1002),"")</f>
        <v/>
      </c>
      <c r="AI1002" s="86" t="str">
        <f>+IF(AG1002=$AI$22,MONTH(V1002),"")</f>
        <v/>
      </c>
      <c r="AJ1002" s="86" t="str">
        <f>+IF(AG1002=$AJ$22,MONTH(V1002),"")</f>
        <v/>
      </c>
      <c r="AK1002" s="86">
        <f>+IF(AG1002=$AK$22,MONTH(V1002),"")</f>
        <v>11</v>
      </c>
      <c r="AL1002" s="86" t="str">
        <f>+IF(AG1002=$AL$22,MONTH(V1002),"")</f>
        <v/>
      </c>
      <c r="AM1002" s="86" t="str">
        <f>+IF($AG1002=$AM$22,MONTH($D1002),"")</f>
        <v/>
      </c>
      <c r="AN1002" s="89" t="str">
        <f>+IF($AG1002=AN$22,MONTH($D1002),"")</f>
        <v/>
      </c>
      <c r="AO1002" s="89" t="str">
        <f>+IF($AG1002=AO$22,MONTH($D1002),"")</f>
        <v/>
      </c>
      <c r="AP1002" s="89" t="str">
        <f>+IF($AG1002=AP$22,MONTH($D1002),"")</f>
        <v/>
      </c>
      <c r="AQ1002" s="89" t="str">
        <f>+IF($AG1002=AQ$22,MONTH($D1002),"")</f>
        <v/>
      </c>
      <c r="AR1002" s="89" t="str">
        <f>+IF($AG1002=AR$22,MONTH($D1002),"")</f>
        <v/>
      </c>
      <c r="AS1002" s="89" t="str">
        <f>+IF($AG1002=AS$22,MONTH($D1002),"")</f>
        <v/>
      </c>
      <c r="AT1002" s="89" t="str">
        <f>+IF($AG1002=AT$22,MONTH($D1002),"")</f>
        <v/>
      </c>
      <c r="AU1002" s="89" t="str">
        <f>+IF($AG1002=AU$22,MONTH($D1002),"")</f>
        <v/>
      </c>
      <c r="AV1002" s="89" t="str">
        <f>+IF($AG1002=AV$22,MONTH($D1002),"")</f>
        <v/>
      </c>
      <c r="AW1002" s="86" t="str">
        <f>+IF($AG1002=AW$22,MONTH($D1002),"")</f>
        <v/>
      </c>
      <c r="AX1002" s="86" t="str">
        <f>+IF($AG1002=AX$22,MONTH($D1002),"")</f>
        <v/>
      </c>
      <c r="AY1002" s="89"/>
      <c r="AZ1002" s="89"/>
      <c r="BA1002" s="89"/>
      <c r="BB1002" s="89"/>
      <c r="BC1002" s="89"/>
      <c r="BD1002" s="89"/>
      <c r="BE1002" s="89"/>
      <c r="BF1002" s="89"/>
      <c r="BG1002" s="89"/>
      <c r="BH1002" s="89"/>
      <c r="BI1002" s="89"/>
      <c r="BJ1002" s="89"/>
      <c r="BK1002" s="89"/>
      <c r="BL1002" s="89"/>
      <c r="BM1002" s="89"/>
      <c r="BN1002" s="89"/>
      <c r="BO1002" s="89"/>
      <c r="BP1002" s="89"/>
    </row>
    <row r="1003" spans="1:68" s="56" customFormat="1" ht="27" hidden="1">
      <c r="A1003" s="204" t="str">
        <f>+IFERROR(VALUE(MID(AB1003,4,4)),"")</f>
        <v/>
      </c>
      <c r="B1003" s="204">
        <f>VALUE(RIGHT(C1003,LEN(C1003)-2))</f>
        <v>1720</v>
      </c>
      <c r="C1003" s="74" t="s">
        <v>3785</v>
      </c>
      <c r="D1003" s="75">
        <v>45002</v>
      </c>
      <c r="E1003" s="70" t="s">
        <v>394</v>
      </c>
      <c r="F1003" s="70" t="s">
        <v>394</v>
      </c>
      <c r="G1003" s="68" t="s">
        <v>3726</v>
      </c>
      <c r="H1003" s="59" t="s">
        <v>3727</v>
      </c>
      <c r="I1003" s="69" t="s">
        <v>3786</v>
      </c>
      <c r="J1003" s="69"/>
      <c r="K1003" s="68" t="s">
        <v>13</v>
      </c>
      <c r="L1003" s="69" t="s">
        <v>120</v>
      </c>
      <c r="M1003" s="71" t="s">
        <v>141</v>
      </c>
      <c r="N1003" s="69" t="e" vm="1">
        <v>#VALUE!</v>
      </c>
      <c r="O1003" s="84">
        <v>45026</v>
      </c>
      <c r="P1003" s="72" t="s">
        <v>402</v>
      </c>
      <c r="Q1003" s="72" t="s">
        <v>623</v>
      </c>
      <c r="R1003" s="162"/>
      <c r="S1003" s="146"/>
      <c r="T1003" s="68" t="s">
        <v>155</v>
      </c>
      <c r="U1003" s="87"/>
      <c r="V1003" s="80">
        <v>45078</v>
      </c>
      <c r="W1003" s="73"/>
      <c r="X1003" s="73"/>
      <c r="Y1003" s="83" t="str">
        <f>IF(SUM(W1003:W1003)&gt;0,X1003/SUM(W1003:W1003)*1000000,"N/A")</f>
        <v>N/A</v>
      </c>
      <c r="Z1003" s="80"/>
      <c r="AA1003" s="80"/>
      <c r="AB1003" s="73"/>
      <c r="AC1003" s="153"/>
      <c r="AD1003" s="331"/>
      <c r="AE1003" s="57"/>
      <c r="AF1003" s="88"/>
      <c r="AG1003" s="182">
        <f>YEAR(V1003)</f>
        <v>2023</v>
      </c>
      <c r="AH1003" s="86" t="str">
        <f>+IF(AF1003=$AI$22,MONTH(U1003),"")</f>
        <v/>
      </c>
      <c r="AI1003" s="86" t="str">
        <f>+IF(AG1003=$AI$22,MONTH(V1003),"")</f>
        <v/>
      </c>
      <c r="AJ1003" s="86" t="str">
        <f>+IF(AG1003=$AJ$22,MONTH(V1003),"")</f>
        <v/>
      </c>
      <c r="AK1003" s="86">
        <f>+IF(AG1003=$AK$22,MONTH(V1003),"")</f>
        <v>6</v>
      </c>
      <c r="AL1003" s="86" t="str">
        <f>+IF(AG1003=$AL$22,MONTH(V1003),"")</f>
        <v/>
      </c>
      <c r="AM1003" s="86" t="str">
        <f>+IF($AG1003=$AM$22,MONTH($D1003),"")</f>
        <v/>
      </c>
      <c r="AN1003" s="89" t="str">
        <f>+IF($AG1003=AN$22,MONTH($D1003),"")</f>
        <v/>
      </c>
      <c r="AO1003" s="89" t="str">
        <f>+IF($AG1003=AO$22,MONTH($D1003),"")</f>
        <v/>
      </c>
      <c r="AP1003" s="89" t="str">
        <f>+IF($AG1003=AP$22,MONTH($D1003),"")</f>
        <v/>
      </c>
      <c r="AQ1003" s="89" t="str">
        <f>+IF($AG1003=AQ$22,MONTH($D1003),"")</f>
        <v/>
      </c>
      <c r="AR1003" s="89" t="str">
        <f>+IF($AG1003=AR$22,MONTH($D1003),"")</f>
        <v/>
      </c>
      <c r="AS1003" s="89" t="str">
        <f>+IF($AG1003=AS$22,MONTH($D1003),"")</f>
        <v/>
      </c>
      <c r="AT1003" s="89" t="str">
        <f>+IF($AG1003=AT$22,MONTH($D1003),"")</f>
        <v/>
      </c>
      <c r="AU1003" s="89" t="str">
        <f>+IF($AG1003=AU$22,MONTH($D1003),"")</f>
        <v/>
      </c>
      <c r="AV1003" s="89" t="str">
        <f>+IF($AG1003=AV$22,MONTH($D1003),"")</f>
        <v/>
      </c>
      <c r="AW1003" s="86" t="str">
        <f>+IF($AG1003=AW$22,MONTH($D1003),"")</f>
        <v/>
      </c>
      <c r="AX1003" s="86" t="str">
        <f>+IF($AG1003=AX$22,MONTH($D1003),"")</f>
        <v/>
      </c>
      <c r="AY1003" s="89"/>
      <c r="AZ1003" s="89"/>
      <c r="BA1003" s="89"/>
      <c r="BB1003" s="89"/>
      <c r="BC1003" s="89"/>
      <c r="BD1003" s="89"/>
      <c r="BE1003" s="89"/>
      <c r="BF1003" s="89"/>
      <c r="BG1003" s="89"/>
      <c r="BH1003" s="89"/>
      <c r="BI1003" s="89"/>
      <c r="BJ1003" s="182"/>
      <c r="BK1003" s="182"/>
      <c r="BL1003" s="182"/>
      <c r="BM1003" s="182"/>
      <c r="BN1003" s="89"/>
      <c r="BO1003" s="89"/>
      <c r="BP1003" s="89"/>
    </row>
    <row r="1004" spans="1:68" s="51" customFormat="1" ht="81" hidden="1">
      <c r="A1004" s="204" t="str">
        <f>+IFERROR(VALUE(MID(AB1004,4,4)),"")</f>
        <v/>
      </c>
      <c r="B1004" s="204">
        <f>VALUE(RIGHT(C1004,LEN(C1004)-2))</f>
        <v>1719</v>
      </c>
      <c r="C1004" s="74" t="s">
        <v>3787</v>
      </c>
      <c r="D1004" s="75">
        <v>45000</v>
      </c>
      <c r="E1004" s="70" t="s">
        <v>262</v>
      </c>
      <c r="F1004" s="70" t="s">
        <v>262</v>
      </c>
      <c r="G1004" s="68" t="s">
        <v>1493</v>
      </c>
      <c r="H1004" s="59" t="s">
        <v>1494</v>
      </c>
      <c r="I1004" s="69" t="s">
        <v>3719</v>
      </c>
      <c r="J1004" s="69"/>
      <c r="K1004" s="68" t="s">
        <v>29</v>
      </c>
      <c r="L1004" s="69" t="s">
        <v>123</v>
      </c>
      <c r="M1004" s="71" t="s">
        <v>141</v>
      </c>
      <c r="N1004" s="69" t="e" vm="1">
        <v>#VALUE!</v>
      </c>
      <c r="O1004" s="84">
        <v>45011</v>
      </c>
      <c r="P1004" s="72" t="s">
        <v>402</v>
      </c>
      <c r="Q1004" s="72" t="s">
        <v>623</v>
      </c>
      <c r="R1004" s="162"/>
      <c r="S1004" s="146" t="s">
        <v>3788</v>
      </c>
      <c r="T1004" s="68" t="s">
        <v>168</v>
      </c>
      <c r="U1004" s="87"/>
      <c r="V1004" s="80">
        <v>45033</v>
      </c>
      <c r="W1004" s="73"/>
      <c r="X1004" s="73"/>
      <c r="Y1004" s="83" t="str">
        <f>IF(SUM(W1004:W1004)&gt;0,X1004/SUM(W1004:W1004)*1000000,"N/A")</f>
        <v>N/A</v>
      </c>
      <c r="Z1004" s="80"/>
      <c r="AA1004" s="80"/>
      <c r="AB1004" s="73"/>
      <c r="AC1004" s="153"/>
      <c r="AD1004" s="331"/>
      <c r="AE1004" s="57"/>
      <c r="AF1004" s="88"/>
      <c r="AG1004" s="182">
        <f>YEAR(V1004)</f>
        <v>2023</v>
      </c>
      <c r="AH1004" s="86" t="str">
        <f>+IF(AF1004=$AI$22,MONTH(U1004),"")</f>
        <v/>
      </c>
      <c r="AI1004" s="86" t="str">
        <f>+IF(AG1004=$AI$22,MONTH(V1004),"")</f>
        <v/>
      </c>
      <c r="AJ1004" s="86" t="str">
        <f>+IF(AG1004=$AJ$22,MONTH(V1004),"")</f>
        <v/>
      </c>
      <c r="AK1004" s="86">
        <f>+IF(AG1004=$AK$22,MONTH(V1004),"")</f>
        <v>4</v>
      </c>
      <c r="AL1004" s="86" t="str">
        <f>+IF(AG1004=$AL$22,MONTH(V1004),"")</f>
        <v/>
      </c>
      <c r="AM1004" s="86" t="str">
        <f>+IF($AG1004=$AM$22,MONTH($D1004),"")</f>
        <v/>
      </c>
      <c r="AN1004" s="89" t="str">
        <f>+IF($AG1004=AN$22,MONTH($D1004),"")</f>
        <v/>
      </c>
      <c r="AO1004" s="89" t="str">
        <f>+IF($AG1004=AO$22,MONTH($D1004),"")</f>
        <v/>
      </c>
      <c r="AP1004" s="89" t="str">
        <f>+IF($AG1004=AP$22,MONTH($D1004),"")</f>
        <v/>
      </c>
      <c r="AQ1004" s="89" t="str">
        <f>+IF($AG1004=AQ$22,MONTH($D1004),"")</f>
        <v/>
      </c>
      <c r="AR1004" s="89" t="str">
        <f>+IF($AG1004=AR$22,MONTH($D1004),"")</f>
        <v/>
      </c>
      <c r="AS1004" s="89" t="str">
        <f>+IF($AG1004=AS$22,MONTH($D1004),"")</f>
        <v/>
      </c>
      <c r="AT1004" s="89" t="str">
        <f>+IF($AG1004=AT$22,MONTH($D1004),"")</f>
        <v/>
      </c>
      <c r="AU1004" s="89" t="str">
        <f>+IF($AG1004=AU$22,MONTH($D1004),"")</f>
        <v/>
      </c>
      <c r="AV1004" s="89" t="str">
        <f>+IF($AG1004=AV$22,MONTH($D1004),"")</f>
        <v/>
      </c>
      <c r="AW1004" s="86" t="str">
        <f>+IF($AG1004=AW$22,MONTH($D1004),"")</f>
        <v/>
      </c>
      <c r="AX1004" s="86" t="str">
        <f>+IF($AG1004=AX$22,MONTH($D1004),"")</f>
        <v/>
      </c>
      <c r="AY1004" s="89"/>
      <c r="AZ1004" s="89"/>
      <c r="BA1004" s="89"/>
      <c r="BB1004" s="89"/>
      <c r="BC1004" s="89"/>
      <c r="BD1004" s="89"/>
      <c r="BE1004" s="89"/>
      <c r="BF1004" s="89"/>
      <c r="BG1004" s="89"/>
      <c r="BH1004" s="89"/>
      <c r="BI1004" s="89"/>
      <c r="BJ1004" s="89"/>
      <c r="BK1004" s="89"/>
      <c r="BL1004" s="89"/>
      <c r="BM1004" s="89"/>
      <c r="BN1004" s="182"/>
      <c r="BO1004" s="182"/>
      <c r="BP1004" s="182"/>
    </row>
    <row r="1005" spans="1:68" s="56" customFormat="1" ht="81" hidden="1">
      <c r="A1005" s="204" t="str">
        <f>+IFERROR(VALUE(MID(AB1005,4,4)),"")</f>
        <v/>
      </c>
      <c r="B1005" s="204">
        <f>VALUE(RIGHT(C1005,LEN(C1005)-2))</f>
        <v>1718</v>
      </c>
      <c r="C1005" s="74" t="s">
        <v>3789</v>
      </c>
      <c r="D1005" s="75">
        <v>45000</v>
      </c>
      <c r="E1005" s="68" t="s">
        <v>3790</v>
      </c>
      <c r="F1005" s="68" t="s">
        <v>3790</v>
      </c>
      <c r="G1005" s="68" t="s">
        <v>3791</v>
      </c>
      <c r="H1005" s="59" t="s">
        <v>3792</v>
      </c>
      <c r="I1005" s="69" t="s">
        <v>3793</v>
      </c>
      <c r="J1005" s="69"/>
      <c r="K1005" s="68" t="s">
        <v>12</v>
      </c>
      <c r="L1005" s="69" t="s">
        <v>120</v>
      </c>
      <c r="M1005" s="71" t="s">
        <v>141</v>
      </c>
      <c r="N1005" s="69" t="e" vm="1">
        <v>#VALUE!</v>
      </c>
      <c r="O1005" s="84">
        <v>45015</v>
      </c>
      <c r="P1005" s="69" t="s">
        <v>2852</v>
      </c>
      <c r="Q1005" s="69" t="s">
        <v>229</v>
      </c>
      <c r="R1005" s="69"/>
      <c r="S1005" s="146" t="s">
        <v>3794</v>
      </c>
      <c r="T1005" s="68" t="s">
        <v>165</v>
      </c>
      <c r="U1005" s="87"/>
      <c r="V1005" s="80">
        <v>45016</v>
      </c>
      <c r="W1005" s="73">
        <v>200</v>
      </c>
      <c r="X1005" s="216">
        <f>279*35575/1000000</f>
        <v>9.9254250000000006</v>
      </c>
      <c r="Y1005" s="83">
        <f>IF(SUM(W1005:W1005)&gt;0,X1005/SUM(W1005:W1005)*1000000,"N/A")</f>
        <v>49627.125</v>
      </c>
      <c r="Z1005" s="80"/>
      <c r="AA1005" s="80"/>
      <c r="AB1005" s="57"/>
      <c r="AC1005" s="75"/>
      <c r="AD1005" s="332"/>
      <c r="AE1005" s="68"/>
      <c r="AF1005" s="88"/>
      <c r="AG1005" s="182">
        <f>YEAR(V1005)</f>
        <v>2023</v>
      </c>
      <c r="AH1005" s="86" t="str">
        <f>+IF(AF1005=$AI$22,MONTH(U1005),"")</f>
        <v/>
      </c>
      <c r="AI1005" s="86" t="str">
        <f>+IF(AG1005=$AI$22,MONTH(V1005),"")</f>
        <v/>
      </c>
      <c r="AJ1005" s="86" t="str">
        <f>+IF(AG1005=$AJ$22,MONTH(V1005),"")</f>
        <v/>
      </c>
      <c r="AK1005" s="86">
        <f>+IF(AG1005=$AK$22,MONTH(V1005),"")</f>
        <v>3</v>
      </c>
      <c r="AL1005" s="86" t="str">
        <f>+IF(AG1005=$AL$22,MONTH(V1005),"")</f>
        <v/>
      </c>
      <c r="AM1005" s="86" t="str">
        <f>+IF($AG1005=$AM$22,MONTH($D1005),"")</f>
        <v/>
      </c>
      <c r="AN1005" s="89" t="str">
        <f>+IF($AG1005=AN$22,MONTH($D1005),"")</f>
        <v/>
      </c>
      <c r="AO1005" s="184" t="str">
        <f>+IF($AG1005=AO$22,MONTH($D1005),"")</f>
        <v/>
      </c>
      <c r="AP1005" s="184" t="str">
        <f>+IF($AG1005=AP$22,MONTH($D1005),"")</f>
        <v/>
      </c>
      <c r="AQ1005" s="184" t="str">
        <f>+IF($AG1005=AQ$22,MONTH($D1005),"")</f>
        <v/>
      </c>
      <c r="AR1005" s="184" t="str">
        <f>+IF($AG1005=AR$22,MONTH($D1005),"")</f>
        <v/>
      </c>
      <c r="AS1005" s="184" t="str">
        <f>+IF($AG1005=AS$22,MONTH($D1005),"")</f>
        <v/>
      </c>
      <c r="AT1005" s="86" t="str">
        <f>+IF($AG1005=AT$22,MONTH($D1005),"")</f>
        <v/>
      </c>
      <c r="AU1005" s="86" t="str">
        <f>+IF($AG1005=AU$22,MONTH($D1005),"")</f>
        <v/>
      </c>
      <c r="AV1005" s="86" t="str">
        <f>+IF($AG1005=AV$22,MONTH($D1005),"")</f>
        <v/>
      </c>
      <c r="AW1005" s="86" t="str">
        <f>+IF($AG1005=AW$22,MONTH($D1005),"")</f>
        <v/>
      </c>
      <c r="AX1005" s="86" t="str">
        <f>+IF($AG1005=AX$22,MONTH($D1005),"")</f>
        <v/>
      </c>
      <c r="AY1005" s="89"/>
      <c r="AZ1005" s="89"/>
      <c r="BA1005" s="89"/>
      <c r="BB1005" s="89"/>
      <c r="BC1005" s="89"/>
      <c r="BD1005" s="89"/>
      <c r="BE1005" s="89"/>
      <c r="BF1005" s="89"/>
      <c r="BG1005" s="89"/>
      <c r="BH1005" s="89"/>
      <c r="BI1005" s="89"/>
      <c r="BJ1005" s="89"/>
      <c r="BK1005" s="89"/>
      <c r="BL1005" s="89"/>
      <c r="BM1005" s="89"/>
      <c r="BN1005" s="89"/>
      <c r="BO1005" s="89"/>
      <c r="BP1005" s="89"/>
    </row>
    <row r="1006" spans="1:68" s="56" customFormat="1" ht="40.5" hidden="1">
      <c r="A1006" s="204" t="str">
        <f>+IFERROR(VALUE(MID(AB1006,4,4)),"")</f>
        <v/>
      </c>
      <c r="B1006" s="204">
        <f>VALUE(RIGHT(C1006,LEN(C1006)-2))</f>
        <v>1717</v>
      </c>
      <c r="C1006" s="74" t="s">
        <v>3795</v>
      </c>
      <c r="D1006" s="75">
        <v>44999</v>
      </c>
      <c r="E1006" s="68" t="s">
        <v>53</v>
      </c>
      <c r="F1006" s="70" t="s">
        <v>252</v>
      </c>
      <c r="G1006" s="68" t="s">
        <v>3796</v>
      </c>
      <c r="H1006" s="59" t="s">
        <v>3797</v>
      </c>
      <c r="I1006" s="69" t="s">
        <v>3798</v>
      </c>
      <c r="J1006" s="69"/>
      <c r="K1006" s="68" t="s">
        <v>12</v>
      </c>
      <c r="L1006" s="69" t="s">
        <v>120</v>
      </c>
      <c r="M1006" s="71" t="s">
        <v>141</v>
      </c>
      <c r="N1006" s="69" t="e" vm="1">
        <v>#VALUE!</v>
      </c>
      <c r="O1006" s="84">
        <v>45009</v>
      </c>
      <c r="P1006" s="69" t="s">
        <v>274</v>
      </c>
      <c r="Q1006" s="69" t="s">
        <v>837</v>
      </c>
      <c r="R1006" s="69"/>
      <c r="S1006" s="146" t="s">
        <v>3799</v>
      </c>
      <c r="T1006" s="68" t="s">
        <v>168</v>
      </c>
      <c r="U1006" s="87"/>
      <c r="V1006" s="80">
        <v>45036</v>
      </c>
      <c r="W1006" s="73">
        <v>18178</v>
      </c>
      <c r="X1006" s="216">
        <f>21700*36000/1000000</f>
        <v>781.2</v>
      </c>
      <c r="Y1006" s="83">
        <f>IF(SUM(W1006:W1006)&gt;0,X1006/SUM(W1006:W1006)*1000000,"N/A")</f>
        <v>42975.024755198589</v>
      </c>
      <c r="Z1006" s="80"/>
      <c r="AA1006" s="80"/>
      <c r="AB1006" s="57"/>
      <c r="AC1006" s="75"/>
      <c r="AD1006" s="332"/>
      <c r="AE1006" s="68"/>
      <c r="AF1006" s="88"/>
      <c r="AG1006" s="182">
        <f>YEAR(V1006)</f>
        <v>2023</v>
      </c>
      <c r="AH1006" s="86" t="str">
        <f>+IF(AF1006=$AI$22,MONTH(U1006),"")</f>
        <v/>
      </c>
      <c r="AI1006" s="86" t="str">
        <f>+IF(AG1006=$AI$22,MONTH(V1006),"")</f>
        <v/>
      </c>
      <c r="AJ1006" s="86" t="str">
        <f>+IF(AG1006=$AJ$22,MONTH(V1006),"")</f>
        <v/>
      </c>
      <c r="AK1006" s="86">
        <f>+IF(AG1006=$AK$22,MONTH(V1006),"")</f>
        <v>4</v>
      </c>
      <c r="AL1006" s="86" t="str">
        <f>+IF(AG1006=$AL$22,MONTH(V1006),"")</f>
        <v/>
      </c>
      <c r="AM1006" s="86" t="str">
        <f>+IF($AG1006=$AM$22,MONTH($D1006),"")</f>
        <v/>
      </c>
      <c r="AN1006" s="89" t="str">
        <f>+IF($AG1006=AN$22,MONTH($D1006),"")</f>
        <v/>
      </c>
      <c r="AO1006" s="184" t="str">
        <f>+IF($AG1006=AO$22,MONTH($D1006),"")</f>
        <v/>
      </c>
      <c r="AP1006" s="184" t="str">
        <f>+IF($AG1006=AP$22,MONTH($D1006),"")</f>
        <v/>
      </c>
      <c r="AQ1006" s="184" t="str">
        <f>+IF($AG1006=AQ$22,MONTH($D1006),"")</f>
        <v/>
      </c>
      <c r="AR1006" s="184" t="str">
        <f>+IF($AG1006=AR$22,MONTH($D1006),"")</f>
        <v/>
      </c>
      <c r="AS1006" s="184" t="str">
        <f>+IF($AG1006=AS$22,MONTH($D1006),"")</f>
        <v/>
      </c>
      <c r="AT1006" s="86" t="str">
        <f>+IF($AG1006=AT$22,MONTH($D1006),"")</f>
        <v/>
      </c>
      <c r="AU1006" s="86" t="str">
        <f>+IF($AG1006=AU$22,MONTH($D1006),"")</f>
        <v/>
      </c>
      <c r="AV1006" s="86" t="str">
        <f>+IF($AG1006=AV$22,MONTH($D1006),"")</f>
        <v/>
      </c>
      <c r="AW1006" s="86" t="str">
        <f>+IF($AG1006=AW$22,MONTH($D1006),"")</f>
        <v/>
      </c>
      <c r="AX1006" s="86" t="str">
        <f>+IF($AG1006=AX$22,MONTH($D1006),"")</f>
        <v/>
      </c>
      <c r="AY1006" s="89"/>
      <c r="AZ1006" s="89"/>
      <c r="BA1006" s="89"/>
      <c r="BB1006" s="89"/>
      <c r="BC1006" s="89"/>
      <c r="BD1006" s="89"/>
      <c r="BE1006" s="89"/>
      <c r="BF1006" s="89"/>
      <c r="BG1006" s="89"/>
      <c r="BH1006" s="89"/>
      <c r="BI1006" s="89"/>
      <c r="BJ1006" s="89"/>
      <c r="BK1006" s="89"/>
      <c r="BL1006" s="89"/>
      <c r="BM1006" s="89"/>
      <c r="BN1006" s="89"/>
      <c r="BO1006" s="89"/>
      <c r="BP1006" s="89"/>
    </row>
    <row r="1007" spans="1:68" s="56" customFormat="1" ht="27" hidden="1">
      <c r="A1007" s="204" t="str">
        <f>+IFERROR(VALUE(MID(AB1007,4,4)),"")</f>
        <v/>
      </c>
      <c r="B1007" s="204">
        <f>VALUE(RIGHT(C1007,LEN(C1007)-2))</f>
        <v>1716</v>
      </c>
      <c r="C1007" s="74" t="s">
        <v>3800</v>
      </c>
      <c r="D1007" s="75">
        <v>44995</v>
      </c>
      <c r="E1007" s="68" t="s">
        <v>1856</v>
      </c>
      <c r="F1007" s="68" t="s">
        <v>1857</v>
      </c>
      <c r="G1007" s="68" t="s">
        <v>3696</v>
      </c>
      <c r="H1007" s="59"/>
      <c r="I1007" s="69" t="s">
        <v>3801</v>
      </c>
      <c r="J1007" s="69"/>
      <c r="K1007" s="68" t="s">
        <v>2725</v>
      </c>
      <c r="L1007" s="69" t="s">
        <v>123</v>
      </c>
      <c r="M1007" s="71" t="s">
        <v>113</v>
      </c>
      <c r="N1007" s="69" t="e" vm="7">
        <v>#VALUE!</v>
      </c>
      <c r="O1007" s="84">
        <v>45013</v>
      </c>
      <c r="P1007" s="69" t="s">
        <v>1629</v>
      </c>
      <c r="Q1007" s="69" t="s">
        <v>837</v>
      </c>
      <c r="R1007" s="69"/>
      <c r="S1007" s="146" t="s">
        <v>3802</v>
      </c>
      <c r="T1007" s="68" t="s">
        <v>165</v>
      </c>
      <c r="U1007" s="87"/>
      <c r="V1007" s="80">
        <v>45099</v>
      </c>
      <c r="W1007" s="73">
        <v>17145</v>
      </c>
      <c r="X1007" s="216">
        <f>894000*780/1000000</f>
        <v>697.32</v>
      </c>
      <c r="Y1007" s="83">
        <f>IF(SUM(W1007:W1007)&gt;0,X1007/SUM(W1007:W1007)*1000000,"N/A")</f>
        <v>40671.916010498688</v>
      </c>
      <c r="Z1007" s="80"/>
      <c r="AA1007" s="80"/>
      <c r="AB1007" s="57"/>
      <c r="AC1007" s="75"/>
      <c r="AD1007" s="332"/>
      <c r="AE1007" s="68"/>
      <c r="AF1007" s="88"/>
      <c r="AG1007" s="182">
        <f>YEAR(V1007)</f>
        <v>2023</v>
      </c>
      <c r="AH1007" s="86" t="str">
        <f>+IF(AF1007=$AI$22,MONTH(U1007),"")</f>
        <v/>
      </c>
      <c r="AI1007" s="86" t="str">
        <f>+IF(AG1007=$AI$22,MONTH(V1007),"")</f>
        <v/>
      </c>
      <c r="AJ1007" s="86" t="str">
        <f>+IF(AG1007=$AJ$22,MONTH(V1007),"")</f>
        <v/>
      </c>
      <c r="AK1007" s="86">
        <f>+IF(AG1007=$AK$22,MONTH(V1007),"")</f>
        <v>6</v>
      </c>
      <c r="AL1007" s="86" t="str">
        <f>+IF(AG1007=$AL$22,MONTH(V1007),"")</f>
        <v/>
      </c>
      <c r="AM1007" s="86" t="str">
        <f>+IF($AG1007=$AM$22,MONTH($D1007),"")</f>
        <v/>
      </c>
      <c r="AN1007" s="89" t="str">
        <f>+IF($AG1007=AN$22,MONTH($D1007),"")</f>
        <v/>
      </c>
      <c r="AO1007" s="184" t="str">
        <f>+IF($AG1007=AO$22,MONTH($D1007),"")</f>
        <v/>
      </c>
      <c r="AP1007" s="184" t="str">
        <f>+IF($AG1007=AP$22,MONTH($D1007),"")</f>
        <v/>
      </c>
      <c r="AQ1007" s="184" t="str">
        <f>+IF($AG1007=AQ$22,MONTH($D1007),"")</f>
        <v/>
      </c>
      <c r="AR1007" s="184" t="str">
        <f>+IF($AG1007=AR$22,MONTH($D1007),"")</f>
        <v/>
      </c>
      <c r="AS1007" s="184" t="str">
        <f>+IF($AG1007=AS$22,MONTH($D1007),"")</f>
        <v/>
      </c>
      <c r="AT1007" s="86" t="str">
        <f>+IF($AG1007=AT$22,MONTH($D1007),"")</f>
        <v/>
      </c>
      <c r="AU1007" s="86" t="str">
        <f>+IF($AG1007=AU$22,MONTH($D1007),"")</f>
        <v/>
      </c>
      <c r="AV1007" s="86" t="str">
        <f>+IF($AG1007=AV$22,MONTH($D1007),"")</f>
        <v/>
      </c>
      <c r="AW1007" s="86" t="str">
        <f>+IF($AG1007=AW$22,MONTH($D1007),"")</f>
        <v/>
      </c>
      <c r="AX1007" s="86" t="str">
        <f>+IF($AG1007=AX$22,MONTH($D1007),"")</f>
        <v/>
      </c>
      <c r="AY1007" s="89"/>
      <c r="AZ1007" s="89"/>
      <c r="BA1007" s="89"/>
      <c r="BB1007" s="89"/>
      <c r="BC1007" s="89"/>
      <c r="BD1007" s="89"/>
      <c r="BE1007" s="89"/>
      <c r="BF1007" s="89"/>
      <c r="BG1007" s="89"/>
      <c r="BH1007" s="89"/>
      <c r="BI1007" s="89"/>
      <c r="BJ1007" s="89"/>
      <c r="BK1007" s="89"/>
      <c r="BL1007" s="89"/>
      <c r="BM1007" s="89"/>
      <c r="BN1007" s="89"/>
      <c r="BO1007" s="89"/>
      <c r="BP1007" s="89"/>
    </row>
    <row r="1008" spans="1:68" s="56" customFormat="1" ht="53.25" hidden="1">
      <c r="A1008" s="204" t="str">
        <f>+IFERROR(VALUE(MID(AB1008,4,4)),"")</f>
        <v/>
      </c>
      <c r="B1008" s="204">
        <f>VALUE(RIGHT(C1008,LEN(C1008)-2))</f>
        <v>1715</v>
      </c>
      <c r="C1008" s="74" t="s">
        <v>3803</v>
      </c>
      <c r="D1008" s="75">
        <v>44992</v>
      </c>
      <c r="E1008" s="68" t="s">
        <v>3804</v>
      </c>
      <c r="F1008" s="68" t="s">
        <v>3804</v>
      </c>
      <c r="G1008" s="68" t="s">
        <v>3805</v>
      </c>
      <c r="H1008" s="59" t="s">
        <v>3806</v>
      </c>
      <c r="I1008" s="69" t="s">
        <v>3807</v>
      </c>
      <c r="J1008" s="69"/>
      <c r="K1008" s="68" t="s">
        <v>12</v>
      </c>
      <c r="L1008" s="69" t="s">
        <v>120</v>
      </c>
      <c r="M1008" s="71" t="s">
        <v>113</v>
      </c>
      <c r="N1008" s="69" t="e" vm="4">
        <v>#VALUE!</v>
      </c>
      <c r="O1008" s="84">
        <v>45016</v>
      </c>
      <c r="P1008" s="69" t="s">
        <v>402</v>
      </c>
      <c r="Q1008" s="69" t="s">
        <v>837</v>
      </c>
      <c r="R1008" s="69"/>
      <c r="S1008" s="146" t="s">
        <v>3808</v>
      </c>
      <c r="T1008" s="68" t="s">
        <v>155</v>
      </c>
      <c r="U1008" s="87"/>
      <c r="V1008" s="80">
        <v>45016</v>
      </c>
      <c r="W1008" s="73"/>
      <c r="X1008" s="216"/>
      <c r="Y1008" s="83" t="str">
        <f>IF(SUM(W1008:W1008)&gt;0,X1008/SUM(W1008:W1008)*1000000,"N/A")</f>
        <v>N/A</v>
      </c>
      <c r="Z1008" s="80"/>
      <c r="AA1008" s="80"/>
      <c r="AB1008" s="57"/>
      <c r="AC1008" s="75"/>
      <c r="AD1008" s="332"/>
      <c r="AE1008" s="68"/>
      <c r="AF1008" s="88"/>
      <c r="AG1008" s="182">
        <f>YEAR(V1008)</f>
        <v>2023</v>
      </c>
      <c r="AH1008" s="86" t="str">
        <f>+IF(AF1008=$AI$22,MONTH(U1008),"")</f>
        <v/>
      </c>
      <c r="AI1008" s="86" t="str">
        <f>+IF(AG1008=$AI$22,MONTH(V1008),"")</f>
        <v/>
      </c>
      <c r="AJ1008" s="86" t="str">
        <f>+IF(AG1008=$AJ$22,MONTH(V1008),"")</f>
        <v/>
      </c>
      <c r="AK1008" s="86">
        <f>+IF(AG1008=$AK$22,MONTH(V1008),"")</f>
        <v>3</v>
      </c>
      <c r="AL1008" s="86" t="str">
        <f>+IF(AG1008=$AL$22,MONTH(V1008),"")</f>
        <v/>
      </c>
      <c r="AM1008" s="86" t="str">
        <f>+IF($AG1008=$AM$22,MONTH($D1008),"")</f>
        <v/>
      </c>
      <c r="AN1008" s="89" t="str">
        <f>+IF($AG1008=AN$22,MONTH($D1008),"")</f>
        <v/>
      </c>
      <c r="AO1008" s="184" t="str">
        <f>+IF($AG1008=AO$22,MONTH($D1008),"")</f>
        <v/>
      </c>
      <c r="AP1008" s="184" t="str">
        <f>+IF($AG1008=AP$22,MONTH($D1008),"")</f>
        <v/>
      </c>
      <c r="AQ1008" s="184" t="str">
        <f>+IF($AG1008=AQ$22,MONTH($D1008),"")</f>
        <v/>
      </c>
      <c r="AR1008" s="184" t="str">
        <f>+IF($AG1008=AR$22,MONTH($D1008),"")</f>
        <v/>
      </c>
      <c r="AS1008" s="184" t="str">
        <f>+IF($AG1008=AS$22,MONTH($D1008),"")</f>
        <v/>
      </c>
      <c r="AT1008" s="86" t="str">
        <f>+IF($AG1008=AT$22,MONTH($D1008),"")</f>
        <v/>
      </c>
      <c r="AU1008" s="86" t="str">
        <f>+IF($AG1008=AU$22,MONTH($D1008),"")</f>
        <v/>
      </c>
      <c r="AV1008" s="86" t="str">
        <f>+IF($AG1008=AV$22,MONTH($D1008),"")</f>
        <v/>
      </c>
      <c r="AW1008" s="86" t="str">
        <f>+IF($AG1008=AW$22,MONTH($D1008),"")</f>
        <v/>
      </c>
      <c r="AX1008" s="86" t="str">
        <f>+IF($AG1008=AX$22,MONTH($D1008),"")</f>
        <v/>
      </c>
      <c r="AY1008" s="89"/>
      <c r="AZ1008" s="89"/>
      <c r="BA1008" s="89"/>
      <c r="BB1008" s="89"/>
      <c r="BC1008" s="89"/>
      <c r="BD1008" s="89"/>
      <c r="BE1008" s="89"/>
      <c r="BF1008" s="89"/>
      <c r="BG1008" s="89"/>
      <c r="BH1008" s="89"/>
      <c r="BI1008" s="89"/>
      <c r="BJ1008" s="89"/>
      <c r="BK1008" s="89"/>
      <c r="BL1008" s="89"/>
      <c r="BM1008" s="89"/>
      <c r="BN1008" s="89"/>
      <c r="BO1008" s="89"/>
      <c r="BP1008" s="89"/>
    </row>
    <row r="1009" spans="1:68" s="56" customFormat="1" ht="135" hidden="1">
      <c r="A1009" s="204" t="str">
        <f>+IFERROR(VALUE(MID(AB1009,4,4)),"")</f>
        <v/>
      </c>
      <c r="B1009" s="204">
        <f>VALUE(RIGHT(C1009,LEN(C1009)-2))</f>
        <v>1714</v>
      </c>
      <c r="C1009" s="74" t="s">
        <v>3809</v>
      </c>
      <c r="D1009" s="75">
        <v>44994</v>
      </c>
      <c r="E1009" s="70" t="s">
        <v>262</v>
      </c>
      <c r="F1009" s="70" t="s">
        <v>270</v>
      </c>
      <c r="G1009" s="68" t="s">
        <v>3810</v>
      </c>
      <c r="H1009" s="59" t="s">
        <v>3811</v>
      </c>
      <c r="I1009" s="69" t="s">
        <v>3812</v>
      </c>
      <c r="J1009" s="69"/>
      <c r="K1009" s="68" t="s">
        <v>13</v>
      </c>
      <c r="L1009" s="69" t="s">
        <v>120</v>
      </c>
      <c r="M1009" s="71" t="s">
        <v>141</v>
      </c>
      <c r="N1009" s="69" t="e" vm="1">
        <v>#VALUE!</v>
      </c>
      <c r="O1009" s="84">
        <v>45036</v>
      </c>
      <c r="P1009" s="82" t="s">
        <v>2852</v>
      </c>
      <c r="Q1009" s="82" t="s">
        <v>1097</v>
      </c>
      <c r="R1009" s="69"/>
      <c r="S1009" s="146" t="s">
        <v>3813</v>
      </c>
      <c r="T1009" s="68" t="s">
        <v>168</v>
      </c>
      <c r="U1009" s="87"/>
      <c r="V1009" s="80">
        <v>44994</v>
      </c>
      <c r="W1009" s="73"/>
      <c r="X1009" s="73"/>
      <c r="Y1009" s="169" t="str">
        <f>IF(SUM(W1009:W1009)&gt;0,X1009/SUM(W1009:W1009)*1000000,"N/A")</f>
        <v>N/A</v>
      </c>
      <c r="Z1009" s="80"/>
      <c r="AA1009" s="80"/>
      <c r="AB1009" s="73"/>
      <c r="AC1009" s="153"/>
      <c r="AD1009" s="331"/>
      <c r="AE1009" s="57"/>
      <c r="AF1009" s="88"/>
      <c r="AG1009" s="182">
        <f>YEAR(V1009)</f>
        <v>2023</v>
      </c>
      <c r="AH1009" s="86" t="str">
        <f>+IF(AF1009=$AI$22,MONTH(U1009),"")</f>
        <v/>
      </c>
      <c r="AI1009" s="86" t="str">
        <f>+IF(AG1009=$AI$22,MONTH(V1009),"")</f>
        <v/>
      </c>
      <c r="AJ1009" s="86" t="str">
        <f>+IF(AG1009=$AJ$22,MONTH(V1009),"")</f>
        <v/>
      </c>
      <c r="AK1009" s="86">
        <f>+IF(AG1009=$AK$22,MONTH(V1009),"")</f>
        <v>3</v>
      </c>
      <c r="AL1009" s="86" t="str">
        <f>+IF(AG1009=$AL$22,MONTH(V1009),"")</f>
        <v/>
      </c>
      <c r="AM1009" s="86" t="str">
        <f>+IF($AG1009=$AM$22,MONTH($D1009),"")</f>
        <v/>
      </c>
      <c r="AN1009" s="89" t="str">
        <f>+IF($AG1009=AN$22,MONTH($D1009),"")</f>
        <v/>
      </c>
      <c r="AO1009" s="89" t="str">
        <f>+IF($AG1009=AO$22,MONTH($D1009),"")</f>
        <v/>
      </c>
      <c r="AP1009" s="89" t="str">
        <f>+IF($AG1009=AP$22,MONTH($D1009),"")</f>
        <v/>
      </c>
      <c r="AQ1009" s="89" t="str">
        <f>+IF($AG1009=AQ$22,MONTH($D1009),"")</f>
        <v/>
      </c>
      <c r="AR1009" s="89" t="str">
        <f>+IF($AG1009=AR$22,MONTH($D1009),"")</f>
        <v/>
      </c>
      <c r="AS1009" s="89" t="str">
        <f>+IF($AG1009=AS$22,MONTH($D1009),"")</f>
        <v/>
      </c>
      <c r="AT1009" s="89" t="str">
        <f>+IF($AG1009=AT$22,MONTH($D1009),"")</f>
        <v/>
      </c>
      <c r="AU1009" s="89" t="str">
        <f>+IF($AG1009=AU$22,MONTH($D1009),"")</f>
        <v/>
      </c>
      <c r="AV1009" s="89" t="str">
        <f>+IF($AG1009=AV$22,MONTH($D1009),"")</f>
        <v/>
      </c>
      <c r="AW1009" s="86" t="str">
        <f>+IF($AG1009=AW$22,MONTH($D1009),"")</f>
        <v/>
      </c>
      <c r="AX1009" s="86" t="str">
        <f>+IF($AG1009=AX$22,MONTH($D1009),"")</f>
        <v/>
      </c>
      <c r="AY1009" s="89"/>
      <c r="AZ1009" s="89"/>
      <c r="BA1009" s="89"/>
      <c r="BB1009" s="89"/>
      <c r="BC1009" s="89"/>
      <c r="BD1009" s="89"/>
      <c r="BE1009" s="89"/>
      <c r="BF1009" s="89"/>
      <c r="BG1009" s="89"/>
      <c r="BH1009" s="89"/>
      <c r="BI1009" s="89"/>
      <c r="BJ1009" s="89"/>
      <c r="BK1009" s="89"/>
      <c r="BL1009" s="89"/>
      <c r="BM1009" s="89"/>
      <c r="BN1009" s="89"/>
      <c r="BO1009" s="89"/>
      <c r="BP1009" s="89"/>
    </row>
    <row r="1010" spans="1:68" s="56" customFormat="1" ht="13.5" hidden="1">
      <c r="A1010" s="204">
        <f>+IFERROR(VALUE(MID(AB1010,4,4)),"")</f>
        <v>335</v>
      </c>
      <c r="B1010" s="204">
        <f>VALUE(RIGHT(C1010,LEN(C1010)-2))</f>
        <v>1713</v>
      </c>
      <c r="C1010" s="74" t="s">
        <v>3814</v>
      </c>
      <c r="D1010" s="75">
        <v>44994</v>
      </c>
      <c r="E1010" s="70" t="s">
        <v>1321</v>
      </c>
      <c r="F1010" s="70" t="s">
        <v>2065</v>
      </c>
      <c r="G1010" s="68" t="s">
        <v>1322</v>
      </c>
      <c r="H1010" s="59" t="s">
        <v>1323</v>
      </c>
      <c r="I1010" s="69" t="s">
        <v>3815</v>
      </c>
      <c r="J1010" s="69"/>
      <c r="K1010" s="68" t="s">
        <v>11</v>
      </c>
      <c r="L1010" s="69" t="s">
        <v>120</v>
      </c>
      <c r="M1010" s="71" t="s">
        <v>141</v>
      </c>
      <c r="N1010" s="69" t="e" vm="1">
        <v>#VALUE!</v>
      </c>
      <c r="O1010" s="84">
        <v>45021</v>
      </c>
      <c r="P1010" s="82" t="s">
        <v>402</v>
      </c>
      <c r="Q1010" s="72" t="s">
        <v>623</v>
      </c>
      <c r="R1010" s="162"/>
      <c r="S1010" s="146"/>
      <c r="T1010" s="68" t="s">
        <v>3</v>
      </c>
      <c r="U1010" s="87"/>
      <c r="V1010" s="80">
        <v>45033</v>
      </c>
      <c r="W1010" s="150">
        <v>1759</v>
      </c>
      <c r="X1010" s="150">
        <f>88.6*0.98</f>
        <v>86.827999999999989</v>
      </c>
      <c r="Y1010" s="83">
        <f>IF(SUM(W1010:W1010)&gt;0,X1010/SUM(W1010:W1010)*1000000,"N/A")</f>
        <v>49362.137578169408</v>
      </c>
      <c r="Z1010" s="80"/>
      <c r="AA1010" s="80"/>
      <c r="AB1010" s="73" t="s">
        <v>3816</v>
      </c>
      <c r="AC1010" s="153"/>
      <c r="AD1010" s="331"/>
      <c r="AE1010" s="57"/>
      <c r="AF1010" s="88"/>
      <c r="AG1010" s="182">
        <f>YEAR(V1010)</f>
        <v>2023</v>
      </c>
      <c r="AH1010" s="86" t="str">
        <f>+IF(AF1010=$AI$22,MONTH(U1010),"")</f>
        <v/>
      </c>
      <c r="AI1010" s="86" t="str">
        <f>+IF(AG1010=$AI$22,MONTH(V1010),"")</f>
        <v/>
      </c>
      <c r="AJ1010" s="86" t="str">
        <f>+IF(AG1010=$AJ$22,MONTH(V1010),"")</f>
        <v/>
      </c>
      <c r="AK1010" s="86">
        <f>+IF(AG1010=$AK$22,MONTH(V1010),"")</f>
        <v>4</v>
      </c>
      <c r="AL1010" s="86" t="str">
        <f>+IF(AG1010=$AL$22,MONTH(V1010),"")</f>
        <v/>
      </c>
      <c r="AM1010" s="86" t="str">
        <f>+IF($AG1010=$AM$22,MONTH($D1010),"")</f>
        <v/>
      </c>
      <c r="AN1010" s="89"/>
      <c r="AO1010" s="89"/>
      <c r="AP1010" s="89"/>
      <c r="AQ1010" s="89"/>
      <c r="AR1010" s="89"/>
      <c r="AS1010" s="89"/>
      <c r="AT1010" s="89"/>
      <c r="AU1010" s="89"/>
      <c r="AV1010" s="89"/>
      <c r="AW1010" s="86" t="str">
        <f>+IF($AG1010=AW$22,MONTH($D1010),"")</f>
        <v/>
      </c>
      <c r="AX1010" s="86" t="str">
        <f>+IF($AG1010=AX$22,MONTH($D1010),"")</f>
        <v/>
      </c>
      <c r="AY1010" s="89"/>
      <c r="AZ1010" s="89"/>
      <c r="BA1010" s="89"/>
      <c r="BB1010" s="89"/>
      <c r="BC1010" s="89"/>
      <c r="BD1010" s="89"/>
      <c r="BE1010" s="89"/>
      <c r="BF1010" s="89"/>
      <c r="BG1010" s="89"/>
      <c r="BH1010" s="89"/>
      <c r="BI1010" s="89"/>
      <c r="BJ1010" s="89"/>
      <c r="BK1010" s="89"/>
      <c r="BL1010" s="89"/>
      <c r="BM1010" s="89"/>
      <c r="BN1010" s="89"/>
      <c r="BO1010" s="89"/>
      <c r="BP1010" s="89"/>
    </row>
    <row r="1011" spans="1:68" s="56" customFormat="1" ht="27" hidden="1">
      <c r="A1011" s="204" t="str">
        <f>+IFERROR(VALUE(MID(AB1011,4,4)),"")</f>
        <v/>
      </c>
      <c r="B1011" s="204">
        <f>VALUE(RIGHT(C1011,LEN(C1011)-2))</f>
        <v>1712</v>
      </c>
      <c r="C1011" s="74" t="s">
        <v>3817</v>
      </c>
      <c r="D1011" s="75">
        <v>44992</v>
      </c>
      <c r="E1011" s="70" t="s">
        <v>332</v>
      </c>
      <c r="F1011" s="70" t="s">
        <v>332</v>
      </c>
      <c r="G1011" s="68" t="s">
        <v>3818</v>
      </c>
      <c r="H1011" s="59" t="s">
        <v>3819</v>
      </c>
      <c r="I1011" s="69" t="s">
        <v>3820</v>
      </c>
      <c r="J1011" s="69"/>
      <c r="K1011" s="68" t="s">
        <v>13</v>
      </c>
      <c r="L1011" s="69" t="s">
        <v>129</v>
      </c>
      <c r="M1011" s="71" t="s">
        <v>141</v>
      </c>
      <c r="N1011" s="69" t="e" vm="1">
        <v>#VALUE!</v>
      </c>
      <c r="O1011" s="84">
        <v>45009</v>
      </c>
      <c r="P1011" s="72" t="s">
        <v>382</v>
      </c>
      <c r="Q1011" s="72" t="s">
        <v>837</v>
      </c>
      <c r="R1011" s="162"/>
      <c r="S1011" s="146" t="s">
        <v>2632</v>
      </c>
      <c r="T1011" s="68" t="s">
        <v>165</v>
      </c>
      <c r="U1011" s="90">
        <v>0</v>
      </c>
      <c r="V1011" s="80">
        <v>45099</v>
      </c>
      <c r="W1011" s="73">
        <v>1051</v>
      </c>
      <c r="X1011" s="73">
        <f>1111*35900/1000000</f>
        <v>39.884900000000002</v>
      </c>
      <c r="Y1011" s="83">
        <f>IF(SUM(W1011:W1011)&gt;0,X1011/SUM(W1011:W1011)*1000000,"N/A")</f>
        <v>37949.47668886774</v>
      </c>
      <c r="Z1011" s="80"/>
      <c r="AA1011" s="80"/>
      <c r="AB1011" s="73"/>
      <c r="AC1011" s="153"/>
      <c r="AD1011" s="331"/>
      <c r="AE1011" s="57"/>
      <c r="AF1011" s="88"/>
      <c r="AG1011" s="182">
        <f>YEAR(V1011)</f>
        <v>2023</v>
      </c>
      <c r="AH1011" s="86" t="str">
        <f>+IF(AF1011=$AI$22,MONTH(U1011),"")</f>
        <v/>
      </c>
      <c r="AI1011" s="86" t="str">
        <f>+IF(AG1011=$AI$22,MONTH(V1011),"")</f>
        <v/>
      </c>
      <c r="AJ1011" s="86" t="str">
        <f>+IF(AG1011=$AJ$22,MONTH(V1011),"")</f>
        <v/>
      </c>
      <c r="AK1011" s="86">
        <f>+IF(AG1011=$AK$22,MONTH(V1011),"")</f>
        <v>6</v>
      </c>
      <c r="AL1011" s="86" t="str">
        <f>+IF(AG1011=$AL$22,MONTH(V1011),"")</f>
        <v/>
      </c>
      <c r="AM1011" s="86" t="str">
        <f>+IF($AG1011=$AM$22,MONTH($D1011),"")</f>
        <v/>
      </c>
      <c r="AN1011" s="89" t="str">
        <f>+IF($AG1011=AN$22,MONTH($D1011),"")</f>
        <v/>
      </c>
      <c r="AO1011" s="89" t="str">
        <f>+IF($AG1011=AO$22,MONTH($D1011),"")</f>
        <v/>
      </c>
      <c r="AP1011" s="89" t="str">
        <f>+IF($AG1011=AP$22,MONTH($D1011),"")</f>
        <v/>
      </c>
      <c r="AQ1011" s="89" t="str">
        <f>+IF($AG1011=AQ$22,MONTH($D1011),"")</f>
        <v/>
      </c>
      <c r="AR1011" s="89" t="str">
        <f>+IF($AG1011=AR$22,MONTH($D1011),"")</f>
        <v/>
      </c>
      <c r="AS1011" s="89" t="str">
        <f>+IF($AG1011=AS$22,MONTH($D1011),"")</f>
        <v/>
      </c>
      <c r="AT1011" s="89" t="str">
        <f>+IF($AG1011=AT$22,MONTH($D1011),"")</f>
        <v/>
      </c>
      <c r="AU1011" s="89" t="str">
        <f>+IF($AG1011=AU$22,MONTH($D1011),"")</f>
        <v/>
      </c>
      <c r="AV1011" s="89" t="str">
        <f>+IF($AG1011=AV$22,MONTH($D1011),"")</f>
        <v/>
      </c>
      <c r="AW1011" s="86" t="str">
        <f>+IF($AG1011=AW$22,MONTH($D1011),"")</f>
        <v/>
      </c>
      <c r="AX1011" s="86" t="str">
        <f>+IF($AG1011=AX$22,MONTH($D1011),"")</f>
        <v/>
      </c>
      <c r="AY1011" s="89"/>
      <c r="AZ1011" s="89"/>
      <c r="BA1011" s="89"/>
      <c r="BB1011" s="89"/>
      <c r="BC1011" s="89"/>
      <c r="BD1011" s="89"/>
      <c r="BE1011" s="89"/>
      <c r="BF1011" s="89"/>
      <c r="BG1011" s="89"/>
      <c r="BH1011" s="89"/>
      <c r="BI1011" s="89"/>
      <c r="BJ1011" s="89"/>
      <c r="BK1011" s="89"/>
      <c r="BL1011" s="89"/>
      <c r="BM1011" s="89"/>
      <c r="BN1011" s="89"/>
      <c r="BO1011" s="89"/>
      <c r="BP1011" s="89"/>
    </row>
    <row r="1012" spans="1:68" s="56" customFormat="1" ht="27" hidden="1">
      <c r="A1012" s="204">
        <f>+IFERROR(VALUE(MID(AB1012,4,4)),"")</f>
        <v>274</v>
      </c>
      <c r="B1012" s="204">
        <f>VALUE(RIGHT(C1012,LEN(C1012)-2))</f>
        <v>1711</v>
      </c>
      <c r="C1012" s="74" t="s">
        <v>3821</v>
      </c>
      <c r="D1012" s="75">
        <v>44986</v>
      </c>
      <c r="E1012" s="70" t="s">
        <v>1054</v>
      </c>
      <c r="F1012" s="70" t="s">
        <v>252</v>
      </c>
      <c r="G1012" s="68" t="s">
        <v>1055</v>
      </c>
      <c r="H1012" s="59" t="s">
        <v>1056</v>
      </c>
      <c r="I1012" s="69" t="s">
        <v>3822</v>
      </c>
      <c r="J1012" s="69"/>
      <c r="K1012" s="68" t="s">
        <v>13</v>
      </c>
      <c r="L1012" s="69" t="s">
        <v>129</v>
      </c>
      <c r="M1012" s="71" t="s">
        <v>141</v>
      </c>
      <c r="N1012" s="69" t="e" vm="1">
        <v>#VALUE!</v>
      </c>
      <c r="O1012" s="84">
        <v>45007</v>
      </c>
      <c r="P1012" s="72" t="s">
        <v>3629</v>
      </c>
      <c r="Q1012" s="82" t="s">
        <v>623</v>
      </c>
      <c r="R1012" s="69"/>
      <c r="S1012" s="146" t="s">
        <v>3823</v>
      </c>
      <c r="T1012" s="68" t="s">
        <v>3</v>
      </c>
      <c r="U1012" s="87"/>
      <c r="V1012" s="80">
        <v>45027</v>
      </c>
      <c r="W1012" s="73">
        <v>497</v>
      </c>
      <c r="X1012" s="73">
        <v>11.2</v>
      </c>
      <c r="Y1012" s="83">
        <f>IF(SUM(W1012:W1012)&gt;0,X1012/SUM(W1012:W1012)*1000000,"N/A")</f>
        <v>22535.211267605631</v>
      </c>
      <c r="Z1012" s="80"/>
      <c r="AA1012" s="80"/>
      <c r="AB1012" s="73" t="s">
        <v>3824</v>
      </c>
      <c r="AC1012" s="153"/>
      <c r="AD1012" s="331"/>
      <c r="AE1012" s="57"/>
      <c r="AF1012" s="88"/>
      <c r="AG1012" s="182">
        <f>YEAR(V1012)</f>
        <v>2023</v>
      </c>
      <c r="AH1012" s="86" t="str">
        <f>+IF(AF1012=$AI$22,MONTH(U1012),"")</f>
        <v/>
      </c>
      <c r="AI1012" s="86" t="str">
        <f>+IF(AG1012=$AI$22,MONTH(V1012),"")</f>
        <v/>
      </c>
      <c r="AJ1012" s="86" t="str">
        <f>+IF(AG1012=$AJ$22,MONTH(V1012),"")</f>
        <v/>
      </c>
      <c r="AK1012" s="86">
        <f>+IF(AG1012=$AK$22,MONTH(V1012),"")</f>
        <v>4</v>
      </c>
      <c r="AL1012" s="86" t="str">
        <f>+IF(AG1012=$AL$22,MONTH(V1012),"")</f>
        <v/>
      </c>
      <c r="AM1012" s="86" t="str">
        <f>+IF($AG1012=$AM$22,MONTH($D1012),"")</f>
        <v/>
      </c>
      <c r="AN1012" s="89" t="str">
        <f>+IF($AG1012=AN$22,MONTH($D1012),"")</f>
        <v/>
      </c>
      <c r="AO1012" s="89" t="str">
        <f>+IF($AG1012=AO$22,MONTH($D1012),"")</f>
        <v/>
      </c>
      <c r="AP1012" s="89" t="str">
        <f>+IF($AG1012=AP$22,MONTH($D1012),"")</f>
        <v/>
      </c>
      <c r="AQ1012" s="89" t="str">
        <f>+IF($AG1012=AQ$22,MONTH($D1012),"")</f>
        <v/>
      </c>
      <c r="AR1012" s="89" t="str">
        <f>+IF($AG1012=AR$22,MONTH($D1012),"")</f>
        <v/>
      </c>
      <c r="AS1012" s="89" t="str">
        <f>+IF($AG1012=AS$22,MONTH($D1012),"")</f>
        <v/>
      </c>
      <c r="AT1012" s="89" t="str">
        <f>+IF($AG1012=AT$22,MONTH($D1012),"")</f>
        <v/>
      </c>
      <c r="AU1012" s="89" t="str">
        <f>+IF($AG1012=AU$22,MONTH($D1012),"")</f>
        <v/>
      </c>
      <c r="AV1012" s="89" t="str">
        <f>+IF($AG1012=AV$22,MONTH($D1012),"")</f>
        <v/>
      </c>
      <c r="AW1012" s="86" t="str">
        <f>+IF($AG1012=AW$22,MONTH($D1012),"")</f>
        <v/>
      </c>
      <c r="AX1012" s="86" t="str">
        <f>+IF($AG1012=AX$22,MONTH($D1012),"")</f>
        <v/>
      </c>
      <c r="AY1012" s="89"/>
      <c r="AZ1012" s="89"/>
      <c r="BA1012" s="89"/>
      <c r="BB1012" s="89"/>
      <c r="BC1012" s="89"/>
      <c r="BD1012" s="89"/>
      <c r="BE1012" s="89"/>
      <c r="BF1012" s="89"/>
      <c r="BG1012" s="89"/>
      <c r="BH1012" s="89"/>
      <c r="BI1012" s="89"/>
      <c r="BJ1012" s="89"/>
      <c r="BK1012" s="89"/>
      <c r="BL1012" s="89"/>
      <c r="BM1012" s="89"/>
      <c r="BN1012" s="89"/>
      <c r="BO1012" s="89"/>
      <c r="BP1012" s="89"/>
    </row>
    <row r="1013" spans="1:68" s="56" customFormat="1" ht="27" hidden="1">
      <c r="A1013" s="204">
        <f>+IFERROR(VALUE(MID(AB1013,4,4)),"")</f>
        <v>274</v>
      </c>
      <c r="B1013" s="204">
        <f>VALUE(RIGHT(C1013,LEN(C1013)-2))</f>
        <v>1710</v>
      </c>
      <c r="C1013" s="74" t="s">
        <v>3825</v>
      </c>
      <c r="D1013" s="75">
        <v>44986</v>
      </c>
      <c r="E1013" s="70" t="s">
        <v>1054</v>
      </c>
      <c r="F1013" s="70" t="s">
        <v>252</v>
      </c>
      <c r="G1013" s="68" t="s">
        <v>1055</v>
      </c>
      <c r="H1013" s="59" t="s">
        <v>1056</v>
      </c>
      <c r="I1013" s="69" t="s">
        <v>3826</v>
      </c>
      <c r="J1013" s="69"/>
      <c r="K1013" s="68" t="s">
        <v>13</v>
      </c>
      <c r="L1013" s="69" t="s">
        <v>129</v>
      </c>
      <c r="M1013" s="71" t="s">
        <v>141</v>
      </c>
      <c r="N1013" s="69" t="e" vm="1">
        <v>#VALUE!</v>
      </c>
      <c r="O1013" s="84">
        <v>44992</v>
      </c>
      <c r="P1013" s="72" t="s">
        <v>3629</v>
      </c>
      <c r="Q1013" s="82" t="s">
        <v>229</v>
      </c>
      <c r="R1013" s="69"/>
      <c r="S1013" s="146"/>
      <c r="T1013" s="68" t="s">
        <v>3</v>
      </c>
      <c r="U1013" s="87"/>
      <c r="V1013" s="80">
        <v>45026</v>
      </c>
      <c r="W1013" s="73">
        <v>127</v>
      </c>
      <c r="X1013" s="73">
        <v>3.5</v>
      </c>
      <c r="Y1013" s="83">
        <f>IF(SUM(W1013:W1013)&gt;0,X1013/SUM(W1013:W1013)*1000000,"N/A")</f>
        <v>27559.055118110235</v>
      </c>
      <c r="Z1013" s="80"/>
      <c r="AA1013" s="80"/>
      <c r="AB1013" s="73" t="s">
        <v>3827</v>
      </c>
      <c r="AC1013" s="153"/>
      <c r="AD1013" s="331"/>
      <c r="AE1013" s="57"/>
      <c r="AF1013" s="88"/>
      <c r="AG1013" s="182">
        <f>YEAR(V1013)</f>
        <v>2023</v>
      </c>
      <c r="AH1013" s="86" t="str">
        <f>+IF(AF1013=$AI$22,MONTH(U1013),"")</f>
        <v/>
      </c>
      <c r="AI1013" s="86" t="str">
        <f>+IF(AG1013=$AI$22,MONTH(V1013),"")</f>
        <v/>
      </c>
      <c r="AJ1013" s="86" t="str">
        <f>+IF(AG1013=$AJ$22,MONTH(V1013),"")</f>
        <v/>
      </c>
      <c r="AK1013" s="86">
        <f>+IF(AG1013=$AK$22,MONTH(V1013),"")</f>
        <v>4</v>
      </c>
      <c r="AL1013" s="86" t="str">
        <f>+IF(AG1013=$AL$22,MONTH(V1013),"")</f>
        <v/>
      </c>
      <c r="AM1013" s="86" t="str">
        <f>+IF($AG1013=$AM$22,MONTH($D1013),"")</f>
        <v/>
      </c>
      <c r="AN1013" s="89" t="str">
        <f>+IF($AG1013=AN$22,MONTH($D1013),"")</f>
        <v/>
      </c>
      <c r="AO1013" s="89" t="str">
        <f>+IF($AG1013=AO$22,MONTH($D1013),"")</f>
        <v/>
      </c>
      <c r="AP1013" s="89" t="str">
        <f>+IF($AG1013=AP$22,MONTH($D1013),"")</f>
        <v/>
      </c>
      <c r="AQ1013" s="89" t="str">
        <f>+IF($AG1013=AQ$22,MONTH($D1013),"")</f>
        <v/>
      </c>
      <c r="AR1013" s="89" t="str">
        <f>+IF($AG1013=AR$22,MONTH($D1013),"")</f>
        <v/>
      </c>
      <c r="AS1013" s="89" t="str">
        <f>+IF($AG1013=AS$22,MONTH($D1013),"")</f>
        <v/>
      </c>
      <c r="AT1013" s="89" t="str">
        <f>+IF($AG1013=AT$22,MONTH($D1013),"")</f>
        <v/>
      </c>
      <c r="AU1013" s="89" t="str">
        <f>+IF($AG1013=AU$22,MONTH($D1013),"")</f>
        <v/>
      </c>
      <c r="AV1013" s="89" t="str">
        <f>+IF($AG1013=AV$22,MONTH($D1013),"")</f>
        <v/>
      </c>
      <c r="AW1013" s="86" t="str">
        <f>+IF($AG1013=AW$22,MONTH($D1013),"")</f>
        <v/>
      </c>
      <c r="AX1013" s="86" t="str">
        <f>+IF($AG1013=AX$22,MONTH($D1013),"")</f>
        <v/>
      </c>
      <c r="AY1013" s="89"/>
      <c r="AZ1013" s="89"/>
      <c r="BA1013" s="89"/>
      <c r="BB1013" s="89"/>
      <c r="BC1013" s="89"/>
      <c r="BD1013" s="89"/>
      <c r="BE1013" s="89"/>
      <c r="BF1013" s="89"/>
      <c r="BG1013" s="89"/>
      <c r="BH1013" s="89"/>
      <c r="BI1013" s="89"/>
      <c r="BJ1013" s="89"/>
      <c r="BK1013" s="89"/>
      <c r="BL1013" s="89"/>
      <c r="BM1013" s="89"/>
      <c r="BN1013" s="89"/>
      <c r="BO1013" s="89"/>
      <c r="BP1013" s="89"/>
    </row>
    <row r="1014" spans="1:68" s="56" customFormat="1" ht="81" hidden="1">
      <c r="A1014" s="204" t="str">
        <f>+IFERROR(VALUE(MID(AB1014,4,4)),"")</f>
        <v/>
      </c>
      <c r="B1014" s="204">
        <f>VALUE(RIGHT(C1014,LEN(C1014)-2))</f>
        <v>1709</v>
      </c>
      <c r="C1014" s="74" t="s">
        <v>3828</v>
      </c>
      <c r="D1014" s="75">
        <v>44992</v>
      </c>
      <c r="E1014" s="70" t="s">
        <v>479</v>
      </c>
      <c r="F1014" s="70" t="s">
        <v>479</v>
      </c>
      <c r="G1014" s="68" t="s">
        <v>3829</v>
      </c>
      <c r="H1014" s="59" t="s">
        <v>3830</v>
      </c>
      <c r="I1014" s="69" t="s">
        <v>3831</v>
      </c>
      <c r="J1014" s="69"/>
      <c r="K1014" s="68" t="s">
        <v>13</v>
      </c>
      <c r="L1014" s="69" t="s">
        <v>129</v>
      </c>
      <c r="M1014" s="71" t="s">
        <v>113</v>
      </c>
      <c r="N1014" s="69" t="e" vm="2">
        <v>#VALUE!</v>
      </c>
      <c r="O1014" s="84">
        <v>44998</v>
      </c>
      <c r="P1014" s="72" t="s">
        <v>483</v>
      </c>
      <c r="Q1014" s="72" t="s">
        <v>229</v>
      </c>
      <c r="R1014" s="162"/>
      <c r="S1014" s="146" t="s">
        <v>3832</v>
      </c>
      <c r="T1014" s="68" t="s">
        <v>155</v>
      </c>
      <c r="U1014" s="87"/>
      <c r="V1014" s="80">
        <v>44992</v>
      </c>
      <c r="W1014" s="73"/>
      <c r="X1014" s="73"/>
      <c r="Y1014" s="83" t="str">
        <f>IF(SUM(W1014:W1014)&gt;0,X1014/SUM(W1014:W1014)*1000000,"N/A")</f>
        <v>N/A</v>
      </c>
      <c r="Z1014" s="80"/>
      <c r="AA1014" s="80"/>
      <c r="AB1014" s="73"/>
      <c r="AC1014" s="153"/>
      <c r="AD1014" s="331"/>
      <c r="AE1014" s="57"/>
      <c r="AF1014" s="88"/>
      <c r="AG1014" s="182">
        <f>YEAR(V1014)</f>
        <v>2023</v>
      </c>
      <c r="AH1014" s="86" t="str">
        <f>+IF(AF1014=$AI$22,MONTH(U1014),"")</f>
        <v/>
      </c>
      <c r="AI1014" s="86" t="str">
        <f>+IF(AG1014=$AI$22,MONTH(V1014),"")</f>
        <v/>
      </c>
      <c r="AJ1014" s="86" t="str">
        <f>+IF(AG1014=$AJ$22,MONTH(V1014),"")</f>
        <v/>
      </c>
      <c r="AK1014" s="86">
        <f>+IF(AG1014=$AK$22,MONTH(V1014),"")</f>
        <v>3</v>
      </c>
      <c r="AL1014" s="86" t="str">
        <f>+IF(AG1014=$AL$22,MONTH(V1014),"")</f>
        <v/>
      </c>
      <c r="AM1014" s="86" t="str">
        <f>+IF($AG1014=$AM$22,MONTH($D1014),"")</f>
        <v/>
      </c>
      <c r="AN1014" s="89" t="str">
        <f>+IF($AG1014=AN$22,MONTH($D1014),"")</f>
        <v/>
      </c>
      <c r="AO1014" s="89" t="str">
        <f>+IF($AG1014=AO$22,MONTH($D1014),"")</f>
        <v/>
      </c>
      <c r="AP1014" s="89" t="str">
        <f>+IF($AG1014=AP$22,MONTH($D1014),"")</f>
        <v/>
      </c>
      <c r="AQ1014" s="89" t="str">
        <f>+IF($AG1014=AQ$22,MONTH($D1014),"")</f>
        <v/>
      </c>
      <c r="AR1014" s="89" t="str">
        <f>+IF($AG1014=AR$22,MONTH($D1014),"")</f>
        <v/>
      </c>
      <c r="AS1014" s="89" t="str">
        <f>+IF($AG1014=AS$22,MONTH($D1014),"")</f>
        <v/>
      </c>
      <c r="AT1014" s="89" t="str">
        <f>+IF($AG1014=AT$22,MONTH($D1014),"")</f>
        <v/>
      </c>
      <c r="AU1014" s="89" t="str">
        <f>+IF($AG1014=AU$22,MONTH($D1014),"")</f>
        <v/>
      </c>
      <c r="AV1014" s="89" t="str">
        <f>+IF($AG1014=AV$22,MONTH($D1014),"")</f>
        <v/>
      </c>
      <c r="AW1014" s="86" t="str">
        <f>+IF($AG1014=AW$22,MONTH($D1014),"")</f>
        <v/>
      </c>
      <c r="AX1014" s="86" t="str">
        <f>+IF($AG1014=AX$22,MONTH($D1014),"")</f>
        <v/>
      </c>
      <c r="AY1014" s="89"/>
      <c r="AZ1014" s="89"/>
      <c r="BA1014" s="89"/>
      <c r="BB1014" s="89"/>
      <c r="BC1014" s="89"/>
      <c r="BD1014" s="89"/>
      <c r="BE1014" s="89"/>
      <c r="BF1014" s="89"/>
      <c r="BG1014" s="89"/>
      <c r="BH1014" s="89"/>
      <c r="BI1014" s="89"/>
      <c r="BJ1014" s="89"/>
      <c r="BK1014" s="89"/>
      <c r="BL1014" s="89"/>
      <c r="BM1014" s="89"/>
      <c r="BN1014" s="89"/>
      <c r="BO1014" s="89"/>
      <c r="BP1014" s="89"/>
    </row>
    <row r="1015" spans="1:68" s="56" customFormat="1" ht="27" hidden="1">
      <c r="A1015" s="204" t="str">
        <f>+IFERROR(VALUE(MID(AB1015,4,4)),"")</f>
        <v/>
      </c>
      <c r="B1015" s="204">
        <f>VALUE(RIGHT(C1015,LEN(C1015)-2))</f>
        <v>1708</v>
      </c>
      <c r="C1015" s="74" t="s">
        <v>3833</v>
      </c>
      <c r="D1015" s="75">
        <v>44991</v>
      </c>
      <c r="E1015" s="70" t="s">
        <v>332</v>
      </c>
      <c r="F1015" s="70" t="s">
        <v>332</v>
      </c>
      <c r="G1015" s="68" t="s">
        <v>3834</v>
      </c>
      <c r="H1015" s="59"/>
      <c r="I1015" s="69" t="s">
        <v>3835</v>
      </c>
      <c r="J1015" s="69"/>
      <c r="K1015" s="68" t="s">
        <v>42</v>
      </c>
      <c r="L1015" s="69" t="s">
        <v>123</v>
      </c>
      <c r="M1015" s="71" t="s">
        <v>141</v>
      </c>
      <c r="N1015" s="69" t="e" vm="1">
        <v>#VALUE!</v>
      </c>
      <c r="O1015" s="84">
        <v>44998</v>
      </c>
      <c r="P1015" s="72" t="s">
        <v>3836</v>
      </c>
      <c r="Q1015" s="82" t="s">
        <v>259</v>
      </c>
      <c r="R1015" s="69"/>
      <c r="S1015" s="146" t="s">
        <v>3837</v>
      </c>
      <c r="T1015" s="68" t="s">
        <v>155</v>
      </c>
      <c r="U1015" s="87"/>
      <c r="V1015" s="80">
        <v>44991</v>
      </c>
      <c r="W1015" s="73"/>
      <c r="X1015" s="73"/>
      <c r="Y1015" s="83" t="str">
        <f>IF(SUM(W1015:W1015)&gt;0,X1015/SUM(W1015:W1015)*1000000,"N/A")</f>
        <v>N/A</v>
      </c>
      <c r="Z1015" s="80"/>
      <c r="AA1015" s="80"/>
      <c r="AB1015" s="73"/>
      <c r="AC1015" s="153"/>
      <c r="AD1015" s="331"/>
      <c r="AE1015" s="57"/>
      <c r="AF1015" s="88"/>
      <c r="AG1015" s="182">
        <f>YEAR(V1015)</f>
        <v>2023</v>
      </c>
      <c r="AH1015" s="86" t="str">
        <f>+IF(AF1015=$AI$22,MONTH(U1015),"")</f>
        <v/>
      </c>
      <c r="AI1015" s="86" t="str">
        <f>+IF(AG1015=$AI$22,MONTH(V1015),"")</f>
        <v/>
      </c>
      <c r="AJ1015" s="86" t="str">
        <f>+IF(AG1015=$AJ$22,MONTH(V1015),"")</f>
        <v/>
      </c>
      <c r="AK1015" s="86">
        <f>+IF(AG1015=$AK$22,MONTH(V1015),"")</f>
        <v>3</v>
      </c>
      <c r="AL1015" s="86" t="str">
        <f>+IF(AG1015=$AL$22,MONTH(V1015),"")</f>
        <v/>
      </c>
      <c r="AM1015" s="86" t="str">
        <f>+IF($AG1015=$AM$22,MONTH($D1015),"")</f>
        <v/>
      </c>
      <c r="AN1015" s="89" t="str">
        <f>+IF($AG1015=AN$22,MONTH($D1015),"")</f>
        <v/>
      </c>
      <c r="AO1015" s="89" t="str">
        <f>+IF($AG1015=AO$22,MONTH($D1015),"")</f>
        <v/>
      </c>
      <c r="AP1015" s="89" t="str">
        <f>+IF($AG1015=AP$22,MONTH($D1015),"")</f>
        <v/>
      </c>
      <c r="AQ1015" s="89" t="str">
        <f>+IF($AG1015=AQ$22,MONTH($D1015),"")</f>
        <v/>
      </c>
      <c r="AR1015" s="89" t="str">
        <f>+IF($AG1015=AR$22,MONTH($D1015),"")</f>
        <v/>
      </c>
      <c r="AS1015" s="89" t="str">
        <f>+IF($AG1015=AS$22,MONTH($D1015),"")</f>
        <v/>
      </c>
      <c r="AT1015" s="89" t="str">
        <f>+IF($AG1015=AT$22,MONTH($D1015),"")</f>
        <v/>
      </c>
      <c r="AU1015" s="89" t="str">
        <f>+IF($AG1015=AU$22,MONTH($D1015),"")</f>
        <v/>
      </c>
      <c r="AV1015" s="89" t="str">
        <f>+IF($AG1015=AV$22,MONTH($D1015),"")</f>
        <v/>
      </c>
      <c r="AW1015" s="86" t="str">
        <f>+IF($AG1015=AW$22,MONTH($D1015),"")</f>
        <v/>
      </c>
      <c r="AX1015" s="86" t="str">
        <f>+IF($AG1015=AX$22,MONTH($D1015),"")</f>
        <v/>
      </c>
      <c r="AY1015" s="89"/>
      <c r="AZ1015" s="89"/>
      <c r="BA1015" s="89"/>
      <c r="BB1015" s="89"/>
      <c r="BC1015" s="89"/>
      <c r="BD1015" s="89"/>
      <c r="BE1015" s="89"/>
      <c r="BF1015" s="89"/>
      <c r="BG1015" s="89"/>
      <c r="BH1015" s="89"/>
      <c r="BI1015" s="89"/>
      <c r="BJ1015" s="89"/>
      <c r="BK1015" s="89"/>
      <c r="BL1015" s="89"/>
      <c r="BM1015" s="89"/>
      <c r="BN1015" s="89"/>
      <c r="BO1015" s="89"/>
      <c r="BP1015" s="89"/>
    </row>
    <row r="1016" spans="1:68" s="56" customFormat="1" ht="13.5" hidden="1">
      <c r="A1016" s="204">
        <f>+IFERROR(VALUE(MID(AB1016,4,4)),"")</f>
        <v>334</v>
      </c>
      <c r="B1016" s="204">
        <f>VALUE(RIGHT(C1016,LEN(C1016)-2))</f>
        <v>1707</v>
      </c>
      <c r="C1016" s="74" t="s">
        <v>3838</v>
      </c>
      <c r="D1016" s="75">
        <v>44992</v>
      </c>
      <c r="E1016" s="70" t="s">
        <v>473</v>
      </c>
      <c r="F1016" s="70" t="s">
        <v>473</v>
      </c>
      <c r="G1016" s="68" t="s">
        <v>2521</v>
      </c>
      <c r="H1016" s="59" t="s">
        <v>2522</v>
      </c>
      <c r="I1016" s="69" t="s">
        <v>3839</v>
      </c>
      <c r="J1016" s="69"/>
      <c r="K1016" s="68" t="s">
        <v>12</v>
      </c>
      <c r="L1016" s="69" t="s">
        <v>120</v>
      </c>
      <c r="M1016" s="71" t="s">
        <v>141</v>
      </c>
      <c r="N1016" s="69" t="e" vm="1">
        <v>#VALUE!</v>
      </c>
      <c r="O1016" s="84">
        <v>45001</v>
      </c>
      <c r="P1016" s="72" t="s">
        <v>402</v>
      </c>
      <c r="Q1016" s="72" t="s">
        <v>316</v>
      </c>
      <c r="R1016" s="162"/>
      <c r="S1016" s="146" t="s">
        <v>3840</v>
      </c>
      <c r="T1016" s="68" t="s">
        <v>3</v>
      </c>
      <c r="U1016" s="87"/>
      <c r="V1016" s="80">
        <v>45138</v>
      </c>
      <c r="W1016" s="73">
        <v>928</v>
      </c>
      <c r="X1016" s="73">
        <f>+(53767*800)/1000000</f>
        <v>43.013599999999997</v>
      </c>
      <c r="Y1016" s="83">
        <f>IF(SUM(W1016:W1016)&gt;0,X1016/SUM(W1016:W1016)*1000000,"N/A")</f>
        <v>46350.862068965514</v>
      </c>
      <c r="Z1016" s="80"/>
      <c r="AA1016" s="80"/>
      <c r="AB1016" s="73" t="s">
        <v>3841</v>
      </c>
      <c r="AC1016" s="153"/>
      <c r="AD1016" s="331"/>
      <c r="AE1016" s="57"/>
      <c r="AF1016" s="88"/>
      <c r="AG1016" s="182">
        <f>YEAR(V1016)</f>
        <v>2023</v>
      </c>
      <c r="AH1016" s="86" t="str">
        <f>+IF(AF1016=$AI$22,MONTH(U1016),"")</f>
        <v/>
      </c>
      <c r="AI1016" s="86" t="str">
        <f>+IF(AG1016=$AI$22,MONTH(V1016),"")</f>
        <v/>
      </c>
      <c r="AJ1016" s="86" t="str">
        <f>+IF(AG1016=$AJ$22,MONTH(V1016),"")</f>
        <v/>
      </c>
      <c r="AK1016" s="86">
        <f>+IF(AG1016=$AK$22,MONTH(V1016),"")</f>
        <v>7</v>
      </c>
      <c r="AL1016" s="86" t="str">
        <f>+IF(AG1016=$AL$22,MONTH(V1016),"")</f>
        <v/>
      </c>
      <c r="AM1016" s="86" t="str">
        <f>+IF($AG1016=$AM$22,MONTH($D1016),"")</f>
        <v/>
      </c>
      <c r="AN1016" s="89" t="str">
        <f>+IF($AG1016=AN$22,MONTH($D1016),"")</f>
        <v/>
      </c>
      <c r="AO1016" s="89" t="str">
        <f>+IF($AG1016=AO$22,MONTH($D1016),"")</f>
        <v/>
      </c>
      <c r="AP1016" s="89" t="str">
        <f>+IF($AG1016=AP$22,MONTH($D1016),"")</f>
        <v/>
      </c>
      <c r="AQ1016" s="89" t="str">
        <f>+IF($AG1016=AQ$22,MONTH($D1016),"")</f>
        <v/>
      </c>
      <c r="AR1016" s="89" t="str">
        <f>+IF($AG1016=AR$22,MONTH($D1016),"")</f>
        <v/>
      </c>
      <c r="AS1016" s="89" t="str">
        <f>+IF($AG1016=AS$22,MONTH($D1016),"")</f>
        <v/>
      </c>
      <c r="AT1016" s="89" t="str">
        <f>+IF($AG1016=AT$22,MONTH($D1016),"")</f>
        <v/>
      </c>
      <c r="AU1016" s="89" t="str">
        <f>+IF($AG1016=AU$22,MONTH($D1016),"")</f>
        <v/>
      </c>
      <c r="AV1016" s="89" t="str">
        <f>+IF($AG1016=AV$22,MONTH($D1016),"")</f>
        <v/>
      </c>
      <c r="AW1016" s="86" t="str">
        <f>+IF($AG1016=AW$22,MONTH($D1016),"")</f>
        <v/>
      </c>
      <c r="AX1016" s="86" t="str">
        <f>+IF($AG1016=AX$22,MONTH($D1016),"")</f>
        <v/>
      </c>
      <c r="AY1016" s="89"/>
      <c r="AZ1016" s="89"/>
      <c r="BA1016" s="89"/>
      <c r="BB1016" s="89"/>
      <c r="BC1016" s="89"/>
      <c r="BD1016" s="89"/>
      <c r="BE1016" s="89"/>
      <c r="BF1016" s="89"/>
      <c r="BG1016" s="89"/>
      <c r="BH1016" s="89"/>
      <c r="BI1016" s="89"/>
      <c r="BJ1016" s="89"/>
      <c r="BK1016" s="89"/>
      <c r="BL1016" s="89"/>
      <c r="BM1016" s="89"/>
      <c r="BN1016" s="89"/>
      <c r="BO1016" s="89"/>
      <c r="BP1016" s="89"/>
    </row>
    <row r="1017" spans="1:68" s="56" customFormat="1" ht="53.25" hidden="1">
      <c r="A1017" s="204" t="str">
        <f>+IFERROR(VALUE(MID(AB1017,4,4)),"")</f>
        <v/>
      </c>
      <c r="B1017" s="204">
        <f>VALUE(RIGHT(C1017,LEN(C1017)-2))</f>
        <v>1706</v>
      </c>
      <c r="C1017" s="74" t="s">
        <v>3842</v>
      </c>
      <c r="D1017" s="75">
        <v>44987</v>
      </c>
      <c r="E1017" s="70" t="s">
        <v>479</v>
      </c>
      <c r="F1017" s="70" t="s">
        <v>479</v>
      </c>
      <c r="G1017" s="68" t="s">
        <v>3843</v>
      </c>
      <c r="H1017" s="59" t="s">
        <v>3844</v>
      </c>
      <c r="I1017" s="69" t="s">
        <v>3845</v>
      </c>
      <c r="J1017" s="69"/>
      <c r="K1017" s="68" t="s">
        <v>18</v>
      </c>
      <c r="L1017" s="69" t="s">
        <v>129</v>
      </c>
      <c r="M1017" s="71" t="s">
        <v>113</v>
      </c>
      <c r="N1017" s="69" t="e" vm="2">
        <v>#VALUE!</v>
      </c>
      <c r="O1017" s="84">
        <v>45127</v>
      </c>
      <c r="P1017" s="72" t="s">
        <v>2779</v>
      </c>
      <c r="Q1017" s="72" t="s">
        <v>229</v>
      </c>
      <c r="R1017" s="162"/>
      <c r="S1017" s="146" t="s">
        <v>3846</v>
      </c>
      <c r="T1017" s="68" t="s">
        <v>165</v>
      </c>
      <c r="U1017" s="87"/>
      <c r="V1017" s="80">
        <v>45120</v>
      </c>
      <c r="W1017" s="73">
        <v>2423</v>
      </c>
      <c r="X1017" s="73">
        <v>79.2</v>
      </c>
      <c r="Y1017" s="83">
        <f>IF(SUM(W1017:W1017)&gt;0,X1017/SUM(W1017:W1017)*1000000,"N/A")</f>
        <v>32686.751960379694</v>
      </c>
      <c r="Z1017" s="80"/>
      <c r="AA1017" s="80"/>
      <c r="AB1017" s="73"/>
      <c r="AC1017" s="153"/>
      <c r="AD1017" s="331"/>
      <c r="AE1017" s="57"/>
      <c r="AF1017" s="88"/>
      <c r="AG1017" s="182">
        <f>YEAR(V1017)</f>
        <v>2023</v>
      </c>
      <c r="AH1017" s="86" t="str">
        <f>+IF(AF1017=$AI$22,MONTH(U1017),"")</f>
        <v/>
      </c>
      <c r="AI1017" s="86" t="str">
        <f>+IF(AG1017=$AI$22,MONTH(V1017),"")</f>
        <v/>
      </c>
      <c r="AJ1017" s="86" t="str">
        <f>+IF(AG1017=$AJ$22,MONTH(V1017),"")</f>
        <v/>
      </c>
      <c r="AK1017" s="86">
        <f>+IF(AG1017=$AK$22,MONTH(V1017),"")</f>
        <v>7</v>
      </c>
      <c r="AL1017" s="86" t="str">
        <f>+IF(AG1017=$AL$22,MONTH(V1017),"")</f>
        <v/>
      </c>
      <c r="AM1017" s="86" t="str">
        <f>+IF($AG1017=$AM$22,MONTH($D1017),"")</f>
        <v/>
      </c>
      <c r="AN1017" s="89" t="str">
        <f>+IF($AG1017=AN$22,MONTH($D1017),"")</f>
        <v/>
      </c>
      <c r="AO1017" s="89" t="str">
        <f>+IF($AG1017=AO$22,MONTH($D1017),"")</f>
        <v/>
      </c>
      <c r="AP1017" s="89" t="str">
        <f>+IF($AG1017=AP$22,MONTH($D1017),"")</f>
        <v/>
      </c>
      <c r="AQ1017" s="89" t="str">
        <f>+IF($AG1017=AQ$22,MONTH($D1017),"")</f>
        <v/>
      </c>
      <c r="AR1017" s="89" t="str">
        <f>+IF($AG1017=AR$22,MONTH($D1017),"")</f>
        <v/>
      </c>
      <c r="AS1017" s="89" t="str">
        <f>+IF($AG1017=AS$22,MONTH($D1017),"")</f>
        <v/>
      </c>
      <c r="AT1017" s="89" t="str">
        <f>+IF($AG1017=AT$22,MONTH($D1017),"")</f>
        <v/>
      </c>
      <c r="AU1017" s="89" t="str">
        <f>+IF($AG1017=AU$22,MONTH($D1017),"")</f>
        <v/>
      </c>
      <c r="AV1017" s="89" t="str">
        <f>+IF($AG1017=AV$22,MONTH($D1017),"")</f>
        <v/>
      </c>
      <c r="AW1017" s="86" t="str">
        <f>+IF($AG1017=AW$22,MONTH($D1017),"")</f>
        <v/>
      </c>
      <c r="AX1017" s="86" t="str">
        <f>+IF($AG1017=AX$22,MONTH($D1017),"")</f>
        <v/>
      </c>
      <c r="AY1017" s="89"/>
      <c r="AZ1017" s="89"/>
      <c r="BA1017" s="89"/>
      <c r="BB1017" s="89"/>
      <c r="BC1017" s="89"/>
      <c r="BD1017" s="89"/>
      <c r="BE1017" s="89"/>
      <c r="BF1017" s="89"/>
      <c r="BG1017" s="89"/>
      <c r="BH1017" s="89"/>
      <c r="BI1017" s="89"/>
      <c r="BJ1017" s="89"/>
      <c r="BK1017" s="89"/>
      <c r="BL1017" s="89"/>
      <c r="BM1017" s="89"/>
      <c r="BN1017" s="89"/>
      <c r="BO1017" s="89"/>
      <c r="BP1017" s="89"/>
    </row>
    <row r="1018" spans="1:68" s="56" customFormat="1" ht="53.25" hidden="1">
      <c r="A1018" s="204" t="str">
        <f>+IFERROR(VALUE(MID(AB1018,4,4)),"")</f>
        <v/>
      </c>
      <c r="B1018" s="204">
        <f>VALUE(RIGHT(C1018,LEN(C1018)-2))</f>
        <v>1705</v>
      </c>
      <c r="C1018" s="74" t="s">
        <v>3847</v>
      </c>
      <c r="D1018" s="75">
        <v>44980</v>
      </c>
      <c r="E1018" s="70" t="s">
        <v>848</v>
      </c>
      <c r="F1018" s="70" t="s">
        <v>848</v>
      </c>
      <c r="G1018" s="68" t="s">
        <v>3848</v>
      </c>
      <c r="H1018" s="59"/>
      <c r="I1018" s="69" t="s">
        <v>3849</v>
      </c>
      <c r="J1018" s="69"/>
      <c r="K1018" s="68" t="s">
        <v>45</v>
      </c>
      <c r="L1018" s="69" t="s">
        <v>120</v>
      </c>
      <c r="M1018" s="71" t="s">
        <v>141</v>
      </c>
      <c r="N1018" s="69" t="e" vm="1">
        <v>#VALUE!</v>
      </c>
      <c r="O1018" s="84">
        <v>45001</v>
      </c>
      <c r="P1018" s="72" t="s">
        <v>2572</v>
      </c>
      <c r="Q1018" s="82" t="s">
        <v>316</v>
      </c>
      <c r="R1018" s="69"/>
      <c r="S1018" s="146" t="s">
        <v>3850</v>
      </c>
      <c r="T1018" s="68" t="s">
        <v>165</v>
      </c>
      <c r="U1018" s="87"/>
      <c r="V1018" s="80">
        <v>45005</v>
      </c>
      <c r="W1018" s="150">
        <v>784</v>
      </c>
      <c r="X1018" s="150">
        <f>1212*35900/1000000</f>
        <v>43.510800000000003</v>
      </c>
      <c r="Y1018" s="83">
        <f>IF(SUM(W1018:W1018)&gt;0,X1018/SUM(W1018:W1018)*1000000,"N/A")</f>
        <v>55498.469387755111</v>
      </c>
      <c r="Z1018" s="80"/>
      <c r="AA1018" s="80"/>
      <c r="AB1018" s="73"/>
      <c r="AC1018" s="153"/>
      <c r="AD1018" s="331"/>
      <c r="AE1018" s="57"/>
      <c r="AF1018" s="88"/>
      <c r="AG1018" s="182">
        <f>YEAR(V1018)</f>
        <v>2023</v>
      </c>
      <c r="AH1018" s="86" t="str">
        <f>+IF(AF1018=$AI$22,MONTH(U1018),"")</f>
        <v/>
      </c>
      <c r="AI1018" s="86" t="str">
        <f>+IF(AG1018=$AI$22,MONTH(V1018),"")</f>
        <v/>
      </c>
      <c r="AJ1018" s="86" t="str">
        <f>+IF(AG1018=$AJ$22,MONTH(V1018),"")</f>
        <v/>
      </c>
      <c r="AK1018" s="86">
        <f>+IF(AG1018=$AK$22,MONTH(V1018),"")</f>
        <v>3</v>
      </c>
      <c r="AL1018" s="86"/>
      <c r="AM1018" s="89"/>
      <c r="AN1018" s="89"/>
      <c r="AO1018" s="89"/>
      <c r="AP1018" s="89"/>
      <c r="AQ1018" s="89"/>
      <c r="AR1018" s="89"/>
      <c r="AS1018" s="89"/>
      <c r="AT1018" s="89"/>
      <c r="AU1018" s="89"/>
      <c r="AV1018" s="89"/>
      <c r="AW1018" s="86" t="str">
        <f>+IF($AG1018=AW$22,MONTH($D1018),"")</f>
        <v/>
      </c>
      <c r="AX1018" s="86" t="str">
        <f>+IF($AG1018=AX$22,MONTH($D1018),"")</f>
        <v/>
      </c>
      <c r="AY1018" s="89"/>
      <c r="AZ1018" s="89"/>
      <c r="BA1018" s="89"/>
      <c r="BB1018" s="89"/>
      <c r="BC1018" s="89"/>
      <c r="BD1018" s="89"/>
      <c r="BE1018" s="89"/>
      <c r="BF1018" s="89"/>
      <c r="BG1018" s="89"/>
      <c r="BH1018" s="89"/>
      <c r="BI1018" s="89"/>
      <c r="BJ1018" s="89"/>
      <c r="BK1018" s="89"/>
      <c r="BL1018" s="89"/>
      <c r="BM1018" s="89"/>
      <c r="BN1018" s="89"/>
      <c r="BO1018" s="89"/>
      <c r="BP1018" s="89"/>
    </row>
    <row r="1019" spans="1:68" s="56" customFormat="1" ht="13.5" hidden="1">
      <c r="A1019" s="204" t="str">
        <f>+IFERROR(VALUE(MID(AB1019,4,4)),"")</f>
        <v/>
      </c>
      <c r="B1019" s="204">
        <f>VALUE(RIGHT(C1019,LEN(C1019)-2))</f>
        <v>1704</v>
      </c>
      <c r="C1019" s="74" t="s">
        <v>3851</v>
      </c>
      <c r="D1019" s="75">
        <v>44979</v>
      </c>
      <c r="E1019" s="70" t="s">
        <v>76</v>
      </c>
      <c r="F1019" s="70" t="s">
        <v>255</v>
      </c>
      <c r="G1019" s="76" t="s">
        <v>3852</v>
      </c>
      <c r="H1019" s="59"/>
      <c r="I1019" s="69" t="s">
        <v>3853</v>
      </c>
      <c r="J1019" s="69"/>
      <c r="K1019" s="68" t="s">
        <v>13</v>
      </c>
      <c r="L1019" s="69" t="s">
        <v>120</v>
      </c>
      <c r="M1019" s="71" t="s">
        <v>141</v>
      </c>
      <c r="N1019" s="69" t="e" vm="1">
        <v>#VALUE!</v>
      </c>
      <c r="O1019" s="164">
        <v>44987</v>
      </c>
      <c r="P1019" s="72" t="s">
        <v>3629</v>
      </c>
      <c r="Q1019" s="72" t="s">
        <v>623</v>
      </c>
      <c r="R1019" s="162"/>
      <c r="S1019" s="146"/>
      <c r="T1019" s="68" t="s">
        <v>165</v>
      </c>
      <c r="U1019" s="87"/>
      <c r="V1019" s="80">
        <v>44991</v>
      </c>
      <c r="W1019" s="73">
        <v>14502</v>
      </c>
      <c r="X1019" s="73">
        <v>450</v>
      </c>
      <c r="Y1019" s="83">
        <f>IF(SUM(W1019:W1019)&gt;0,X1019/SUM(W1019:W1019)*1000000,"N/A")</f>
        <v>31030.202730657838</v>
      </c>
      <c r="Z1019" s="80"/>
      <c r="AA1019" s="80"/>
      <c r="AB1019" s="73"/>
      <c r="AC1019" s="153"/>
      <c r="AD1019" s="331"/>
      <c r="AE1019" s="57"/>
      <c r="AF1019" s="88"/>
      <c r="AG1019" s="182">
        <f>YEAR(V1019)</f>
        <v>2023</v>
      </c>
      <c r="AH1019" s="86" t="str">
        <f>+IF(AF1019=$AI$22,MONTH(U1019),"")</f>
        <v/>
      </c>
      <c r="AI1019" s="86" t="str">
        <f>+IF(AG1019=$AI$22,MONTH(V1019),"")</f>
        <v/>
      </c>
      <c r="AJ1019" s="86" t="str">
        <f>+IF(AG1019=$AJ$22,MONTH(V1019),"")</f>
        <v/>
      </c>
      <c r="AK1019" s="86">
        <f>+IF(AG1019=$AK$22,MONTH(V1019),"")</f>
        <v>3</v>
      </c>
      <c r="AL1019" s="86"/>
      <c r="AM1019" s="89"/>
      <c r="AN1019" s="89"/>
      <c r="AO1019" s="89"/>
      <c r="AP1019" s="89"/>
      <c r="AQ1019" s="89"/>
      <c r="AR1019" s="89"/>
      <c r="AS1019" s="89"/>
      <c r="AT1019" s="89"/>
      <c r="AU1019" s="89"/>
      <c r="AV1019" s="89"/>
      <c r="AW1019" s="86" t="str">
        <f>+IF($AG1019=AW$22,MONTH($D1019),"")</f>
        <v/>
      </c>
      <c r="AX1019" s="86" t="str">
        <f>+IF($AG1019=AX$22,MONTH($D1019),"")</f>
        <v/>
      </c>
      <c r="AY1019" s="89"/>
      <c r="AZ1019" s="89"/>
      <c r="BA1019" s="89"/>
      <c r="BB1019" s="89"/>
      <c r="BC1019" s="89"/>
      <c r="BD1019" s="89"/>
      <c r="BE1019" s="89"/>
      <c r="BF1019" s="89"/>
      <c r="BG1019" s="89"/>
      <c r="BH1019" s="89"/>
      <c r="BI1019" s="89"/>
      <c r="BJ1019" s="89"/>
      <c r="BK1019" s="89"/>
      <c r="BL1019" s="89"/>
      <c r="BM1019" s="89"/>
      <c r="BN1019" s="89"/>
      <c r="BO1019" s="89"/>
      <c r="BP1019" s="89"/>
    </row>
    <row r="1020" spans="1:68" s="56" customFormat="1" ht="27" hidden="1">
      <c r="A1020" s="204" t="str">
        <f>+IFERROR(VALUE(MID(AB1020,4,4)),"")</f>
        <v/>
      </c>
      <c r="B1020" s="204">
        <f>VALUE(RIGHT(C1020,LEN(C1020)-2))</f>
        <v>1703</v>
      </c>
      <c r="C1020" s="74" t="s">
        <v>3854</v>
      </c>
      <c r="D1020" s="75">
        <v>44977</v>
      </c>
      <c r="E1020" s="70" t="s">
        <v>332</v>
      </c>
      <c r="F1020" s="70" t="s">
        <v>332</v>
      </c>
      <c r="G1020" s="68" t="s">
        <v>3699</v>
      </c>
      <c r="H1020" s="59"/>
      <c r="I1020" s="69" t="s">
        <v>3700</v>
      </c>
      <c r="J1020" s="69"/>
      <c r="K1020" s="68" t="s">
        <v>18</v>
      </c>
      <c r="L1020" s="69" t="s">
        <v>129</v>
      </c>
      <c r="M1020" s="71" t="s">
        <v>141</v>
      </c>
      <c r="N1020" s="69" t="e" vm="1">
        <v>#VALUE!</v>
      </c>
      <c r="O1020" s="84">
        <v>44979</v>
      </c>
      <c r="P1020" s="72" t="s">
        <v>285</v>
      </c>
      <c r="Q1020" s="72" t="s">
        <v>229</v>
      </c>
      <c r="R1020" s="162"/>
      <c r="S1020" s="146" t="s">
        <v>3855</v>
      </c>
      <c r="T1020" s="68" t="s">
        <v>165</v>
      </c>
      <c r="U1020" s="87"/>
      <c r="V1020" s="80">
        <v>44979</v>
      </c>
      <c r="W1020" s="150">
        <v>54</v>
      </c>
      <c r="X1020" s="150">
        <f>51*35430/1000000</f>
        <v>1.8069299999999999</v>
      </c>
      <c r="Y1020" s="83">
        <f>IF(SUM(W1020:W1020)&gt;0,X1020/SUM(W1020:W1020)*1000000,"N/A")</f>
        <v>33461.666666666664</v>
      </c>
      <c r="Z1020" s="80"/>
      <c r="AA1020" s="80"/>
      <c r="AB1020" s="73"/>
      <c r="AC1020" s="153"/>
      <c r="AD1020" s="331"/>
      <c r="AE1020" s="57"/>
      <c r="AF1020" s="88"/>
      <c r="AG1020" s="182">
        <f>YEAR(V1020)</f>
        <v>2023</v>
      </c>
      <c r="AH1020" s="86" t="str">
        <f>+IF(AF1020=$AI$22,MONTH(U1020),"")</f>
        <v/>
      </c>
      <c r="AI1020" s="86" t="str">
        <f>+IF(AG1020=$AI$22,MONTH(V1020),"")</f>
        <v/>
      </c>
      <c r="AJ1020" s="86" t="str">
        <f>+IF(AG1020=$AJ$22,MONTH(V1020),"")</f>
        <v/>
      </c>
      <c r="AK1020" s="86">
        <f>+IF(AG1020=$AK$22,MONTH(V1020),"")</f>
        <v>2</v>
      </c>
      <c r="AL1020" s="86"/>
      <c r="AM1020" s="89"/>
      <c r="AN1020" s="89"/>
      <c r="AO1020" s="89"/>
      <c r="AP1020" s="89"/>
      <c r="AQ1020" s="89"/>
      <c r="AR1020" s="89"/>
      <c r="AS1020" s="89"/>
      <c r="AT1020" s="89"/>
      <c r="AU1020" s="89"/>
      <c r="AV1020" s="89"/>
      <c r="AW1020" s="86" t="str">
        <f>+IF($AG1020=AW$22,MONTH($D1020),"")</f>
        <v/>
      </c>
      <c r="AX1020" s="86" t="str">
        <f>+IF($AG1020=AX$22,MONTH($D1020),"")</f>
        <v/>
      </c>
      <c r="AY1020" s="89"/>
      <c r="AZ1020" s="89"/>
      <c r="BA1020" s="89"/>
      <c r="BB1020" s="89"/>
      <c r="BC1020" s="89"/>
      <c r="BD1020" s="89"/>
      <c r="BE1020" s="89"/>
      <c r="BF1020" s="89"/>
      <c r="BG1020" s="89"/>
      <c r="BH1020" s="89"/>
      <c r="BI1020" s="89"/>
      <c r="BJ1020" s="89"/>
      <c r="BK1020" s="89"/>
      <c r="BL1020" s="89"/>
      <c r="BM1020" s="89"/>
      <c r="BN1020" s="89"/>
      <c r="BO1020" s="89"/>
      <c r="BP1020" s="89"/>
    </row>
    <row r="1021" spans="1:68" s="56" customFormat="1" ht="31.5" hidden="1" customHeight="1">
      <c r="A1021" s="204">
        <f>+IFERROR(VALUE(MID(AB1021,4,4)),"")</f>
        <v>265</v>
      </c>
      <c r="B1021" s="204">
        <f>VALUE(RIGHT(C1021,LEN(C1021)-2))</f>
        <v>1702</v>
      </c>
      <c r="C1021" s="74" t="s">
        <v>3856</v>
      </c>
      <c r="D1021" s="75">
        <v>44974</v>
      </c>
      <c r="E1021" s="70" t="s">
        <v>332</v>
      </c>
      <c r="F1021" s="70" t="s">
        <v>332</v>
      </c>
      <c r="G1021" s="68" t="s">
        <v>3699</v>
      </c>
      <c r="H1021" s="59"/>
      <c r="I1021" s="69" t="s">
        <v>3857</v>
      </c>
      <c r="J1021" s="69"/>
      <c r="K1021" s="68" t="s">
        <v>13</v>
      </c>
      <c r="L1021" s="69" t="s">
        <v>129</v>
      </c>
      <c r="M1021" s="71" t="s">
        <v>141</v>
      </c>
      <c r="N1021" s="69" t="e" vm="1">
        <v>#VALUE!</v>
      </c>
      <c r="O1021" s="84">
        <v>44978</v>
      </c>
      <c r="P1021" s="72" t="s">
        <v>285</v>
      </c>
      <c r="Q1021" s="72" t="s">
        <v>1097</v>
      </c>
      <c r="R1021" s="162"/>
      <c r="S1021" s="146"/>
      <c r="T1021" s="68" t="s">
        <v>3</v>
      </c>
      <c r="U1021" s="87"/>
      <c r="V1021" s="80">
        <v>44978</v>
      </c>
      <c r="W1021" s="150">
        <v>747</v>
      </c>
      <c r="X1021" s="150">
        <f>798*35430/1000000</f>
        <v>28.273140000000001</v>
      </c>
      <c r="Y1021" s="83">
        <f>IF(SUM(W1021:W1021)&gt;0,X1021/SUM(W1021:W1021)*1000000,"N/A")</f>
        <v>37848.915662650608</v>
      </c>
      <c r="Z1021" s="80"/>
      <c r="AA1021" s="80"/>
      <c r="AB1021" s="73" t="s">
        <v>3858</v>
      </c>
      <c r="AC1021" s="153"/>
      <c r="AD1021" s="331"/>
      <c r="AE1021" s="57"/>
      <c r="AF1021" s="88"/>
      <c r="AG1021" s="182">
        <f>YEAR(V1021)</f>
        <v>2023</v>
      </c>
      <c r="AH1021" s="86" t="str">
        <f>+IF(AF1021=$AI$22,MONTH(U1021),"")</f>
        <v/>
      </c>
      <c r="AI1021" s="86" t="str">
        <f>+IF(AG1021=$AI$22,MONTH(V1021),"")</f>
        <v/>
      </c>
      <c r="AJ1021" s="86" t="str">
        <f>+IF(AG1021=$AJ$22,MONTH(V1021),"")</f>
        <v/>
      </c>
      <c r="AK1021" s="86">
        <f>+IF(AG1021=$AK$22,MONTH(V1021),"")</f>
        <v>2</v>
      </c>
      <c r="AL1021" s="86"/>
      <c r="AM1021" s="89"/>
      <c r="AN1021" s="89"/>
      <c r="AO1021" s="89"/>
      <c r="AP1021" s="89"/>
      <c r="AQ1021" s="89"/>
      <c r="AR1021" s="89"/>
      <c r="AS1021" s="89"/>
      <c r="AT1021" s="89"/>
      <c r="AU1021" s="89"/>
      <c r="AV1021" s="89"/>
      <c r="AW1021" s="86" t="str">
        <f>+IF($AG1021=AW$22,MONTH($D1021),"")</f>
        <v/>
      </c>
      <c r="AX1021" s="86" t="str">
        <f>+IF($AG1021=AX$22,MONTH($D1021),"")</f>
        <v/>
      </c>
      <c r="AY1021" s="89"/>
      <c r="AZ1021" s="89"/>
      <c r="BA1021" s="89"/>
      <c r="BB1021" s="89"/>
      <c r="BC1021" s="89"/>
      <c r="BD1021" s="89"/>
      <c r="BE1021" s="89"/>
      <c r="BF1021" s="89"/>
      <c r="BG1021" s="89"/>
      <c r="BH1021" s="89"/>
      <c r="BI1021" s="89"/>
      <c r="BJ1021" s="89"/>
      <c r="BK1021" s="89"/>
      <c r="BL1021" s="89"/>
      <c r="BM1021" s="89"/>
      <c r="BN1021" s="89"/>
      <c r="BO1021" s="89"/>
      <c r="BP1021" s="89"/>
    </row>
    <row r="1022" spans="1:68" s="56" customFormat="1" ht="27" hidden="1">
      <c r="A1022" s="204" t="str">
        <f>+IFERROR(VALUE(MID(AB1022,4,4)),"")</f>
        <v/>
      </c>
      <c r="B1022" s="204">
        <f>VALUE(RIGHT(C1022,LEN(C1022)-2))</f>
        <v>1701</v>
      </c>
      <c r="C1022" s="74" t="s">
        <v>3859</v>
      </c>
      <c r="D1022" s="75">
        <v>44974</v>
      </c>
      <c r="E1022" s="70" t="s">
        <v>53</v>
      </c>
      <c r="F1022" s="70" t="s">
        <v>313</v>
      </c>
      <c r="G1022" s="68" t="s">
        <v>3860</v>
      </c>
      <c r="H1022" s="59"/>
      <c r="I1022" s="69" t="s">
        <v>3861</v>
      </c>
      <c r="J1022" s="69"/>
      <c r="K1022" s="68" t="s">
        <v>13</v>
      </c>
      <c r="L1022" s="69" t="s">
        <v>123</v>
      </c>
      <c r="M1022" s="71" t="s">
        <v>141</v>
      </c>
      <c r="N1022" s="69" t="e" vm="1">
        <v>#VALUE!</v>
      </c>
      <c r="O1022" s="84">
        <v>45026</v>
      </c>
      <c r="P1022" s="72" t="s">
        <v>228</v>
      </c>
      <c r="Q1022" s="72" t="s">
        <v>316</v>
      </c>
      <c r="R1022" s="162"/>
      <c r="S1022" s="146"/>
      <c r="T1022" s="68" t="s">
        <v>165</v>
      </c>
      <c r="U1022" s="87">
        <v>0</v>
      </c>
      <c r="V1022" s="80">
        <v>45099</v>
      </c>
      <c r="W1022" s="150">
        <v>14847</v>
      </c>
      <c r="X1022" s="150">
        <v>635</v>
      </c>
      <c r="Y1022" s="83">
        <f>IF(SUM(W1022:W1022)&gt;0,X1022/SUM(W1022:W1022)*1000000,"N/A")</f>
        <v>42769.583080757053</v>
      </c>
      <c r="Z1022" s="80"/>
      <c r="AA1022" s="80"/>
      <c r="AB1022" s="73"/>
      <c r="AC1022" s="153"/>
      <c r="AD1022" s="331"/>
      <c r="AE1022" s="57"/>
      <c r="AF1022" s="88"/>
      <c r="AG1022" s="182">
        <f>YEAR(V1022)</f>
        <v>2023</v>
      </c>
      <c r="AH1022" s="86" t="str">
        <f>+IF(AF1022=$AI$22,MONTH(U1022),"")</f>
        <v/>
      </c>
      <c r="AI1022" s="86" t="str">
        <f>+IF(AG1022=$AI$22,MONTH(V1022),"")</f>
        <v/>
      </c>
      <c r="AJ1022" s="86" t="str">
        <f>+IF(AG1022=$AJ$22,MONTH(V1022),"")</f>
        <v/>
      </c>
      <c r="AK1022" s="86">
        <f>+IF(AG1022=$AK$22,MONTH(V1022),"")</f>
        <v>6</v>
      </c>
      <c r="AL1022" s="86"/>
      <c r="AM1022" s="89"/>
      <c r="AN1022" s="89"/>
      <c r="AO1022" s="89"/>
      <c r="AP1022" s="89"/>
      <c r="AQ1022" s="89"/>
      <c r="AR1022" s="89"/>
      <c r="AS1022" s="89"/>
      <c r="AT1022" s="89"/>
      <c r="AU1022" s="89"/>
      <c r="AV1022" s="89"/>
      <c r="AW1022" s="86" t="str">
        <f>+IF($AG1022=AW$22,MONTH($D1022),"")</f>
        <v/>
      </c>
      <c r="AX1022" s="86" t="str">
        <f>+IF($AG1022=AX$22,MONTH($D1022),"")</f>
        <v/>
      </c>
      <c r="AY1022" s="89"/>
      <c r="AZ1022" s="89"/>
      <c r="BA1022" s="89"/>
      <c r="BB1022" s="89"/>
      <c r="BC1022" s="89"/>
      <c r="BD1022" s="89"/>
      <c r="BE1022" s="89"/>
      <c r="BF1022" s="89"/>
      <c r="BG1022" s="89"/>
      <c r="BH1022" s="89"/>
      <c r="BI1022" s="89"/>
      <c r="BJ1022" s="89"/>
      <c r="BK1022" s="89"/>
      <c r="BL1022" s="89"/>
      <c r="BM1022" s="89"/>
      <c r="BN1022" s="89"/>
      <c r="BO1022" s="89"/>
      <c r="BP1022" s="89"/>
    </row>
    <row r="1023" spans="1:68" s="56" customFormat="1" ht="27" hidden="1">
      <c r="A1023" s="204" t="str">
        <f>+IFERROR(VALUE(MID(AB1023,4,4)),"")</f>
        <v/>
      </c>
      <c r="B1023" s="204">
        <f>VALUE(RIGHT(C1023,LEN(C1023)-2))</f>
        <v>1700</v>
      </c>
      <c r="C1023" s="74" t="s">
        <v>3862</v>
      </c>
      <c r="D1023" s="75">
        <v>44972</v>
      </c>
      <c r="E1023" s="70" t="s">
        <v>97</v>
      </c>
      <c r="F1023" s="70" t="s">
        <v>3863</v>
      </c>
      <c r="G1023" s="76" t="s">
        <v>3864</v>
      </c>
      <c r="H1023" s="59"/>
      <c r="I1023" s="69" t="s">
        <v>3865</v>
      </c>
      <c r="J1023" s="69"/>
      <c r="K1023" s="68" t="s">
        <v>944</v>
      </c>
      <c r="L1023" s="69" t="s">
        <v>120</v>
      </c>
      <c r="M1023" s="71" t="s">
        <v>113</v>
      </c>
      <c r="N1023" s="69" t="e" vm="4">
        <v>#VALUE!</v>
      </c>
      <c r="O1023" s="84">
        <v>44974</v>
      </c>
      <c r="P1023" s="72" t="s">
        <v>1641</v>
      </c>
      <c r="Q1023" s="72" t="s">
        <v>229</v>
      </c>
      <c r="R1023" s="162"/>
      <c r="S1023" s="146"/>
      <c r="T1023" s="68" t="s">
        <v>165</v>
      </c>
      <c r="U1023" s="87"/>
      <c r="V1023" s="80">
        <v>44979</v>
      </c>
      <c r="W1023" s="150">
        <v>1777</v>
      </c>
      <c r="X1023" s="150">
        <f>(87363*797.75)/1000000</f>
        <v>69.693833249999997</v>
      </c>
      <c r="Y1023" s="83">
        <f>IF(SUM(W1023:W1023)&gt;0,X1023/SUM(W1023:W1023)*1000000,"N/A")</f>
        <v>39219.939926842992</v>
      </c>
      <c r="Z1023" s="80"/>
      <c r="AA1023" s="80"/>
      <c r="AB1023" s="73"/>
      <c r="AC1023" s="153"/>
      <c r="AD1023" s="331"/>
      <c r="AE1023" s="57"/>
      <c r="AF1023" s="88"/>
      <c r="AG1023" s="182">
        <f>YEAR(V1023)</f>
        <v>2023</v>
      </c>
      <c r="AH1023" s="86" t="str">
        <f>+IF(AF1023=$AI$22,MONTH(U1023),"")</f>
        <v/>
      </c>
      <c r="AI1023" s="86" t="str">
        <f>+IF(AG1023=$AI$22,MONTH(V1023),"")</f>
        <v/>
      </c>
      <c r="AJ1023" s="86" t="str">
        <f>+IF(AG1023=$AJ$22,MONTH(V1023),"")</f>
        <v/>
      </c>
      <c r="AK1023" s="86">
        <f>+IF(AG1023=$AK$22,MONTH(V1023),"")</f>
        <v>2</v>
      </c>
      <c r="AL1023" s="86"/>
      <c r="AM1023" s="89"/>
      <c r="AN1023" s="89"/>
      <c r="AO1023" s="89"/>
      <c r="AP1023" s="89"/>
      <c r="AQ1023" s="89"/>
      <c r="AR1023" s="89"/>
      <c r="AS1023" s="89"/>
      <c r="AT1023" s="89"/>
      <c r="AU1023" s="89"/>
      <c r="AV1023" s="89"/>
      <c r="AW1023" s="86" t="str">
        <f>+IF($AG1023=AW$22,MONTH($D1023),"")</f>
        <v/>
      </c>
      <c r="AX1023" s="86" t="str">
        <f>+IF($AG1023=AX$22,MONTH($D1023),"")</f>
        <v/>
      </c>
      <c r="AY1023" s="89"/>
      <c r="AZ1023" s="89"/>
      <c r="BA1023" s="89"/>
      <c r="BB1023" s="89"/>
      <c r="BC1023" s="89"/>
      <c r="BD1023" s="89"/>
      <c r="BE1023" s="89"/>
      <c r="BF1023" s="89"/>
      <c r="BG1023" s="89"/>
      <c r="BH1023" s="89"/>
      <c r="BI1023" s="89"/>
      <c r="BJ1023" s="89"/>
      <c r="BK1023" s="89"/>
      <c r="BL1023" s="89"/>
      <c r="BM1023" s="89"/>
      <c r="BN1023" s="89"/>
      <c r="BO1023" s="89"/>
      <c r="BP1023" s="89"/>
    </row>
    <row r="1024" spans="1:68" s="56" customFormat="1" ht="27" hidden="1">
      <c r="A1024" s="204">
        <f>+IFERROR(VALUE(MID(AB1024,4,4)),"")</f>
        <v>271</v>
      </c>
      <c r="B1024" s="204">
        <f>VALUE(RIGHT(C1024,LEN(C1024)-2))</f>
        <v>1699</v>
      </c>
      <c r="C1024" s="74" t="s">
        <v>3866</v>
      </c>
      <c r="D1024" s="75">
        <v>44973</v>
      </c>
      <c r="E1024" s="70" t="s">
        <v>277</v>
      </c>
      <c r="F1024" s="70" t="s">
        <v>277</v>
      </c>
      <c r="G1024" s="68" t="s">
        <v>1781</v>
      </c>
      <c r="H1024" s="59"/>
      <c r="I1024" s="69" t="s">
        <v>3867</v>
      </c>
      <c r="J1024" s="69"/>
      <c r="K1024" s="68" t="s">
        <v>9</v>
      </c>
      <c r="L1024" s="69" t="s">
        <v>129</v>
      </c>
      <c r="M1024" s="71" t="s">
        <v>141</v>
      </c>
      <c r="N1024" s="69" t="e" vm="1">
        <v>#VALUE!</v>
      </c>
      <c r="O1024" s="164">
        <v>44978</v>
      </c>
      <c r="P1024" s="72" t="s">
        <v>2852</v>
      </c>
      <c r="Q1024" s="72" t="s">
        <v>623</v>
      </c>
      <c r="R1024" s="162"/>
      <c r="S1024" s="146"/>
      <c r="T1024" s="68" t="s">
        <v>3</v>
      </c>
      <c r="U1024" s="87"/>
      <c r="V1024" s="80">
        <v>44979</v>
      </c>
      <c r="W1024" s="73">
        <v>72</v>
      </c>
      <c r="X1024" s="150">
        <v>3</v>
      </c>
      <c r="Y1024" s="83">
        <f>IF(SUM(W1024:W1024)&gt;0,X1024/SUM(W1024:W1024)*1000000,"N/A")</f>
        <v>41666.666666666664</v>
      </c>
      <c r="Z1024" s="80"/>
      <c r="AA1024" s="80"/>
      <c r="AB1024" s="73" t="s">
        <v>3868</v>
      </c>
      <c r="AC1024" s="153"/>
      <c r="AD1024" s="331"/>
      <c r="AE1024" s="57"/>
      <c r="AF1024" s="88"/>
      <c r="AG1024" s="182">
        <f>YEAR(V1024)</f>
        <v>2023</v>
      </c>
      <c r="AH1024" s="86" t="str">
        <f>+IF(AF1024=$AI$22,MONTH(U1024),"")</f>
        <v/>
      </c>
      <c r="AI1024" s="86" t="str">
        <f>+IF(AG1024=$AI$22,MONTH(V1024),"")</f>
        <v/>
      </c>
      <c r="AJ1024" s="86" t="str">
        <f>+IF(AG1024=$AJ$22,MONTH(V1024),"")</f>
        <v/>
      </c>
      <c r="AK1024" s="86">
        <f>+IF(AG1024=$AK$22,MONTH(V1024),"")</f>
        <v>2</v>
      </c>
      <c r="AL1024" s="86"/>
      <c r="AM1024" s="89"/>
      <c r="AN1024" s="89"/>
      <c r="AO1024" s="89"/>
      <c r="AP1024" s="89"/>
      <c r="AQ1024" s="89"/>
      <c r="AR1024" s="89"/>
      <c r="AS1024" s="89"/>
      <c r="AT1024" s="89"/>
      <c r="AU1024" s="89"/>
      <c r="AV1024" s="89"/>
      <c r="AW1024" s="86" t="str">
        <f>+IF($AG1024=AW$22,MONTH($D1024),"")</f>
        <v/>
      </c>
      <c r="AX1024" s="86" t="str">
        <f>+IF($AG1024=AX$22,MONTH($D1024),"")</f>
        <v/>
      </c>
      <c r="AY1024" s="89"/>
      <c r="AZ1024" s="89"/>
      <c r="BA1024" s="89"/>
      <c r="BB1024" s="89"/>
      <c r="BC1024" s="89"/>
      <c r="BD1024" s="89"/>
      <c r="BE1024" s="89"/>
      <c r="BF1024" s="89"/>
      <c r="BG1024" s="89"/>
      <c r="BH1024" s="89"/>
      <c r="BI1024" s="89"/>
      <c r="BJ1024" s="89"/>
      <c r="BK1024" s="89"/>
      <c r="BL1024" s="89"/>
      <c r="BM1024" s="89"/>
      <c r="BN1024" s="89"/>
      <c r="BO1024" s="89"/>
      <c r="BP1024" s="89"/>
    </row>
    <row r="1025" spans="1:68" s="56" customFormat="1" ht="27" hidden="1">
      <c r="A1025" s="204">
        <f>+IFERROR(VALUE(MID(AB1025,4,4)),"")</f>
        <v>271</v>
      </c>
      <c r="B1025" s="204">
        <f>VALUE(RIGHT(C1025,LEN(C1025)-2))</f>
        <v>1698</v>
      </c>
      <c r="C1025" s="74" t="s">
        <v>3869</v>
      </c>
      <c r="D1025" s="75">
        <v>44973</v>
      </c>
      <c r="E1025" s="70" t="s">
        <v>277</v>
      </c>
      <c r="F1025" s="70" t="s">
        <v>277</v>
      </c>
      <c r="G1025" s="68" t="s">
        <v>1781</v>
      </c>
      <c r="H1025" s="59"/>
      <c r="I1025" s="69" t="s">
        <v>3870</v>
      </c>
      <c r="J1025" s="69"/>
      <c r="K1025" s="68" t="s">
        <v>45</v>
      </c>
      <c r="L1025" s="69" t="s">
        <v>129</v>
      </c>
      <c r="M1025" s="71" t="s">
        <v>141</v>
      </c>
      <c r="N1025" s="69" t="e" vm="1">
        <v>#VALUE!</v>
      </c>
      <c r="O1025" s="164">
        <v>44974</v>
      </c>
      <c r="P1025" s="72" t="s">
        <v>2852</v>
      </c>
      <c r="Q1025" s="72" t="s">
        <v>389</v>
      </c>
      <c r="R1025" s="162"/>
      <c r="S1025" s="146"/>
      <c r="T1025" s="68" t="s">
        <v>3</v>
      </c>
      <c r="U1025" s="87"/>
      <c r="V1025" s="80">
        <v>44979</v>
      </c>
      <c r="W1025" s="73">
        <v>107</v>
      </c>
      <c r="X1025" s="150">
        <v>4.7</v>
      </c>
      <c r="Y1025" s="83">
        <f>IF(SUM(W1025:W1025)&gt;0,X1025/SUM(W1025:W1025)*1000000,"N/A")</f>
        <v>43925.233644859814</v>
      </c>
      <c r="Z1025" s="80"/>
      <c r="AA1025" s="80"/>
      <c r="AB1025" s="73" t="s">
        <v>3871</v>
      </c>
      <c r="AC1025" s="153"/>
      <c r="AD1025" s="331"/>
      <c r="AE1025" s="57"/>
      <c r="AF1025" s="88"/>
      <c r="AG1025" s="182">
        <f>YEAR(V1025)</f>
        <v>2023</v>
      </c>
      <c r="AH1025" s="86" t="str">
        <f>+IF(AF1025=$AI$22,MONTH(U1025),"")</f>
        <v/>
      </c>
      <c r="AI1025" s="86" t="str">
        <f>+IF(AG1025=$AI$22,MONTH(V1025),"")</f>
        <v/>
      </c>
      <c r="AJ1025" s="86" t="str">
        <f>+IF(AG1025=$AJ$22,MONTH(V1025),"")</f>
        <v/>
      </c>
      <c r="AK1025" s="86">
        <f>+IF(AG1025=$AK$22,MONTH(V1025),"")</f>
        <v>2</v>
      </c>
      <c r="AL1025" s="86"/>
      <c r="AM1025" s="89"/>
      <c r="AN1025" s="89"/>
      <c r="AO1025" s="89"/>
      <c r="AP1025" s="89"/>
      <c r="AQ1025" s="89"/>
      <c r="AR1025" s="89"/>
      <c r="AS1025" s="89"/>
      <c r="AT1025" s="89"/>
      <c r="AU1025" s="89"/>
      <c r="AV1025" s="89"/>
      <c r="AW1025" s="86" t="str">
        <f>+IF($AG1025=AW$22,MONTH($D1025),"")</f>
        <v/>
      </c>
      <c r="AX1025" s="86" t="str">
        <f>+IF($AG1025=AX$22,MONTH($D1025),"")</f>
        <v/>
      </c>
      <c r="AY1025" s="89"/>
      <c r="AZ1025" s="89"/>
      <c r="BA1025" s="89"/>
      <c r="BB1025" s="89"/>
      <c r="BC1025" s="89"/>
      <c r="BD1025" s="89"/>
      <c r="BE1025" s="89"/>
      <c r="BF1025" s="89"/>
      <c r="BG1025" s="89"/>
      <c r="BH1025" s="89"/>
      <c r="BI1025" s="89"/>
      <c r="BJ1025" s="89"/>
      <c r="BK1025" s="89"/>
      <c r="BL1025" s="89"/>
      <c r="BM1025" s="89"/>
      <c r="BN1025" s="89"/>
      <c r="BO1025" s="89"/>
      <c r="BP1025" s="89"/>
    </row>
    <row r="1026" spans="1:68" s="56" customFormat="1" ht="27" hidden="1">
      <c r="A1026" s="204">
        <f>+IFERROR(VALUE(MID(AB1026,4,4)),"")</f>
        <v>315</v>
      </c>
      <c r="B1026" s="204">
        <f>VALUE(RIGHT(C1026,LEN(C1026)-2))</f>
        <v>1697</v>
      </c>
      <c r="C1026" s="74" t="s">
        <v>3872</v>
      </c>
      <c r="D1026" s="75">
        <v>44967</v>
      </c>
      <c r="E1026" s="70" t="s">
        <v>2961</v>
      </c>
      <c r="F1026" s="70" t="s">
        <v>3873</v>
      </c>
      <c r="G1026" s="68" t="s">
        <v>3874</v>
      </c>
      <c r="H1026" s="59"/>
      <c r="I1026" s="69" t="s">
        <v>3875</v>
      </c>
      <c r="J1026" s="69"/>
      <c r="K1026" s="68" t="s">
        <v>401</v>
      </c>
      <c r="L1026" s="69" t="s">
        <v>120</v>
      </c>
      <c r="M1026" s="71" t="s">
        <v>141</v>
      </c>
      <c r="N1026" s="69" t="e" vm="1">
        <v>#VALUE!</v>
      </c>
      <c r="O1026" s="84">
        <v>44966</v>
      </c>
      <c r="P1026" s="72" t="s">
        <v>364</v>
      </c>
      <c r="Q1026" s="72" t="s">
        <v>389</v>
      </c>
      <c r="R1026" s="162"/>
      <c r="S1026" s="146"/>
      <c r="T1026" s="68" t="s">
        <v>3</v>
      </c>
      <c r="U1026" s="87"/>
      <c r="V1026" s="80">
        <v>44979</v>
      </c>
      <c r="W1026" s="73">
        <v>171.4</v>
      </c>
      <c r="X1026" s="150">
        <v>11.29</v>
      </c>
      <c r="Y1026" s="83">
        <f>IF(SUM(W1026:W1026)&gt;0,X1026/SUM(W1026:W1026)*1000000,"N/A")</f>
        <v>65869.311551925304</v>
      </c>
      <c r="Z1026" s="80"/>
      <c r="AA1026" s="80"/>
      <c r="AB1026" s="73" t="s">
        <v>3876</v>
      </c>
      <c r="AC1026" s="153"/>
      <c r="AD1026" s="331"/>
      <c r="AE1026" s="57"/>
      <c r="AF1026" s="88"/>
      <c r="AG1026" s="182">
        <f>YEAR(V1026)</f>
        <v>2023</v>
      </c>
      <c r="AH1026" s="86" t="str">
        <f>+IF(AF1026=$AI$22,MONTH(U1026),"")</f>
        <v/>
      </c>
      <c r="AI1026" s="86" t="str">
        <f>+IF(AG1026=$AI$22,MONTH(V1026),"")</f>
        <v/>
      </c>
      <c r="AJ1026" s="86" t="str">
        <f>+IF(AG1026=$AJ$22,MONTH(V1026),"")</f>
        <v/>
      </c>
      <c r="AK1026" s="86">
        <f>+IF(AG1026=$AK$22,MONTH(V1026),"")</f>
        <v>2</v>
      </c>
      <c r="AL1026" s="86"/>
      <c r="AM1026" s="89"/>
      <c r="AN1026" s="89"/>
      <c r="AO1026" s="89"/>
      <c r="AP1026" s="89"/>
      <c r="AQ1026" s="89"/>
      <c r="AR1026" s="89"/>
      <c r="AS1026" s="89"/>
      <c r="AT1026" s="89"/>
      <c r="AU1026" s="89"/>
      <c r="AV1026" s="89"/>
      <c r="AW1026" s="86" t="str">
        <f>+IF($AG1026=AW$22,MONTH($D1026),"")</f>
        <v/>
      </c>
      <c r="AX1026" s="86" t="str">
        <f>+IF($AG1026=AX$22,MONTH($D1026),"")</f>
        <v/>
      </c>
      <c r="AY1026" s="89"/>
      <c r="AZ1026" s="89"/>
      <c r="BA1026" s="89"/>
      <c r="BB1026" s="89"/>
      <c r="BC1026" s="89"/>
      <c r="BD1026" s="89"/>
      <c r="BE1026" s="89"/>
      <c r="BF1026" s="89"/>
      <c r="BG1026" s="89"/>
      <c r="BH1026" s="89"/>
      <c r="BI1026" s="89"/>
      <c r="BJ1026" s="89"/>
      <c r="BK1026" s="89"/>
      <c r="BL1026" s="89"/>
      <c r="BM1026" s="89"/>
      <c r="BN1026" s="89"/>
      <c r="BO1026" s="89"/>
      <c r="BP1026" s="89"/>
    </row>
    <row r="1027" spans="1:68" s="56" customFormat="1" ht="27" hidden="1">
      <c r="A1027" s="204">
        <f>+IFERROR(VALUE(MID(AB1027,4,4)),"")</f>
        <v>265</v>
      </c>
      <c r="B1027" s="204">
        <f>VALUE(RIGHT(C1027,LEN(C1027)-2))</f>
        <v>1696</v>
      </c>
      <c r="C1027" s="74" t="s">
        <v>3877</v>
      </c>
      <c r="D1027" s="75">
        <v>44966</v>
      </c>
      <c r="E1027" s="70" t="s">
        <v>332</v>
      </c>
      <c r="F1027" s="70" t="s">
        <v>332</v>
      </c>
      <c r="G1027" s="76" t="s">
        <v>3699</v>
      </c>
      <c r="H1027" s="111" t="s">
        <v>3878</v>
      </c>
      <c r="I1027" s="162" t="s">
        <v>3879</v>
      </c>
      <c r="J1027" s="162"/>
      <c r="K1027" s="68" t="s">
        <v>13</v>
      </c>
      <c r="L1027" s="69" t="s">
        <v>129</v>
      </c>
      <c r="M1027" s="71" t="s">
        <v>141</v>
      </c>
      <c r="N1027" s="69" t="e" vm="1">
        <v>#VALUE!</v>
      </c>
      <c r="O1027" s="84">
        <v>44971</v>
      </c>
      <c r="P1027" s="72" t="s">
        <v>285</v>
      </c>
      <c r="Q1027" s="72" t="s">
        <v>229</v>
      </c>
      <c r="R1027" s="162"/>
      <c r="S1027" s="146"/>
      <c r="T1027" s="68" t="s">
        <v>3</v>
      </c>
      <c r="U1027" s="211"/>
      <c r="V1027" s="80">
        <v>44971</v>
      </c>
      <c r="W1027" s="73">
        <v>128</v>
      </c>
      <c r="X1027" s="150">
        <f>150*35430/1000000</f>
        <v>5.3144999999999998</v>
      </c>
      <c r="Y1027" s="83">
        <f>IF(SUM(W1027:W1027)&gt;0,X1027/SUM(W1027:W1027)*1000000,"N/A")</f>
        <v>41519.53125</v>
      </c>
      <c r="Z1027" s="80"/>
      <c r="AA1027" s="80"/>
      <c r="AB1027" s="73" t="s">
        <v>3880</v>
      </c>
      <c r="AC1027" s="153"/>
      <c r="AD1027" s="331"/>
      <c r="AE1027" s="57"/>
      <c r="AF1027" s="88" t="s">
        <v>3881</v>
      </c>
      <c r="AG1027" s="182">
        <f>YEAR(V1027)</f>
        <v>2023</v>
      </c>
      <c r="AH1027" s="86" t="str">
        <f>+IF(AF1027=$AI$22,MONTH(U1027),"")</f>
        <v/>
      </c>
      <c r="AI1027" s="86" t="str">
        <f>+IF(AG1027=$AI$22,MONTH(V1027),"")</f>
        <v/>
      </c>
      <c r="AJ1027" s="86" t="str">
        <f>+IF(AG1027=$AJ$22,MONTH(V1027),"")</f>
        <v/>
      </c>
      <c r="AK1027" s="86">
        <f>+IF(AG1027=$AK$22,MONTH(V1027),"")</f>
        <v>2</v>
      </c>
      <c r="AL1027" s="86"/>
      <c r="AM1027" s="89"/>
      <c r="AN1027" s="89"/>
      <c r="AO1027" s="89"/>
      <c r="AP1027" s="89"/>
      <c r="AQ1027" s="89"/>
      <c r="AR1027" s="89"/>
      <c r="AS1027" s="89"/>
      <c r="AT1027" s="89"/>
      <c r="AU1027" s="89"/>
      <c r="AV1027" s="89"/>
      <c r="AW1027" s="86" t="str">
        <f>+IF($AG1027=AW$22,MONTH($D1027),"")</f>
        <v/>
      </c>
      <c r="AX1027" s="86" t="str">
        <f>+IF($AG1027=AX$22,MONTH($D1027),"")</f>
        <v/>
      </c>
      <c r="AY1027" s="89"/>
      <c r="AZ1027" s="89"/>
      <c r="BA1027" s="89"/>
      <c r="BB1027" s="89"/>
      <c r="BC1027" s="89"/>
      <c r="BD1027" s="89"/>
      <c r="BE1027" s="89"/>
      <c r="BF1027" s="89"/>
      <c r="BG1027" s="89"/>
      <c r="BH1027" s="89"/>
      <c r="BI1027" s="89"/>
      <c r="BJ1027" s="89"/>
      <c r="BK1027" s="89"/>
      <c r="BL1027" s="89"/>
      <c r="BM1027" s="89"/>
      <c r="BN1027" s="89"/>
      <c r="BO1027" s="89"/>
      <c r="BP1027" s="89"/>
    </row>
    <row r="1028" spans="1:68" s="56" customFormat="1" ht="13.5" hidden="1">
      <c r="A1028" s="204" t="str">
        <f>+IFERROR(VALUE(MID(AB1028,4,4)),"")</f>
        <v/>
      </c>
      <c r="B1028" s="204">
        <f>VALUE(RIGHT(C1028,LEN(C1028)-2))</f>
        <v>1695</v>
      </c>
      <c r="C1028" s="74" t="s">
        <v>3882</v>
      </c>
      <c r="D1028" s="75">
        <v>44966</v>
      </c>
      <c r="E1028" s="70" t="s">
        <v>76</v>
      </c>
      <c r="F1028" s="70" t="s">
        <v>255</v>
      </c>
      <c r="G1028" s="68" t="s">
        <v>3883</v>
      </c>
      <c r="H1028" s="59"/>
      <c r="I1028" s="69" t="s">
        <v>3884</v>
      </c>
      <c r="J1028" s="69"/>
      <c r="K1028" s="68" t="s">
        <v>12</v>
      </c>
      <c r="L1028" s="69" t="s">
        <v>120</v>
      </c>
      <c r="M1028" s="71" t="s">
        <v>141</v>
      </c>
      <c r="N1028" s="69" t="e" vm="1">
        <v>#VALUE!</v>
      </c>
      <c r="O1028" s="164">
        <v>45015</v>
      </c>
      <c r="P1028" s="72" t="s">
        <v>274</v>
      </c>
      <c r="Q1028" s="72" t="s">
        <v>623</v>
      </c>
      <c r="R1028" s="162"/>
      <c r="S1028" s="146"/>
      <c r="T1028" s="68" t="s">
        <v>165</v>
      </c>
      <c r="U1028" s="87"/>
      <c r="V1028" s="80">
        <v>45015</v>
      </c>
      <c r="W1028" s="150">
        <f>2853+814</f>
        <v>3667</v>
      </c>
      <c r="X1028" s="150">
        <f>((2507.2+742.6)*35575)/1000000</f>
        <v>115.61163499999998</v>
      </c>
      <c r="Y1028" s="83">
        <f>IF(SUM(W1028:W1028)&gt;0,X1028/SUM(W1028:W1028)*1000000,"N/A")</f>
        <v>31527.579765475864</v>
      </c>
      <c r="Z1028" s="80"/>
      <c r="AA1028" s="80"/>
      <c r="AB1028" s="73"/>
      <c r="AC1028" s="153"/>
      <c r="AD1028" s="331"/>
      <c r="AE1028" s="57"/>
      <c r="AF1028" s="88"/>
      <c r="AG1028" s="182">
        <f>YEAR(V1028)</f>
        <v>2023</v>
      </c>
      <c r="AH1028" s="86" t="str">
        <f>+IF(AF1028=$AI$22,MONTH(U1028),"")</f>
        <v/>
      </c>
      <c r="AI1028" s="86" t="str">
        <f>+IF(AG1028=$AI$22,MONTH(V1028),"")</f>
        <v/>
      </c>
      <c r="AJ1028" s="86" t="str">
        <f>+IF(AG1028=$AJ$22,MONTH(V1028),"")</f>
        <v/>
      </c>
      <c r="AK1028" s="86">
        <f>+IF(AG1028=$AK$22,MONTH(V1028),"")</f>
        <v>3</v>
      </c>
      <c r="AL1028" s="86"/>
      <c r="AM1028" s="89"/>
      <c r="AN1028" s="89"/>
      <c r="AO1028" s="89"/>
      <c r="AP1028" s="89"/>
      <c r="AQ1028" s="89"/>
      <c r="AR1028" s="89"/>
      <c r="AS1028" s="89"/>
      <c r="AT1028" s="89"/>
      <c r="AU1028" s="89"/>
      <c r="AV1028" s="89"/>
      <c r="AW1028" s="86" t="str">
        <f>+IF($AG1028=AW$22,MONTH($D1028),"")</f>
        <v/>
      </c>
      <c r="AX1028" s="86" t="str">
        <f>+IF($AG1028=AX$22,MONTH($D1028),"")</f>
        <v/>
      </c>
      <c r="AY1028" s="89"/>
      <c r="AZ1028" s="89"/>
      <c r="BA1028" s="89"/>
      <c r="BB1028" s="89"/>
      <c r="BC1028" s="89"/>
      <c r="BD1028" s="89"/>
      <c r="BE1028" s="89"/>
      <c r="BF1028" s="89"/>
      <c r="BG1028" s="89"/>
      <c r="BH1028" s="89"/>
      <c r="BI1028" s="89"/>
      <c r="BJ1028" s="89"/>
      <c r="BK1028" s="89"/>
      <c r="BL1028" s="89"/>
      <c r="BM1028" s="89"/>
      <c r="BN1028" s="89"/>
      <c r="BO1028" s="89"/>
      <c r="BP1028" s="89"/>
    </row>
    <row r="1029" spans="1:68" s="56" customFormat="1" ht="81" hidden="1">
      <c r="A1029" s="204" t="str">
        <f>+IFERROR(VALUE(MID(AB1029,4,4)),"")</f>
        <v/>
      </c>
      <c r="B1029" s="204">
        <f>VALUE(RIGHT(C1029,LEN(C1029)-2))</f>
        <v>1694</v>
      </c>
      <c r="C1029" s="74" t="s">
        <v>3885</v>
      </c>
      <c r="D1029" s="75">
        <v>44966</v>
      </c>
      <c r="E1029" s="70" t="s">
        <v>479</v>
      </c>
      <c r="F1029" s="70" t="s">
        <v>479</v>
      </c>
      <c r="G1029" s="68" t="s">
        <v>3886</v>
      </c>
      <c r="H1029" s="59"/>
      <c r="I1029" s="69" t="s">
        <v>3887</v>
      </c>
      <c r="J1029" s="69"/>
      <c r="K1029" s="68" t="s">
        <v>13</v>
      </c>
      <c r="L1029" s="69" t="s">
        <v>129</v>
      </c>
      <c r="M1029" s="71" t="s">
        <v>113</v>
      </c>
      <c r="N1029" s="69" t="e" vm="2">
        <v>#VALUE!</v>
      </c>
      <c r="O1029" s="84">
        <v>45132</v>
      </c>
      <c r="P1029" s="72" t="s">
        <v>483</v>
      </c>
      <c r="Q1029" s="72" t="s">
        <v>623</v>
      </c>
      <c r="R1029" s="162"/>
      <c r="S1029" s="146" t="s">
        <v>3888</v>
      </c>
      <c r="T1029" s="68" t="s">
        <v>165</v>
      </c>
      <c r="U1029" s="87">
        <v>0</v>
      </c>
      <c r="V1029" s="80">
        <v>44979</v>
      </c>
      <c r="W1029" s="150">
        <v>2003</v>
      </c>
      <c r="X1029" s="150">
        <f>370221*175/1000000</f>
        <v>64.788674999999998</v>
      </c>
      <c r="Y1029" s="169">
        <f>IF(SUM(W1029:W1029)&gt;0,X1029/SUM(W1029:W1029)*1000000,"N/A")</f>
        <v>32345.818771842234</v>
      </c>
      <c r="Z1029" s="80"/>
      <c r="AA1029" s="80"/>
      <c r="AB1029" s="73"/>
      <c r="AC1029" s="153"/>
      <c r="AD1029" s="331"/>
      <c r="AE1029" s="57"/>
      <c r="AF1029" s="88"/>
      <c r="AG1029" s="182">
        <f>YEAR(V1029)</f>
        <v>2023</v>
      </c>
      <c r="AH1029" s="86" t="str">
        <f>+IF(AF1029=$AI$22,MONTH(U1029),"")</f>
        <v/>
      </c>
      <c r="AI1029" s="86" t="str">
        <f>+IF(AG1029=$AI$22,MONTH(V1029),"")</f>
        <v/>
      </c>
      <c r="AJ1029" s="86" t="str">
        <f>+IF(AG1029=$AJ$22,MONTH(V1029),"")</f>
        <v/>
      </c>
      <c r="AK1029" s="86">
        <f>+IF(AG1029=$AK$22,MONTH(V1029),"")</f>
        <v>2</v>
      </c>
      <c r="AL1029" s="86"/>
      <c r="AM1029" s="89"/>
      <c r="AN1029" s="89"/>
      <c r="AO1029" s="89"/>
      <c r="AP1029" s="89"/>
      <c r="AQ1029" s="89"/>
      <c r="AR1029" s="89"/>
      <c r="AS1029" s="89"/>
      <c r="AT1029" s="89"/>
      <c r="AU1029" s="89"/>
      <c r="AV1029" s="89"/>
      <c r="AW1029" s="86" t="str">
        <f>+IF($AG1029=AW$22,MONTH($D1029),"")</f>
        <v/>
      </c>
      <c r="AX1029" s="86" t="str">
        <f>+IF($AG1029=AX$22,MONTH($D1029),"")</f>
        <v/>
      </c>
      <c r="AY1029" s="89"/>
      <c r="AZ1029" s="89"/>
      <c r="BA1029" s="89"/>
      <c r="BB1029" s="89"/>
      <c r="BC1029" s="89"/>
      <c r="BD1029" s="89"/>
      <c r="BE1029" s="89"/>
      <c r="BF1029" s="89"/>
      <c r="BG1029" s="89"/>
      <c r="BH1029" s="89"/>
      <c r="BI1029" s="89"/>
      <c r="BJ1029" s="89"/>
      <c r="BK1029" s="89"/>
      <c r="BL1029" s="89"/>
      <c r="BM1029" s="89"/>
      <c r="BN1029" s="89"/>
      <c r="BO1029" s="89"/>
      <c r="BP1029" s="89"/>
    </row>
    <row r="1030" spans="1:68" s="56" customFormat="1" ht="67.5" hidden="1">
      <c r="A1030" s="204" t="str">
        <f>+IFERROR(VALUE(MID(AB1030,4,4)),"")</f>
        <v/>
      </c>
      <c r="B1030" s="204">
        <f>VALUE(RIGHT(C1030,LEN(C1030)-2))</f>
        <v>1693</v>
      </c>
      <c r="C1030" s="74" t="s">
        <v>3889</v>
      </c>
      <c r="D1030" s="75">
        <v>44966</v>
      </c>
      <c r="E1030" s="70" t="s">
        <v>1856</v>
      </c>
      <c r="F1030" s="70" t="s">
        <v>3890</v>
      </c>
      <c r="G1030" s="76" t="s">
        <v>3696</v>
      </c>
      <c r="H1030" s="59"/>
      <c r="I1030" s="69" t="s">
        <v>3891</v>
      </c>
      <c r="J1030" s="69"/>
      <c r="K1030" s="68" t="s">
        <v>30</v>
      </c>
      <c r="L1030" s="69" t="s">
        <v>123</v>
      </c>
      <c r="M1030" s="71" t="s">
        <v>113</v>
      </c>
      <c r="N1030" s="69" t="e" vm="7">
        <v>#VALUE!</v>
      </c>
      <c r="O1030" s="164">
        <v>44991</v>
      </c>
      <c r="P1030" s="72" t="s">
        <v>2572</v>
      </c>
      <c r="Q1030" s="72" t="s">
        <v>3892</v>
      </c>
      <c r="R1030" s="162"/>
      <c r="S1030" s="146"/>
      <c r="T1030" s="68" t="s">
        <v>165</v>
      </c>
      <c r="U1030" s="87"/>
      <c r="V1030" s="80">
        <v>44992</v>
      </c>
      <c r="W1030" s="150">
        <v>2217</v>
      </c>
      <c r="X1030" s="150">
        <v>97.8</v>
      </c>
      <c r="Y1030" s="83">
        <f>IF(SUM(W1030:W1030)&gt;0,X1030/SUM(W1030:W1030)*1000000,"N/A")</f>
        <v>44113.667117726654</v>
      </c>
      <c r="Z1030" s="80"/>
      <c r="AA1030" s="80"/>
      <c r="AB1030" s="73"/>
      <c r="AC1030" s="153"/>
      <c r="AD1030" s="331"/>
      <c r="AE1030" s="57"/>
      <c r="AF1030" s="88" t="s">
        <v>3893</v>
      </c>
      <c r="AG1030" s="182">
        <f>YEAR(V1030)</f>
        <v>2023</v>
      </c>
      <c r="AH1030" s="86" t="str">
        <f>+IF(AF1030=$AI$22,MONTH(U1030),"")</f>
        <v/>
      </c>
      <c r="AI1030" s="86" t="str">
        <f>+IF(AG1030=$AI$22,MONTH(V1030),"")</f>
        <v/>
      </c>
      <c r="AJ1030" s="86" t="str">
        <f>+IF(AG1030=$AJ$22,MONTH(V1030),"")</f>
        <v/>
      </c>
      <c r="AK1030" s="86">
        <f>+IF(AG1030=$AK$22,MONTH(V1030),"")</f>
        <v>3</v>
      </c>
      <c r="AL1030" s="86"/>
      <c r="AM1030" s="89"/>
      <c r="AN1030" s="89"/>
      <c r="AO1030" s="89"/>
      <c r="AP1030" s="89"/>
      <c r="AQ1030" s="89"/>
      <c r="AR1030" s="89"/>
      <c r="AS1030" s="89"/>
      <c r="AT1030" s="89"/>
      <c r="AU1030" s="89"/>
      <c r="AV1030" s="89"/>
      <c r="AW1030" s="86" t="str">
        <f>+IF($AG1030=AW$22,MONTH($D1030),"")</f>
        <v/>
      </c>
      <c r="AX1030" s="86" t="str">
        <f>+IF($AG1030=AX$22,MONTH($D1030),"")</f>
        <v/>
      </c>
      <c r="AY1030" s="89"/>
      <c r="AZ1030" s="89"/>
      <c r="BA1030" s="89"/>
      <c r="BB1030" s="89"/>
      <c r="BC1030" s="89"/>
      <c r="BD1030" s="89"/>
      <c r="BE1030" s="89"/>
      <c r="BF1030" s="89"/>
      <c r="BG1030" s="89"/>
      <c r="BH1030" s="89"/>
      <c r="BI1030" s="89"/>
      <c r="BJ1030" s="182"/>
      <c r="BK1030" s="182"/>
      <c r="BL1030" s="182"/>
      <c r="BM1030" s="182"/>
      <c r="BN1030" s="89"/>
      <c r="BO1030" s="89"/>
      <c r="BP1030" s="89"/>
    </row>
    <row r="1031" spans="1:68" s="51" customFormat="1" ht="81" hidden="1">
      <c r="A1031" s="204" t="str">
        <f>+IFERROR(VALUE(MID(AB1031,4,4)),"")</f>
        <v/>
      </c>
      <c r="B1031" s="204">
        <f>VALUE(RIGHT(C1031,LEN(C1031)-2))</f>
        <v>1692</v>
      </c>
      <c r="C1031" s="74" t="s">
        <v>3894</v>
      </c>
      <c r="D1031" s="75">
        <v>44957</v>
      </c>
      <c r="E1031" s="70" t="s">
        <v>707</v>
      </c>
      <c r="F1031" s="70" t="s">
        <v>3351</v>
      </c>
      <c r="G1031" s="68" t="s">
        <v>709</v>
      </c>
      <c r="H1031" s="59" t="s">
        <v>710</v>
      </c>
      <c r="I1031" s="69" t="s">
        <v>3895</v>
      </c>
      <c r="J1031" s="69"/>
      <c r="K1031" s="68" t="s">
        <v>401</v>
      </c>
      <c r="L1031" s="69" t="s">
        <v>120</v>
      </c>
      <c r="M1031" s="71" t="s">
        <v>141</v>
      </c>
      <c r="N1031" s="69" t="e" vm="1">
        <v>#VALUE!</v>
      </c>
      <c r="O1031" s="84">
        <v>44958</v>
      </c>
      <c r="P1031" s="82" t="s">
        <v>1629</v>
      </c>
      <c r="Q1031" s="72" t="s">
        <v>623</v>
      </c>
      <c r="R1031" s="162"/>
      <c r="S1031" s="146" t="s">
        <v>3896</v>
      </c>
      <c r="T1031" s="68" t="s">
        <v>155</v>
      </c>
      <c r="U1031" s="87"/>
      <c r="V1031" s="80">
        <v>44959</v>
      </c>
      <c r="W1031" s="150"/>
      <c r="X1031" s="150"/>
      <c r="Y1031" s="83" t="str">
        <f>IF(SUM(W1031:W1031)&gt;0,X1031/SUM(W1031:W1031)*1000000,"N/A")</f>
        <v>N/A</v>
      </c>
      <c r="Z1031" s="80"/>
      <c r="AA1031" s="80"/>
      <c r="AB1031" s="73"/>
      <c r="AC1031" s="153"/>
      <c r="AD1031" s="331"/>
      <c r="AE1031" s="57"/>
      <c r="AF1031" s="88"/>
      <c r="AG1031" s="182">
        <f>YEAR(V1031)</f>
        <v>2023</v>
      </c>
      <c r="AH1031" s="86" t="str">
        <f>+IF(AF1031=$AI$22,MONTH(U1031),"")</f>
        <v/>
      </c>
      <c r="AI1031" s="86" t="str">
        <f>+IF(AG1031=$AI$22,MONTH(V1031),"")</f>
        <v/>
      </c>
      <c r="AJ1031" s="86" t="str">
        <f>+IF(AG1031=$AJ$22,MONTH(V1031),"")</f>
        <v/>
      </c>
      <c r="AK1031" s="86">
        <f>+IF(AG1031=$AK$22,MONTH(V1031),"")</f>
        <v>2</v>
      </c>
      <c r="AL1031" s="86" t="str">
        <f>+IF(AG1031=$AL$22,MONTH(V1031),"")</f>
        <v/>
      </c>
      <c r="AM1031" s="86" t="str">
        <f>+IF($AG1031=$AM$22,MONTH($D1031),"")</f>
        <v/>
      </c>
      <c r="AN1031" s="89" t="str">
        <f>+IF($AG1031=AN$22,MONTH($D1031),"")</f>
        <v/>
      </c>
      <c r="AO1031" s="89" t="str">
        <f>+IF($AG1031=AO$22,MONTH($D1031),"")</f>
        <v/>
      </c>
      <c r="AP1031" s="89" t="str">
        <f>+IF($AG1031=AP$22,MONTH($D1031),"")</f>
        <v/>
      </c>
      <c r="AQ1031" s="89" t="str">
        <f>+IF($AG1031=AQ$22,MONTH($D1031),"")</f>
        <v/>
      </c>
      <c r="AR1031" s="89" t="str">
        <f>+IF($AG1031=AR$22,MONTH($D1031),"")</f>
        <v/>
      </c>
      <c r="AS1031" s="89" t="str">
        <f>+IF($AG1031=AS$22,MONTH($D1031),"")</f>
        <v/>
      </c>
      <c r="AT1031" s="89" t="str">
        <f>+IF($AG1031=AT$22,MONTH($D1031),"")</f>
        <v/>
      </c>
      <c r="AU1031" s="89" t="str">
        <f>+IF($AG1031=AU$22,MONTH($D1031),"")</f>
        <v/>
      </c>
      <c r="AV1031" s="89" t="str">
        <f>+IF($AG1031=AV$22,MONTH($D1031),"")</f>
        <v/>
      </c>
      <c r="AW1031" s="86" t="str">
        <f>+IF($AG1031=AW$22,MONTH($D1031),"")</f>
        <v/>
      </c>
      <c r="AX1031" s="86" t="str">
        <f>+IF($AG1031=AX$22,MONTH($D1031),"")</f>
        <v/>
      </c>
      <c r="AY1031" s="89"/>
      <c r="AZ1031" s="89"/>
      <c r="BA1031" s="89"/>
      <c r="BB1031" s="89"/>
      <c r="BC1031" s="89"/>
      <c r="BD1031" s="89"/>
      <c r="BE1031" s="89"/>
      <c r="BF1031" s="89"/>
      <c r="BG1031" s="89"/>
      <c r="BH1031" s="89"/>
      <c r="BI1031" s="89"/>
      <c r="BJ1031" s="89"/>
      <c r="BK1031" s="89"/>
      <c r="BL1031" s="89"/>
      <c r="BM1031" s="89"/>
      <c r="BN1031" s="182"/>
      <c r="BO1031" s="182"/>
      <c r="BP1031" s="182"/>
    </row>
    <row r="1032" spans="1:68" s="56" customFormat="1" ht="53.25" hidden="1">
      <c r="A1032" s="204" t="str">
        <f>+IFERROR(VALUE(MID(AB1032,4,4)),"")</f>
        <v/>
      </c>
      <c r="B1032" s="204">
        <f>VALUE(RIGHT(C1032,LEN(C1032)-2))</f>
        <v>1691</v>
      </c>
      <c r="C1032" s="74" t="s">
        <v>3897</v>
      </c>
      <c r="D1032" s="75">
        <v>44957</v>
      </c>
      <c r="E1032" s="70" t="s">
        <v>277</v>
      </c>
      <c r="F1032" s="70" t="s">
        <v>277</v>
      </c>
      <c r="G1032" s="68" t="s">
        <v>3898</v>
      </c>
      <c r="H1032" s="59" t="s">
        <v>3899</v>
      </c>
      <c r="I1032" s="69" t="s">
        <v>3900</v>
      </c>
      <c r="J1032" s="69"/>
      <c r="K1032" s="68" t="s">
        <v>12</v>
      </c>
      <c r="L1032" s="69" t="s">
        <v>120</v>
      </c>
      <c r="M1032" s="71" t="s">
        <v>141</v>
      </c>
      <c r="N1032" s="69" t="e" vm="1">
        <v>#VALUE!</v>
      </c>
      <c r="O1032" s="84">
        <v>44958</v>
      </c>
      <c r="P1032" s="82" t="s">
        <v>2852</v>
      </c>
      <c r="Q1032" s="72" t="s">
        <v>229</v>
      </c>
      <c r="R1032" s="162"/>
      <c r="S1032" s="146" t="s">
        <v>3901</v>
      </c>
      <c r="T1032" s="68" t="s">
        <v>165</v>
      </c>
      <c r="U1032" s="87"/>
      <c r="V1032" s="80">
        <v>45303</v>
      </c>
      <c r="W1032" s="73">
        <v>242</v>
      </c>
      <c r="X1032" s="73">
        <v>11.3</v>
      </c>
      <c r="Y1032" s="83">
        <f>IF(SUM(W1032:W1032)&gt;0,X1032/SUM(W1032:W1032)*1000000,"N/A")</f>
        <v>46694.21487603306</v>
      </c>
      <c r="Z1032" s="80"/>
      <c r="AA1032" s="80"/>
      <c r="AB1032" s="73"/>
      <c r="AC1032" s="153"/>
      <c r="AD1032" s="331"/>
      <c r="AE1032" s="57"/>
      <c r="AF1032" s="88"/>
      <c r="AG1032" s="182">
        <f>YEAR(V1032)</f>
        <v>2024</v>
      </c>
      <c r="AH1032" s="86" t="str">
        <f>+IF(AF1032=$AI$22,MONTH(U1032),"")</f>
        <v/>
      </c>
      <c r="AI1032" s="86" t="str">
        <f>+IF(AG1032=$AI$22,MONTH(V1032),"")</f>
        <v/>
      </c>
      <c r="AJ1032" s="86">
        <f>+IF(AG1032=$AJ$22,MONTH(V1032),"")</f>
        <v>1</v>
      </c>
      <c r="AK1032" s="86" t="str">
        <f>+IF(AG1032=$AK$22,MONTH(V1032),"")</f>
        <v/>
      </c>
      <c r="AL1032" s="86" t="str">
        <f>+IF(AG1032=$AL$22,MONTH(V1032),"")</f>
        <v/>
      </c>
      <c r="AM1032" s="86" t="str">
        <f>+IF($AG1032=$AM$22,MONTH($D1032),"")</f>
        <v/>
      </c>
      <c r="AN1032" s="89" t="str">
        <f>+IF($AG1032=AN$22,MONTH($D1032),"")</f>
        <v/>
      </c>
      <c r="AO1032" s="89" t="str">
        <f>+IF($AG1032=AO$22,MONTH($D1032),"")</f>
        <v/>
      </c>
      <c r="AP1032" s="89" t="str">
        <f>+IF($AG1032=AP$22,MONTH($D1032),"")</f>
        <v/>
      </c>
      <c r="AQ1032" s="89" t="str">
        <f>+IF($AG1032=AQ$22,MONTH($D1032),"")</f>
        <v/>
      </c>
      <c r="AR1032" s="89" t="str">
        <f>+IF($AG1032=AR$22,MONTH($D1032),"")</f>
        <v/>
      </c>
      <c r="AS1032" s="89" t="str">
        <f>+IF($AG1032=AS$22,MONTH($D1032),"")</f>
        <v/>
      </c>
      <c r="AT1032" s="89" t="str">
        <f>+IF($AG1032=AT$22,MONTH($D1032),"")</f>
        <v/>
      </c>
      <c r="AU1032" s="89" t="str">
        <f>+IF($AG1032=AU$22,MONTH($D1032),"")</f>
        <v/>
      </c>
      <c r="AV1032" s="89" t="str">
        <f>+IF($AG1032=AV$22,MONTH($D1032),"")</f>
        <v/>
      </c>
      <c r="AW1032" s="86" t="str">
        <f>+IF($AG1032=AW$22,MONTH($D1032),"")</f>
        <v/>
      </c>
      <c r="AX1032" s="86" t="str">
        <f>+IF($AG1032=AX$22,MONTH($D1032),"")</f>
        <v/>
      </c>
      <c r="AY1032" s="89"/>
      <c r="AZ1032" s="89"/>
      <c r="BA1032" s="89"/>
      <c r="BB1032" s="89"/>
      <c r="BC1032" s="89"/>
      <c r="BD1032" s="89"/>
      <c r="BE1032" s="89"/>
      <c r="BF1032" s="89"/>
      <c r="BG1032" s="89"/>
      <c r="BH1032" s="89"/>
      <c r="BI1032" s="89"/>
      <c r="BJ1032" s="89"/>
      <c r="BK1032" s="89"/>
      <c r="BL1032" s="89"/>
      <c r="BM1032" s="89"/>
      <c r="BN1032" s="89"/>
      <c r="BO1032" s="89"/>
      <c r="BP1032" s="89"/>
    </row>
    <row r="1033" spans="1:68" s="56" customFormat="1" ht="27" hidden="1">
      <c r="A1033" s="204">
        <f>+IFERROR(VALUE(MID(AB1033,4,4)),"")</f>
        <v>265</v>
      </c>
      <c r="B1033" s="204">
        <f>VALUE(RIGHT(C1033,LEN(C1033)-2))</f>
        <v>1690</v>
      </c>
      <c r="C1033" s="74" t="s">
        <v>3902</v>
      </c>
      <c r="D1033" s="75">
        <v>44956</v>
      </c>
      <c r="E1033" s="70" t="s">
        <v>332</v>
      </c>
      <c r="F1033" s="70" t="s">
        <v>332</v>
      </c>
      <c r="G1033" s="68" t="s">
        <v>3818</v>
      </c>
      <c r="H1033" s="59"/>
      <c r="I1033" s="69" t="s">
        <v>3903</v>
      </c>
      <c r="J1033" s="69"/>
      <c r="K1033" s="68" t="s">
        <v>13</v>
      </c>
      <c r="L1033" s="69" t="s">
        <v>129</v>
      </c>
      <c r="M1033" s="71" t="s">
        <v>141</v>
      </c>
      <c r="N1033" s="69" t="e" vm="1">
        <v>#VALUE!</v>
      </c>
      <c r="O1033" s="84">
        <v>44960</v>
      </c>
      <c r="P1033" s="72" t="s">
        <v>285</v>
      </c>
      <c r="Q1033" s="82" t="s">
        <v>229</v>
      </c>
      <c r="R1033" s="69"/>
      <c r="S1033" s="146"/>
      <c r="T1033" s="68" t="s">
        <v>3</v>
      </c>
      <c r="U1033" s="87"/>
      <c r="V1033" s="80">
        <v>44963</v>
      </c>
      <c r="W1033" s="73">
        <v>3076</v>
      </c>
      <c r="X1033" s="73">
        <f>3094*35300/1000000</f>
        <v>109.2182</v>
      </c>
      <c r="Y1033" s="83">
        <f>IF(SUM(W1033:W1033)&gt;0,X1033/SUM(W1033:W1033)*1000000,"N/A")</f>
        <v>35506.566970091022</v>
      </c>
      <c r="Z1033" s="80"/>
      <c r="AA1033" s="80"/>
      <c r="AB1033" s="73" t="s">
        <v>3904</v>
      </c>
      <c r="AC1033" s="153"/>
      <c r="AD1033" s="331"/>
      <c r="AE1033" s="57"/>
      <c r="AF1033" s="88"/>
      <c r="AG1033" s="182">
        <f>YEAR(V1033)</f>
        <v>2023</v>
      </c>
      <c r="AH1033" s="86" t="str">
        <f>+IF(AF1033=$AI$22,MONTH(U1033),"")</f>
        <v/>
      </c>
      <c r="AI1033" s="86" t="str">
        <f>+IF(AG1033=$AI$22,MONTH(V1033),"")</f>
        <v/>
      </c>
      <c r="AJ1033" s="86" t="str">
        <f>+IF(AG1033=$AJ$22,MONTH(V1033),"")</f>
        <v/>
      </c>
      <c r="AK1033" s="86">
        <f>+IF(AG1033=$AK$22,MONTH(V1033),"")</f>
        <v>2</v>
      </c>
      <c r="AL1033" s="86" t="str">
        <f>+IF(AG1033=$AL$22,MONTH(V1033),"")</f>
        <v/>
      </c>
      <c r="AM1033" s="86" t="str">
        <f>+IF($AG1033=$AM$22,MONTH($D1033),"")</f>
        <v/>
      </c>
      <c r="AN1033" s="89" t="str">
        <f>+IF($AG1033=AN$22,MONTH($D1033),"")</f>
        <v/>
      </c>
      <c r="AO1033" s="89" t="str">
        <f>+IF($AG1033=AO$22,MONTH($D1033),"")</f>
        <v/>
      </c>
      <c r="AP1033" s="89" t="str">
        <f>+IF($AG1033=AP$22,MONTH($D1033),"")</f>
        <v/>
      </c>
      <c r="AQ1033" s="89" t="str">
        <f>+IF($AG1033=AQ$22,MONTH($D1033),"")</f>
        <v/>
      </c>
      <c r="AR1033" s="89" t="str">
        <f>+IF($AG1033=AR$22,MONTH($D1033),"")</f>
        <v/>
      </c>
      <c r="AS1033" s="89" t="str">
        <f>+IF($AG1033=AS$22,MONTH($D1033),"")</f>
        <v/>
      </c>
      <c r="AT1033" s="89" t="str">
        <f>+IF($AG1033=AT$22,MONTH($D1033),"")</f>
        <v/>
      </c>
      <c r="AU1033" s="89" t="str">
        <f>+IF($AG1033=AU$22,MONTH($D1033),"")</f>
        <v/>
      </c>
      <c r="AV1033" s="89" t="str">
        <f>+IF($AG1033=AV$22,MONTH($D1033),"")</f>
        <v/>
      </c>
      <c r="AW1033" s="86" t="str">
        <f>+IF($AG1033=AW$22,MONTH($D1033),"")</f>
        <v/>
      </c>
      <c r="AX1033" s="86" t="str">
        <f>+IF($AG1033=AX$22,MONTH($D1033),"")</f>
        <v/>
      </c>
      <c r="AY1033" s="89"/>
      <c r="AZ1033" s="89"/>
      <c r="BA1033" s="89"/>
      <c r="BB1033" s="89"/>
      <c r="BC1033" s="89"/>
      <c r="BD1033" s="89"/>
      <c r="BE1033" s="89"/>
      <c r="BF1033" s="89"/>
      <c r="BG1033" s="89"/>
      <c r="BH1033" s="89"/>
      <c r="BI1033" s="89"/>
      <c r="BJ1033" s="89"/>
      <c r="BK1033" s="89"/>
      <c r="BL1033" s="89"/>
      <c r="BM1033" s="89"/>
      <c r="BN1033" s="89"/>
      <c r="BO1033" s="89"/>
      <c r="BP1033" s="89"/>
    </row>
    <row r="1034" spans="1:68" s="56" customFormat="1" ht="27" hidden="1">
      <c r="A1034" s="204">
        <f>+IFERROR(VALUE(MID(AB1034,4,4)),"")</f>
        <v>276</v>
      </c>
      <c r="B1034" s="204">
        <f>VALUE(RIGHT(C1034,LEN(C1034)-2))</f>
        <v>1689</v>
      </c>
      <c r="C1034" s="74" t="s">
        <v>3905</v>
      </c>
      <c r="D1034" s="75">
        <v>44951</v>
      </c>
      <c r="E1034" s="70" t="s">
        <v>394</v>
      </c>
      <c r="F1034" s="70" t="s">
        <v>395</v>
      </c>
      <c r="G1034" s="68" t="s">
        <v>3906</v>
      </c>
      <c r="H1034" s="59" t="s">
        <v>3907</v>
      </c>
      <c r="I1034" s="69" t="s">
        <v>3908</v>
      </c>
      <c r="J1034" s="69"/>
      <c r="K1034" s="95" t="s">
        <v>13</v>
      </c>
      <c r="L1034" s="69" t="s">
        <v>129</v>
      </c>
      <c r="M1034" s="71" t="s">
        <v>141</v>
      </c>
      <c r="N1034" s="69" t="e" vm="1">
        <v>#VALUE!</v>
      </c>
      <c r="O1034" s="84">
        <v>44951</v>
      </c>
      <c r="P1034" s="82" t="s">
        <v>1058</v>
      </c>
      <c r="Q1034" s="82" t="s">
        <v>229</v>
      </c>
      <c r="R1034" s="69"/>
      <c r="S1034" s="146" t="s">
        <v>3909</v>
      </c>
      <c r="T1034" s="68" t="s">
        <v>3</v>
      </c>
      <c r="U1034" s="87"/>
      <c r="V1034" s="80">
        <v>44953</v>
      </c>
      <c r="W1034" s="73"/>
      <c r="X1034" s="73"/>
      <c r="Y1034" s="83" t="str">
        <f>IF(SUM(W1034:W1034)&gt;0,X1034/SUM(W1034:W1034)*1000000,"N/A")</f>
        <v>N/A</v>
      </c>
      <c r="Z1034" s="80"/>
      <c r="AA1034" s="80"/>
      <c r="AB1034" s="73" t="s">
        <v>3910</v>
      </c>
      <c r="AC1034" s="153"/>
      <c r="AD1034" s="331"/>
      <c r="AE1034" s="57"/>
      <c r="AF1034" s="88"/>
      <c r="AG1034" s="182">
        <f>YEAR(V1034)</f>
        <v>2023</v>
      </c>
      <c r="AH1034" s="86" t="str">
        <f>+IF(AF1034=$AI$22,MONTH(U1034),"")</f>
        <v/>
      </c>
      <c r="AI1034" s="86" t="str">
        <f>+IF(AG1034=$AI$22,MONTH(V1034),"")</f>
        <v/>
      </c>
      <c r="AJ1034" s="86" t="str">
        <f>+IF(AG1034=$AJ$22,MONTH(V1034),"")</f>
        <v/>
      </c>
      <c r="AK1034" s="86">
        <f>+IF(AG1034=$AK$22,MONTH(V1034),"")</f>
        <v>1</v>
      </c>
      <c r="AL1034" s="86" t="str">
        <f>+IF(AG1034=$AL$22,MONTH(V1034),"")</f>
        <v/>
      </c>
      <c r="AM1034" s="86" t="str">
        <f>+IF($AG1034=$AM$22,MONTH($D1034),"")</f>
        <v/>
      </c>
      <c r="AN1034" s="89" t="str">
        <f>+IF($AG1034=AN$22,MONTH($D1034),"")</f>
        <v/>
      </c>
      <c r="AO1034" s="89" t="str">
        <f>+IF($AG1034=AO$22,MONTH($D1034),"")</f>
        <v/>
      </c>
      <c r="AP1034" s="89" t="str">
        <f>+IF($AG1034=AP$22,MONTH($D1034),"")</f>
        <v/>
      </c>
      <c r="AQ1034" s="89" t="str">
        <f>+IF($AG1034=AQ$22,MONTH($D1034),"")</f>
        <v/>
      </c>
      <c r="AR1034" s="89" t="str">
        <f>+IF($AG1034=AR$22,MONTH($D1034),"")</f>
        <v/>
      </c>
      <c r="AS1034" s="89" t="str">
        <f>+IF($AG1034=AS$22,MONTH($D1034),"")</f>
        <v/>
      </c>
      <c r="AT1034" s="89" t="str">
        <f>+IF($AG1034=AT$22,MONTH($D1034),"")</f>
        <v/>
      </c>
      <c r="AU1034" s="89" t="str">
        <f>+IF($AG1034=AU$22,MONTH($D1034),"")</f>
        <v/>
      </c>
      <c r="AV1034" s="89" t="str">
        <f>+IF($AG1034=AV$22,MONTH($D1034),"")</f>
        <v/>
      </c>
      <c r="AW1034" s="86" t="str">
        <f>+IF($AG1034=AW$22,MONTH($D1034),"")</f>
        <v/>
      </c>
      <c r="AX1034" s="86" t="str">
        <f>+IF($AG1034=AX$22,MONTH($D1034),"")</f>
        <v/>
      </c>
      <c r="AY1034" s="89"/>
      <c r="AZ1034" s="89"/>
      <c r="BA1034" s="89"/>
      <c r="BB1034" s="89"/>
      <c r="BC1034" s="89"/>
      <c r="BD1034" s="89"/>
      <c r="BE1034" s="89"/>
      <c r="BF1034" s="89"/>
      <c r="BG1034" s="89"/>
      <c r="BH1034" s="89"/>
      <c r="BI1034" s="89"/>
      <c r="BJ1034" s="89"/>
      <c r="BK1034" s="89"/>
      <c r="BL1034" s="89"/>
      <c r="BM1034" s="89"/>
      <c r="BN1034" s="89"/>
      <c r="BO1034" s="89"/>
      <c r="BP1034" s="89"/>
    </row>
    <row r="1035" spans="1:68" s="56" customFormat="1" ht="13.5" hidden="1">
      <c r="A1035" s="204" t="str">
        <f>+IFERROR(VALUE(MID(AB1035,4,4)),"")</f>
        <v/>
      </c>
      <c r="B1035" s="204">
        <f>VALUE(RIGHT(C1035,LEN(C1035)-2))</f>
        <v>1688</v>
      </c>
      <c r="C1035" s="74" t="s">
        <v>3911</v>
      </c>
      <c r="D1035" s="75">
        <v>44944</v>
      </c>
      <c r="E1035" s="70" t="s">
        <v>479</v>
      </c>
      <c r="F1035" s="70" t="s">
        <v>479</v>
      </c>
      <c r="G1035" s="68" t="s">
        <v>2723</v>
      </c>
      <c r="H1035" s="59"/>
      <c r="I1035" s="69" t="s">
        <v>3912</v>
      </c>
      <c r="J1035" s="69"/>
      <c r="K1035" s="68" t="s">
        <v>9</v>
      </c>
      <c r="L1035" s="69" t="s">
        <v>129</v>
      </c>
      <c r="M1035" s="71" t="s">
        <v>113</v>
      </c>
      <c r="N1035" s="69" t="e" vm="2">
        <v>#VALUE!</v>
      </c>
      <c r="O1035" s="84">
        <v>44950</v>
      </c>
      <c r="P1035" s="72" t="s">
        <v>402</v>
      </c>
      <c r="Q1035" s="72" t="s">
        <v>13</v>
      </c>
      <c r="R1035" s="162"/>
      <c r="S1035" s="146"/>
      <c r="T1035" s="68" t="s">
        <v>155</v>
      </c>
      <c r="U1035" s="87"/>
      <c r="V1035" s="80">
        <v>44950</v>
      </c>
      <c r="W1035" s="73"/>
      <c r="X1035" s="73"/>
      <c r="Y1035" s="83" t="str">
        <f>IF(SUM(W1035:W1035)&gt;0,X1035/SUM(W1035:W1035)*1000000,"N/A")</f>
        <v>N/A</v>
      </c>
      <c r="Z1035" s="80"/>
      <c r="AA1035" s="80"/>
      <c r="AB1035" s="73"/>
      <c r="AC1035" s="153"/>
      <c r="AD1035" s="331"/>
      <c r="AE1035" s="57"/>
      <c r="AF1035" s="88"/>
      <c r="AG1035" s="182">
        <f>YEAR(V1035)</f>
        <v>2023</v>
      </c>
      <c r="AH1035" s="86" t="str">
        <f>+IF(AF1035=$AI$22,MONTH(U1035),"")</f>
        <v/>
      </c>
      <c r="AI1035" s="86" t="str">
        <f>+IF(AG1035=$AI$22,MONTH(V1035),"")</f>
        <v/>
      </c>
      <c r="AJ1035" s="86" t="str">
        <f>+IF(AG1035=$AJ$22,MONTH(V1035),"")</f>
        <v/>
      </c>
      <c r="AK1035" s="86">
        <f>+IF(AG1035=$AK$22,MONTH(V1035),"")</f>
        <v>1</v>
      </c>
      <c r="AL1035" s="86" t="str">
        <f>+IF(AG1035=$AL$22,MONTH(V1035),"")</f>
        <v/>
      </c>
      <c r="AM1035" s="86" t="str">
        <f>+IF($AG1035=$AM$22,MONTH($D1035),"")</f>
        <v/>
      </c>
      <c r="AN1035" s="89" t="str">
        <f>+IF($AG1035=AN$22,MONTH($D1035),"")</f>
        <v/>
      </c>
      <c r="AO1035" s="89" t="str">
        <f>+IF($AG1035=AO$22,MONTH($D1035),"")</f>
        <v/>
      </c>
      <c r="AP1035" s="89" t="str">
        <f>+IF($AG1035=AP$22,MONTH($D1035),"")</f>
        <v/>
      </c>
      <c r="AQ1035" s="89" t="str">
        <f>+IF($AG1035=AQ$22,MONTH($D1035),"")</f>
        <v/>
      </c>
      <c r="AR1035" s="89" t="str">
        <f>+IF($AG1035=AR$22,MONTH($D1035),"")</f>
        <v/>
      </c>
      <c r="AS1035" s="89" t="str">
        <f>+IF($AG1035=AS$22,MONTH($D1035),"")</f>
        <v/>
      </c>
      <c r="AT1035" s="89" t="str">
        <f>+IF($AG1035=AT$22,MONTH($D1035),"")</f>
        <v/>
      </c>
      <c r="AU1035" s="89" t="str">
        <f>+IF($AG1035=AU$22,MONTH($D1035),"")</f>
        <v/>
      </c>
      <c r="AV1035" s="89" t="str">
        <f>+IF($AG1035=AV$22,MONTH($D1035),"")</f>
        <v/>
      </c>
      <c r="AW1035" s="86" t="str">
        <f>+IF($AG1035=AW$22,MONTH($D1035),"")</f>
        <v/>
      </c>
      <c r="AX1035" s="86" t="str">
        <f>+IF($AG1035=AX$22,MONTH($D1035),"")</f>
        <v/>
      </c>
      <c r="AY1035" s="89"/>
      <c r="AZ1035" s="89"/>
      <c r="BA1035" s="89"/>
      <c r="BB1035" s="89"/>
      <c r="BC1035" s="89"/>
      <c r="BD1035" s="89"/>
      <c r="BE1035" s="89"/>
      <c r="BF1035" s="89"/>
      <c r="BG1035" s="89"/>
      <c r="BH1035" s="89"/>
      <c r="BI1035" s="89"/>
      <c r="BJ1035" s="89"/>
      <c r="BK1035" s="89"/>
      <c r="BL1035" s="89"/>
      <c r="BM1035" s="89"/>
      <c r="BN1035" s="89"/>
      <c r="BO1035" s="89"/>
      <c r="BP1035" s="89"/>
    </row>
    <row r="1036" spans="1:68" s="56" customFormat="1" ht="40.5" hidden="1">
      <c r="A1036" s="204" t="str">
        <f>+IFERROR(VALUE(MID(AB1036,4,4)),"")</f>
        <v/>
      </c>
      <c r="B1036" s="204">
        <f>VALUE(RIGHT(C1036,LEN(C1036)-2))</f>
        <v>1687</v>
      </c>
      <c r="C1036" s="74" t="s">
        <v>3913</v>
      </c>
      <c r="D1036" s="75">
        <v>44950</v>
      </c>
      <c r="E1036" s="70" t="s">
        <v>3914</v>
      </c>
      <c r="F1036" s="70" t="s">
        <v>3915</v>
      </c>
      <c r="G1036" s="68" t="s">
        <v>3916</v>
      </c>
      <c r="H1036" s="59" t="s">
        <v>3917</v>
      </c>
      <c r="I1036" s="69" t="s">
        <v>3918</v>
      </c>
      <c r="J1036" s="69"/>
      <c r="K1036" s="68" t="s">
        <v>90</v>
      </c>
      <c r="L1036" s="69" t="s">
        <v>120</v>
      </c>
      <c r="M1036" s="71" t="s">
        <v>141</v>
      </c>
      <c r="N1036" s="69" t="e" vm="1">
        <v>#VALUE!</v>
      </c>
      <c r="O1036" s="84">
        <v>44951</v>
      </c>
      <c r="P1036" s="72" t="s">
        <v>2852</v>
      </c>
      <c r="Q1036" s="72" t="s">
        <v>275</v>
      </c>
      <c r="R1036" s="162"/>
      <c r="S1036" s="146"/>
      <c r="T1036" s="68" t="s">
        <v>165</v>
      </c>
      <c r="U1036" s="87"/>
      <c r="V1036" s="80">
        <v>45448</v>
      </c>
      <c r="W1036" s="73">
        <v>36</v>
      </c>
      <c r="X1036" s="73">
        <v>1.6</v>
      </c>
      <c r="Y1036" s="169">
        <f>IF(SUM(W1036:W1036)&gt;0,X1036/SUM(W1036:W1036)*1000000,"N/A")</f>
        <v>44444.444444444445</v>
      </c>
      <c r="Z1036" s="80"/>
      <c r="AA1036" s="80"/>
      <c r="AB1036" s="73"/>
      <c r="AC1036" s="153"/>
      <c r="AD1036" s="331"/>
      <c r="AE1036" s="57"/>
      <c r="AF1036" s="88"/>
      <c r="AG1036" s="182">
        <f>YEAR(V1036)</f>
        <v>2024</v>
      </c>
      <c r="AH1036" s="86" t="str">
        <f>+IF(AF1036=$AI$22,MONTH(U1036),"")</f>
        <v/>
      </c>
      <c r="AI1036" s="86" t="str">
        <f>+IF(AG1036=$AI$22,MONTH(V1036),"")</f>
        <v/>
      </c>
      <c r="AJ1036" s="86">
        <f>+IF(AG1036=$AJ$22,MONTH(V1036),"")</f>
        <v>6</v>
      </c>
      <c r="AK1036" s="86" t="str">
        <f>+IF(AG1036=$AK$22,MONTH(V1036),"")</f>
        <v/>
      </c>
      <c r="AL1036" s="86" t="str">
        <f>+IF(AG1036=$AL$22,MONTH(V1036),"")</f>
        <v/>
      </c>
      <c r="AM1036" s="86" t="str">
        <f>+IF($AG1036=$AM$22,MONTH($D1036),"")</f>
        <v/>
      </c>
      <c r="AN1036" s="89" t="str">
        <f>+IF($AG1036=AN$22,MONTH($D1036),"")</f>
        <v/>
      </c>
      <c r="AO1036" s="89" t="str">
        <f>+IF($AG1036=AO$22,MONTH($D1036),"")</f>
        <v/>
      </c>
      <c r="AP1036" s="89" t="str">
        <f>+IF($AG1036=AP$22,MONTH($D1036),"")</f>
        <v/>
      </c>
      <c r="AQ1036" s="89" t="str">
        <f>+IF($AG1036=AQ$22,MONTH($D1036),"")</f>
        <v/>
      </c>
      <c r="AR1036" s="89" t="str">
        <f>+IF($AG1036=AR$22,MONTH($D1036),"")</f>
        <v/>
      </c>
      <c r="AS1036" s="89" t="str">
        <f>+IF($AG1036=AS$22,MONTH($D1036),"")</f>
        <v/>
      </c>
      <c r="AT1036" s="89" t="str">
        <f>+IF($AG1036=AT$22,MONTH($D1036),"")</f>
        <v/>
      </c>
      <c r="AU1036" s="89" t="str">
        <f>+IF($AG1036=AU$22,MONTH($D1036),"")</f>
        <v/>
      </c>
      <c r="AV1036" s="89" t="str">
        <f>+IF($AG1036=AV$22,MONTH($D1036),"")</f>
        <v/>
      </c>
      <c r="AW1036" s="86" t="str">
        <f>+IF($AG1036=AW$22,MONTH($D1036),"")</f>
        <v/>
      </c>
      <c r="AX1036" s="86" t="str">
        <f>+IF($AG1036=AX$22,MONTH($D1036),"")</f>
        <v/>
      </c>
      <c r="AY1036" s="89"/>
      <c r="AZ1036" s="89"/>
      <c r="BA1036" s="89"/>
      <c r="BB1036" s="89"/>
      <c r="BC1036" s="89"/>
      <c r="BD1036" s="89"/>
      <c r="BE1036" s="89"/>
      <c r="BF1036" s="89"/>
      <c r="BG1036" s="89"/>
      <c r="BH1036" s="89"/>
      <c r="BI1036" s="89"/>
      <c r="BJ1036" s="89"/>
      <c r="BK1036" s="89"/>
      <c r="BL1036" s="89"/>
      <c r="BM1036" s="89"/>
      <c r="BN1036" s="89"/>
      <c r="BO1036" s="89"/>
      <c r="BP1036" s="89"/>
    </row>
    <row r="1037" spans="1:68" s="56" customFormat="1" ht="27" hidden="1">
      <c r="A1037" s="204" t="str">
        <f>+IFERROR(VALUE(MID(AB1037,4,4)),"")</f>
        <v/>
      </c>
      <c r="B1037" s="204">
        <f>VALUE(RIGHT(C1037,LEN(C1037)-2))</f>
        <v>1686</v>
      </c>
      <c r="C1037" s="74" t="s">
        <v>3919</v>
      </c>
      <c r="D1037" s="75">
        <v>44949</v>
      </c>
      <c r="E1037" s="70" t="s">
        <v>262</v>
      </c>
      <c r="F1037" s="70" t="s">
        <v>270</v>
      </c>
      <c r="G1037" s="68" t="s">
        <v>3810</v>
      </c>
      <c r="H1037" s="59" t="s">
        <v>3811</v>
      </c>
      <c r="I1037" s="69" t="s">
        <v>3920</v>
      </c>
      <c r="J1037" s="69"/>
      <c r="K1037" s="68" t="s">
        <v>12</v>
      </c>
      <c r="L1037" s="69" t="s">
        <v>120</v>
      </c>
      <c r="M1037" s="71" t="s">
        <v>141</v>
      </c>
      <c r="N1037" s="69" t="e" vm="1">
        <v>#VALUE!</v>
      </c>
      <c r="O1037" s="84">
        <v>44952</v>
      </c>
      <c r="P1037" s="82" t="s">
        <v>2852</v>
      </c>
      <c r="Q1037" s="82" t="s">
        <v>1097</v>
      </c>
      <c r="R1037" s="69"/>
      <c r="S1037" s="146"/>
      <c r="T1037" s="68" t="s">
        <v>168</v>
      </c>
      <c r="U1037" s="87"/>
      <c r="V1037" s="80">
        <v>45022</v>
      </c>
      <c r="W1037" s="73"/>
      <c r="X1037" s="73"/>
      <c r="Y1037" s="169" t="str">
        <f>IF(SUM(W1037:W1037)&gt;0,X1037/SUM(W1037:W1037)*1000000,"N/A")</f>
        <v>N/A</v>
      </c>
      <c r="Z1037" s="80"/>
      <c r="AA1037" s="80"/>
      <c r="AB1037" s="73"/>
      <c r="AC1037" s="153"/>
      <c r="AD1037" s="331"/>
      <c r="AE1037" s="57"/>
      <c r="AF1037" s="88" t="s">
        <v>3921</v>
      </c>
      <c r="AG1037" s="182">
        <f>YEAR(V1037)</f>
        <v>2023</v>
      </c>
      <c r="AH1037" s="86" t="str">
        <f>+IF(AF1037=$AI$22,MONTH(U1037),"")</f>
        <v/>
      </c>
      <c r="AI1037" s="86" t="str">
        <f>+IF(AG1037=$AI$22,MONTH(V1037),"")</f>
        <v/>
      </c>
      <c r="AJ1037" s="86" t="str">
        <f>+IF(AG1037=$AJ$22,MONTH(V1037),"")</f>
        <v/>
      </c>
      <c r="AK1037" s="86">
        <f>+IF(AG1037=$AK$22,MONTH(V1037),"")</f>
        <v>4</v>
      </c>
      <c r="AL1037" s="86" t="str">
        <f>+IF(AG1037=$AL$22,MONTH(V1037),"")</f>
        <v/>
      </c>
      <c r="AM1037" s="86" t="str">
        <f>+IF($AG1037=$AM$22,MONTH($D1037),"")</f>
        <v/>
      </c>
      <c r="AN1037" s="89" t="str">
        <f>+IF($AG1037=AN$22,MONTH($D1037),"")</f>
        <v/>
      </c>
      <c r="AO1037" s="89" t="str">
        <f>+IF($AG1037=AO$22,MONTH($D1037),"")</f>
        <v/>
      </c>
      <c r="AP1037" s="89" t="str">
        <f>+IF($AG1037=AP$22,MONTH($D1037),"")</f>
        <v/>
      </c>
      <c r="AQ1037" s="89" t="str">
        <f>+IF($AG1037=AQ$22,MONTH($D1037),"")</f>
        <v/>
      </c>
      <c r="AR1037" s="89" t="str">
        <f>+IF($AG1037=AR$22,MONTH($D1037),"")</f>
        <v/>
      </c>
      <c r="AS1037" s="89" t="str">
        <f>+IF($AG1037=AS$22,MONTH($D1037),"")</f>
        <v/>
      </c>
      <c r="AT1037" s="89" t="str">
        <f>+IF($AG1037=AT$22,MONTH($D1037),"")</f>
        <v/>
      </c>
      <c r="AU1037" s="89" t="str">
        <f>+IF($AG1037=AU$22,MONTH($D1037),"")</f>
        <v/>
      </c>
      <c r="AV1037" s="89" t="str">
        <f>+IF($AG1037=AV$22,MONTH($D1037),"")</f>
        <v/>
      </c>
      <c r="AW1037" s="86" t="str">
        <f>+IF($AG1037=AW$22,MONTH($D1037),"")</f>
        <v/>
      </c>
      <c r="AX1037" s="86" t="str">
        <f>+IF($AG1037=AX$22,MONTH($D1037),"")</f>
        <v/>
      </c>
      <c r="AY1037" s="89"/>
      <c r="AZ1037" s="89"/>
      <c r="BA1037" s="89"/>
      <c r="BB1037" s="89"/>
      <c r="BC1037" s="89"/>
      <c r="BD1037" s="89"/>
      <c r="BE1037" s="89"/>
      <c r="BF1037" s="89"/>
      <c r="BG1037" s="89"/>
      <c r="BH1037" s="89"/>
      <c r="BI1037" s="89"/>
      <c r="BJ1037" s="89"/>
      <c r="BK1037" s="89"/>
      <c r="BL1037" s="89"/>
      <c r="BM1037" s="89"/>
      <c r="BN1037" s="89"/>
      <c r="BO1037" s="89"/>
      <c r="BP1037" s="89"/>
    </row>
    <row r="1038" spans="1:68" s="56" customFormat="1" ht="53.25" hidden="1">
      <c r="A1038" s="204" t="str">
        <f>+IFERROR(VALUE(MID(AB1038,4,4)),"")</f>
        <v/>
      </c>
      <c r="B1038" s="204">
        <f>VALUE(RIGHT(C1038,LEN(C1038)-2))</f>
        <v>1685</v>
      </c>
      <c r="C1038" s="74" t="s">
        <v>3922</v>
      </c>
      <c r="D1038" s="75">
        <v>44949</v>
      </c>
      <c r="E1038" s="70" t="s">
        <v>262</v>
      </c>
      <c r="F1038" s="70" t="s">
        <v>270</v>
      </c>
      <c r="G1038" s="68" t="s">
        <v>3810</v>
      </c>
      <c r="H1038" s="59" t="s">
        <v>3811</v>
      </c>
      <c r="I1038" s="69" t="s">
        <v>3812</v>
      </c>
      <c r="J1038" s="69"/>
      <c r="K1038" s="68" t="s">
        <v>13</v>
      </c>
      <c r="L1038" s="69" t="s">
        <v>120</v>
      </c>
      <c r="M1038" s="71" t="s">
        <v>141</v>
      </c>
      <c r="N1038" s="69" t="e" vm="1">
        <v>#VALUE!</v>
      </c>
      <c r="O1038" s="84">
        <v>44951</v>
      </c>
      <c r="P1038" s="82" t="s">
        <v>2852</v>
      </c>
      <c r="Q1038" s="82" t="s">
        <v>1097</v>
      </c>
      <c r="R1038" s="69"/>
      <c r="S1038" s="146" t="s">
        <v>3923</v>
      </c>
      <c r="T1038" s="68" t="s">
        <v>165</v>
      </c>
      <c r="U1038" s="87"/>
      <c r="V1038" s="80">
        <v>45000</v>
      </c>
      <c r="W1038" s="73">
        <v>5278</v>
      </c>
      <c r="X1038" s="73">
        <f>6967*36000/1000000</f>
        <v>250.81200000000001</v>
      </c>
      <c r="Y1038" s="169">
        <f>IF(SUM(W1038:W1038)&gt;0,X1038/SUM(W1038:W1038)*1000000,"N/A")</f>
        <v>47520.272830617658</v>
      </c>
      <c r="Z1038" s="80"/>
      <c r="AA1038" s="80"/>
      <c r="AB1038" s="73"/>
      <c r="AC1038" s="153"/>
      <c r="AD1038" s="331"/>
      <c r="AE1038" s="57"/>
      <c r="AF1038" s="88" t="s">
        <v>3921</v>
      </c>
      <c r="AG1038" s="182">
        <f>YEAR(V1038)</f>
        <v>2023</v>
      </c>
      <c r="AH1038" s="86" t="str">
        <f>+IF(AF1038=$AI$22,MONTH(U1038),"")</f>
        <v/>
      </c>
      <c r="AI1038" s="86" t="str">
        <f>+IF(AG1038=$AI$22,MONTH(V1038),"")</f>
        <v/>
      </c>
      <c r="AJ1038" s="86" t="str">
        <f>+IF(AG1038=$AJ$22,MONTH(V1038),"")</f>
        <v/>
      </c>
      <c r="AK1038" s="86">
        <f>+IF(AG1038=$AK$22,MONTH(V1038),"")</f>
        <v>3</v>
      </c>
      <c r="AL1038" s="86" t="str">
        <f>+IF(AG1038=$AL$22,MONTH(V1038),"")</f>
        <v/>
      </c>
      <c r="AM1038" s="86" t="str">
        <f>+IF($AG1038=$AM$22,MONTH($D1038),"")</f>
        <v/>
      </c>
      <c r="AN1038" s="89" t="str">
        <f>+IF($AG1038=AN$22,MONTH($D1038),"")</f>
        <v/>
      </c>
      <c r="AO1038" s="89" t="str">
        <f>+IF($AG1038=AO$22,MONTH($D1038),"")</f>
        <v/>
      </c>
      <c r="AP1038" s="89" t="str">
        <f>+IF($AG1038=AP$22,MONTH($D1038),"")</f>
        <v/>
      </c>
      <c r="AQ1038" s="89" t="str">
        <f>+IF($AG1038=AQ$22,MONTH($D1038),"")</f>
        <v/>
      </c>
      <c r="AR1038" s="89" t="str">
        <f>+IF($AG1038=AR$22,MONTH($D1038),"")</f>
        <v/>
      </c>
      <c r="AS1038" s="89" t="str">
        <f>+IF($AG1038=AS$22,MONTH($D1038),"")</f>
        <v/>
      </c>
      <c r="AT1038" s="89" t="str">
        <f>+IF($AG1038=AT$22,MONTH($D1038),"")</f>
        <v/>
      </c>
      <c r="AU1038" s="89" t="str">
        <f>+IF($AG1038=AU$22,MONTH($D1038),"")</f>
        <v/>
      </c>
      <c r="AV1038" s="89" t="str">
        <f>+IF($AG1038=AV$22,MONTH($D1038),"")</f>
        <v/>
      </c>
      <c r="AW1038" s="86" t="str">
        <f>+IF($AG1038=AW$22,MONTH($D1038),"")</f>
        <v/>
      </c>
      <c r="AX1038" s="86" t="str">
        <f>+IF($AG1038=AX$22,MONTH($D1038),"")</f>
        <v/>
      </c>
      <c r="AY1038" s="89"/>
      <c r="AZ1038" s="89"/>
      <c r="BA1038" s="89"/>
      <c r="BB1038" s="89"/>
      <c r="BC1038" s="89"/>
      <c r="BD1038" s="89"/>
      <c r="BE1038" s="89"/>
      <c r="BF1038" s="89"/>
      <c r="BG1038" s="89"/>
      <c r="BH1038" s="89"/>
      <c r="BI1038" s="89"/>
      <c r="BJ1038" s="89"/>
      <c r="BK1038" s="89"/>
      <c r="BL1038" s="89"/>
      <c r="BM1038" s="89"/>
      <c r="BN1038" s="89"/>
      <c r="BO1038" s="89"/>
      <c r="BP1038" s="89"/>
    </row>
    <row r="1039" spans="1:68" s="56" customFormat="1" ht="40.5" hidden="1">
      <c r="A1039" s="204" t="str">
        <f>+IFERROR(VALUE(MID(AB1039,4,4)),"")</f>
        <v/>
      </c>
      <c r="B1039" s="204">
        <f>VALUE(RIGHT(C1039,LEN(C1039)-2))</f>
        <v>1684</v>
      </c>
      <c r="C1039" s="74" t="s">
        <v>3924</v>
      </c>
      <c r="D1039" s="75">
        <v>44958</v>
      </c>
      <c r="E1039" s="70" t="s">
        <v>76</v>
      </c>
      <c r="F1039" s="70" t="s">
        <v>255</v>
      </c>
      <c r="G1039" s="68" t="s">
        <v>3883</v>
      </c>
      <c r="H1039" s="111" t="s">
        <v>3925</v>
      </c>
      <c r="I1039" s="69" t="s">
        <v>3926</v>
      </c>
      <c r="J1039" s="69"/>
      <c r="K1039" s="68" t="s">
        <v>12</v>
      </c>
      <c r="L1039" s="69" t="s">
        <v>120</v>
      </c>
      <c r="M1039" s="71" t="s">
        <v>141</v>
      </c>
      <c r="N1039" s="69" t="e" vm="1">
        <v>#VALUE!</v>
      </c>
      <c r="O1039" s="84">
        <v>44965</v>
      </c>
      <c r="P1039" s="82" t="s">
        <v>3927</v>
      </c>
      <c r="Q1039" s="82" t="s">
        <v>623</v>
      </c>
      <c r="R1039" s="69"/>
      <c r="S1039" s="146" t="s">
        <v>3928</v>
      </c>
      <c r="T1039" s="68" t="s">
        <v>155</v>
      </c>
      <c r="U1039" s="87"/>
      <c r="V1039" s="80">
        <v>44993</v>
      </c>
      <c r="W1039" s="73"/>
      <c r="X1039" s="73"/>
      <c r="Y1039" s="83" t="str">
        <f>IF(SUM(W1039:W1039)&gt;0,X1039/SUM(W1039:W1039)*1000000,"N/A")</f>
        <v>N/A</v>
      </c>
      <c r="Z1039" s="80"/>
      <c r="AA1039" s="80"/>
      <c r="AB1039" s="73"/>
      <c r="AC1039" s="153"/>
      <c r="AD1039" s="331"/>
      <c r="AE1039" s="57"/>
      <c r="AF1039" s="88" t="s">
        <v>3929</v>
      </c>
      <c r="AG1039" s="182">
        <f>YEAR(V1039)</f>
        <v>2023</v>
      </c>
      <c r="AH1039" s="86" t="str">
        <f>+IF(AF1039=$AI$22,MONTH(U1039),"")</f>
        <v/>
      </c>
      <c r="AI1039" s="86" t="str">
        <f>+IF(AG1039=$AI$22,MONTH(V1039),"")</f>
        <v/>
      </c>
      <c r="AJ1039" s="86" t="str">
        <f>+IF(AG1039=$AJ$22,MONTH(V1039),"")</f>
        <v/>
      </c>
      <c r="AK1039" s="86">
        <f>+IF(AG1039=$AK$22,MONTH(V1039),"")</f>
        <v>3</v>
      </c>
      <c r="AL1039" s="86"/>
      <c r="AM1039" s="89"/>
      <c r="AN1039" s="89"/>
      <c r="AO1039" s="89"/>
      <c r="AP1039" s="89"/>
      <c r="AQ1039" s="89"/>
      <c r="AR1039" s="89"/>
      <c r="AS1039" s="89"/>
      <c r="AT1039" s="89"/>
      <c r="AU1039" s="89"/>
      <c r="AV1039" s="89"/>
      <c r="AW1039" s="86" t="str">
        <f>+IF($AG1039=AW$22,MONTH($D1039),"")</f>
        <v/>
      </c>
      <c r="AX1039" s="86" t="str">
        <f>+IF($AG1039=AX$22,MONTH($D1039),"")</f>
        <v/>
      </c>
      <c r="AY1039" s="89"/>
      <c r="AZ1039" s="89"/>
      <c r="BA1039" s="89"/>
      <c r="BB1039" s="89"/>
      <c r="BC1039" s="89"/>
      <c r="BD1039" s="89"/>
      <c r="BE1039" s="89"/>
      <c r="BF1039" s="89"/>
      <c r="BG1039" s="89"/>
      <c r="BH1039" s="89"/>
      <c r="BI1039" s="89"/>
      <c r="BJ1039" s="182"/>
      <c r="BK1039" s="182"/>
      <c r="BL1039" s="182"/>
      <c r="BM1039" s="182"/>
      <c r="BN1039" s="89"/>
      <c r="BO1039" s="89"/>
      <c r="BP1039" s="89"/>
    </row>
    <row r="1040" spans="1:68" s="51" customFormat="1" ht="40.5" hidden="1">
      <c r="A1040" s="204" t="str">
        <f>+IFERROR(VALUE(MID(AB1040,4,4)),"")</f>
        <v/>
      </c>
      <c r="B1040" s="204">
        <f>VALUE(RIGHT(C1040,LEN(C1040)-2))</f>
        <v>1683</v>
      </c>
      <c r="C1040" s="74" t="s">
        <v>3930</v>
      </c>
      <c r="D1040" s="75">
        <v>44949</v>
      </c>
      <c r="E1040" s="70" t="s">
        <v>1148</v>
      </c>
      <c r="F1040" s="70" t="s">
        <v>1668</v>
      </c>
      <c r="G1040" s="76" t="s">
        <v>3931</v>
      </c>
      <c r="H1040" s="111"/>
      <c r="I1040" s="69" t="s">
        <v>3932</v>
      </c>
      <c r="J1040" s="69"/>
      <c r="K1040" s="68" t="s">
        <v>13</v>
      </c>
      <c r="L1040" s="69" t="s">
        <v>120</v>
      </c>
      <c r="M1040" s="71" t="s">
        <v>141</v>
      </c>
      <c r="N1040" s="69" t="e" vm="1">
        <v>#VALUE!</v>
      </c>
      <c r="O1040" s="84">
        <v>45031</v>
      </c>
      <c r="P1040" s="82" t="s">
        <v>1629</v>
      </c>
      <c r="Q1040" s="82" t="s">
        <v>316</v>
      </c>
      <c r="R1040" s="69"/>
      <c r="S1040" s="146" t="s">
        <v>3933</v>
      </c>
      <c r="T1040" s="68" t="s">
        <v>165</v>
      </c>
      <c r="U1040" s="90"/>
      <c r="V1040" s="80">
        <v>45099</v>
      </c>
      <c r="W1040" s="73">
        <v>10403</v>
      </c>
      <c r="X1040" s="73">
        <v>463</v>
      </c>
      <c r="Y1040" s="83">
        <f>IF(SUM(W1040:W1040)&gt;0,X1040/SUM(W1040:W1040)*1000000,"N/A")</f>
        <v>44506.392386811502</v>
      </c>
      <c r="Z1040" s="80"/>
      <c r="AA1040" s="80"/>
      <c r="AB1040" s="73"/>
      <c r="AC1040" s="217"/>
      <c r="AD1040" s="333"/>
      <c r="AE1040" s="112"/>
      <c r="AF1040" s="88" t="s">
        <v>3934</v>
      </c>
      <c r="AG1040" s="182">
        <f>YEAR(V1040)</f>
        <v>2023</v>
      </c>
      <c r="AH1040" s="86" t="str">
        <f>+IF(AF1040=$AI$22,MONTH(U1040),"")</f>
        <v/>
      </c>
      <c r="AI1040" s="86" t="str">
        <f>+IF(AG1040=$AI$22,MONTH(V1040),"")</f>
        <v/>
      </c>
      <c r="AJ1040" s="86" t="str">
        <f>+IF(AG1040=$AJ$22,MONTH(V1040),"")</f>
        <v/>
      </c>
      <c r="AK1040" s="86">
        <f>+IF(AG1040=$AK$22,MONTH(V1040),"")</f>
        <v>6</v>
      </c>
      <c r="AL1040" s="86"/>
      <c r="AM1040" s="86"/>
      <c r="AN1040" s="89"/>
      <c r="AO1040" s="89"/>
      <c r="AP1040" s="89"/>
      <c r="AQ1040" s="89"/>
      <c r="AR1040" s="89"/>
      <c r="AS1040" s="89"/>
      <c r="AT1040" s="89"/>
      <c r="AU1040" s="89"/>
      <c r="AV1040" s="89"/>
      <c r="AW1040" s="86" t="str">
        <f>+IF($AG1040=AW$22,MONTH($D1040),"")</f>
        <v/>
      </c>
      <c r="AX1040" s="86" t="str">
        <f>+IF($AG1040=AX$22,MONTH($D1040),"")</f>
        <v/>
      </c>
      <c r="AY1040" s="89"/>
      <c r="AZ1040" s="89"/>
      <c r="BA1040" s="89"/>
      <c r="BB1040" s="89"/>
      <c r="BC1040" s="89"/>
      <c r="BD1040" s="89"/>
      <c r="BE1040" s="89"/>
      <c r="BF1040" s="89"/>
      <c r="BG1040" s="89"/>
      <c r="BH1040" s="89"/>
      <c r="BI1040" s="89"/>
      <c r="BJ1040" s="89"/>
      <c r="BK1040" s="89"/>
      <c r="BL1040" s="89"/>
      <c r="BM1040" s="89"/>
      <c r="BN1040" s="182"/>
      <c r="BO1040" s="182"/>
      <c r="BP1040" s="182"/>
    </row>
    <row r="1041" spans="1:68" s="56" customFormat="1" ht="13.5" hidden="1">
      <c r="A1041" s="204" t="str">
        <f>+IFERROR(VALUE(MID(AB1041,4,4)),"")</f>
        <v/>
      </c>
      <c r="B1041" s="204">
        <f>VALUE(RIGHT(C1041,LEN(C1041)-2))</f>
        <v>1682</v>
      </c>
      <c r="C1041" s="74" t="s">
        <v>3935</v>
      </c>
      <c r="D1041" s="75">
        <v>44944</v>
      </c>
      <c r="E1041" s="70" t="s">
        <v>76</v>
      </c>
      <c r="F1041" s="70" t="s">
        <v>53</v>
      </c>
      <c r="G1041" s="68" t="s">
        <v>3936</v>
      </c>
      <c r="H1041" s="59" t="s">
        <v>3937</v>
      </c>
      <c r="I1041" s="69" t="s">
        <v>3938</v>
      </c>
      <c r="J1041" s="69"/>
      <c r="K1041" s="95" t="s">
        <v>13</v>
      </c>
      <c r="L1041" s="69" t="s">
        <v>120</v>
      </c>
      <c r="M1041" s="71" t="s">
        <v>141</v>
      </c>
      <c r="N1041" s="69" t="e" vm="1">
        <v>#VALUE!</v>
      </c>
      <c r="O1041" s="84">
        <v>44951</v>
      </c>
      <c r="P1041" s="82" t="s">
        <v>1058</v>
      </c>
      <c r="Q1041" s="82" t="s">
        <v>229</v>
      </c>
      <c r="R1041" s="69"/>
      <c r="S1041" s="146"/>
      <c r="T1041" s="68" t="s">
        <v>165</v>
      </c>
      <c r="U1041" s="87"/>
      <c r="V1041" s="80">
        <v>44984</v>
      </c>
      <c r="W1041" s="73">
        <v>139</v>
      </c>
      <c r="X1041" s="73">
        <f>160*36000/1000000</f>
        <v>5.76</v>
      </c>
      <c r="Y1041" s="83">
        <f>IF(SUM(W1041:W1041)&gt;0,X1041/SUM(W1041:W1041)*1000000,"N/A")</f>
        <v>41438.848920863311</v>
      </c>
      <c r="Z1041" s="80"/>
      <c r="AA1041" s="80"/>
      <c r="AB1041" s="73"/>
      <c r="AC1041" s="153"/>
      <c r="AD1041" s="331"/>
      <c r="AE1041" s="57"/>
      <c r="AF1041" s="88"/>
      <c r="AG1041" s="182">
        <f>YEAR(V1041)</f>
        <v>2023</v>
      </c>
      <c r="AH1041" s="86" t="str">
        <f>+IF(AF1041=$AI$22,MONTH(U1041),"")</f>
        <v/>
      </c>
      <c r="AI1041" s="86" t="str">
        <f>+IF(AG1041=$AI$22,MONTH(V1041),"")</f>
        <v/>
      </c>
      <c r="AJ1041" s="86" t="str">
        <f>+IF(AG1041=$AJ$22,MONTH(V1041),"")</f>
        <v/>
      </c>
      <c r="AK1041" s="86">
        <f>+IF(AG1041=$AK$22,MONTH(V1041),"")</f>
        <v>2</v>
      </c>
      <c r="AL1041" s="86" t="str">
        <f>+IF(AG1041=$AL$22,MONTH(V1041),"")</f>
        <v/>
      </c>
      <c r="AM1041" s="86" t="str">
        <f>+IF($AG1041=$AM$22,MONTH($D1041),"")</f>
        <v/>
      </c>
      <c r="AN1041" s="89" t="str">
        <f>+IF($AG1041=AN$22,MONTH($D1041),"")</f>
        <v/>
      </c>
      <c r="AO1041" s="89" t="str">
        <f>+IF($AG1041=AO$22,MONTH($D1041),"")</f>
        <v/>
      </c>
      <c r="AP1041" s="89" t="str">
        <f>+IF($AG1041=AP$22,MONTH($D1041),"")</f>
        <v/>
      </c>
      <c r="AQ1041" s="89" t="str">
        <f>+IF($AG1041=AQ$22,MONTH($D1041),"")</f>
        <v/>
      </c>
      <c r="AR1041" s="89" t="str">
        <f>+IF($AG1041=AR$22,MONTH($D1041),"")</f>
        <v/>
      </c>
      <c r="AS1041" s="89" t="str">
        <f>+IF($AG1041=AS$22,MONTH($D1041),"")</f>
        <v/>
      </c>
      <c r="AT1041" s="89" t="str">
        <f>+IF($AG1041=AT$22,MONTH($D1041),"")</f>
        <v/>
      </c>
      <c r="AU1041" s="89" t="str">
        <f>+IF($AG1041=AU$22,MONTH($D1041),"")</f>
        <v/>
      </c>
      <c r="AV1041" s="89" t="str">
        <f>+IF($AG1041=AV$22,MONTH($D1041),"")</f>
        <v/>
      </c>
      <c r="AW1041" s="86" t="str">
        <f>+IF($AG1041=AW$22,MONTH($D1041),"")</f>
        <v/>
      </c>
      <c r="AX1041" s="86" t="str">
        <f>+IF($AG1041=AX$22,MONTH($D1041),"")</f>
        <v/>
      </c>
      <c r="AY1041" s="89"/>
      <c r="AZ1041" s="89"/>
      <c r="BA1041" s="89"/>
      <c r="BB1041" s="89"/>
      <c r="BC1041" s="89"/>
      <c r="BD1041" s="89"/>
      <c r="BE1041" s="89"/>
      <c r="BF1041" s="89"/>
      <c r="BG1041" s="89"/>
      <c r="BH1041" s="89"/>
      <c r="BI1041" s="89"/>
      <c r="BJ1041" s="89"/>
      <c r="BK1041" s="89"/>
      <c r="BL1041" s="89"/>
      <c r="BM1041" s="89"/>
      <c r="BN1041" s="89"/>
      <c r="BO1041" s="89"/>
      <c r="BP1041" s="89"/>
    </row>
    <row r="1042" spans="1:68" s="56" customFormat="1" ht="13.5" hidden="1">
      <c r="A1042" s="204">
        <f>+IFERROR(VALUE(MID(AB1042,4,4)),"")</f>
        <v>329</v>
      </c>
      <c r="B1042" s="204">
        <f>VALUE(RIGHT(C1042,LEN(C1042)-2))</f>
        <v>1681</v>
      </c>
      <c r="C1042" s="74" t="s">
        <v>3939</v>
      </c>
      <c r="D1042" s="75">
        <v>44945</v>
      </c>
      <c r="E1042" s="70" t="s">
        <v>1273</v>
      </c>
      <c r="F1042" s="70" t="s">
        <v>1273</v>
      </c>
      <c r="G1042" s="68" t="s">
        <v>3940</v>
      </c>
      <c r="H1042" s="59" t="s">
        <v>3941</v>
      </c>
      <c r="I1042" s="69" t="s">
        <v>3942</v>
      </c>
      <c r="J1042" s="69"/>
      <c r="K1042" s="68" t="s">
        <v>42</v>
      </c>
      <c r="L1042" s="69" t="s">
        <v>120</v>
      </c>
      <c r="M1042" s="71" t="s">
        <v>141</v>
      </c>
      <c r="N1042" s="69" t="e" vm="1">
        <v>#VALUE!</v>
      </c>
      <c r="O1042" s="84">
        <v>44960</v>
      </c>
      <c r="P1042" s="72" t="s">
        <v>1154</v>
      </c>
      <c r="Q1042" s="82" t="s">
        <v>259</v>
      </c>
      <c r="R1042" s="69"/>
      <c r="S1042" s="146" t="s">
        <v>1216</v>
      </c>
      <c r="T1042" s="68" t="s">
        <v>3</v>
      </c>
      <c r="U1042" s="87"/>
      <c r="V1042" s="80">
        <v>44980</v>
      </c>
      <c r="W1042" s="73">
        <v>2662</v>
      </c>
      <c r="X1042" s="73">
        <f>3000*35300/1000000</f>
        <v>105.9</v>
      </c>
      <c r="Y1042" s="83">
        <f>IF(SUM(W1042:W1042)&gt;0,X1042/SUM(W1042:W1042)*1000000,"N/A")</f>
        <v>39782.118707738548</v>
      </c>
      <c r="Z1042" s="80"/>
      <c r="AA1042" s="80"/>
      <c r="AB1042" s="73" t="s">
        <v>3943</v>
      </c>
      <c r="AC1042" s="153"/>
      <c r="AD1042" s="331"/>
      <c r="AE1042" s="57"/>
      <c r="AF1042" s="88"/>
      <c r="AG1042" s="182">
        <f>YEAR(V1042)</f>
        <v>2023</v>
      </c>
      <c r="AH1042" s="86" t="str">
        <f>+IF(AF1042=$AI$22,MONTH(U1042),"")</f>
        <v/>
      </c>
      <c r="AI1042" s="86" t="str">
        <f>+IF(AG1042=$AI$22,MONTH(V1042),"")</f>
        <v/>
      </c>
      <c r="AJ1042" s="86" t="str">
        <f>+IF(AG1042=$AJ$22,MONTH(V1042),"")</f>
        <v/>
      </c>
      <c r="AK1042" s="86">
        <f>+IF(AG1042=$AK$22,MONTH(V1042),"")</f>
        <v>2</v>
      </c>
      <c r="AL1042" s="86" t="str">
        <f>+IF(AG1042=$AL$22,MONTH(V1042),"")</f>
        <v/>
      </c>
      <c r="AM1042" s="86" t="str">
        <f>+IF($AG1042=$AM$22,MONTH($D1042),"")</f>
        <v/>
      </c>
      <c r="AN1042" s="89" t="str">
        <f>+IF($AG1042=AN$22,MONTH($D1042),"")</f>
        <v/>
      </c>
      <c r="AO1042" s="89" t="str">
        <f>+IF($AG1042=AO$22,MONTH($D1042),"")</f>
        <v/>
      </c>
      <c r="AP1042" s="89" t="str">
        <f>+IF($AG1042=AP$22,MONTH($D1042),"")</f>
        <v/>
      </c>
      <c r="AQ1042" s="89" t="str">
        <f>+IF($AG1042=AQ$22,MONTH($D1042),"")</f>
        <v/>
      </c>
      <c r="AR1042" s="89" t="str">
        <f>+IF($AG1042=AR$22,MONTH($D1042),"")</f>
        <v/>
      </c>
      <c r="AS1042" s="89" t="str">
        <f>+IF($AG1042=AS$22,MONTH($D1042),"")</f>
        <v/>
      </c>
      <c r="AT1042" s="89" t="str">
        <f>+IF($AG1042=AT$22,MONTH($D1042),"")</f>
        <v/>
      </c>
      <c r="AU1042" s="89" t="str">
        <f>+IF($AG1042=AU$22,MONTH($D1042),"")</f>
        <v/>
      </c>
      <c r="AV1042" s="89" t="str">
        <f>+IF($AG1042=AV$22,MONTH($D1042),"")</f>
        <v/>
      </c>
      <c r="AW1042" s="86" t="str">
        <f>+IF($AG1042=AW$22,MONTH($D1042),"")</f>
        <v/>
      </c>
      <c r="AX1042" s="86" t="str">
        <f>+IF($AG1042=AX$22,MONTH($D1042),"")</f>
        <v/>
      </c>
      <c r="AY1042" s="89"/>
      <c r="AZ1042" s="89"/>
      <c r="BA1042" s="89"/>
      <c r="BB1042" s="89"/>
      <c r="BC1042" s="89"/>
      <c r="BD1042" s="89"/>
      <c r="BE1042" s="89"/>
      <c r="BF1042" s="89"/>
      <c r="BG1042" s="89"/>
      <c r="BH1042" s="89"/>
      <c r="BI1042" s="89"/>
      <c r="BJ1042" s="182"/>
      <c r="BK1042" s="182"/>
      <c r="BL1042" s="182"/>
      <c r="BM1042" s="182"/>
      <c r="BN1042" s="89"/>
      <c r="BO1042" s="89"/>
      <c r="BP1042" s="89"/>
    </row>
    <row r="1043" spans="1:68" s="51" customFormat="1" ht="27" hidden="1">
      <c r="A1043" s="204">
        <f>+IFERROR(VALUE(MID(AB1043,4,4)),"")</f>
        <v>271</v>
      </c>
      <c r="B1043" s="204">
        <f>VALUE(RIGHT(C1043,LEN(C1043)-2))</f>
        <v>1680</v>
      </c>
      <c r="C1043" s="74" t="s">
        <v>3944</v>
      </c>
      <c r="D1043" s="75">
        <v>44943</v>
      </c>
      <c r="E1043" s="70" t="s">
        <v>277</v>
      </c>
      <c r="F1043" s="70" t="s">
        <v>277</v>
      </c>
      <c r="G1043" s="68" t="s">
        <v>1781</v>
      </c>
      <c r="H1043" s="59" t="s">
        <v>2413</v>
      </c>
      <c r="I1043" s="69" t="s">
        <v>3945</v>
      </c>
      <c r="J1043" s="69"/>
      <c r="K1043" s="68" t="s">
        <v>13</v>
      </c>
      <c r="L1043" s="69" t="s">
        <v>129</v>
      </c>
      <c r="M1043" s="71" t="s">
        <v>141</v>
      </c>
      <c r="N1043" s="69" t="e" vm="1">
        <v>#VALUE!</v>
      </c>
      <c r="O1043" s="84">
        <v>44944</v>
      </c>
      <c r="P1043" s="82" t="s">
        <v>2852</v>
      </c>
      <c r="Q1043" s="72" t="s">
        <v>229</v>
      </c>
      <c r="R1043" s="162"/>
      <c r="S1043" s="146"/>
      <c r="T1043" s="68" t="s">
        <v>3</v>
      </c>
      <c r="U1043" s="87"/>
      <c r="V1043" s="80">
        <v>44979</v>
      </c>
      <c r="W1043" s="73">
        <v>315</v>
      </c>
      <c r="X1043" s="73">
        <v>12.9</v>
      </c>
      <c r="Y1043" s="83">
        <f>IF(SUM(W1043:W1043)&gt;0,X1043/SUM(W1043:W1043)*1000000,"N/A")</f>
        <v>40952.380952380954</v>
      </c>
      <c r="Z1043" s="80"/>
      <c r="AA1043" s="80"/>
      <c r="AB1043" s="73" t="s">
        <v>3946</v>
      </c>
      <c r="AC1043" s="153"/>
      <c r="AD1043" s="331"/>
      <c r="AE1043" s="57"/>
      <c r="AF1043" s="88" t="s">
        <v>3947</v>
      </c>
      <c r="AG1043" s="182">
        <f>YEAR(V1043)</f>
        <v>2023</v>
      </c>
      <c r="AH1043" s="86" t="str">
        <f>+IF(AF1043=$AI$22,MONTH(U1043),"")</f>
        <v/>
      </c>
      <c r="AI1043" s="86" t="str">
        <f>+IF(AG1043=$AI$22,MONTH(V1043),"")</f>
        <v/>
      </c>
      <c r="AJ1043" s="86" t="str">
        <f>+IF(AG1043=$AJ$22,MONTH(V1043),"")</f>
        <v/>
      </c>
      <c r="AK1043" s="86">
        <f>+IF(AG1043=$AK$22,MONTH(V1043),"")</f>
        <v>2</v>
      </c>
      <c r="AL1043" s="86" t="str">
        <f>+IF(AG1043=$AL$22,MONTH(V1043),"")</f>
        <v/>
      </c>
      <c r="AM1043" s="86" t="str">
        <f>+IF($AG1043=$AM$22,MONTH($D1043),"")</f>
        <v/>
      </c>
      <c r="AN1043" s="89" t="str">
        <f>+IF($AG1043=AN$22,MONTH($D1043),"")</f>
        <v/>
      </c>
      <c r="AO1043" s="89" t="str">
        <f>+IF($AG1043=AO$22,MONTH($D1043),"")</f>
        <v/>
      </c>
      <c r="AP1043" s="89" t="str">
        <f>+IF($AG1043=AP$22,MONTH($D1043),"")</f>
        <v/>
      </c>
      <c r="AQ1043" s="89" t="str">
        <f>+IF($AG1043=AQ$22,MONTH($D1043),"")</f>
        <v/>
      </c>
      <c r="AR1043" s="89" t="str">
        <f>+IF($AG1043=AR$22,MONTH($D1043),"")</f>
        <v/>
      </c>
      <c r="AS1043" s="89" t="str">
        <f>+IF($AG1043=AS$22,MONTH($D1043),"")</f>
        <v/>
      </c>
      <c r="AT1043" s="89" t="str">
        <f>+IF($AG1043=AT$22,MONTH($D1043),"")</f>
        <v/>
      </c>
      <c r="AU1043" s="89" t="str">
        <f>+IF($AG1043=AU$22,MONTH($D1043),"")</f>
        <v/>
      </c>
      <c r="AV1043" s="89" t="str">
        <f>+IF($AG1043=AV$22,MONTH($D1043),"")</f>
        <v/>
      </c>
      <c r="AW1043" s="86" t="str">
        <f>+IF($AG1043=AW$22,MONTH($D1043),"")</f>
        <v/>
      </c>
      <c r="AX1043" s="86" t="str">
        <f>+IF($AG1043=AX$22,MONTH($D1043),"")</f>
        <v/>
      </c>
      <c r="AY1043" s="89"/>
      <c r="AZ1043" s="89"/>
      <c r="BA1043" s="89"/>
      <c r="BB1043" s="89"/>
      <c r="BC1043" s="89"/>
      <c r="BD1043" s="89"/>
      <c r="BE1043" s="89"/>
      <c r="BF1043" s="89"/>
      <c r="BG1043" s="89"/>
      <c r="BH1043" s="89"/>
      <c r="BI1043" s="89"/>
      <c r="BJ1043" s="89"/>
      <c r="BK1043" s="89"/>
      <c r="BL1043" s="89"/>
      <c r="BM1043" s="89"/>
      <c r="BN1043" s="182"/>
      <c r="BO1043" s="182"/>
      <c r="BP1043" s="182"/>
    </row>
    <row r="1044" spans="1:68" s="56" customFormat="1" ht="27" hidden="1">
      <c r="A1044" s="204" t="str">
        <f>+IFERROR(VALUE(MID(AB1044,4,4)),"")</f>
        <v/>
      </c>
      <c r="B1044" s="204">
        <f>VALUE(RIGHT(C1044,LEN(C1044)-2))</f>
        <v>1679</v>
      </c>
      <c r="C1044" s="74" t="s">
        <v>3948</v>
      </c>
      <c r="D1044" s="75">
        <v>44943</v>
      </c>
      <c r="E1044" s="70" t="s">
        <v>277</v>
      </c>
      <c r="F1044" s="70" t="s">
        <v>277</v>
      </c>
      <c r="G1044" s="68" t="s">
        <v>1781</v>
      </c>
      <c r="H1044" s="59" t="s">
        <v>2413</v>
      </c>
      <c r="I1044" s="69" t="s">
        <v>3949</v>
      </c>
      <c r="J1044" s="69"/>
      <c r="K1044" s="68" t="s">
        <v>13</v>
      </c>
      <c r="L1044" s="69" t="s">
        <v>129</v>
      </c>
      <c r="M1044" s="71" t="s">
        <v>141</v>
      </c>
      <c r="N1044" s="69" t="e" vm="1">
        <v>#VALUE!</v>
      </c>
      <c r="O1044" s="84">
        <v>44944</v>
      </c>
      <c r="P1044" s="82" t="s">
        <v>2852</v>
      </c>
      <c r="Q1044" s="72" t="s">
        <v>229</v>
      </c>
      <c r="R1044" s="162"/>
      <c r="S1044" s="146"/>
      <c r="T1044" s="68" t="s">
        <v>165</v>
      </c>
      <c r="U1044" s="87"/>
      <c r="V1044" s="80">
        <v>45303</v>
      </c>
      <c r="W1044" s="73">
        <v>393</v>
      </c>
      <c r="X1044" s="73">
        <v>15.6</v>
      </c>
      <c r="Y1044" s="83">
        <f>IF(SUM(W1044:W1044)&gt;0,X1044/SUM(W1044:W1044)*1000000,"N/A")</f>
        <v>39694.656488549619</v>
      </c>
      <c r="Z1044" s="80"/>
      <c r="AA1044" s="80"/>
      <c r="AB1044" s="73"/>
      <c r="AC1044" s="153"/>
      <c r="AD1044" s="331"/>
      <c r="AE1044" s="57"/>
      <c r="AF1044" s="88"/>
      <c r="AG1044" s="182">
        <f>YEAR(V1044)</f>
        <v>2024</v>
      </c>
      <c r="AH1044" s="86" t="str">
        <f>+IF(AF1044=$AI$22,MONTH(U1044),"")</f>
        <v/>
      </c>
      <c r="AI1044" s="86" t="str">
        <f>+IF(AG1044=$AI$22,MONTH(V1044),"")</f>
        <v/>
      </c>
      <c r="AJ1044" s="86">
        <f>+IF(AG1044=$AJ$22,MONTH(V1044),"")</f>
        <v>1</v>
      </c>
      <c r="AK1044" s="86" t="str">
        <f>+IF(AG1044=$AK$22,MONTH(V1044),"")</f>
        <v/>
      </c>
      <c r="AL1044" s="86" t="str">
        <f>+IF(AG1044=$AL$22,MONTH(V1044),"")</f>
        <v/>
      </c>
      <c r="AM1044" s="86" t="str">
        <f>+IF($AG1044=$AM$22,MONTH($D1044),"")</f>
        <v/>
      </c>
      <c r="AN1044" s="89" t="str">
        <f>+IF($AG1044=AN$22,MONTH($D1044),"")</f>
        <v/>
      </c>
      <c r="AO1044" s="89" t="str">
        <f>+IF($AG1044=AO$22,MONTH($D1044),"")</f>
        <v/>
      </c>
      <c r="AP1044" s="89" t="str">
        <f>+IF($AG1044=AP$22,MONTH($D1044),"")</f>
        <v/>
      </c>
      <c r="AQ1044" s="89" t="str">
        <f>+IF($AG1044=AQ$22,MONTH($D1044),"")</f>
        <v/>
      </c>
      <c r="AR1044" s="89" t="str">
        <f>+IF($AG1044=AR$22,MONTH($D1044),"")</f>
        <v/>
      </c>
      <c r="AS1044" s="89" t="str">
        <f>+IF($AG1044=AS$22,MONTH($D1044),"")</f>
        <v/>
      </c>
      <c r="AT1044" s="89" t="str">
        <f>+IF($AG1044=AT$22,MONTH($D1044),"")</f>
        <v/>
      </c>
      <c r="AU1044" s="89" t="str">
        <f>+IF($AG1044=AU$22,MONTH($D1044),"")</f>
        <v/>
      </c>
      <c r="AV1044" s="89" t="str">
        <f>+IF($AG1044=AV$22,MONTH($D1044),"")</f>
        <v/>
      </c>
      <c r="AW1044" s="86" t="str">
        <f>+IF($AG1044=AW$22,MONTH($D1044),"")</f>
        <v/>
      </c>
      <c r="AX1044" s="86" t="str">
        <f>+IF($AG1044=AX$22,MONTH($D1044),"")</f>
        <v/>
      </c>
      <c r="AY1044" s="89"/>
      <c r="AZ1044" s="89"/>
      <c r="BA1044" s="89"/>
      <c r="BB1044" s="89"/>
      <c r="BC1044" s="89"/>
      <c r="BD1044" s="89"/>
      <c r="BE1044" s="89"/>
      <c r="BF1044" s="89"/>
      <c r="BG1044" s="89"/>
      <c r="BH1044" s="89"/>
      <c r="BI1044" s="89"/>
      <c r="BJ1044" s="89"/>
      <c r="BK1044" s="89"/>
      <c r="BL1044" s="89"/>
      <c r="BM1044" s="89"/>
      <c r="BN1044" s="89"/>
      <c r="BO1044" s="89"/>
      <c r="BP1044" s="89"/>
    </row>
    <row r="1045" spans="1:68" s="56" customFormat="1" ht="24.75" hidden="1" customHeight="1">
      <c r="A1045" s="204">
        <f>+IFERROR(VALUE(MID(AB1045,4,4)),"")</f>
        <v>332</v>
      </c>
      <c r="B1045" s="204">
        <f>VALUE(RIGHT(C1045,LEN(C1045)-2))</f>
        <v>1678</v>
      </c>
      <c r="C1045" s="74" t="s">
        <v>3950</v>
      </c>
      <c r="D1045" s="75">
        <v>44942</v>
      </c>
      <c r="E1045" s="70" t="s">
        <v>685</v>
      </c>
      <c r="F1045" s="70" t="s">
        <v>685</v>
      </c>
      <c r="G1045" s="68" t="s">
        <v>3951</v>
      </c>
      <c r="H1045" s="59" t="s">
        <v>3952</v>
      </c>
      <c r="I1045" s="69" t="s">
        <v>3953</v>
      </c>
      <c r="J1045" s="69"/>
      <c r="K1045" s="95" t="s">
        <v>12</v>
      </c>
      <c r="L1045" s="69" t="s">
        <v>123</v>
      </c>
      <c r="M1045" s="71" t="s">
        <v>141</v>
      </c>
      <c r="N1045" s="69" t="e" vm="1">
        <v>#VALUE!</v>
      </c>
      <c r="O1045" s="84">
        <v>44965</v>
      </c>
      <c r="P1045" s="82" t="s">
        <v>1641</v>
      </c>
      <c r="Q1045" s="82" t="s">
        <v>229</v>
      </c>
      <c r="R1045" s="69"/>
      <c r="S1045" s="146" t="s">
        <v>3954</v>
      </c>
      <c r="T1045" s="68" t="s">
        <v>3</v>
      </c>
      <c r="U1045" s="87"/>
      <c r="V1045" s="80">
        <v>44994</v>
      </c>
      <c r="W1045" s="73">
        <v>2427</v>
      </c>
      <c r="X1045" s="73">
        <v>109</v>
      </c>
      <c r="Y1045" s="83">
        <f>IF(SUM(W1045:W1045)&gt;0,X1045/SUM(W1045:W1045)*1000000,"N/A")</f>
        <v>44911.413267408323</v>
      </c>
      <c r="Z1045" s="80"/>
      <c r="AA1045" s="80"/>
      <c r="AB1045" s="73" t="s">
        <v>3955</v>
      </c>
      <c r="AC1045" s="153"/>
      <c r="AD1045" s="331"/>
      <c r="AE1045" s="57"/>
      <c r="AF1045" s="88"/>
      <c r="AG1045" s="182">
        <f>YEAR(V1045)</f>
        <v>2023</v>
      </c>
      <c r="AH1045" s="86" t="str">
        <f>+IF(AF1045=$AI$22,MONTH(U1045),"")</f>
        <v/>
      </c>
      <c r="AI1045" s="86" t="str">
        <f>+IF(AG1045=$AI$22,MONTH(V1045),"")</f>
        <v/>
      </c>
      <c r="AJ1045" s="86" t="str">
        <f>+IF(AG1045=$AJ$22,MONTH(V1045),"")</f>
        <v/>
      </c>
      <c r="AK1045" s="86">
        <f>+IF(AG1045=$AK$22,MONTH(V1045),"")</f>
        <v>3</v>
      </c>
      <c r="AL1045" s="86" t="str">
        <f>+IF(AG1045=$AL$22,MONTH(V1045),"")</f>
        <v/>
      </c>
      <c r="AM1045" s="86" t="str">
        <f>+IF($AG1045=$AM$22,MONTH($D1045),"")</f>
        <v/>
      </c>
      <c r="AN1045" s="89" t="str">
        <f>+IF($AG1045=AN$22,MONTH($D1045),"")</f>
        <v/>
      </c>
      <c r="AO1045" s="89" t="str">
        <f>+IF($AG1045=AO$22,MONTH($D1045),"")</f>
        <v/>
      </c>
      <c r="AP1045" s="89" t="str">
        <f>+IF($AG1045=AP$22,MONTH($D1045),"")</f>
        <v/>
      </c>
      <c r="AQ1045" s="89" t="str">
        <f>+IF($AG1045=AQ$22,MONTH($D1045),"")</f>
        <v/>
      </c>
      <c r="AR1045" s="89" t="str">
        <f>+IF($AG1045=AR$22,MONTH($D1045),"")</f>
        <v/>
      </c>
      <c r="AS1045" s="89" t="str">
        <f>+IF($AG1045=AS$22,MONTH($D1045),"")</f>
        <v/>
      </c>
      <c r="AT1045" s="89" t="str">
        <f>+IF($AG1045=AT$22,MONTH($D1045),"")</f>
        <v/>
      </c>
      <c r="AU1045" s="89" t="str">
        <f>+IF($AG1045=AU$22,MONTH($D1045),"")</f>
        <v/>
      </c>
      <c r="AV1045" s="89" t="str">
        <f>+IF($AG1045=AV$22,MONTH($D1045),"")</f>
        <v/>
      </c>
      <c r="AW1045" s="86" t="str">
        <f>+IF($AG1045=AW$22,MONTH($D1045),"")</f>
        <v/>
      </c>
      <c r="AX1045" s="86" t="str">
        <f>+IF($AG1045=AX$22,MONTH($D1045),"")</f>
        <v/>
      </c>
      <c r="AY1045" s="89"/>
      <c r="AZ1045" s="89"/>
      <c r="BA1045" s="89"/>
      <c r="BB1045" s="89"/>
      <c r="BC1045" s="89"/>
      <c r="BD1045" s="89"/>
      <c r="BE1045" s="89"/>
      <c r="BF1045" s="89"/>
      <c r="BG1045" s="89"/>
      <c r="BH1045" s="89"/>
      <c r="BI1045" s="89"/>
      <c r="BJ1045" s="89"/>
      <c r="BK1045" s="89"/>
      <c r="BL1045" s="89"/>
      <c r="BM1045" s="89"/>
      <c r="BN1045" s="89"/>
      <c r="BO1045" s="89"/>
      <c r="BP1045" s="89"/>
    </row>
    <row r="1046" spans="1:68" s="56" customFormat="1" ht="24.75" hidden="1" customHeight="1">
      <c r="A1046" s="204" t="str">
        <f>+IFERROR(VALUE(MID(AB1046,4,4)),"")</f>
        <v/>
      </c>
      <c r="B1046" s="204">
        <f>VALUE(RIGHT(C1046,LEN(C1046)-2))</f>
        <v>1677</v>
      </c>
      <c r="C1046" s="74" t="s">
        <v>3956</v>
      </c>
      <c r="D1046" s="75">
        <v>44943</v>
      </c>
      <c r="E1046" s="70" t="s">
        <v>394</v>
      </c>
      <c r="F1046" s="70" t="s">
        <v>395</v>
      </c>
      <c r="G1046" s="68" t="s">
        <v>3906</v>
      </c>
      <c r="H1046" s="59" t="s">
        <v>3907</v>
      </c>
      <c r="I1046" s="69" t="s">
        <v>3957</v>
      </c>
      <c r="J1046" s="69"/>
      <c r="K1046" s="95" t="s">
        <v>13</v>
      </c>
      <c r="L1046" s="69" t="s">
        <v>129</v>
      </c>
      <c r="M1046" s="71" t="s">
        <v>141</v>
      </c>
      <c r="N1046" s="69" t="e" vm="1">
        <v>#VALUE!</v>
      </c>
      <c r="O1046" s="84">
        <v>44943</v>
      </c>
      <c r="P1046" s="82" t="s">
        <v>402</v>
      </c>
      <c r="Q1046" s="82" t="s">
        <v>623</v>
      </c>
      <c r="R1046" s="69"/>
      <c r="S1046" s="146"/>
      <c r="T1046" s="68" t="s">
        <v>165</v>
      </c>
      <c r="U1046" s="87"/>
      <c r="V1046" s="80">
        <v>45448</v>
      </c>
      <c r="W1046" s="73">
        <v>390</v>
      </c>
      <c r="X1046" s="73">
        <v>11.3</v>
      </c>
      <c r="Y1046" s="83">
        <f>IF(SUM(W1046:W1046)&gt;0,X1046/SUM(W1046:W1046)*1000000,"N/A")</f>
        <v>28974.358974358976</v>
      </c>
      <c r="Z1046" s="80"/>
      <c r="AA1046" s="80"/>
      <c r="AB1046" s="73"/>
      <c r="AC1046" s="153"/>
      <c r="AD1046" s="331"/>
      <c r="AE1046" s="57"/>
      <c r="AF1046" s="88"/>
      <c r="AG1046" s="182">
        <f>YEAR(V1046)</f>
        <v>2024</v>
      </c>
      <c r="AH1046" s="86" t="str">
        <f>+IF(AF1046=$AI$22,MONTH(U1046),"")</f>
        <v/>
      </c>
      <c r="AI1046" s="86" t="str">
        <f>+IF(AG1046=$AI$22,MONTH(V1046),"")</f>
        <v/>
      </c>
      <c r="AJ1046" s="86">
        <f>+IF(AG1046=$AJ$22,MONTH(V1046),"")</f>
        <v>6</v>
      </c>
      <c r="AK1046" s="86" t="str">
        <f>+IF(AG1046=$AK$22,MONTH(V1046),"")</f>
        <v/>
      </c>
      <c r="AL1046" s="86" t="str">
        <f>+IF(AG1046=$AL$22,MONTH(V1046),"")</f>
        <v/>
      </c>
      <c r="AM1046" s="86" t="str">
        <f>+IF($AG1046=$AM$22,MONTH($D1046),"")</f>
        <v/>
      </c>
      <c r="AN1046" s="89" t="str">
        <f>+IF($AG1046=AN$22,MONTH($D1046),"")</f>
        <v/>
      </c>
      <c r="AO1046" s="89" t="str">
        <f>+IF($AG1046=AO$22,MONTH($D1046),"")</f>
        <v/>
      </c>
      <c r="AP1046" s="89" t="str">
        <f>+IF($AG1046=AP$22,MONTH($D1046),"")</f>
        <v/>
      </c>
      <c r="AQ1046" s="89" t="str">
        <f>+IF($AG1046=AQ$22,MONTH($D1046),"")</f>
        <v/>
      </c>
      <c r="AR1046" s="89" t="str">
        <f>+IF($AG1046=AR$22,MONTH($D1046),"")</f>
        <v/>
      </c>
      <c r="AS1046" s="89" t="str">
        <f>+IF($AG1046=AS$22,MONTH($D1046),"")</f>
        <v/>
      </c>
      <c r="AT1046" s="89" t="str">
        <f>+IF($AG1046=AT$22,MONTH($D1046),"")</f>
        <v/>
      </c>
      <c r="AU1046" s="89" t="str">
        <f>+IF($AG1046=AU$22,MONTH($D1046),"")</f>
        <v/>
      </c>
      <c r="AV1046" s="89" t="str">
        <f>+IF($AG1046=AV$22,MONTH($D1046),"")</f>
        <v/>
      </c>
      <c r="AW1046" s="86" t="str">
        <f>+IF($AG1046=AW$22,MONTH($D1046),"")</f>
        <v/>
      </c>
      <c r="AX1046" s="86" t="str">
        <f>+IF($AG1046=AX$22,MONTH($D1046),"")</f>
        <v/>
      </c>
      <c r="AY1046" s="89"/>
      <c r="AZ1046" s="89"/>
      <c r="BA1046" s="89"/>
      <c r="BB1046" s="89"/>
      <c r="BC1046" s="89"/>
      <c r="BD1046" s="89"/>
      <c r="BE1046" s="89"/>
      <c r="BF1046" s="89"/>
      <c r="BG1046" s="89"/>
      <c r="BH1046" s="89"/>
      <c r="BI1046" s="89"/>
      <c r="BJ1046" s="89"/>
      <c r="BK1046" s="89"/>
      <c r="BL1046" s="89"/>
      <c r="BM1046" s="89"/>
      <c r="BN1046" s="89"/>
      <c r="BO1046" s="89"/>
      <c r="BP1046" s="89"/>
    </row>
    <row r="1047" spans="1:68" s="56" customFormat="1" ht="24.75" hidden="1" customHeight="1">
      <c r="A1047" s="204" t="str">
        <f>+IFERROR(VALUE(MID(AB1047,4,4)),"")</f>
        <v/>
      </c>
      <c r="B1047" s="204">
        <f>VALUE(RIGHT(C1047,LEN(C1047)-2))</f>
        <v>1676</v>
      </c>
      <c r="C1047" s="74" t="s">
        <v>3958</v>
      </c>
      <c r="D1047" s="75">
        <v>44943</v>
      </c>
      <c r="E1047" s="70" t="s">
        <v>773</v>
      </c>
      <c r="F1047" s="70" t="s">
        <v>3959</v>
      </c>
      <c r="G1047" s="68" t="s">
        <v>3960</v>
      </c>
      <c r="H1047" s="59" t="s">
        <v>3961</v>
      </c>
      <c r="I1047" s="69" t="s">
        <v>3962</v>
      </c>
      <c r="J1047" s="69"/>
      <c r="K1047" s="68" t="s">
        <v>12</v>
      </c>
      <c r="L1047" s="69" t="s">
        <v>120</v>
      </c>
      <c r="M1047" s="71" t="s">
        <v>141</v>
      </c>
      <c r="N1047" s="69" t="e" vm="1">
        <v>#VALUE!</v>
      </c>
      <c r="O1047" s="84">
        <v>44956</v>
      </c>
      <c r="P1047" s="72" t="s">
        <v>2024</v>
      </c>
      <c r="Q1047" s="82" t="s">
        <v>259</v>
      </c>
      <c r="R1047" s="69"/>
      <c r="S1047" s="146"/>
      <c r="T1047" s="68" t="s">
        <v>165</v>
      </c>
      <c r="U1047" s="87">
        <v>0</v>
      </c>
      <c r="V1047" s="80">
        <v>44965</v>
      </c>
      <c r="W1047" s="73">
        <v>578</v>
      </c>
      <c r="X1047" s="73">
        <f>746*35320/1000000</f>
        <v>26.34872</v>
      </c>
      <c r="Y1047" s="83">
        <f>IF(SUM(W1047:W1047)&gt;0,X1047/SUM(W1047:W1047)*1000000,"N/A")</f>
        <v>45586.020761245672</v>
      </c>
      <c r="Z1047" s="80"/>
      <c r="AA1047" s="80"/>
      <c r="AB1047" s="73"/>
      <c r="AC1047" s="153"/>
      <c r="AD1047" s="331"/>
      <c r="AE1047" s="57"/>
      <c r="AF1047" s="88"/>
      <c r="AG1047" s="182">
        <f>YEAR(V1047)</f>
        <v>2023</v>
      </c>
      <c r="AH1047" s="86" t="str">
        <f>+IF(AF1047=$AI$22,MONTH(U1047),"")</f>
        <v/>
      </c>
      <c r="AI1047" s="86" t="str">
        <f>+IF(AG1047=$AI$22,MONTH(V1047),"")</f>
        <v/>
      </c>
      <c r="AJ1047" s="86" t="str">
        <f>+IF(AG1047=$AJ$22,MONTH(V1047),"")</f>
        <v/>
      </c>
      <c r="AK1047" s="86">
        <f>+IF(AG1047=$AK$22,MONTH(V1047),"")</f>
        <v>2</v>
      </c>
      <c r="AL1047" s="86" t="str">
        <f>+IF(AG1047=$AL$22,MONTH(V1047),"")</f>
        <v/>
      </c>
      <c r="AM1047" s="86" t="str">
        <f>+IF($AG1047=$AM$22,MONTH($D1047),"")</f>
        <v/>
      </c>
      <c r="AN1047" s="89" t="str">
        <f>+IF($AG1047=AN$22,MONTH($D1047),"")</f>
        <v/>
      </c>
      <c r="AO1047" s="89" t="str">
        <f>+IF($AG1047=AO$22,MONTH($D1047),"")</f>
        <v/>
      </c>
      <c r="AP1047" s="89" t="str">
        <f>+IF($AG1047=AP$22,MONTH($D1047),"")</f>
        <v/>
      </c>
      <c r="AQ1047" s="89" t="str">
        <f>+IF($AG1047=AQ$22,MONTH($D1047),"")</f>
        <v/>
      </c>
      <c r="AR1047" s="89" t="str">
        <f>+IF($AG1047=AR$22,MONTH($D1047),"")</f>
        <v/>
      </c>
      <c r="AS1047" s="89" t="str">
        <f>+IF($AG1047=AS$22,MONTH($D1047),"")</f>
        <v/>
      </c>
      <c r="AT1047" s="89" t="str">
        <f>+IF($AG1047=AT$22,MONTH($D1047),"")</f>
        <v/>
      </c>
      <c r="AU1047" s="89" t="str">
        <f>+IF($AG1047=AU$22,MONTH($D1047),"")</f>
        <v/>
      </c>
      <c r="AV1047" s="89" t="str">
        <f>+IF($AG1047=AV$22,MONTH($D1047),"")</f>
        <v/>
      </c>
      <c r="AW1047" s="86" t="str">
        <f>+IF($AG1047=AW$22,MONTH($D1047),"")</f>
        <v/>
      </c>
      <c r="AX1047" s="86" t="str">
        <f>+IF($AG1047=AX$22,MONTH($D1047),"")</f>
        <v/>
      </c>
      <c r="AY1047" s="89"/>
      <c r="AZ1047" s="89"/>
      <c r="BA1047" s="89"/>
      <c r="BB1047" s="89"/>
      <c r="BC1047" s="89"/>
      <c r="BD1047" s="89"/>
      <c r="BE1047" s="89"/>
      <c r="BF1047" s="89"/>
      <c r="BG1047" s="89"/>
      <c r="BH1047" s="89"/>
      <c r="BI1047" s="89"/>
      <c r="BJ1047" s="89"/>
      <c r="BK1047" s="89"/>
      <c r="BL1047" s="89"/>
      <c r="BM1047" s="89"/>
      <c r="BN1047" s="89"/>
      <c r="BO1047" s="89"/>
      <c r="BP1047" s="89"/>
    </row>
    <row r="1048" spans="1:68" s="56" customFormat="1" ht="24.75" hidden="1" customHeight="1">
      <c r="A1048" s="204">
        <f>+IFERROR(VALUE(MID(AB1048,4,4)),"")</f>
        <v>274</v>
      </c>
      <c r="B1048" s="204">
        <f>VALUE(RIGHT(C1048,LEN(C1048)-2))</f>
        <v>1675</v>
      </c>
      <c r="C1048" s="74" t="s">
        <v>3963</v>
      </c>
      <c r="D1048" s="75">
        <v>44935</v>
      </c>
      <c r="E1048" s="70" t="s">
        <v>1054</v>
      </c>
      <c r="F1048" s="70" t="s">
        <v>252</v>
      </c>
      <c r="G1048" s="68" t="s">
        <v>1055</v>
      </c>
      <c r="H1048" s="59" t="s">
        <v>1056</v>
      </c>
      <c r="I1048" s="69" t="s">
        <v>3964</v>
      </c>
      <c r="J1048" s="69"/>
      <c r="K1048" s="68" t="s">
        <v>31</v>
      </c>
      <c r="L1048" s="69" t="s">
        <v>129</v>
      </c>
      <c r="M1048" s="71" t="s">
        <v>141</v>
      </c>
      <c r="N1048" s="69" t="e" vm="1">
        <v>#VALUE!</v>
      </c>
      <c r="O1048" s="84">
        <v>44951</v>
      </c>
      <c r="P1048" s="72" t="s">
        <v>2711</v>
      </c>
      <c r="Q1048" s="82" t="s">
        <v>623</v>
      </c>
      <c r="R1048" s="69"/>
      <c r="S1048" s="146"/>
      <c r="T1048" s="68" t="s">
        <v>3</v>
      </c>
      <c r="U1048" s="87"/>
      <c r="V1048" s="80">
        <v>44951</v>
      </c>
      <c r="W1048" s="73">
        <v>199</v>
      </c>
      <c r="X1048" s="73">
        <v>4.8</v>
      </c>
      <c r="Y1048" s="83">
        <f>IF(SUM(W1048:W1048)&gt;0,X1048/SUM(W1048:W1048)*1000000,"N/A")</f>
        <v>24120.603015075376</v>
      </c>
      <c r="Z1048" s="80"/>
      <c r="AA1048" s="80"/>
      <c r="AB1048" s="73" t="s">
        <v>3965</v>
      </c>
      <c r="AC1048" s="153"/>
      <c r="AD1048" s="331"/>
      <c r="AE1048" s="57"/>
      <c r="AF1048" s="88"/>
      <c r="AG1048" s="182">
        <f>YEAR(V1048)</f>
        <v>2023</v>
      </c>
      <c r="AH1048" s="86" t="str">
        <f>+IF(AF1048=$AI$22,MONTH(U1048),"")</f>
        <v/>
      </c>
      <c r="AI1048" s="86" t="str">
        <f>+IF(AG1048=$AI$22,MONTH(V1048),"")</f>
        <v/>
      </c>
      <c r="AJ1048" s="86" t="str">
        <f>+IF(AG1048=$AJ$22,MONTH(V1048),"")</f>
        <v/>
      </c>
      <c r="AK1048" s="86">
        <f>+IF(AG1048=$AK$22,MONTH(V1048),"")</f>
        <v>1</v>
      </c>
      <c r="AL1048" s="86" t="str">
        <f>+IF(AG1048=$AL$22,MONTH(V1048),"")</f>
        <v/>
      </c>
      <c r="AM1048" s="86" t="str">
        <f>+IF($AG1048=$AM$22,MONTH($D1048),"")</f>
        <v/>
      </c>
      <c r="AN1048" s="89" t="str">
        <f>+IF($AG1048=AN$22,MONTH($D1048),"")</f>
        <v/>
      </c>
      <c r="AO1048" s="89" t="str">
        <f>+IF($AG1048=AO$22,MONTH($D1048),"")</f>
        <v/>
      </c>
      <c r="AP1048" s="89" t="str">
        <f>+IF($AG1048=AP$22,MONTH($D1048),"")</f>
        <v/>
      </c>
      <c r="AQ1048" s="89" t="str">
        <f>+IF($AG1048=AQ$22,MONTH($D1048),"")</f>
        <v/>
      </c>
      <c r="AR1048" s="89" t="str">
        <f>+IF($AG1048=AR$22,MONTH($D1048),"")</f>
        <v/>
      </c>
      <c r="AS1048" s="89" t="str">
        <f>+IF($AG1048=AS$22,MONTH($D1048),"")</f>
        <v/>
      </c>
      <c r="AT1048" s="89" t="str">
        <f>+IF($AG1048=AT$22,MONTH($D1048),"")</f>
        <v/>
      </c>
      <c r="AU1048" s="89" t="str">
        <f>+IF($AG1048=AU$22,MONTH($D1048),"")</f>
        <v/>
      </c>
      <c r="AV1048" s="89" t="str">
        <f>+IF($AG1048=AV$22,MONTH($D1048),"")</f>
        <v/>
      </c>
      <c r="AW1048" s="86" t="str">
        <f>+IF($AG1048=AW$22,MONTH($D1048),"")</f>
        <v/>
      </c>
      <c r="AX1048" s="86" t="str">
        <f>+IF($AG1048=AX$22,MONTH($D1048),"")</f>
        <v/>
      </c>
      <c r="AY1048" s="89"/>
      <c r="AZ1048" s="89"/>
      <c r="BA1048" s="89"/>
      <c r="BB1048" s="89"/>
      <c r="BC1048" s="89"/>
      <c r="BD1048" s="89"/>
      <c r="BE1048" s="89"/>
      <c r="BF1048" s="89"/>
      <c r="BG1048" s="89"/>
      <c r="BH1048" s="89"/>
      <c r="BI1048" s="89"/>
      <c r="BJ1048" s="89"/>
      <c r="BK1048" s="89"/>
      <c r="BL1048" s="89"/>
      <c r="BM1048" s="89"/>
      <c r="BN1048" s="89"/>
      <c r="BO1048" s="89"/>
      <c r="BP1048" s="89"/>
    </row>
    <row r="1049" spans="1:68" s="56" customFormat="1" ht="24.75" hidden="1" customHeight="1">
      <c r="A1049" s="204" t="str">
        <f>+IFERROR(VALUE(MID(AB1049,4,4)),"")</f>
        <v/>
      </c>
      <c r="B1049" s="204">
        <f>VALUE(RIGHT(C1049,LEN(C1049)-2))</f>
        <v>1674</v>
      </c>
      <c r="C1049" s="74" t="s">
        <v>3966</v>
      </c>
      <c r="D1049" s="75">
        <v>44929</v>
      </c>
      <c r="E1049" s="70" t="s">
        <v>53</v>
      </c>
      <c r="F1049" s="70" t="s">
        <v>1379</v>
      </c>
      <c r="G1049" s="68"/>
      <c r="H1049" s="59" t="s">
        <v>3967</v>
      </c>
      <c r="I1049" s="69" t="s">
        <v>3968</v>
      </c>
      <c r="J1049" s="69"/>
      <c r="K1049" s="68" t="s">
        <v>212</v>
      </c>
      <c r="L1049" s="69" t="s">
        <v>123</v>
      </c>
      <c r="M1049" s="71" t="s">
        <v>141</v>
      </c>
      <c r="N1049" s="69" t="e" vm="1">
        <v>#VALUE!</v>
      </c>
      <c r="O1049" s="84">
        <v>44974</v>
      </c>
      <c r="P1049" s="82" t="s">
        <v>285</v>
      </c>
      <c r="Q1049" s="82" t="s">
        <v>652</v>
      </c>
      <c r="R1049" s="69"/>
      <c r="S1049" s="146"/>
      <c r="T1049" s="68" t="s">
        <v>155</v>
      </c>
      <c r="U1049" s="87"/>
      <c r="V1049" s="80">
        <v>44965</v>
      </c>
      <c r="W1049" s="73"/>
      <c r="X1049" s="73"/>
      <c r="Y1049" s="83" t="str">
        <f>IF(SUM(W1049:W1049)&gt;0,X1049/SUM(W1049:W1049)*1000000,"N/A")</f>
        <v>N/A</v>
      </c>
      <c r="Z1049" s="80"/>
      <c r="AA1049" s="80"/>
      <c r="AB1049" s="73"/>
      <c r="AC1049" s="153"/>
      <c r="AD1049" s="331"/>
      <c r="AE1049" s="57"/>
      <c r="AF1049" s="88" t="s">
        <v>3969</v>
      </c>
      <c r="AG1049" s="182">
        <f>YEAR(V1049)</f>
        <v>2023</v>
      </c>
      <c r="AH1049" s="86" t="str">
        <f>+IF(AF1049=$AI$22,MONTH(U1049),"")</f>
        <v/>
      </c>
      <c r="AI1049" s="86" t="str">
        <f>+IF(AG1049=$AI$22,MONTH(V1049),"")</f>
        <v/>
      </c>
      <c r="AJ1049" s="86" t="str">
        <f>+IF(AG1049=$AJ$22,MONTH(V1049),"")</f>
        <v/>
      </c>
      <c r="AK1049" s="86">
        <f>+IF(AG1049=$AK$22,MONTH(V1049),"")</f>
        <v>2</v>
      </c>
      <c r="AL1049" s="86" t="str">
        <f>+IF(AG1049=$AL$22,MONTH(V1049),"")</f>
        <v/>
      </c>
      <c r="AM1049" s="86" t="str">
        <f>+IF($AG1049=$AM$22,MONTH($D1049),"")</f>
        <v/>
      </c>
      <c r="AN1049" s="89" t="str">
        <f>+IF($AG1049=AN$22,MONTH($D1049),"")</f>
        <v/>
      </c>
      <c r="AO1049" s="89" t="str">
        <f>+IF($AG1049=AO$22,MONTH($D1049),"")</f>
        <v/>
      </c>
      <c r="AP1049" s="89" t="str">
        <f>+IF($AG1049=AP$22,MONTH($D1049),"")</f>
        <v/>
      </c>
      <c r="AQ1049" s="89" t="str">
        <f>+IF($AG1049=AQ$22,MONTH($D1049),"")</f>
        <v/>
      </c>
      <c r="AR1049" s="89" t="str">
        <f>+IF($AG1049=AR$22,MONTH($D1049),"")</f>
        <v/>
      </c>
      <c r="AS1049" s="89" t="str">
        <f>+IF($AG1049=AS$22,MONTH($D1049),"")</f>
        <v/>
      </c>
      <c r="AT1049" s="89" t="str">
        <f>+IF($AG1049=AT$22,MONTH($D1049),"")</f>
        <v/>
      </c>
      <c r="AU1049" s="89" t="str">
        <f>+IF($AG1049=AU$22,MONTH($D1049),"")</f>
        <v/>
      </c>
      <c r="AV1049" s="89" t="str">
        <f>+IF($AG1049=AV$22,MONTH($D1049),"")</f>
        <v/>
      </c>
      <c r="AW1049" s="86" t="str">
        <f>+IF($AG1049=AW$22,MONTH($D1049),"")</f>
        <v/>
      </c>
      <c r="AX1049" s="86" t="str">
        <f>+IF($AG1049=AX$22,MONTH($D1049),"")</f>
        <v/>
      </c>
      <c r="AY1049" s="89"/>
      <c r="AZ1049" s="89"/>
      <c r="BA1049" s="89"/>
      <c r="BB1049" s="89"/>
      <c r="BC1049" s="89"/>
      <c r="BD1049" s="89"/>
      <c r="BE1049" s="89"/>
      <c r="BF1049" s="89"/>
      <c r="BG1049" s="89"/>
      <c r="BH1049" s="89"/>
      <c r="BI1049" s="89"/>
      <c r="BJ1049" s="89"/>
      <c r="BK1049" s="89"/>
      <c r="BL1049" s="89"/>
      <c r="BM1049" s="89"/>
      <c r="BN1049" s="89"/>
      <c r="BO1049" s="89"/>
      <c r="BP1049" s="89"/>
    </row>
    <row r="1050" spans="1:68" s="56" customFormat="1" ht="24.75" hidden="1" customHeight="1">
      <c r="A1050" s="204" t="str">
        <f>+IFERROR(VALUE(MID(AB1050,4,4)),"")</f>
        <v/>
      </c>
      <c r="B1050" s="204">
        <f>VALUE(RIGHT(C1050,LEN(C1050)-2))</f>
        <v>1673</v>
      </c>
      <c r="C1050" s="74" t="s">
        <v>3970</v>
      </c>
      <c r="D1050" s="75">
        <v>44935</v>
      </c>
      <c r="E1050" s="70" t="s">
        <v>3971</v>
      </c>
      <c r="F1050" s="70" t="s">
        <v>394</v>
      </c>
      <c r="G1050" s="68" t="s">
        <v>3972</v>
      </c>
      <c r="H1050" s="111" t="s">
        <v>3973</v>
      </c>
      <c r="I1050" s="69" t="s">
        <v>3974</v>
      </c>
      <c r="J1050" s="69"/>
      <c r="K1050" s="68" t="s">
        <v>9</v>
      </c>
      <c r="L1050" s="69" t="s">
        <v>120</v>
      </c>
      <c r="M1050" s="71" t="s">
        <v>141</v>
      </c>
      <c r="N1050" s="69" t="e" vm="1">
        <v>#VALUE!</v>
      </c>
      <c r="O1050" s="84">
        <v>44953</v>
      </c>
      <c r="P1050" s="72" t="s">
        <v>2852</v>
      </c>
      <c r="Q1050" s="72" t="s">
        <v>229</v>
      </c>
      <c r="R1050" s="162"/>
      <c r="S1050" s="146"/>
      <c r="T1050" s="68" t="s">
        <v>165</v>
      </c>
      <c r="U1050" s="87"/>
      <c r="V1050" s="80">
        <v>45478</v>
      </c>
      <c r="W1050" s="73">
        <v>64</v>
      </c>
      <c r="X1050" s="73">
        <f>(100*35449.1)/1000000</f>
        <v>3.5449099999999998</v>
      </c>
      <c r="Y1050" s="83">
        <f>IF(SUM(W1050:W1050)&gt;0,X1050/SUM(W1050:W1050)*1000000,"N/A")</f>
        <v>55389.21875</v>
      </c>
      <c r="Z1050" s="80"/>
      <c r="AA1050" s="80"/>
      <c r="AB1050" s="73"/>
      <c r="AC1050" s="153"/>
      <c r="AD1050" s="331"/>
      <c r="AE1050" s="57"/>
      <c r="AF1050" s="88"/>
      <c r="AG1050" s="182">
        <f>YEAR(V1050)</f>
        <v>2024</v>
      </c>
      <c r="AH1050" s="86" t="str">
        <f>+IF(AF1050=$AI$22,MONTH(U1050),"")</f>
        <v/>
      </c>
      <c r="AI1050" s="86" t="str">
        <f>+IF(AG1050=$AI$22,MONTH(V1050),"")</f>
        <v/>
      </c>
      <c r="AJ1050" s="86">
        <f>+IF(AG1050=$AJ$22,MONTH(V1050),"")</f>
        <v>7</v>
      </c>
      <c r="AK1050" s="86" t="str">
        <f>+IF(AG1050=$AK$22,MONTH(V1050),"")</f>
        <v/>
      </c>
      <c r="AL1050" s="86" t="str">
        <f>+IF(AG1050=$AL$22,MONTH(V1050),"")</f>
        <v/>
      </c>
      <c r="AM1050" s="86" t="str">
        <f>+IF($AG1050=$AM$22,MONTH($D1050),"")</f>
        <v/>
      </c>
      <c r="AN1050" s="89" t="str">
        <f>+IF($AG1050=AN$22,MONTH($D1050),"")</f>
        <v/>
      </c>
      <c r="AO1050" s="89" t="str">
        <f>+IF($AG1050=AO$22,MONTH($D1050),"")</f>
        <v/>
      </c>
      <c r="AP1050" s="89" t="str">
        <f>+IF($AG1050=AP$22,MONTH($D1050),"")</f>
        <v/>
      </c>
      <c r="AQ1050" s="89" t="str">
        <f>+IF($AG1050=AQ$22,MONTH($D1050),"")</f>
        <v/>
      </c>
      <c r="AR1050" s="89" t="str">
        <f>+IF($AG1050=AR$22,MONTH($D1050),"")</f>
        <v/>
      </c>
      <c r="AS1050" s="89" t="str">
        <f>+IF($AG1050=AS$22,MONTH($D1050),"")</f>
        <v/>
      </c>
      <c r="AT1050" s="89" t="str">
        <f>+IF($AG1050=AT$22,MONTH($D1050),"")</f>
        <v/>
      </c>
      <c r="AU1050" s="89" t="str">
        <f>+IF($AG1050=AU$22,MONTH($D1050),"")</f>
        <v/>
      </c>
      <c r="AV1050" s="89" t="str">
        <f>+IF($AG1050=AV$22,MONTH($D1050),"")</f>
        <v/>
      </c>
      <c r="AW1050" s="86" t="str">
        <f>+IF($AG1050=AW$22,MONTH($D1050),"")</f>
        <v/>
      </c>
      <c r="AX1050" s="86" t="str">
        <f>+IF($AG1050=AX$22,MONTH($D1050),"")</f>
        <v/>
      </c>
      <c r="AY1050" s="89"/>
      <c r="AZ1050" s="89"/>
      <c r="BA1050" s="89"/>
      <c r="BB1050" s="89"/>
      <c r="BC1050" s="89"/>
      <c r="BD1050" s="89"/>
      <c r="BE1050" s="89"/>
      <c r="BF1050" s="89"/>
      <c r="BG1050" s="89"/>
      <c r="BH1050" s="89"/>
      <c r="BI1050" s="89"/>
      <c r="BJ1050" s="89"/>
      <c r="BK1050" s="89"/>
      <c r="BL1050" s="89"/>
      <c r="BM1050" s="89"/>
      <c r="BN1050" s="89"/>
      <c r="BO1050" s="89"/>
      <c r="BP1050" s="89"/>
    </row>
    <row r="1051" spans="1:68" s="56" customFormat="1" ht="24.75" hidden="1" customHeight="1">
      <c r="A1051" s="204" t="str">
        <f>+IFERROR(VALUE(MID(AB1051,4,4)),"")</f>
        <v/>
      </c>
      <c r="B1051" s="204">
        <f>VALUE(RIGHT(C1051,LEN(C1051)-2))</f>
        <v>1672</v>
      </c>
      <c r="C1051" s="74" t="s">
        <v>3975</v>
      </c>
      <c r="D1051" s="75">
        <v>44932</v>
      </c>
      <c r="E1051" s="70" t="s">
        <v>3959</v>
      </c>
      <c r="F1051" s="70" t="s">
        <v>3959</v>
      </c>
      <c r="G1051" s="68" t="s">
        <v>3976</v>
      </c>
      <c r="H1051" s="59" t="s">
        <v>775</v>
      </c>
      <c r="I1051" s="69" t="s">
        <v>3977</v>
      </c>
      <c r="J1051" s="69"/>
      <c r="K1051" s="68" t="s">
        <v>11</v>
      </c>
      <c r="L1051" s="69" t="s">
        <v>123</v>
      </c>
      <c r="M1051" s="71" t="s">
        <v>141</v>
      </c>
      <c r="N1051" s="69" t="e" vm="1">
        <v>#VALUE!</v>
      </c>
      <c r="O1051" s="84">
        <v>44967</v>
      </c>
      <c r="P1051" s="72" t="s">
        <v>3978</v>
      </c>
      <c r="Q1051" s="82" t="s">
        <v>229</v>
      </c>
      <c r="R1051" s="69"/>
      <c r="S1051" s="146"/>
      <c r="T1051" s="68" t="s">
        <v>165</v>
      </c>
      <c r="U1051" s="87"/>
      <c r="V1051" s="80">
        <v>45001</v>
      </c>
      <c r="W1051" s="73">
        <v>1195</v>
      </c>
      <c r="X1051" s="73">
        <f>(1372*35449.1)/1000000</f>
        <v>48.636165199999994</v>
      </c>
      <c r="Y1051" s="83">
        <f>IF(SUM(W1051:W1051)&gt;0,X1051/SUM(W1051:W1051)*1000000,"N/A")</f>
        <v>40699.719832635979</v>
      </c>
      <c r="Z1051" s="80"/>
      <c r="AA1051" s="80"/>
      <c r="AB1051" s="73"/>
      <c r="AC1051" s="153"/>
      <c r="AD1051" s="331"/>
      <c r="AE1051" s="57"/>
      <c r="AF1051" s="88"/>
      <c r="AG1051" s="182">
        <f>YEAR(V1051)</f>
        <v>2023</v>
      </c>
      <c r="AH1051" s="86" t="str">
        <f>+IF(AF1051=$AI$22,MONTH(U1051),"")</f>
        <v/>
      </c>
      <c r="AI1051" s="86" t="str">
        <f>+IF(AG1051=$AI$22,MONTH(V1051),"")</f>
        <v/>
      </c>
      <c r="AJ1051" s="86" t="str">
        <f>+IF(AG1051=$AJ$22,MONTH(V1051),"")</f>
        <v/>
      </c>
      <c r="AK1051" s="86">
        <f>+IF(AG1051=$AK$22,MONTH(V1051),"")</f>
        <v>3</v>
      </c>
      <c r="AL1051" s="86" t="str">
        <f>+IF(AG1051=$AL$22,MONTH(V1051),"")</f>
        <v/>
      </c>
      <c r="AM1051" s="86" t="str">
        <f>+IF($AG1051=$AM$22,MONTH($D1051),"")</f>
        <v/>
      </c>
      <c r="AN1051" s="89" t="str">
        <f>+IF($AG1051=AN$22,MONTH($D1051),"")</f>
        <v/>
      </c>
      <c r="AO1051" s="89" t="str">
        <f>+IF($AG1051=AO$22,MONTH($D1051),"")</f>
        <v/>
      </c>
      <c r="AP1051" s="89" t="str">
        <f>+IF($AG1051=AP$22,MONTH($D1051),"")</f>
        <v/>
      </c>
      <c r="AQ1051" s="89" t="str">
        <f>+IF($AG1051=AQ$22,MONTH($D1051),"")</f>
        <v/>
      </c>
      <c r="AR1051" s="89" t="str">
        <f>+IF($AG1051=AR$22,MONTH($D1051),"")</f>
        <v/>
      </c>
      <c r="AS1051" s="89" t="str">
        <f>+IF($AG1051=AS$22,MONTH($D1051),"")</f>
        <v/>
      </c>
      <c r="AT1051" s="89" t="str">
        <f>+IF($AG1051=AT$22,MONTH($D1051),"")</f>
        <v/>
      </c>
      <c r="AU1051" s="89" t="str">
        <f>+IF($AG1051=AU$22,MONTH($D1051),"")</f>
        <v/>
      </c>
      <c r="AV1051" s="89" t="str">
        <f>+IF($AG1051=AV$22,MONTH($D1051),"")</f>
        <v/>
      </c>
      <c r="AW1051" s="86" t="str">
        <f>+IF($AG1051=AW$22,MONTH($D1051),"")</f>
        <v/>
      </c>
      <c r="AX1051" s="86" t="str">
        <f>+IF($AG1051=AX$22,MONTH($D1051),"")</f>
        <v/>
      </c>
      <c r="AY1051" s="89"/>
      <c r="AZ1051" s="89"/>
      <c r="BA1051" s="89"/>
      <c r="BB1051" s="89"/>
      <c r="BC1051" s="89"/>
      <c r="BD1051" s="89"/>
      <c r="BE1051" s="89"/>
      <c r="BF1051" s="89"/>
      <c r="BG1051" s="89"/>
      <c r="BH1051" s="89"/>
      <c r="BI1051" s="89"/>
      <c r="BJ1051" s="89"/>
      <c r="BK1051" s="89"/>
      <c r="BL1051" s="89"/>
      <c r="BM1051" s="89"/>
      <c r="BN1051" s="89"/>
      <c r="BO1051" s="89"/>
      <c r="BP1051" s="89"/>
    </row>
    <row r="1052" spans="1:68" s="56" customFormat="1" ht="24.75" hidden="1" customHeight="1">
      <c r="A1052" s="204">
        <f>+IFERROR(VALUE(MID(AB1052,4,4)),"")</f>
        <v>325</v>
      </c>
      <c r="B1052" s="204">
        <f>VALUE(RIGHT(C1052,LEN(C1052)-2))</f>
        <v>1671</v>
      </c>
      <c r="C1052" s="74" t="s">
        <v>3979</v>
      </c>
      <c r="D1052" s="75">
        <v>44930</v>
      </c>
      <c r="E1052" s="70" t="s">
        <v>332</v>
      </c>
      <c r="F1052" s="70" t="s">
        <v>332</v>
      </c>
      <c r="G1052" s="68" t="s">
        <v>3980</v>
      </c>
      <c r="H1052" s="59" t="s">
        <v>3981</v>
      </c>
      <c r="I1052" s="69" t="s">
        <v>3982</v>
      </c>
      <c r="J1052" s="69"/>
      <c r="K1052" s="68" t="s">
        <v>13</v>
      </c>
      <c r="L1052" s="69" t="s">
        <v>123</v>
      </c>
      <c r="M1052" s="71" t="s">
        <v>141</v>
      </c>
      <c r="N1052" s="69" t="e" vm="1">
        <v>#VALUE!</v>
      </c>
      <c r="O1052" s="84">
        <v>44935</v>
      </c>
      <c r="P1052" s="72" t="s">
        <v>666</v>
      </c>
      <c r="Q1052" s="82" t="s">
        <v>229</v>
      </c>
      <c r="R1052" s="69"/>
      <c r="S1052" s="146" t="s">
        <v>2509</v>
      </c>
      <c r="T1052" s="68" t="s">
        <v>3</v>
      </c>
      <c r="U1052" s="87"/>
      <c r="V1052" s="80">
        <v>44952</v>
      </c>
      <c r="W1052" s="73">
        <v>290</v>
      </c>
      <c r="X1052" s="73">
        <f>(29300*800.82)/1000000</f>
        <v>23.464026</v>
      </c>
      <c r="Y1052" s="83">
        <f>IF(SUM(W1052:W1052)&gt;0,X1052/SUM(W1052:W1052)*1000000,"N/A")</f>
        <v>80910.434482758632</v>
      </c>
      <c r="Z1052" s="80"/>
      <c r="AA1052" s="80"/>
      <c r="AB1052" s="73" t="s">
        <v>3983</v>
      </c>
      <c r="AC1052" s="153"/>
      <c r="AD1052" s="331"/>
      <c r="AE1052" s="57"/>
      <c r="AF1052" s="88"/>
      <c r="AG1052" s="182">
        <f>YEAR(V1052)</f>
        <v>2023</v>
      </c>
      <c r="AH1052" s="86" t="str">
        <f>+IF(AF1052=$AI$22,MONTH(U1052),"")</f>
        <v/>
      </c>
      <c r="AI1052" s="86" t="str">
        <f>+IF(AG1052=$AI$22,MONTH(V1052),"")</f>
        <v/>
      </c>
      <c r="AJ1052" s="86" t="str">
        <f>+IF(AG1052=$AJ$22,MONTH(V1052),"")</f>
        <v/>
      </c>
      <c r="AK1052" s="86">
        <f>+IF(AG1052=$AK$22,MONTH(V1052),"")</f>
        <v>1</v>
      </c>
      <c r="AL1052" s="86" t="str">
        <f>+IF(AG1052=$AL$22,MONTH(V1052),"")</f>
        <v/>
      </c>
      <c r="AM1052" s="86" t="str">
        <f>+IF($AG1052=$AM$22,MONTH($D1052),"")</f>
        <v/>
      </c>
      <c r="AN1052" s="89" t="str">
        <f>+IF($AG1052=AN$22,MONTH($D1052),"")</f>
        <v/>
      </c>
      <c r="AO1052" s="89" t="str">
        <f>+IF($AG1052=AO$22,MONTH($D1052),"")</f>
        <v/>
      </c>
      <c r="AP1052" s="89" t="str">
        <f>+IF($AG1052=AP$22,MONTH($D1052),"")</f>
        <v/>
      </c>
      <c r="AQ1052" s="89" t="str">
        <f>+IF($AG1052=AQ$22,MONTH($D1052),"")</f>
        <v/>
      </c>
      <c r="AR1052" s="89" t="str">
        <f>+IF($AG1052=AR$22,MONTH($D1052),"")</f>
        <v/>
      </c>
      <c r="AS1052" s="89" t="str">
        <f>+IF($AG1052=AS$22,MONTH($D1052),"")</f>
        <v/>
      </c>
      <c r="AT1052" s="89" t="str">
        <f>+IF($AG1052=AT$22,MONTH($D1052),"")</f>
        <v/>
      </c>
      <c r="AU1052" s="89" t="str">
        <f>+IF($AG1052=AU$22,MONTH($D1052),"")</f>
        <v/>
      </c>
      <c r="AV1052" s="89" t="str">
        <f>+IF($AG1052=AV$22,MONTH($D1052),"")</f>
        <v/>
      </c>
      <c r="AW1052" s="86" t="str">
        <f>+IF($AG1052=AW$22,MONTH($D1052),"")</f>
        <v/>
      </c>
      <c r="AX1052" s="86" t="str">
        <f>+IF($AG1052=AX$22,MONTH($D1052),"")</f>
        <v/>
      </c>
      <c r="AY1052" s="89"/>
      <c r="AZ1052" s="89"/>
      <c r="BA1052" s="89"/>
      <c r="BB1052" s="89"/>
      <c r="BC1052" s="89"/>
      <c r="BD1052" s="89"/>
      <c r="BE1052" s="89"/>
      <c r="BF1052" s="89"/>
      <c r="BG1052" s="89"/>
      <c r="BH1052" s="89"/>
      <c r="BI1052" s="89"/>
      <c r="BJ1052" s="89"/>
      <c r="BK1052" s="89"/>
      <c r="BL1052" s="89"/>
      <c r="BM1052" s="89"/>
      <c r="BN1052" s="89"/>
      <c r="BO1052" s="89"/>
      <c r="BP1052" s="89"/>
    </row>
    <row r="1053" spans="1:68" s="56" customFormat="1" ht="24.75" hidden="1" customHeight="1">
      <c r="A1053" s="204">
        <f>+IFERROR(VALUE(MID(AB1053,4,4)),"")</f>
        <v>249</v>
      </c>
      <c r="B1053" s="204">
        <f>VALUE(RIGHT(C1053,LEN(C1053)-2))</f>
        <v>1670</v>
      </c>
      <c r="C1053" s="74" t="s">
        <v>3984</v>
      </c>
      <c r="D1053" s="75">
        <v>44929</v>
      </c>
      <c r="E1053" s="70" t="s">
        <v>262</v>
      </c>
      <c r="F1053" s="70" t="s">
        <v>270</v>
      </c>
      <c r="G1053" s="68" t="s">
        <v>3985</v>
      </c>
      <c r="H1053" s="59" t="s">
        <v>3986</v>
      </c>
      <c r="I1053" s="69" t="s">
        <v>3987</v>
      </c>
      <c r="J1053" s="69"/>
      <c r="K1053" s="68" t="s">
        <v>90</v>
      </c>
      <c r="L1053" s="69" t="s">
        <v>120</v>
      </c>
      <c r="M1053" s="71" t="s">
        <v>141</v>
      </c>
      <c r="N1053" s="69" t="e" vm="1">
        <v>#VALUE!</v>
      </c>
      <c r="O1053" s="84">
        <v>44931</v>
      </c>
      <c r="P1053" s="72" t="s">
        <v>274</v>
      </c>
      <c r="Q1053" s="72" t="s">
        <v>275</v>
      </c>
      <c r="R1053" s="162"/>
      <c r="S1053" s="146"/>
      <c r="T1053" s="68" t="s">
        <v>3</v>
      </c>
      <c r="U1053" s="87"/>
      <c r="V1053" s="80">
        <v>44932</v>
      </c>
      <c r="W1053" s="73">
        <v>120</v>
      </c>
      <c r="X1053" s="73">
        <v>5.6</v>
      </c>
      <c r="Y1053" s="169">
        <f>IF(SUM(W1053:W1053)&gt;0,X1053/SUM(W1053:W1053)*1000000,"N/A")</f>
        <v>46666.666666666664</v>
      </c>
      <c r="Z1053" s="80"/>
      <c r="AA1053" s="80"/>
      <c r="AB1053" s="73" t="s">
        <v>3988</v>
      </c>
      <c r="AC1053" s="153"/>
      <c r="AD1053" s="331"/>
      <c r="AE1053" s="57"/>
      <c r="AF1053" s="88"/>
      <c r="AG1053" s="182">
        <f>YEAR(V1053)</f>
        <v>2023</v>
      </c>
      <c r="AH1053" s="86" t="str">
        <f>+IF(AF1053=$AI$22,MONTH(U1053),"")</f>
        <v/>
      </c>
      <c r="AI1053" s="86" t="str">
        <f>+IF(AG1053=$AI$22,MONTH(V1053),"")</f>
        <v/>
      </c>
      <c r="AJ1053" s="86" t="str">
        <f>+IF(AG1053=$AJ$22,MONTH(V1053),"")</f>
        <v/>
      </c>
      <c r="AK1053" s="86">
        <f>+IF(AG1053=$AK$22,MONTH(V1053),"")</f>
        <v>1</v>
      </c>
      <c r="AL1053" s="86" t="str">
        <f>+IF(AG1053=$AL$22,MONTH(V1053),"")</f>
        <v/>
      </c>
      <c r="AM1053" s="86" t="str">
        <f>+IF($AG1053=$AM$22,MONTH($D1053),"")</f>
        <v/>
      </c>
      <c r="AN1053" s="89" t="str">
        <f>+IF($AG1053=AN$22,MONTH($D1053),"")</f>
        <v/>
      </c>
      <c r="AO1053" s="89" t="str">
        <f>+IF($AG1053=AO$22,MONTH($D1053),"")</f>
        <v/>
      </c>
      <c r="AP1053" s="89" t="str">
        <f>+IF($AG1053=AP$22,MONTH($D1053),"")</f>
        <v/>
      </c>
      <c r="AQ1053" s="89" t="str">
        <f>+IF($AG1053=AQ$22,MONTH($D1053),"")</f>
        <v/>
      </c>
      <c r="AR1053" s="89" t="str">
        <f>+IF($AG1053=AR$22,MONTH($D1053),"")</f>
        <v/>
      </c>
      <c r="AS1053" s="89" t="str">
        <f>+IF($AG1053=AS$22,MONTH($D1053),"")</f>
        <v/>
      </c>
      <c r="AT1053" s="89" t="str">
        <f>+IF($AG1053=AT$22,MONTH($D1053),"")</f>
        <v/>
      </c>
      <c r="AU1053" s="89" t="str">
        <f>+IF($AG1053=AU$22,MONTH($D1053),"")</f>
        <v/>
      </c>
      <c r="AV1053" s="89" t="str">
        <f>+IF($AG1053=AV$22,MONTH($D1053),"")</f>
        <v/>
      </c>
      <c r="AW1053" s="86" t="str">
        <f>+IF($AG1053=AW$22,MONTH($D1053),"")</f>
        <v/>
      </c>
      <c r="AX1053" s="86" t="str">
        <f>+IF($AG1053=AX$22,MONTH($D1053),"")</f>
        <v/>
      </c>
      <c r="AY1053" s="89"/>
      <c r="AZ1053" s="89"/>
      <c r="BA1053" s="89"/>
      <c r="BB1053" s="89"/>
      <c r="BC1053" s="89"/>
      <c r="BD1053" s="89"/>
      <c r="BE1053" s="89"/>
      <c r="BF1053" s="89"/>
      <c r="BG1053" s="89"/>
      <c r="BH1053" s="89"/>
      <c r="BI1053" s="89"/>
      <c r="BJ1053" s="89"/>
      <c r="BK1053" s="89"/>
      <c r="BL1053" s="89"/>
      <c r="BM1053" s="89"/>
      <c r="BN1053" s="89"/>
      <c r="BO1053" s="89"/>
      <c r="BP1053" s="89"/>
    </row>
    <row r="1054" spans="1:68" s="56" customFormat="1" ht="24.75" hidden="1" customHeight="1">
      <c r="A1054" s="204" t="str">
        <f>+IFERROR(VALUE(MID(AB1054,4,4)),"")</f>
        <v/>
      </c>
      <c r="B1054" s="204">
        <f>VALUE(RIGHT(C1054,LEN(C1054)-2))</f>
        <v>1669</v>
      </c>
      <c r="C1054" s="74" t="s">
        <v>3989</v>
      </c>
      <c r="D1054" s="75">
        <v>44924</v>
      </c>
      <c r="E1054" s="70" t="s">
        <v>332</v>
      </c>
      <c r="F1054" s="70" t="s">
        <v>332</v>
      </c>
      <c r="G1054" s="68" t="s">
        <v>3990</v>
      </c>
      <c r="H1054" s="59" t="s">
        <v>3991</v>
      </c>
      <c r="I1054" s="69" t="s">
        <v>3992</v>
      </c>
      <c r="J1054" s="69"/>
      <c r="K1054" s="68" t="s">
        <v>13</v>
      </c>
      <c r="L1054" s="69" t="s">
        <v>129</v>
      </c>
      <c r="M1054" s="71" t="s">
        <v>141</v>
      </c>
      <c r="N1054" s="69" t="e" vm="1">
        <v>#VALUE!</v>
      </c>
      <c r="O1054" s="84">
        <v>44925</v>
      </c>
      <c r="P1054" s="72" t="s">
        <v>285</v>
      </c>
      <c r="Q1054" s="82" t="s">
        <v>229</v>
      </c>
      <c r="R1054" s="69"/>
      <c r="S1054" s="146"/>
      <c r="T1054" s="68" t="s">
        <v>165</v>
      </c>
      <c r="U1054" s="87"/>
      <c r="V1054" s="80">
        <v>44965</v>
      </c>
      <c r="W1054" s="73">
        <v>92</v>
      </c>
      <c r="X1054" s="73">
        <f>102*36000/1000000</f>
        <v>3.6720000000000002</v>
      </c>
      <c r="Y1054" s="83">
        <f>IF(SUM(W1054:W1054)&gt;0,X1054/SUM(W1054:W1054)*1000000,"N/A")</f>
        <v>39913.043478260872</v>
      </c>
      <c r="Z1054" s="80"/>
      <c r="AA1054" s="80"/>
      <c r="AB1054" s="73"/>
      <c r="AC1054" s="153"/>
      <c r="AD1054" s="331"/>
      <c r="AE1054" s="57"/>
      <c r="AF1054" s="88" t="s">
        <v>3993</v>
      </c>
      <c r="AG1054" s="182">
        <f>YEAR(V1054)</f>
        <v>2023</v>
      </c>
      <c r="AH1054" s="86" t="str">
        <f>+IF(AF1054=$AI$22,MONTH(U1054),"")</f>
        <v/>
      </c>
      <c r="AI1054" s="86" t="str">
        <f>+IF(AG1054=$AI$22,MONTH(V1054),"")</f>
        <v/>
      </c>
      <c r="AJ1054" s="86" t="str">
        <f>+IF(AG1054=$AJ$22,MONTH(V1054),"")</f>
        <v/>
      </c>
      <c r="AK1054" s="86">
        <f>+IF(AG1054=$AK$22,MONTH(V1054),"")</f>
        <v>2</v>
      </c>
      <c r="AL1054" s="86" t="str">
        <f>+IF(AG1054=$AL$22,MONTH(V1054),"")</f>
        <v/>
      </c>
      <c r="AM1054" s="86" t="str">
        <f>+IF($AG1054=$AM$22,MONTH($D1054),"")</f>
        <v/>
      </c>
      <c r="AN1054" s="89" t="str">
        <f>+IF($AG1054=AN$22,MONTH($D1054),"")</f>
        <v/>
      </c>
      <c r="AO1054" s="89" t="str">
        <f>+IF($AG1054=AO$22,MONTH($D1054),"")</f>
        <v/>
      </c>
      <c r="AP1054" s="89" t="str">
        <f>+IF($AG1054=AP$22,MONTH($D1054),"")</f>
        <v/>
      </c>
      <c r="AQ1054" s="89" t="str">
        <f>+IF($AG1054=AQ$22,MONTH($D1054),"")</f>
        <v/>
      </c>
      <c r="AR1054" s="89" t="str">
        <f>+IF($AG1054=AR$22,MONTH($D1054),"")</f>
        <v/>
      </c>
      <c r="AS1054" s="89" t="str">
        <f>+IF($AG1054=AS$22,MONTH($D1054),"")</f>
        <v/>
      </c>
      <c r="AT1054" s="89" t="str">
        <f>+IF($AG1054=AT$22,MONTH($D1054),"")</f>
        <v/>
      </c>
      <c r="AU1054" s="89" t="str">
        <f>+IF($AG1054=AU$22,MONTH($D1054),"")</f>
        <v/>
      </c>
      <c r="AV1054" s="89" t="str">
        <f>+IF($AG1054=AV$22,MONTH($D1054),"")</f>
        <v/>
      </c>
      <c r="AW1054" s="86" t="str">
        <f>+IF($AG1054=AW$22,MONTH($D1054),"")</f>
        <v/>
      </c>
      <c r="AX1054" s="86" t="str">
        <f>+IF($AG1054=AX$22,MONTH($D1054),"")</f>
        <v/>
      </c>
      <c r="AY1054" s="89"/>
      <c r="AZ1054" s="89"/>
      <c r="BA1054" s="89"/>
      <c r="BB1054" s="89"/>
      <c r="BC1054" s="89"/>
      <c r="BD1054" s="89"/>
      <c r="BE1054" s="89"/>
      <c r="BF1054" s="89"/>
      <c r="BG1054" s="89"/>
      <c r="BH1054" s="89"/>
      <c r="BI1054" s="89"/>
      <c r="BJ1054" s="89"/>
      <c r="BK1054" s="89"/>
      <c r="BL1054" s="89"/>
      <c r="BM1054" s="89"/>
      <c r="BN1054" s="89"/>
      <c r="BO1054" s="89"/>
      <c r="BP1054" s="89"/>
    </row>
    <row r="1055" spans="1:68" s="56" customFormat="1" ht="24.75" hidden="1" customHeight="1">
      <c r="A1055" s="204">
        <f>+IFERROR(VALUE(MID(AB1055,4,4)),"")</f>
        <v>331</v>
      </c>
      <c r="B1055" s="204">
        <f>VALUE(RIGHT(C1055,LEN(C1055)-2))</f>
        <v>1668</v>
      </c>
      <c r="C1055" s="74" t="s">
        <v>3994</v>
      </c>
      <c r="D1055" s="75">
        <v>44921</v>
      </c>
      <c r="E1055" s="70" t="s">
        <v>277</v>
      </c>
      <c r="F1055" s="70" t="s">
        <v>277</v>
      </c>
      <c r="G1055" s="68" t="s">
        <v>1781</v>
      </c>
      <c r="H1055" s="59" t="s">
        <v>2413</v>
      </c>
      <c r="I1055" s="69" t="s">
        <v>3995</v>
      </c>
      <c r="J1055" s="69"/>
      <c r="K1055" s="68" t="s">
        <v>13</v>
      </c>
      <c r="L1055" s="69" t="s">
        <v>129</v>
      </c>
      <c r="M1055" s="71" t="s">
        <v>141</v>
      </c>
      <c r="N1055" s="69" t="e" vm="1">
        <v>#VALUE!</v>
      </c>
      <c r="O1055" s="84">
        <v>44951</v>
      </c>
      <c r="P1055" s="82" t="s">
        <v>402</v>
      </c>
      <c r="Q1055" s="72" t="s">
        <v>1097</v>
      </c>
      <c r="R1055" s="162"/>
      <c r="S1055" s="146" t="s">
        <v>3996</v>
      </c>
      <c r="T1055" s="68" t="s">
        <v>3</v>
      </c>
      <c r="U1055" s="87"/>
      <c r="V1055" s="80">
        <v>44991</v>
      </c>
      <c r="W1055" s="73">
        <v>15000</v>
      </c>
      <c r="X1055" s="150">
        <v>627</v>
      </c>
      <c r="Y1055" s="83">
        <f>IF(SUM(W1055:W1055)&gt;0,X1055/SUM(W1055:W1055)*1000000,"N/A")</f>
        <v>41800</v>
      </c>
      <c r="Z1055" s="80"/>
      <c r="AA1055" s="80"/>
      <c r="AB1055" s="73" t="s">
        <v>3997</v>
      </c>
      <c r="AC1055" s="153"/>
      <c r="AD1055" s="331"/>
      <c r="AE1055" s="57"/>
      <c r="AF1055" s="88"/>
      <c r="AG1055" s="182">
        <f>YEAR(V1055)</f>
        <v>2023</v>
      </c>
      <c r="AH1055" s="86" t="str">
        <f>+IF(AF1055=$AI$22,MONTH(U1055),"")</f>
        <v/>
      </c>
      <c r="AI1055" s="86" t="str">
        <f>+IF(AG1055=$AI$22,MONTH(V1055),"")</f>
        <v/>
      </c>
      <c r="AJ1055" s="86" t="str">
        <f>+IF(AG1055=$AJ$22,MONTH(V1055),"")</f>
        <v/>
      </c>
      <c r="AK1055" s="86">
        <f>+IF(AG1055=$AK$22,MONTH(V1055),"")</f>
        <v>3</v>
      </c>
      <c r="AL1055" s="86" t="str">
        <f>+IF(AG1055=$AL$22,MONTH(V1055),"")</f>
        <v/>
      </c>
      <c r="AM1055" s="86" t="str">
        <f>+IF($AG1055=$AM$22,MONTH($D1055),"")</f>
        <v/>
      </c>
      <c r="AN1055" s="89" t="str">
        <f>+IF($AG1055=AN$22,MONTH($D1055),"")</f>
        <v/>
      </c>
      <c r="AO1055" s="89" t="str">
        <f>+IF($AG1055=AO$22,MONTH($D1055),"")</f>
        <v/>
      </c>
      <c r="AP1055" s="89" t="str">
        <f>+IF($AG1055=AP$22,MONTH($D1055),"")</f>
        <v/>
      </c>
      <c r="AQ1055" s="89" t="str">
        <f>+IF($AG1055=AQ$22,MONTH($D1055),"")</f>
        <v/>
      </c>
      <c r="AR1055" s="89" t="str">
        <f>+IF($AG1055=AR$22,MONTH($D1055),"")</f>
        <v/>
      </c>
      <c r="AS1055" s="89" t="str">
        <f>+IF($AG1055=AS$22,MONTH($D1055),"")</f>
        <v/>
      </c>
      <c r="AT1055" s="89" t="str">
        <f>+IF($AG1055=AT$22,MONTH($D1055),"")</f>
        <v/>
      </c>
      <c r="AU1055" s="89" t="str">
        <f>+IF($AG1055=AU$22,MONTH($D1055),"")</f>
        <v/>
      </c>
      <c r="AV1055" s="89" t="str">
        <f>+IF($AG1055=AV$22,MONTH($D1055),"")</f>
        <v/>
      </c>
      <c r="AW1055" s="86" t="str">
        <f>+IF($AG1055=AW$22,MONTH($D1055),"")</f>
        <v/>
      </c>
      <c r="AX1055" s="86" t="str">
        <f>+IF($AG1055=AX$22,MONTH($D1055),"")</f>
        <v/>
      </c>
      <c r="AY1055" s="89"/>
      <c r="AZ1055" s="89"/>
      <c r="BA1055" s="89"/>
      <c r="BB1055" s="89"/>
      <c r="BC1055" s="89"/>
      <c r="BD1055" s="89"/>
      <c r="BE1055" s="89"/>
      <c r="BF1055" s="89"/>
      <c r="BG1055" s="89"/>
      <c r="BH1055" s="89"/>
      <c r="BI1055" s="89"/>
      <c r="BJ1055" s="89"/>
      <c r="BK1055" s="89"/>
      <c r="BL1055" s="89"/>
      <c r="BM1055" s="89"/>
      <c r="BN1055" s="89"/>
      <c r="BO1055" s="89"/>
      <c r="BP1055" s="89"/>
    </row>
    <row r="1056" spans="1:68" s="56" customFormat="1" ht="24.75" hidden="1" customHeight="1">
      <c r="A1056" s="204" t="str">
        <f>+IFERROR(VALUE(MID(AB1056,4,4)),"")</f>
        <v/>
      </c>
      <c r="B1056" s="204">
        <f>VALUE(RIGHT(C1056,LEN(C1056)-2))</f>
        <v>1667</v>
      </c>
      <c r="C1056" s="74" t="s">
        <v>3998</v>
      </c>
      <c r="D1056" s="75">
        <v>44921</v>
      </c>
      <c r="E1056" s="70" t="s">
        <v>394</v>
      </c>
      <c r="F1056" s="70" t="s">
        <v>394</v>
      </c>
      <c r="G1056" s="68" t="s">
        <v>3999</v>
      </c>
      <c r="H1056" s="59" t="s">
        <v>4000</v>
      </c>
      <c r="I1056" s="69" t="s">
        <v>4001</v>
      </c>
      <c r="J1056" s="69"/>
      <c r="K1056" s="68" t="s">
        <v>13</v>
      </c>
      <c r="L1056" s="69" t="s">
        <v>123</v>
      </c>
      <c r="M1056" s="71" t="s">
        <v>141</v>
      </c>
      <c r="N1056" s="69" t="e" vm="1">
        <v>#VALUE!</v>
      </c>
      <c r="O1056" s="84">
        <v>44960</v>
      </c>
      <c r="P1056" s="82" t="s">
        <v>749</v>
      </c>
      <c r="Q1056" s="72" t="s">
        <v>229</v>
      </c>
      <c r="R1056" s="162"/>
      <c r="S1056" s="146"/>
      <c r="T1056" s="68" t="s">
        <v>165</v>
      </c>
      <c r="U1056" s="87">
        <v>0</v>
      </c>
      <c r="V1056" s="80">
        <v>45099</v>
      </c>
      <c r="W1056" s="73">
        <v>2526</v>
      </c>
      <c r="X1056" s="73">
        <v>97</v>
      </c>
      <c r="Y1056" s="83">
        <f>IF(SUM(W1056:W1056)&gt;0,X1056/SUM(W1056:W1056)*1000000,"N/A")</f>
        <v>38400.633412509895</v>
      </c>
      <c r="Z1056" s="80"/>
      <c r="AA1056" s="80"/>
      <c r="AB1056" s="73"/>
      <c r="AC1056" s="153"/>
      <c r="AD1056" s="331"/>
      <c r="AE1056" s="57"/>
      <c r="AF1056" s="88"/>
      <c r="AG1056" s="182">
        <f>YEAR(V1056)</f>
        <v>2023</v>
      </c>
      <c r="AH1056" s="86" t="str">
        <f>+IF(AF1056=$AI$22,MONTH(U1056),"")</f>
        <v/>
      </c>
      <c r="AI1056" s="86" t="str">
        <f>+IF(AG1056=$AI$22,MONTH(V1056),"")</f>
        <v/>
      </c>
      <c r="AJ1056" s="86" t="str">
        <f>+IF(AG1056=$AJ$22,MONTH(V1056),"")</f>
        <v/>
      </c>
      <c r="AK1056" s="86">
        <f>+IF(AG1056=$AK$22,MONTH(V1056),"")</f>
        <v>6</v>
      </c>
      <c r="AL1056" s="86" t="str">
        <f>+IF(AG1056=$AL$22,MONTH(V1056),"")</f>
        <v/>
      </c>
      <c r="AM1056" s="86" t="str">
        <f>+IF($AG1056=$AM$22,MONTH($D1056),"")</f>
        <v/>
      </c>
      <c r="AN1056" s="89" t="str">
        <f>+IF($AG1056=AN$22,MONTH($D1056),"")</f>
        <v/>
      </c>
      <c r="AO1056" s="89" t="str">
        <f>+IF($AG1056=AO$22,MONTH($D1056),"")</f>
        <v/>
      </c>
      <c r="AP1056" s="89" t="str">
        <f>+IF($AG1056=AP$22,MONTH($D1056),"")</f>
        <v/>
      </c>
      <c r="AQ1056" s="89" t="str">
        <f>+IF($AG1056=AQ$22,MONTH($D1056),"")</f>
        <v/>
      </c>
      <c r="AR1056" s="89" t="str">
        <f>+IF($AG1056=AR$22,MONTH($D1056),"")</f>
        <v/>
      </c>
      <c r="AS1056" s="89" t="str">
        <f>+IF($AG1056=AS$22,MONTH($D1056),"")</f>
        <v/>
      </c>
      <c r="AT1056" s="89" t="str">
        <f>+IF($AG1056=AT$22,MONTH($D1056),"")</f>
        <v/>
      </c>
      <c r="AU1056" s="89" t="str">
        <f>+IF($AG1056=AU$22,MONTH($D1056),"")</f>
        <v/>
      </c>
      <c r="AV1056" s="89" t="str">
        <f>+IF($AG1056=AV$22,MONTH($D1056),"")</f>
        <v/>
      </c>
      <c r="AW1056" s="86" t="str">
        <f>+IF($AG1056=AW$22,MONTH($D1056),"")</f>
        <v/>
      </c>
      <c r="AX1056" s="86" t="str">
        <f>+IF($AG1056=AX$22,MONTH($D1056),"")</f>
        <v/>
      </c>
      <c r="AY1056" s="89"/>
      <c r="AZ1056" s="89"/>
      <c r="BA1056" s="89"/>
      <c r="BB1056" s="89"/>
      <c r="BC1056" s="89"/>
      <c r="BD1056" s="89"/>
      <c r="BE1056" s="89"/>
      <c r="BF1056" s="89"/>
      <c r="BG1056" s="89"/>
      <c r="BH1056" s="89"/>
      <c r="BI1056" s="89"/>
      <c r="BJ1056" s="89"/>
      <c r="BK1056" s="89"/>
      <c r="BL1056" s="89"/>
      <c r="BM1056" s="89"/>
      <c r="BN1056" s="89"/>
      <c r="BO1056" s="89"/>
      <c r="BP1056" s="89"/>
    </row>
    <row r="1057" spans="1:68" s="56" customFormat="1" ht="27" hidden="1">
      <c r="A1057" s="204" t="str">
        <f>+IFERROR(VALUE(MID(AB1057,4,4)),"")</f>
        <v/>
      </c>
      <c r="B1057" s="204">
        <f>VALUE(RIGHT(C1057,LEN(C1057)-2))</f>
        <v>1666</v>
      </c>
      <c r="C1057" s="74" t="s">
        <v>4002</v>
      </c>
      <c r="D1057" s="75">
        <v>44921</v>
      </c>
      <c r="E1057" s="70" t="s">
        <v>394</v>
      </c>
      <c r="F1057" s="70" t="s">
        <v>394</v>
      </c>
      <c r="G1057" s="68" t="s">
        <v>3999</v>
      </c>
      <c r="H1057" s="59" t="s">
        <v>4000</v>
      </c>
      <c r="I1057" s="69" t="s">
        <v>4003</v>
      </c>
      <c r="J1057" s="69"/>
      <c r="K1057" s="68" t="s">
        <v>13</v>
      </c>
      <c r="L1057" s="69" t="s">
        <v>123</v>
      </c>
      <c r="M1057" s="71" t="s">
        <v>141</v>
      </c>
      <c r="N1057" s="69" t="e" vm="1">
        <v>#VALUE!</v>
      </c>
      <c r="O1057" s="84">
        <v>44960</v>
      </c>
      <c r="P1057" s="82" t="s">
        <v>228</v>
      </c>
      <c r="Q1057" s="72" t="s">
        <v>316</v>
      </c>
      <c r="R1057" s="162"/>
      <c r="S1057" s="146"/>
      <c r="T1057" s="68" t="s">
        <v>165</v>
      </c>
      <c r="U1057" s="87">
        <v>0</v>
      </c>
      <c r="V1057" s="80">
        <v>45099</v>
      </c>
      <c r="W1057" s="73">
        <v>7890</v>
      </c>
      <c r="X1057" s="73">
        <v>299</v>
      </c>
      <c r="Y1057" s="83">
        <f>IF(SUM(W1057:W1057)&gt;0,X1057/SUM(W1057:W1057)*1000000,"N/A")</f>
        <v>37896.070975918883</v>
      </c>
      <c r="Z1057" s="80"/>
      <c r="AA1057" s="80"/>
      <c r="AB1057" s="73"/>
      <c r="AC1057" s="153"/>
      <c r="AD1057" s="331"/>
      <c r="AE1057" s="57"/>
      <c r="AF1057" s="88"/>
      <c r="AG1057" s="182">
        <f>YEAR(V1057)</f>
        <v>2023</v>
      </c>
      <c r="AH1057" s="86" t="str">
        <f>+IF(AF1057=$AI$22,MONTH(U1057),"")</f>
        <v/>
      </c>
      <c r="AI1057" s="86" t="str">
        <f>+IF(AG1057=$AI$22,MONTH(V1057),"")</f>
        <v/>
      </c>
      <c r="AJ1057" s="86" t="str">
        <f>+IF(AG1057=$AJ$22,MONTH(V1057),"")</f>
        <v/>
      </c>
      <c r="AK1057" s="86">
        <f>+IF(AG1057=$AK$22,MONTH(V1057),"")</f>
        <v>6</v>
      </c>
      <c r="AL1057" s="86" t="str">
        <f>+IF(AG1057=$AL$22,MONTH(V1057),"")</f>
        <v/>
      </c>
      <c r="AM1057" s="86" t="str">
        <f>+IF($AG1057=$AM$22,MONTH($D1057),"")</f>
        <v/>
      </c>
      <c r="AN1057" s="89" t="str">
        <f>+IF($AG1057=AN$22,MONTH($D1057),"")</f>
        <v/>
      </c>
      <c r="AO1057" s="89" t="str">
        <f>+IF($AG1057=AO$22,MONTH($D1057),"")</f>
        <v/>
      </c>
      <c r="AP1057" s="89" t="str">
        <f>+IF($AG1057=AP$22,MONTH($D1057),"")</f>
        <v/>
      </c>
      <c r="AQ1057" s="89" t="str">
        <f>+IF($AG1057=AQ$22,MONTH($D1057),"")</f>
        <v/>
      </c>
      <c r="AR1057" s="89" t="str">
        <f>+IF($AG1057=AR$22,MONTH($D1057),"")</f>
        <v/>
      </c>
      <c r="AS1057" s="89" t="str">
        <f>+IF($AG1057=AS$22,MONTH($D1057),"")</f>
        <v/>
      </c>
      <c r="AT1057" s="89" t="str">
        <f>+IF($AG1057=AT$22,MONTH($D1057),"")</f>
        <v/>
      </c>
      <c r="AU1057" s="89" t="str">
        <f>+IF($AG1057=AU$22,MONTH($D1057),"")</f>
        <v/>
      </c>
      <c r="AV1057" s="89" t="str">
        <f>+IF($AG1057=AV$22,MONTH($D1057),"")</f>
        <v/>
      </c>
      <c r="AW1057" s="86" t="str">
        <f>+IF($AG1057=AW$22,MONTH($D1057),"")</f>
        <v/>
      </c>
      <c r="AX1057" s="86" t="str">
        <f>+IF($AG1057=AX$22,MONTH($D1057),"")</f>
        <v/>
      </c>
      <c r="AY1057" s="89"/>
      <c r="AZ1057" s="89"/>
      <c r="BA1057" s="89"/>
      <c r="BB1057" s="89"/>
      <c r="BC1057" s="89"/>
      <c r="BD1057" s="89"/>
      <c r="BE1057" s="89"/>
      <c r="BF1057" s="89"/>
      <c r="BG1057" s="89"/>
      <c r="BH1057" s="89"/>
      <c r="BI1057" s="89"/>
      <c r="BJ1057" s="89"/>
      <c r="BK1057" s="89"/>
      <c r="BL1057" s="89"/>
      <c r="BM1057" s="89"/>
      <c r="BN1057" s="89"/>
      <c r="BO1057" s="89"/>
      <c r="BP1057" s="89"/>
    </row>
    <row r="1058" spans="1:68" s="56" customFormat="1" ht="81" hidden="1">
      <c r="A1058" s="204" t="str">
        <f>+IFERROR(VALUE(MID(AB1058,4,4)),"")</f>
        <v/>
      </c>
      <c r="B1058" s="204">
        <f>VALUE(RIGHT(C1058,LEN(C1058)-2))</f>
        <v>1665</v>
      </c>
      <c r="C1058" s="74" t="s">
        <v>4004</v>
      </c>
      <c r="D1058" s="75">
        <v>44917</v>
      </c>
      <c r="E1058" s="70" t="s">
        <v>848</v>
      </c>
      <c r="F1058" s="70" t="s">
        <v>848</v>
      </c>
      <c r="G1058" s="68" t="s">
        <v>4005</v>
      </c>
      <c r="H1058" s="59"/>
      <c r="I1058" s="69" t="s">
        <v>4006</v>
      </c>
      <c r="J1058" s="69"/>
      <c r="K1058" s="68" t="s">
        <v>212</v>
      </c>
      <c r="L1058" s="69" t="s">
        <v>123</v>
      </c>
      <c r="M1058" s="71" t="s">
        <v>141</v>
      </c>
      <c r="N1058" s="69" t="e" vm="1">
        <v>#VALUE!</v>
      </c>
      <c r="O1058" s="84">
        <v>44972</v>
      </c>
      <c r="P1058" s="82" t="s">
        <v>228</v>
      </c>
      <c r="Q1058" s="82" t="s">
        <v>405</v>
      </c>
      <c r="R1058" s="69"/>
      <c r="S1058" s="146"/>
      <c r="T1058" s="68" t="s">
        <v>165</v>
      </c>
      <c r="U1058" s="87"/>
      <c r="V1058" s="80">
        <v>44979</v>
      </c>
      <c r="W1058" s="73">
        <v>1000</v>
      </c>
      <c r="X1058" s="73">
        <v>42</v>
      </c>
      <c r="Y1058" s="83">
        <f>IF(SUM(W1058:W1058)&gt;0,X1058/SUM(W1058:W1058)*1000000,"N/A")</f>
        <v>42000</v>
      </c>
      <c r="Z1058" s="80"/>
      <c r="AA1058" s="80"/>
      <c r="AB1058" s="73"/>
      <c r="AC1058" s="153"/>
      <c r="AD1058" s="331"/>
      <c r="AE1058" s="57"/>
      <c r="AF1058" s="88" t="s">
        <v>4007</v>
      </c>
      <c r="AG1058" s="182">
        <f>YEAR(V1058)</f>
        <v>2023</v>
      </c>
      <c r="AH1058" s="86" t="str">
        <f>+IF(AF1058=$AI$22,MONTH(U1058),"")</f>
        <v/>
      </c>
      <c r="AI1058" s="86" t="str">
        <f>+IF(AG1058=$AI$22,MONTH(V1058),"")</f>
        <v/>
      </c>
      <c r="AJ1058" s="86" t="str">
        <f>+IF(AG1058=$AJ$22,MONTH(V1058),"")</f>
        <v/>
      </c>
      <c r="AK1058" s="86">
        <f>+IF(AG1058=$AK$22,MONTH(V1058),"")</f>
        <v>2</v>
      </c>
      <c r="AL1058" s="86" t="str">
        <f>+IF(AG1058=$AL$22,MONTH(V1058),"")</f>
        <v/>
      </c>
      <c r="AM1058" s="86" t="str">
        <f>+IF($AG1058=$AM$22,MONTH($D1058),"")</f>
        <v/>
      </c>
      <c r="AN1058" s="89" t="str">
        <f>+IF($AG1058=AN$22,MONTH($D1058),"")</f>
        <v/>
      </c>
      <c r="AO1058" s="89" t="str">
        <f>+IF($AG1058=AO$22,MONTH($D1058),"")</f>
        <v/>
      </c>
      <c r="AP1058" s="89" t="str">
        <f>+IF($AG1058=AP$22,MONTH($D1058),"")</f>
        <v/>
      </c>
      <c r="AQ1058" s="89" t="str">
        <f>+IF($AG1058=AQ$22,MONTH($D1058),"")</f>
        <v/>
      </c>
      <c r="AR1058" s="89" t="str">
        <f>+IF($AG1058=AR$22,MONTH($D1058),"")</f>
        <v/>
      </c>
      <c r="AS1058" s="89" t="str">
        <f>+IF($AG1058=AS$22,MONTH($D1058),"")</f>
        <v/>
      </c>
      <c r="AT1058" s="89" t="str">
        <f>+IF($AG1058=AT$22,MONTH($D1058),"")</f>
        <v/>
      </c>
      <c r="AU1058" s="89" t="str">
        <f>+IF($AG1058=AU$22,MONTH($D1058),"")</f>
        <v/>
      </c>
      <c r="AV1058" s="89" t="str">
        <f>+IF($AG1058=AV$22,MONTH($D1058),"")</f>
        <v/>
      </c>
      <c r="AW1058" s="86" t="str">
        <f>+IF($AG1058=AW$22,MONTH($D1058),"")</f>
        <v/>
      </c>
      <c r="AX1058" s="86" t="str">
        <f>+IF($AG1058=AX$22,MONTH($D1058),"")</f>
        <v/>
      </c>
      <c r="AY1058" s="89"/>
      <c r="AZ1058" s="89"/>
      <c r="BA1058" s="89"/>
      <c r="BB1058" s="89"/>
      <c r="BC1058" s="89"/>
      <c r="BD1058" s="89"/>
      <c r="BE1058" s="89"/>
      <c r="BF1058" s="89"/>
      <c r="BG1058" s="89"/>
      <c r="BH1058" s="89"/>
      <c r="BI1058" s="89"/>
      <c r="BJ1058" s="89"/>
      <c r="BK1058" s="89"/>
      <c r="BL1058" s="89"/>
      <c r="BM1058" s="89"/>
      <c r="BN1058" s="89"/>
      <c r="BO1058" s="89"/>
      <c r="BP1058" s="89"/>
    </row>
    <row r="1059" spans="1:68" s="56" customFormat="1" ht="27" hidden="1">
      <c r="A1059" s="204">
        <f>+IFERROR(VALUE(MID(AB1059,4,4)),"")</f>
        <v>319</v>
      </c>
      <c r="B1059" s="204">
        <f>VALUE(RIGHT(C1059,LEN(C1059)-2))</f>
        <v>1664</v>
      </c>
      <c r="C1059" s="74" t="s">
        <v>4008</v>
      </c>
      <c r="D1059" s="75">
        <v>44929</v>
      </c>
      <c r="E1059" s="70" t="s">
        <v>223</v>
      </c>
      <c r="F1059" s="70" t="s">
        <v>223</v>
      </c>
      <c r="G1059" s="68" t="s">
        <v>4009</v>
      </c>
      <c r="H1059" s="59" t="s">
        <v>4010</v>
      </c>
      <c r="I1059" s="69" t="s">
        <v>4011</v>
      </c>
      <c r="J1059" s="69"/>
      <c r="K1059" s="95" t="s">
        <v>14</v>
      </c>
      <c r="L1059" s="69" t="s">
        <v>123</v>
      </c>
      <c r="M1059" s="71" t="s">
        <v>141</v>
      </c>
      <c r="N1059" s="69" t="e" vm="1">
        <v>#VALUE!</v>
      </c>
      <c r="O1059" s="84">
        <v>44924</v>
      </c>
      <c r="P1059" s="82" t="s">
        <v>749</v>
      </c>
      <c r="Q1059" s="82" t="s">
        <v>229</v>
      </c>
      <c r="R1059" s="69"/>
      <c r="S1059" s="146"/>
      <c r="T1059" s="68" t="s">
        <v>3</v>
      </c>
      <c r="U1059" s="87"/>
      <c r="V1059" s="80">
        <v>44932</v>
      </c>
      <c r="W1059" s="73">
        <v>339</v>
      </c>
      <c r="X1059" s="73">
        <v>14</v>
      </c>
      <c r="Y1059" s="83">
        <f>IF(SUM(W1059:W1059)&gt;0,X1059/SUM(W1059:W1059)*1000000,"N/A")</f>
        <v>41297.935103244839</v>
      </c>
      <c r="Z1059" s="80"/>
      <c r="AA1059" s="80"/>
      <c r="AB1059" s="73" t="s">
        <v>4012</v>
      </c>
      <c r="AC1059" s="153"/>
      <c r="AD1059" s="331"/>
      <c r="AE1059" s="57"/>
      <c r="AF1059" s="88"/>
      <c r="AG1059" s="182">
        <f>YEAR(V1059)</f>
        <v>2023</v>
      </c>
      <c r="AH1059" s="86" t="str">
        <f>+IF(AF1059=$AI$22,MONTH(U1059),"")</f>
        <v/>
      </c>
      <c r="AI1059" s="86" t="str">
        <f>+IF(AG1059=$AI$22,MONTH(V1059),"")</f>
        <v/>
      </c>
      <c r="AJ1059" s="86" t="str">
        <f>+IF(AG1059=$AJ$22,MONTH(V1059),"")</f>
        <v/>
      </c>
      <c r="AK1059" s="86">
        <f>+IF(AG1059=$AK$22,MONTH(V1059),"")</f>
        <v>1</v>
      </c>
      <c r="AL1059" s="86" t="str">
        <f>+IF(AG1059=$AL$22,MONTH(V1059),"")</f>
        <v/>
      </c>
      <c r="AM1059" s="86" t="str">
        <f>+IF($AG1059=$AM$22,MONTH($D1059),"")</f>
        <v/>
      </c>
      <c r="AN1059" s="89" t="str">
        <f>+IF($AG1059=AN$22,MONTH($D1059),"")</f>
        <v/>
      </c>
      <c r="AO1059" s="89" t="str">
        <f>+IF($AG1059=AO$22,MONTH($D1059),"")</f>
        <v/>
      </c>
      <c r="AP1059" s="89" t="str">
        <f>+IF($AG1059=AP$22,MONTH($D1059),"")</f>
        <v/>
      </c>
      <c r="AQ1059" s="89" t="str">
        <f>+IF($AG1059=AQ$22,MONTH($D1059),"")</f>
        <v/>
      </c>
      <c r="AR1059" s="89" t="str">
        <f>+IF($AG1059=AR$22,MONTH($D1059),"")</f>
        <v/>
      </c>
      <c r="AS1059" s="89" t="str">
        <f>+IF($AG1059=AS$22,MONTH($D1059),"")</f>
        <v/>
      </c>
      <c r="AT1059" s="89" t="str">
        <f>+IF($AG1059=AT$22,MONTH($D1059),"")</f>
        <v/>
      </c>
      <c r="AU1059" s="89" t="str">
        <f>+IF($AG1059=AU$22,MONTH($D1059),"")</f>
        <v/>
      </c>
      <c r="AV1059" s="89" t="str">
        <f>+IF($AG1059=AV$22,MONTH($D1059),"")</f>
        <v/>
      </c>
      <c r="AW1059" s="86" t="str">
        <f>+IF($AG1059=AW$22,MONTH($D1059),"")</f>
        <v/>
      </c>
      <c r="AX1059" s="86" t="str">
        <f>+IF($AG1059=AX$22,MONTH($D1059),"")</f>
        <v/>
      </c>
      <c r="AY1059" s="89"/>
      <c r="AZ1059" s="89"/>
      <c r="BA1059" s="89"/>
      <c r="BB1059" s="89"/>
      <c r="BC1059" s="89"/>
      <c r="BD1059" s="89"/>
      <c r="BE1059" s="89"/>
      <c r="BF1059" s="89"/>
      <c r="BG1059" s="89"/>
      <c r="BH1059" s="89"/>
      <c r="BI1059" s="89"/>
      <c r="BJ1059" s="89"/>
      <c r="BK1059" s="89"/>
      <c r="BL1059" s="89"/>
      <c r="BM1059" s="89"/>
      <c r="BN1059" s="89"/>
      <c r="BO1059" s="89"/>
      <c r="BP1059" s="89"/>
    </row>
    <row r="1060" spans="1:68" s="56" customFormat="1" ht="27" hidden="1">
      <c r="A1060" s="204">
        <f>+IFERROR(VALUE(MID(AB1060,4,4)),"")</f>
        <v>274</v>
      </c>
      <c r="B1060" s="204">
        <f>VALUE(RIGHT(C1060,LEN(C1060)-2))</f>
        <v>1663</v>
      </c>
      <c r="C1060" s="74" t="s">
        <v>4013</v>
      </c>
      <c r="D1060" s="75">
        <v>44915</v>
      </c>
      <c r="E1060" s="70" t="s">
        <v>1054</v>
      </c>
      <c r="F1060" s="70" t="s">
        <v>252</v>
      </c>
      <c r="G1060" s="68" t="s">
        <v>1055</v>
      </c>
      <c r="H1060" s="59" t="s">
        <v>1056</v>
      </c>
      <c r="I1060" s="69" t="s">
        <v>4014</v>
      </c>
      <c r="J1060" s="69"/>
      <c r="K1060" s="68" t="s">
        <v>13</v>
      </c>
      <c r="L1060" s="69" t="s">
        <v>129</v>
      </c>
      <c r="M1060" s="71" t="s">
        <v>141</v>
      </c>
      <c r="N1060" s="69" t="e" vm="1">
        <v>#VALUE!</v>
      </c>
      <c r="O1060" s="84">
        <v>45016</v>
      </c>
      <c r="P1060" s="72" t="s">
        <v>364</v>
      </c>
      <c r="Q1060" s="82" t="s">
        <v>623</v>
      </c>
      <c r="R1060" s="69"/>
      <c r="S1060" s="146" t="s">
        <v>2422</v>
      </c>
      <c r="T1060" s="68" t="s">
        <v>3</v>
      </c>
      <c r="U1060" s="87"/>
      <c r="V1060" s="80">
        <v>45022</v>
      </c>
      <c r="W1060" s="73">
        <v>1586</v>
      </c>
      <c r="X1060" s="73">
        <v>39.700000000000003</v>
      </c>
      <c r="Y1060" s="83">
        <f>IF(SUM(W1060:W1060)&gt;0,X1060/SUM(W1060:W1060)*1000000,"N/A")</f>
        <v>25031.525851197981</v>
      </c>
      <c r="Z1060" s="80"/>
      <c r="AA1060" s="80"/>
      <c r="AB1060" s="73" t="s">
        <v>4015</v>
      </c>
      <c r="AC1060" s="153"/>
      <c r="AD1060" s="331"/>
      <c r="AE1060" s="57"/>
      <c r="AF1060" s="88"/>
      <c r="AG1060" s="182">
        <f>YEAR(V1060)</f>
        <v>2023</v>
      </c>
      <c r="AH1060" s="86" t="str">
        <f>+IF(AF1060=$AI$22,MONTH(U1060),"")</f>
        <v/>
      </c>
      <c r="AI1060" s="86" t="str">
        <f>+IF(AG1060=$AI$22,MONTH(V1060),"")</f>
        <v/>
      </c>
      <c r="AJ1060" s="86" t="str">
        <f>+IF(AG1060=$AJ$22,MONTH(V1060),"")</f>
        <v/>
      </c>
      <c r="AK1060" s="86">
        <f>+IF(AG1060=$AK$22,MONTH(V1060),"")</f>
        <v>4</v>
      </c>
      <c r="AL1060" s="86" t="str">
        <f>+IF(AG1060=$AL$22,MONTH(V1060),"")</f>
        <v/>
      </c>
      <c r="AM1060" s="86" t="str">
        <f>+IF($AG1060=$AM$22,MONTH($D1060),"")</f>
        <v/>
      </c>
      <c r="AN1060" s="89" t="str">
        <f>+IF($AG1060=AN$22,MONTH($D1060),"")</f>
        <v/>
      </c>
      <c r="AO1060" s="89" t="str">
        <f>+IF($AG1060=AO$22,MONTH($D1060),"")</f>
        <v/>
      </c>
      <c r="AP1060" s="89" t="str">
        <f>+IF($AG1060=AP$22,MONTH($D1060),"")</f>
        <v/>
      </c>
      <c r="AQ1060" s="89" t="str">
        <f>+IF($AG1060=AQ$22,MONTH($D1060),"")</f>
        <v/>
      </c>
      <c r="AR1060" s="89" t="str">
        <f>+IF($AG1060=AR$22,MONTH($D1060),"")</f>
        <v/>
      </c>
      <c r="AS1060" s="89" t="str">
        <f>+IF($AG1060=AS$22,MONTH($D1060),"")</f>
        <v/>
      </c>
      <c r="AT1060" s="89" t="str">
        <f>+IF($AG1060=AT$22,MONTH($D1060),"")</f>
        <v/>
      </c>
      <c r="AU1060" s="89" t="str">
        <f>+IF($AG1060=AU$22,MONTH($D1060),"")</f>
        <v/>
      </c>
      <c r="AV1060" s="89" t="str">
        <f>+IF($AG1060=AV$22,MONTH($D1060),"")</f>
        <v/>
      </c>
      <c r="AW1060" s="86" t="str">
        <f>+IF($AG1060=AW$22,MONTH($D1060),"")</f>
        <v/>
      </c>
      <c r="AX1060" s="86" t="str">
        <f>+IF($AG1060=AX$22,MONTH($D1060),"")</f>
        <v/>
      </c>
      <c r="AY1060" s="89"/>
      <c r="AZ1060" s="89"/>
      <c r="BA1060" s="89"/>
      <c r="BB1060" s="89"/>
      <c r="BC1060" s="89"/>
      <c r="BD1060" s="89"/>
      <c r="BE1060" s="89"/>
      <c r="BF1060" s="89"/>
      <c r="BG1060" s="89"/>
      <c r="BH1060" s="89"/>
      <c r="BI1060" s="89"/>
      <c r="BJ1060" s="89"/>
      <c r="BK1060" s="89"/>
      <c r="BL1060" s="89"/>
      <c r="BM1060" s="89"/>
      <c r="BN1060" s="89"/>
      <c r="BO1060" s="89"/>
      <c r="BP1060" s="89"/>
    </row>
    <row r="1061" spans="1:68" s="56" customFormat="1" ht="27" hidden="1">
      <c r="A1061" s="204" t="str">
        <f>+IFERROR(VALUE(MID(AB1061,4,4)),"")</f>
        <v/>
      </c>
      <c r="B1061" s="204">
        <f>VALUE(RIGHT(C1061,LEN(C1061)-2))</f>
        <v>1662</v>
      </c>
      <c r="C1061" s="74" t="s">
        <v>4016</v>
      </c>
      <c r="D1061" s="75">
        <v>44911</v>
      </c>
      <c r="E1061" s="70" t="s">
        <v>277</v>
      </c>
      <c r="F1061" s="70" t="s">
        <v>277</v>
      </c>
      <c r="G1061" s="68" t="s">
        <v>3342</v>
      </c>
      <c r="H1061" s="59" t="s">
        <v>3343</v>
      </c>
      <c r="I1061" s="69" t="s">
        <v>4017</v>
      </c>
      <c r="J1061" s="69"/>
      <c r="K1061" s="68" t="s">
        <v>13</v>
      </c>
      <c r="L1061" s="69" t="s">
        <v>129</v>
      </c>
      <c r="M1061" s="71" t="s">
        <v>141</v>
      </c>
      <c r="N1061" s="69" t="e" vm="1">
        <v>#VALUE!</v>
      </c>
      <c r="O1061" s="84">
        <v>44918</v>
      </c>
      <c r="P1061" s="72" t="s">
        <v>402</v>
      </c>
      <c r="Q1061" s="72" t="s">
        <v>1097</v>
      </c>
      <c r="R1061" s="162"/>
      <c r="S1061" s="146"/>
      <c r="T1061" s="68" t="s">
        <v>165</v>
      </c>
      <c r="U1061" s="87"/>
      <c r="V1061" s="80">
        <v>44992</v>
      </c>
      <c r="W1061" s="73">
        <v>6117</v>
      </c>
      <c r="X1061" s="73">
        <v>183.5</v>
      </c>
      <c r="Y1061" s="83">
        <f>IF(SUM(W1061:W1061)&gt;0,X1061/SUM(W1061:W1061)*1000000,"N/A")</f>
        <v>29998.365211705084</v>
      </c>
      <c r="Z1061" s="80"/>
      <c r="AA1061" s="80"/>
      <c r="AB1061" s="73"/>
      <c r="AC1061" s="153"/>
      <c r="AD1061" s="331"/>
      <c r="AE1061" s="57"/>
      <c r="AF1061" s="88" t="s">
        <v>4018</v>
      </c>
      <c r="AG1061" s="182">
        <f>YEAR(V1061)</f>
        <v>2023</v>
      </c>
      <c r="AH1061" s="86" t="str">
        <f>+IF(AF1061=$AI$22,MONTH(U1061),"")</f>
        <v/>
      </c>
      <c r="AI1061" s="86" t="str">
        <f>+IF(AG1061=$AI$22,MONTH(V1061),"")</f>
        <v/>
      </c>
      <c r="AJ1061" s="86" t="str">
        <f>+IF(AG1061=$AJ$22,MONTH(V1061),"")</f>
        <v/>
      </c>
      <c r="AK1061" s="86">
        <f>+IF(AG1061=$AK$22,MONTH(V1061),"")</f>
        <v>3</v>
      </c>
      <c r="AL1061" s="86" t="str">
        <f>+IF(AG1061=$AL$22,MONTH(V1061),"")</f>
        <v/>
      </c>
      <c r="AM1061" s="86" t="str">
        <f>+IF($AG1061=$AM$22,MONTH($D1061),"")</f>
        <v/>
      </c>
      <c r="AN1061" s="89" t="str">
        <f>+IF($AG1061=AN$22,MONTH($D1061),"")</f>
        <v/>
      </c>
      <c r="AO1061" s="89" t="str">
        <f>+IF($AG1061=AO$22,MONTH($D1061),"")</f>
        <v/>
      </c>
      <c r="AP1061" s="89" t="str">
        <f>+IF($AG1061=AP$22,MONTH($D1061),"")</f>
        <v/>
      </c>
      <c r="AQ1061" s="89" t="str">
        <f>+IF($AG1061=AQ$22,MONTH($D1061),"")</f>
        <v/>
      </c>
      <c r="AR1061" s="89" t="str">
        <f>+IF($AG1061=AR$22,MONTH($D1061),"")</f>
        <v/>
      </c>
      <c r="AS1061" s="89" t="str">
        <f>+IF($AG1061=AS$22,MONTH($D1061),"")</f>
        <v/>
      </c>
      <c r="AT1061" s="89" t="str">
        <f>+IF($AG1061=AT$22,MONTH($D1061),"")</f>
        <v/>
      </c>
      <c r="AU1061" s="89" t="str">
        <f>+IF($AG1061=AU$22,MONTH($D1061),"")</f>
        <v/>
      </c>
      <c r="AV1061" s="89" t="str">
        <f>+IF($AG1061=AV$22,MONTH($D1061),"")</f>
        <v/>
      </c>
      <c r="AW1061" s="86" t="str">
        <f>+IF($AG1061=AW$22,MONTH($D1061),"")</f>
        <v/>
      </c>
      <c r="AX1061" s="86" t="str">
        <f>+IF($AG1061=AX$22,MONTH($D1061),"")</f>
        <v/>
      </c>
      <c r="AY1061" s="89"/>
      <c r="AZ1061" s="89"/>
      <c r="BA1061" s="89"/>
      <c r="BB1061" s="89"/>
      <c r="BC1061" s="89"/>
      <c r="BD1061" s="89"/>
      <c r="BE1061" s="89"/>
      <c r="BF1061" s="89"/>
      <c r="BG1061" s="89"/>
      <c r="BH1061" s="89"/>
      <c r="BI1061" s="89"/>
      <c r="BJ1061" s="89"/>
      <c r="BK1061" s="89"/>
      <c r="BL1061" s="89"/>
      <c r="BM1061" s="89"/>
      <c r="BN1061" s="89"/>
      <c r="BO1061" s="89"/>
      <c r="BP1061" s="89"/>
    </row>
    <row r="1062" spans="1:68" s="56" customFormat="1" ht="23.25" hidden="1" customHeight="1">
      <c r="A1062" s="204" t="str">
        <f>+IFERROR(VALUE(MID(AB1062,4,4)),"")</f>
        <v/>
      </c>
      <c r="B1062" s="204">
        <f>VALUE(RIGHT(C1062,LEN(C1062)-2))</f>
        <v>1661</v>
      </c>
      <c r="C1062" s="74" t="s">
        <v>4019</v>
      </c>
      <c r="D1062" s="75">
        <v>44907</v>
      </c>
      <c r="E1062" s="70" t="s">
        <v>76</v>
      </c>
      <c r="F1062" s="70" t="s">
        <v>252</v>
      </c>
      <c r="G1062" s="68" t="s">
        <v>4020</v>
      </c>
      <c r="H1062" s="59" t="s">
        <v>4021</v>
      </c>
      <c r="I1062" s="69" t="s">
        <v>4022</v>
      </c>
      <c r="J1062" s="69"/>
      <c r="K1062" s="95" t="s">
        <v>13</v>
      </c>
      <c r="L1062" s="69" t="s">
        <v>120</v>
      </c>
      <c r="M1062" s="71" t="s">
        <v>141</v>
      </c>
      <c r="N1062" s="69" t="e" vm="1">
        <v>#VALUE!</v>
      </c>
      <c r="O1062" s="84">
        <v>44908</v>
      </c>
      <c r="P1062" s="82" t="s">
        <v>1058</v>
      </c>
      <c r="Q1062" s="82" t="s">
        <v>229</v>
      </c>
      <c r="R1062" s="69"/>
      <c r="S1062" s="146"/>
      <c r="T1062" s="68" t="s">
        <v>165</v>
      </c>
      <c r="U1062" s="87"/>
      <c r="V1062" s="80">
        <v>44942</v>
      </c>
      <c r="W1062" s="73">
        <v>142</v>
      </c>
      <c r="X1062" s="73">
        <f>153*34800/1000000</f>
        <v>5.3243999999999998</v>
      </c>
      <c r="Y1062" s="83">
        <f>IF(SUM(W1062:W1062)&gt;0,X1062/SUM(W1062:W1062)*1000000,"N/A")</f>
        <v>37495.774647887323</v>
      </c>
      <c r="Z1062" s="80"/>
      <c r="AA1062" s="80"/>
      <c r="AB1062" s="73"/>
      <c r="AC1062" s="153"/>
      <c r="AD1062" s="331"/>
      <c r="AE1062" s="57"/>
      <c r="AF1062" s="88"/>
      <c r="AG1062" s="182">
        <f>YEAR(V1062)</f>
        <v>2023</v>
      </c>
      <c r="AH1062" s="86" t="str">
        <f>+IF(AF1062=$AI$22,MONTH(U1062),"")</f>
        <v/>
      </c>
      <c r="AI1062" s="86" t="str">
        <f>+IF(AG1062=$AI$22,MONTH(V1062),"")</f>
        <v/>
      </c>
      <c r="AJ1062" s="86" t="str">
        <f>+IF(AG1062=$AJ$22,MONTH(V1062),"")</f>
        <v/>
      </c>
      <c r="AK1062" s="86">
        <f>+IF(AG1062=$AK$22,MONTH(V1062),"")</f>
        <v>1</v>
      </c>
      <c r="AL1062" s="86" t="str">
        <f>+IF(AG1062=$AL$22,MONTH(V1062),"")</f>
        <v/>
      </c>
      <c r="AM1062" s="86" t="str">
        <f>+IF($AG1062=$AM$22,MONTH($D1062),"")</f>
        <v/>
      </c>
      <c r="AN1062" s="89" t="str">
        <f>+IF($AG1062=AN$22,MONTH($D1062),"")</f>
        <v/>
      </c>
      <c r="AO1062" s="89" t="str">
        <f>+IF($AG1062=AO$22,MONTH($D1062),"")</f>
        <v/>
      </c>
      <c r="AP1062" s="89" t="str">
        <f>+IF($AG1062=AP$22,MONTH($D1062),"")</f>
        <v/>
      </c>
      <c r="AQ1062" s="89" t="str">
        <f>+IF($AG1062=AQ$22,MONTH($D1062),"")</f>
        <v/>
      </c>
      <c r="AR1062" s="89" t="str">
        <f>+IF($AG1062=AR$22,MONTH($D1062),"")</f>
        <v/>
      </c>
      <c r="AS1062" s="89" t="str">
        <f>+IF($AG1062=AS$22,MONTH($D1062),"")</f>
        <v/>
      </c>
      <c r="AT1062" s="89" t="str">
        <f>+IF($AG1062=AT$22,MONTH($D1062),"")</f>
        <v/>
      </c>
      <c r="AU1062" s="89" t="str">
        <f>+IF($AG1062=AU$22,MONTH($D1062),"")</f>
        <v/>
      </c>
      <c r="AV1062" s="89" t="str">
        <f>+IF($AG1062=AV$22,MONTH($D1062),"")</f>
        <v/>
      </c>
      <c r="AW1062" s="86" t="str">
        <f>+IF($AG1062=AW$22,MONTH($D1062),"")</f>
        <v/>
      </c>
      <c r="AX1062" s="86" t="str">
        <f>+IF($AG1062=AX$22,MONTH($D1062),"")</f>
        <v/>
      </c>
      <c r="AY1062" s="89"/>
      <c r="AZ1062" s="89"/>
      <c r="BA1062" s="89"/>
      <c r="BB1062" s="89"/>
      <c r="BC1062" s="89"/>
      <c r="BD1062" s="89"/>
      <c r="BE1062" s="89"/>
      <c r="BF1062" s="89"/>
      <c r="BG1062" s="89"/>
      <c r="BH1062" s="89"/>
      <c r="BI1062" s="89"/>
      <c r="BJ1062" s="182"/>
      <c r="BK1062" s="182"/>
      <c r="BL1062" s="182"/>
      <c r="BM1062" s="182"/>
      <c r="BN1062" s="89"/>
      <c r="BO1062" s="89"/>
      <c r="BP1062" s="89"/>
    </row>
    <row r="1063" spans="1:68" s="51" customFormat="1" ht="27" hidden="1">
      <c r="A1063" s="204">
        <f>+IFERROR(VALUE(MID(AB1063,4,4)),"")</f>
        <v>265</v>
      </c>
      <c r="B1063" s="204">
        <f>VALUE(RIGHT(C1063,LEN(C1063)-2))</f>
        <v>1660</v>
      </c>
      <c r="C1063" s="74" t="s">
        <v>4023</v>
      </c>
      <c r="D1063" s="75">
        <v>44902</v>
      </c>
      <c r="E1063" s="70" t="s">
        <v>332</v>
      </c>
      <c r="F1063" s="70" t="s">
        <v>332</v>
      </c>
      <c r="G1063" s="68" t="s">
        <v>3818</v>
      </c>
      <c r="H1063" s="59"/>
      <c r="I1063" s="69" t="s">
        <v>4024</v>
      </c>
      <c r="J1063" s="69"/>
      <c r="K1063" s="68" t="s">
        <v>13</v>
      </c>
      <c r="L1063" s="69" t="s">
        <v>129</v>
      </c>
      <c r="M1063" s="71" t="s">
        <v>141</v>
      </c>
      <c r="N1063" s="69" t="e" vm="1">
        <v>#VALUE!</v>
      </c>
      <c r="O1063" s="84">
        <v>44908</v>
      </c>
      <c r="P1063" s="72" t="s">
        <v>285</v>
      </c>
      <c r="Q1063" s="82" t="s">
        <v>229</v>
      </c>
      <c r="R1063" s="69"/>
      <c r="S1063" s="146" t="s">
        <v>2491</v>
      </c>
      <c r="T1063" s="68" t="s">
        <v>3</v>
      </c>
      <c r="U1063" s="87"/>
      <c r="V1063" s="80">
        <v>44908</v>
      </c>
      <c r="W1063" s="73">
        <v>681</v>
      </c>
      <c r="X1063" s="73">
        <f>763*34800/1000000</f>
        <v>26.552399999999999</v>
      </c>
      <c r="Y1063" s="83">
        <f>IF(SUM(W1063:W1063)&gt;0,X1063/SUM(W1063:W1063)*1000000,"N/A")</f>
        <v>38990.308370044055</v>
      </c>
      <c r="Z1063" s="80"/>
      <c r="AA1063" s="80"/>
      <c r="AB1063" s="73" t="s">
        <v>4025</v>
      </c>
      <c r="AC1063" s="153"/>
      <c r="AD1063" s="331"/>
      <c r="AE1063" s="57"/>
      <c r="AF1063" s="88"/>
      <c r="AG1063" s="182">
        <f>YEAR(V1063)</f>
        <v>2022</v>
      </c>
      <c r="AH1063" s="86" t="str">
        <f>+IF(AF1063=$AI$22,MONTH(U1063),"")</f>
        <v/>
      </c>
      <c r="AI1063" s="86" t="str">
        <f>+IF(AG1063=$AI$22,MONTH(V1063),"")</f>
        <v/>
      </c>
      <c r="AJ1063" s="86" t="str">
        <f>+IF(AG1063=$AJ$22,MONTH(V1063),"")</f>
        <v/>
      </c>
      <c r="AK1063" s="86" t="str">
        <f>+IF(AG1063=$AK$22,MONTH(V1063),"")</f>
        <v/>
      </c>
      <c r="AL1063" s="86">
        <f>+IF(AG1063=$AL$22,MONTH(V1063),"")</f>
        <v>12</v>
      </c>
      <c r="AM1063" s="86" t="str">
        <f>+IF($AG1063=$AM$22,MONTH($D1063),"")</f>
        <v/>
      </c>
      <c r="AN1063" s="89" t="str">
        <f>+IF($AG1063=AN$22,MONTH($D1063),"")</f>
        <v/>
      </c>
      <c r="AO1063" s="89" t="str">
        <f>+IF($AG1063=AO$22,MONTH($D1063),"")</f>
        <v/>
      </c>
      <c r="AP1063" s="89" t="str">
        <f>+IF($AG1063=AP$22,MONTH($D1063),"")</f>
        <v/>
      </c>
      <c r="AQ1063" s="89" t="str">
        <f>+IF($AG1063=AQ$22,MONTH($D1063),"")</f>
        <v/>
      </c>
      <c r="AR1063" s="89" t="str">
        <f>+IF($AG1063=AR$22,MONTH($D1063),"")</f>
        <v/>
      </c>
      <c r="AS1063" s="89" t="str">
        <f>+IF($AG1063=AS$22,MONTH($D1063),"")</f>
        <v/>
      </c>
      <c r="AT1063" s="89" t="str">
        <f>+IF($AG1063=AT$22,MONTH($D1063),"")</f>
        <v/>
      </c>
      <c r="AU1063" s="89" t="str">
        <f>+IF($AG1063=AU$22,MONTH($D1063),"")</f>
        <v/>
      </c>
      <c r="AV1063" s="89" t="str">
        <f>+IF($AG1063=AV$22,MONTH($D1063),"")</f>
        <v/>
      </c>
      <c r="AW1063" s="86" t="str">
        <f>+IF($AG1063=AW$22,MONTH($D1063),"")</f>
        <v/>
      </c>
      <c r="AX1063" s="86" t="str">
        <f>+IF($AG1063=AX$22,MONTH($D1063),"")</f>
        <v/>
      </c>
      <c r="AY1063" s="89"/>
      <c r="AZ1063" s="89"/>
      <c r="BA1063" s="89"/>
      <c r="BB1063" s="89"/>
      <c r="BC1063" s="89"/>
      <c r="BD1063" s="89"/>
      <c r="BE1063" s="89"/>
      <c r="BF1063" s="89"/>
      <c r="BG1063" s="89"/>
      <c r="BH1063" s="89"/>
      <c r="BI1063" s="89"/>
      <c r="BJ1063" s="89"/>
      <c r="BK1063" s="89"/>
      <c r="BL1063" s="89"/>
      <c r="BM1063" s="89"/>
      <c r="BN1063" s="182"/>
      <c r="BO1063" s="182"/>
      <c r="BP1063" s="182"/>
    </row>
    <row r="1064" spans="1:68" s="56" customFormat="1" ht="13.5" hidden="1">
      <c r="A1064" s="204">
        <f>+IFERROR(VALUE(MID(AB1064,4,4)),"")</f>
        <v>327</v>
      </c>
      <c r="B1064" s="204">
        <f>VALUE(RIGHT(C1064,LEN(C1064)-2))</f>
        <v>1659</v>
      </c>
      <c r="C1064" s="74" t="s">
        <v>4026</v>
      </c>
      <c r="D1064" s="75">
        <v>44904</v>
      </c>
      <c r="E1064" s="70" t="s">
        <v>4027</v>
      </c>
      <c r="F1064" s="70" t="s">
        <v>4027</v>
      </c>
      <c r="G1064" s="68" t="s">
        <v>4028</v>
      </c>
      <c r="H1064" s="59" t="s">
        <v>4029</v>
      </c>
      <c r="I1064" s="69" t="s">
        <v>4030</v>
      </c>
      <c r="J1064" s="69"/>
      <c r="K1064" s="68" t="s">
        <v>12</v>
      </c>
      <c r="L1064" s="69" t="s">
        <v>120</v>
      </c>
      <c r="M1064" s="71" t="s">
        <v>141</v>
      </c>
      <c r="N1064" s="69" t="e" vm="1">
        <v>#VALUE!</v>
      </c>
      <c r="O1064" s="84">
        <v>44916</v>
      </c>
      <c r="P1064" s="82" t="s">
        <v>1154</v>
      </c>
      <c r="Q1064" s="72" t="s">
        <v>316</v>
      </c>
      <c r="R1064" s="162"/>
      <c r="S1064" s="146"/>
      <c r="T1064" s="68" t="s">
        <v>3</v>
      </c>
      <c r="U1064" s="90"/>
      <c r="V1064" s="80">
        <v>44956</v>
      </c>
      <c r="W1064" s="73">
        <v>1209</v>
      </c>
      <c r="X1064" s="73">
        <v>54.6</v>
      </c>
      <c r="Y1064" s="83">
        <f>IF(SUM(W1064:W1064)&gt;0,X1064/SUM(W1064:W1064)*1000000,"N/A")</f>
        <v>45161.290322580651</v>
      </c>
      <c r="Z1064" s="80"/>
      <c r="AA1064" s="80"/>
      <c r="AB1064" s="73" t="s">
        <v>4031</v>
      </c>
      <c r="AC1064" s="153"/>
      <c r="AD1064" s="331"/>
      <c r="AE1064" s="57"/>
      <c r="AF1064" s="88"/>
      <c r="AG1064" s="182">
        <f>YEAR(V1064)</f>
        <v>2023</v>
      </c>
      <c r="AH1064" s="86" t="str">
        <f>+IF(AF1064=$AI$22,MONTH(U1064),"")</f>
        <v/>
      </c>
      <c r="AI1064" s="86" t="str">
        <f>+IF(AG1064=$AI$22,MONTH(V1064),"")</f>
        <v/>
      </c>
      <c r="AJ1064" s="86" t="str">
        <f>+IF(AG1064=$AJ$22,MONTH(V1064),"")</f>
        <v/>
      </c>
      <c r="AK1064" s="86">
        <f>+IF(AG1064=$AK$22,MONTH(V1064),"")</f>
        <v>1</v>
      </c>
      <c r="AL1064" s="86" t="str">
        <f>+IF(AG1064=$AL$22,MONTH(V1064),"")</f>
        <v/>
      </c>
      <c r="AM1064" s="86" t="str">
        <f>+IF($AG1064=$AM$22,MONTH($D1064),"")</f>
        <v/>
      </c>
      <c r="AN1064" s="89" t="str">
        <f>+IF($AG1064=AN$22,MONTH($D1064),"")</f>
        <v/>
      </c>
      <c r="AO1064" s="89" t="str">
        <f>+IF($AG1064=AO$22,MONTH($D1064),"")</f>
        <v/>
      </c>
      <c r="AP1064" s="89" t="str">
        <f>+IF($AG1064=AP$22,MONTH($D1064),"")</f>
        <v/>
      </c>
      <c r="AQ1064" s="89" t="str">
        <f>+IF($AG1064=AQ$22,MONTH($D1064),"")</f>
        <v/>
      </c>
      <c r="AR1064" s="89" t="str">
        <f>+IF($AG1064=AR$22,MONTH($D1064),"")</f>
        <v/>
      </c>
      <c r="AS1064" s="89" t="str">
        <f>+IF($AG1064=AS$22,MONTH($D1064),"")</f>
        <v/>
      </c>
      <c r="AT1064" s="89" t="str">
        <f>+IF($AG1064=AT$22,MONTH($D1064),"")</f>
        <v/>
      </c>
      <c r="AU1064" s="89" t="str">
        <f>+IF($AG1064=AU$22,MONTH($D1064),"")</f>
        <v/>
      </c>
      <c r="AV1064" s="89" t="str">
        <f>+IF($AG1064=AV$22,MONTH($D1064),"")</f>
        <v/>
      </c>
      <c r="AW1064" s="86" t="str">
        <f>+IF($AG1064=AW$22,MONTH($D1064),"")</f>
        <v/>
      </c>
      <c r="AX1064" s="86" t="str">
        <f>+IF($AG1064=AX$22,MONTH($D1064),"")</f>
        <v/>
      </c>
      <c r="AY1064" s="89"/>
      <c r="AZ1064" s="89"/>
      <c r="BA1064" s="89"/>
      <c r="BB1064" s="89"/>
      <c r="BC1064" s="89"/>
      <c r="BD1064" s="89"/>
      <c r="BE1064" s="89"/>
      <c r="BF1064" s="89"/>
      <c r="BG1064" s="89"/>
      <c r="BH1064" s="89"/>
      <c r="BI1064" s="89"/>
      <c r="BJ1064" s="89"/>
      <c r="BK1064" s="89"/>
      <c r="BL1064" s="89"/>
      <c r="BM1064" s="89"/>
      <c r="BN1064" s="89"/>
      <c r="BO1064" s="89"/>
      <c r="BP1064" s="89"/>
    </row>
    <row r="1065" spans="1:68" s="56" customFormat="1" ht="13.5" hidden="1">
      <c r="A1065" s="204">
        <f>+IFERROR(VALUE(MID(AB1065,4,4)),"")</f>
        <v>326</v>
      </c>
      <c r="B1065" s="204">
        <f>VALUE(RIGHT(C1065,LEN(C1065)-2))</f>
        <v>1658</v>
      </c>
      <c r="C1065" s="74" t="s">
        <v>4032</v>
      </c>
      <c r="D1065" s="75">
        <v>44904</v>
      </c>
      <c r="E1065" s="70" t="s">
        <v>4027</v>
      </c>
      <c r="F1065" s="70" t="s">
        <v>4027</v>
      </c>
      <c r="G1065" s="68" t="s">
        <v>4028</v>
      </c>
      <c r="H1065" s="59" t="s">
        <v>4029</v>
      </c>
      <c r="I1065" s="69" t="s">
        <v>4033</v>
      </c>
      <c r="J1065" s="69"/>
      <c r="K1065" s="68" t="s">
        <v>12</v>
      </c>
      <c r="L1065" s="69" t="s">
        <v>120</v>
      </c>
      <c r="M1065" s="71" t="s">
        <v>141</v>
      </c>
      <c r="N1065" s="69" t="e" vm="1">
        <v>#VALUE!</v>
      </c>
      <c r="O1065" s="84">
        <v>44916</v>
      </c>
      <c r="P1065" s="72" t="s">
        <v>749</v>
      </c>
      <c r="Q1065" s="72" t="s">
        <v>229</v>
      </c>
      <c r="R1065" s="162"/>
      <c r="S1065" s="146"/>
      <c r="T1065" s="68" t="s">
        <v>3</v>
      </c>
      <c r="U1065" s="90"/>
      <c r="V1065" s="80">
        <v>44953</v>
      </c>
      <c r="W1065" s="73">
        <v>551</v>
      </c>
      <c r="X1065" s="73">
        <v>23</v>
      </c>
      <c r="Y1065" s="83">
        <f>IF(SUM(W1065:W1065)&gt;0,X1065/SUM(W1065:W1065)*1000000,"N/A")</f>
        <v>41742.286751361164</v>
      </c>
      <c r="Z1065" s="80"/>
      <c r="AA1065" s="80"/>
      <c r="AB1065" s="73" t="s">
        <v>4034</v>
      </c>
      <c r="AC1065" s="153"/>
      <c r="AD1065" s="331"/>
      <c r="AE1065" s="57"/>
      <c r="AF1065" s="88"/>
      <c r="AG1065" s="182">
        <f>YEAR(V1065)</f>
        <v>2023</v>
      </c>
      <c r="AH1065" s="86" t="str">
        <f>+IF(AF1065=$AI$22,MONTH(U1065),"")</f>
        <v/>
      </c>
      <c r="AI1065" s="86" t="str">
        <f>+IF(AG1065=$AI$22,MONTH(V1065),"")</f>
        <v/>
      </c>
      <c r="AJ1065" s="86" t="str">
        <f>+IF(AG1065=$AJ$22,MONTH(V1065),"")</f>
        <v/>
      </c>
      <c r="AK1065" s="86">
        <f>+IF(AG1065=$AK$22,MONTH(V1065),"")</f>
        <v>1</v>
      </c>
      <c r="AL1065" s="86" t="str">
        <f>+IF(AG1065=$AL$22,MONTH(V1065),"")</f>
        <v/>
      </c>
      <c r="AM1065" s="86" t="str">
        <f>+IF($AG1065=$AM$22,MONTH($D1065),"")</f>
        <v/>
      </c>
      <c r="AN1065" s="89" t="str">
        <f>+IF($AG1065=AN$22,MONTH($D1065),"")</f>
        <v/>
      </c>
      <c r="AO1065" s="89" t="str">
        <f>+IF($AG1065=AO$22,MONTH($D1065),"")</f>
        <v/>
      </c>
      <c r="AP1065" s="89" t="str">
        <f>+IF($AG1065=AP$22,MONTH($D1065),"")</f>
        <v/>
      </c>
      <c r="AQ1065" s="89" t="str">
        <f>+IF($AG1065=AQ$22,MONTH($D1065),"")</f>
        <v/>
      </c>
      <c r="AR1065" s="89" t="str">
        <f>+IF($AG1065=AR$22,MONTH($D1065),"")</f>
        <v/>
      </c>
      <c r="AS1065" s="89" t="str">
        <f>+IF($AG1065=AS$22,MONTH($D1065),"")</f>
        <v/>
      </c>
      <c r="AT1065" s="89" t="str">
        <f>+IF($AG1065=AT$22,MONTH($D1065),"")</f>
        <v/>
      </c>
      <c r="AU1065" s="89" t="str">
        <f>+IF($AG1065=AU$22,MONTH($D1065),"")</f>
        <v/>
      </c>
      <c r="AV1065" s="89" t="str">
        <f>+IF($AG1065=AV$22,MONTH($D1065),"")</f>
        <v/>
      </c>
      <c r="AW1065" s="86" t="str">
        <f>+IF($AG1065=AW$22,MONTH($D1065),"")</f>
        <v/>
      </c>
      <c r="AX1065" s="86" t="str">
        <f>+IF($AG1065=AX$22,MONTH($D1065),"")</f>
        <v/>
      </c>
      <c r="AY1065" s="89"/>
      <c r="AZ1065" s="89"/>
      <c r="BA1065" s="89"/>
      <c r="BB1065" s="89"/>
      <c r="BC1065" s="89"/>
      <c r="BD1065" s="89"/>
      <c r="BE1065" s="89"/>
      <c r="BF1065" s="89"/>
      <c r="BG1065" s="89"/>
      <c r="BH1065" s="89"/>
      <c r="BI1065" s="89"/>
      <c r="BJ1065" s="89"/>
      <c r="BK1065" s="89"/>
      <c r="BL1065" s="89"/>
      <c r="BM1065" s="89"/>
      <c r="BN1065" s="89"/>
      <c r="BO1065" s="89"/>
      <c r="BP1065" s="89"/>
    </row>
    <row r="1066" spans="1:68" s="56" customFormat="1" ht="27" hidden="1">
      <c r="A1066" s="204" t="str">
        <f>+IFERROR(VALUE(MID(AB1066,4,4)),"")</f>
        <v/>
      </c>
      <c r="B1066" s="204">
        <f>VALUE(RIGHT(C1066,LEN(C1066)-2))</f>
        <v>1657</v>
      </c>
      <c r="C1066" s="74" t="s">
        <v>4035</v>
      </c>
      <c r="D1066" s="75">
        <v>44902</v>
      </c>
      <c r="E1066" s="70" t="s">
        <v>479</v>
      </c>
      <c r="F1066" s="70" t="s">
        <v>479</v>
      </c>
      <c r="G1066" s="68" t="s">
        <v>4036</v>
      </c>
      <c r="H1066" s="59" t="s">
        <v>4037</v>
      </c>
      <c r="I1066" s="69" t="s">
        <v>4038</v>
      </c>
      <c r="J1066" s="69"/>
      <c r="K1066" s="68" t="s">
        <v>9</v>
      </c>
      <c r="L1066" s="69" t="s">
        <v>129</v>
      </c>
      <c r="M1066" s="71" t="s">
        <v>113</v>
      </c>
      <c r="N1066" s="69" t="e" vm="2">
        <v>#VALUE!</v>
      </c>
      <c r="O1066" s="84">
        <v>44903</v>
      </c>
      <c r="P1066" s="72" t="s">
        <v>483</v>
      </c>
      <c r="Q1066" s="72" t="s">
        <v>229</v>
      </c>
      <c r="R1066" s="162"/>
      <c r="S1066" s="146"/>
      <c r="T1066" s="68" t="s">
        <v>165</v>
      </c>
      <c r="U1066" s="87"/>
      <c r="V1066" s="80">
        <v>44979</v>
      </c>
      <c r="W1066" s="73">
        <v>557</v>
      </c>
      <c r="X1066" s="73">
        <v>24.7</v>
      </c>
      <c r="Y1066" s="83">
        <f>IF(SUM(W1066:W1066)&gt;0,X1066/SUM(W1066:W1066)*1000000,"N/A")</f>
        <v>44344.703770197491</v>
      </c>
      <c r="Z1066" s="80"/>
      <c r="AA1066" s="80"/>
      <c r="AB1066" s="73"/>
      <c r="AC1066" s="153"/>
      <c r="AD1066" s="331"/>
      <c r="AE1066" s="57"/>
      <c r="AF1066" s="88"/>
      <c r="AG1066" s="182">
        <f>YEAR(V1066)</f>
        <v>2023</v>
      </c>
      <c r="AH1066" s="86" t="str">
        <f>+IF(AF1066=$AI$22,MONTH(U1066),"")</f>
        <v/>
      </c>
      <c r="AI1066" s="86" t="str">
        <f>+IF(AG1066=$AI$22,MONTH(V1066),"")</f>
        <v/>
      </c>
      <c r="AJ1066" s="86" t="str">
        <f>+IF(AG1066=$AJ$22,MONTH(V1066),"")</f>
        <v/>
      </c>
      <c r="AK1066" s="86">
        <f>+IF(AG1066=$AK$22,MONTH(V1066),"")</f>
        <v>2</v>
      </c>
      <c r="AL1066" s="86" t="str">
        <f>+IF(AG1066=$AL$22,MONTH(V1066),"")</f>
        <v/>
      </c>
      <c r="AM1066" s="86" t="str">
        <f>+IF($AG1066=$AM$22,MONTH($D1066),"")</f>
        <v/>
      </c>
      <c r="AN1066" s="89" t="str">
        <f>+IF($AG1066=AN$22,MONTH($D1066),"")</f>
        <v/>
      </c>
      <c r="AO1066" s="89" t="str">
        <f>+IF($AG1066=AO$22,MONTH($D1066),"")</f>
        <v/>
      </c>
      <c r="AP1066" s="89" t="str">
        <f>+IF($AG1066=AP$22,MONTH($D1066),"")</f>
        <v/>
      </c>
      <c r="AQ1066" s="89" t="str">
        <f>+IF($AG1066=AQ$22,MONTH($D1066),"")</f>
        <v/>
      </c>
      <c r="AR1066" s="89" t="str">
        <f>+IF($AG1066=AR$22,MONTH($D1066),"")</f>
        <v/>
      </c>
      <c r="AS1066" s="89" t="str">
        <f>+IF($AG1066=AS$22,MONTH($D1066),"")</f>
        <v/>
      </c>
      <c r="AT1066" s="89" t="str">
        <f>+IF($AG1066=AT$22,MONTH($D1066),"")</f>
        <v/>
      </c>
      <c r="AU1066" s="89" t="str">
        <f>+IF($AG1066=AU$22,MONTH($D1066),"")</f>
        <v/>
      </c>
      <c r="AV1066" s="89" t="str">
        <f>+IF($AG1066=AV$22,MONTH($D1066),"")</f>
        <v/>
      </c>
      <c r="AW1066" s="86" t="str">
        <f>+IF($AG1066=AW$22,MONTH($D1066),"")</f>
        <v/>
      </c>
      <c r="AX1066" s="86" t="str">
        <f>+IF($AG1066=AX$22,MONTH($D1066),"")</f>
        <v/>
      </c>
      <c r="AY1066" s="89"/>
      <c r="AZ1066" s="89"/>
      <c r="BA1066" s="89"/>
      <c r="BB1066" s="89"/>
      <c r="BC1066" s="89"/>
      <c r="BD1066" s="89"/>
      <c r="BE1066" s="89"/>
      <c r="BF1066" s="89"/>
      <c r="BG1066" s="89"/>
      <c r="BH1066" s="89"/>
      <c r="BI1066" s="89"/>
      <c r="BJ1066" s="89"/>
      <c r="BK1066" s="89"/>
      <c r="BL1066" s="89"/>
      <c r="BM1066" s="89"/>
      <c r="BN1066" s="89"/>
      <c r="BO1066" s="89"/>
      <c r="BP1066" s="89"/>
    </row>
    <row r="1067" spans="1:68" s="56" customFormat="1" ht="81" hidden="1">
      <c r="A1067" s="204" t="str">
        <f>+IFERROR(VALUE(MID(AB1067,4,4)),"")</f>
        <v/>
      </c>
      <c r="B1067" s="204">
        <f>VALUE(RIGHT(C1067,LEN(C1067)-2))</f>
        <v>1656</v>
      </c>
      <c r="C1067" s="74" t="s">
        <v>4039</v>
      </c>
      <c r="D1067" s="75">
        <v>44896</v>
      </c>
      <c r="E1067" s="70" t="s">
        <v>51</v>
      </c>
      <c r="F1067" s="70" t="s">
        <v>51</v>
      </c>
      <c r="G1067" s="68" t="s">
        <v>3503</v>
      </c>
      <c r="H1067" s="59"/>
      <c r="I1067" s="69" t="s">
        <v>4040</v>
      </c>
      <c r="J1067" s="69"/>
      <c r="K1067" s="68" t="s">
        <v>212</v>
      </c>
      <c r="L1067" s="69" t="s">
        <v>123</v>
      </c>
      <c r="M1067" s="71" t="s">
        <v>141</v>
      </c>
      <c r="N1067" s="69" t="e" vm="1">
        <v>#VALUE!</v>
      </c>
      <c r="O1067" s="84">
        <v>44977</v>
      </c>
      <c r="P1067" s="82" t="s">
        <v>228</v>
      </c>
      <c r="Q1067" s="82" t="s">
        <v>405</v>
      </c>
      <c r="R1067" s="69"/>
      <c r="S1067" s="146"/>
      <c r="T1067" s="68" t="s">
        <v>165</v>
      </c>
      <c r="U1067" s="87">
        <v>0</v>
      </c>
      <c r="V1067" s="80">
        <v>44979</v>
      </c>
      <c r="W1067" s="73">
        <v>1000</v>
      </c>
      <c r="X1067" s="73">
        <f>+W1067*1.2*35300/1000000</f>
        <v>42.36</v>
      </c>
      <c r="Y1067" s="83">
        <f>IF(SUM(W1067:W1067)&gt;0,X1067/SUM(W1067:W1067)*1000000,"N/A")</f>
        <v>42360</v>
      </c>
      <c r="Z1067" s="80"/>
      <c r="AA1067" s="80"/>
      <c r="AB1067" s="73"/>
      <c r="AC1067" s="153"/>
      <c r="AD1067" s="331"/>
      <c r="AE1067" s="57"/>
      <c r="AF1067" s="88" t="s">
        <v>4041</v>
      </c>
      <c r="AG1067" s="182">
        <f>YEAR(V1067)</f>
        <v>2023</v>
      </c>
      <c r="AH1067" s="86" t="str">
        <f>+IF(AF1067=$AI$22,MONTH(U1067),"")</f>
        <v/>
      </c>
      <c r="AI1067" s="86" t="str">
        <f>+IF(AG1067=$AI$22,MONTH(V1067),"")</f>
        <v/>
      </c>
      <c r="AJ1067" s="86" t="str">
        <f>+IF(AG1067=$AJ$22,MONTH(V1067),"")</f>
        <v/>
      </c>
      <c r="AK1067" s="86">
        <f>+IF(AG1067=$AK$22,MONTH(V1067),"")</f>
        <v>2</v>
      </c>
      <c r="AL1067" s="86" t="str">
        <f>+IF(AG1067=$AL$22,MONTH(V1067),"")</f>
        <v/>
      </c>
      <c r="AM1067" s="86" t="str">
        <f>+IF($AG1067=$AM$22,MONTH($D1067),"")</f>
        <v/>
      </c>
      <c r="AN1067" s="89" t="str">
        <f>+IF($AG1067=AN$22,MONTH($D1067),"")</f>
        <v/>
      </c>
      <c r="AO1067" s="89" t="str">
        <f>+IF($AG1067=AO$22,MONTH($D1067),"")</f>
        <v/>
      </c>
      <c r="AP1067" s="89" t="str">
        <f>+IF($AG1067=AP$22,MONTH($D1067),"")</f>
        <v/>
      </c>
      <c r="AQ1067" s="89" t="str">
        <f>+IF($AG1067=AQ$22,MONTH($D1067),"")</f>
        <v/>
      </c>
      <c r="AR1067" s="89" t="str">
        <f>+IF($AG1067=AR$22,MONTH($D1067),"")</f>
        <v/>
      </c>
      <c r="AS1067" s="89" t="str">
        <f>+IF($AG1067=AS$22,MONTH($D1067),"")</f>
        <v/>
      </c>
      <c r="AT1067" s="89" t="str">
        <f>+IF($AG1067=AT$22,MONTH($D1067),"")</f>
        <v/>
      </c>
      <c r="AU1067" s="89" t="str">
        <f>+IF($AG1067=AU$22,MONTH($D1067),"")</f>
        <v/>
      </c>
      <c r="AV1067" s="89" t="str">
        <f>+IF($AG1067=AV$22,MONTH($D1067),"")</f>
        <v/>
      </c>
      <c r="AW1067" s="86" t="str">
        <f>+IF($AG1067=AW$22,MONTH($D1067),"")</f>
        <v/>
      </c>
      <c r="AX1067" s="86" t="str">
        <f>+IF($AG1067=AX$22,MONTH($D1067),"")</f>
        <v/>
      </c>
      <c r="AY1067" s="89"/>
      <c r="AZ1067" s="89"/>
      <c r="BA1067" s="89"/>
      <c r="BB1067" s="89"/>
      <c r="BC1067" s="89"/>
      <c r="BD1067" s="89"/>
      <c r="BE1067" s="89"/>
      <c r="BF1067" s="89"/>
      <c r="BG1067" s="89"/>
      <c r="BH1067" s="89"/>
      <c r="BI1067" s="89"/>
      <c r="BJ1067" s="89"/>
      <c r="BK1067" s="89"/>
      <c r="BL1067" s="89"/>
      <c r="BM1067" s="89"/>
      <c r="BN1067" s="89"/>
      <c r="BO1067" s="89"/>
      <c r="BP1067" s="89"/>
    </row>
    <row r="1068" spans="1:68" s="56" customFormat="1" ht="26.25" hidden="1" customHeight="1">
      <c r="A1068" s="204">
        <f>+IFERROR(VALUE(MID(AB1068,4,4)),"")</f>
        <v>323</v>
      </c>
      <c r="B1068" s="204">
        <f>VALUE(RIGHT(C1068,LEN(C1068)-2))</f>
        <v>1655</v>
      </c>
      <c r="C1068" s="74" t="s">
        <v>4042</v>
      </c>
      <c r="D1068" s="75">
        <v>44874</v>
      </c>
      <c r="E1068" s="70" t="s">
        <v>97</v>
      </c>
      <c r="F1068" s="70" t="s">
        <v>630</v>
      </c>
      <c r="G1068" s="68" t="s">
        <v>4043</v>
      </c>
      <c r="H1068" s="59" t="s">
        <v>4044</v>
      </c>
      <c r="I1068" s="69" t="s">
        <v>4045</v>
      </c>
      <c r="J1068" s="69"/>
      <c r="K1068" s="95" t="s">
        <v>275</v>
      </c>
      <c r="L1068" s="69" t="s">
        <v>120</v>
      </c>
      <c r="M1068" s="71" t="s">
        <v>141</v>
      </c>
      <c r="N1068" s="69" t="e" vm="1">
        <v>#VALUE!</v>
      </c>
      <c r="O1068" s="84">
        <v>44897</v>
      </c>
      <c r="P1068" s="82" t="s">
        <v>228</v>
      </c>
      <c r="Q1068" s="82" t="s">
        <v>316</v>
      </c>
      <c r="R1068" s="69"/>
      <c r="S1068" s="146"/>
      <c r="T1068" s="68" t="s">
        <v>3</v>
      </c>
      <c r="U1068" s="87"/>
      <c r="V1068" s="80">
        <v>44937</v>
      </c>
      <c r="W1068" s="73">
        <v>2160</v>
      </c>
      <c r="X1068" s="73">
        <v>150</v>
      </c>
      <c r="Y1068" s="83">
        <f>IF(SUM(W1068:W1068)&gt;0,X1068/SUM(W1068:W1068)*1000000,"N/A")</f>
        <v>69444.444444444453</v>
      </c>
      <c r="Z1068" s="80"/>
      <c r="AA1068" s="80"/>
      <c r="AB1068" s="73" t="s">
        <v>4046</v>
      </c>
      <c r="AC1068" s="153"/>
      <c r="AD1068" s="331"/>
      <c r="AE1068" s="57"/>
      <c r="AF1068" s="88"/>
      <c r="AG1068" s="182">
        <f>YEAR(V1068)</f>
        <v>2023</v>
      </c>
      <c r="AH1068" s="86" t="str">
        <f>+IF(AF1068=$AI$22,MONTH(U1068),"")</f>
        <v/>
      </c>
      <c r="AI1068" s="86" t="str">
        <f>+IF(AG1068=$AI$22,MONTH(V1068),"")</f>
        <v/>
      </c>
      <c r="AJ1068" s="86" t="str">
        <f>+IF(AG1068=$AJ$22,MONTH(V1068),"")</f>
        <v/>
      </c>
      <c r="AK1068" s="86">
        <f>+IF(AG1068=$AK$22,MONTH(V1068),"")</f>
        <v>1</v>
      </c>
      <c r="AL1068" s="86" t="str">
        <f>+IF(AG1068=$AL$22,MONTH(V1068),"")</f>
        <v/>
      </c>
      <c r="AM1068" s="86" t="str">
        <f>+IF($AG1068=$AM$22,MONTH($D1068),"")</f>
        <v/>
      </c>
      <c r="AN1068" s="89" t="str">
        <f>+IF($AG1068=AN$22,MONTH($D1068),"")</f>
        <v/>
      </c>
      <c r="AO1068" s="89" t="str">
        <f>+IF($AG1068=AO$22,MONTH($D1068),"")</f>
        <v/>
      </c>
      <c r="AP1068" s="89" t="str">
        <f>+IF($AG1068=AP$22,MONTH($D1068),"")</f>
        <v/>
      </c>
      <c r="AQ1068" s="89" t="str">
        <f>+IF($AG1068=AQ$22,MONTH($D1068),"")</f>
        <v/>
      </c>
      <c r="AR1068" s="89" t="str">
        <f>+IF($AG1068=AR$22,MONTH($D1068),"")</f>
        <v/>
      </c>
      <c r="AS1068" s="89" t="str">
        <f>+IF($AG1068=AS$22,MONTH($D1068),"")</f>
        <v/>
      </c>
      <c r="AT1068" s="89" t="str">
        <f>+IF($AG1068=AT$22,MONTH($D1068),"")</f>
        <v/>
      </c>
      <c r="AU1068" s="89" t="str">
        <f>+IF($AG1068=AU$22,MONTH($D1068),"")</f>
        <v/>
      </c>
      <c r="AV1068" s="89" t="str">
        <f>+IF($AG1068=AV$22,MONTH($D1068),"")</f>
        <v/>
      </c>
      <c r="AW1068" s="86" t="str">
        <f>+IF($AG1068=AW$22,MONTH($D1068),"")</f>
        <v/>
      </c>
      <c r="AX1068" s="86" t="str">
        <f>+IF($AG1068=AX$22,MONTH($D1068),"")</f>
        <v/>
      </c>
      <c r="AY1068" s="89"/>
      <c r="AZ1068" s="89"/>
      <c r="BA1068" s="89"/>
      <c r="BB1068" s="89"/>
      <c r="BC1068" s="89"/>
      <c r="BD1068" s="89"/>
      <c r="BE1068" s="89"/>
      <c r="BF1068" s="89"/>
      <c r="BG1068" s="89"/>
      <c r="BH1068" s="89"/>
      <c r="BI1068" s="89"/>
      <c r="BJ1068" s="89"/>
      <c r="BK1068" s="89"/>
      <c r="BL1068" s="89"/>
      <c r="BM1068" s="89"/>
      <c r="BN1068" s="89"/>
      <c r="BO1068" s="89"/>
      <c r="BP1068" s="89"/>
    </row>
    <row r="1069" spans="1:68" s="56" customFormat="1" ht="27" hidden="1">
      <c r="A1069" s="204" t="str">
        <f>+IFERROR(VALUE(MID(AB1069,4,4)),"")</f>
        <v/>
      </c>
      <c r="B1069" s="204">
        <f>VALUE(RIGHT(C1069,LEN(C1069)-2))</f>
        <v>1654</v>
      </c>
      <c r="C1069" s="74" t="s">
        <v>4047</v>
      </c>
      <c r="D1069" s="75">
        <v>44841</v>
      </c>
      <c r="E1069" s="70" t="s">
        <v>4048</v>
      </c>
      <c r="F1069" s="70" t="s">
        <v>313</v>
      </c>
      <c r="G1069" s="68" t="s">
        <v>4049</v>
      </c>
      <c r="H1069" s="59"/>
      <c r="I1069" s="69" t="s">
        <v>4050</v>
      </c>
      <c r="J1069" s="69"/>
      <c r="K1069" s="95" t="s">
        <v>11</v>
      </c>
      <c r="L1069" s="69" t="s">
        <v>123</v>
      </c>
      <c r="M1069" s="71" t="s">
        <v>141</v>
      </c>
      <c r="N1069" s="69" t="e" vm="1">
        <v>#VALUE!</v>
      </c>
      <c r="O1069" s="84">
        <v>44902</v>
      </c>
      <c r="P1069" s="82" t="s">
        <v>749</v>
      </c>
      <c r="Q1069" s="82" t="s">
        <v>229</v>
      </c>
      <c r="R1069" s="69"/>
      <c r="S1069" s="146" t="s">
        <v>4051</v>
      </c>
      <c r="T1069" s="68" t="s">
        <v>165</v>
      </c>
      <c r="U1069" s="87"/>
      <c r="V1069" s="80">
        <v>44895</v>
      </c>
      <c r="W1069" s="73">
        <v>1656</v>
      </c>
      <c r="X1069" s="73">
        <f>1930*29500/1000000</f>
        <v>56.935000000000002</v>
      </c>
      <c r="Y1069" s="83">
        <f>IF(SUM(W1069:W1069)&gt;0,X1069/SUM(W1069:W1069)*1000000,"N/A")</f>
        <v>34381.038647342997</v>
      </c>
      <c r="Z1069" s="80"/>
      <c r="AA1069" s="80"/>
      <c r="AB1069" s="73"/>
      <c r="AC1069" s="153"/>
      <c r="AD1069" s="331"/>
      <c r="AE1069" s="57"/>
      <c r="AF1069" s="88"/>
      <c r="AG1069" s="182">
        <f>YEAR(V1069)</f>
        <v>2022</v>
      </c>
      <c r="AH1069" s="86" t="str">
        <f>+IF(AF1069=$AI$22,MONTH(U1069),"")</f>
        <v/>
      </c>
      <c r="AI1069" s="86" t="str">
        <f>+IF(AG1069=$AI$22,MONTH(V1069),"")</f>
        <v/>
      </c>
      <c r="AJ1069" s="86" t="str">
        <f>+IF(AG1069=$AJ$22,MONTH(V1069),"")</f>
        <v/>
      </c>
      <c r="AK1069" s="86" t="str">
        <f>+IF(AG1069=$AK$22,MONTH(V1069),"")</f>
        <v/>
      </c>
      <c r="AL1069" s="86">
        <f>+IF(AG1069=$AL$22,MONTH(V1069),"")</f>
        <v>11</v>
      </c>
      <c r="AM1069" s="86" t="str">
        <f>+IF($AG1069=$AM$22,MONTH($D1069),"")</f>
        <v/>
      </c>
      <c r="AN1069" s="89" t="str">
        <f>+IF($AG1069=AN$22,MONTH($D1069),"")</f>
        <v/>
      </c>
      <c r="AO1069" s="89" t="str">
        <f>+IF($AG1069=AO$22,MONTH($D1069),"")</f>
        <v/>
      </c>
      <c r="AP1069" s="89" t="str">
        <f>+IF($AG1069=AP$22,MONTH($D1069),"")</f>
        <v/>
      </c>
      <c r="AQ1069" s="89" t="str">
        <f>+IF($AG1069=AQ$22,MONTH($D1069),"")</f>
        <v/>
      </c>
      <c r="AR1069" s="89" t="str">
        <f>+IF($AG1069=AR$22,MONTH($D1069),"")</f>
        <v/>
      </c>
      <c r="AS1069" s="89" t="str">
        <f>+IF($AG1069=AS$22,MONTH($D1069),"")</f>
        <v/>
      </c>
      <c r="AT1069" s="89" t="str">
        <f>+IF($AG1069=AT$22,MONTH($D1069),"")</f>
        <v/>
      </c>
      <c r="AU1069" s="89" t="str">
        <f>+IF($AG1069=AU$22,MONTH($D1069),"")</f>
        <v/>
      </c>
      <c r="AV1069" s="89" t="str">
        <f>+IF($AG1069=AV$22,MONTH($D1069),"")</f>
        <v/>
      </c>
      <c r="AW1069" s="86" t="str">
        <f>+IF($AG1069=AW$22,MONTH($D1069),"")</f>
        <v/>
      </c>
      <c r="AX1069" s="86" t="str">
        <f>+IF($AG1069=AX$22,MONTH($D1069),"")</f>
        <v/>
      </c>
      <c r="AY1069" s="89"/>
      <c r="AZ1069" s="89"/>
      <c r="BA1069" s="89"/>
      <c r="BB1069" s="89"/>
      <c r="BC1069" s="89"/>
      <c r="BD1069" s="89"/>
      <c r="BE1069" s="89"/>
      <c r="BF1069" s="89"/>
      <c r="BG1069" s="89"/>
      <c r="BH1069" s="89"/>
      <c r="BI1069" s="89"/>
      <c r="BJ1069" s="89"/>
      <c r="BK1069" s="89"/>
      <c r="BL1069" s="89"/>
      <c r="BM1069" s="89"/>
      <c r="BN1069" s="89"/>
      <c r="BO1069" s="89"/>
      <c r="BP1069" s="89"/>
    </row>
    <row r="1070" spans="1:68" s="56" customFormat="1" ht="13.5" hidden="1">
      <c r="A1070" s="204" t="str">
        <f>+IFERROR(VALUE(MID(AB1070,4,4)),"")</f>
        <v/>
      </c>
      <c r="B1070" s="204">
        <f>VALUE(RIGHT(C1070,LEN(C1070)-2))</f>
        <v>1653</v>
      </c>
      <c r="C1070" s="74" t="s">
        <v>4052</v>
      </c>
      <c r="D1070" s="75">
        <v>44887</v>
      </c>
      <c r="E1070" s="70" t="s">
        <v>53</v>
      </c>
      <c r="F1070" s="70" t="s">
        <v>2436</v>
      </c>
      <c r="G1070" s="68" t="s">
        <v>210</v>
      </c>
      <c r="H1070" s="59"/>
      <c r="I1070" s="69" t="s">
        <v>4053</v>
      </c>
      <c r="J1070" s="69"/>
      <c r="K1070" s="68" t="s">
        <v>212</v>
      </c>
      <c r="L1070" s="69" t="s">
        <v>123</v>
      </c>
      <c r="M1070" s="71" t="s">
        <v>141</v>
      </c>
      <c r="N1070" s="69" t="e" vm="1">
        <v>#VALUE!</v>
      </c>
      <c r="O1070" s="84">
        <v>44930</v>
      </c>
      <c r="P1070" s="82" t="s">
        <v>228</v>
      </c>
      <c r="Q1070" s="82" t="s">
        <v>405</v>
      </c>
      <c r="R1070" s="69"/>
      <c r="S1070" s="146"/>
      <c r="T1070" s="68" t="s">
        <v>155</v>
      </c>
      <c r="U1070" s="87"/>
      <c r="V1070" s="80">
        <v>44894</v>
      </c>
      <c r="W1070" s="73"/>
      <c r="X1070" s="73"/>
      <c r="Y1070" s="83" t="str">
        <f>IF(SUM(W1070:W1070)&gt;0,X1070/SUM(W1070:W1070)*1000000,"N/A")</f>
        <v>N/A</v>
      </c>
      <c r="Z1070" s="80"/>
      <c r="AA1070" s="80"/>
      <c r="AB1070" s="73"/>
      <c r="AC1070" s="153"/>
      <c r="AD1070" s="331"/>
      <c r="AE1070" s="57"/>
      <c r="AF1070" s="88"/>
      <c r="AG1070" s="182">
        <f>YEAR(V1070)</f>
        <v>2022</v>
      </c>
      <c r="AH1070" s="86" t="str">
        <f>+IF(AF1070=$AI$22,MONTH(U1070),"")</f>
        <v/>
      </c>
      <c r="AI1070" s="86" t="str">
        <f>+IF(AG1070=$AI$22,MONTH(V1070),"")</f>
        <v/>
      </c>
      <c r="AJ1070" s="86" t="str">
        <f>+IF(AG1070=$AJ$22,MONTH(V1070),"")</f>
        <v/>
      </c>
      <c r="AK1070" s="86" t="str">
        <f>+IF(AG1070=$AK$22,MONTH(V1070),"")</f>
        <v/>
      </c>
      <c r="AL1070" s="86">
        <f>+IF(AG1070=$AL$22,MONTH(V1070),"")</f>
        <v>11</v>
      </c>
      <c r="AM1070" s="86" t="str">
        <f>+IF($AG1070=$AM$22,MONTH($D1070),"")</f>
        <v/>
      </c>
      <c r="AN1070" s="89" t="str">
        <f>+IF($AG1070=AN$22,MONTH($D1070),"")</f>
        <v/>
      </c>
      <c r="AO1070" s="89" t="str">
        <f>+IF($AG1070=AO$22,MONTH($D1070),"")</f>
        <v/>
      </c>
      <c r="AP1070" s="89" t="str">
        <f>+IF($AG1070=AP$22,MONTH($D1070),"")</f>
        <v/>
      </c>
      <c r="AQ1070" s="89" t="str">
        <f>+IF($AG1070=AQ$22,MONTH($D1070),"")</f>
        <v/>
      </c>
      <c r="AR1070" s="89" t="str">
        <f>+IF($AG1070=AR$22,MONTH($D1070),"")</f>
        <v/>
      </c>
      <c r="AS1070" s="89" t="str">
        <f>+IF($AG1070=AS$22,MONTH($D1070),"")</f>
        <v/>
      </c>
      <c r="AT1070" s="89" t="str">
        <f>+IF($AG1070=AT$22,MONTH($D1070),"")</f>
        <v/>
      </c>
      <c r="AU1070" s="89" t="str">
        <f>+IF($AG1070=AU$22,MONTH($D1070),"")</f>
        <v/>
      </c>
      <c r="AV1070" s="89" t="str">
        <f>+IF($AG1070=AV$22,MONTH($D1070),"")</f>
        <v/>
      </c>
      <c r="AW1070" s="86" t="str">
        <f>+IF($AG1070=AW$22,MONTH($D1070),"")</f>
        <v/>
      </c>
      <c r="AX1070" s="86" t="str">
        <f>+IF($AG1070=AX$22,MONTH($D1070),"")</f>
        <v/>
      </c>
      <c r="AY1070" s="89"/>
      <c r="AZ1070" s="89"/>
      <c r="BA1070" s="89"/>
      <c r="BB1070" s="89"/>
      <c r="BC1070" s="89"/>
      <c r="BD1070" s="89"/>
      <c r="BE1070" s="89"/>
      <c r="BF1070" s="89"/>
      <c r="BG1070" s="89"/>
      <c r="BH1070" s="89"/>
      <c r="BI1070" s="89"/>
      <c r="BJ1070" s="89"/>
      <c r="BK1070" s="89"/>
      <c r="BL1070" s="89"/>
      <c r="BM1070" s="89"/>
      <c r="BN1070" s="89"/>
      <c r="BO1070" s="89"/>
      <c r="BP1070" s="89"/>
    </row>
    <row r="1071" spans="1:68" s="56" customFormat="1" ht="27.75" hidden="1" customHeight="1">
      <c r="A1071" s="204" t="str">
        <f>+IFERROR(VALUE(MID(AB1071,4,4)),"")</f>
        <v/>
      </c>
      <c r="B1071" s="204">
        <f>VALUE(RIGHT(C1071,LEN(C1071)-2))</f>
        <v>1652</v>
      </c>
      <c r="C1071" s="74" t="s">
        <v>4054</v>
      </c>
      <c r="D1071" s="75">
        <v>44890</v>
      </c>
      <c r="E1071" s="70" t="s">
        <v>360</v>
      </c>
      <c r="F1071" s="70" t="s">
        <v>848</v>
      </c>
      <c r="G1071" s="68" t="s">
        <v>3916</v>
      </c>
      <c r="H1071" s="59" t="s">
        <v>4055</v>
      </c>
      <c r="I1071" s="69" t="s">
        <v>4056</v>
      </c>
      <c r="J1071" s="69"/>
      <c r="K1071" s="95" t="s">
        <v>13</v>
      </c>
      <c r="L1071" s="69" t="s">
        <v>120</v>
      </c>
      <c r="M1071" s="71" t="s">
        <v>141</v>
      </c>
      <c r="N1071" s="69" t="e" vm="1">
        <v>#VALUE!</v>
      </c>
      <c r="O1071" s="84">
        <v>44915</v>
      </c>
      <c r="P1071" s="82" t="s">
        <v>274</v>
      </c>
      <c r="Q1071" s="82" t="s">
        <v>623</v>
      </c>
      <c r="R1071" s="69"/>
      <c r="S1071" s="146" t="s">
        <v>4057</v>
      </c>
      <c r="T1071" s="68" t="s">
        <v>155</v>
      </c>
      <c r="U1071" s="90"/>
      <c r="V1071" s="80">
        <v>45099</v>
      </c>
      <c r="W1071" s="73"/>
      <c r="X1071" s="73"/>
      <c r="Y1071" s="83" t="str">
        <f>IF(SUM(W1071:W1071)&gt;0,X1071/SUM(W1071:W1071)*1000000,"N/A")</f>
        <v>N/A</v>
      </c>
      <c r="Z1071" s="80"/>
      <c r="AA1071" s="80"/>
      <c r="AB1071" s="73"/>
      <c r="AC1071" s="153"/>
      <c r="AD1071" s="331"/>
      <c r="AE1071" s="57"/>
      <c r="AF1071" s="88"/>
      <c r="AG1071" s="182">
        <f>YEAR(V1071)</f>
        <v>2023</v>
      </c>
      <c r="AH1071" s="86" t="str">
        <f>+IF(AF1071=$AI$22,MONTH(U1071),"")</f>
        <v/>
      </c>
      <c r="AI1071" s="86" t="str">
        <f>+IF(AG1071=$AI$22,MONTH(V1071),"")</f>
        <v/>
      </c>
      <c r="AJ1071" s="86" t="str">
        <f>+IF(AG1071=$AJ$22,MONTH(V1071),"")</f>
        <v/>
      </c>
      <c r="AK1071" s="86">
        <f>+IF(AG1071=$AK$22,MONTH(V1071),"")</f>
        <v>6</v>
      </c>
      <c r="AL1071" s="86" t="str">
        <f>+IF(AG1071=$AL$22,MONTH(V1071),"")</f>
        <v/>
      </c>
      <c r="AM1071" s="86" t="str">
        <f>+IF($AG1071=$AM$22,MONTH($D1071),"")</f>
        <v/>
      </c>
      <c r="AN1071" s="89" t="str">
        <f>+IF($AG1071=AN$22,MONTH($D1071),"")</f>
        <v/>
      </c>
      <c r="AO1071" s="89" t="str">
        <f>+IF($AG1071=AO$22,MONTH($D1071),"")</f>
        <v/>
      </c>
      <c r="AP1071" s="89" t="str">
        <f>+IF($AG1071=AP$22,MONTH($D1071),"")</f>
        <v/>
      </c>
      <c r="AQ1071" s="89" t="str">
        <f>+IF($AG1071=AQ$22,MONTH($D1071),"")</f>
        <v/>
      </c>
      <c r="AR1071" s="89" t="str">
        <f>+IF($AG1071=AR$22,MONTH($D1071),"")</f>
        <v/>
      </c>
      <c r="AS1071" s="89" t="str">
        <f>+IF($AG1071=AS$22,MONTH($D1071),"")</f>
        <v/>
      </c>
      <c r="AT1071" s="89" t="str">
        <f>+IF($AG1071=AT$22,MONTH($D1071),"")</f>
        <v/>
      </c>
      <c r="AU1071" s="89" t="str">
        <f>+IF($AG1071=AU$22,MONTH($D1071),"")</f>
        <v/>
      </c>
      <c r="AV1071" s="89" t="str">
        <f>+IF($AG1071=AV$22,MONTH($D1071),"")</f>
        <v/>
      </c>
      <c r="AW1071" s="86" t="str">
        <f>+IF($AG1071=AW$22,MONTH($D1071),"")</f>
        <v/>
      </c>
      <c r="AX1071" s="86" t="str">
        <f>+IF($AG1071=AX$22,MONTH($D1071),"")</f>
        <v/>
      </c>
      <c r="AY1071" s="89"/>
      <c r="AZ1071" s="89"/>
      <c r="BA1071" s="89"/>
      <c r="BB1071" s="89"/>
      <c r="BC1071" s="89"/>
      <c r="BD1071" s="89"/>
      <c r="BE1071" s="89"/>
      <c r="BF1071" s="89"/>
      <c r="BG1071" s="89"/>
      <c r="BH1071" s="89"/>
      <c r="BI1071" s="89"/>
      <c r="BJ1071" s="89"/>
      <c r="BK1071" s="89"/>
      <c r="BL1071" s="89"/>
      <c r="BM1071" s="89"/>
      <c r="BN1071" s="89"/>
      <c r="BO1071" s="89"/>
      <c r="BP1071" s="89"/>
    </row>
    <row r="1072" spans="1:68" s="56" customFormat="1" ht="13.5" hidden="1">
      <c r="A1072" s="204" t="str">
        <f>+IFERROR(VALUE(MID(AB1072,4,4)),"")</f>
        <v/>
      </c>
      <c r="B1072" s="204">
        <f>VALUE(RIGHT(C1072,LEN(C1072)-2))</f>
        <v>1651</v>
      </c>
      <c r="C1072" s="74" t="s">
        <v>4058</v>
      </c>
      <c r="D1072" s="75">
        <v>44890</v>
      </c>
      <c r="E1072" s="70" t="s">
        <v>223</v>
      </c>
      <c r="F1072" s="70" t="s">
        <v>223</v>
      </c>
      <c r="G1072" s="68" t="s">
        <v>4059</v>
      </c>
      <c r="H1072" s="59" t="s">
        <v>4060</v>
      </c>
      <c r="I1072" s="69" t="s">
        <v>4061</v>
      </c>
      <c r="J1072" s="69"/>
      <c r="K1072" s="95" t="s">
        <v>3286</v>
      </c>
      <c r="L1072" s="69" t="s">
        <v>123</v>
      </c>
      <c r="M1072" s="71" t="s">
        <v>141</v>
      </c>
      <c r="N1072" s="69" t="e" vm="1">
        <v>#VALUE!</v>
      </c>
      <c r="O1072" s="84">
        <v>44900</v>
      </c>
      <c r="P1072" s="82" t="s">
        <v>228</v>
      </c>
      <c r="Q1072" s="82" t="s">
        <v>229</v>
      </c>
      <c r="R1072" s="69"/>
      <c r="S1072" s="146"/>
      <c r="T1072" s="68" t="s">
        <v>165</v>
      </c>
      <c r="U1072" s="87"/>
      <c r="V1072" s="80">
        <v>44929</v>
      </c>
      <c r="W1072" s="73">
        <v>4158</v>
      </c>
      <c r="X1072" s="73">
        <v>171</v>
      </c>
      <c r="Y1072" s="83">
        <f>IF(SUM(W1072:W1072)&gt;0,X1072/SUM(W1072:W1072)*1000000,"N/A")</f>
        <v>41125.541125541131</v>
      </c>
      <c r="Z1072" s="80"/>
      <c r="AA1072" s="80"/>
      <c r="AB1072" s="73"/>
      <c r="AC1072" s="153"/>
      <c r="AD1072" s="331"/>
      <c r="AE1072" s="57"/>
      <c r="AF1072" s="88"/>
      <c r="AG1072" s="182">
        <f>YEAR(V1072)</f>
        <v>2023</v>
      </c>
      <c r="AH1072" s="86" t="str">
        <f>+IF(AF1072=$AI$22,MONTH(U1072),"")</f>
        <v/>
      </c>
      <c r="AI1072" s="86" t="str">
        <f>+IF(AG1072=$AI$22,MONTH(V1072),"")</f>
        <v/>
      </c>
      <c r="AJ1072" s="86" t="str">
        <f>+IF(AG1072=$AJ$22,MONTH(V1072),"")</f>
        <v/>
      </c>
      <c r="AK1072" s="86">
        <f>+IF(AG1072=$AK$22,MONTH(V1072),"")</f>
        <v>1</v>
      </c>
      <c r="AL1072" s="86" t="str">
        <f>+IF(AG1072=$AL$22,MONTH(V1072),"")</f>
        <v/>
      </c>
      <c r="AM1072" s="86" t="str">
        <f>+IF($AG1072=$AM$22,MONTH($D1072),"")</f>
        <v/>
      </c>
      <c r="AN1072" s="89" t="str">
        <f>+IF($AG1072=AN$22,MONTH($D1072),"")</f>
        <v/>
      </c>
      <c r="AO1072" s="89" t="str">
        <f>+IF($AG1072=AO$22,MONTH($D1072),"")</f>
        <v/>
      </c>
      <c r="AP1072" s="89" t="str">
        <f>+IF($AG1072=AP$22,MONTH($D1072),"")</f>
        <v/>
      </c>
      <c r="AQ1072" s="89" t="str">
        <f>+IF($AG1072=AQ$22,MONTH($D1072),"")</f>
        <v/>
      </c>
      <c r="AR1072" s="89" t="str">
        <f>+IF($AG1072=AR$22,MONTH($D1072),"")</f>
        <v/>
      </c>
      <c r="AS1072" s="89" t="str">
        <f>+IF($AG1072=AS$22,MONTH($D1072),"")</f>
        <v/>
      </c>
      <c r="AT1072" s="89" t="str">
        <f>+IF($AG1072=AT$22,MONTH($D1072),"")</f>
        <v/>
      </c>
      <c r="AU1072" s="89" t="str">
        <f>+IF($AG1072=AU$22,MONTH($D1072),"")</f>
        <v/>
      </c>
      <c r="AV1072" s="89" t="str">
        <f>+IF($AG1072=AV$22,MONTH($D1072),"")</f>
        <v/>
      </c>
      <c r="AW1072" s="86" t="str">
        <f>+IF($AG1072=AW$22,MONTH($D1072),"")</f>
        <v/>
      </c>
      <c r="AX1072" s="86" t="str">
        <f>+IF($AG1072=AX$22,MONTH($D1072),"")</f>
        <v/>
      </c>
      <c r="AY1072" s="89"/>
      <c r="AZ1072" s="89"/>
      <c r="BA1072" s="89"/>
      <c r="BB1072" s="89"/>
      <c r="BC1072" s="89"/>
      <c r="BD1072" s="89"/>
      <c r="BE1072" s="89"/>
      <c r="BF1072" s="89"/>
      <c r="BG1072" s="89"/>
      <c r="BH1072" s="89"/>
      <c r="BI1072" s="89"/>
      <c r="BJ1072" s="89"/>
      <c r="BK1072" s="89"/>
      <c r="BL1072" s="89"/>
      <c r="BM1072" s="89"/>
      <c r="BN1072" s="89"/>
      <c r="BO1072" s="89"/>
      <c r="BP1072" s="89"/>
    </row>
    <row r="1073" spans="1:68" s="56" customFormat="1" ht="13.5" hidden="1">
      <c r="A1073" s="204">
        <f>+IFERROR(VALUE(MID(AB1073,4,4)),"")</f>
        <v>318</v>
      </c>
      <c r="B1073" s="204">
        <f>VALUE(RIGHT(C1073,LEN(C1073)-2))</f>
        <v>1650</v>
      </c>
      <c r="C1073" s="74" t="s">
        <v>4062</v>
      </c>
      <c r="D1073" s="75">
        <v>44888</v>
      </c>
      <c r="E1073" s="70" t="s">
        <v>262</v>
      </c>
      <c r="F1073" s="70" t="s">
        <v>270</v>
      </c>
      <c r="G1073" s="68" t="s">
        <v>3810</v>
      </c>
      <c r="H1073" s="59" t="s">
        <v>3811</v>
      </c>
      <c r="I1073" s="69" t="s">
        <v>4063</v>
      </c>
      <c r="J1073" s="69"/>
      <c r="K1073" s="68" t="s">
        <v>9</v>
      </c>
      <c r="L1073" s="69" t="s">
        <v>120</v>
      </c>
      <c r="M1073" s="71" t="s">
        <v>141</v>
      </c>
      <c r="N1073" s="69" t="e" vm="1">
        <v>#VALUE!</v>
      </c>
      <c r="O1073" s="84">
        <v>44895</v>
      </c>
      <c r="P1073" s="72" t="s">
        <v>402</v>
      </c>
      <c r="Q1073" s="72" t="s">
        <v>623</v>
      </c>
      <c r="R1073" s="162"/>
      <c r="S1073" s="146" t="s">
        <v>3750</v>
      </c>
      <c r="T1073" s="68" t="s">
        <v>3</v>
      </c>
      <c r="U1073" s="87"/>
      <c r="V1073" s="80">
        <v>44895</v>
      </c>
      <c r="W1073" s="73">
        <v>423</v>
      </c>
      <c r="X1073" s="73">
        <f>595*34811/1000000</f>
        <v>20.712544999999999</v>
      </c>
      <c r="Y1073" s="83">
        <f>IF(SUM(W1073:W1073)&gt;0,X1073/SUM(W1073:W1073)*1000000,"N/A")</f>
        <v>48965.827423167844</v>
      </c>
      <c r="Z1073" s="80"/>
      <c r="AA1073" s="80"/>
      <c r="AB1073" s="73" t="s">
        <v>4064</v>
      </c>
      <c r="AC1073" s="153"/>
      <c r="AD1073" s="331"/>
      <c r="AE1073" s="57"/>
      <c r="AF1073" s="88"/>
      <c r="AG1073" s="182">
        <f>YEAR(V1073)</f>
        <v>2022</v>
      </c>
      <c r="AH1073" s="86" t="str">
        <f>+IF(AF1073=$AI$22,MONTH(U1073),"")</f>
        <v/>
      </c>
      <c r="AI1073" s="86" t="str">
        <f>+IF(AG1073=$AI$22,MONTH(V1073),"")</f>
        <v/>
      </c>
      <c r="AJ1073" s="86" t="str">
        <f>+IF(AG1073=$AJ$22,MONTH(V1073),"")</f>
        <v/>
      </c>
      <c r="AK1073" s="86" t="str">
        <f>+IF(AG1073=$AK$22,MONTH(V1073),"")</f>
        <v/>
      </c>
      <c r="AL1073" s="86">
        <f>+IF(AG1073=$AL$22,MONTH(V1073),"")</f>
        <v>11</v>
      </c>
      <c r="AM1073" s="86" t="str">
        <f>+IF($AG1073=$AM$22,MONTH($D1073),"")</f>
        <v/>
      </c>
      <c r="AN1073" s="89" t="str">
        <f>+IF($AG1073=AN$22,MONTH($D1073),"")</f>
        <v/>
      </c>
      <c r="AO1073" s="89" t="str">
        <f>+IF($AG1073=AO$22,MONTH($D1073),"")</f>
        <v/>
      </c>
      <c r="AP1073" s="89" t="str">
        <f>+IF($AG1073=AP$22,MONTH($D1073),"")</f>
        <v/>
      </c>
      <c r="AQ1073" s="89" t="str">
        <f>+IF($AG1073=AQ$22,MONTH($D1073),"")</f>
        <v/>
      </c>
      <c r="AR1073" s="89" t="str">
        <f>+IF($AG1073=AR$22,MONTH($D1073),"")</f>
        <v/>
      </c>
      <c r="AS1073" s="89" t="str">
        <f>+IF($AG1073=AS$22,MONTH($D1073),"")</f>
        <v/>
      </c>
      <c r="AT1073" s="89" t="str">
        <f>+IF($AG1073=AT$22,MONTH($D1073),"")</f>
        <v/>
      </c>
      <c r="AU1073" s="89" t="str">
        <f>+IF($AG1073=AU$22,MONTH($D1073),"")</f>
        <v/>
      </c>
      <c r="AV1073" s="89" t="str">
        <f>+IF($AG1073=AV$22,MONTH($D1073),"")</f>
        <v/>
      </c>
      <c r="AW1073" s="86" t="str">
        <f>+IF($AG1073=AW$22,MONTH($D1073),"")</f>
        <v/>
      </c>
      <c r="AX1073" s="86" t="str">
        <f>+IF($AG1073=AX$22,MONTH($D1073),"")</f>
        <v/>
      </c>
      <c r="AY1073" s="89"/>
      <c r="AZ1073" s="89"/>
      <c r="BA1073" s="89"/>
      <c r="BB1073" s="89"/>
      <c r="BC1073" s="89"/>
      <c r="BD1073" s="89"/>
      <c r="BE1073" s="89"/>
      <c r="BF1073" s="89"/>
      <c r="BG1073" s="89"/>
      <c r="BH1073" s="89"/>
      <c r="BI1073" s="89"/>
      <c r="BJ1073" s="89"/>
      <c r="BK1073" s="89"/>
      <c r="BL1073" s="89"/>
      <c r="BM1073" s="89"/>
      <c r="BN1073" s="89"/>
      <c r="BO1073" s="89"/>
      <c r="BP1073" s="89"/>
    </row>
    <row r="1074" spans="1:68" s="56" customFormat="1" ht="13.5" hidden="1">
      <c r="A1074" s="204" t="str">
        <f>+IFERROR(VALUE(MID(AB1074,4,4)),"")</f>
        <v/>
      </c>
      <c r="B1074" s="204">
        <f>VALUE(RIGHT(C1074,LEN(C1074)-2))</f>
        <v>1649</v>
      </c>
      <c r="C1074" s="74" t="s">
        <v>4065</v>
      </c>
      <c r="D1074" s="75">
        <v>44886</v>
      </c>
      <c r="E1074" s="70" t="s">
        <v>473</v>
      </c>
      <c r="F1074" s="70" t="s">
        <v>473</v>
      </c>
      <c r="G1074" s="68" t="s">
        <v>4066</v>
      </c>
      <c r="H1074" s="59" t="s">
        <v>4067</v>
      </c>
      <c r="I1074" s="69" t="s">
        <v>4068</v>
      </c>
      <c r="J1074" s="69"/>
      <c r="K1074" s="68" t="s">
        <v>12</v>
      </c>
      <c r="L1074" s="69" t="s">
        <v>120</v>
      </c>
      <c r="M1074" s="71" t="s">
        <v>141</v>
      </c>
      <c r="N1074" s="69" t="e" vm="1">
        <v>#VALUE!</v>
      </c>
      <c r="O1074" s="84">
        <v>44890</v>
      </c>
      <c r="P1074" s="72" t="s">
        <v>2124</v>
      </c>
      <c r="Q1074" s="72" t="s">
        <v>316</v>
      </c>
      <c r="R1074" s="162"/>
      <c r="S1074" s="146"/>
      <c r="T1074" s="68" t="s">
        <v>165</v>
      </c>
      <c r="U1074" s="87"/>
      <c r="V1074" s="80">
        <v>44902</v>
      </c>
      <c r="W1074" s="73">
        <v>1038</v>
      </c>
      <c r="X1074" s="73">
        <f>1318*29000/1000000</f>
        <v>38.222000000000001</v>
      </c>
      <c r="Y1074" s="83">
        <f>IF(SUM(W1074:W1074)&gt;0,X1074/SUM(W1074:W1074)*1000000,"N/A")</f>
        <v>36822.736030828513</v>
      </c>
      <c r="Z1074" s="80"/>
      <c r="AA1074" s="80"/>
      <c r="AB1074" s="73"/>
      <c r="AC1074" s="153"/>
      <c r="AD1074" s="331"/>
      <c r="AE1074" s="57"/>
      <c r="AF1074" s="88"/>
      <c r="AG1074" s="182">
        <f>YEAR(V1074)</f>
        <v>2022</v>
      </c>
      <c r="AH1074" s="86" t="str">
        <f>+IF(AF1074=$AI$22,MONTH(U1074),"")</f>
        <v/>
      </c>
      <c r="AI1074" s="86" t="str">
        <f>+IF(AG1074=$AI$22,MONTH(V1074),"")</f>
        <v/>
      </c>
      <c r="AJ1074" s="86" t="str">
        <f>+IF(AG1074=$AJ$22,MONTH(V1074),"")</f>
        <v/>
      </c>
      <c r="AK1074" s="86" t="str">
        <f>+IF(AG1074=$AK$22,MONTH(V1074),"")</f>
        <v/>
      </c>
      <c r="AL1074" s="86">
        <f>+IF(AG1074=$AL$22,MONTH(V1074),"")</f>
        <v>12</v>
      </c>
      <c r="AM1074" s="86" t="str">
        <f>+IF($AG1074=$AM$22,MONTH($D1074),"")</f>
        <v/>
      </c>
      <c r="AN1074" s="89" t="str">
        <f>+IF($AG1074=AN$22,MONTH($D1074),"")</f>
        <v/>
      </c>
      <c r="AO1074" s="86" t="str">
        <f>+IF($AG1074=AO$22,MONTH($D1074),"")</f>
        <v/>
      </c>
      <c r="AP1074" s="86" t="str">
        <f>+IF($AG1074=AP$22,MONTH($D1074),"")</f>
        <v/>
      </c>
      <c r="AQ1074" s="86" t="str">
        <f>+IF($AG1074=AQ$22,MONTH($D1074),"")</f>
        <v/>
      </c>
      <c r="AR1074" s="86" t="str">
        <f>+IF($AG1074=AR$22,MONTH($D1074),"")</f>
        <v/>
      </c>
      <c r="AS1074" s="86" t="str">
        <f>+IF($AG1074=AS$22,MONTH($D1074),"")</f>
        <v/>
      </c>
      <c r="AT1074" s="86" t="str">
        <f>+IF($AG1074=AT$22,MONTH($D1074),"")</f>
        <v/>
      </c>
      <c r="AU1074" s="86" t="str">
        <f>+IF($AG1074=AU$22,MONTH($D1074),"")</f>
        <v/>
      </c>
      <c r="AV1074" s="86" t="str">
        <f>+IF($AG1074=AV$22,MONTH($D1074),"")</f>
        <v/>
      </c>
      <c r="AW1074" s="86" t="str">
        <f>+IF($AG1074=AW$22,MONTH($D1074),"")</f>
        <v/>
      </c>
      <c r="AX1074" s="86" t="str">
        <f>+IF($AG1074=AX$22,MONTH($D1074),"")</f>
        <v/>
      </c>
      <c r="AY1074" s="89"/>
      <c r="AZ1074" s="89"/>
      <c r="BA1074" s="89"/>
      <c r="BB1074" s="89"/>
      <c r="BC1074" s="89"/>
      <c r="BD1074" s="89"/>
      <c r="BE1074" s="89"/>
      <c r="BF1074" s="89"/>
      <c r="BG1074" s="89"/>
      <c r="BH1074" s="89"/>
      <c r="BI1074" s="89"/>
      <c r="BJ1074" s="89"/>
      <c r="BK1074" s="89"/>
      <c r="BL1074" s="89"/>
      <c r="BM1074" s="89"/>
      <c r="BN1074" s="89"/>
      <c r="BO1074" s="89"/>
      <c r="BP1074" s="89"/>
    </row>
    <row r="1075" spans="1:68" s="56" customFormat="1" ht="40.5" hidden="1">
      <c r="A1075" s="204" t="str">
        <f>+IFERROR(VALUE(MID(AB1075,4,4)),"")</f>
        <v/>
      </c>
      <c r="B1075" s="204">
        <f>VALUE(RIGHT(C1075,LEN(C1075)-2))</f>
        <v>1648</v>
      </c>
      <c r="C1075" s="74" t="s">
        <v>4069</v>
      </c>
      <c r="D1075" s="75">
        <v>44886</v>
      </c>
      <c r="E1075" s="70" t="s">
        <v>4070</v>
      </c>
      <c r="F1075" s="70" t="s">
        <v>4070</v>
      </c>
      <c r="G1075" s="68" t="s">
        <v>4071</v>
      </c>
      <c r="H1075" s="59" t="s">
        <v>4072</v>
      </c>
      <c r="I1075" s="69" t="s">
        <v>4073</v>
      </c>
      <c r="J1075" s="69"/>
      <c r="K1075" s="68" t="s">
        <v>12</v>
      </c>
      <c r="L1075" s="69" t="s">
        <v>120</v>
      </c>
      <c r="M1075" s="71" t="s">
        <v>141</v>
      </c>
      <c r="N1075" s="69" t="e" vm="1">
        <v>#VALUE!</v>
      </c>
      <c r="O1075" s="84">
        <v>44890</v>
      </c>
      <c r="P1075" s="72" t="s">
        <v>749</v>
      </c>
      <c r="Q1075" s="72" t="s">
        <v>229</v>
      </c>
      <c r="R1075" s="162"/>
      <c r="S1075" s="146" t="s">
        <v>4074</v>
      </c>
      <c r="T1075" s="68" t="s">
        <v>165</v>
      </c>
      <c r="U1075" s="87">
        <v>0</v>
      </c>
      <c r="V1075" s="80">
        <v>44979</v>
      </c>
      <c r="W1075" s="73">
        <v>396</v>
      </c>
      <c r="X1075" s="73">
        <f>27000*960/1000000</f>
        <v>25.92</v>
      </c>
      <c r="Y1075" s="83">
        <f>IF(SUM(W1075:W1075)&gt;0,X1075/SUM(W1075:W1075)*1000000,"N/A")</f>
        <v>65454.545454545463</v>
      </c>
      <c r="Z1075" s="80"/>
      <c r="AA1075" s="80"/>
      <c r="AB1075" s="73"/>
      <c r="AC1075" s="153"/>
      <c r="AD1075" s="331"/>
      <c r="AE1075" s="57"/>
      <c r="AF1075" s="88"/>
      <c r="AG1075" s="182">
        <f>YEAR(V1075)</f>
        <v>2023</v>
      </c>
      <c r="AH1075" s="86" t="str">
        <f>+IF(AF1075=$AI$22,MONTH(U1075),"")</f>
        <v/>
      </c>
      <c r="AI1075" s="86" t="str">
        <f>+IF(AG1075=$AI$22,MONTH(V1075),"")</f>
        <v/>
      </c>
      <c r="AJ1075" s="86" t="str">
        <f>+IF(AG1075=$AJ$22,MONTH(V1075),"")</f>
        <v/>
      </c>
      <c r="AK1075" s="86">
        <f>+IF(AG1075=$AK$22,MONTH(V1075),"")</f>
        <v>2</v>
      </c>
      <c r="AL1075" s="86" t="str">
        <f>+IF(AG1075=$AL$22,MONTH(V1075),"")</f>
        <v/>
      </c>
      <c r="AM1075" s="86" t="str">
        <f>+IF($AG1075=$AM$22,MONTH($D1075),"")</f>
        <v/>
      </c>
      <c r="AN1075" s="89" t="str">
        <f>+IF($AG1075=AN$22,MONTH($D1075),"")</f>
        <v/>
      </c>
      <c r="AO1075" s="86" t="str">
        <f>+IF($AG1075=AO$22,MONTH($D1075),"")</f>
        <v/>
      </c>
      <c r="AP1075" s="86" t="str">
        <f>+IF($AG1075=AP$22,MONTH($D1075),"")</f>
        <v/>
      </c>
      <c r="AQ1075" s="86" t="str">
        <f>+IF($AG1075=AQ$22,MONTH($D1075),"")</f>
        <v/>
      </c>
      <c r="AR1075" s="86" t="str">
        <f>+IF($AG1075=AR$22,MONTH($D1075),"")</f>
        <v/>
      </c>
      <c r="AS1075" s="86" t="str">
        <f>+IF($AG1075=AS$22,MONTH($D1075),"")</f>
        <v/>
      </c>
      <c r="AT1075" s="86" t="str">
        <f>+IF($AG1075=AT$22,MONTH($D1075),"")</f>
        <v/>
      </c>
      <c r="AU1075" s="86" t="str">
        <f>+IF($AG1075=AU$22,MONTH($D1075),"")</f>
        <v/>
      </c>
      <c r="AV1075" s="86" t="str">
        <f>+IF($AG1075=AV$22,MONTH($D1075),"")</f>
        <v/>
      </c>
      <c r="AW1075" s="86" t="str">
        <f>+IF($AG1075=AW$22,MONTH($D1075),"")</f>
        <v/>
      </c>
      <c r="AX1075" s="86" t="str">
        <f>+IF($AG1075=AX$22,MONTH($D1075),"")</f>
        <v/>
      </c>
      <c r="AY1075" s="89"/>
      <c r="AZ1075" s="89"/>
      <c r="BA1075" s="89"/>
      <c r="BB1075" s="89"/>
      <c r="BC1075" s="89"/>
      <c r="BD1075" s="89"/>
      <c r="BE1075" s="89"/>
      <c r="BF1075" s="89"/>
      <c r="BG1075" s="89"/>
      <c r="BH1075" s="89"/>
      <c r="BI1075" s="89"/>
      <c r="BJ1075" s="89"/>
      <c r="BK1075" s="89"/>
      <c r="BL1075" s="89"/>
      <c r="BM1075" s="89"/>
      <c r="BN1075" s="89"/>
      <c r="BO1075" s="89"/>
      <c r="BP1075" s="89"/>
    </row>
    <row r="1076" spans="1:68" s="56" customFormat="1" ht="27" hidden="1">
      <c r="A1076" s="204">
        <f>+IFERROR(VALUE(MID(AB1076,4,4)),"")</f>
        <v>317</v>
      </c>
      <c r="B1076" s="204">
        <f>VALUE(RIGHT(C1076,LEN(C1076)-2))</f>
        <v>1647</v>
      </c>
      <c r="C1076" s="74" t="s">
        <v>4075</v>
      </c>
      <c r="D1076" s="75">
        <v>44883</v>
      </c>
      <c r="E1076" s="70" t="s">
        <v>4076</v>
      </c>
      <c r="F1076" s="70" t="s">
        <v>4076</v>
      </c>
      <c r="G1076" s="68" t="s">
        <v>4077</v>
      </c>
      <c r="H1076" s="59"/>
      <c r="I1076" s="69" t="s">
        <v>4078</v>
      </c>
      <c r="J1076" s="69"/>
      <c r="K1076" s="68" t="s">
        <v>18</v>
      </c>
      <c r="L1076" s="69" t="s">
        <v>120</v>
      </c>
      <c r="M1076" s="71" t="s">
        <v>141</v>
      </c>
      <c r="N1076" s="69" t="e" vm="1">
        <v>#VALUE!</v>
      </c>
      <c r="O1076" s="84">
        <v>44883</v>
      </c>
      <c r="P1076" s="72" t="s">
        <v>364</v>
      </c>
      <c r="Q1076" s="82" t="s">
        <v>229</v>
      </c>
      <c r="R1076" s="69"/>
      <c r="S1076" s="146" t="s">
        <v>4079</v>
      </c>
      <c r="T1076" s="68" t="s">
        <v>3</v>
      </c>
      <c r="U1076" s="87"/>
      <c r="V1076" s="80">
        <v>44886</v>
      </c>
      <c r="W1076" s="73">
        <v>61</v>
      </c>
      <c r="X1076" s="73">
        <f>122*34741/1000000</f>
        <v>4.2384019999999998</v>
      </c>
      <c r="Y1076" s="83">
        <f>IF(SUM(W1076:W1076)&gt;0,X1076/SUM(W1076:W1076)*1000000,"N/A")</f>
        <v>69482</v>
      </c>
      <c r="Z1076" s="80"/>
      <c r="AA1076" s="80"/>
      <c r="AB1076" s="73" t="s">
        <v>4080</v>
      </c>
      <c r="AC1076" s="153"/>
      <c r="AD1076" s="331"/>
      <c r="AE1076" s="57"/>
      <c r="AF1076" s="88"/>
      <c r="AG1076" s="182">
        <f>YEAR(V1076)</f>
        <v>2022</v>
      </c>
      <c r="AH1076" s="86" t="str">
        <f>+IF(AF1076=$AI$22,MONTH(U1076),"")</f>
        <v/>
      </c>
      <c r="AI1076" s="86" t="str">
        <f>+IF(AG1076=$AI$22,MONTH(V1076),"")</f>
        <v/>
      </c>
      <c r="AJ1076" s="86" t="str">
        <f>+IF(AG1076=$AJ$22,MONTH(V1076),"")</f>
        <v/>
      </c>
      <c r="AK1076" s="86" t="str">
        <f>+IF(AG1076=$AK$22,MONTH(V1076),"")</f>
        <v/>
      </c>
      <c r="AL1076" s="86">
        <f>+IF(AG1076=$AL$22,MONTH(V1076),"")</f>
        <v>11</v>
      </c>
      <c r="AM1076" s="86" t="str">
        <f>+IF($AG1076=$AM$22,MONTH($D1076),"")</f>
        <v/>
      </c>
      <c r="AN1076" s="89" t="str">
        <f>+IF($AG1076=AN$22,MONTH($D1076),"")</f>
        <v/>
      </c>
      <c r="AO1076" s="89" t="str">
        <f>+IF($AG1076=AO$22,MONTH($D1076),"")</f>
        <v/>
      </c>
      <c r="AP1076" s="89" t="str">
        <f>+IF($AG1076=AP$22,MONTH($D1076),"")</f>
        <v/>
      </c>
      <c r="AQ1076" s="89" t="str">
        <f>+IF($AG1076=AQ$22,MONTH($D1076),"")</f>
        <v/>
      </c>
      <c r="AR1076" s="89" t="str">
        <f>+IF($AG1076=AR$22,MONTH($D1076),"")</f>
        <v/>
      </c>
      <c r="AS1076" s="89" t="str">
        <f>+IF($AG1076=AS$22,MONTH($D1076),"")</f>
        <v/>
      </c>
      <c r="AT1076" s="89" t="str">
        <f>+IF($AG1076=AT$22,MONTH($D1076),"")</f>
        <v/>
      </c>
      <c r="AU1076" s="89" t="str">
        <f>+IF($AG1076=AU$22,MONTH($D1076),"")</f>
        <v/>
      </c>
      <c r="AV1076" s="89" t="str">
        <f>+IF($AG1076=AV$22,MONTH($D1076),"")</f>
        <v/>
      </c>
      <c r="AW1076" s="86" t="str">
        <f>+IF($AG1076=AW$22,MONTH($D1076),"")</f>
        <v/>
      </c>
      <c r="AX1076" s="86" t="str">
        <f>+IF($AG1076=AX$22,MONTH($D1076),"")</f>
        <v/>
      </c>
      <c r="AY1076" s="89"/>
      <c r="AZ1076" s="89"/>
      <c r="BA1076" s="89"/>
      <c r="BB1076" s="89"/>
      <c r="BC1076" s="89"/>
      <c r="BD1076" s="89"/>
      <c r="BE1076" s="89"/>
      <c r="BF1076" s="89"/>
      <c r="BG1076" s="89"/>
      <c r="BH1076" s="89"/>
      <c r="BI1076" s="89"/>
      <c r="BJ1076" s="89"/>
      <c r="BK1076" s="89"/>
      <c r="BL1076" s="89"/>
      <c r="BM1076" s="89"/>
      <c r="BN1076" s="89"/>
      <c r="BO1076" s="89"/>
      <c r="BP1076" s="89"/>
    </row>
    <row r="1077" spans="1:68" s="56" customFormat="1" ht="27" hidden="1">
      <c r="A1077" s="204" t="str">
        <f>+IFERROR(VALUE(MID(AB1077,4,4)),"")</f>
        <v/>
      </c>
      <c r="B1077" s="204">
        <f>VALUE(RIGHT(C1077,LEN(C1077)-2))</f>
        <v>1646</v>
      </c>
      <c r="C1077" s="74" t="s">
        <v>4081</v>
      </c>
      <c r="D1077" s="75">
        <v>44855</v>
      </c>
      <c r="E1077" s="70" t="s">
        <v>4082</v>
      </c>
      <c r="F1077" s="70" t="s">
        <v>4083</v>
      </c>
      <c r="G1077" s="68" t="s">
        <v>4084</v>
      </c>
      <c r="H1077" s="111" t="s">
        <v>4085</v>
      </c>
      <c r="I1077" s="69" t="s">
        <v>4086</v>
      </c>
      <c r="J1077" s="69"/>
      <c r="K1077" s="68" t="s">
        <v>13</v>
      </c>
      <c r="L1077" s="69" t="s">
        <v>123</v>
      </c>
      <c r="M1077" s="71" t="s">
        <v>141</v>
      </c>
      <c r="N1077" s="69" t="e" vm="1">
        <v>#VALUE!</v>
      </c>
      <c r="O1077" s="84">
        <v>44890</v>
      </c>
      <c r="P1077" s="72" t="s">
        <v>749</v>
      </c>
      <c r="Q1077" s="72" t="s">
        <v>229</v>
      </c>
      <c r="R1077" s="162"/>
      <c r="S1077" s="146" t="s">
        <v>4087</v>
      </c>
      <c r="T1077" s="68" t="s">
        <v>168</v>
      </c>
      <c r="U1077" s="87">
        <v>0</v>
      </c>
      <c r="V1077" s="80">
        <v>44965</v>
      </c>
      <c r="W1077" s="73"/>
      <c r="X1077" s="73">
        <f>20184.9*34671/1000000</f>
        <v>699.83066790000009</v>
      </c>
      <c r="Y1077" s="83" t="str">
        <f>IF(SUM(W1077:W1077)&gt;0,X1077/SUM(W1077:W1077)*1000000,"N/A")</f>
        <v>N/A</v>
      </c>
      <c r="Z1077" s="80"/>
      <c r="AA1077" s="80"/>
      <c r="AB1077" s="73"/>
      <c r="AC1077" s="153"/>
      <c r="AD1077" s="331"/>
      <c r="AE1077" s="57"/>
      <c r="AF1077" s="88"/>
      <c r="AG1077" s="182">
        <f>YEAR(V1077)</f>
        <v>2023</v>
      </c>
      <c r="AH1077" s="86" t="str">
        <f>+IF(AF1077=$AI$22,MONTH(U1077),"")</f>
        <v/>
      </c>
      <c r="AI1077" s="86" t="str">
        <f>+IF(AG1077=$AI$22,MONTH(V1077),"")</f>
        <v/>
      </c>
      <c r="AJ1077" s="86" t="str">
        <f>+IF(AG1077=$AJ$22,MONTH(V1077),"")</f>
        <v/>
      </c>
      <c r="AK1077" s="86">
        <f>+IF(AG1077=$AK$22,MONTH(V1077),"")</f>
        <v>2</v>
      </c>
      <c r="AL1077" s="86" t="str">
        <f>+IF(AG1077=$AL$22,MONTH(V1077),"")</f>
        <v/>
      </c>
      <c r="AM1077" s="86" t="str">
        <f>+IF($AG1077=$AM$22,MONTH($D1077),"")</f>
        <v/>
      </c>
      <c r="AN1077" s="89" t="str">
        <f>+IF($AG1077=AN$22,MONTH($D1077),"")</f>
        <v/>
      </c>
      <c r="AO1077" s="89" t="str">
        <f>+IF($AG1077=AO$22,MONTH($D1077),"")</f>
        <v/>
      </c>
      <c r="AP1077" s="89" t="str">
        <f>+IF($AG1077=AP$22,MONTH($D1077),"")</f>
        <v/>
      </c>
      <c r="AQ1077" s="89" t="str">
        <f>+IF($AG1077=AQ$22,MONTH($D1077),"")</f>
        <v/>
      </c>
      <c r="AR1077" s="89" t="str">
        <f>+IF($AG1077=AR$22,MONTH($D1077),"")</f>
        <v/>
      </c>
      <c r="AS1077" s="89" t="str">
        <f>+IF($AG1077=AS$22,MONTH($D1077),"")</f>
        <v/>
      </c>
      <c r="AT1077" s="89" t="str">
        <f>+IF($AG1077=AT$22,MONTH($D1077),"")</f>
        <v/>
      </c>
      <c r="AU1077" s="89" t="str">
        <f>+IF($AG1077=AU$22,MONTH($D1077),"")</f>
        <v/>
      </c>
      <c r="AV1077" s="89" t="str">
        <f>+IF($AG1077=AV$22,MONTH($D1077),"")</f>
        <v/>
      </c>
      <c r="AW1077" s="86" t="str">
        <f>+IF($AG1077=AW$22,MONTH($D1077),"")</f>
        <v/>
      </c>
      <c r="AX1077" s="86" t="str">
        <f>+IF($AG1077=AX$22,MONTH($D1077),"")</f>
        <v/>
      </c>
      <c r="AY1077" s="89"/>
      <c r="AZ1077" s="89"/>
      <c r="BA1077" s="89"/>
      <c r="BB1077" s="89"/>
      <c r="BC1077" s="89"/>
      <c r="BD1077" s="89"/>
      <c r="BE1077" s="89"/>
      <c r="BF1077" s="89"/>
      <c r="BG1077" s="89"/>
      <c r="BH1077" s="89"/>
      <c r="BI1077" s="89"/>
      <c r="BJ1077" s="89"/>
      <c r="BK1077" s="89"/>
      <c r="BL1077" s="89"/>
      <c r="BM1077" s="89"/>
      <c r="BN1077" s="89"/>
      <c r="BO1077" s="89"/>
      <c r="BP1077" s="89"/>
    </row>
    <row r="1078" spans="1:68" s="56" customFormat="1" ht="27" hidden="1">
      <c r="A1078" s="204" t="str">
        <f>+IFERROR(VALUE(MID(AB1078,4,4)),"")</f>
        <v/>
      </c>
      <c r="B1078" s="204">
        <f>VALUE(RIGHT(C1078,LEN(C1078)-2))</f>
        <v>1645</v>
      </c>
      <c r="C1078" s="74" t="s">
        <v>4088</v>
      </c>
      <c r="D1078" s="75">
        <v>44855</v>
      </c>
      <c r="E1078" s="70" t="s">
        <v>4089</v>
      </c>
      <c r="F1078" s="70" t="s">
        <v>4083</v>
      </c>
      <c r="G1078" s="68" t="s">
        <v>4090</v>
      </c>
      <c r="H1078" s="111" t="s">
        <v>4091</v>
      </c>
      <c r="I1078" s="69" t="s">
        <v>4086</v>
      </c>
      <c r="J1078" s="69"/>
      <c r="K1078" s="68" t="s">
        <v>13</v>
      </c>
      <c r="L1078" s="69" t="s">
        <v>123</v>
      </c>
      <c r="M1078" s="71" t="s">
        <v>141</v>
      </c>
      <c r="N1078" s="69" t="e" vm="1">
        <v>#VALUE!</v>
      </c>
      <c r="O1078" s="84">
        <v>44890</v>
      </c>
      <c r="P1078" s="72" t="s">
        <v>749</v>
      </c>
      <c r="Q1078" s="72" t="s">
        <v>229</v>
      </c>
      <c r="R1078" s="162"/>
      <c r="S1078" s="146" t="s">
        <v>4087</v>
      </c>
      <c r="T1078" s="68" t="s">
        <v>168</v>
      </c>
      <c r="U1078" s="87">
        <v>0</v>
      </c>
      <c r="V1078" s="80">
        <v>44965</v>
      </c>
      <c r="W1078" s="73"/>
      <c r="X1078" s="73">
        <f>20184.9*34671/1000000</f>
        <v>699.83066790000009</v>
      </c>
      <c r="Y1078" s="83" t="str">
        <f>IF(SUM(W1078:W1078)&gt;0,X1078/SUM(W1078:W1078)*1000000,"N/A")</f>
        <v>N/A</v>
      </c>
      <c r="Z1078" s="80"/>
      <c r="AA1078" s="80"/>
      <c r="AB1078" s="73"/>
      <c r="AC1078" s="153"/>
      <c r="AD1078" s="331"/>
      <c r="AE1078" s="57"/>
      <c r="AF1078" s="88"/>
      <c r="AG1078" s="182">
        <f>YEAR(V1078)</f>
        <v>2023</v>
      </c>
      <c r="AH1078" s="86" t="str">
        <f>+IF(AF1078=$AI$22,MONTH(U1078),"")</f>
        <v/>
      </c>
      <c r="AI1078" s="86" t="str">
        <f>+IF(AG1078=$AI$22,MONTH(V1078),"")</f>
        <v/>
      </c>
      <c r="AJ1078" s="86" t="str">
        <f>+IF(AG1078=$AJ$22,MONTH(V1078),"")</f>
        <v/>
      </c>
      <c r="AK1078" s="86">
        <f>+IF(AG1078=$AK$22,MONTH(V1078),"")</f>
        <v>2</v>
      </c>
      <c r="AL1078" s="86" t="str">
        <f>+IF(AG1078=$AL$22,MONTH(V1078),"")</f>
        <v/>
      </c>
      <c r="AM1078" s="86" t="str">
        <f>+IF($AG1078=$AM$22,MONTH($D1078),"")</f>
        <v/>
      </c>
      <c r="AN1078" s="89" t="str">
        <f>+IF($AG1078=AN$22,MONTH($D1078),"")</f>
        <v/>
      </c>
      <c r="AO1078" s="89" t="str">
        <f>+IF($AG1078=AO$22,MONTH($D1078),"")</f>
        <v/>
      </c>
      <c r="AP1078" s="89" t="str">
        <f>+IF($AG1078=AP$22,MONTH($D1078),"")</f>
        <v/>
      </c>
      <c r="AQ1078" s="89" t="str">
        <f>+IF($AG1078=AQ$22,MONTH($D1078),"")</f>
        <v/>
      </c>
      <c r="AR1078" s="89" t="str">
        <f>+IF($AG1078=AR$22,MONTH($D1078),"")</f>
        <v/>
      </c>
      <c r="AS1078" s="89" t="str">
        <f>+IF($AG1078=AS$22,MONTH($D1078),"")</f>
        <v/>
      </c>
      <c r="AT1078" s="89" t="str">
        <f>+IF($AG1078=AT$22,MONTH($D1078),"")</f>
        <v/>
      </c>
      <c r="AU1078" s="89" t="str">
        <f>+IF($AG1078=AU$22,MONTH($D1078),"")</f>
        <v/>
      </c>
      <c r="AV1078" s="89" t="str">
        <f>+IF($AG1078=AV$22,MONTH($D1078),"")</f>
        <v/>
      </c>
      <c r="AW1078" s="86" t="str">
        <f>+IF($AG1078=AW$22,MONTH($D1078),"")</f>
        <v/>
      </c>
      <c r="AX1078" s="86" t="str">
        <f>+IF($AG1078=AX$22,MONTH($D1078),"")</f>
        <v/>
      </c>
      <c r="AY1078" s="89"/>
      <c r="AZ1078" s="89"/>
      <c r="BA1078" s="89"/>
      <c r="BB1078" s="89"/>
      <c r="BC1078" s="89"/>
      <c r="BD1078" s="89"/>
      <c r="BE1078" s="89"/>
      <c r="BF1078" s="89"/>
      <c r="BG1078" s="89"/>
      <c r="BH1078" s="89"/>
      <c r="BI1078" s="89"/>
      <c r="BJ1078" s="89"/>
      <c r="BK1078" s="89"/>
      <c r="BL1078" s="89"/>
      <c r="BM1078" s="89"/>
      <c r="BN1078" s="89"/>
      <c r="BO1078" s="89"/>
      <c r="BP1078" s="89"/>
    </row>
    <row r="1079" spans="1:68" s="56" customFormat="1" ht="81" hidden="1">
      <c r="A1079" s="204" t="str">
        <f>+IFERROR(VALUE(MID(AB1079,4,4)),"")</f>
        <v/>
      </c>
      <c r="B1079" s="204">
        <f>VALUE(RIGHT(C1079,LEN(C1079)-2))</f>
        <v>1644</v>
      </c>
      <c r="C1079" s="74" t="s">
        <v>4092</v>
      </c>
      <c r="D1079" s="75">
        <v>44882</v>
      </c>
      <c r="E1079" s="68" t="s">
        <v>2286</v>
      </c>
      <c r="F1079" s="68" t="s">
        <v>3804</v>
      </c>
      <c r="G1079" s="68" t="s">
        <v>2287</v>
      </c>
      <c r="H1079" s="59" t="s">
        <v>2288</v>
      </c>
      <c r="I1079" s="69" t="s">
        <v>4093</v>
      </c>
      <c r="J1079" s="69"/>
      <c r="K1079" s="68" t="s">
        <v>13</v>
      </c>
      <c r="L1079" s="69" t="s">
        <v>123</v>
      </c>
      <c r="M1079" s="71" t="s">
        <v>113</v>
      </c>
      <c r="N1079" s="69" t="e" vm="4">
        <v>#VALUE!</v>
      </c>
      <c r="O1079" s="84">
        <v>44910</v>
      </c>
      <c r="P1079" s="69" t="s">
        <v>1629</v>
      </c>
      <c r="Q1079" s="69" t="s">
        <v>316</v>
      </c>
      <c r="R1079" s="69"/>
      <c r="S1079" s="146" t="s">
        <v>4094</v>
      </c>
      <c r="T1079" s="68" t="s">
        <v>168</v>
      </c>
      <c r="U1079" s="87"/>
      <c r="V1079" s="80">
        <v>45254</v>
      </c>
      <c r="W1079" s="73"/>
      <c r="X1079" s="216">
        <f>480764*920/1000000</f>
        <v>442.30288000000002</v>
      </c>
      <c r="Y1079" s="83" t="str">
        <f>IF(SUM(W1079:W1079)&gt;0,X1079/SUM(W1079:W1079)*1000000,"N/A")</f>
        <v>N/A</v>
      </c>
      <c r="Z1079" s="80"/>
      <c r="AA1079" s="80"/>
      <c r="AB1079" s="57"/>
      <c r="AC1079" s="75"/>
      <c r="AD1079" s="332"/>
      <c r="AE1079" s="68"/>
      <c r="AF1079" s="73" t="s">
        <v>4095</v>
      </c>
      <c r="AG1079" s="182">
        <f>YEAR(V1079)</f>
        <v>2023</v>
      </c>
      <c r="AH1079" s="86" t="str">
        <f>+IF(AF1079=$AI$22,MONTH(U1079),"")</f>
        <v/>
      </c>
      <c r="AI1079" s="86" t="str">
        <f>+IF(AG1079=$AI$22,MONTH(V1079),"")</f>
        <v/>
      </c>
      <c r="AJ1079" s="86" t="str">
        <f>+IF(AG1079=$AJ$22,MONTH(V1079),"")</f>
        <v/>
      </c>
      <c r="AK1079" s="86">
        <f>+IF(AG1079=$AK$22,MONTH(V1079),"")</f>
        <v>11</v>
      </c>
      <c r="AL1079" s="86" t="str">
        <f>+IF(AG1079=$AL$22,MONTH(V1079),"")</f>
        <v/>
      </c>
      <c r="AM1079" s="86" t="str">
        <f>+IF($AG1079=$AM$22,MONTH($D1079),"")</f>
        <v/>
      </c>
      <c r="AN1079" s="89" t="str">
        <f>+IF($AG1079=AN$22,MONTH($D1079),"")</f>
        <v/>
      </c>
      <c r="AO1079" s="184" t="str">
        <f>+IF($AG1079=AO$22,MONTH($D1079),"")</f>
        <v/>
      </c>
      <c r="AP1079" s="184" t="str">
        <f>+IF($AG1079=AP$22,MONTH($D1079),"")</f>
        <v/>
      </c>
      <c r="AQ1079" s="184" t="str">
        <f>+IF($AG1079=AQ$22,MONTH($D1079),"")</f>
        <v/>
      </c>
      <c r="AR1079" s="184" t="str">
        <f>+IF($AG1079=AR$22,MONTH($D1079),"")</f>
        <v/>
      </c>
      <c r="AS1079" s="184" t="str">
        <f>+IF($AG1079=AS$22,MONTH($D1079),"")</f>
        <v/>
      </c>
      <c r="AT1079" s="86" t="str">
        <f>+IF($AG1079=AT$22,MONTH($D1079),"")</f>
        <v/>
      </c>
      <c r="AU1079" s="86" t="str">
        <f>+IF($AG1079=AU$22,MONTH($D1079),"")</f>
        <v/>
      </c>
      <c r="AV1079" s="86" t="str">
        <f>+IF($AG1079=AV$22,MONTH($D1079),"")</f>
        <v/>
      </c>
      <c r="AW1079" s="86" t="str">
        <f>+IF($AG1079=AW$22,MONTH($D1079),"")</f>
        <v/>
      </c>
      <c r="AX1079" s="86" t="str">
        <f>+IF($AG1079=AX$22,MONTH($D1079),"")</f>
        <v/>
      </c>
      <c r="AY1079" s="89"/>
      <c r="AZ1079" s="89"/>
      <c r="BA1079" s="89"/>
      <c r="BB1079" s="89"/>
      <c r="BC1079" s="89"/>
      <c r="BD1079" s="89"/>
      <c r="BE1079" s="89"/>
      <c r="BF1079" s="89"/>
      <c r="BG1079" s="89"/>
      <c r="BH1079" s="89"/>
      <c r="BI1079" s="89"/>
      <c r="BJ1079" s="89"/>
      <c r="BK1079" s="89"/>
      <c r="BL1079" s="89"/>
      <c r="BM1079" s="89"/>
      <c r="BN1079" s="89"/>
      <c r="BO1079" s="89"/>
      <c r="BP1079" s="89"/>
    </row>
    <row r="1080" spans="1:68" s="56" customFormat="1" ht="13.5" hidden="1">
      <c r="A1080" s="204">
        <f>+IFERROR(VALUE(MID(AB1080,4,4)),"")</f>
        <v>322</v>
      </c>
      <c r="B1080" s="204">
        <f>VALUE(RIGHT(C1080,LEN(C1080)-2))</f>
        <v>1643</v>
      </c>
      <c r="C1080" s="74" t="s">
        <v>4096</v>
      </c>
      <c r="D1080" s="75">
        <v>44881</v>
      </c>
      <c r="E1080" s="70" t="s">
        <v>479</v>
      </c>
      <c r="F1080" s="70" t="s">
        <v>479</v>
      </c>
      <c r="G1080" s="68" t="s">
        <v>2059</v>
      </c>
      <c r="H1080" s="59"/>
      <c r="I1080" s="69" t="s">
        <v>4097</v>
      </c>
      <c r="J1080" s="69"/>
      <c r="K1080" s="68" t="s">
        <v>3485</v>
      </c>
      <c r="L1080" s="69" t="s">
        <v>129</v>
      </c>
      <c r="M1080" s="71" t="s">
        <v>113</v>
      </c>
      <c r="N1080" s="69" t="e" vm="2">
        <v>#VALUE!</v>
      </c>
      <c r="O1080" s="84">
        <v>44883</v>
      </c>
      <c r="P1080" s="72" t="s">
        <v>483</v>
      </c>
      <c r="Q1080" s="72" t="s">
        <v>229</v>
      </c>
      <c r="R1080" s="162"/>
      <c r="S1080" s="146" t="s">
        <v>4098</v>
      </c>
      <c r="T1080" s="68" t="s">
        <v>3</v>
      </c>
      <c r="U1080" s="87"/>
      <c r="V1080" s="80">
        <v>44935</v>
      </c>
      <c r="W1080" s="73">
        <v>5417</v>
      </c>
      <c r="X1080" s="73">
        <v>174.5</v>
      </c>
      <c r="Y1080" s="83">
        <f>IF(SUM(W1080:W1080)&gt;0,X1080/SUM(W1080:W1080)*1000000,"N/A")</f>
        <v>32213.4022521691</v>
      </c>
      <c r="Z1080" s="80"/>
      <c r="AA1080" s="80"/>
      <c r="AB1080" s="73" t="s">
        <v>4099</v>
      </c>
      <c r="AC1080" s="153"/>
      <c r="AD1080" s="331"/>
      <c r="AE1080" s="57"/>
      <c r="AF1080" s="88"/>
      <c r="AG1080" s="182">
        <f>YEAR(V1080)</f>
        <v>2023</v>
      </c>
      <c r="AH1080" s="86" t="str">
        <f>+IF(AF1080=$AI$22,MONTH(U1080),"")</f>
        <v/>
      </c>
      <c r="AI1080" s="86" t="str">
        <f>+IF(AG1080=$AI$22,MONTH(V1080),"")</f>
        <v/>
      </c>
      <c r="AJ1080" s="86" t="str">
        <f>+IF(AG1080=$AJ$22,MONTH(V1080),"")</f>
        <v/>
      </c>
      <c r="AK1080" s="86">
        <f>+IF(AG1080=$AK$22,MONTH(V1080),"")</f>
        <v>1</v>
      </c>
      <c r="AL1080" s="86" t="str">
        <f>+IF(AG1080=$AL$22,MONTH(V1080),"")</f>
        <v/>
      </c>
      <c r="AM1080" s="86" t="str">
        <f>+IF($AG1080=$AM$22,MONTH($D1080),"")</f>
        <v/>
      </c>
      <c r="AN1080" s="89" t="str">
        <f>+IF($AG1080=AN$22,MONTH($D1080),"")</f>
        <v/>
      </c>
      <c r="AO1080" s="89" t="str">
        <f>+IF($AG1080=AO$22,MONTH($D1080),"")</f>
        <v/>
      </c>
      <c r="AP1080" s="89" t="str">
        <f>+IF($AG1080=AP$22,MONTH($D1080),"")</f>
        <v/>
      </c>
      <c r="AQ1080" s="89" t="str">
        <f>+IF($AG1080=AQ$22,MONTH($D1080),"")</f>
        <v/>
      </c>
      <c r="AR1080" s="89" t="str">
        <f>+IF($AG1080=AR$22,MONTH($D1080),"")</f>
        <v/>
      </c>
      <c r="AS1080" s="89" t="str">
        <f>+IF($AG1080=AS$22,MONTH($D1080),"")</f>
        <v/>
      </c>
      <c r="AT1080" s="89" t="str">
        <f>+IF($AG1080=AT$22,MONTH($D1080),"")</f>
        <v/>
      </c>
      <c r="AU1080" s="89" t="str">
        <f>+IF($AG1080=AU$22,MONTH($D1080),"")</f>
        <v/>
      </c>
      <c r="AV1080" s="89" t="str">
        <f>+IF($AG1080=AV$22,MONTH($D1080),"")</f>
        <v/>
      </c>
      <c r="AW1080" s="86" t="str">
        <f>+IF($AG1080=AW$22,MONTH($D1080),"")</f>
        <v/>
      </c>
      <c r="AX1080" s="86" t="str">
        <f>+IF($AG1080=AX$22,MONTH($D1080),"")</f>
        <v/>
      </c>
      <c r="AY1080" s="89"/>
      <c r="AZ1080" s="89"/>
      <c r="BA1080" s="89"/>
      <c r="BB1080" s="89"/>
      <c r="BC1080" s="89"/>
      <c r="BD1080" s="89"/>
      <c r="BE1080" s="89"/>
      <c r="BF1080" s="89"/>
      <c r="BG1080" s="89"/>
      <c r="BH1080" s="89"/>
      <c r="BI1080" s="89"/>
      <c r="BJ1080" s="89"/>
      <c r="BK1080" s="89"/>
      <c r="BL1080" s="89"/>
      <c r="BM1080" s="89"/>
      <c r="BN1080" s="89"/>
      <c r="BO1080" s="89"/>
      <c r="BP1080" s="89"/>
    </row>
    <row r="1081" spans="1:68" s="56" customFormat="1" ht="27" hidden="1">
      <c r="A1081" s="204">
        <f>+IFERROR(VALUE(MID(AB1081,4,4)),"")</f>
        <v>274</v>
      </c>
      <c r="B1081" s="204">
        <f>VALUE(RIGHT(C1081,LEN(C1081)-2))</f>
        <v>1642</v>
      </c>
      <c r="C1081" s="74" t="s">
        <v>4100</v>
      </c>
      <c r="D1081" s="75">
        <v>44879</v>
      </c>
      <c r="E1081" s="70" t="s">
        <v>1054</v>
      </c>
      <c r="F1081" s="70" t="s">
        <v>252</v>
      </c>
      <c r="G1081" s="68" t="s">
        <v>1055</v>
      </c>
      <c r="H1081" s="59" t="s">
        <v>1056</v>
      </c>
      <c r="I1081" s="69" t="s">
        <v>4101</v>
      </c>
      <c r="J1081" s="69"/>
      <c r="K1081" s="68" t="s">
        <v>18</v>
      </c>
      <c r="L1081" s="69" t="s">
        <v>129</v>
      </c>
      <c r="M1081" s="71" t="s">
        <v>141</v>
      </c>
      <c r="N1081" s="69" t="e" vm="1">
        <v>#VALUE!</v>
      </c>
      <c r="O1081" s="84">
        <v>44880</v>
      </c>
      <c r="P1081" s="72" t="s">
        <v>402</v>
      </c>
      <c r="Q1081" s="82" t="s">
        <v>1097</v>
      </c>
      <c r="R1081" s="69"/>
      <c r="S1081" s="146"/>
      <c r="T1081" s="68" t="s">
        <v>3</v>
      </c>
      <c r="U1081" s="87"/>
      <c r="V1081" s="80">
        <v>44888</v>
      </c>
      <c r="W1081" s="73">
        <v>120</v>
      </c>
      <c r="X1081" s="73">
        <v>4.5</v>
      </c>
      <c r="Y1081" s="83">
        <f>IF(SUM(W1081:W1081)&gt;0,X1081/SUM(W1081:W1081)*1000000,"N/A")</f>
        <v>37500</v>
      </c>
      <c r="Z1081" s="80"/>
      <c r="AA1081" s="80"/>
      <c r="AB1081" s="73" t="s">
        <v>4102</v>
      </c>
      <c r="AC1081" s="153"/>
      <c r="AD1081" s="331"/>
      <c r="AE1081" s="57"/>
      <c r="AF1081" s="88"/>
      <c r="AG1081" s="182">
        <f>YEAR(V1081)</f>
        <v>2022</v>
      </c>
      <c r="AH1081" s="86" t="str">
        <f>+IF(AF1081=$AI$22,MONTH(U1081),"")</f>
        <v/>
      </c>
      <c r="AI1081" s="86" t="str">
        <f>+IF(AG1081=$AI$22,MONTH(V1081),"")</f>
        <v/>
      </c>
      <c r="AJ1081" s="86" t="str">
        <f>+IF(AG1081=$AJ$22,MONTH(V1081),"")</f>
        <v/>
      </c>
      <c r="AK1081" s="86" t="str">
        <f>+IF(AG1081=$AK$22,MONTH(V1081),"")</f>
        <v/>
      </c>
      <c r="AL1081" s="86">
        <f>+IF(AG1081=$AL$22,MONTH(V1081),"")</f>
        <v>11</v>
      </c>
      <c r="AM1081" s="86" t="str">
        <f>+IF($AG1081=$AM$22,MONTH($D1081),"")</f>
        <v/>
      </c>
      <c r="AN1081" s="89" t="str">
        <f>+IF($AG1081=AN$22,MONTH($D1081),"")</f>
        <v/>
      </c>
      <c r="AO1081" s="89" t="str">
        <f>+IF($AG1081=AO$22,MONTH($D1081),"")</f>
        <v/>
      </c>
      <c r="AP1081" s="89" t="str">
        <f>+IF($AG1081=AP$22,MONTH($D1081),"")</f>
        <v/>
      </c>
      <c r="AQ1081" s="89" t="str">
        <f>+IF($AG1081=AQ$22,MONTH($D1081),"")</f>
        <v/>
      </c>
      <c r="AR1081" s="89" t="str">
        <f>+IF($AG1081=AR$22,MONTH($D1081),"")</f>
        <v/>
      </c>
      <c r="AS1081" s="89" t="str">
        <f>+IF($AG1081=AS$22,MONTH($D1081),"")</f>
        <v/>
      </c>
      <c r="AT1081" s="89" t="str">
        <f>+IF($AG1081=AT$22,MONTH($D1081),"")</f>
        <v/>
      </c>
      <c r="AU1081" s="89" t="str">
        <f>+IF($AG1081=AU$22,MONTH($D1081),"")</f>
        <v/>
      </c>
      <c r="AV1081" s="89" t="str">
        <f>+IF($AG1081=AV$22,MONTH($D1081),"")</f>
        <v/>
      </c>
      <c r="AW1081" s="86" t="str">
        <f>+IF($AG1081=AW$22,MONTH($D1081),"")</f>
        <v/>
      </c>
      <c r="AX1081" s="86" t="str">
        <f>+IF($AG1081=AX$22,MONTH($D1081),"")</f>
        <v/>
      </c>
      <c r="AY1081" s="89"/>
      <c r="AZ1081" s="89"/>
      <c r="BA1081" s="89"/>
      <c r="BB1081" s="89"/>
      <c r="BC1081" s="89"/>
      <c r="BD1081" s="89"/>
      <c r="BE1081" s="89"/>
      <c r="BF1081" s="89"/>
      <c r="BG1081" s="89"/>
      <c r="BH1081" s="89"/>
      <c r="BI1081" s="89"/>
      <c r="BJ1081" s="89"/>
      <c r="BK1081" s="89"/>
      <c r="BL1081" s="89"/>
      <c r="BM1081" s="89"/>
      <c r="BN1081" s="89"/>
      <c r="BO1081" s="89"/>
      <c r="BP1081" s="89"/>
    </row>
    <row r="1082" spans="1:68" s="56" customFormat="1" ht="13.5" hidden="1">
      <c r="A1082" s="204">
        <f>+IFERROR(VALUE(MID(AB1082,4,4)),"")</f>
        <v>328</v>
      </c>
      <c r="B1082" s="204">
        <f>VALUE(RIGHT(C1082,LEN(C1082)-2))</f>
        <v>1641</v>
      </c>
      <c r="C1082" s="74" t="s">
        <v>4103</v>
      </c>
      <c r="D1082" s="75">
        <v>44876</v>
      </c>
      <c r="E1082" s="68" t="s">
        <v>473</v>
      </c>
      <c r="F1082" s="68" t="s">
        <v>473</v>
      </c>
      <c r="G1082" s="68" t="s">
        <v>1983</v>
      </c>
      <c r="H1082" s="59" t="s">
        <v>4104</v>
      </c>
      <c r="I1082" s="69" t="s">
        <v>4105</v>
      </c>
      <c r="J1082" s="69"/>
      <c r="K1082" s="68" t="s">
        <v>13</v>
      </c>
      <c r="L1082" s="69" t="s">
        <v>123</v>
      </c>
      <c r="M1082" s="71" t="s">
        <v>141</v>
      </c>
      <c r="N1082" s="69" t="e" vm="1">
        <v>#VALUE!</v>
      </c>
      <c r="O1082" s="84">
        <v>44902</v>
      </c>
      <c r="P1082" s="69" t="s">
        <v>1629</v>
      </c>
      <c r="Q1082" s="69" t="s">
        <v>316</v>
      </c>
      <c r="R1082" s="69"/>
      <c r="S1082" s="146"/>
      <c r="T1082" s="68" t="s">
        <v>3</v>
      </c>
      <c r="U1082" s="87"/>
      <c r="V1082" s="80">
        <v>44953</v>
      </c>
      <c r="W1082" s="73">
        <v>3124</v>
      </c>
      <c r="X1082" s="73">
        <f>4195*38400/1000000</f>
        <v>161.08799999999999</v>
      </c>
      <c r="Y1082" s="83">
        <f>IF(SUM(W1082:W1082)&gt;0,X1082/SUM(W1082:W1082)*1000000,"N/A")</f>
        <v>51564.660691421253</v>
      </c>
      <c r="Z1082" s="80"/>
      <c r="AA1082" s="80"/>
      <c r="AB1082" s="73" t="s">
        <v>4106</v>
      </c>
      <c r="AC1082" s="75"/>
      <c r="AD1082" s="332"/>
      <c r="AE1082" s="68"/>
      <c r="AF1082" s="73"/>
      <c r="AG1082" s="182">
        <f>YEAR(V1082)</f>
        <v>2023</v>
      </c>
      <c r="AH1082" s="86" t="str">
        <f>+IF(AF1082=$AI$22,MONTH(U1082),"")</f>
        <v/>
      </c>
      <c r="AI1082" s="86" t="str">
        <f>+IF(AG1082=$AI$22,MONTH(V1082),"")</f>
        <v/>
      </c>
      <c r="AJ1082" s="86" t="str">
        <f>+IF(AG1082=$AJ$22,MONTH(V1082),"")</f>
        <v/>
      </c>
      <c r="AK1082" s="86">
        <f>+IF(AG1082=$AK$22,MONTH(V1082),"")</f>
        <v>1</v>
      </c>
      <c r="AL1082" s="86" t="str">
        <f>+IF(AG1082=$AL$22,MONTH(V1082),"")</f>
        <v/>
      </c>
      <c r="AM1082" s="86" t="str">
        <f>+IF($AG1082=$AM$22,MONTH($D1082),"")</f>
        <v/>
      </c>
      <c r="AN1082" s="89" t="str">
        <f>+IF($AG1082=AN$22,MONTH($D1082),"")</f>
        <v/>
      </c>
      <c r="AO1082" s="184" t="str">
        <f>+IF($AG1082=AO$22,MONTH($D1082),"")</f>
        <v/>
      </c>
      <c r="AP1082" s="184" t="str">
        <f>+IF($AG1082=AP$22,MONTH($D1082),"")</f>
        <v/>
      </c>
      <c r="AQ1082" s="184" t="str">
        <f>+IF($AG1082=AQ$22,MONTH($D1082),"")</f>
        <v/>
      </c>
      <c r="AR1082" s="184" t="str">
        <f>+IF($AG1082=AR$22,MONTH($D1082),"")</f>
        <v/>
      </c>
      <c r="AS1082" s="184" t="str">
        <f>+IF($AG1082=AS$22,MONTH($D1082),"")</f>
        <v/>
      </c>
      <c r="AT1082" s="86" t="str">
        <f>+IF($AG1082=AT$22,MONTH($D1082),"")</f>
        <v/>
      </c>
      <c r="AU1082" s="86" t="str">
        <f>+IF($AG1082=AU$22,MONTH($D1082),"")</f>
        <v/>
      </c>
      <c r="AV1082" s="86" t="str">
        <f>+IF($AG1082=AV$22,MONTH($D1082),"")</f>
        <v/>
      </c>
      <c r="AW1082" s="86" t="str">
        <f>+IF($AG1082=AW$22,MONTH($D1082),"")</f>
        <v/>
      </c>
      <c r="AX1082" s="86" t="str">
        <f>+IF($AG1082=AX$22,MONTH($D1082),"")</f>
        <v/>
      </c>
      <c r="AY1082" s="89"/>
      <c r="AZ1082" s="89"/>
      <c r="BA1082" s="89"/>
      <c r="BB1082" s="89"/>
      <c r="BC1082" s="89"/>
      <c r="BD1082" s="89"/>
      <c r="BE1082" s="89"/>
      <c r="BF1082" s="89"/>
      <c r="BG1082" s="89"/>
      <c r="BH1082" s="89"/>
      <c r="BI1082" s="89"/>
      <c r="BJ1082" s="89"/>
      <c r="BK1082" s="89"/>
      <c r="BL1082" s="89"/>
      <c r="BM1082" s="89"/>
      <c r="BN1082" s="89"/>
      <c r="BO1082" s="89"/>
      <c r="BP1082" s="89"/>
    </row>
    <row r="1083" spans="1:68" s="56" customFormat="1" ht="40.5" hidden="1">
      <c r="A1083" s="204" t="str">
        <f>+IFERROR(VALUE(MID(AB1083,4,4)),"")</f>
        <v/>
      </c>
      <c r="B1083" s="204">
        <f>VALUE(RIGHT(C1083,LEN(C1083)-2))</f>
        <v>1640</v>
      </c>
      <c r="C1083" s="74" t="s">
        <v>4107</v>
      </c>
      <c r="D1083" s="75">
        <v>44873</v>
      </c>
      <c r="E1083" s="70" t="s">
        <v>394</v>
      </c>
      <c r="F1083" s="70" t="s">
        <v>394</v>
      </c>
      <c r="G1083" s="68" t="s">
        <v>4108</v>
      </c>
      <c r="H1083" s="59" t="s">
        <v>4109</v>
      </c>
      <c r="I1083" s="69" t="s">
        <v>4110</v>
      </c>
      <c r="J1083" s="69"/>
      <c r="K1083" s="68" t="s">
        <v>13</v>
      </c>
      <c r="L1083" s="69" t="s">
        <v>120</v>
      </c>
      <c r="M1083" s="71" t="s">
        <v>141</v>
      </c>
      <c r="N1083" s="69" t="e" vm="1">
        <v>#VALUE!</v>
      </c>
      <c r="O1083" s="84">
        <v>44890</v>
      </c>
      <c r="P1083" s="72" t="s">
        <v>402</v>
      </c>
      <c r="Q1083" s="72" t="s">
        <v>229</v>
      </c>
      <c r="R1083" s="162"/>
      <c r="S1083" s="146" t="s">
        <v>4111</v>
      </c>
      <c r="T1083" s="68" t="s">
        <v>165</v>
      </c>
      <c r="U1083" s="87">
        <v>0</v>
      </c>
      <c r="V1083" s="80">
        <v>44965</v>
      </c>
      <c r="W1083" s="73">
        <v>831</v>
      </c>
      <c r="X1083" s="73">
        <v>25.6</v>
      </c>
      <c r="Y1083" s="83">
        <f>IF(SUM(W1083:W1083)&gt;0,X1083/SUM(W1083:W1083)*1000000,"N/A")</f>
        <v>30806.257521058968</v>
      </c>
      <c r="Z1083" s="80"/>
      <c r="AA1083" s="80"/>
      <c r="AB1083" s="73"/>
      <c r="AC1083" s="153"/>
      <c r="AD1083" s="331"/>
      <c r="AE1083" s="57"/>
      <c r="AF1083" s="88" t="s">
        <v>4112</v>
      </c>
      <c r="AG1083" s="182">
        <f>YEAR(V1083)</f>
        <v>2023</v>
      </c>
      <c r="AH1083" s="86" t="str">
        <f>+IF(AF1083=$AI$22,MONTH(U1083),"")</f>
        <v/>
      </c>
      <c r="AI1083" s="86" t="str">
        <f>+IF(AG1083=$AI$22,MONTH(V1083),"")</f>
        <v/>
      </c>
      <c r="AJ1083" s="86" t="str">
        <f>+IF(AG1083=$AJ$22,MONTH(V1083),"")</f>
        <v/>
      </c>
      <c r="AK1083" s="86">
        <f>+IF(AG1083=$AK$22,MONTH(V1083),"")</f>
        <v>2</v>
      </c>
      <c r="AL1083" s="86" t="str">
        <f>+IF(AG1083=$AL$22,MONTH(V1083),"")</f>
        <v/>
      </c>
      <c r="AM1083" s="86" t="str">
        <f>+IF($AG1083=$AM$22,MONTH($D1083),"")</f>
        <v/>
      </c>
      <c r="AN1083" s="89" t="str">
        <f>+IF($AG1083=AN$22,MONTH($D1083),"")</f>
        <v/>
      </c>
      <c r="AO1083" s="89" t="str">
        <f>+IF($AG1083=AO$22,MONTH($D1083),"")</f>
        <v/>
      </c>
      <c r="AP1083" s="89" t="str">
        <f>+IF($AG1083=AP$22,MONTH($D1083),"")</f>
        <v/>
      </c>
      <c r="AQ1083" s="89" t="str">
        <f>+IF($AG1083=AQ$22,MONTH($D1083),"")</f>
        <v/>
      </c>
      <c r="AR1083" s="89" t="str">
        <f>+IF($AG1083=AR$22,MONTH($D1083),"")</f>
        <v/>
      </c>
      <c r="AS1083" s="89" t="str">
        <f>+IF($AG1083=AS$22,MONTH($D1083),"")</f>
        <v/>
      </c>
      <c r="AT1083" s="89" t="str">
        <f>+IF($AG1083=AT$22,MONTH($D1083),"")</f>
        <v/>
      </c>
      <c r="AU1083" s="89" t="str">
        <f>+IF($AG1083=AU$22,MONTH($D1083),"")</f>
        <v/>
      </c>
      <c r="AV1083" s="89" t="str">
        <f>+IF($AG1083=AV$22,MONTH($D1083),"")</f>
        <v/>
      </c>
      <c r="AW1083" s="86" t="str">
        <f>+IF($AG1083=AW$22,MONTH($D1083),"")</f>
        <v/>
      </c>
      <c r="AX1083" s="86" t="str">
        <f>+IF($AG1083=AX$22,MONTH($D1083),"")</f>
        <v/>
      </c>
      <c r="AY1083" s="89"/>
      <c r="AZ1083" s="89"/>
      <c r="BA1083" s="89"/>
      <c r="BB1083" s="89"/>
      <c r="BC1083" s="89"/>
      <c r="BD1083" s="89"/>
      <c r="BE1083" s="89"/>
      <c r="BF1083" s="89"/>
      <c r="BG1083" s="89"/>
      <c r="BH1083" s="89"/>
      <c r="BI1083" s="89"/>
      <c r="BJ1083" s="89"/>
      <c r="BK1083" s="89"/>
      <c r="BL1083" s="89"/>
      <c r="BM1083" s="89"/>
      <c r="BN1083" s="89"/>
      <c r="BO1083" s="89"/>
      <c r="BP1083" s="89"/>
    </row>
    <row r="1084" spans="1:68" s="56" customFormat="1" ht="53.25" hidden="1">
      <c r="A1084" s="204" t="str">
        <f>+IFERROR(VALUE(MID(AB1084,4,4)),"")</f>
        <v/>
      </c>
      <c r="B1084" s="204">
        <f>VALUE(RIGHT(C1084,LEN(C1084)-2))</f>
        <v>1639</v>
      </c>
      <c r="C1084" s="74" t="s">
        <v>4113</v>
      </c>
      <c r="D1084" s="75">
        <v>44872</v>
      </c>
      <c r="E1084" s="70" t="s">
        <v>4114</v>
      </c>
      <c r="F1084" s="70" t="s">
        <v>4114</v>
      </c>
      <c r="G1084" s="68" t="s">
        <v>2503</v>
      </c>
      <c r="H1084" s="59" t="s">
        <v>4115</v>
      </c>
      <c r="I1084" s="69" t="s">
        <v>4116</v>
      </c>
      <c r="J1084" s="69"/>
      <c r="K1084" s="68" t="s">
        <v>12</v>
      </c>
      <c r="L1084" s="69" t="s">
        <v>120</v>
      </c>
      <c r="M1084" s="71" t="s">
        <v>141</v>
      </c>
      <c r="N1084" s="69" t="e" vm="1">
        <v>#VALUE!</v>
      </c>
      <c r="O1084" s="84">
        <v>44880</v>
      </c>
      <c r="P1084" s="72" t="s">
        <v>4117</v>
      </c>
      <c r="Q1084" s="72" t="s">
        <v>316</v>
      </c>
      <c r="R1084" s="162"/>
      <c r="S1084" s="146" t="s">
        <v>4118</v>
      </c>
      <c r="T1084" s="68" t="s">
        <v>155</v>
      </c>
      <c r="U1084" s="90"/>
      <c r="V1084" s="80">
        <v>44880</v>
      </c>
      <c r="W1084" s="73"/>
      <c r="X1084" s="73"/>
      <c r="Y1084" s="83" t="str">
        <f>IF(SUM(W1084:W1084)&gt;0,X1084/SUM(W1084:W1084)*1000000,"N/A")</f>
        <v>N/A</v>
      </c>
      <c r="Z1084" s="80"/>
      <c r="AA1084" s="80"/>
      <c r="AB1084" s="73"/>
      <c r="AC1084" s="153"/>
      <c r="AD1084" s="331"/>
      <c r="AE1084" s="57"/>
      <c r="AF1084" s="88"/>
      <c r="AG1084" s="182">
        <f>YEAR(V1084)</f>
        <v>2022</v>
      </c>
      <c r="AH1084" s="86" t="str">
        <f>+IF(AF1084=$AI$22,MONTH(U1084),"")</f>
        <v/>
      </c>
      <c r="AI1084" s="86" t="str">
        <f>+IF(AG1084=$AI$22,MONTH(V1084),"")</f>
        <v/>
      </c>
      <c r="AJ1084" s="86" t="str">
        <f>+IF(AG1084=$AJ$22,MONTH(V1084),"")</f>
        <v/>
      </c>
      <c r="AK1084" s="86" t="str">
        <f>+IF(AG1084=$AK$22,MONTH(V1084),"")</f>
        <v/>
      </c>
      <c r="AL1084" s="86">
        <f>+IF(AG1084=$AL$22,MONTH(V1084),"")</f>
        <v>11</v>
      </c>
      <c r="AM1084" s="86" t="str">
        <f>+IF($AG1084=$AM$22,MONTH($D1084),"")</f>
        <v/>
      </c>
      <c r="AN1084" s="89" t="str">
        <f>+IF($AG1084=AN$22,MONTH($D1084),"")</f>
        <v/>
      </c>
      <c r="AO1084" s="89" t="str">
        <f>+IF($AG1084=AO$22,MONTH($D1084),"")</f>
        <v/>
      </c>
      <c r="AP1084" s="89" t="str">
        <f>+IF($AG1084=AP$22,MONTH($D1084),"")</f>
        <v/>
      </c>
      <c r="AQ1084" s="89" t="str">
        <f>+IF($AG1084=AQ$22,MONTH($D1084),"")</f>
        <v/>
      </c>
      <c r="AR1084" s="89" t="str">
        <f>+IF($AG1084=AR$22,MONTH($D1084),"")</f>
        <v/>
      </c>
      <c r="AS1084" s="89" t="str">
        <f>+IF($AG1084=AS$22,MONTH($D1084),"")</f>
        <v/>
      </c>
      <c r="AT1084" s="89" t="str">
        <f>+IF($AG1084=AT$22,MONTH($D1084),"")</f>
        <v/>
      </c>
      <c r="AU1084" s="89" t="str">
        <f>+IF($AG1084=AU$22,MONTH($D1084),"")</f>
        <v/>
      </c>
      <c r="AV1084" s="89" t="str">
        <f>+IF($AG1084=AV$22,MONTH($D1084),"")</f>
        <v/>
      </c>
      <c r="AW1084" s="86" t="str">
        <f>+IF($AG1084=AW$22,MONTH($D1084),"")</f>
        <v/>
      </c>
      <c r="AX1084" s="86" t="str">
        <f>+IF($AG1084=AX$22,MONTH($D1084),"")</f>
        <v/>
      </c>
      <c r="AY1084" s="89"/>
      <c r="AZ1084" s="89"/>
      <c r="BA1084" s="89"/>
      <c r="BB1084" s="89"/>
      <c r="BC1084" s="89"/>
      <c r="BD1084" s="89"/>
      <c r="BE1084" s="89"/>
      <c r="BF1084" s="89"/>
      <c r="BG1084" s="89"/>
      <c r="BH1084" s="89"/>
      <c r="BI1084" s="89"/>
      <c r="BJ1084" s="89"/>
      <c r="BK1084" s="89"/>
      <c r="BL1084" s="89"/>
      <c r="BM1084" s="89"/>
      <c r="BN1084" s="89"/>
      <c r="BO1084" s="89"/>
      <c r="BP1084" s="89"/>
    </row>
    <row r="1085" spans="1:68" s="56" customFormat="1" ht="27" hidden="1">
      <c r="A1085" s="204">
        <f>+IFERROR(VALUE(MID(AB1085,4,4)),"")</f>
        <v>315</v>
      </c>
      <c r="B1085" s="204">
        <f>VALUE(RIGHT(C1085,LEN(C1085)-2))</f>
        <v>1638</v>
      </c>
      <c r="C1085" s="74" t="s">
        <v>4119</v>
      </c>
      <c r="D1085" s="75">
        <v>44873</v>
      </c>
      <c r="E1085" s="70" t="s">
        <v>2961</v>
      </c>
      <c r="F1085" s="70" t="s">
        <v>3873</v>
      </c>
      <c r="G1085" s="68" t="s">
        <v>3874</v>
      </c>
      <c r="H1085" s="59" t="s">
        <v>4120</v>
      </c>
      <c r="I1085" s="69" t="s">
        <v>4121</v>
      </c>
      <c r="J1085" s="69"/>
      <c r="K1085" s="68" t="s">
        <v>401</v>
      </c>
      <c r="L1085" s="69" t="s">
        <v>120</v>
      </c>
      <c r="M1085" s="71" t="s">
        <v>141</v>
      </c>
      <c r="N1085" s="69" t="e" vm="1">
        <v>#VALUE!</v>
      </c>
      <c r="O1085" s="84">
        <v>44874</v>
      </c>
      <c r="P1085" s="72" t="s">
        <v>364</v>
      </c>
      <c r="Q1085" s="72" t="s">
        <v>389</v>
      </c>
      <c r="R1085" s="162"/>
      <c r="S1085" s="146"/>
      <c r="T1085" s="68" t="s">
        <v>3</v>
      </c>
      <c r="U1085" s="87"/>
      <c r="V1085" s="80">
        <v>44880</v>
      </c>
      <c r="W1085" s="73">
        <v>180</v>
      </c>
      <c r="X1085" s="73">
        <f>386*34630/1000000</f>
        <v>13.367179999999999</v>
      </c>
      <c r="Y1085" s="83">
        <f>IF(SUM(W1085:W1085)&gt;0,X1085/SUM(W1085:W1085)*1000000,"N/A")</f>
        <v>74262.111111111109</v>
      </c>
      <c r="Z1085" s="80"/>
      <c r="AA1085" s="80"/>
      <c r="AB1085" s="73" t="s">
        <v>4122</v>
      </c>
      <c r="AC1085" s="153"/>
      <c r="AD1085" s="331"/>
      <c r="AE1085" s="57"/>
      <c r="AF1085" s="88"/>
      <c r="AG1085" s="182">
        <f>YEAR(V1085)</f>
        <v>2022</v>
      </c>
      <c r="AH1085" s="86" t="str">
        <f>+IF(AF1085=$AI$22,MONTH(U1085),"")</f>
        <v/>
      </c>
      <c r="AI1085" s="86" t="str">
        <f>+IF(AG1085=$AI$22,MONTH(V1085),"")</f>
        <v/>
      </c>
      <c r="AJ1085" s="86" t="str">
        <f>+IF(AG1085=$AJ$22,MONTH(V1085),"")</f>
        <v/>
      </c>
      <c r="AK1085" s="86" t="str">
        <f>+IF(AG1085=$AK$22,MONTH(V1085),"")</f>
        <v/>
      </c>
      <c r="AL1085" s="86">
        <f>+IF(AG1085=$AL$22,MONTH(V1085),"")</f>
        <v>11</v>
      </c>
      <c r="AM1085" s="86" t="str">
        <f>+IF($AG1085=$AM$22,MONTH($D1085),"")</f>
        <v/>
      </c>
      <c r="AN1085" s="89" t="str">
        <f>+IF($AG1085=AN$22,MONTH($D1085),"")</f>
        <v/>
      </c>
      <c r="AO1085" s="89" t="str">
        <f>+IF($AG1085=AO$22,MONTH($D1085),"")</f>
        <v/>
      </c>
      <c r="AP1085" s="89" t="str">
        <f>+IF($AG1085=AP$22,MONTH($D1085),"")</f>
        <v/>
      </c>
      <c r="AQ1085" s="89" t="str">
        <f>+IF($AG1085=AQ$22,MONTH($D1085),"")</f>
        <v/>
      </c>
      <c r="AR1085" s="89" t="str">
        <f>+IF($AG1085=AR$22,MONTH($D1085),"")</f>
        <v/>
      </c>
      <c r="AS1085" s="89" t="str">
        <f>+IF($AG1085=AS$22,MONTH($D1085),"")</f>
        <v/>
      </c>
      <c r="AT1085" s="89" t="str">
        <f>+IF($AG1085=AT$22,MONTH($D1085),"")</f>
        <v/>
      </c>
      <c r="AU1085" s="89" t="str">
        <f>+IF($AG1085=AU$22,MONTH($D1085),"")</f>
        <v/>
      </c>
      <c r="AV1085" s="89" t="str">
        <f>+IF($AG1085=AV$22,MONTH($D1085),"")</f>
        <v/>
      </c>
      <c r="AW1085" s="86" t="str">
        <f>+IF($AG1085=AW$22,MONTH($D1085),"")</f>
        <v/>
      </c>
      <c r="AX1085" s="86" t="str">
        <f>+IF($AG1085=AX$22,MONTH($D1085),"")</f>
        <v/>
      </c>
      <c r="AY1085" s="89"/>
      <c r="AZ1085" s="89"/>
      <c r="BA1085" s="89"/>
      <c r="BB1085" s="89"/>
      <c r="BC1085" s="89"/>
      <c r="BD1085" s="89"/>
      <c r="BE1085" s="89"/>
      <c r="BF1085" s="89"/>
      <c r="BG1085" s="89"/>
      <c r="BH1085" s="89"/>
      <c r="BI1085" s="89"/>
      <c r="BJ1085" s="89"/>
      <c r="BK1085" s="89"/>
      <c r="BL1085" s="89"/>
      <c r="BM1085" s="89"/>
      <c r="BN1085" s="89"/>
      <c r="BO1085" s="89"/>
      <c r="BP1085" s="89"/>
    </row>
    <row r="1086" spans="1:68" s="56" customFormat="1" ht="27" hidden="1">
      <c r="A1086" s="204">
        <f>+IFERROR(VALUE(MID(AB1086,4,4)),"")</f>
        <v>321</v>
      </c>
      <c r="B1086" s="204">
        <f>VALUE(RIGHT(C1086,LEN(C1086)-2))</f>
        <v>1637</v>
      </c>
      <c r="C1086" s="74" t="s">
        <v>4123</v>
      </c>
      <c r="D1086" s="75">
        <v>44873</v>
      </c>
      <c r="E1086" s="70" t="s">
        <v>479</v>
      </c>
      <c r="F1086" s="70" t="s">
        <v>479</v>
      </c>
      <c r="G1086" s="68" t="s">
        <v>4124</v>
      </c>
      <c r="H1086" s="59" t="s">
        <v>3571</v>
      </c>
      <c r="I1086" s="69" t="s">
        <v>4125</v>
      </c>
      <c r="J1086" s="69"/>
      <c r="K1086" s="68" t="s">
        <v>9</v>
      </c>
      <c r="L1086" s="69" t="s">
        <v>129</v>
      </c>
      <c r="M1086" s="71" t="s">
        <v>113</v>
      </c>
      <c r="N1086" s="69" t="e" vm="2">
        <v>#VALUE!</v>
      </c>
      <c r="O1086" s="84">
        <v>44876</v>
      </c>
      <c r="P1086" s="72" t="s">
        <v>483</v>
      </c>
      <c r="Q1086" s="72" t="s">
        <v>229</v>
      </c>
      <c r="R1086" s="162"/>
      <c r="S1086" s="146" t="s">
        <v>4126</v>
      </c>
      <c r="T1086" s="68" t="s">
        <v>3</v>
      </c>
      <c r="U1086" s="87"/>
      <c r="V1086" s="80">
        <v>44936</v>
      </c>
      <c r="W1086" s="73">
        <v>2076</v>
      </c>
      <c r="X1086" s="73">
        <v>67</v>
      </c>
      <c r="Y1086" s="83">
        <f>IF(SUM(W1086:W1086)&gt;0,X1086/SUM(W1086:W1086)*1000000,"N/A")</f>
        <v>32273.603082851641</v>
      </c>
      <c r="Z1086" s="80"/>
      <c r="AA1086" s="80"/>
      <c r="AB1086" s="73" t="s">
        <v>4127</v>
      </c>
      <c r="AC1086" s="153"/>
      <c r="AD1086" s="331"/>
      <c r="AE1086" s="57"/>
      <c r="AF1086" s="88"/>
      <c r="AG1086" s="182">
        <f>YEAR(V1086)</f>
        <v>2023</v>
      </c>
      <c r="AH1086" s="86" t="str">
        <f>+IF(AF1086=$AI$22,MONTH(U1086),"")</f>
        <v/>
      </c>
      <c r="AI1086" s="86" t="str">
        <f>+IF(AG1086=$AI$22,MONTH(V1086),"")</f>
        <v/>
      </c>
      <c r="AJ1086" s="86" t="str">
        <f>+IF(AG1086=$AJ$22,MONTH(V1086),"")</f>
        <v/>
      </c>
      <c r="AK1086" s="86">
        <f>+IF(AG1086=$AK$22,MONTH(V1086),"")</f>
        <v>1</v>
      </c>
      <c r="AL1086" s="86" t="str">
        <f>+IF(AG1086=$AL$22,MONTH(V1086),"")</f>
        <v/>
      </c>
      <c r="AM1086" s="86" t="str">
        <f>+IF($AG1086=$AM$22,MONTH($D1086),"")</f>
        <v/>
      </c>
      <c r="AN1086" s="89" t="str">
        <f>+IF($AG1086=AN$22,MONTH($D1086),"")</f>
        <v/>
      </c>
      <c r="AO1086" s="89" t="str">
        <f>+IF($AG1086=AO$22,MONTH($D1086),"")</f>
        <v/>
      </c>
      <c r="AP1086" s="89" t="str">
        <f>+IF($AG1086=AP$22,MONTH($D1086),"")</f>
        <v/>
      </c>
      <c r="AQ1086" s="89" t="str">
        <f>+IF($AG1086=AQ$22,MONTH($D1086),"")</f>
        <v/>
      </c>
      <c r="AR1086" s="89" t="str">
        <f>+IF($AG1086=AR$22,MONTH($D1086),"")</f>
        <v/>
      </c>
      <c r="AS1086" s="89" t="str">
        <f>+IF($AG1086=AS$22,MONTH($D1086),"")</f>
        <v/>
      </c>
      <c r="AT1086" s="89" t="str">
        <f>+IF($AG1086=AT$22,MONTH($D1086),"")</f>
        <v/>
      </c>
      <c r="AU1086" s="89" t="str">
        <f>+IF($AG1086=AU$22,MONTH($D1086),"")</f>
        <v/>
      </c>
      <c r="AV1086" s="89" t="str">
        <f>+IF($AG1086=AV$22,MONTH($D1086),"")</f>
        <v/>
      </c>
      <c r="AW1086" s="86" t="str">
        <f>+IF($AG1086=AW$22,MONTH($D1086),"")</f>
        <v/>
      </c>
      <c r="AX1086" s="86" t="str">
        <f>+IF($AG1086=AX$22,MONTH($D1086),"")</f>
        <v/>
      </c>
      <c r="AY1086" s="89"/>
      <c r="AZ1086" s="89"/>
      <c r="BA1086" s="89"/>
      <c r="BB1086" s="89"/>
      <c r="BC1086" s="89"/>
      <c r="BD1086" s="89"/>
      <c r="BE1086" s="89"/>
      <c r="BF1086" s="89"/>
      <c r="BG1086" s="89"/>
      <c r="BH1086" s="89"/>
      <c r="BI1086" s="89"/>
      <c r="BJ1086" s="89"/>
      <c r="BK1086" s="89"/>
      <c r="BL1086" s="89"/>
      <c r="BM1086" s="89"/>
      <c r="BN1086" s="89"/>
      <c r="BO1086" s="89"/>
      <c r="BP1086" s="89"/>
    </row>
    <row r="1087" spans="1:68" s="56" customFormat="1" ht="27" hidden="1">
      <c r="A1087" s="204">
        <f>+IFERROR(VALUE(MID(AB1087,4,4)),"")</f>
        <v>320</v>
      </c>
      <c r="B1087" s="204">
        <f>VALUE(RIGHT(C1087,LEN(C1087)-2))</f>
        <v>1636</v>
      </c>
      <c r="C1087" s="74" t="s">
        <v>4128</v>
      </c>
      <c r="D1087" s="75">
        <v>44873</v>
      </c>
      <c r="E1087" s="70" t="s">
        <v>479</v>
      </c>
      <c r="F1087" s="70" t="s">
        <v>479</v>
      </c>
      <c r="G1087" s="68" t="s">
        <v>4124</v>
      </c>
      <c r="H1087" s="59" t="s">
        <v>3571</v>
      </c>
      <c r="I1087" s="69" t="s">
        <v>4129</v>
      </c>
      <c r="J1087" s="69"/>
      <c r="K1087" s="68" t="s">
        <v>3481</v>
      </c>
      <c r="L1087" s="69" t="s">
        <v>129</v>
      </c>
      <c r="M1087" s="71" t="s">
        <v>113</v>
      </c>
      <c r="N1087" s="69" t="e" vm="2">
        <v>#VALUE!</v>
      </c>
      <c r="O1087" s="84">
        <v>44876</v>
      </c>
      <c r="P1087" s="72" t="s">
        <v>483</v>
      </c>
      <c r="Q1087" s="72" t="s">
        <v>229</v>
      </c>
      <c r="R1087" s="162"/>
      <c r="S1087" s="146" t="s">
        <v>4130</v>
      </c>
      <c r="T1087" s="68" t="s">
        <v>3</v>
      </c>
      <c r="U1087" s="87"/>
      <c r="V1087" s="80">
        <v>44936</v>
      </c>
      <c r="W1087" s="73">
        <v>6807</v>
      </c>
      <c r="X1087" s="73">
        <v>226.7</v>
      </c>
      <c r="Y1087" s="83">
        <f>IF(SUM(W1087:W1087)&gt;0,X1087/SUM(W1087:W1087)*1000000,"N/A")</f>
        <v>33303.951814308799</v>
      </c>
      <c r="Z1087" s="80"/>
      <c r="AA1087" s="80"/>
      <c r="AB1087" s="73" t="s">
        <v>4131</v>
      </c>
      <c r="AC1087" s="153"/>
      <c r="AD1087" s="331"/>
      <c r="AE1087" s="57"/>
      <c r="AF1087" s="88"/>
      <c r="AG1087" s="182">
        <f>YEAR(V1087)</f>
        <v>2023</v>
      </c>
      <c r="AH1087" s="86" t="str">
        <f>+IF(AF1087=$AI$22,MONTH(U1087),"")</f>
        <v/>
      </c>
      <c r="AI1087" s="86" t="str">
        <f>+IF(AG1087=$AI$22,MONTH(V1087),"")</f>
        <v/>
      </c>
      <c r="AJ1087" s="86" t="str">
        <f>+IF(AG1087=$AJ$22,MONTH(V1087),"")</f>
        <v/>
      </c>
      <c r="AK1087" s="86">
        <f>+IF(AG1087=$AK$22,MONTH(V1087),"")</f>
        <v>1</v>
      </c>
      <c r="AL1087" s="86" t="str">
        <f>+IF(AG1087=$AL$22,MONTH(V1087),"")</f>
        <v/>
      </c>
      <c r="AM1087" s="86" t="str">
        <f>+IF($AG1087=$AM$22,MONTH($D1087),"")</f>
        <v/>
      </c>
      <c r="AN1087" s="89" t="str">
        <f>+IF($AG1087=AN$22,MONTH($D1087),"")</f>
        <v/>
      </c>
      <c r="AO1087" s="89" t="str">
        <f>+IF($AG1087=AO$22,MONTH($D1087),"")</f>
        <v/>
      </c>
      <c r="AP1087" s="89" t="str">
        <f>+IF($AG1087=AP$22,MONTH($D1087),"")</f>
        <v/>
      </c>
      <c r="AQ1087" s="89" t="str">
        <f>+IF($AG1087=AQ$22,MONTH($D1087),"")</f>
        <v/>
      </c>
      <c r="AR1087" s="89" t="str">
        <f>+IF($AG1087=AR$22,MONTH($D1087),"")</f>
        <v/>
      </c>
      <c r="AS1087" s="89" t="str">
        <f>+IF($AG1087=AS$22,MONTH($D1087),"")</f>
        <v/>
      </c>
      <c r="AT1087" s="89" t="str">
        <f>+IF($AG1087=AT$22,MONTH($D1087),"")</f>
        <v/>
      </c>
      <c r="AU1087" s="89" t="str">
        <f>+IF($AG1087=AU$22,MONTH($D1087),"")</f>
        <v/>
      </c>
      <c r="AV1087" s="89" t="str">
        <f>+IF($AG1087=AV$22,MONTH($D1087),"")</f>
        <v/>
      </c>
      <c r="AW1087" s="86" t="str">
        <f>+IF($AG1087=AW$22,MONTH($D1087),"")</f>
        <v/>
      </c>
      <c r="AX1087" s="86" t="str">
        <f>+IF($AG1087=AX$22,MONTH($D1087),"")</f>
        <v/>
      </c>
      <c r="AY1087" s="89"/>
      <c r="AZ1087" s="89"/>
      <c r="BA1087" s="89"/>
      <c r="BB1087" s="89"/>
      <c r="BC1087" s="89"/>
      <c r="BD1087" s="89"/>
      <c r="BE1087" s="89"/>
      <c r="BF1087" s="89"/>
      <c r="BG1087" s="89"/>
      <c r="BH1087" s="89"/>
      <c r="BI1087" s="89"/>
      <c r="BJ1087" s="89"/>
      <c r="BK1087" s="89"/>
      <c r="BL1087" s="89"/>
      <c r="BM1087" s="89"/>
      <c r="BN1087" s="89"/>
      <c r="BO1087" s="89"/>
      <c r="BP1087" s="89"/>
    </row>
    <row r="1088" spans="1:68" s="56" customFormat="1" ht="27" hidden="1">
      <c r="A1088" s="204">
        <f>+IFERROR(VALUE(MID(AB1088,4,4)),"")</f>
        <v>274</v>
      </c>
      <c r="B1088" s="204">
        <f>VALUE(RIGHT(C1088,LEN(C1088)-2))</f>
        <v>1635</v>
      </c>
      <c r="C1088" s="74" t="s">
        <v>4132</v>
      </c>
      <c r="D1088" s="75">
        <v>44868</v>
      </c>
      <c r="E1088" s="70" t="s">
        <v>1054</v>
      </c>
      <c r="F1088" s="70" t="s">
        <v>252</v>
      </c>
      <c r="G1088" s="68" t="s">
        <v>1055</v>
      </c>
      <c r="H1088" s="59" t="s">
        <v>1056</v>
      </c>
      <c r="I1088" s="69" t="s">
        <v>4133</v>
      </c>
      <c r="J1088" s="69"/>
      <c r="K1088" s="68" t="s">
        <v>9</v>
      </c>
      <c r="L1088" s="69" t="s">
        <v>129</v>
      </c>
      <c r="M1088" s="71" t="s">
        <v>141</v>
      </c>
      <c r="N1088" s="69" t="e" vm="1">
        <v>#VALUE!</v>
      </c>
      <c r="O1088" s="84">
        <v>44873</v>
      </c>
      <c r="P1088" s="72" t="s">
        <v>4134</v>
      </c>
      <c r="Q1088" s="72" t="s">
        <v>259</v>
      </c>
      <c r="R1088" s="162"/>
      <c r="S1088" s="146" t="s">
        <v>2012</v>
      </c>
      <c r="T1088" s="68" t="s">
        <v>3</v>
      </c>
      <c r="U1088" s="87"/>
      <c r="V1088" s="80">
        <v>44889</v>
      </c>
      <c r="W1088" s="73">
        <v>145</v>
      </c>
      <c r="X1088" s="73">
        <v>3.3</v>
      </c>
      <c r="Y1088" s="83">
        <f>IF(SUM(W1088:W1088)&gt;0,X1088/SUM(W1088:W1088)*1000000,"N/A")</f>
        <v>22758.62068965517</v>
      </c>
      <c r="Z1088" s="80"/>
      <c r="AA1088" s="80"/>
      <c r="AB1088" s="73" t="s">
        <v>4135</v>
      </c>
      <c r="AC1088" s="153"/>
      <c r="AD1088" s="331"/>
      <c r="AE1088" s="57"/>
      <c r="AF1088" s="88"/>
      <c r="AG1088" s="182">
        <f>YEAR(D1088)</f>
        <v>2022</v>
      </c>
      <c r="AH1088" s="86" t="str">
        <f>+IF(AF1088=$AI$22,MONTH(U1088),"")</f>
        <v/>
      </c>
      <c r="AI1088" s="86" t="str">
        <f>+IF(AG1088=$AI$22,MONTH(V1088),"")</f>
        <v/>
      </c>
      <c r="AJ1088" s="86" t="str">
        <f>+IF(AG1088=$AJ$22,MONTH(V1088),"")</f>
        <v/>
      </c>
      <c r="AK1088" s="86" t="str">
        <f>+IF(AG1088=$AK$22,MONTH(V1088),"")</f>
        <v/>
      </c>
      <c r="AL1088" s="86">
        <f>+IF(AG1088=$AL$22,MONTH(V1088),"")</f>
        <v>11</v>
      </c>
      <c r="AM1088" s="86" t="str">
        <f>+IF($AG1088=$AM$22,MONTH($D1088),"")</f>
        <v/>
      </c>
      <c r="AN1088" s="89" t="str">
        <f>+IF($AG1088=AN$22,MONTH($D1088),"")</f>
        <v/>
      </c>
      <c r="AO1088" s="89" t="str">
        <f>+IF($AG1088=AO$22,MONTH($D1088),"")</f>
        <v/>
      </c>
      <c r="AP1088" s="89" t="str">
        <f>+IF($AG1088=AP$22,MONTH($D1088),"")</f>
        <v/>
      </c>
      <c r="AQ1088" s="89" t="str">
        <f>+IF($AG1088=AQ$22,MONTH($D1088),"")</f>
        <v/>
      </c>
      <c r="AR1088" s="89" t="str">
        <f>+IF($AG1088=AR$22,MONTH($D1088),"")</f>
        <v/>
      </c>
      <c r="AS1088" s="89" t="str">
        <f>+IF($AG1088=AS$22,MONTH($D1088),"")</f>
        <v/>
      </c>
      <c r="AT1088" s="89" t="str">
        <f>+IF($AG1088=AT$22,MONTH($D1088),"")</f>
        <v/>
      </c>
      <c r="AU1088" s="89" t="str">
        <f>+IF($AG1088=AU$22,MONTH($D1088),"")</f>
        <v/>
      </c>
      <c r="AV1088" s="89" t="str">
        <f>+IF($AG1088=AV$22,MONTH($D1088),"")</f>
        <v/>
      </c>
      <c r="AW1088" s="86" t="str">
        <f>+IF($AG1088=AW$22,MONTH($D1088),"")</f>
        <v/>
      </c>
      <c r="AX1088" s="86" t="str">
        <f>+IF($AG1088=AX$22,MONTH($D1088),"")</f>
        <v/>
      </c>
      <c r="AY1088" s="89"/>
      <c r="AZ1088" s="89"/>
      <c r="BA1088" s="89"/>
      <c r="BB1088" s="89"/>
      <c r="BC1088" s="89"/>
      <c r="BD1088" s="89"/>
      <c r="BE1088" s="89"/>
      <c r="BF1088" s="89"/>
      <c r="BG1088" s="89"/>
      <c r="BH1088" s="89"/>
      <c r="BI1088" s="89"/>
      <c r="BJ1088" s="89"/>
      <c r="BK1088" s="89"/>
      <c r="BL1088" s="89"/>
      <c r="BM1088" s="89"/>
      <c r="BN1088" s="89"/>
      <c r="BO1088" s="89"/>
      <c r="BP1088" s="89"/>
    </row>
    <row r="1089" spans="1:68" s="56" customFormat="1" ht="27" hidden="1">
      <c r="A1089" s="204">
        <f>+IFERROR(VALUE(MID(AB1089,4,4)),"")</f>
        <v>274</v>
      </c>
      <c r="B1089" s="204">
        <f>VALUE(RIGHT(C1089,LEN(C1089)-2))</f>
        <v>1634</v>
      </c>
      <c r="C1089" s="74" t="s">
        <v>4136</v>
      </c>
      <c r="D1089" s="75">
        <v>44868</v>
      </c>
      <c r="E1089" s="70" t="s">
        <v>1054</v>
      </c>
      <c r="F1089" s="70" t="s">
        <v>252</v>
      </c>
      <c r="G1089" s="68" t="s">
        <v>1055</v>
      </c>
      <c r="H1089" s="59" t="s">
        <v>1056</v>
      </c>
      <c r="I1089" s="69" t="s">
        <v>4137</v>
      </c>
      <c r="J1089" s="69"/>
      <c r="K1089" s="68" t="s">
        <v>9</v>
      </c>
      <c r="L1089" s="69" t="s">
        <v>129</v>
      </c>
      <c r="M1089" s="71" t="s">
        <v>141</v>
      </c>
      <c r="N1089" s="69" t="e" vm="1">
        <v>#VALUE!</v>
      </c>
      <c r="O1089" s="84">
        <v>44874</v>
      </c>
      <c r="P1089" s="72" t="s">
        <v>4134</v>
      </c>
      <c r="Q1089" s="72" t="s">
        <v>259</v>
      </c>
      <c r="R1089" s="162"/>
      <c r="S1089" s="146" t="s">
        <v>4138</v>
      </c>
      <c r="T1089" s="68" t="s">
        <v>3</v>
      </c>
      <c r="U1089" s="87"/>
      <c r="V1089" s="80">
        <v>44880</v>
      </c>
      <c r="W1089" s="73"/>
      <c r="X1089" s="73"/>
      <c r="Y1089" s="83" t="str">
        <f>IF(SUM(W1089:W1089)&gt;0,X1089/SUM(W1089:W1089)*1000000,"N/A")</f>
        <v>N/A</v>
      </c>
      <c r="Z1089" s="80"/>
      <c r="AA1089" s="80"/>
      <c r="AB1089" s="73" t="s">
        <v>4139</v>
      </c>
      <c r="AC1089" s="153"/>
      <c r="AD1089" s="331"/>
      <c r="AE1089" s="57"/>
      <c r="AF1089" s="88"/>
      <c r="AG1089" s="182">
        <f>YEAR(D1089)</f>
        <v>2022</v>
      </c>
      <c r="AH1089" s="86" t="str">
        <f>+IF(AF1089=$AI$22,MONTH(U1089),"")</f>
        <v/>
      </c>
      <c r="AI1089" s="86" t="str">
        <f>+IF(AG1089=$AI$22,MONTH(V1089),"")</f>
        <v/>
      </c>
      <c r="AJ1089" s="86" t="str">
        <f>+IF(AG1089=$AJ$22,MONTH(V1089),"")</f>
        <v/>
      </c>
      <c r="AK1089" s="86" t="str">
        <f>+IF(AG1089=$AK$22,MONTH(V1089),"")</f>
        <v/>
      </c>
      <c r="AL1089" s="86">
        <f>+IF(AG1089=$AL$22,MONTH(V1089),"")</f>
        <v>11</v>
      </c>
      <c r="AM1089" s="86" t="str">
        <f>+IF($AG1089=$AM$22,MONTH($D1089),"")</f>
        <v/>
      </c>
      <c r="AN1089" s="89" t="str">
        <f>+IF($AG1089=AN$22,MONTH($D1089),"")</f>
        <v/>
      </c>
      <c r="AO1089" s="89" t="str">
        <f>+IF($AG1089=AO$22,MONTH($D1089),"")</f>
        <v/>
      </c>
      <c r="AP1089" s="89" t="str">
        <f>+IF($AG1089=AP$22,MONTH($D1089),"")</f>
        <v/>
      </c>
      <c r="AQ1089" s="89" t="str">
        <f>+IF($AG1089=AQ$22,MONTH($D1089),"")</f>
        <v/>
      </c>
      <c r="AR1089" s="89" t="str">
        <f>+IF($AG1089=AR$22,MONTH($D1089),"")</f>
        <v/>
      </c>
      <c r="AS1089" s="89" t="str">
        <f>+IF($AG1089=AS$22,MONTH($D1089),"")</f>
        <v/>
      </c>
      <c r="AT1089" s="89" t="str">
        <f>+IF($AG1089=AT$22,MONTH($D1089),"")</f>
        <v/>
      </c>
      <c r="AU1089" s="89" t="str">
        <f>+IF($AG1089=AU$22,MONTH($D1089),"")</f>
        <v/>
      </c>
      <c r="AV1089" s="89" t="str">
        <f>+IF($AG1089=AV$22,MONTH($D1089),"")</f>
        <v/>
      </c>
      <c r="AW1089" s="86" t="str">
        <f>+IF($AG1089=AW$22,MONTH($D1089),"")</f>
        <v/>
      </c>
      <c r="AX1089" s="86" t="str">
        <f>+IF($AG1089=AX$22,MONTH($D1089),"")</f>
        <v/>
      </c>
      <c r="AY1089" s="89"/>
      <c r="AZ1089" s="89"/>
      <c r="BA1089" s="89"/>
      <c r="BB1089" s="89"/>
      <c r="BC1089" s="89"/>
      <c r="BD1089" s="89"/>
      <c r="BE1089" s="89"/>
      <c r="BF1089" s="89"/>
      <c r="BG1089" s="89"/>
      <c r="BH1089" s="89"/>
      <c r="BI1089" s="89"/>
      <c r="BJ1089" s="89"/>
      <c r="BK1089" s="89"/>
      <c r="BL1089" s="89"/>
      <c r="BM1089" s="89"/>
      <c r="BN1089" s="89"/>
      <c r="BO1089" s="89"/>
      <c r="BP1089" s="89"/>
    </row>
    <row r="1090" spans="1:68" s="56" customFormat="1" ht="27" hidden="1">
      <c r="A1090" s="204" t="str">
        <f>+IFERROR(VALUE(MID(AB1090,4,4)),"")</f>
        <v/>
      </c>
      <c r="B1090" s="204">
        <f>VALUE(RIGHT(C1090,LEN(C1090)-2))</f>
        <v>1633</v>
      </c>
      <c r="C1090" s="74" t="s">
        <v>4140</v>
      </c>
      <c r="D1090" s="75">
        <v>44867</v>
      </c>
      <c r="E1090" s="70" t="s">
        <v>277</v>
      </c>
      <c r="F1090" s="70" t="s">
        <v>277</v>
      </c>
      <c r="G1090" s="68" t="s">
        <v>3342</v>
      </c>
      <c r="H1090" s="59" t="s">
        <v>3343</v>
      </c>
      <c r="I1090" s="69" t="s">
        <v>4141</v>
      </c>
      <c r="J1090" s="69"/>
      <c r="K1090" s="68" t="s">
        <v>11</v>
      </c>
      <c r="L1090" s="69" t="s">
        <v>129</v>
      </c>
      <c r="M1090" s="71" t="s">
        <v>141</v>
      </c>
      <c r="N1090" s="69" t="e" vm="1">
        <v>#VALUE!</v>
      </c>
      <c r="O1090" s="84">
        <v>44902</v>
      </c>
      <c r="P1090" s="72" t="s">
        <v>402</v>
      </c>
      <c r="Q1090" s="72" t="s">
        <v>1097</v>
      </c>
      <c r="R1090" s="162"/>
      <c r="S1090" s="146" t="s">
        <v>4142</v>
      </c>
      <c r="T1090" s="68" t="s">
        <v>165</v>
      </c>
      <c r="U1090" s="87"/>
      <c r="V1090" s="80">
        <v>44992</v>
      </c>
      <c r="W1090" s="73">
        <v>4326</v>
      </c>
      <c r="X1090" s="73">
        <v>138</v>
      </c>
      <c r="Y1090" s="83">
        <f>IF(SUM(W1090:W1090)&gt;0,X1090/SUM(W1090:W1090)*1000000,"N/A")</f>
        <v>31900.138696255202</v>
      </c>
      <c r="Z1090" s="80"/>
      <c r="AA1090" s="80"/>
      <c r="AB1090" s="73"/>
      <c r="AC1090" s="153"/>
      <c r="AD1090" s="331"/>
      <c r="AE1090" s="57"/>
      <c r="AF1090" s="88" t="s">
        <v>4018</v>
      </c>
      <c r="AG1090" s="182">
        <f>YEAR(D1090)</f>
        <v>2022</v>
      </c>
      <c r="AH1090" s="86" t="str">
        <f>+IF(AF1090=$AI$22,MONTH(U1090),"")</f>
        <v/>
      </c>
      <c r="AI1090" s="86" t="str">
        <f>+IF(AG1090=$AI$22,MONTH(V1090),"")</f>
        <v/>
      </c>
      <c r="AJ1090" s="86" t="str">
        <f>+IF(AG1090=$AJ$22,MONTH(V1090),"")</f>
        <v/>
      </c>
      <c r="AK1090" s="86" t="str">
        <f>+IF(AG1090=$AK$22,MONTH(V1090),"")</f>
        <v/>
      </c>
      <c r="AL1090" s="86">
        <f>+IF(AG1090=$AL$22,MONTH(V1090),"")</f>
        <v>3</v>
      </c>
      <c r="AM1090" s="86" t="str">
        <f>+IF($AG1090=$AM$22,MONTH($D1090),"")</f>
        <v/>
      </c>
      <c r="AN1090" s="89" t="str">
        <f>+IF($AG1090=AN$22,MONTH($D1090),"")</f>
        <v/>
      </c>
      <c r="AO1090" s="89" t="str">
        <f>+IF($AG1090=AO$22,MONTH($D1090),"")</f>
        <v/>
      </c>
      <c r="AP1090" s="89" t="str">
        <f>+IF($AG1090=AP$22,MONTH($D1090),"")</f>
        <v/>
      </c>
      <c r="AQ1090" s="89" t="str">
        <f>+IF($AG1090=AQ$22,MONTH($D1090),"")</f>
        <v/>
      </c>
      <c r="AR1090" s="89" t="str">
        <f>+IF($AG1090=AR$22,MONTH($D1090),"")</f>
        <v/>
      </c>
      <c r="AS1090" s="89" t="str">
        <f>+IF($AG1090=AS$22,MONTH($D1090),"")</f>
        <v/>
      </c>
      <c r="AT1090" s="89" t="str">
        <f>+IF($AG1090=AT$22,MONTH($D1090),"")</f>
        <v/>
      </c>
      <c r="AU1090" s="89" t="str">
        <f>+IF($AG1090=AU$22,MONTH($D1090),"")</f>
        <v/>
      </c>
      <c r="AV1090" s="89" t="str">
        <f>+IF($AG1090=AV$22,MONTH($D1090),"")</f>
        <v/>
      </c>
      <c r="AW1090" s="86" t="str">
        <f>+IF($AG1090=AW$22,MONTH($D1090),"")</f>
        <v/>
      </c>
      <c r="AX1090" s="86" t="str">
        <f>+IF($AG1090=AX$22,MONTH($D1090),"")</f>
        <v/>
      </c>
      <c r="AY1090" s="89"/>
      <c r="AZ1090" s="89"/>
      <c r="BA1090" s="89"/>
      <c r="BB1090" s="89"/>
      <c r="BC1090" s="89"/>
      <c r="BD1090" s="89"/>
      <c r="BE1090" s="89"/>
      <c r="BF1090" s="89"/>
      <c r="BG1090" s="89"/>
      <c r="BH1090" s="89"/>
      <c r="BI1090" s="89"/>
      <c r="BJ1090" s="89"/>
      <c r="BK1090" s="89"/>
      <c r="BL1090" s="89"/>
      <c r="BM1090" s="89"/>
      <c r="BN1090" s="89"/>
      <c r="BO1090" s="89"/>
      <c r="BP1090" s="89"/>
    </row>
    <row r="1091" spans="1:68" s="56" customFormat="1" ht="13.5" hidden="1">
      <c r="A1091" s="204">
        <f>+IFERROR(VALUE(MID(AB1091,4,4)),"")</f>
        <v>347</v>
      </c>
      <c r="B1091" s="204">
        <f>VALUE(RIGHT(C1091,LEN(C1091)-2))</f>
        <v>1632</v>
      </c>
      <c r="C1091" s="74" t="s">
        <v>4143</v>
      </c>
      <c r="D1091" s="75">
        <v>44867</v>
      </c>
      <c r="E1091" s="70" t="s">
        <v>277</v>
      </c>
      <c r="F1091" s="70" t="s">
        <v>277</v>
      </c>
      <c r="G1091" s="68" t="s">
        <v>1781</v>
      </c>
      <c r="H1091" s="59" t="s">
        <v>2413</v>
      </c>
      <c r="I1091" s="69" t="s">
        <v>4144</v>
      </c>
      <c r="J1091" s="69"/>
      <c r="K1091" s="68" t="s">
        <v>13</v>
      </c>
      <c r="L1091" s="69" t="s">
        <v>120</v>
      </c>
      <c r="M1091" s="71" t="s">
        <v>141</v>
      </c>
      <c r="N1091" s="69" t="e" vm="1">
        <v>#VALUE!</v>
      </c>
      <c r="O1091" s="84">
        <v>45070</v>
      </c>
      <c r="P1091" s="72" t="s">
        <v>402</v>
      </c>
      <c r="Q1091" s="72" t="s">
        <v>1097</v>
      </c>
      <c r="R1091" s="162"/>
      <c r="S1091" s="146" t="s">
        <v>4145</v>
      </c>
      <c r="T1091" s="68" t="s">
        <v>3</v>
      </c>
      <c r="U1091" s="87"/>
      <c r="V1091" s="80">
        <v>45140</v>
      </c>
      <c r="W1091" s="73">
        <v>3976</v>
      </c>
      <c r="X1091" s="73">
        <v>154.30000000000001</v>
      </c>
      <c r="Y1091" s="83">
        <f>IF(SUM(W1091:W1091)&gt;0,X1091/SUM(W1091:W1091)*1000000,"N/A")</f>
        <v>38807.847082494976</v>
      </c>
      <c r="Z1091" s="80"/>
      <c r="AA1091" s="80"/>
      <c r="AB1091" s="150" t="s">
        <v>4146</v>
      </c>
      <c r="AC1091" s="153"/>
      <c r="AD1091" s="331"/>
      <c r="AE1091" s="57"/>
      <c r="AF1091" s="88"/>
      <c r="AG1091" s="182">
        <f>YEAR(V1091)</f>
        <v>2023</v>
      </c>
      <c r="AH1091" s="86" t="str">
        <f>+IF(AF1091=$AI$22,MONTH(U1091),"")</f>
        <v/>
      </c>
      <c r="AI1091" s="86" t="str">
        <f>+IF(AG1091=$AI$22,MONTH(V1091),"")</f>
        <v/>
      </c>
      <c r="AJ1091" s="86" t="str">
        <f>+IF(AG1091=$AJ$22,MONTH(V1091),"")</f>
        <v/>
      </c>
      <c r="AK1091" s="86">
        <f>+IF(AG1091=$AK$22,MONTH(V1091),"")</f>
        <v>8</v>
      </c>
      <c r="AL1091" s="86" t="str">
        <f>+IF(AG1091=$AL$22,MONTH(V1091),"")</f>
        <v/>
      </c>
      <c r="AM1091" s="86" t="str">
        <f>+IF($AG1091=$AM$22,MONTH($D1091),"")</f>
        <v/>
      </c>
      <c r="AN1091" s="89" t="str">
        <f>+IF($AG1091=AN$22,MONTH($D1091),"")</f>
        <v/>
      </c>
      <c r="AO1091" s="89" t="str">
        <f>+IF($AG1091=AO$22,MONTH($D1091),"")</f>
        <v/>
      </c>
      <c r="AP1091" s="89" t="str">
        <f>+IF($AG1091=AP$22,MONTH($D1091),"")</f>
        <v/>
      </c>
      <c r="AQ1091" s="89" t="str">
        <f>+IF($AG1091=AQ$22,MONTH($D1091),"")</f>
        <v/>
      </c>
      <c r="AR1091" s="89" t="str">
        <f>+IF($AG1091=AR$22,MONTH($D1091),"")</f>
        <v/>
      </c>
      <c r="AS1091" s="89" t="str">
        <f>+IF($AG1091=AS$22,MONTH($D1091),"")</f>
        <v/>
      </c>
      <c r="AT1091" s="89" t="str">
        <f>+IF($AG1091=AT$22,MONTH($D1091),"")</f>
        <v/>
      </c>
      <c r="AU1091" s="89" t="str">
        <f>+IF($AG1091=AU$22,MONTH($D1091),"")</f>
        <v/>
      </c>
      <c r="AV1091" s="89" t="str">
        <f>+IF($AG1091=AV$22,MONTH($D1091),"")</f>
        <v/>
      </c>
      <c r="AW1091" s="86" t="str">
        <f>+IF($AG1091=AW$22,MONTH($D1091),"")</f>
        <v/>
      </c>
      <c r="AX1091" s="86" t="str">
        <f>+IF($AG1091=AX$22,MONTH($D1091),"")</f>
        <v/>
      </c>
      <c r="AY1091" s="89"/>
      <c r="AZ1091" s="89"/>
      <c r="BA1091" s="89"/>
      <c r="BB1091" s="89"/>
      <c r="BC1091" s="89"/>
      <c r="BD1091" s="89"/>
      <c r="BE1091" s="89"/>
      <c r="BF1091" s="89"/>
      <c r="BG1091" s="89"/>
      <c r="BH1091" s="89"/>
      <c r="BI1091" s="89"/>
      <c r="BJ1091" s="89"/>
      <c r="BK1091" s="89"/>
      <c r="BL1091" s="89"/>
      <c r="BM1091" s="89"/>
      <c r="BN1091" s="89"/>
      <c r="BO1091" s="89"/>
      <c r="BP1091" s="89"/>
    </row>
    <row r="1092" spans="1:68" s="56" customFormat="1" ht="27" hidden="1">
      <c r="A1092" s="204" t="str">
        <f>+IFERROR(VALUE(MID(AB1092,4,4)),"")</f>
        <v/>
      </c>
      <c r="B1092" s="204">
        <f>VALUE(RIGHT(C1092,LEN(C1092)-2))</f>
        <v>1631</v>
      </c>
      <c r="C1092" s="74" t="s">
        <v>4147</v>
      </c>
      <c r="D1092" s="75">
        <v>44861</v>
      </c>
      <c r="E1092" s="68" t="s">
        <v>1668</v>
      </c>
      <c r="F1092" s="68" t="s">
        <v>1668</v>
      </c>
      <c r="G1092" s="68" t="s">
        <v>3657</v>
      </c>
      <c r="H1092" s="59" t="s">
        <v>3658</v>
      </c>
      <c r="I1092" s="69" t="s">
        <v>4148</v>
      </c>
      <c r="J1092" s="69"/>
      <c r="K1092" s="68" t="s">
        <v>13</v>
      </c>
      <c r="L1092" s="69" t="s">
        <v>123</v>
      </c>
      <c r="M1092" s="71" t="s">
        <v>113</v>
      </c>
      <c r="N1092" s="69" t="e" vm="4">
        <v>#VALUE!</v>
      </c>
      <c r="O1092" s="84">
        <v>45012</v>
      </c>
      <c r="P1092" s="69" t="s">
        <v>4149</v>
      </c>
      <c r="Q1092" s="69" t="s">
        <v>1097</v>
      </c>
      <c r="R1092" s="69"/>
      <c r="S1092" s="146" t="s">
        <v>4150</v>
      </c>
      <c r="T1092" s="68" t="s">
        <v>165</v>
      </c>
      <c r="U1092" s="87"/>
      <c r="V1092" s="80">
        <v>45055</v>
      </c>
      <c r="W1092" s="73">
        <v>60835</v>
      </c>
      <c r="X1092" s="73">
        <f>3206200*800/1000000</f>
        <v>2564.96</v>
      </c>
      <c r="Y1092" s="83">
        <f>IF(SUM(W1092:W1092)&gt;0,X1092/SUM(W1092:W1092)*1000000,"N/A")</f>
        <v>42162.570888468807</v>
      </c>
      <c r="Z1092" s="80"/>
      <c r="AA1092" s="80"/>
      <c r="AB1092" s="57"/>
      <c r="AC1092" s="75"/>
      <c r="AD1092" s="332"/>
      <c r="AE1092" s="68"/>
      <c r="AF1092" s="73"/>
      <c r="AG1092" s="182">
        <f>YEAR(V1092)</f>
        <v>2023</v>
      </c>
      <c r="AH1092" s="86" t="str">
        <f>+IF(AF1092=$AI$22,MONTH(U1092),"")</f>
        <v/>
      </c>
      <c r="AI1092" s="86" t="str">
        <f>+IF(AG1092=$AI$22,MONTH(V1092),"")</f>
        <v/>
      </c>
      <c r="AJ1092" s="86" t="str">
        <f>+IF(AG1092=$AJ$22,MONTH(V1092),"")</f>
        <v/>
      </c>
      <c r="AK1092" s="86">
        <f>+IF(AG1092=$AK$22,MONTH(V1092),"")</f>
        <v>5</v>
      </c>
      <c r="AL1092" s="86" t="str">
        <f>+IF(AG1092=$AL$22,MONTH(V1092),"")</f>
        <v/>
      </c>
      <c r="AM1092" s="86" t="str">
        <f>+IF($AG1092=$AM$22,MONTH($D1092),"")</f>
        <v/>
      </c>
      <c r="AN1092" s="89" t="str">
        <f>+IF($AG1092=AN$22,MONTH($D1092),"")</f>
        <v/>
      </c>
      <c r="AO1092" s="184" t="str">
        <f>+IF($AG1092=AO$22,MONTH($D1092),"")</f>
        <v/>
      </c>
      <c r="AP1092" s="184" t="str">
        <f>+IF($AG1092=AP$22,MONTH($D1092),"")</f>
        <v/>
      </c>
      <c r="AQ1092" s="184" t="str">
        <f>+IF($AG1092=AQ$22,MONTH($D1092),"")</f>
        <v/>
      </c>
      <c r="AR1092" s="184" t="str">
        <f>+IF($AG1092=AR$22,MONTH($D1092),"")</f>
        <v/>
      </c>
      <c r="AS1092" s="184" t="str">
        <f>+IF($AG1092=AS$22,MONTH($D1092),"")</f>
        <v/>
      </c>
      <c r="AT1092" s="86" t="str">
        <f>+IF($AG1092=AT$22,MONTH($D1092),"")</f>
        <v/>
      </c>
      <c r="AU1092" s="86" t="str">
        <f>+IF($AG1092=AU$22,MONTH($D1092),"")</f>
        <v/>
      </c>
      <c r="AV1092" s="86" t="str">
        <f>+IF($AG1092=AV$22,MONTH($D1092),"")</f>
        <v/>
      </c>
      <c r="AW1092" s="86" t="str">
        <f>+IF($AG1092=AW$22,MONTH($D1092),"")</f>
        <v/>
      </c>
      <c r="AX1092" s="86" t="str">
        <f>+IF($AG1092=AX$22,MONTH($D1092),"")</f>
        <v/>
      </c>
      <c r="AY1092" s="89"/>
      <c r="AZ1092" s="89"/>
      <c r="BA1092" s="89"/>
      <c r="BB1092" s="89"/>
      <c r="BC1092" s="89"/>
      <c r="BD1092" s="89"/>
      <c r="BE1092" s="89"/>
      <c r="BF1092" s="89"/>
      <c r="BG1092" s="89"/>
      <c r="BH1092" s="89"/>
      <c r="BI1092" s="89"/>
      <c r="BJ1092" s="89"/>
      <c r="BK1092" s="89"/>
      <c r="BL1092" s="89"/>
      <c r="BM1092" s="89"/>
      <c r="BN1092" s="89"/>
      <c r="BO1092" s="89"/>
      <c r="BP1092" s="89"/>
    </row>
    <row r="1093" spans="1:68" s="56" customFormat="1" ht="27" hidden="1">
      <c r="A1093" s="204" t="str">
        <f>+IFERROR(VALUE(MID(AB1093,4,4)),"")</f>
        <v/>
      </c>
      <c r="B1093" s="204">
        <f>VALUE(RIGHT(C1093,LEN(C1093)-2))</f>
        <v>1630</v>
      </c>
      <c r="C1093" s="74" t="s">
        <v>4151</v>
      </c>
      <c r="D1093" s="75">
        <v>44861</v>
      </c>
      <c r="E1093" s="68" t="s">
        <v>1668</v>
      </c>
      <c r="F1093" s="68" t="s">
        <v>1668</v>
      </c>
      <c r="G1093" s="68" t="s">
        <v>3657</v>
      </c>
      <c r="H1093" s="59" t="s">
        <v>3658</v>
      </c>
      <c r="I1093" s="69" t="s">
        <v>4152</v>
      </c>
      <c r="J1093" s="69"/>
      <c r="K1093" s="68" t="s">
        <v>13</v>
      </c>
      <c r="L1093" s="69" t="s">
        <v>123</v>
      </c>
      <c r="M1093" s="71" t="s">
        <v>113</v>
      </c>
      <c r="N1093" s="69" t="e" vm="4">
        <v>#VALUE!</v>
      </c>
      <c r="O1093" s="84">
        <v>44862</v>
      </c>
      <c r="P1093" s="69" t="s">
        <v>274</v>
      </c>
      <c r="Q1093" s="69" t="s">
        <v>1097</v>
      </c>
      <c r="R1093" s="69"/>
      <c r="S1093" s="146"/>
      <c r="T1093" s="68" t="s">
        <v>155</v>
      </c>
      <c r="U1093" s="87"/>
      <c r="V1093" s="80">
        <v>44861</v>
      </c>
      <c r="W1093" s="73"/>
      <c r="X1093" s="214"/>
      <c r="Y1093" s="83" t="str">
        <f>IF(SUM(W1093:W1093)&gt;0,X1093/SUM(W1093:W1093)*1000000,"N/A")</f>
        <v>N/A</v>
      </c>
      <c r="Z1093" s="80"/>
      <c r="AA1093" s="80"/>
      <c r="AB1093" s="57"/>
      <c r="AC1093" s="75"/>
      <c r="AD1093" s="332"/>
      <c r="AE1093" s="68"/>
      <c r="AF1093" s="73"/>
      <c r="AG1093" s="182">
        <f>YEAR(D1093)</f>
        <v>2022</v>
      </c>
      <c r="AH1093" s="86" t="str">
        <f>+IF(AE1093=$AJ$22,MONTH(T1093),"")</f>
        <v/>
      </c>
      <c r="AI1093" s="86" t="str">
        <f>+IF(AF1093=$AJ$22,MONTH(U1093),"")</f>
        <v/>
      </c>
      <c r="AJ1093" s="86" t="str">
        <f>+IF(AG1093=$AJ$22,MONTH(V1093),"")</f>
        <v/>
      </c>
      <c r="AK1093" s="86" t="str">
        <f>+IF(AG1093=$AK$22,MONTH(V1093),"")</f>
        <v/>
      </c>
      <c r="AL1093" s="86">
        <f>+IF(AG1093=$AL$22,MONTH(V1093),"")</f>
        <v>10</v>
      </c>
      <c r="AM1093" s="86" t="str">
        <f>+IF($AG1093=$AM$22,MONTH($D1093),"")</f>
        <v/>
      </c>
      <c r="AN1093" s="89" t="str">
        <f>+IF($AG1093=AN$22,MONTH($D1093),"")</f>
        <v/>
      </c>
      <c r="AO1093" s="184" t="str">
        <f>+IF($AG1093=AO$22,MONTH($D1093),"")</f>
        <v/>
      </c>
      <c r="AP1093" s="184" t="str">
        <f>+IF($AG1093=AP$22,MONTH($D1093),"")</f>
        <v/>
      </c>
      <c r="AQ1093" s="184" t="str">
        <f>+IF($AG1093=AQ$22,MONTH($D1093),"")</f>
        <v/>
      </c>
      <c r="AR1093" s="184" t="str">
        <f>+IF($AG1093=AR$22,MONTH($D1093),"")</f>
        <v/>
      </c>
      <c r="AS1093" s="184" t="str">
        <f>+IF($AG1093=AS$22,MONTH($D1093),"")</f>
        <v/>
      </c>
      <c r="AT1093" s="86" t="str">
        <f>+IF($AG1093=AT$22,MONTH($D1093),"")</f>
        <v/>
      </c>
      <c r="AU1093" s="86" t="str">
        <f>+IF($AG1093=AU$22,MONTH($D1093),"")</f>
        <v/>
      </c>
      <c r="AV1093" s="86" t="str">
        <f>+IF($AG1093=AV$22,MONTH($D1093),"")</f>
        <v/>
      </c>
      <c r="AW1093" s="86" t="str">
        <f>+IF($AG1093=AW$22,MONTH($D1093),"")</f>
        <v/>
      </c>
      <c r="AX1093" s="86" t="str">
        <f>+IF($AG1093=AX$22,MONTH($D1093),"")</f>
        <v/>
      </c>
      <c r="AY1093" s="89"/>
      <c r="AZ1093" s="89"/>
      <c r="BA1093" s="89"/>
      <c r="BB1093" s="89"/>
      <c r="BC1093" s="89"/>
      <c r="BD1093" s="89"/>
      <c r="BE1093" s="89"/>
      <c r="BF1093" s="89"/>
      <c r="BG1093" s="89"/>
      <c r="BH1093" s="89"/>
      <c r="BI1093" s="89"/>
      <c r="BJ1093" s="89"/>
      <c r="BK1093" s="89"/>
      <c r="BL1093" s="89"/>
      <c r="BM1093" s="89"/>
      <c r="BN1093" s="89"/>
      <c r="BO1093" s="89"/>
      <c r="BP1093" s="89"/>
    </row>
    <row r="1094" spans="1:68" s="56" customFormat="1" ht="27" hidden="1">
      <c r="A1094" s="204" t="str">
        <f>+IFERROR(VALUE(MID(AB1094,4,4)),"")</f>
        <v/>
      </c>
      <c r="B1094" s="204">
        <f>VALUE(RIGHT(C1094,LEN(C1094)-2))</f>
        <v>1629</v>
      </c>
      <c r="C1094" s="74" t="s">
        <v>4153</v>
      </c>
      <c r="D1094" s="75">
        <v>44855</v>
      </c>
      <c r="E1094" s="70" t="s">
        <v>4154</v>
      </c>
      <c r="F1094" s="70" t="s">
        <v>4083</v>
      </c>
      <c r="G1094" s="68" t="s">
        <v>4155</v>
      </c>
      <c r="H1094" s="111" t="s">
        <v>4156</v>
      </c>
      <c r="I1094" s="69" t="s">
        <v>4086</v>
      </c>
      <c r="J1094" s="69"/>
      <c r="K1094" s="68" t="s">
        <v>13</v>
      </c>
      <c r="L1094" s="69" t="s">
        <v>123</v>
      </c>
      <c r="M1094" s="71" t="s">
        <v>141</v>
      </c>
      <c r="N1094" s="69" t="e" vm="1">
        <v>#VALUE!</v>
      </c>
      <c r="O1094" s="84">
        <v>44890</v>
      </c>
      <c r="P1094" s="72" t="s">
        <v>749</v>
      </c>
      <c r="Q1094" s="72" t="s">
        <v>229</v>
      </c>
      <c r="R1094" s="162"/>
      <c r="S1094" s="146" t="s">
        <v>4087</v>
      </c>
      <c r="T1094" s="68" t="s">
        <v>168</v>
      </c>
      <c r="U1094" s="87">
        <v>0</v>
      </c>
      <c r="V1094" s="80">
        <v>44965</v>
      </c>
      <c r="W1094" s="73">
        <v>19406</v>
      </c>
      <c r="X1094" s="73">
        <f>20184.9*34671/1000000</f>
        <v>699.83066790000009</v>
      </c>
      <c r="Y1094" s="83">
        <f>IF(SUM(W1094:W1094)&gt;0,X1094/SUM(W1094:W1094)*1000000,"N/A")</f>
        <v>36062.592388951874</v>
      </c>
      <c r="Z1094" s="80"/>
      <c r="AA1094" s="80"/>
      <c r="AB1094" s="73"/>
      <c r="AC1094" s="153"/>
      <c r="AD1094" s="331"/>
      <c r="AE1094" s="57"/>
      <c r="AF1094" s="88"/>
      <c r="AG1094" s="182">
        <f>YEAR(D1094)</f>
        <v>2022</v>
      </c>
      <c r="AH1094" s="86" t="str">
        <f>+IF(AE1094=$AJ$22,MONTH(T1094),"")</f>
        <v/>
      </c>
      <c r="AI1094" s="86" t="str">
        <f>+IF(AF1094=$AJ$22,MONTH(U1094),"")</f>
        <v/>
      </c>
      <c r="AJ1094" s="86" t="str">
        <f>+IF(AG1094=$AJ$22,MONTH(V1094),"")</f>
        <v/>
      </c>
      <c r="AK1094" s="86" t="str">
        <f>+IF(AG1094=$AK$22,MONTH(V1094),"")</f>
        <v/>
      </c>
      <c r="AL1094" s="86">
        <f>+IF(AG1094=$AL$22,MONTH(V1094),"")</f>
        <v>2</v>
      </c>
      <c r="AM1094" s="86" t="str">
        <f>+IF($AG1094=$AM$22,MONTH($D1094),"")</f>
        <v/>
      </c>
      <c r="AN1094" s="89" t="str">
        <f>+IF($AG1094=AN$22,MONTH($D1094),"")</f>
        <v/>
      </c>
      <c r="AO1094" s="89" t="str">
        <f>+IF($AG1094=AO$22,MONTH($D1094),"")</f>
        <v/>
      </c>
      <c r="AP1094" s="89" t="str">
        <f>+IF($AG1094=AP$22,MONTH($D1094),"")</f>
        <v/>
      </c>
      <c r="AQ1094" s="89" t="str">
        <f>+IF($AG1094=AQ$22,MONTH($D1094),"")</f>
        <v/>
      </c>
      <c r="AR1094" s="89" t="str">
        <f>+IF($AG1094=AR$22,MONTH($D1094),"")</f>
        <v/>
      </c>
      <c r="AS1094" s="89" t="str">
        <f>+IF($AG1094=AS$22,MONTH($D1094),"")</f>
        <v/>
      </c>
      <c r="AT1094" s="89" t="str">
        <f>+IF($AG1094=AT$22,MONTH($D1094),"")</f>
        <v/>
      </c>
      <c r="AU1094" s="89" t="str">
        <f>+IF($AG1094=AU$22,MONTH($D1094),"")</f>
        <v/>
      </c>
      <c r="AV1094" s="89" t="str">
        <f>+IF($AG1094=AV$22,MONTH($D1094),"")</f>
        <v/>
      </c>
      <c r="AW1094" s="86" t="str">
        <f>+IF($AG1094=AW$22,MONTH($D1094),"")</f>
        <v/>
      </c>
      <c r="AX1094" s="86" t="str">
        <f>+IF($AG1094=AX$22,MONTH($D1094),"")</f>
        <v/>
      </c>
      <c r="AY1094" s="89"/>
      <c r="AZ1094" s="89"/>
      <c r="BA1094" s="89"/>
      <c r="BB1094" s="89"/>
      <c r="BC1094" s="89"/>
      <c r="BD1094" s="89"/>
      <c r="BE1094" s="89"/>
      <c r="BF1094" s="89"/>
      <c r="BG1094" s="89"/>
      <c r="BH1094" s="89"/>
      <c r="BI1094" s="89"/>
      <c r="BJ1094" s="89"/>
      <c r="BK1094" s="89"/>
      <c r="BL1094" s="89"/>
      <c r="BM1094" s="89"/>
      <c r="BN1094" s="89"/>
      <c r="BO1094" s="89"/>
      <c r="BP1094" s="89"/>
    </row>
    <row r="1095" spans="1:68" s="56" customFormat="1" ht="81" hidden="1">
      <c r="A1095" s="204" t="str">
        <f>+IFERROR(VALUE(MID(AB1095,4,4)),"")</f>
        <v/>
      </c>
      <c r="B1095" s="204">
        <f>VALUE(RIGHT(C1095,LEN(C1095)-2))</f>
        <v>1628</v>
      </c>
      <c r="C1095" s="74" t="s">
        <v>4157</v>
      </c>
      <c r="D1095" s="75">
        <v>44855</v>
      </c>
      <c r="E1095" s="70" t="s">
        <v>4158</v>
      </c>
      <c r="F1095" s="70" t="s">
        <v>4083</v>
      </c>
      <c r="G1095" s="68" t="s">
        <v>4159</v>
      </c>
      <c r="H1095" s="111" t="s">
        <v>4160</v>
      </c>
      <c r="I1095" s="69" t="s">
        <v>4086</v>
      </c>
      <c r="J1095" s="69"/>
      <c r="K1095" s="68" t="s">
        <v>13</v>
      </c>
      <c r="L1095" s="69" t="s">
        <v>123</v>
      </c>
      <c r="M1095" s="71" t="s">
        <v>141</v>
      </c>
      <c r="N1095" s="69" t="e" vm="1">
        <v>#VALUE!</v>
      </c>
      <c r="O1095" s="84">
        <v>44890</v>
      </c>
      <c r="P1095" s="72" t="s">
        <v>749</v>
      </c>
      <c r="Q1095" s="72" t="s">
        <v>229</v>
      </c>
      <c r="R1095" s="162"/>
      <c r="S1095" s="146" t="s">
        <v>4161</v>
      </c>
      <c r="T1095" s="68" t="s">
        <v>165</v>
      </c>
      <c r="U1095" s="87"/>
      <c r="V1095" s="80">
        <v>44915</v>
      </c>
      <c r="W1095" s="73">
        <v>19406</v>
      </c>
      <c r="X1095" s="73">
        <f>20184.9*34671/1000000</f>
        <v>699.83066790000009</v>
      </c>
      <c r="Y1095" s="83">
        <f>IF(SUM(W1095:W1095)&gt;0,X1095/SUM(W1095:W1095)*1000000,"N/A")</f>
        <v>36062.592388951874</v>
      </c>
      <c r="Z1095" s="80"/>
      <c r="AA1095" s="80"/>
      <c r="AB1095" s="73"/>
      <c r="AC1095" s="153"/>
      <c r="AD1095" s="331"/>
      <c r="AE1095" s="57"/>
      <c r="AF1095" s="88"/>
      <c r="AG1095" s="182">
        <f>YEAR(D1095)</f>
        <v>2022</v>
      </c>
      <c r="AH1095" s="86" t="str">
        <f>+IF(AE1095=$AJ$22,MONTH(T1095),"")</f>
        <v/>
      </c>
      <c r="AI1095" s="86" t="str">
        <f>+IF(AF1095=$AJ$22,MONTH(U1095),"")</f>
        <v/>
      </c>
      <c r="AJ1095" s="86" t="str">
        <f>+IF(AG1095=$AJ$22,MONTH(V1095),"")</f>
        <v/>
      </c>
      <c r="AK1095" s="86" t="str">
        <f>+IF(AG1095=$AK$22,MONTH(V1095),"")</f>
        <v/>
      </c>
      <c r="AL1095" s="86">
        <f>+IF(AG1095=$AL$22,MONTH(V1095),"")</f>
        <v>12</v>
      </c>
      <c r="AM1095" s="86" t="str">
        <f>+IF($AG1095=$AM$22,MONTH($D1095),"")</f>
        <v/>
      </c>
      <c r="AN1095" s="89" t="str">
        <f>+IF($AG1095=AN$22,MONTH($D1095),"")</f>
        <v/>
      </c>
      <c r="AO1095" s="89" t="str">
        <f>+IF($AG1095=AO$22,MONTH($D1095),"")</f>
        <v/>
      </c>
      <c r="AP1095" s="89" t="str">
        <f>+IF($AG1095=AP$22,MONTH($D1095),"")</f>
        <v/>
      </c>
      <c r="AQ1095" s="89" t="str">
        <f>+IF($AG1095=AQ$22,MONTH($D1095),"")</f>
        <v/>
      </c>
      <c r="AR1095" s="89" t="str">
        <f>+IF($AG1095=AR$22,MONTH($D1095),"")</f>
        <v/>
      </c>
      <c r="AS1095" s="89" t="str">
        <f>+IF($AG1095=AS$22,MONTH($D1095),"")</f>
        <v/>
      </c>
      <c r="AT1095" s="89" t="str">
        <f>+IF($AG1095=AT$22,MONTH($D1095),"")</f>
        <v/>
      </c>
      <c r="AU1095" s="89" t="str">
        <f>+IF($AG1095=AU$22,MONTH($D1095),"")</f>
        <v/>
      </c>
      <c r="AV1095" s="89" t="str">
        <f>+IF($AG1095=AV$22,MONTH($D1095),"")</f>
        <v/>
      </c>
      <c r="AW1095" s="86" t="str">
        <f>+IF($AG1095=AW$22,MONTH($D1095),"")</f>
        <v/>
      </c>
      <c r="AX1095" s="86" t="str">
        <f>+IF($AG1095=AX$22,MONTH($D1095),"")</f>
        <v/>
      </c>
      <c r="AY1095" s="89"/>
      <c r="AZ1095" s="89"/>
      <c r="BA1095" s="89"/>
      <c r="BB1095" s="89"/>
      <c r="BC1095" s="89"/>
      <c r="BD1095" s="89"/>
      <c r="BE1095" s="89"/>
      <c r="BF1095" s="89"/>
      <c r="BG1095" s="89"/>
      <c r="BH1095" s="89"/>
      <c r="BI1095" s="89"/>
      <c r="BJ1095" s="89"/>
      <c r="BK1095" s="89"/>
      <c r="BL1095" s="89"/>
      <c r="BM1095" s="89"/>
      <c r="BN1095" s="89"/>
      <c r="BO1095" s="89"/>
      <c r="BP1095" s="89"/>
    </row>
    <row r="1096" spans="1:68" s="56" customFormat="1" ht="27" hidden="1">
      <c r="A1096" s="204">
        <f>+IFERROR(VALUE(MID(AB1096,4,4)),"")</f>
        <v>274</v>
      </c>
      <c r="B1096" s="204">
        <f>VALUE(RIGHT(C1096,LEN(C1096)-2))</f>
        <v>1627</v>
      </c>
      <c r="C1096" s="74" t="s">
        <v>4162</v>
      </c>
      <c r="D1096" s="75">
        <v>44861</v>
      </c>
      <c r="E1096" s="70" t="s">
        <v>1054</v>
      </c>
      <c r="F1096" s="70" t="s">
        <v>252</v>
      </c>
      <c r="G1096" s="68" t="s">
        <v>1055</v>
      </c>
      <c r="H1096" s="59" t="s">
        <v>1056</v>
      </c>
      <c r="I1096" s="69" t="s">
        <v>4163</v>
      </c>
      <c r="J1096" s="69"/>
      <c r="K1096" s="68" t="s">
        <v>9</v>
      </c>
      <c r="L1096" s="69" t="s">
        <v>129</v>
      </c>
      <c r="M1096" s="71" t="s">
        <v>141</v>
      </c>
      <c r="N1096" s="69" t="e" vm="1">
        <v>#VALUE!</v>
      </c>
      <c r="O1096" s="84">
        <v>44867</v>
      </c>
      <c r="P1096" s="72" t="s">
        <v>4134</v>
      </c>
      <c r="Q1096" s="72" t="s">
        <v>623</v>
      </c>
      <c r="R1096" s="162"/>
      <c r="S1096" s="146" t="s">
        <v>4164</v>
      </c>
      <c r="T1096" s="68" t="s">
        <v>3</v>
      </c>
      <c r="U1096" s="87"/>
      <c r="V1096" s="80">
        <v>44880</v>
      </c>
      <c r="W1096" s="73">
        <v>175</v>
      </c>
      <c r="X1096" s="73">
        <v>4.5</v>
      </c>
      <c r="Y1096" s="83">
        <f>IF(SUM(W1096:W1096)&gt;0,X1096/SUM(W1096:W1096)*1000000,"N/A")</f>
        <v>25714.285714285714</v>
      </c>
      <c r="Z1096" s="80"/>
      <c r="AA1096" s="80"/>
      <c r="AB1096" s="73" t="s">
        <v>4165</v>
      </c>
      <c r="AC1096" s="153"/>
      <c r="AD1096" s="331"/>
      <c r="AE1096" s="57"/>
      <c r="AF1096" s="88"/>
      <c r="AG1096" s="182">
        <f>YEAR(D1096)</f>
        <v>2022</v>
      </c>
      <c r="AH1096" s="86" t="str">
        <f>+IF(AE1096=$AJ$22,MONTH(T1096),"")</f>
        <v/>
      </c>
      <c r="AI1096" s="86" t="str">
        <f>+IF(AF1096=$AJ$22,MONTH(U1096),"")</f>
        <v/>
      </c>
      <c r="AJ1096" s="86" t="str">
        <f>+IF(AG1096=$AJ$22,MONTH(V1096),"")</f>
        <v/>
      </c>
      <c r="AK1096" s="86" t="str">
        <f>+IF(AG1096=$AK$22,MONTH(V1096),"")</f>
        <v/>
      </c>
      <c r="AL1096" s="86">
        <f>+IF(AG1096=$AL$22,MONTH(V1096),"")</f>
        <v>11</v>
      </c>
      <c r="AM1096" s="86" t="str">
        <f>+IF($AG1096=$AM$22,MONTH($D1096),"")</f>
        <v/>
      </c>
      <c r="AN1096" s="89" t="str">
        <f>+IF($AG1096=AN$22,MONTH($D1096),"")</f>
        <v/>
      </c>
      <c r="AO1096" s="89" t="str">
        <f>+IF($AG1096=AO$22,MONTH($D1096),"")</f>
        <v/>
      </c>
      <c r="AP1096" s="89" t="str">
        <f>+IF($AG1096=AP$22,MONTH($D1096),"")</f>
        <v/>
      </c>
      <c r="AQ1096" s="89" t="str">
        <f>+IF($AG1096=AQ$22,MONTH($D1096),"")</f>
        <v/>
      </c>
      <c r="AR1096" s="89" t="str">
        <f>+IF($AG1096=AR$22,MONTH($D1096),"")</f>
        <v/>
      </c>
      <c r="AS1096" s="89" t="str">
        <f>+IF($AG1096=AS$22,MONTH($D1096),"")</f>
        <v/>
      </c>
      <c r="AT1096" s="89" t="str">
        <f>+IF($AG1096=AT$22,MONTH($D1096),"")</f>
        <v/>
      </c>
      <c r="AU1096" s="89" t="str">
        <f>+IF($AG1096=AU$22,MONTH($D1096),"")</f>
        <v/>
      </c>
      <c r="AV1096" s="89" t="str">
        <f>+IF($AG1096=AV$22,MONTH($D1096),"")</f>
        <v/>
      </c>
      <c r="AW1096" s="86" t="str">
        <f>+IF($AG1096=AW$22,MONTH($D1096),"")</f>
        <v/>
      </c>
      <c r="AX1096" s="86" t="str">
        <f>+IF($AG1096=AX$22,MONTH($D1096),"")</f>
        <v/>
      </c>
      <c r="AY1096" s="89"/>
      <c r="AZ1096" s="89"/>
      <c r="BA1096" s="89"/>
      <c r="BB1096" s="89"/>
      <c r="BC1096" s="89"/>
      <c r="BD1096" s="89"/>
      <c r="BE1096" s="89"/>
      <c r="BF1096" s="89"/>
      <c r="BG1096" s="89"/>
      <c r="BH1096" s="89"/>
      <c r="BI1096" s="89"/>
      <c r="BJ1096" s="89"/>
      <c r="BK1096" s="89"/>
      <c r="BL1096" s="89"/>
      <c r="BM1096" s="89"/>
      <c r="BN1096" s="89"/>
      <c r="BO1096" s="89"/>
      <c r="BP1096" s="89"/>
    </row>
    <row r="1097" spans="1:68" s="56" customFormat="1" ht="27" hidden="1">
      <c r="A1097" s="204">
        <f>+IFERROR(VALUE(MID(AB1097,4,4)),"")</f>
        <v>274</v>
      </c>
      <c r="B1097" s="204">
        <f>VALUE(RIGHT(C1097,LEN(C1097)-2))</f>
        <v>1626</v>
      </c>
      <c r="C1097" s="74" t="s">
        <v>4166</v>
      </c>
      <c r="D1097" s="75">
        <v>44861</v>
      </c>
      <c r="E1097" s="70" t="s">
        <v>1054</v>
      </c>
      <c r="F1097" s="70" t="s">
        <v>252</v>
      </c>
      <c r="G1097" s="68" t="s">
        <v>1055</v>
      </c>
      <c r="H1097" s="59" t="s">
        <v>1056</v>
      </c>
      <c r="I1097" s="69" t="s">
        <v>4167</v>
      </c>
      <c r="J1097" s="69"/>
      <c r="K1097" s="68" t="s">
        <v>9</v>
      </c>
      <c r="L1097" s="69" t="s">
        <v>129</v>
      </c>
      <c r="M1097" s="71" t="s">
        <v>141</v>
      </c>
      <c r="N1097" s="69" t="e" vm="1">
        <v>#VALUE!</v>
      </c>
      <c r="O1097" s="84">
        <v>44872</v>
      </c>
      <c r="P1097" s="72" t="s">
        <v>4134</v>
      </c>
      <c r="Q1097" s="72" t="s">
        <v>623</v>
      </c>
      <c r="R1097" s="162"/>
      <c r="S1097" s="146" t="s">
        <v>4168</v>
      </c>
      <c r="T1097" s="68" t="s">
        <v>3</v>
      </c>
      <c r="U1097" s="87"/>
      <c r="V1097" s="80">
        <v>44887</v>
      </c>
      <c r="W1097" s="73">
        <v>522</v>
      </c>
      <c r="X1097" s="73">
        <v>13.6</v>
      </c>
      <c r="Y1097" s="83">
        <f>IF(SUM(W1097:W1097)&gt;0,X1097/SUM(W1097:W1097)*1000000,"N/A")</f>
        <v>26053.639846743292</v>
      </c>
      <c r="Z1097" s="80"/>
      <c r="AA1097" s="80"/>
      <c r="AB1097" s="73" t="s">
        <v>4169</v>
      </c>
      <c r="AC1097" s="153"/>
      <c r="AD1097" s="331"/>
      <c r="AE1097" s="57"/>
      <c r="AF1097" s="88"/>
      <c r="AG1097" s="182">
        <f>YEAR(D1097)</f>
        <v>2022</v>
      </c>
      <c r="AH1097" s="86" t="str">
        <f>+IF(AE1097=$AJ$22,MONTH(T1097),"")</f>
        <v/>
      </c>
      <c r="AI1097" s="86" t="str">
        <f>+IF(AF1097=$AJ$22,MONTH(U1097),"")</f>
        <v/>
      </c>
      <c r="AJ1097" s="86" t="str">
        <f>+IF(AG1097=$AJ$22,MONTH(V1097),"")</f>
        <v/>
      </c>
      <c r="AK1097" s="86" t="str">
        <f>+IF(AG1097=$AK$22,MONTH(V1097),"")</f>
        <v/>
      </c>
      <c r="AL1097" s="86">
        <f>+IF(AG1097=$AL$22,MONTH(V1097),"")</f>
        <v>11</v>
      </c>
      <c r="AM1097" s="86" t="str">
        <f>+IF($AG1097=$AM$22,MONTH($D1097),"")</f>
        <v/>
      </c>
      <c r="AN1097" s="89" t="str">
        <f>+IF($AG1097=AN$22,MONTH($D1097),"")</f>
        <v/>
      </c>
      <c r="AO1097" s="89" t="str">
        <f>+IF($AG1097=AO$22,MONTH($D1097),"")</f>
        <v/>
      </c>
      <c r="AP1097" s="89" t="str">
        <f>+IF($AG1097=AP$22,MONTH($D1097),"")</f>
        <v/>
      </c>
      <c r="AQ1097" s="89" t="str">
        <f>+IF($AG1097=AQ$22,MONTH($D1097),"")</f>
        <v/>
      </c>
      <c r="AR1097" s="89" t="str">
        <f>+IF($AG1097=AR$22,MONTH($D1097),"")</f>
        <v/>
      </c>
      <c r="AS1097" s="89" t="str">
        <f>+IF($AG1097=AS$22,MONTH($D1097),"")</f>
        <v/>
      </c>
      <c r="AT1097" s="89" t="str">
        <f>+IF($AG1097=AT$22,MONTH($D1097),"")</f>
        <v/>
      </c>
      <c r="AU1097" s="89" t="str">
        <f>+IF($AG1097=AU$22,MONTH($D1097),"")</f>
        <v/>
      </c>
      <c r="AV1097" s="89" t="str">
        <f>+IF($AG1097=AV$22,MONTH($D1097),"")</f>
        <v/>
      </c>
      <c r="AW1097" s="86" t="str">
        <f>+IF($AG1097=AW$22,MONTH($D1097),"")</f>
        <v/>
      </c>
      <c r="AX1097" s="86" t="str">
        <f>+IF($AG1097=AX$22,MONTH($D1097),"")</f>
        <v/>
      </c>
      <c r="AY1097" s="89"/>
      <c r="AZ1097" s="89"/>
      <c r="BA1097" s="89"/>
      <c r="BB1097" s="89"/>
      <c r="BC1097" s="89"/>
      <c r="BD1097" s="89"/>
      <c r="BE1097" s="89"/>
      <c r="BF1097" s="89"/>
      <c r="BG1097" s="89"/>
      <c r="BH1097" s="89"/>
      <c r="BI1097" s="89"/>
      <c r="BJ1097" s="89"/>
      <c r="BK1097" s="89"/>
      <c r="BL1097" s="89"/>
      <c r="BM1097" s="89"/>
      <c r="BN1097" s="89"/>
      <c r="BO1097" s="89"/>
      <c r="BP1097" s="89"/>
    </row>
    <row r="1098" spans="1:68" s="56" customFormat="1" ht="13.5" hidden="1">
      <c r="A1098" s="204" t="str">
        <f>+IFERROR(VALUE(MID(AB1098,4,4)),"")</f>
        <v/>
      </c>
      <c r="B1098" s="204">
        <f>VALUE(RIGHT(C1098,LEN(C1098)-2))</f>
        <v>1625</v>
      </c>
      <c r="C1098" s="74" t="s">
        <v>4170</v>
      </c>
      <c r="D1098" s="75">
        <v>44893</v>
      </c>
      <c r="E1098" s="70" t="s">
        <v>4027</v>
      </c>
      <c r="F1098" s="70" t="s">
        <v>4027</v>
      </c>
      <c r="G1098" s="68" t="s">
        <v>4171</v>
      </c>
      <c r="H1098" s="59"/>
      <c r="I1098" s="69" t="s">
        <v>4172</v>
      </c>
      <c r="J1098" s="69"/>
      <c r="K1098" s="68" t="s">
        <v>11</v>
      </c>
      <c r="L1098" s="69" t="s">
        <v>120</v>
      </c>
      <c r="M1098" s="71" t="s">
        <v>141</v>
      </c>
      <c r="N1098" s="69" t="e" vm="1">
        <v>#VALUE!</v>
      </c>
      <c r="O1098" s="84">
        <v>44939</v>
      </c>
      <c r="P1098" s="82" t="s">
        <v>4173</v>
      </c>
      <c r="Q1098" s="72" t="s">
        <v>316</v>
      </c>
      <c r="R1098" s="162"/>
      <c r="S1098" s="146"/>
      <c r="T1098" s="68" t="s">
        <v>165</v>
      </c>
      <c r="U1098" s="87"/>
      <c r="V1098" s="80">
        <v>44951</v>
      </c>
      <c r="W1098" s="73">
        <v>54064</v>
      </c>
      <c r="X1098" s="73">
        <f>74282*35000/1000000</f>
        <v>2599.87</v>
      </c>
      <c r="Y1098" s="83">
        <f>IF(SUM(W1098:W1098)&gt;0,X1098/SUM(W1098:W1098)*1000000,"N/A")</f>
        <v>48088.7466706126</v>
      </c>
      <c r="Z1098" s="80"/>
      <c r="AA1098" s="80"/>
      <c r="AB1098" s="73"/>
      <c r="AC1098" s="153"/>
      <c r="AD1098" s="331"/>
      <c r="AE1098" s="57"/>
      <c r="AF1098" s="88"/>
      <c r="AG1098" s="182">
        <f>YEAR(V1098)</f>
        <v>2023</v>
      </c>
      <c r="AH1098" s="86" t="str">
        <f>+IF(AE1098=$AJ$22,MONTH(T1098),"")</f>
        <v/>
      </c>
      <c r="AI1098" s="86" t="str">
        <f>+IF(AF1098=$AJ$22,MONTH(U1098),"")</f>
        <v/>
      </c>
      <c r="AJ1098" s="86" t="str">
        <f>+IF(AG1098=$AJ$22,MONTH(V1098),"")</f>
        <v/>
      </c>
      <c r="AK1098" s="86">
        <f>+IF(AG1098=$AK$22,MONTH(V1098),"")</f>
        <v>1</v>
      </c>
      <c r="AL1098" s="86" t="str">
        <f>+IF(AG1098=$AL$22,MONTH(V1098),"")</f>
        <v/>
      </c>
      <c r="AM1098" s="86" t="str">
        <f>+IF($AG1098=$AM$22,MONTH($D1098),"")</f>
        <v/>
      </c>
      <c r="AN1098" s="89" t="str">
        <f>+IF($AG1098=AN$22,MONTH($D1098),"")</f>
        <v/>
      </c>
      <c r="AO1098" s="89" t="str">
        <f>+IF($AG1098=AO$22,MONTH($D1098),"")</f>
        <v/>
      </c>
      <c r="AP1098" s="89" t="str">
        <f>+IF($AG1098=AP$22,MONTH($D1098),"")</f>
        <v/>
      </c>
      <c r="AQ1098" s="89" t="str">
        <f>+IF($AG1098=AQ$22,MONTH($D1098),"")</f>
        <v/>
      </c>
      <c r="AR1098" s="89" t="str">
        <f>+IF($AG1098=AR$22,MONTH($D1098),"")</f>
        <v/>
      </c>
      <c r="AS1098" s="89" t="str">
        <f>+IF($AG1098=AS$22,MONTH($D1098),"")</f>
        <v/>
      </c>
      <c r="AT1098" s="89" t="str">
        <f>+IF($AG1098=AT$22,MONTH($D1098),"")</f>
        <v/>
      </c>
      <c r="AU1098" s="89" t="str">
        <f>+IF($AG1098=AU$22,MONTH($D1098),"")</f>
        <v/>
      </c>
      <c r="AV1098" s="89" t="str">
        <f>+IF($AG1098=AV$22,MONTH($D1098),"")</f>
        <v/>
      </c>
      <c r="AW1098" s="86" t="str">
        <f>+IF($AG1098=AW$22,MONTH($D1098),"")</f>
        <v/>
      </c>
      <c r="AX1098" s="86" t="str">
        <f>+IF($AG1098=AX$22,MONTH($D1098),"")</f>
        <v/>
      </c>
      <c r="AY1098" s="89"/>
      <c r="AZ1098" s="89"/>
      <c r="BA1098" s="89"/>
      <c r="BB1098" s="89"/>
      <c r="BC1098" s="89"/>
      <c r="BD1098" s="89"/>
      <c r="BE1098" s="89"/>
      <c r="BF1098" s="89"/>
      <c r="BG1098" s="89"/>
      <c r="BH1098" s="89"/>
      <c r="BI1098" s="89"/>
      <c r="BJ1098" s="89"/>
      <c r="BK1098" s="89"/>
      <c r="BL1098" s="89"/>
      <c r="BM1098" s="89"/>
      <c r="BN1098" s="89"/>
      <c r="BO1098" s="89"/>
      <c r="BP1098" s="89"/>
    </row>
    <row r="1099" spans="1:68" s="56" customFormat="1" ht="27" hidden="1">
      <c r="A1099" s="204">
        <f>+IFERROR(VALUE(MID(AB1099,4,4)),"")</f>
        <v>314</v>
      </c>
      <c r="B1099" s="204">
        <f>VALUE(RIGHT(C1099,LEN(C1099)-2))</f>
        <v>1624</v>
      </c>
      <c r="C1099" s="74" t="s">
        <v>4174</v>
      </c>
      <c r="D1099" s="75">
        <v>44858</v>
      </c>
      <c r="E1099" s="70" t="s">
        <v>97</v>
      </c>
      <c r="F1099" s="70" t="s">
        <v>100</v>
      </c>
      <c r="G1099" s="68" t="s">
        <v>4175</v>
      </c>
      <c r="H1099" s="59" t="s">
        <v>4176</v>
      </c>
      <c r="I1099" s="69" t="s">
        <v>4177</v>
      </c>
      <c r="J1099" s="69"/>
      <c r="K1099" s="68" t="s">
        <v>25</v>
      </c>
      <c r="L1099" s="69" t="s">
        <v>120</v>
      </c>
      <c r="M1099" s="71" t="s">
        <v>141</v>
      </c>
      <c r="N1099" s="69" t="e" vm="1">
        <v>#VALUE!</v>
      </c>
      <c r="O1099" s="84">
        <v>44860</v>
      </c>
      <c r="P1099" s="72" t="s">
        <v>402</v>
      </c>
      <c r="Q1099" s="82" t="s">
        <v>316</v>
      </c>
      <c r="R1099" s="69"/>
      <c r="S1099" s="146" t="s">
        <v>4178</v>
      </c>
      <c r="T1099" s="68" t="s">
        <v>3</v>
      </c>
      <c r="U1099" s="87"/>
      <c r="V1099" s="80">
        <v>44850</v>
      </c>
      <c r="W1099" s="73">
        <v>835</v>
      </c>
      <c r="X1099" s="214">
        <f>847*34500/1000000</f>
        <v>29.221499999999999</v>
      </c>
      <c r="Y1099" s="83">
        <f>IF(SUM(W1099:W1099)&gt;0,X1099/SUM(W1099:W1099)*1000000,"N/A")</f>
        <v>34995.808383233532</v>
      </c>
      <c r="Z1099" s="80"/>
      <c r="AA1099" s="80"/>
      <c r="AB1099" s="73" t="s">
        <v>4179</v>
      </c>
      <c r="AC1099" s="153"/>
      <c r="AD1099" s="331"/>
      <c r="AE1099" s="57"/>
      <c r="AF1099" s="88"/>
      <c r="AG1099" s="182">
        <f>YEAR(D1099)</f>
        <v>2022</v>
      </c>
      <c r="AH1099" s="86" t="str">
        <f>+IF(AE1099=$AJ$22,MONTH(T1099),"")</f>
        <v/>
      </c>
      <c r="AI1099" s="86" t="str">
        <f>+IF(AF1099=$AJ$22,MONTH(U1099),"")</f>
        <v/>
      </c>
      <c r="AJ1099" s="86" t="str">
        <f>+IF(AG1099=$AJ$22,MONTH(V1099),"")</f>
        <v/>
      </c>
      <c r="AK1099" s="86" t="str">
        <f>+IF(AG1099=$AK$22,MONTH(V1099),"")</f>
        <v/>
      </c>
      <c r="AL1099" s="86">
        <f>+IF(AG1099=$AL$22,MONTH(V1099),"")</f>
        <v>10</v>
      </c>
      <c r="AM1099" s="86" t="str">
        <f>+IF($AG1099=$AM$22,MONTH($D1099),"")</f>
        <v/>
      </c>
      <c r="AN1099" s="89" t="str">
        <f>+IF($AG1099=AN$22,MONTH($D1099),"")</f>
        <v/>
      </c>
      <c r="AO1099" s="89" t="str">
        <f>+IF($AG1099=AO$22,MONTH($D1099),"")</f>
        <v/>
      </c>
      <c r="AP1099" s="89" t="str">
        <f>+IF($AG1099=AP$22,MONTH($D1099),"")</f>
        <v/>
      </c>
      <c r="AQ1099" s="89" t="str">
        <f>+IF($AG1099=AQ$22,MONTH($D1099),"")</f>
        <v/>
      </c>
      <c r="AR1099" s="89" t="str">
        <f>+IF($AG1099=AR$22,MONTH($D1099),"")</f>
        <v/>
      </c>
      <c r="AS1099" s="89" t="str">
        <f>+IF($AG1099=AS$22,MONTH($D1099),"")</f>
        <v/>
      </c>
      <c r="AT1099" s="89" t="str">
        <f>+IF($AG1099=AT$22,MONTH($D1099),"")</f>
        <v/>
      </c>
      <c r="AU1099" s="89" t="str">
        <f>+IF($AG1099=AU$22,MONTH($D1099),"")</f>
        <v/>
      </c>
      <c r="AV1099" s="89" t="str">
        <f>+IF($AG1099=AV$22,MONTH($D1099),"")</f>
        <v/>
      </c>
      <c r="AW1099" s="86" t="str">
        <f>+IF($AG1099=AW$22,MONTH($D1099),"")</f>
        <v/>
      </c>
      <c r="AX1099" s="86" t="str">
        <f>+IF($AG1099=AX$22,MONTH($D1099),"")</f>
        <v/>
      </c>
      <c r="AY1099" s="89"/>
      <c r="AZ1099" s="89"/>
      <c r="BA1099" s="89"/>
      <c r="BB1099" s="89"/>
      <c r="BC1099" s="89"/>
      <c r="BD1099" s="89"/>
      <c r="BE1099" s="89"/>
      <c r="BF1099" s="89"/>
      <c r="BG1099" s="89"/>
      <c r="BH1099" s="89"/>
      <c r="BI1099" s="89"/>
      <c r="BJ1099" s="89"/>
      <c r="BK1099" s="89"/>
      <c r="BL1099" s="89"/>
      <c r="BM1099" s="89"/>
      <c r="BN1099" s="89"/>
      <c r="BO1099" s="89"/>
      <c r="BP1099" s="89"/>
    </row>
    <row r="1100" spans="1:68" s="56" customFormat="1" ht="53.25" hidden="1">
      <c r="A1100" s="204" t="str">
        <f>+IFERROR(VALUE(MID(AB1100,4,4)),"")</f>
        <v/>
      </c>
      <c r="B1100" s="204">
        <f>VALUE(RIGHT(C1100,LEN(C1100)-2))</f>
        <v>1623</v>
      </c>
      <c r="C1100" s="74" t="s">
        <v>4180</v>
      </c>
      <c r="D1100" s="75">
        <v>44858</v>
      </c>
      <c r="E1100" s="70" t="s">
        <v>4114</v>
      </c>
      <c r="F1100" s="70" t="s">
        <v>4114</v>
      </c>
      <c r="G1100" s="68" t="s">
        <v>4181</v>
      </c>
      <c r="H1100" s="59" t="s">
        <v>4182</v>
      </c>
      <c r="I1100" s="69" t="s">
        <v>4183</v>
      </c>
      <c r="J1100" s="69"/>
      <c r="K1100" s="68" t="s">
        <v>13</v>
      </c>
      <c r="L1100" s="69" t="s">
        <v>120</v>
      </c>
      <c r="M1100" s="71" t="s">
        <v>141</v>
      </c>
      <c r="N1100" s="69" t="e" vm="1">
        <v>#VALUE!</v>
      </c>
      <c r="O1100" s="84">
        <v>44862</v>
      </c>
      <c r="P1100" s="72" t="s">
        <v>2779</v>
      </c>
      <c r="Q1100" s="72" t="s">
        <v>316</v>
      </c>
      <c r="R1100" s="162"/>
      <c r="S1100" s="146" t="s">
        <v>4184</v>
      </c>
      <c r="T1100" s="68" t="s">
        <v>155</v>
      </c>
      <c r="U1100" s="90"/>
      <c r="V1100" s="80">
        <v>44942</v>
      </c>
      <c r="W1100" s="73"/>
      <c r="X1100" s="73"/>
      <c r="Y1100" s="83" t="str">
        <f>IF(SUM(W1100:W1100)&gt;0,X1100/SUM(W1100:W1100)*1000000,"N/A")</f>
        <v>N/A</v>
      </c>
      <c r="Z1100" s="80"/>
      <c r="AA1100" s="80"/>
      <c r="AB1100" s="73"/>
      <c r="AC1100" s="153"/>
      <c r="AD1100" s="331"/>
      <c r="AE1100" s="57"/>
      <c r="AF1100" s="147" t="s">
        <v>4185</v>
      </c>
      <c r="AG1100" s="182">
        <f>YEAR(V1100)</f>
        <v>2023</v>
      </c>
      <c r="AH1100" s="86" t="str">
        <f>+IF(AE1100=$AJ$22,MONTH(T1100),"")</f>
        <v/>
      </c>
      <c r="AI1100" s="86" t="str">
        <f>+IF(AF1100=$AJ$22,MONTH(U1100),"")</f>
        <v/>
      </c>
      <c r="AJ1100" s="86" t="str">
        <f>+IF(AG1100=$AJ$22,MONTH(V1100),"")</f>
        <v/>
      </c>
      <c r="AK1100" s="86">
        <f>+IF(AG1100=$AK$22,MONTH(V1100),"")</f>
        <v>1</v>
      </c>
      <c r="AL1100" s="86" t="str">
        <f>+IF(AG1100=$AL$22,MONTH(V1100),"")</f>
        <v/>
      </c>
      <c r="AM1100" s="86" t="str">
        <f>+IF($AG1100=$AM$22,MONTH($D1100),"")</f>
        <v/>
      </c>
      <c r="AN1100" s="89" t="str">
        <f>+IF($AG1100=AN$22,MONTH($D1100),"")</f>
        <v/>
      </c>
      <c r="AO1100" s="89" t="str">
        <f>+IF($AG1100=AO$22,MONTH($D1100),"")</f>
        <v/>
      </c>
      <c r="AP1100" s="89" t="str">
        <f>+IF($AG1100=AP$22,MONTH($D1100),"")</f>
        <v/>
      </c>
      <c r="AQ1100" s="89" t="str">
        <f>+IF($AG1100=AQ$22,MONTH($D1100),"")</f>
        <v/>
      </c>
      <c r="AR1100" s="89" t="str">
        <f>+IF($AG1100=AR$22,MONTH($D1100),"")</f>
        <v/>
      </c>
      <c r="AS1100" s="89" t="str">
        <f>+IF($AG1100=AS$22,MONTH($D1100),"")</f>
        <v/>
      </c>
      <c r="AT1100" s="89" t="str">
        <f>+IF($AG1100=AT$22,MONTH($D1100),"")</f>
        <v/>
      </c>
      <c r="AU1100" s="89" t="str">
        <f>+IF($AG1100=AU$22,MONTH($D1100),"")</f>
        <v/>
      </c>
      <c r="AV1100" s="89" t="str">
        <f>+IF($AG1100=AV$22,MONTH($D1100),"")</f>
        <v/>
      </c>
      <c r="AW1100" s="86" t="str">
        <f>+IF($AG1100=AW$22,MONTH($D1100),"")</f>
        <v/>
      </c>
      <c r="AX1100" s="86" t="str">
        <f>+IF($AG1100=AX$22,MONTH($D1100),"")</f>
        <v/>
      </c>
      <c r="AY1100" s="89"/>
      <c r="AZ1100" s="89"/>
      <c r="BA1100" s="89"/>
      <c r="BB1100" s="89"/>
      <c r="BC1100" s="89"/>
      <c r="BD1100" s="89"/>
      <c r="BE1100" s="89"/>
      <c r="BF1100" s="89"/>
      <c r="BG1100" s="89"/>
      <c r="BH1100" s="89"/>
      <c r="BI1100" s="89"/>
      <c r="BJ1100" s="89"/>
      <c r="BK1100" s="89"/>
      <c r="BL1100" s="89"/>
      <c r="BM1100" s="89"/>
      <c r="BN1100" s="89"/>
      <c r="BO1100" s="89"/>
      <c r="BP1100" s="89"/>
    </row>
    <row r="1101" spans="1:68" s="56" customFormat="1" ht="13.5" hidden="1">
      <c r="A1101" s="204" t="str">
        <f>+IFERROR(VALUE(MID(AB1101,4,4)),"")</f>
        <v/>
      </c>
      <c r="B1101" s="204">
        <f>VALUE(RIGHT(C1101,LEN(C1101)-2))</f>
        <v>1622</v>
      </c>
      <c r="C1101" s="74" t="s">
        <v>4186</v>
      </c>
      <c r="D1101" s="75">
        <v>44854</v>
      </c>
      <c r="E1101" s="70" t="s">
        <v>332</v>
      </c>
      <c r="F1101" s="70" t="s">
        <v>332</v>
      </c>
      <c r="G1101" s="68" t="s">
        <v>3737</v>
      </c>
      <c r="H1101" s="59" t="s">
        <v>3738</v>
      </c>
      <c r="I1101" s="69" t="s">
        <v>4187</v>
      </c>
      <c r="J1101" s="69"/>
      <c r="K1101" s="68" t="s">
        <v>13</v>
      </c>
      <c r="L1101" s="69" t="s">
        <v>129</v>
      </c>
      <c r="M1101" s="71" t="s">
        <v>141</v>
      </c>
      <c r="N1101" s="69" t="e" vm="1">
        <v>#VALUE!</v>
      </c>
      <c r="O1101" s="84">
        <v>44869</v>
      </c>
      <c r="P1101" s="72" t="s">
        <v>285</v>
      </c>
      <c r="Q1101" s="72" t="s">
        <v>837</v>
      </c>
      <c r="R1101" s="162"/>
      <c r="S1101" s="146" t="s">
        <v>4188</v>
      </c>
      <c r="T1101" s="68" t="s">
        <v>165</v>
      </c>
      <c r="U1101" s="90"/>
      <c r="V1101" s="80">
        <v>44895</v>
      </c>
      <c r="W1101" s="73">
        <v>728</v>
      </c>
      <c r="X1101" s="73">
        <f>733*34635/1000000</f>
        <v>25.387454999999999</v>
      </c>
      <c r="Y1101" s="83">
        <f>IF(SUM(W1101:W1101)&gt;0,X1101/SUM(W1101:W1101)*1000000,"N/A")</f>
        <v>34872.877747252751</v>
      </c>
      <c r="Z1101" s="80"/>
      <c r="AA1101" s="80"/>
      <c r="AB1101" s="73"/>
      <c r="AC1101" s="153"/>
      <c r="AD1101" s="331"/>
      <c r="AE1101" s="57"/>
      <c r="AF1101" s="88"/>
      <c r="AG1101" s="182">
        <f>YEAR(D1101)</f>
        <v>2022</v>
      </c>
      <c r="AH1101" s="86" t="str">
        <f>+IF(AE1101=$AJ$22,MONTH(T1101),"")</f>
        <v/>
      </c>
      <c r="AI1101" s="86" t="str">
        <f>+IF(AF1101=$AJ$22,MONTH(U1101),"")</f>
        <v/>
      </c>
      <c r="AJ1101" s="86" t="str">
        <f>+IF(AG1101=$AJ$22,MONTH(V1101),"")</f>
        <v/>
      </c>
      <c r="AK1101" s="86" t="str">
        <f>+IF(AG1101=$AK$22,MONTH(V1101),"")</f>
        <v/>
      </c>
      <c r="AL1101" s="86">
        <f>+IF(AG1101=$AL$22,MONTH(V1101),"")</f>
        <v>11</v>
      </c>
      <c r="AM1101" s="86" t="str">
        <f>+IF($AG1101=$AM$22,MONTH($D1101),"")</f>
        <v/>
      </c>
      <c r="AN1101" s="89" t="str">
        <f>+IF($AG1101=AN$22,MONTH($D1101),"")</f>
        <v/>
      </c>
      <c r="AO1101" s="89" t="str">
        <f>+IF($AG1101=AO$22,MONTH($D1101),"")</f>
        <v/>
      </c>
      <c r="AP1101" s="89" t="str">
        <f>+IF($AG1101=AP$22,MONTH($D1101),"")</f>
        <v/>
      </c>
      <c r="AQ1101" s="89" t="str">
        <f>+IF($AG1101=AQ$22,MONTH($D1101),"")</f>
        <v/>
      </c>
      <c r="AR1101" s="89" t="str">
        <f>+IF($AG1101=AR$22,MONTH($D1101),"")</f>
        <v/>
      </c>
      <c r="AS1101" s="89" t="str">
        <f>+IF($AG1101=AS$22,MONTH($D1101),"")</f>
        <v/>
      </c>
      <c r="AT1101" s="89" t="str">
        <f>+IF($AG1101=AT$22,MONTH($D1101),"")</f>
        <v/>
      </c>
      <c r="AU1101" s="89" t="str">
        <f>+IF($AG1101=AU$22,MONTH($D1101),"")</f>
        <v/>
      </c>
      <c r="AV1101" s="89" t="str">
        <f>+IF($AG1101=AV$22,MONTH($D1101),"")</f>
        <v/>
      </c>
      <c r="AW1101" s="86" t="str">
        <f>+IF($AG1101=AW$22,MONTH($D1101),"")</f>
        <v/>
      </c>
      <c r="AX1101" s="86" t="str">
        <f>+IF($AG1101=AX$22,MONTH($D1101),"")</f>
        <v/>
      </c>
      <c r="AY1101" s="89"/>
      <c r="AZ1101" s="89"/>
      <c r="BA1101" s="89"/>
      <c r="BB1101" s="89"/>
      <c r="BC1101" s="89"/>
      <c r="BD1101" s="89"/>
      <c r="BE1101" s="89"/>
      <c r="BF1101" s="89"/>
      <c r="BG1101" s="89"/>
      <c r="BH1101" s="89"/>
      <c r="BI1101" s="89"/>
      <c r="BJ1101" s="89"/>
      <c r="BK1101" s="89"/>
      <c r="BL1101" s="89"/>
      <c r="BM1101" s="89"/>
      <c r="BN1101" s="89"/>
      <c r="BO1101" s="89"/>
      <c r="BP1101" s="89"/>
    </row>
    <row r="1102" spans="1:68" s="56" customFormat="1" ht="27" hidden="1">
      <c r="A1102" s="204" t="str">
        <f>+IFERROR(VALUE(MID(AB1102,4,4)),"")</f>
        <v/>
      </c>
      <c r="B1102" s="204">
        <f>VALUE(RIGHT(C1102,LEN(C1102)-2))</f>
        <v>1621</v>
      </c>
      <c r="C1102" s="74" t="s">
        <v>4189</v>
      </c>
      <c r="D1102" s="75">
        <v>44855</v>
      </c>
      <c r="E1102" s="70" t="s">
        <v>2638</v>
      </c>
      <c r="F1102" s="70" t="s">
        <v>4083</v>
      </c>
      <c r="G1102" s="68" t="s">
        <v>3617</v>
      </c>
      <c r="H1102" s="111" t="s">
        <v>4190</v>
      </c>
      <c r="I1102" s="69" t="s">
        <v>4086</v>
      </c>
      <c r="J1102" s="69"/>
      <c r="K1102" s="68" t="s">
        <v>13</v>
      </c>
      <c r="L1102" s="69" t="s">
        <v>123</v>
      </c>
      <c r="M1102" s="71" t="s">
        <v>141</v>
      </c>
      <c r="N1102" s="69" t="e" vm="1">
        <v>#VALUE!</v>
      </c>
      <c r="O1102" s="84">
        <v>44890</v>
      </c>
      <c r="P1102" s="72" t="s">
        <v>749</v>
      </c>
      <c r="Q1102" s="72" t="s">
        <v>229</v>
      </c>
      <c r="R1102" s="162"/>
      <c r="S1102" s="146" t="s">
        <v>4087</v>
      </c>
      <c r="T1102" s="68" t="s">
        <v>168</v>
      </c>
      <c r="U1102" s="87">
        <v>0</v>
      </c>
      <c r="V1102" s="80">
        <v>44965</v>
      </c>
      <c r="W1102" s="73">
        <v>19406</v>
      </c>
      <c r="X1102" s="73">
        <f>20184.9*34671/1000000</f>
        <v>699.83066790000009</v>
      </c>
      <c r="Y1102" s="83">
        <f>IF(SUM(W1102:W1102)&gt;0,X1102/SUM(W1102:W1102)*1000000,"N/A")</f>
        <v>36062.592388951874</v>
      </c>
      <c r="Z1102" s="80"/>
      <c r="AA1102" s="80"/>
      <c r="AB1102" s="73"/>
      <c r="AC1102" s="153"/>
      <c r="AD1102" s="331"/>
      <c r="AE1102" s="57"/>
      <c r="AF1102" s="88"/>
      <c r="AG1102" s="182">
        <f>YEAR(D1102)</f>
        <v>2022</v>
      </c>
      <c r="AH1102" s="86" t="str">
        <f>+IF(AE1102=$AJ$22,MONTH(T1102),"")</f>
        <v/>
      </c>
      <c r="AI1102" s="86" t="str">
        <f>+IF(AF1102=$AJ$22,MONTH(U1102),"")</f>
        <v/>
      </c>
      <c r="AJ1102" s="86" t="str">
        <f>+IF(AG1102=$AJ$22,MONTH(V1102),"")</f>
        <v/>
      </c>
      <c r="AK1102" s="86" t="str">
        <f>+IF(AG1102=$AK$22,MONTH(V1102),"")</f>
        <v/>
      </c>
      <c r="AL1102" s="86">
        <f>+IF(AG1102=$AL$22,MONTH(V1102),"")</f>
        <v>2</v>
      </c>
      <c r="AM1102" s="86" t="str">
        <f>+IF($AG1102=$AM$22,MONTH($D1102),"")</f>
        <v/>
      </c>
      <c r="AN1102" s="89" t="str">
        <f>+IF($AG1102=AN$22,MONTH($D1102),"")</f>
        <v/>
      </c>
      <c r="AO1102" s="89" t="str">
        <f>+IF($AG1102=AO$22,MONTH($D1102),"")</f>
        <v/>
      </c>
      <c r="AP1102" s="89" t="str">
        <f>+IF($AG1102=AP$22,MONTH($D1102),"")</f>
        <v/>
      </c>
      <c r="AQ1102" s="89" t="str">
        <f>+IF($AG1102=AQ$22,MONTH($D1102),"")</f>
        <v/>
      </c>
      <c r="AR1102" s="89" t="str">
        <f>+IF($AG1102=AR$22,MONTH($D1102),"")</f>
        <v/>
      </c>
      <c r="AS1102" s="89" t="str">
        <f>+IF($AG1102=AS$22,MONTH($D1102),"")</f>
        <v/>
      </c>
      <c r="AT1102" s="89" t="str">
        <f>+IF($AG1102=AT$22,MONTH($D1102),"")</f>
        <v/>
      </c>
      <c r="AU1102" s="89" t="str">
        <f>+IF($AG1102=AU$22,MONTH($D1102),"")</f>
        <v/>
      </c>
      <c r="AV1102" s="89" t="str">
        <f>+IF($AG1102=AV$22,MONTH($D1102),"")</f>
        <v/>
      </c>
      <c r="AW1102" s="86" t="str">
        <f>+IF($AG1102=AW$22,MONTH($D1102),"")</f>
        <v/>
      </c>
      <c r="AX1102" s="86" t="str">
        <f>+IF($AG1102=AX$22,MONTH($D1102),"")</f>
        <v/>
      </c>
      <c r="AY1102" s="89"/>
      <c r="AZ1102" s="89"/>
      <c r="BA1102" s="89"/>
      <c r="BB1102" s="89"/>
      <c r="BC1102" s="89"/>
      <c r="BD1102" s="89"/>
      <c r="BE1102" s="89"/>
      <c r="BF1102" s="89"/>
      <c r="BG1102" s="89"/>
      <c r="BH1102" s="89"/>
      <c r="BI1102" s="89"/>
      <c r="BJ1102" s="89"/>
      <c r="BK1102" s="89"/>
      <c r="BL1102" s="89"/>
      <c r="BM1102" s="89"/>
      <c r="BN1102" s="89"/>
      <c r="BO1102" s="89"/>
      <c r="BP1102" s="89"/>
    </row>
    <row r="1103" spans="1:68" s="56" customFormat="1" ht="27" hidden="1">
      <c r="A1103" s="204" t="str">
        <f>+IFERROR(VALUE(MID(AB1103,4,4)),"")</f>
        <v/>
      </c>
      <c r="B1103" s="204">
        <f>VALUE(RIGHT(C1103,LEN(C1103)-2))</f>
        <v>1620</v>
      </c>
      <c r="C1103" s="74" t="s">
        <v>4191</v>
      </c>
      <c r="D1103" s="75">
        <v>44855</v>
      </c>
      <c r="E1103" s="70" t="s">
        <v>394</v>
      </c>
      <c r="F1103" s="70" t="s">
        <v>394</v>
      </c>
      <c r="G1103" s="68" t="s">
        <v>4192</v>
      </c>
      <c r="H1103" s="111" t="s">
        <v>4193</v>
      </c>
      <c r="I1103" s="69" t="s">
        <v>4194</v>
      </c>
      <c r="J1103" s="69"/>
      <c r="K1103" s="68" t="s">
        <v>9</v>
      </c>
      <c r="L1103" s="69" t="s">
        <v>120</v>
      </c>
      <c r="M1103" s="71" t="s">
        <v>141</v>
      </c>
      <c r="N1103" s="69" t="e" vm="1">
        <v>#VALUE!</v>
      </c>
      <c r="O1103" s="84">
        <v>44860</v>
      </c>
      <c r="P1103" s="72" t="s">
        <v>2852</v>
      </c>
      <c r="Q1103" s="162" t="s">
        <v>310</v>
      </c>
      <c r="R1103" s="162"/>
      <c r="S1103" s="146" t="s">
        <v>3750</v>
      </c>
      <c r="T1103" s="68" t="s">
        <v>165</v>
      </c>
      <c r="U1103" s="87"/>
      <c r="V1103" s="80">
        <v>44979</v>
      </c>
      <c r="W1103" s="73">
        <v>223</v>
      </c>
      <c r="X1103" s="73">
        <f>350*34500/1000000</f>
        <v>12.074999999999999</v>
      </c>
      <c r="Y1103" s="83">
        <f>IF(SUM(W1103:W1103)&gt;0,X1103/SUM(W1103:W1103)*1000000,"N/A")</f>
        <v>54147.982062780262</v>
      </c>
      <c r="Z1103" s="80"/>
      <c r="AA1103" s="80"/>
      <c r="AB1103" s="73"/>
      <c r="AC1103" s="153"/>
      <c r="AD1103" s="331"/>
      <c r="AE1103" s="57"/>
      <c r="AF1103" s="88"/>
      <c r="AG1103" s="182">
        <f>YEAR(D1103)</f>
        <v>2022</v>
      </c>
      <c r="AH1103" s="86" t="str">
        <f>+IF(AE1103=$AJ$22,MONTH(T1103),"")</f>
        <v/>
      </c>
      <c r="AI1103" s="86" t="str">
        <f>+IF(AF1103=$AJ$22,MONTH(U1103),"")</f>
        <v/>
      </c>
      <c r="AJ1103" s="86" t="str">
        <f>+IF(AG1103=$AJ$22,MONTH(V1103),"")</f>
        <v/>
      </c>
      <c r="AK1103" s="86" t="str">
        <f>+IF(AG1103=$AK$22,MONTH(V1103),"")</f>
        <v/>
      </c>
      <c r="AL1103" s="86">
        <f>+IF(AG1103=$AL$22,MONTH(V1103),"")</f>
        <v>2</v>
      </c>
      <c r="AM1103" s="86" t="str">
        <f>+IF($AG1103=$AM$22,MONTH($D1103),"")</f>
        <v/>
      </c>
      <c r="AN1103" s="89" t="str">
        <f>+IF($AG1103=AN$22,MONTH($D1103),"")</f>
        <v/>
      </c>
      <c r="AO1103" s="89" t="str">
        <f>+IF($AG1103=AO$22,MONTH($D1103),"")</f>
        <v/>
      </c>
      <c r="AP1103" s="89" t="str">
        <f>+IF($AG1103=AP$22,MONTH($D1103),"")</f>
        <v/>
      </c>
      <c r="AQ1103" s="89" t="str">
        <f>+IF($AG1103=AQ$22,MONTH($D1103),"")</f>
        <v/>
      </c>
      <c r="AR1103" s="89" t="str">
        <f>+IF($AG1103=AR$22,MONTH($D1103),"")</f>
        <v/>
      </c>
      <c r="AS1103" s="89" t="str">
        <f>+IF($AG1103=AS$22,MONTH($D1103),"")</f>
        <v/>
      </c>
      <c r="AT1103" s="89" t="str">
        <f>+IF($AG1103=AT$22,MONTH($D1103),"")</f>
        <v/>
      </c>
      <c r="AU1103" s="89" t="str">
        <f>+IF($AG1103=AU$22,MONTH($D1103),"")</f>
        <v/>
      </c>
      <c r="AV1103" s="89" t="str">
        <f>+IF($AG1103=AV$22,MONTH($D1103),"")</f>
        <v/>
      </c>
      <c r="AW1103" s="86" t="str">
        <f>+IF($AG1103=AW$22,MONTH($D1103),"")</f>
        <v/>
      </c>
      <c r="AX1103" s="86" t="str">
        <f>+IF($AG1103=AX$22,MONTH($D1103),"")</f>
        <v/>
      </c>
      <c r="AY1103" s="89"/>
      <c r="AZ1103" s="89"/>
      <c r="BA1103" s="89"/>
      <c r="BB1103" s="89"/>
      <c r="BC1103" s="89"/>
      <c r="BD1103" s="89"/>
      <c r="BE1103" s="89"/>
      <c r="BF1103" s="89"/>
      <c r="BG1103" s="89"/>
      <c r="BH1103" s="89"/>
      <c r="BI1103" s="89"/>
      <c r="BJ1103" s="89"/>
      <c r="BK1103" s="89"/>
      <c r="BL1103" s="89"/>
      <c r="BM1103" s="89"/>
      <c r="BN1103" s="89"/>
      <c r="BO1103" s="89"/>
      <c r="BP1103" s="89"/>
    </row>
    <row r="1104" spans="1:68" s="56" customFormat="1" ht="40.5" hidden="1">
      <c r="A1104" s="204" t="str">
        <f>+IFERROR(VALUE(MID(AB1104,4,4)),"")</f>
        <v/>
      </c>
      <c r="B1104" s="204">
        <f>VALUE(RIGHT(C1104,LEN(C1104)-2))</f>
        <v>1619</v>
      </c>
      <c r="C1104" s="74" t="s">
        <v>4195</v>
      </c>
      <c r="D1104" s="75">
        <v>44854</v>
      </c>
      <c r="E1104" s="70" t="s">
        <v>277</v>
      </c>
      <c r="F1104" s="70" t="s">
        <v>277</v>
      </c>
      <c r="G1104" s="68" t="s">
        <v>2737</v>
      </c>
      <c r="H1104" s="59" t="s">
        <v>4196</v>
      </c>
      <c r="I1104" s="69" t="s">
        <v>4197</v>
      </c>
      <c r="J1104" s="69"/>
      <c r="K1104" s="68" t="s">
        <v>11</v>
      </c>
      <c r="L1104" s="69" t="s">
        <v>123</v>
      </c>
      <c r="M1104" s="71" t="s">
        <v>141</v>
      </c>
      <c r="N1104" s="69" t="e" vm="1">
        <v>#VALUE!</v>
      </c>
      <c r="O1104" s="84">
        <v>44917</v>
      </c>
      <c r="P1104" s="72" t="s">
        <v>4117</v>
      </c>
      <c r="Q1104" s="72" t="s">
        <v>316</v>
      </c>
      <c r="R1104" s="162"/>
      <c r="S1104" s="146" t="s">
        <v>4198</v>
      </c>
      <c r="T1104" s="68" t="s">
        <v>165</v>
      </c>
      <c r="U1104" s="87"/>
      <c r="V1104" s="80">
        <v>44958</v>
      </c>
      <c r="W1104" s="73">
        <v>5891</v>
      </c>
      <c r="X1104" s="73">
        <v>227.7</v>
      </c>
      <c r="Y1104" s="83">
        <f>IF(SUM(W1104:W1104)&gt;0,X1104/SUM(W1104:W1104)*1000000,"N/A")</f>
        <v>38652.18129349855</v>
      </c>
      <c r="Z1104" s="80"/>
      <c r="AA1104" s="80"/>
      <c r="AB1104" s="73"/>
      <c r="AC1104" s="153"/>
      <c r="AD1104" s="331"/>
      <c r="AE1104" s="57"/>
      <c r="AF1104" s="88"/>
      <c r="AG1104" s="182">
        <f>YEAR(V1104)</f>
        <v>2023</v>
      </c>
      <c r="AH1104" s="86" t="str">
        <f>+IF(AE1104=$AJ$22,MONTH(T1104),"")</f>
        <v/>
      </c>
      <c r="AI1104" s="86" t="str">
        <f>+IF(AF1104=$AJ$22,MONTH(U1104),"")</f>
        <v/>
      </c>
      <c r="AJ1104" s="86" t="str">
        <f>+IF(AG1104=$AJ$22,MONTH(V1104),"")</f>
        <v/>
      </c>
      <c r="AK1104" s="86">
        <f>+IF(AG1104=$AK$22,MONTH(V1104),"")</f>
        <v>2</v>
      </c>
      <c r="AL1104" s="86" t="str">
        <f>+IF(AG1104=$AL$22,MONTH(V1104),"")</f>
        <v/>
      </c>
      <c r="AM1104" s="86" t="str">
        <f>+IF($AG1104=$AM$22,MONTH($D1104),"")</f>
        <v/>
      </c>
      <c r="AN1104" s="89" t="str">
        <f>+IF($AG1104=AN$22,MONTH($D1104),"")</f>
        <v/>
      </c>
      <c r="AO1104" s="89" t="str">
        <f>+IF($AG1104=AO$22,MONTH($D1104),"")</f>
        <v/>
      </c>
      <c r="AP1104" s="89" t="str">
        <f>+IF($AG1104=AP$22,MONTH($D1104),"")</f>
        <v/>
      </c>
      <c r="AQ1104" s="89" t="str">
        <f>+IF($AG1104=AQ$22,MONTH($D1104),"")</f>
        <v/>
      </c>
      <c r="AR1104" s="89" t="str">
        <f>+IF($AG1104=AR$22,MONTH($D1104),"")</f>
        <v/>
      </c>
      <c r="AS1104" s="89" t="str">
        <f>+IF($AG1104=AS$22,MONTH($D1104),"")</f>
        <v/>
      </c>
      <c r="AT1104" s="89" t="str">
        <f>+IF($AG1104=AT$22,MONTH($D1104),"")</f>
        <v/>
      </c>
      <c r="AU1104" s="89" t="str">
        <f>+IF($AG1104=AU$22,MONTH($D1104),"")</f>
        <v/>
      </c>
      <c r="AV1104" s="89" t="str">
        <f>+IF($AG1104=AV$22,MONTH($D1104),"")</f>
        <v/>
      </c>
      <c r="AW1104" s="86" t="str">
        <f>+IF($AG1104=AW$22,MONTH($D1104),"")</f>
        <v/>
      </c>
      <c r="AX1104" s="86" t="str">
        <f>+IF($AG1104=AX$22,MONTH($D1104),"")</f>
        <v/>
      </c>
      <c r="AY1104" s="89"/>
      <c r="AZ1104" s="89"/>
      <c r="BA1104" s="89"/>
      <c r="BB1104" s="89"/>
      <c r="BC1104" s="89"/>
      <c r="BD1104" s="89"/>
      <c r="BE1104" s="89"/>
      <c r="BF1104" s="89"/>
      <c r="BG1104" s="89"/>
      <c r="BH1104" s="89"/>
      <c r="BI1104" s="89"/>
      <c r="BJ1104" s="89"/>
      <c r="BK1104" s="89"/>
      <c r="BL1104" s="89"/>
      <c r="BM1104" s="89"/>
      <c r="BN1104" s="89"/>
      <c r="BO1104" s="89"/>
      <c r="BP1104" s="89"/>
    </row>
    <row r="1105" spans="1:68" s="56" customFormat="1" ht="53.25" hidden="1">
      <c r="A1105" s="204" t="str">
        <f>+IFERROR(VALUE(MID(AB1105,4,4)),"")</f>
        <v/>
      </c>
      <c r="B1105" s="204">
        <f>VALUE(RIGHT(C1105,LEN(C1105)-2))</f>
        <v>1618</v>
      </c>
      <c r="C1105" s="74" t="s">
        <v>4199</v>
      </c>
      <c r="D1105" s="75">
        <v>44841</v>
      </c>
      <c r="E1105" s="70" t="s">
        <v>4200</v>
      </c>
      <c r="F1105" s="70" t="s">
        <v>4201</v>
      </c>
      <c r="G1105" s="68" t="s">
        <v>4202</v>
      </c>
      <c r="H1105" s="59" t="s">
        <v>4203</v>
      </c>
      <c r="I1105" s="69" t="s">
        <v>4204</v>
      </c>
      <c r="J1105" s="69"/>
      <c r="K1105" s="95" t="s">
        <v>9</v>
      </c>
      <c r="L1105" s="69" t="s">
        <v>120</v>
      </c>
      <c r="M1105" s="71" t="s">
        <v>141</v>
      </c>
      <c r="N1105" s="69" t="e" vm="1">
        <v>#VALUE!</v>
      </c>
      <c r="O1105" s="84">
        <v>44860</v>
      </c>
      <c r="P1105" s="82" t="s">
        <v>4205</v>
      </c>
      <c r="Q1105" s="82" t="s">
        <v>623</v>
      </c>
      <c r="R1105" s="69"/>
      <c r="S1105" s="146" t="s">
        <v>4206</v>
      </c>
      <c r="T1105" s="68" t="s">
        <v>165</v>
      </c>
      <c r="U1105" s="87"/>
      <c r="V1105" s="80">
        <v>44937</v>
      </c>
      <c r="W1105" s="73">
        <v>3609</v>
      </c>
      <c r="X1105" s="73">
        <v>156</v>
      </c>
      <c r="Y1105" s="83">
        <f>IF(SUM(W1105:W1105)&gt;0,X1105/SUM(W1105:W1105)*1000000,"N/A")</f>
        <v>43225.270157938488</v>
      </c>
      <c r="Z1105" s="80"/>
      <c r="AA1105" s="80"/>
      <c r="AB1105" s="73"/>
      <c r="AC1105" s="153"/>
      <c r="AD1105" s="331"/>
      <c r="AE1105" s="57"/>
      <c r="AF1105" s="88"/>
      <c r="AG1105" s="182">
        <f>YEAR(D1105)</f>
        <v>2022</v>
      </c>
      <c r="AH1105" s="86" t="str">
        <f>+IF(AE1105=$AJ$22,MONTH(T1105),"")</f>
        <v/>
      </c>
      <c r="AI1105" s="86" t="str">
        <f>+IF(AF1105=$AJ$22,MONTH(U1105),"")</f>
        <v/>
      </c>
      <c r="AJ1105" s="86" t="str">
        <f>+IF(AG1105=$AJ$22,MONTH(V1105),"")</f>
        <v/>
      </c>
      <c r="AK1105" s="86" t="str">
        <f>+IF(AG1105=$AK$22,MONTH(V1105),"")</f>
        <v/>
      </c>
      <c r="AL1105" s="86">
        <f>+IF(AG1105=$AL$22,MONTH(V1105),"")</f>
        <v>1</v>
      </c>
      <c r="AM1105" s="86" t="str">
        <f>+IF($AG1105=$AM$22,MONTH($D1105),"")</f>
        <v/>
      </c>
      <c r="AN1105" s="89" t="str">
        <f>+IF($AG1105=AN$22,MONTH($D1105),"")</f>
        <v/>
      </c>
      <c r="AO1105" s="89" t="str">
        <f>+IF($AG1105=AO$22,MONTH($D1105),"")</f>
        <v/>
      </c>
      <c r="AP1105" s="89" t="str">
        <f>+IF($AG1105=AP$22,MONTH($D1105),"")</f>
        <v/>
      </c>
      <c r="AQ1105" s="89" t="str">
        <f>+IF($AG1105=AQ$22,MONTH($D1105),"")</f>
        <v/>
      </c>
      <c r="AR1105" s="89" t="str">
        <f>+IF($AG1105=AR$22,MONTH($D1105),"")</f>
        <v/>
      </c>
      <c r="AS1105" s="89" t="str">
        <f>+IF($AG1105=AS$22,MONTH($D1105),"")</f>
        <v/>
      </c>
      <c r="AT1105" s="89" t="str">
        <f>+IF($AG1105=AT$22,MONTH($D1105),"")</f>
        <v/>
      </c>
      <c r="AU1105" s="89" t="str">
        <f>+IF($AG1105=AU$22,MONTH($D1105),"")</f>
        <v/>
      </c>
      <c r="AV1105" s="89" t="str">
        <f>+IF($AG1105=AV$22,MONTH($D1105),"")</f>
        <v/>
      </c>
      <c r="AW1105" s="86" t="str">
        <f>+IF($AG1105=AW$22,MONTH($D1105),"")</f>
        <v/>
      </c>
      <c r="AX1105" s="86" t="str">
        <f>+IF($AG1105=AX$22,MONTH($D1105),"")</f>
        <v/>
      </c>
      <c r="AY1105" s="89"/>
      <c r="AZ1105" s="89"/>
      <c r="BA1105" s="89"/>
      <c r="BB1105" s="89"/>
      <c r="BC1105" s="89"/>
      <c r="BD1105" s="89"/>
      <c r="BE1105" s="89"/>
      <c r="BF1105" s="89"/>
      <c r="BG1105" s="89"/>
      <c r="BH1105" s="89"/>
      <c r="BI1105" s="89"/>
      <c r="BJ1105" s="182"/>
      <c r="BK1105" s="182"/>
      <c r="BL1105" s="182"/>
      <c r="BM1105" s="182"/>
      <c r="BN1105" s="89"/>
      <c r="BO1105" s="89"/>
      <c r="BP1105" s="89"/>
    </row>
    <row r="1106" spans="1:68" s="51" customFormat="1" ht="13.5" hidden="1">
      <c r="A1106" s="204" t="str">
        <f>+IFERROR(VALUE(MID(AB1106,4,4)),"")</f>
        <v/>
      </c>
      <c r="B1106" s="204">
        <f>VALUE(RIGHT(C1106,LEN(C1106)-2))</f>
        <v>1617</v>
      </c>
      <c r="C1106" s="74" t="s">
        <v>4207</v>
      </c>
      <c r="D1106" s="75">
        <v>44838</v>
      </c>
      <c r="E1106" s="70" t="s">
        <v>53</v>
      </c>
      <c r="F1106" s="70" t="s">
        <v>53</v>
      </c>
      <c r="G1106" s="68" t="s">
        <v>210</v>
      </c>
      <c r="H1106" s="59"/>
      <c r="I1106" s="69" t="s">
        <v>4208</v>
      </c>
      <c r="J1106" s="69"/>
      <c r="K1106" s="68" t="s">
        <v>212</v>
      </c>
      <c r="L1106" s="69" t="s">
        <v>123</v>
      </c>
      <c r="M1106" s="71" t="s">
        <v>141</v>
      </c>
      <c r="N1106" s="69" t="e" vm="1">
        <v>#VALUE!</v>
      </c>
      <c r="O1106" s="84">
        <v>44874</v>
      </c>
      <c r="P1106" s="82" t="s">
        <v>228</v>
      </c>
      <c r="Q1106" s="82" t="s">
        <v>405</v>
      </c>
      <c r="R1106" s="69"/>
      <c r="S1106" s="146" t="s">
        <v>4209</v>
      </c>
      <c r="T1106" s="68" t="s">
        <v>165</v>
      </c>
      <c r="U1106" s="87"/>
      <c r="V1106" s="80">
        <v>44977</v>
      </c>
      <c r="W1106" s="73">
        <f>77548/4</f>
        <v>19387</v>
      </c>
      <c r="X1106" s="73">
        <v>875</v>
      </c>
      <c r="Y1106" s="83">
        <f>IF(SUM(W1106:W1106)&gt;0,X1106/SUM(W1106:W1106)*1000000,"N/A")</f>
        <v>45133.336772063754</v>
      </c>
      <c r="Z1106" s="80"/>
      <c r="AA1106" s="80"/>
      <c r="AB1106" s="73"/>
      <c r="AC1106" s="153"/>
      <c r="AD1106" s="331"/>
      <c r="AE1106" s="57"/>
      <c r="AF1106" s="88"/>
      <c r="AG1106" s="182">
        <f>YEAR(D1106)</f>
        <v>2022</v>
      </c>
      <c r="AH1106" s="86" t="str">
        <f>+IF(AE1106=$AJ$22,MONTH(T1106),"")</f>
        <v/>
      </c>
      <c r="AI1106" s="86" t="str">
        <f>+IF(AF1106=$AJ$22,MONTH(U1106),"")</f>
        <v/>
      </c>
      <c r="AJ1106" s="86" t="str">
        <f>+IF(AG1106=$AJ$22,MONTH(V1106),"")</f>
        <v/>
      </c>
      <c r="AK1106" s="86" t="str">
        <f>+IF(AG1106=$AK$22,MONTH(V1106),"")</f>
        <v/>
      </c>
      <c r="AL1106" s="86">
        <f>+IF(AG1106=$AL$22,MONTH(V1106),"")</f>
        <v>2</v>
      </c>
      <c r="AM1106" s="86" t="str">
        <f>+IF($AG1106=$AM$22,MONTH($D1106),"")</f>
        <v/>
      </c>
      <c r="AN1106" s="89" t="str">
        <f>+IF($AG1106=AN$22,MONTH($D1106),"")</f>
        <v/>
      </c>
      <c r="AO1106" s="89" t="str">
        <f>+IF($AG1106=AO$22,MONTH($D1106),"")</f>
        <v/>
      </c>
      <c r="AP1106" s="89" t="str">
        <f>+IF($AG1106=AP$22,MONTH($D1106),"")</f>
        <v/>
      </c>
      <c r="AQ1106" s="89" t="str">
        <f>+IF($AG1106=AQ$22,MONTH($D1106),"")</f>
        <v/>
      </c>
      <c r="AR1106" s="89" t="str">
        <f>+IF($AG1106=AR$22,MONTH($D1106),"")</f>
        <v/>
      </c>
      <c r="AS1106" s="89" t="str">
        <f>+IF($AG1106=AS$22,MONTH($D1106),"")</f>
        <v/>
      </c>
      <c r="AT1106" s="89" t="str">
        <f>+IF($AG1106=AT$22,MONTH($D1106),"")</f>
        <v/>
      </c>
      <c r="AU1106" s="89" t="str">
        <f>+IF($AG1106=AU$22,MONTH($D1106),"")</f>
        <v/>
      </c>
      <c r="AV1106" s="89" t="str">
        <f>+IF($AG1106=AV$22,MONTH($D1106),"")</f>
        <v/>
      </c>
      <c r="AW1106" s="86" t="str">
        <f>+IF($AG1106=AW$22,MONTH($D1106),"")</f>
        <v/>
      </c>
      <c r="AX1106" s="86" t="str">
        <f>+IF($AG1106=AX$22,MONTH($D1106),"")</f>
        <v/>
      </c>
      <c r="AY1106" s="89"/>
      <c r="AZ1106" s="89"/>
      <c r="BA1106" s="89"/>
      <c r="BB1106" s="89"/>
      <c r="BC1106" s="89"/>
      <c r="BD1106" s="89"/>
      <c r="BE1106" s="89"/>
      <c r="BF1106" s="89"/>
      <c r="BG1106" s="89"/>
      <c r="BH1106" s="89"/>
      <c r="BI1106" s="89"/>
      <c r="BJ1106" s="89"/>
      <c r="BK1106" s="89"/>
      <c r="BL1106" s="89"/>
      <c r="BM1106" s="89"/>
      <c r="BN1106" s="182"/>
      <c r="BO1106" s="182"/>
      <c r="BP1106" s="182"/>
    </row>
    <row r="1107" spans="1:68" s="56" customFormat="1" ht="53.25" hidden="1">
      <c r="A1107" s="204" t="str">
        <f>+IFERROR(VALUE(MID(AB1107,4,4)),"")</f>
        <v/>
      </c>
      <c r="B1107" s="204">
        <f>VALUE(RIGHT(C1107,LEN(C1107)-2))</f>
        <v>1616</v>
      </c>
      <c r="C1107" s="74" t="s">
        <v>4210</v>
      </c>
      <c r="D1107" s="75">
        <v>44841</v>
      </c>
      <c r="E1107" s="70" t="s">
        <v>53</v>
      </c>
      <c r="F1107" s="70" t="s">
        <v>313</v>
      </c>
      <c r="G1107" s="68" t="s">
        <v>210</v>
      </c>
      <c r="H1107" s="59"/>
      <c r="I1107" s="69" t="s">
        <v>4050</v>
      </c>
      <c r="J1107" s="69"/>
      <c r="K1107" s="95" t="s">
        <v>11</v>
      </c>
      <c r="L1107" s="69" t="s">
        <v>123</v>
      </c>
      <c r="M1107" s="71" t="s">
        <v>141</v>
      </c>
      <c r="N1107" s="69" t="e" vm="1">
        <v>#VALUE!</v>
      </c>
      <c r="O1107" s="84">
        <v>44900</v>
      </c>
      <c r="P1107" s="82" t="s">
        <v>228</v>
      </c>
      <c r="Q1107" s="82" t="s">
        <v>229</v>
      </c>
      <c r="R1107" s="69"/>
      <c r="S1107" s="146" t="s">
        <v>4211</v>
      </c>
      <c r="T1107" s="68" t="s">
        <v>155</v>
      </c>
      <c r="U1107" s="87"/>
      <c r="V1107" s="80">
        <v>44845</v>
      </c>
      <c r="W1107" s="73"/>
      <c r="X1107" s="73"/>
      <c r="Y1107" s="83" t="str">
        <f>IF(SUM(W1107:W1107)&gt;0,X1107/SUM(W1107:W1107)*1000000,"N/A")</f>
        <v>N/A</v>
      </c>
      <c r="Z1107" s="80"/>
      <c r="AA1107" s="80"/>
      <c r="AB1107" s="73"/>
      <c r="AC1107" s="153"/>
      <c r="AD1107" s="331"/>
      <c r="AE1107" s="57"/>
      <c r="AF1107" s="88"/>
      <c r="AG1107" s="182">
        <f>YEAR(D1107)</f>
        <v>2022</v>
      </c>
      <c r="AH1107" s="86" t="str">
        <f>+IF(AE1107=$AJ$22,MONTH(T1107),"")</f>
        <v/>
      </c>
      <c r="AI1107" s="86" t="str">
        <f>+IF(AF1107=$AJ$22,MONTH(U1107),"")</f>
        <v/>
      </c>
      <c r="AJ1107" s="86" t="str">
        <f>+IF(AG1107=$AJ$22,MONTH(V1107),"")</f>
        <v/>
      </c>
      <c r="AK1107" s="86" t="str">
        <f>+IF(AG1107=$AK$22,MONTH(V1107),"")</f>
        <v/>
      </c>
      <c r="AL1107" s="86">
        <f>+IF(AG1107=$AL$22,MONTH(V1107),"")</f>
        <v>10</v>
      </c>
      <c r="AM1107" s="86" t="str">
        <f>+IF($AG1107=$AM$22,MONTH($D1107),"")</f>
        <v/>
      </c>
      <c r="AN1107" s="89" t="str">
        <f>+IF($AG1107=AN$22,MONTH($D1107),"")</f>
        <v/>
      </c>
      <c r="AO1107" s="89" t="str">
        <f>+IF($AG1107=AO$22,MONTH($D1107),"")</f>
        <v/>
      </c>
      <c r="AP1107" s="89" t="str">
        <f>+IF($AG1107=AP$22,MONTH($D1107),"")</f>
        <v/>
      </c>
      <c r="AQ1107" s="89" t="str">
        <f>+IF($AG1107=AQ$22,MONTH($D1107),"")</f>
        <v/>
      </c>
      <c r="AR1107" s="89" t="str">
        <f>+IF($AG1107=AR$22,MONTH($D1107),"")</f>
        <v/>
      </c>
      <c r="AS1107" s="89" t="str">
        <f>+IF($AG1107=AS$22,MONTH($D1107),"")</f>
        <v/>
      </c>
      <c r="AT1107" s="89" t="str">
        <f>+IF($AG1107=AT$22,MONTH($D1107),"")</f>
        <v/>
      </c>
      <c r="AU1107" s="89" t="str">
        <f>+IF($AG1107=AU$22,MONTH($D1107),"")</f>
        <v/>
      </c>
      <c r="AV1107" s="89" t="str">
        <f>+IF($AG1107=AV$22,MONTH($D1107),"")</f>
        <v/>
      </c>
      <c r="AW1107" s="86" t="str">
        <f>+IF($AG1107=AW$22,MONTH($D1107),"")</f>
        <v/>
      </c>
      <c r="AX1107" s="86" t="str">
        <f>+IF($AG1107=AX$22,MONTH($D1107),"")</f>
        <v/>
      </c>
      <c r="AY1107" s="89"/>
      <c r="AZ1107" s="89"/>
      <c r="BA1107" s="89"/>
      <c r="BB1107" s="89"/>
      <c r="BC1107" s="89"/>
      <c r="BD1107" s="89"/>
      <c r="BE1107" s="89"/>
      <c r="BF1107" s="89"/>
      <c r="BG1107" s="89"/>
      <c r="BH1107" s="89"/>
      <c r="BI1107" s="89"/>
      <c r="BJ1107" s="89"/>
      <c r="BK1107" s="89"/>
      <c r="BL1107" s="89"/>
      <c r="BM1107" s="89"/>
      <c r="BN1107" s="89"/>
      <c r="BO1107" s="89"/>
      <c r="BP1107" s="89"/>
    </row>
    <row r="1108" spans="1:68" s="56" customFormat="1" ht="27" hidden="1">
      <c r="A1108" s="204">
        <f>+IFERROR(VALUE(MID(AB1108,4,4)),"")</f>
        <v>274</v>
      </c>
      <c r="B1108" s="204">
        <f>VALUE(RIGHT(C1108,LEN(C1108)-2))</f>
        <v>1615</v>
      </c>
      <c r="C1108" s="74" t="s">
        <v>4212</v>
      </c>
      <c r="D1108" s="75">
        <v>44861</v>
      </c>
      <c r="E1108" s="70" t="s">
        <v>1054</v>
      </c>
      <c r="F1108" s="70" t="s">
        <v>252</v>
      </c>
      <c r="G1108" s="68" t="s">
        <v>1055</v>
      </c>
      <c r="H1108" s="59" t="s">
        <v>1056</v>
      </c>
      <c r="I1108" s="69" t="s">
        <v>4213</v>
      </c>
      <c r="J1108" s="69"/>
      <c r="K1108" s="68" t="s">
        <v>18</v>
      </c>
      <c r="L1108" s="69" t="s">
        <v>129</v>
      </c>
      <c r="M1108" s="71" t="s">
        <v>141</v>
      </c>
      <c r="N1108" s="69" t="e" vm="1">
        <v>#VALUE!</v>
      </c>
      <c r="O1108" s="84">
        <v>44901</v>
      </c>
      <c r="P1108" s="72" t="s">
        <v>402</v>
      </c>
      <c r="Q1108" s="72" t="s">
        <v>1097</v>
      </c>
      <c r="R1108" s="162"/>
      <c r="S1108" s="146"/>
      <c r="T1108" s="68" t="s">
        <v>3</v>
      </c>
      <c r="U1108" s="87"/>
      <c r="V1108" s="80">
        <v>44901</v>
      </c>
      <c r="W1108" s="73">
        <v>898</v>
      </c>
      <c r="X1108" s="73">
        <v>24.8</v>
      </c>
      <c r="Y1108" s="83">
        <f>IF(SUM(W1108:W1108)&gt;0,X1108/SUM(W1108:W1108)*1000000,"N/A")</f>
        <v>27616.926503340757</v>
      </c>
      <c r="Z1108" s="80"/>
      <c r="AA1108" s="80"/>
      <c r="AB1108" s="73" t="s">
        <v>4214</v>
      </c>
      <c r="AC1108" s="153"/>
      <c r="AD1108" s="331"/>
      <c r="AE1108" s="57"/>
      <c r="AF1108" s="88"/>
      <c r="AG1108" s="182">
        <f>YEAR(D1108)</f>
        <v>2022</v>
      </c>
      <c r="AH1108" s="86" t="str">
        <f>+IF(AE1108=$AJ$22,MONTH(T1108),"")</f>
        <v/>
      </c>
      <c r="AI1108" s="86" t="str">
        <f>+IF(AF1108=$AJ$22,MONTH(U1108),"")</f>
        <v/>
      </c>
      <c r="AJ1108" s="86" t="str">
        <f>+IF(AG1108=$AJ$22,MONTH(V1108),"")</f>
        <v/>
      </c>
      <c r="AK1108" s="86" t="str">
        <f>+IF(AG1108=$AK$22,MONTH(V1108),"")</f>
        <v/>
      </c>
      <c r="AL1108" s="86">
        <f>+IF(AG1108=$AL$22,MONTH(V1108),"")</f>
        <v>12</v>
      </c>
      <c r="AM1108" s="86" t="str">
        <f>+IF($AG1108=$AM$22,MONTH($D1108),"")</f>
        <v/>
      </c>
      <c r="AN1108" s="89" t="str">
        <f>+IF($AG1108=AN$22,MONTH($D1108),"")</f>
        <v/>
      </c>
      <c r="AO1108" s="89" t="str">
        <f>+IF($AG1108=AO$22,MONTH($D1108),"")</f>
        <v/>
      </c>
      <c r="AP1108" s="89" t="str">
        <f>+IF($AG1108=AP$22,MONTH($D1108),"")</f>
        <v/>
      </c>
      <c r="AQ1108" s="89" t="str">
        <f>+IF($AG1108=AQ$22,MONTH($D1108),"")</f>
        <v/>
      </c>
      <c r="AR1108" s="89" t="str">
        <f>+IF($AG1108=AR$22,MONTH($D1108),"")</f>
        <v/>
      </c>
      <c r="AS1108" s="89" t="str">
        <f>+IF($AG1108=AS$22,MONTH($D1108),"")</f>
        <v/>
      </c>
      <c r="AT1108" s="89" t="str">
        <f>+IF($AG1108=AT$22,MONTH($D1108),"")</f>
        <v/>
      </c>
      <c r="AU1108" s="89" t="str">
        <f>+IF($AG1108=AU$22,MONTH($D1108),"")</f>
        <v/>
      </c>
      <c r="AV1108" s="89" t="str">
        <f>+IF($AG1108=AV$22,MONTH($D1108),"")</f>
        <v/>
      </c>
      <c r="AW1108" s="86" t="str">
        <f>+IF($AG1108=AW$22,MONTH($D1108),"")</f>
        <v/>
      </c>
      <c r="AX1108" s="86" t="str">
        <f>+IF($AG1108=AX$22,MONTH($D1108),"")</f>
        <v/>
      </c>
      <c r="AY1108" s="89"/>
      <c r="AZ1108" s="89"/>
      <c r="BA1108" s="89"/>
      <c r="BB1108" s="89"/>
      <c r="BC1108" s="89"/>
      <c r="BD1108" s="89"/>
      <c r="BE1108" s="89"/>
      <c r="BF1108" s="89"/>
      <c r="BG1108" s="89"/>
      <c r="BH1108" s="89"/>
      <c r="BI1108" s="89"/>
      <c r="BJ1108" s="89"/>
      <c r="BK1108" s="89"/>
      <c r="BL1108" s="89"/>
      <c r="BM1108" s="89"/>
      <c r="BN1108" s="89"/>
      <c r="BO1108" s="89"/>
      <c r="BP1108" s="89"/>
    </row>
    <row r="1109" spans="1:68" s="56" customFormat="1" ht="108" hidden="1">
      <c r="A1109" s="204" t="str">
        <f>+IFERROR(VALUE(MID(AB1109,4,4)),"")</f>
        <v/>
      </c>
      <c r="B1109" s="204">
        <f>VALUE(RIGHT(C1109,LEN(C1109)-2))</f>
        <v>1614</v>
      </c>
      <c r="C1109" s="74" t="s">
        <v>4215</v>
      </c>
      <c r="D1109" s="75">
        <v>44830</v>
      </c>
      <c r="E1109" s="70" t="s">
        <v>332</v>
      </c>
      <c r="F1109" s="70" t="s">
        <v>332</v>
      </c>
      <c r="G1109" s="68" t="s">
        <v>3818</v>
      </c>
      <c r="H1109" s="59" t="s">
        <v>3819</v>
      </c>
      <c r="I1109" s="69" t="s">
        <v>4216</v>
      </c>
      <c r="J1109" s="69"/>
      <c r="K1109" s="68" t="s">
        <v>13</v>
      </c>
      <c r="L1109" s="69" t="s">
        <v>129</v>
      </c>
      <c r="M1109" s="71" t="s">
        <v>141</v>
      </c>
      <c r="N1109" s="69" t="e" vm="1">
        <v>#VALUE!</v>
      </c>
      <c r="O1109" s="84">
        <v>44840</v>
      </c>
      <c r="P1109" s="72" t="s">
        <v>285</v>
      </c>
      <c r="Q1109" s="72" t="s">
        <v>837</v>
      </c>
      <c r="R1109" s="162"/>
      <c r="S1109" s="146" t="s">
        <v>4217</v>
      </c>
      <c r="T1109" s="68" t="s">
        <v>165</v>
      </c>
      <c r="U1109" s="90"/>
      <c r="V1109" s="80">
        <v>44839</v>
      </c>
      <c r="W1109" s="73">
        <v>650</v>
      </c>
      <c r="X1109" s="73">
        <f>720*34400/1000000</f>
        <v>24.768000000000001</v>
      </c>
      <c r="Y1109" s="83">
        <f>IF(SUM(W1109:W1109)&gt;0,X1109/SUM(W1109:W1109)*1000000,"N/A")</f>
        <v>38104.615384615383</v>
      </c>
      <c r="Z1109" s="80"/>
      <c r="AA1109" s="80"/>
      <c r="AB1109" s="73"/>
      <c r="AC1109" s="153"/>
      <c r="AD1109" s="331"/>
      <c r="AE1109" s="57"/>
      <c r="AF1109" s="88" t="s">
        <v>4218</v>
      </c>
      <c r="AG1109" s="182">
        <f>YEAR(D1109)</f>
        <v>2022</v>
      </c>
      <c r="AH1109" s="86" t="str">
        <f>+IF(AE1109=$AJ$22,MONTH(T1109),"")</f>
        <v/>
      </c>
      <c r="AI1109" s="86" t="str">
        <f>+IF(AF1109=$AJ$22,MONTH(U1109),"")</f>
        <v/>
      </c>
      <c r="AJ1109" s="86" t="str">
        <f>+IF(AG1109=$AJ$22,MONTH(V1109),"")</f>
        <v/>
      </c>
      <c r="AK1109" s="86" t="str">
        <f>+IF(AG1109=$AK$22,MONTH(V1109),"")</f>
        <v/>
      </c>
      <c r="AL1109" s="86">
        <f>+IF(AG1109=$AL$22,MONTH(V1109),"")</f>
        <v>10</v>
      </c>
      <c r="AM1109" s="86" t="str">
        <f>+IF($AG1109=$AM$22,MONTH($D1109),"")</f>
        <v/>
      </c>
      <c r="AN1109" s="89" t="str">
        <f>+IF($AG1109=AN$22,MONTH($D1109),"")</f>
        <v/>
      </c>
      <c r="AO1109" s="89" t="str">
        <f>+IF($AG1109=AO$22,MONTH($D1109),"")</f>
        <v/>
      </c>
      <c r="AP1109" s="89" t="str">
        <f>+IF($AG1109=AP$22,MONTH($D1109),"")</f>
        <v/>
      </c>
      <c r="AQ1109" s="89" t="str">
        <f>+IF($AG1109=AQ$22,MONTH($D1109),"")</f>
        <v/>
      </c>
      <c r="AR1109" s="89" t="str">
        <f>+IF($AG1109=AR$22,MONTH($D1109),"")</f>
        <v/>
      </c>
      <c r="AS1109" s="89" t="str">
        <f>+IF($AG1109=AS$22,MONTH($D1109),"")</f>
        <v/>
      </c>
      <c r="AT1109" s="89" t="str">
        <f>+IF($AG1109=AT$22,MONTH($D1109),"")</f>
        <v/>
      </c>
      <c r="AU1109" s="89" t="str">
        <f>+IF($AG1109=AU$22,MONTH($D1109),"")</f>
        <v/>
      </c>
      <c r="AV1109" s="89" t="str">
        <f>+IF($AG1109=AV$22,MONTH($D1109),"")</f>
        <v/>
      </c>
      <c r="AW1109" s="86" t="str">
        <f>+IF($AG1109=AW$22,MONTH($D1109),"")</f>
        <v/>
      </c>
      <c r="AX1109" s="86" t="str">
        <f>+IF($AG1109=AX$22,MONTH($D1109),"")</f>
        <v/>
      </c>
      <c r="AY1109" s="89"/>
      <c r="AZ1109" s="89"/>
      <c r="BA1109" s="89"/>
      <c r="BB1109" s="89"/>
      <c r="BC1109" s="89"/>
      <c r="BD1109" s="89"/>
      <c r="BE1109" s="89"/>
      <c r="BF1109" s="89"/>
      <c r="BG1109" s="89"/>
      <c r="BH1109" s="89"/>
      <c r="BI1109" s="89"/>
      <c r="BJ1109" s="89"/>
      <c r="BK1109" s="89"/>
      <c r="BL1109" s="89"/>
      <c r="BM1109" s="89"/>
      <c r="BN1109" s="89"/>
      <c r="BO1109" s="89"/>
      <c r="BP1109" s="89"/>
    </row>
    <row r="1110" spans="1:68" s="56" customFormat="1" ht="81" hidden="1">
      <c r="A1110" s="204" t="str">
        <f>+IFERROR(VALUE(MID(AB1110,4,4)),"")</f>
        <v/>
      </c>
      <c r="B1110" s="204">
        <f>VALUE(RIGHT(C1110,LEN(C1110)-2))</f>
        <v>1613</v>
      </c>
      <c r="C1110" s="74" t="s">
        <v>4219</v>
      </c>
      <c r="D1110" s="75">
        <v>44838</v>
      </c>
      <c r="E1110" s="70" t="s">
        <v>745</v>
      </c>
      <c r="F1110" s="70" t="s">
        <v>262</v>
      </c>
      <c r="G1110" s="68" t="s">
        <v>4220</v>
      </c>
      <c r="H1110" s="59" t="s">
        <v>4221</v>
      </c>
      <c r="I1110" s="69" t="s">
        <v>4222</v>
      </c>
      <c r="J1110" s="69"/>
      <c r="K1110" s="68" t="s">
        <v>18</v>
      </c>
      <c r="L1110" s="69" t="s">
        <v>120</v>
      </c>
      <c r="M1110" s="71" t="s">
        <v>141</v>
      </c>
      <c r="N1110" s="69" t="e" vm="1">
        <v>#VALUE!</v>
      </c>
      <c r="O1110" s="84">
        <v>44839</v>
      </c>
      <c r="P1110" s="72" t="s">
        <v>402</v>
      </c>
      <c r="Q1110" s="72" t="s">
        <v>1097</v>
      </c>
      <c r="R1110" s="162"/>
      <c r="S1110" s="146" t="s">
        <v>2012</v>
      </c>
      <c r="T1110" s="68" t="s">
        <v>165</v>
      </c>
      <c r="U1110" s="87"/>
      <c r="V1110" s="80">
        <v>44979</v>
      </c>
      <c r="W1110" s="73">
        <v>222</v>
      </c>
      <c r="X1110" s="73">
        <f>336*34300/1000000</f>
        <v>11.524800000000001</v>
      </c>
      <c r="Y1110" s="169">
        <f>IF(SUM(W1110:W1110)&gt;0,X1110/SUM(W1110:W1110)*1000000,"N/A")</f>
        <v>51913.513513513521</v>
      </c>
      <c r="Z1110" s="80"/>
      <c r="AA1110" s="80"/>
      <c r="AB1110" s="73"/>
      <c r="AC1110" s="153"/>
      <c r="AD1110" s="331"/>
      <c r="AE1110" s="57"/>
      <c r="AF1110" s="88" t="s">
        <v>4223</v>
      </c>
      <c r="AG1110" s="182">
        <f>YEAR(D1110)</f>
        <v>2022</v>
      </c>
      <c r="AH1110" s="86" t="str">
        <f>+IF(AE1110=$AJ$22,MONTH(T1110),"")</f>
        <v/>
      </c>
      <c r="AI1110" s="86" t="str">
        <f>+IF(AF1110=$AJ$22,MONTH(U1110),"")</f>
        <v/>
      </c>
      <c r="AJ1110" s="86" t="str">
        <f>+IF(AG1110=$AJ$22,MONTH(V1110),"")</f>
        <v/>
      </c>
      <c r="AK1110" s="86" t="str">
        <f>+IF(AG1110=$AK$22,MONTH(V1110),"")</f>
        <v/>
      </c>
      <c r="AL1110" s="86">
        <f>+IF(AG1110=$AL$22,MONTH(V1110),"")</f>
        <v>2</v>
      </c>
      <c r="AM1110" s="86" t="str">
        <f>+IF($AG1110=$AM$22,MONTH($D1110),"")</f>
        <v/>
      </c>
      <c r="AN1110" s="89" t="str">
        <f>+IF($AG1110=AN$22,MONTH($D1110),"")</f>
        <v/>
      </c>
      <c r="AO1110" s="89" t="str">
        <f>+IF($AG1110=AO$22,MONTH($D1110),"")</f>
        <v/>
      </c>
      <c r="AP1110" s="89" t="str">
        <f>+IF($AG1110=AP$22,MONTH($D1110),"")</f>
        <v/>
      </c>
      <c r="AQ1110" s="89" t="str">
        <f>+IF($AG1110=AQ$22,MONTH($D1110),"")</f>
        <v/>
      </c>
      <c r="AR1110" s="89" t="str">
        <f>+IF($AG1110=AR$22,MONTH($D1110),"")</f>
        <v/>
      </c>
      <c r="AS1110" s="89" t="str">
        <f>+IF($AG1110=AS$22,MONTH($D1110),"")</f>
        <v/>
      </c>
      <c r="AT1110" s="89" t="str">
        <f>+IF($AG1110=AT$22,MONTH($D1110),"")</f>
        <v/>
      </c>
      <c r="AU1110" s="89" t="str">
        <f>+IF($AG1110=AU$22,MONTH($D1110),"")</f>
        <v/>
      </c>
      <c r="AV1110" s="89" t="str">
        <f>+IF($AG1110=AV$22,MONTH($D1110),"")</f>
        <v/>
      </c>
      <c r="AW1110" s="86" t="str">
        <f>+IF($AG1110=AW$22,MONTH($D1110),"")</f>
        <v/>
      </c>
      <c r="AX1110" s="86" t="str">
        <f>+IF($AG1110=AX$22,MONTH($D1110),"")</f>
        <v/>
      </c>
      <c r="AY1110" s="89"/>
      <c r="AZ1110" s="89"/>
      <c r="BA1110" s="89"/>
      <c r="BB1110" s="89"/>
      <c r="BC1110" s="89"/>
      <c r="BD1110" s="89"/>
      <c r="BE1110" s="89"/>
      <c r="BF1110" s="89"/>
      <c r="BG1110" s="89"/>
      <c r="BH1110" s="89"/>
      <c r="BI1110" s="89"/>
      <c r="BJ1110" s="89"/>
      <c r="BK1110" s="89"/>
      <c r="BL1110" s="89"/>
      <c r="BM1110" s="89"/>
      <c r="BN1110" s="89"/>
      <c r="BO1110" s="89"/>
      <c r="BP1110" s="89"/>
    </row>
    <row r="1111" spans="1:68" s="56" customFormat="1" ht="174.75" hidden="1">
      <c r="A1111" s="204" t="str">
        <f>+IFERROR(VALUE(MID(AB1111,4,4)),"")</f>
        <v/>
      </c>
      <c r="B1111" s="204">
        <f>VALUE(RIGHT(C1111,LEN(C1111)-2))</f>
        <v>1612</v>
      </c>
      <c r="C1111" s="74" t="s">
        <v>4224</v>
      </c>
      <c r="D1111" s="75">
        <v>44831</v>
      </c>
      <c r="E1111" s="70" t="s">
        <v>76</v>
      </c>
      <c r="F1111" s="70" t="s">
        <v>262</v>
      </c>
      <c r="G1111" s="68" t="s">
        <v>4225</v>
      </c>
      <c r="H1111" s="59" t="s">
        <v>4226</v>
      </c>
      <c r="I1111" s="69" t="s">
        <v>4227</v>
      </c>
      <c r="J1111" s="69"/>
      <c r="K1111" s="68" t="s">
        <v>27</v>
      </c>
      <c r="L1111" s="69" t="s">
        <v>123</v>
      </c>
      <c r="M1111" s="71" t="s">
        <v>141</v>
      </c>
      <c r="N1111" s="69" t="e" vm="1">
        <v>#VALUE!</v>
      </c>
      <c r="O1111" s="84">
        <v>44883</v>
      </c>
      <c r="P1111" s="72" t="s">
        <v>4134</v>
      </c>
      <c r="Q1111" s="72" t="s">
        <v>1097</v>
      </c>
      <c r="R1111" s="162"/>
      <c r="S1111" s="146" t="s">
        <v>4228</v>
      </c>
      <c r="T1111" s="68" t="s">
        <v>155</v>
      </c>
      <c r="U1111" s="87"/>
      <c r="V1111" s="80">
        <v>44879</v>
      </c>
      <c r="W1111" s="73"/>
      <c r="X1111" s="73"/>
      <c r="Y1111" s="169" t="str">
        <f>IF(SUM(W1111:W1111)&gt;0,X1111/SUM(W1111:W1111)*1000000,"N/A")</f>
        <v>N/A</v>
      </c>
      <c r="Z1111" s="80"/>
      <c r="AA1111" s="80"/>
      <c r="AB1111" s="73"/>
      <c r="AC1111" s="153"/>
      <c r="AD1111" s="331"/>
      <c r="AE1111" s="57"/>
      <c r="AF1111" s="88"/>
      <c r="AG1111" s="182">
        <f>YEAR(D1111)</f>
        <v>2022</v>
      </c>
      <c r="AH1111" s="86" t="str">
        <f>+IF(AE1111=$AJ$22,MONTH(T1111),"")</f>
        <v/>
      </c>
      <c r="AI1111" s="86" t="str">
        <f>+IF(AF1111=$AJ$22,MONTH(U1111),"")</f>
        <v/>
      </c>
      <c r="AJ1111" s="86" t="str">
        <f>+IF(AG1111=$AJ$22,MONTH(V1111),"")</f>
        <v/>
      </c>
      <c r="AK1111" s="86" t="str">
        <f>+IF(AG1111=$AK$22,MONTH(V1111),"")</f>
        <v/>
      </c>
      <c r="AL1111" s="86">
        <f>+IF(AG1111=$AL$22,MONTH(V1111),"")</f>
        <v>11</v>
      </c>
      <c r="AM1111" s="86" t="str">
        <f>+IF($AG1111=$AM$22,MONTH($D1111),"")</f>
        <v/>
      </c>
      <c r="AN1111" s="89" t="str">
        <f>+IF($AG1111=AN$22,MONTH($D1111),"")</f>
        <v/>
      </c>
      <c r="AO1111" s="89" t="str">
        <f>+IF($AG1111=AO$22,MONTH($D1111),"")</f>
        <v/>
      </c>
      <c r="AP1111" s="89" t="str">
        <f>+IF($AG1111=AP$22,MONTH($D1111),"")</f>
        <v/>
      </c>
      <c r="AQ1111" s="89" t="str">
        <f>+IF($AG1111=AQ$22,MONTH($D1111),"")</f>
        <v/>
      </c>
      <c r="AR1111" s="89" t="str">
        <f>+IF($AG1111=AR$22,MONTH($D1111),"")</f>
        <v/>
      </c>
      <c r="AS1111" s="89" t="str">
        <f>+IF($AG1111=AS$22,MONTH($D1111),"")</f>
        <v/>
      </c>
      <c r="AT1111" s="89" t="str">
        <f>+IF($AG1111=AT$22,MONTH($D1111),"")</f>
        <v/>
      </c>
      <c r="AU1111" s="89" t="str">
        <f>+IF($AG1111=AU$22,MONTH($D1111),"")</f>
        <v/>
      </c>
      <c r="AV1111" s="89" t="str">
        <f>+IF($AG1111=AV$22,MONTH($D1111),"")</f>
        <v/>
      </c>
      <c r="AW1111" s="86" t="str">
        <f>+IF($AG1111=AW$22,MONTH($D1111),"")</f>
        <v/>
      </c>
      <c r="AX1111" s="86" t="str">
        <f>+IF($AG1111=AX$22,MONTH($D1111),"")</f>
        <v/>
      </c>
      <c r="AY1111" s="89"/>
      <c r="AZ1111" s="89"/>
      <c r="BA1111" s="89"/>
      <c r="BB1111" s="89"/>
      <c r="BC1111" s="89"/>
      <c r="BD1111" s="89"/>
      <c r="BE1111" s="89"/>
      <c r="BF1111" s="89"/>
      <c r="BG1111" s="89"/>
      <c r="BH1111" s="89"/>
      <c r="BI1111" s="89"/>
      <c r="BJ1111" s="89"/>
      <c r="BK1111" s="89"/>
      <c r="BL1111" s="89"/>
      <c r="BM1111" s="89"/>
      <c r="BN1111" s="89"/>
      <c r="BO1111" s="89"/>
      <c r="BP1111" s="89"/>
    </row>
    <row r="1112" spans="1:68" s="56" customFormat="1" ht="53.25" hidden="1">
      <c r="A1112" s="204" t="str">
        <f>+IFERROR(VALUE(MID(AB1112,4,4)),"")</f>
        <v/>
      </c>
      <c r="B1112" s="204">
        <f>VALUE(RIGHT(C1112,LEN(C1112)-2))</f>
        <v>1611</v>
      </c>
      <c r="C1112" s="74" t="s">
        <v>4229</v>
      </c>
      <c r="D1112" s="75">
        <v>44837</v>
      </c>
      <c r="E1112" s="70" t="s">
        <v>96</v>
      </c>
      <c r="F1112" s="70" t="s">
        <v>96</v>
      </c>
      <c r="G1112" s="68" t="s">
        <v>3356</v>
      </c>
      <c r="H1112" s="59"/>
      <c r="I1112" s="69" t="s">
        <v>4230</v>
      </c>
      <c r="J1112" s="69"/>
      <c r="K1112" s="95" t="s">
        <v>12</v>
      </c>
      <c r="L1112" s="69" t="s">
        <v>120</v>
      </c>
      <c r="M1112" s="71" t="s">
        <v>141</v>
      </c>
      <c r="N1112" s="69" t="e" vm="1">
        <v>#VALUE!</v>
      </c>
      <c r="O1112" s="84">
        <v>44838</v>
      </c>
      <c r="P1112" s="82" t="s">
        <v>402</v>
      </c>
      <c r="Q1112" s="72" t="s">
        <v>1097</v>
      </c>
      <c r="R1112" s="162"/>
      <c r="S1112" s="146" t="s">
        <v>2012</v>
      </c>
      <c r="T1112" s="68" t="s">
        <v>165</v>
      </c>
      <c r="U1112" s="87"/>
      <c r="V1112" s="80">
        <v>44979</v>
      </c>
      <c r="W1112" s="73">
        <v>416</v>
      </c>
      <c r="X1112" s="73">
        <f>515*34400/1000000</f>
        <v>17.716000000000001</v>
      </c>
      <c r="Y1112" s="83">
        <f>IF(SUM(W1112:W1112)&gt;0,X1112/SUM(W1112:W1112)*1000000,"N/A")</f>
        <v>42586.538461538468</v>
      </c>
      <c r="Z1112" s="80"/>
      <c r="AA1112" s="80"/>
      <c r="AB1112" s="73"/>
      <c r="AC1112" s="153"/>
      <c r="AD1112" s="331"/>
      <c r="AE1112" s="57"/>
      <c r="AF1112" s="88" t="s">
        <v>4231</v>
      </c>
      <c r="AG1112" s="182">
        <f>YEAR(D1112)</f>
        <v>2022</v>
      </c>
      <c r="AH1112" s="86" t="str">
        <f>+IF(AE1112=$AJ$22,MONTH(T1112),"")</f>
        <v/>
      </c>
      <c r="AI1112" s="86" t="str">
        <f>+IF(AF1112=$AJ$22,MONTH(U1112),"")</f>
        <v/>
      </c>
      <c r="AJ1112" s="86" t="str">
        <f>+IF(AG1112=$AJ$22,MONTH(V1112),"")</f>
        <v/>
      </c>
      <c r="AK1112" s="86" t="str">
        <f>+IF(AG1112=$AK$22,MONTH(V1112),"")</f>
        <v/>
      </c>
      <c r="AL1112" s="86">
        <f>+IF(AG1112=$AL$22,MONTH(V1112),"")</f>
        <v>2</v>
      </c>
      <c r="AM1112" s="86" t="str">
        <f>+IF($AG1112=$AM$22,MONTH($D1112),"")</f>
        <v/>
      </c>
      <c r="AN1112" s="89" t="str">
        <f>+IF($AG1112=AN$22,MONTH($D1112),"")</f>
        <v/>
      </c>
      <c r="AO1112" s="89" t="str">
        <f>+IF($AG1112=AO$22,MONTH($D1112),"")</f>
        <v/>
      </c>
      <c r="AP1112" s="89" t="str">
        <f>+IF($AG1112=AP$22,MONTH($D1112),"")</f>
        <v/>
      </c>
      <c r="AQ1112" s="89" t="str">
        <f>+IF($AG1112=AQ$22,MONTH($D1112),"")</f>
        <v/>
      </c>
      <c r="AR1112" s="89" t="str">
        <f>+IF($AG1112=AR$22,MONTH($D1112),"")</f>
        <v/>
      </c>
      <c r="AS1112" s="89" t="str">
        <f>+IF($AG1112=AS$22,MONTH($D1112),"")</f>
        <v/>
      </c>
      <c r="AT1112" s="89" t="str">
        <f>+IF($AG1112=AT$22,MONTH($D1112),"")</f>
        <v/>
      </c>
      <c r="AU1112" s="89" t="str">
        <f>+IF($AG1112=AU$22,MONTH($D1112),"")</f>
        <v/>
      </c>
      <c r="AV1112" s="89" t="str">
        <f>+IF($AG1112=AV$22,MONTH($D1112),"")</f>
        <v/>
      </c>
      <c r="AW1112" s="86" t="str">
        <f>+IF($AG1112=AW$22,MONTH($D1112),"")</f>
        <v/>
      </c>
      <c r="AX1112" s="86" t="str">
        <f>+IF($AG1112=AX$22,MONTH($D1112),"")</f>
        <v/>
      </c>
      <c r="AY1112" s="89"/>
      <c r="AZ1112" s="89"/>
      <c r="BA1112" s="89"/>
      <c r="BB1112" s="89"/>
      <c r="BC1112" s="89"/>
      <c r="BD1112" s="89"/>
      <c r="BE1112" s="89"/>
      <c r="BF1112" s="89"/>
      <c r="BG1112" s="89"/>
      <c r="BH1112" s="89"/>
      <c r="BI1112" s="89"/>
      <c r="BJ1112" s="89"/>
      <c r="BK1112" s="89"/>
      <c r="BL1112" s="89"/>
      <c r="BM1112" s="89"/>
      <c r="BN1112" s="89"/>
      <c r="BO1112" s="89"/>
      <c r="BP1112" s="89"/>
    </row>
    <row r="1113" spans="1:68" s="56" customFormat="1" ht="53.25" hidden="1">
      <c r="A1113" s="204" t="str">
        <f>+IFERROR(VALUE(MID(AB1113,4,4)),"")</f>
        <v/>
      </c>
      <c r="B1113" s="204">
        <f>VALUE(RIGHT(C1113,LEN(C1113)-2))</f>
        <v>1610</v>
      </c>
      <c r="C1113" s="74" t="s">
        <v>4232</v>
      </c>
      <c r="D1113" s="75">
        <v>44833</v>
      </c>
      <c r="E1113" s="70" t="s">
        <v>479</v>
      </c>
      <c r="F1113" s="70" t="s">
        <v>479</v>
      </c>
      <c r="G1113" s="68" t="s">
        <v>4233</v>
      </c>
      <c r="H1113" s="59" t="s">
        <v>4234</v>
      </c>
      <c r="I1113" s="69" t="s">
        <v>4235</v>
      </c>
      <c r="J1113" s="69"/>
      <c r="K1113" s="68" t="s">
        <v>13</v>
      </c>
      <c r="L1113" s="69" t="s">
        <v>129</v>
      </c>
      <c r="M1113" s="71" t="s">
        <v>113</v>
      </c>
      <c r="N1113" s="69" t="e" vm="2">
        <v>#VALUE!</v>
      </c>
      <c r="O1113" s="84">
        <v>44837</v>
      </c>
      <c r="P1113" s="72" t="s">
        <v>483</v>
      </c>
      <c r="Q1113" s="72" t="s">
        <v>229</v>
      </c>
      <c r="R1113" s="162"/>
      <c r="S1113" s="146" t="s">
        <v>4130</v>
      </c>
      <c r="T1113" s="68" t="s">
        <v>165</v>
      </c>
      <c r="U1113" s="87"/>
      <c r="V1113" s="80">
        <v>44979</v>
      </c>
      <c r="W1113" s="73">
        <v>3358</v>
      </c>
      <c r="X1113" s="73">
        <v>111.6</v>
      </c>
      <c r="Y1113" s="83">
        <f>IF(SUM(W1113:W1113)&gt;0,X1113/SUM(W1113:W1113)*1000000,"N/A")</f>
        <v>33234.067897558067</v>
      </c>
      <c r="Z1113" s="80"/>
      <c r="AA1113" s="80"/>
      <c r="AB1113" s="73"/>
      <c r="AC1113" s="153"/>
      <c r="AD1113" s="331"/>
      <c r="AE1113" s="57"/>
      <c r="AF1113" s="88" t="s">
        <v>4236</v>
      </c>
      <c r="AG1113" s="182">
        <f>YEAR(D1113)</f>
        <v>2022</v>
      </c>
      <c r="AH1113" s="86" t="str">
        <f>+IF(AE1113=$AJ$22,MONTH(T1113),"")</f>
        <v/>
      </c>
      <c r="AI1113" s="86" t="str">
        <f>+IF(AF1113=$AJ$22,MONTH(U1113),"")</f>
        <v/>
      </c>
      <c r="AJ1113" s="86" t="str">
        <f>+IF(AG1113=$AJ$22,MONTH(V1113),"")</f>
        <v/>
      </c>
      <c r="AK1113" s="86" t="str">
        <f>+IF(AG1113=$AK$22,MONTH(V1113),"")</f>
        <v/>
      </c>
      <c r="AL1113" s="86">
        <f>+IF(AG1113=$AL$22,MONTH(V1113),"")</f>
        <v>2</v>
      </c>
      <c r="AM1113" s="86" t="str">
        <f>+IF($AG1113=$AM$22,MONTH($D1113),"")</f>
        <v/>
      </c>
      <c r="AN1113" s="89" t="str">
        <f>+IF($AG1113=AN$22,MONTH($D1113),"")</f>
        <v/>
      </c>
      <c r="AO1113" s="89" t="str">
        <f>+IF($AG1113=AO$22,MONTH($D1113),"")</f>
        <v/>
      </c>
      <c r="AP1113" s="89" t="str">
        <f>+IF($AG1113=AP$22,MONTH($D1113),"")</f>
        <v/>
      </c>
      <c r="AQ1113" s="89" t="str">
        <f>+IF($AG1113=AQ$22,MONTH($D1113),"")</f>
        <v/>
      </c>
      <c r="AR1113" s="89" t="str">
        <f>+IF($AG1113=AR$22,MONTH($D1113),"")</f>
        <v/>
      </c>
      <c r="AS1113" s="89" t="str">
        <f>+IF($AG1113=AS$22,MONTH($D1113),"")</f>
        <v/>
      </c>
      <c r="AT1113" s="89" t="str">
        <f>+IF($AG1113=AT$22,MONTH($D1113),"")</f>
        <v/>
      </c>
      <c r="AU1113" s="89" t="str">
        <f>+IF($AG1113=AU$22,MONTH($D1113),"")</f>
        <v/>
      </c>
      <c r="AV1113" s="89" t="str">
        <f>+IF($AG1113=AV$22,MONTH($D1113),"")</f>
        <v/>
      </c>
      <c r="AW1113" s="86" t="str">
        <f>+IF($AG1113=AW$22,MONTH($D1113),"")</f>
        <v/>
      </c>
      <c r="AX1113" s="86" t="str">
        <f>+IF($AG1113=AX$22,MONTH($D1113),"")</f>
        <v/>
      </c>
      <c r="AY1113" s="89"/>
      <c r="AZ1113" s="89"/>
      <c r="BA1113" s="89"/>
      <c r="BB1113" s="89"/>
      <c r="BC1113" s="89"/>
      <c r="BD1113" s="89"/>
      <c r="BE1113" s="89"/>
      <c r="BF1113" s="89"/>
      <c r="BG1113" s="89"/>
      <c r="BH1113" s="89"/>
      <c r="BI1113" s="89"/>
      <c r="BJ1113" s="89"/>
      <c r="BK1113" s="89"/>
      <c r="BL1113" s="89"/>
      <c r="BM1113" s="89"/>
      <c r="BN1113" s="89"/>
      <c r="BO1113" s="89"/>
      <c r="BP1113" s="89"/>
    </row>
    <row r="1114" spans="1:68" s="56" customFormat="1" ht="40.5" hidden="1">
      <c r="A1114" s="204" t="str">
        <f>+IFERROR(VALUE(MID(AB1114,4,4)),"")</f>
        <v/>
      </c>
      <c r="B1114" s="204">
        <f>VALUE(RIGHT(C1114,LEN(C1114)-2))</f>
        <v>1609</v>
      </c>
      <c r="C1114" s="74" t="s">
        <v>4237</v>
      </c>
      <c r="D1114" s="75">
        <v>44832</v>
      </c>
      <c r="E1114" s="70" t="s">
        <v>277</v>
      </c>
      <c r="F1114" s="70" t="s">
        <v>277</v>
      </c>
      <c r="G1114" s="68" t="s">
        <v>1781</v>
      </c>
      <c r="H1114" s="59" t="s">
        <v>2413</v>
      </c>
      <c r="I1114" s="69" t="s">
        <v>4238</v>
      </c>
      <c r="J1114" s="69"/>
      <c r="K1114" s="68" t="s">
        <v>13</v>
      </c>
      <c r="L1114" s="69" t="s">
        <v>129</v>
      </c>
      <c r="M1114" s="71" t="s">
        <v>141</v>
      </c>
      <c r="N1114" s="69" t="e" vm="1">
        <v>#VALUE!</v>
      </c>
      <c r="O1114" s="84">
        <v>44840</v>
      </c>
      <c r="P1114" s="72" t="s">
        <v>2852</v>
      </c>
      <c r="Q1114" s="72" t="s">
        <v>259</v>
      </c>
      <c r="R1114" s="162"/>
      <c r="S1114" s="146" t="s">
        <v>4239</v>
      </c>
      <c r="T1114" s="68" t="s">
        <v>165</v>
      </c>
      <c r="U1114" s="87"/>
      <c r="V1114" s="80">
        <v>45303</v>
      </c>
      <c r="W1114" s="73">
        <v>365</v>
      </c>
      <c r="X1114" s="73">
        <v>13</v>
      </c>
      <c r="Y1114" s="83">
        <f>IF(SUM(W1114:W1114)&gt;0,X1114/SUM(W1114:W1114)*1000000,"N/A")</f>
        <v>35616.438356164384</v>
      </c>
      <c r="Z1114" s="80"/>
      <c r="AA1114" s="80"/>
      <c r="AB1114" s="73"/>
      <c r="AC1114" s="153"/>
      <c r="AD1114" s="331"/>
      <c r="AE1114" s="57"/>
      <c r="AF1114" s="88" t="s">
        <v>4240</v>
      </c>
      <c r="AG1114" s="182">
        <f>YEAR(D1114)</f>
        <v>2022</v>
      </c>
      <c r="AH1114" s="86" t="str">
        <f>+IF(AE1114=$AJ$22,MONTH(T1114),"")</f>
        <v/>
      </c>
      <c r="AI1114" s="86" t="str">
        <f>+IF(AF1114=$AJ$22,MONTH(U1114),"")</f>
        <v/>
      </c>
      <c r="AJ1114" s="86" t="str">
        <f>+IF(AG1114=$AJ$22,MONTH(V1114),"")</f>
        <v/>
      </c>
      <c r="AK1114" s="86" t="str">
        <f>+IF(AG1114=$AK$22,MONTH(V1114),"")</f>
        <v/>
      </c>
      <c r="AL1114" s="86">
        <f>+IF(AG1114=$AL$22,MONTH(V1114),"")</f>
        <v>1</v>
      </c>
      <c r="AM1114" s="86" t="str">
        <f>+IF($AG1114=$AM$22,MONTH($D1114),"")</f>
        <v/>
      </c>
      <c r="AN1114" s="89" t="str">
        <f>+IF($AG1114=AN$22,MONTH($D1114),"")</f>
        <v/>
      </c>
      <c r="AO1114" s="89" t="str">
        <f>+IF($AG1114=AO$22,MONTH($D1114),"")</f>
        <v/>
      </c>
      <c r="AP1114" s="89" t="str">
        <f>+IF($AG1114=AP$22,MONTH($D1114),"")</f>
        <v/>
      </c>
      <c r="AQ1114" s="89" t="str">
        <f>+IF($AG1114=AQ$22,MONTH($D1114),"")</f>
        <v/>
      </c>
      <c r="AR1114" s="89" t="str">
        <f>+IF($AG1114=AR$22,MONTH($D1114),"")</f>
        <v/>
      </c>
      <c r="AS1114" s="89" t="str">
        <f>+IF($AG1114=AS$22,MONTH($D1114),"")</f>
        <v/>
      </c>
      <c r="AT1114" s="89" t="str">
        <f>+IF($AG1114=AT$22,MONTH($D1114),"")</f>
        <v/>
      </c>
      <c r="AU1114" s="89" t="str">
        <f>+IF($AG1114=AU$22,MONTH($D1114),"")</f>
        <v/>
      </c>
      <c r="AV1114" s="89" t="str">
        <f>+IF($AG1114=AV$22,MONTH($D1114),"")</f>
        <v/>
      </c>
      <c r="AW1114" s="86" t="str">
        <f>+IF($AG1114=AW$22,MONTH($D1114),"")</f>
        <v/>
      </c>
      <c r="AX1114" s="86" t="str">
        <f>+IF($AG1114=AX$22,MONTH($D1114),"")</f>
        <v/>
      </c>
      <c r="AY1114" s="89"/>
      <c r="AZ1114" s="89"/>
      <c r="BA1114" s="89"/>
      <c r="BB1114" s="89"/>
      <c r="BC1114" s="89"/>
      <c r="BD1114" s="89"/>
      <c r="BE1114" s="89"/>
      <c r="BF1114" s="89"/>
      <c r="BG1114" s="89"/>
      <c r="BH1114" s="89"/>
      <c r="BI1114" s="89"/>
      <c r="BJ1114" s="89"/>
      <c r="BK1114" s="89"/>
      <c r="BL1114" s="89"/>
      <c r="BM1114" s="89"/>
      <c r="BN1114" s="89"/>
      <c r="BO1114" s="89"/>
      <c r="BP1114" s="89"/>
    </row>
    <row r="1115" spans="1:68" s="56" customFormat="1" ht="27" hidden="1">
      <c r="A1115" s="204">
        <f>+IFERROR(VALUE(MID(AB1115,4,4)),"")</f>
        <v>271</v>
      </c>
      <c r="B1115" s="204">
        <f>VALUE(RIGHT(C1115,LEN(C1115)-2))</f>
        <v>1608</v>
      </c>
      <c r="C1115" s="74" t="s">
        <v>4241</v>
      </c>
      <c r="D1115" s="75">
        <v>44832</v>
      </c>
      <c r="E1115" s="70" t="s">
        <v>277</v>
      </c>
      <c r="F1115" s="70" t="s">
        <v>277</v>
      </c>
      <c r="G1115" s="68" t="s">
        <v>1781</v>
      </c>
      <c r="H1115" s="59" t="s">
        <v>2413</v>
      </c>
      <c r="I1115" s="69" t="s">
        <v>4242</v>
      </c>
      <c r="J1115" s="69"/>
      <c r="K1115" s="68" t="s">
        <v>13</v>
      </c>
      <c r="L1115" s="69" t="s">
        <v>129</v>
      </c>
      <c r="M1115" s="71" t="s">
        <v>141</v>
      </c>
      <c r="N1115" s="69" t="e" vm="1">
        <v>#VALUE!</v>
      </c>
      <c r="O1115" s="84">
        <v>44838</v>
      </c>
      <c r="P1115" s="72" t="s">
        <v>2852</v>
      </c>
      <c r="Q1115" s="82" t="s">
        <v>1097</v>
      </c>
      <c r="R1115" s="69"/>
      <c r="S1115" s="146" t="s">
        <v>4188</v>
      </c>
      <c r="T1115" s="68" t="s">
        <v>3</v>
      </c>
      <c r="U1115" s="87"/>
      <c r="V1115" s="80">
        <v>44847</v>
      </c>
      <c r="W1115" s="73">
        <v>866</v>
      </c>
      <c r="X1115" s="73">
        <v>31</v>
      </c>
      <c r="Y1115" s="83">
        <f>IF(SUM(W1115:W1115)&gt;0,X1115/SUM(W1115:W1115)*1000000,"N/A")</f>
        <v>35796.766743648965</v>
      </c>
      <c r="Z1115" s="80"/>
      <c r="AA1115" s="80"/>
      <c r="AB1115" s="73" t="s">
        <v>4243</v>
      </c>
      <c r="AC1115" s="153"/>
      <c r="AD1115" s="331"/>
      <c r="AE1115" s="57"/>
      <c r="AF1115" s="88"/>
      <c r="AG1115" s="182">
        <f>YEAR(D1115)</f>
        <v>2022</v>
      </c>
      <c r="AH1115" s="86" t="str">
        <f>+IF(AE1115=$AJ$22,MONTH(T1115),"")</f>
        <v/>
      </c>
      <c r="AI1115" s="86" t="str">
        <f>+IF(AF1115=$AJ$22,MONTH(U1115),"")</f>
        <v/>
      </c>
      <c r="AJ1115" s="86" t="str">
        <f>+IF(AG1115=$AJ$22,MONTH(V1115),"")</f>
        <v/>
      </c>
      <c r="AK1115" s="86" t="str">
        <f>+IF(AG1115=$AK$22,MONTH(V1115),"")</f>
        <v/>
      </c>
      <c r="AL1115" s="86">
        <f>+IF(AG1115=$AL$22,MONTH(V1115),"")</f>
        <v>10</v>
      </c>
      <c r="AM1115" s="86" t="str">
        <f>+IF($AG1115=$AM$22,MONTH($D1115),"")</f>
        <v/>
      </c>
      <c r="AN1115" s="89" t="str">
        <f>+IF($AG1115=AN$22,MONTH($D1115),"")</f>
        <v/>
      </c>
      <c r="AO1115" s="89" t="str">
        <f>+IF($AG1115=AO$22,MONTH($D1115),"")</f>
        <v/>
      </c>
      <c r="AP1115" s="89" t="str">
        <f>+IF($AG1115=AP$22,MONTH($D1115),"")</f>
        <v/>
      </c>
      <c r="AQ1115" s="89" t="str">
        <f>+IF($AG1115=AQ$22,MONTH($D1115),"")</f>
        <v/>
      </c>
      <c r="AR1115" s="89" t="str">
        <f>+IF($AG1115=AR$22,MONTH($D1115),"")</f>
        <v/>
      </c>
      <c r="AS1115" s="89" t="str">
        <f>+IF($AG1115=AS$22,MONTH($D1115),"")</f>
        <v/>
      </c>
      <c r="AT1115" s="89" t="str">
        <f>+IF($AG1115=AT$22,MONTH($D1115),"")</f>
        <v/>
      </c>
      <c r="AU1115" s="89" t="str">
        <f>+IF($AG1115=AU$22,MONTH($D1115),"")</f>
        <v/>
      </c>
      <c r="AV1115" s="89" t="str">
        <f>+IF($AG1115=AV$22,MONTH($D1115),"")</f>
        <v/>
      </c>
      <c r="AW1115" s="86" t="str">
        <f>+IF($AG1115=AW$22,MONTH($D1115),"")</f>
        <v/>
      </c>
      <c r="AX1115" s="86" t="str">
        <f>+IF($AG1115=AX$22,MONTH($D1115),"")</f>
        <v/>
      </c>
      <c r="AY1115" s="89"/>
      <c r="AZ1115" s="89"/>
      <c r="BA1115" s="89"/>
      <c r="BB1115" s="89"/>
      <c r="BC1115" s="89"/>
      <c r="BD1115" s="89"/>
      <c r="BE1115" s="89"/>
      <c r="BF1115" s="89"/>
      <c r="BG1115" s="89"/>
      <c r="BH1115" s="89"/>
      <c r="BI1115" s="89"/>
      <c r="BJ1115" s="89"/>
      <c r="BK1115" s="89"/>
      <c r="BL1115" s="89"/>
      <c r="BM1115" s="89"/>
      <c r="BN1115" s="89"/>
      <c r="BO1115" s="89"/>
      <c r="BP1115" s="89"/>
    </row>
    <row r="1116" spans="1:68" s="56" customFormat="1" ht="40.5" hidden="1">
      <c r="A1116" s="204" t="str">
        <f>+IFERROR(VALUE(MID(AB1116,4,4)),"")</f>
        <v/>
      </c>
      <c r="B1116" s="204">
        <f>VALUE(RIGHT(C1116,LEN(C1116)-2))</f>
        <v>1607</v>
      </c>
      <c r="C1116" s="74" t="s">
        <v>4244</v>
      </c>
      <c r="D1116" s="75">
        <v>44832</v>
      </c>
      <c r="E1116" s="70" t="s">
        <v>394</v>
      </c>
      <c r="F1116" s="70" t="s">
        <v>394</v>
      </c>
      <c r="G1116" s="68" t="s">
        <v>4192</v>
      </c>
      <c r="H1116" s="111" t="s">
        <v>4193</v>
      </c>
      <c r="I1116" s="69" t="s">
        <v>4245</v>
      </c>
      <c r="J1116" s="69"/>
      <c r="K1116" s="95" t="s">
        <v>13</v>
      </c>
      <c r="L1116" s="69" t="s">
        <v>120</v>
      </c>
      <c r="M1116" s="71" t="s">
        <v>141</v>
      </c>
      <c r="N1116" s="69" t="e" vm="1">
        <v>#VALUE!</v>
      </c>
      <c r="O1116" s="84">
        <v>44839</v>
      </c>
      <c r="P1116" s="82" t="s">
        <v>2852</v>
      </c>
      <c r="Q1116" s="82" t="s">
        <v>316</v>
      </c>
      <c r="R1116" s="69"/>
      <c r="S1116" s="146" t="s">
        <v>4246</v>
      </c>
      <c r="T1116" s="68" t="s">
        <v>165</v>
      </c>
      <c r="U1116" s="90"/>
      <c r="V1116" s="80">
        <v>44979</v>
      </c>
      <c r="W1116" s="73">
        <v>155</v>
      </c>
      <c r="X1116" s="216">
        <f>229*34300/1000000</f>
        <v>7.8547000000000002</v>
      </c>
      <c r="Y1116" s="83">
        <f>IF(SUM(W1116:W1116)&gt;0,X1116/SUM(W1116:W1116)*1000000,"N/A")</f>
        <v>50675.483870967742</v>
      </c>
      <c r="Z1116" s="80"/>
      <c r="AA1116" s="80"/>
      <c r="AB1116" s="73"/>
      <c r="AC1116" s="217"/>
      <c r="AD1116" s="333"/>
      <c r="AE1116" s="112"/>
      <c r="AF1116" s="88" t="s">
        <v>4247</v>
      </c>
      <c r="AG1116" s="182">
        <f>YEAR(D1116)</f>
        <v>2022</v>
      </c>
      <c r="AH1116" s="86" t="str">
        <f>+IF(AE1116=$AJ$22,MONTH(T1116),"")</f>
        <v/>
      </c>
      <c r="AI1116" s="86" t="str">
        <f>+IF(AF1116=$AJ$22,MONTH(U1116),"")</f>
        <v/>
      </c>
      <c r="AJ1116" s="86" t="str">
        <f>+IF(AG1116=$AJ$22,MONTH(V1116),"")</f>
        <v/>
      </c>
      <c r="AK1116" s="86" t="str">
        <f>+IF(AG1116=$AK$22,MONTH(V1116),"")</f>
        <v/>
      </c>
      <c r="AL1116" s="86">
        <f>+IF(AG1116=$AL$22,MONTH(V1116),"")</f>
        <v>2</v>
      </c>
      <c r="AM1116" s="86" t="str">
        <f>+IF($AG1116=$AM$22,MONTH($D1116),"")</f>
        <v/>
      </c>
      <c r="AN1116" s="89" t="str">
        <f>+IF($AG1116=AN$22,MONTH($D1116),"")</f>
        <v/>
      </c>
      <c r="AO1116" s="89" t="str">
        <f>+IF($AG1116=AO$22,MONTH($D1116),"")</f>
        <v/>
      </c>
      <c r="AP1116" s="89" t="str">
        <f>+IF($AG1116=AP$22,MONTH($D1116),"")</f>
        <v/>
      </c>
      <c r="AQ1116" s="89" t="str">
        <f>+IF($AG1116=AQ$22,MONTH($D1116),"")</f>
        <v/>
      </c>
      <c r="AR1116" s="89" t="str">
        <f>+IF($AG1116=AR$22,MONTH($D1116),"")</f>
        <v/>
      </c>
      <c r="AS1116" s="89" t="str">
        <f>+IF($AG1116=AS$22,MONTH($D1116),"")</f>
        <v/>
      </c>
      <c r="AT1116" s="89" t="str">
        <f>+IF($AG1116=AT$22,MONTH($D1116),"")</f>
        <v/>
      </c>
      <c r="AU1116" s="89" t="str">
        <f>+IF($AG1116=AU$22,MONTH($D1116),"")</f>
        <v/>
      </c>
      <c r="AV1116" s="89" t="str">
        <f>+IF($AG1116=AV$22,MONTH($D1116),"")</f>
        <v/>
      </c>
      <c r="AW1116" s="86" t="str">
        <f>+IF($AG1116=AW$22,MONTH($D1116),"")</f>
        <v/>
      </c>
      <c r="AX1116" s="86" t="str">
        <f>+IF($AG1116=AX$22,MONTH($D1116),"")</f>
        <v/>
      </c>
      <c r="AY1116" s="89"/>
      <c r="AZ1116" s="89"/>
      <c r="BA1116" s="89"/>
      <c r="BB1116" s="89"/>
      <c r="BC1116" s="89"/>
      <c r="BD1116" s="89"/>
      <c r="BE1116" s="89"/>
      <c r="BF1116" s="89"/>
      <c r="BG1116" s="89"/>
      <c r="BH1116" s="89"/>
      <c r="BI1116" s="89"/>
      <c r="BJ1116" s="182"/>
      <c r="BK1116" s="182"/>
      <c r="BL1116" s="182"/>
      <c r="BM1116" s="182"/>
      <c r="BN1116" s="89"/>
      <c r="BO1116" s="89"/>
      <c r="BP1116" s="89"/>
    </row>
    <row r="1117" spans="1:68" s="51" customFormat="1" ht="27" hidden="1">
      <c r="A1117" s="204">
        <f>+IFERROR(VALUE(MID(AB1117,4,4)),"")</f>
        <v>336</v>
      </c>
      <c r="B1117" s="204">
        <f>VALUE(RIGHT(C1117,LEN(C1117)-2))</f>
        <v>1606</v>
      </c>
      <c r="C1117" s="74" t="s">
        <v>4248</v>
      </c>
      <c r="D1117" s="75">
        <v>44832</v>
      </c>
      <c r="E1117" s="70" t="s">
        <v>479</v>
      </c>
      <c r="F1117" s="70" t="s">
        <v>479</v>
      </c>
      <c r="G1117" s="68" t="s">
        <v>4124</v>
      </c>
      <c r="H1117" s="59" t="s">
        <v>3571</v>
      </c>
      <c r="I1117" s="69" t="s">
        <v>4249</v>
      </c>
      <c r="J1117" s="69"/>
      <c r="K1117" s="68" t="s">
        <v>13</v>
      </c>
      <c r="L1117" s="69" t="s">
        <v>129</v>
      </c>
      <c r="M1117" s="71" t="s">
        <v>113</v>
      </c>
      <c r="N1117" s="69" t="e" vm="2">
        <v>#VALUE!</v>
      </c>
      <c r="O1117" s="84">
        <v>44998</v>
      </c>
      <c r="P1117" s="72" t="s">
        <v>483</v>
      </c>
      <c r="Q1117" s="72" t="s">
        <v>229</v>
      </c>
      <c r="R1117" s="162"/>
      <c r="S1117" s="146" t="s">
        <v>4250</v>
      </c>
      <c r="T1117" s="68" t="s">
        <v>3</v>
      </c>
      <c r="U1117" s="87"/>
      <c r="V1117" s="80">
        <v>45063</v>
      </c>
      <c r="W1117" s="73">
        <v>6095</v>
      </c>
      <c r="X1117" s="73">
        <v>172</v>
      </c>
      <c r="Y1117" s="83">
        <f>IF(SUM(W1117:W1117)&gt;0,X1117/SUM(W1117:W1117)*1000000,"N/A")</f>
        <v>28219.852337981953</v>
      </c>
      <c r="Z1117" s="80"/>
      <c r="AA1117" s="80"/>
      <c r="AB1117" s="73" t="s">
        <v>4251</v>
      </c>
      <c r="AC1117" s="153"/>
      <c r="AD1117" s="331"/>
      <c r="AE1117" s="57"/>
      <c r="AF1117" s="88"/>
      <c r="AG1117" s="182">
        <f>YEAR(V1117)</f>
        <v>2023</v>
      </c>
      <c r="AH1117" s="86" t="str">
        <f>+IF(AE1117=$AJ$22,MONTH(T1117),"")</f>
        <v/>
      </c>
      <c r="AI1117" s="86" t="str">
        <f>+IF(AF1117=$AJ$22,MONTH(U1117),"")</f>
        <v/>
      </c>
      <c r="AJ1117" s="86" t="str">
        <f>+IF(AG1117=$AJ$22,MONTH(V1117),"")</f>
        <v/>
      </c>
      <c r="AK1117" s="86">
        <f>+IF(AG1117=$AK$22,MONTH(V1117),"")</f>
        <v>5</v>
      </c>
      <c r="AL1117" s="86" t="str">
        <f>+IF(AG1117=$AL$22,MONTH(V1117),"")</f>
        <v/>
      </c>
      <c r="AM1117" s="86" t="str">
        <f>+IF($AG1117=$AM$22,MONTH($D1117),"")</f>
        <v/>
      </c>
      <c r="AN1117" s="89" t="str">
        <f>+IF($AG1117=AN$22,MONTH($D1117),"")</f>
        <v/>
      </c>
      <c r="AO1117" s="89" t="str">
        <f>+IF($AG1117=AO$22,MONTH($D1117),"")</f>
        <v/>
      </c>
      <c r="AP1117" s="89" t="str">
        <f>+IF($AG1117=AP$22,MONTH($D1117),"")</f>
        <v/>
      </c>
      <c r="AQ1117" s="89" t="str">
        <f>+IF($AG1117=AQ$22,MONTH($D1117),"")</f>
        <v/>
      </c>
      <c r="AR1117" s="89" t="str">
        <f>+IF($AG1117=AR$22,MONTH($D1117),"")</f>
        <v/>
      </c>
      <c r="AS1117" s="89" t="str">
        <f>+IF($AG1117=AS$22,MONTH($D1117),"")</f>
        <v/>
      </c>
      <c r="AT1117" s="89" t="str">
        <f>+IF($AG1117=AT$22,MONTH($D1117),"")</f>
        <v/>
      </c>
      <c r="AU1117" s="89" t="str">
        <f>+IF($AG1117=AU$22,MONTH($D1117),"")</f>
        <v/>
      </c>
      <c r="AV1117" s="89" t="str">
        <f>+IF($AG1117=AV$22,MONTH($D1117),"")</f>
        <v/>
      </c>
      <c r="AW1117" s="86" t="str">
        <f>+IF($AG1117=AW$22,MONTH($D1117),"")</f>
        <v/>
      </c>
      <c r="AX1117" s="86" t="str">
        <f>+IF($AG1117=AX$22,MONTH($D1117),"")</f>
        <v/>
      </c>
      <c r="AY1117" s="89"/>
      <c r="AZ1117" s="89"/>
      <c r="BA1117" s="89"/>
      <c r="BB1117" s="89"/>
      <c r="BC1117" s="89"/>
      <c r="BD1117" s="89"/>
      <c r="BE1117" s="89"/>
      <c r="BF1117" s="89"/>
      <c r="BG1117" s="89"/>
      <c r="BH1117" s="89"/>
      <c r="BI1117" s="89"/>
      <c r="BJ1117" s="89"/>
      <c r="BK1117" s="89"/>
      <c r="BL1117" s="89"/>
      <c r="BM1117" s="89"/>
      <c r="BN1117" s="182"/>
      <c r="BO1117" s="182"/>
      <c r="BP1117" s="182"/>
    </row>
    <row r="1118" spans="1:68" s="56" customFormat="1" ht="27" hidden="1">
      <c r="A1118" s="204">
        <f>+IFERROR(VALUE(MID(AB1118,4,4)),"")</f>
        <v>265</v>
      </c>
      <c r="B1118" s="204">
        <f>VALUE(RIGHT(C1118,LEN(C1118)-2))</f>
        <v>1605</v>
      </c>
      <c r="C1118" s="74" t="s">
        <v>4252</v>
      </c>
      <c r="D1118" s="75">
        <v>44830</v>
      </c>
      <c r="E1118" s="70" t="s">
        <v>332</v>
      </c>
      <c r="F1118" s="70" t="s">
        <v>332</v>
      </c>
      <c r="G1118" s="68" t="s">
        <v>3818</v>
      </c>
      <c r="H1118" s="59" t="s">
        <v>3819</v>
      </c>
      <c r="I1118" s="69" t="s">
        <v>4253</v>
      </c>
      <c r="J1118" s="69"/>
      <c r="K1118" s="68" t="s">
        <v>12</v>
      </c>
      <c r="L1118" s="69" t="s">
        <v>129</v>
      </c>
      <c r="M1118" s="71" t="s">
        <v>141</v>
      </c>
      <c r="N1118" s="69" t="e" vm="1">
        <v>#VALUE!</v>
      </c>
      <c r="O1118" s="84">
        <v>44832</v>
      </c>
      <c r="P1118" s="72" t="s">
        <v>285</v>
      </c>
      <c r="Q1118" s="82" t="s">
        <v>316</v>
      </c>
      <c r="R1118" s="69"/>
      <c r="S1118" s="146" t="s">
        <v>4254</v>
      </c>
      <c r="T1118" s="68" t="s">
        <v>3</v>
      </c>
      <c r="U1118" s="90"/>
      <c r="V1118" s="80">
        <v>44837</v>
      </c>
      <c r="W1118" s="73">
        <v>55</v>
      </c>
      <c r="X1118" s="214">
        <f>88*34200/1000000</f>
        <v>3.0095999999999998</v>
      </c>
      <c r="Y1118" s="83">
        <f>IF(SUM(W1118:W1118)&gt;0,X1118/SUM(W1118:W1118)*1000000,"N/A")</f>
        <v>54720</v>
      </c>
      <c r="Z1118" s="80"/>
      <c r="AA1118" s="80"/>
      <c r="AB1118" s="73" t="s">
        <v>4255</v>
      </c>
      <c r="AC1118" s="153"/>
      <c r="AD1118" s="331"/>
      <c r="AE1118" s="57"/>
      <c r="AF1118" s="88"/>
      <c r="AG1118" s="182">
        <f>YEAR(D1118)</f>
        <v>2022</v>
      </c>
      <c r="AH1118" s="86" t="str">
        <f>+IF(AE1118=$AJ$22,MONTH(T1118),"")</f>
        <v/>
      </c>
      <c r="AI1118" s="86" t="str">
        <f>+IF(AF1118=$AJ$22,MONTH(U1118),"")</f>
        <v/>
      </c>
      <c r="AJ1118" s="86" t="str">
        <f>+IF(AG1118=$AJ$22,MONTH(V1118),"")</f>
        <v/>
      </c>
      <c r="AK1118" s="86" t="str">
        <f>+IF(AG1118=$AK$22,MONTH(V1118),"")</f>
        <v/>
      </c>
      <c r="AL1118" s="86">
        <f>+IF(AG1118=$AL$22,MONTH(V1118),"")</f>
        <v>10</v>
      </c>
      <c r="AM1118" s="86" t="str">
        <f>+IF($AG1118=$AM$22,MONTH($D1118),"")</f>
        <v/>
      </c>
      <c r="AN1118" s="89" t="str">
        <f>+IF($AG1118=AN$22,MONTH($D1118),"")</f>
        <v/>
      </c>
      <c r="AO1118" s="89" t="str">
        <f>+IF($AG1118=AO$22,MONTH($D1118),"")</f>
        <v/>
      </c>
      <c r="AP1118" s="89" t="str">
        <f>+IF($AG1118=AP$22,MONTH($D1118),"")</f>
        <v/>
      </c>
      <c r="AQ1118" s="89" t="str">
        <f>+IF($AG1118=AQ$22,MONTH($D1118),"")</f>
        <v/>
      </c>
      <c r="AR1118" s="89" t="str">
        <f>+IF($AG1118=AR$22,MONTH($D1118),"")</f>
        <v/>
      </c>
      <c r="AS1118" s="89" t="str">
        <f>+IF($AG1118=AS$22,MONTH($D1118),"")</f>
        <v/>
      </c>
      <c r="AT1118" s="89" t="str">
        <f>+IF($AG1118=AT$22,MONTH($D1118),"")</f>
        <v/>
      </c>
      <c r="AU1118" s="89" t="str">
        <f>+IF($AG1118=AU$22,MONTH($D1118),"")</f>
        <v/>
      </c>
      <c r="AV1118" s="89" t="str">
        <f>+IF($AG1118=AV$22,MONTH($D1118),"")</f>
        <v/>
      </c>
      <c r="AW1118" s="86" t="str">
        <f>+IF($AG1118=AW$22,MONTH($D1118),"")</f>
        <v/>
      </c>
      <c r="AX1118" s="86" t="str">
        <f>+IF($AG1118=AX$22,MONTH($D1118),"")</f>
        <v/>
      </c>
      <c r="AY1118" s="89"/>
      <c r="AZ1118" s="89"/>
      <c r="BA1118" s="89"/>
      <c r="BB1118" s="89"/>
      <c r="BC1118" s="89"/>
      <c r="BD1118" s="89"/>
      <c r="BE1118" s="89"/>
      <c r="BF1118" s="89"/>
      <c r="BG1118" s="89"/>
      <c r="BH1118" s="89"/>
      <c r="BI1118" s="89"/>
      <c r="BJ1118" s="89"/>
      <c r="BK1118" s="89"/>
      <c r="BL1118" s="89"/>
      <c r="BM1118" s="89"/>
      <c r="BN1118" s="89"/>
      <c r="BO1118" s="89"/>
      <c r="BP1118" s="89"/>
    </row>
    <row r="1119" spans="1:68" s="56" customFormat="1" ht="94.5" hidden="1">
      <c r="A1119" s="204" t="str">
        <f>+IFERROR(VALUE(MID(AB1119,4,4)),"")</f>
        <v/>
      </c>
      <c r="B1119" s="204">
        <f>VALUE(RIGHT(C1119,LEN(C1119)-2))</f>
        <v>1604</v>
      </c>
      <c r="C1119" s="74" t="s">
        <v>4256</v>
      </c>
      <c r="D1119" s="75">
        <v>44830</v>
      </c>
      <c r="E1119" s="70" t="s">
        <v>223</v>
      </c>
      <c r="F1119" s="70" t="s">
        <v>223</v>
      </c>
      <c r="G1119" s="68" t="s">
        <v>3762</v>
      </c>
      <c r="H1119" s="59" t="s">
        <v>4257</v>
      </c>
      <c r="I1119" s="69" t="s">
        <v>4258</v>
      </c>
      <c r="J1119" s="69"/>
      <c r="K1119" s="95" t="s">
        <v>11</v>
      </c>
      <c r="L1119" s="69" t="s">
        <v>123</v>
      </c>
      <c r="M1119" s="71" t="s">
        <v>141</v>
      </c>
      <c r="N1119" s="69" t="e" vm="1">
        <v>#VALUE!</v>
      </c>
      <c r="O1119" s="84">
        <v>44839</v>
      </c>
      <c r="P1119" s="82" t="s">
        <v>228</v>
      </c>
      <c r="Q1119" s="82" t="s">
        <v>229</v>
      </c>
      <c r="R1119" s="69"/>
      <c r="S1119" s="146"/>
      <c r="T1119" s="68" t="s">
        <v>165</v>
      </c>
      <c r="U1119" s="87"/>
      <c r="V1119" s="80">
        <v>44867</v>
      </c>
      <c r="W1119" s="73">
        <v>2464</v>
      </c>
      <c r="X1119" s="73">
        <v>103</v>
      </c>
      <c r="Y1119" s="83">
        <f>IF(SUM(W1119:W1119)&gt;0,X1119/SUM(W1119:W1119)*1000000,"N/A")</f>
        <v>41801.948051948049</v>
      </c>
      <c r="Z1119" s="80"/>
      <c r="AA1119" s="80"/>
      <c r="AB1119" s="73"/>
      <c r="AC1119" s="153"/>
      <c r="AD1119" s="331"/>
      <c r="AE1119" s="57"/>
      <c r="AF1119" s="88" t="s">
        <v>4259</v>
      </c>
      <c r="AG1119" s="182">
        <f>YEAR(D1119)</f>
        <v>2022</v>
      </c>
      <c r="AH1119" s="86" t="str">
        <f>+IF(AE1119=$AJ$22,MONTH(T1119),"")</f>
        <v/>
      </c>
      <c r="AI1119" s="86" t="str">
        <f>+IF(AF1119=$AJ$22,MONTH(U1119),"")</f>
        <v/>
      </c>
      <c r="AJ1119" s="86" t="str">
        <f>+IF(AG1119=$AJ$22,MONTH(V1119),"")</f>
        <v/>
      </c>
      <c r="AK1119" s="86" t="str">
        <f>+IF(AG1119=$AK$22,MONTH(V1119),"")</f>
        <v/>
      </c>
      <c r="AL1119" s="86">
        <f>+IF(AG1119=$AL$22,MONTH(V1119),"")</f>
        <v>11</v>
      </c>
      <c r="AM1119" s="86" t="str">
        <f>+IF($AG1119=$AM$22,MONTH($D1119),"")</f>
        <v/>
      </c>
      <c r="AN1119" s="89" t="str">
        <f>+IF($AG1119=AN$22,MONTH($D1119),"")</f>
        <v/>
      </c>
      <c r="AO1119" s="89" t="str">
        <f>+IF($AG1119=AO$22,MONTH($D1119),"")</f>
        <v/>
      </c>
      <c r="AP1119" s="89" t="str">
        <f>+IF($AG1119=AP$22,MONTH($D1119),"")</f>
        <v/>
      </c>
      <c r="AQ1119" s="89" t="str">
        <f>+IF($AG1119=AQ$22,MONTH($D1119),"")</f>
        <v/>
      </c>
      <c r="AR1119" s="89" t="str">
        <f>+IF($AG1119=AR$22,MONTH($D1119),"")</f>
        <v/>
      </c>
      <c r="AS1119" s="89" t="str">
        <f>+IF($AG1119=AS$22,MONTH($D1119),"")</f>
        <v/>
      </c>
      <c r="AT1119" s="89" t="str">
        <f>+IF($AG1119=AT$22,MONTH($D1119),"")</f>
        <v/>
      </c>
      <c r="AU1119" s="89" t="str">
        <f>+IF($AG1119=AU$22,MONTH($D1119),"")</f>
        <v/>
      </c>
      <c r="AV1119" s="89" t="str">
        <f>+IF($AG1119=AV$22,MONTH($D1119),"")</f>
        <v/>
      </c>
      <c r="AW1119" s="86" t="str">
        <f>+IF($AG1119=AW$22,MONTH($D1119),"")</f>
        <v/>
      </c>
      <c r="AX1119" s="86" t="str">
        <f>+IF($AG1119=AX$22,MONTH($D1119),"")</f>
        <v/>
      </c>
      <c r="AY1119" s="89"/>
      <c r="AZ1119" s="89"/>
      <c r="BA1119" s="89"/>
      <c r="BB1119" s="89"/>
      <c r="BC1119" s="89"/>
      <c r="BD1119" s="89"/>
      <c r="BE1119" s="89"/>
      <c r="BF1119" s="89"/>
      <c r="BG1119" s="89"/>
      <c r="BH1119" s="89"/>
      <c r="BI1119" s="89"/>
      <c r="BJ1119" s="89"/>
      <c r="BK1119" s="89"/>
      <c r="BL1119" s="89"/>
      <c r="BM1119" s="89"/>
      <c r="BN1119" s="89"/>
      <c r="BO1119" s="89"/>
      <c r="BP1119" s="89"/>
    </row>
    <row r="1120" spans="1:68" s="56" customFormat="1" ht="53.25" hidden="1">
      <c r="A1120" s="204" t="str">
        <f>+IFERROR(VALUE(MID(AB1120,4,4)),"")</f>
        <v/>
      </c>
      <c r="B1120" s="204">
        <f>VALUE(RIGHT(C1120,LEN(C1120)-2))</f>
        <v>1603</v>
      </c>
      <c r="C1120" s="74" t="s">
        <v>4260</v>
      </c>
      <c r="D1120" s="75">
        <v>44830</v>
      </c>
      <c r="E1120" s="70" t="s">
        <v>479</v>
      </c>
      <c r="F1120" s="70" t="s">
        <v>479</v>
      </c>
      <c r="G1120" s="68" t="s">
        <v>3886</v>
      </c>
      <c r="H1120" s="59" t="s">
        <v>4261</v>
      </c>
      <c r="I1120" s="69" t="s">
        <v>4262</v>
      </c>
      <c r="J1120" s="69"/>
      <c r="K1120" s="68" t="s">
        <v>3286</v>
      </c>
      <c r="L1120" s="69" t="s">
        <v>129</v>
      </c>
      <c r="M1120" s="71" t="s">
        <v>113</v>
      </c>
      <c r="N1120" s="69" t="e" vm="2">
        <v>#VALUE!</v>
      </c>
      <c r="O1120" s="84">
        <v>44831</v>
      </c>
      <c r="P1120" s="72" t="s">
        <v>483</v>
      </c>
      <c r="Q1120" s="72" t="s">
        <v>316</v>
      </c>
      <c r="R1120" s="162"/>
      <c r="S1120" s="146" t="s">
        <v>4263</v>
      </c>
      <c r="T1120" s="68" t="s">
        <v>168</v>
      </c>
      <c r="U1120" s="87"/>
      <c r="V1120" s="80">
        <v>44881</v>
      </c>
      <c r="W1120" s="73">
        <v>4716</v>
      </c>
      <c r="X1120" s="73">
        <v>160</v>
      </c>
      <c r="Y1120" s="83">
        <f>IF(SUM(W1120:W1120)&gt;0,X1120/SUM(W1120:W1120)*1000000,"N/A")</f>
        <v>33927.056827820183</v>
      </c>
      <c r="Z1120" s="80"/>
      <c r="AA1120" s="80"/>
      <c r="AB1120" s="73"/>
      <c r="AC1120" s="153"/>
      <c r="AD1120" s="331"/>
      <c r="AE1120" s="57"/>
      <c r="AF1120" s="88" t="s">
        <v>4236</v>
      </c>
      <c r="AG1120" s="182">
        <f>YEAR(D1120)</f>
        <v>2022</v>
      </c>
      <c r="AH1120" s="86" t="str">
        <f>+IF(AE1120=$AJ$22,MONTH(T1120),"")</f>
        <v/>
      </c>
      <c r="AI1120" s="86" t="str">
        <f>+IF(AF1120=$AJ$22,MONTH(U1120),"")</f>
        <v/>
      </c>
      <c r="AJ1120" s="86" t="str">
        <f>+IF(AG1120=$AJ$22,MONTH(V1120),"")</f>
        <v/>
      </c>
      <c r="AK1120" s="86" t="str">
        <f>+IF(AG1120=$AK$22,MONTH(V1120),"")</f>
        <v/>
      </c>
      <c r="AL1120" s="86">
        <f>+IF(AG1120=$AL$22,MONTH(V1120),"")</f>
        <v>11</v>
      </c>
      <c r="AM1120" s="86" t="str">
        <f>+IF($AG1120=$AM$22,MONTH($D1120),"")</f>
        <v/>
      </c>
      <c r="AN1120" s="89" t="str">
        <f>+IF($AG1120=AN$22,MONTH($D1120),"")</f>
        <v/>
      </c>
      <c r="AO1120" s="89" t="str">
        <f>+IF($AG1120=AO$22,MONTH($D1120),"")</f>
        <v/>
      </c>
      <c r="AP1120" s="89" t="str">
        <f>+IF($AG1120=AP$22,MONTH($D1120),"")</f>
        <v/>
      </c>
      <c r="AQ1120" s="89" t="str">
        <f>+IF($AG1120=AQ$22,MONTH($D1120),"")</f>
        <v/>
      </c>
      <c r="AR1120" s="89" t="str">
        <f>+IF($AG1120=AR$22,MONTH($D1120),"")</f>
        <v/>
      </c>
      <c r="AS1120" s="89" t="str">
        <f>+IF($AG1120=AS$22,MONTH($D1120),"")</f>
        <v/>
      </c>
      <c r="AT1120" s="89" t="str">
        <f>+IF($AG1120=AT$22,MONTH($D1120),"")</f>
        <v/>
      </c>
      <c r="AU1120" s="89" t="str">
        <f>+IF($AG1120=AU$22,MONTH($D1120),"")</f>
        <v/>
      </c>
      <c r="AV1120" s="89" t="str">
        <f>+IF($AG1120=AV$22,MONTH($D1120),"")</f>
        <v/>
      </c>
      <c r="AW1120" s="86" t="str">
        <f>+IF($AG1120=AW$22,MONTH($D1120),"")</f>
        <v/>
      </c>
      <c r="AX1120" s="86" t="str">
        <f>+IF($AG1120=AX$22,MONTH($D1120),"")</f>
        <v/>
      </c>
      <c r="AY1120" s="89"/>
      <c r="AZ1120" s="89"/>
      <c r="BA1120" s="89"/>
      <c r="BB1120" s="89"/>
      <c r="BC1120" s="89"/>
      <c r="BD1120" s="89"/>
      <c r="BE1120" s="89"/>
      <c r="BF1120" s="89"/>
      <c r="BG1120" s="89"/>
      <c r="BH1120" s="89"/>
      <c r="BI1120" s="89"/>
      <c r="BJ1120" s="89"/>
      <c r="BK1120" s="89"/>
      <c r="BL1120" s="89"/>
      <c r="BM1120" s="89"/>
      <c r="BN1120" s="89"/>
      <c r="BO1120" s="89"/>
      <c r="BP1120" s="89"/>
    </row>
    <row r="1121" spans="1:68" s="56" customFormat="1" ht="27" hidden="1">
      <c r="A1121" s="204">
        <f>+IFERROR(VALUE(MID(AB1121,4,4)),"")</f>
        <v>276</v>
      </c>
      <c r="B1121" s="204">
        <f>VALUE(RIGHT(C1121,LEN(C1121)-2))</f>
        <v>1602</v>
      </c>
      <c r="C1121" s="74" t="s">
        <v>4264</v>
      </c>
      <c r="D1121" s="75">
        <v>44830</v>
      </c>
      <c r="E1121" s="70" t="s">
        <v>394</v>
      </c>
      <c r="F1121" s="70" t="s">
        <v>394</v>
      </c>
      <c r="G1121" s="68" t="s">
        <v>4265</v>
      </c>
      <c r="H1121" s="59" t="s">
        <v>4266</v>
      </c>
      <c r="I1121" s="69" t="s">
        <v>4267</v>
      </c>
      <c r="J1121" s="69"/>
      <c r="K1121" s="68" t="s">
        <v>33</v>
      </c>
      <c r="L1121" s="69" t="s">
        <v>120</v>
      </c>
      <c r="M1121" s="71" t="s">
        <v>141</v>
      </c>
      <c r="N1121" s="69" t="e" vm="1">
        <v>#VALUE!</v>
      </c>
      <c r="O1121" s="84">
        <v>44830</v>
      </c>
      <c r="P1121" s="72" t="s">
        <v>402</v>
      </c>
      <c r="Q1121" s="72" t="s">
        <v>623</v>
      </c>
      <c r="R1121" s="162"/>
      <c r="S1121" s="146"/>
      <c r="T1121" s="68" t="s">
        <v>3</v>
      </c>
      <c r="U1121" s="87"/>
      <c r="V1121" s="80">
        <v>44830</v>
      </c>
      <c r="W1121" s="73">
        <v>1250</v>
      </c>
      <c r="X1121" s="73">
        <v>49.7</v>
      </c>
      <c r="Y1121" s="83">
        <f>IF(SUM(W1121:W1121)&gt;0,X1121/SUM(W1121:W1121)*1000000,"N/A")</f>
        <v>39760.000000000007</v>
      </c>
      <c r="Z1121" s="80"/>
      <c r="AA1121" s="80"/>
      <c r="AB1121" s="73" t="s">
        <v>4268</v>
      </c>
      <c r="AC1121" s="153"/>
      <c r="AD1121" s="331"/>
      <c r="AE1121" s="57"/>
      <c r="AF1121" s="88"/>
      <c r="AG1121" s="182">
        <f>YEAR(D1121)</f>
        <v>2022</v>
      </c>
      <c r="AH1121" s="86" t="str">
        <f>+IF(AE1121=$AJ$22,MONTH(T1121),"")</f>
        <v/>
      </c>
      <c r="AI1121" s="86" t="str">
        <f>+IF(AF1121=$AJ$22,MONTH(U1121),"")</f>
        <v/>
      </c>
      <c r="AJ1121" s="86" t="str">
        <f>+IF(AG1121=$AJ$22,MONTH(V1121),"")</f>
        <v/>
      </c>
      <c r="AK1121" s="86" t="str">
        <f>+IF(AG1121=$AK$22,MONTH(V1121),"")</f>
        <v/>
      </c>
      <c r="AL1121" s="86">
        <f>+IF(AG1121=$AL$22,MONTH(V1121),"")</f>
        <v>9</v>
      </c>
      <c r="AM1121" s="86" t="str">
        <f>+IF($AG1121=$AM$22,MONTH($D1121),"")</f>
        <v/>
      </c>
      <c r="AN1121" s="89" t="str">
        <f>+IF($AG1121=AN$22,MONTH($D1121),"")</f>
        <v/>
      </c>
      <c r="AO1121" s="89" t="str">
        <f>+IF($AG1121=AO$22,MONTH($D1121),"")</f>
        <v/>
      </c>
      <c r="AP1121" s="89" t="str">
        <f>+IF($AG1121=AP$22,MONTH($D1121),"")</f>
        <v/>
      </c>
      <c r="AQ1121" s="89" t="str">
        <f>+IF($AG1121=AQ$22,MONTH($D1121),"")</f>
        <v/>
      </c>
      <c r="AR1121" s="89" t="str">
        <f>+IF($AG1121=AR$22,MONTH($D1121),"")</f>
        <v/>
      </c>
      <c r="AS1121" s="89" t="str">
        <f>+IF($AG1121=AS$22,MONTH($D1121),"")</f>
        <v/>
      </c>
      <c r="AT1121" s="89" t="str">
        <f>+IF($AG1121=AT$22,MONTH($D1121),"")</f>
        <v/>
      </c>
      <c r="AU1121" s="89" t="str">
        <f>+IF($AG1121=AU$22,MONTH($D1121),"")</f>
        <v/>
      </c>
      <c r="AV1121" s="89" t="str">
        <f>+IF($AG1121=AV$22,MONTH($D1121),"")</f>
        <v/>
      </c>
      <c r="AW1121" s="86" t="str">
        <f>+IF($AG1121=AW$22,MONTH($D1121),"")</f>
        <v/>
      </c>
      <c r="AX1121" s="86" t="str">
        <f>+IF($AG1121=AX$22,MONTH($D1121),"")</f>
        <v/>
      </c>
      <c r="AY1121" s="89"/>
      <c r="AZ1121" s="89"/>
      <c r="BA1121" s="89"/>
      <c r="BB1121" s="89"/>
      <c r="BC1121" s="89"/>
      <c r="BD1121" s="89"/>
      <c r="BE1121" s="89"/>
      <c r="BF1121" s="89"/>
      <c r="BG1121" s="89"/>
      <c r="BH1121" s="89"/>
      <c r="BI1121" s="89"/>
      <c r="BJ1121" s="89"/>
      <c r="BK1121" s="89"/>
      <c r="BL1121" s="89"/>
      <c r="BM1121" s="89"/>
      <c r="BN1121" s="89"/>
      <c r="BO1121" s="89"/>
      <c r="BP1121" s="89"/>
    </row>
    <row r="1122" spans="1:68" s="56" customFormat="1" ht="108" hidden="1">
      <c r="A1122" s="204" t="str">
        <f>+IFERROR(VALUE(MID(AB1122,4,4)),"")</f>
        <v/>
      </c>
      <c r="B1122" s="204">
        <f>VALUE(RIGHT(C1122,LEN(C1122)-2))</f>
        <v>1601</v>
      </c>
      <c r="C1122" s="74" t="s">
        <v>4269</v>
      </c>
      <c r="D1122" s="75">
        <v>44827</v>
      </c>
      <c r="E1122" s="70" t="s">
        <v>4270</v>
      </c>
      <c r="F1122" s="70" t="s">
        <v>4271</v>
      </c>
      <c r="G1122" s="68" t="s">
        <v>4272</v>
      </c>
      <c r="H1122" s="59" t="s">
        <v>4273</v>
      </c>
      <c r="I1122" s="69" t="s">
        <v>4274</v>
      </c>
      <c r="J1122" s="69"/>
      <c r="K1122" s="95" t="s">
        <v>12</v>
      </c>
      <c r="L1122" s="69" t="s">
        <v>123</v>
      </c>
      <c r="M1122" s="71" t="s">
        <v>113</v>
      </c>
      <c r="N1122" s="69" t="e" vm="2">
        <v>#VALUE!</v>
      </c>
      <c r="O1122" s="84">
        <v>44827</v>
      </c>
      <c r="P1122" s="82" t="s">
        <v>483</v>
      </c>
      <c r="Q1122" s="82" t="s">
        <v>229</v>
      </c>
      <c r="R1122" s="69"/>
      <c r="S1122" s="146" t="s">
        <v>4275</v>
      </c>
      <c r="T1122" s="68" t="s">
        <v>165</v>
      </c>
      <c r="U1122" s="87"/>
      <c r="V1122" s="80">
        <v>44830</v>
      </c>
      <c r="W1122" s="73">
        <v>1298</v>
      </c>
      <c r="X1122" s="73">
        <v>54</v>
      </c>
      <c r="Y1122" s="83">
        <f>IF(SUM(W1122:W1122)&gt;0,X1122/SUM(W1122:W1122)*1000000,"N/A")</f>
        <v>41602.465331278894</v>
      </c>
      <c r="Z1122" s="80"/>
      <c r="AA1122" s="80"/>
      <c r="AB1122" s="73"/>
      <c r="AC1122" s="153"/>
      <c r="AD1122" s="331"/>
      <c r="AE1122" s="57"/>
      <c r="AF1122" s="88"/>
      <c r="AG1122" s="182">
        <f>YEAR(D1122)</f>
        <v>2022</v>
      </c>
      <c r="AH1122" s="86" t="str">
        <f>+IF(AE1122=$AJ$22,MONTH(T1122),"")</f>
        <v/>
      </c>
      <c r="AI1122" s="86" t="str">
        <f>+IF(AF1122=$AJ$22,MONTH(U1122),"")</f>
        <v/>
      </c>
      <c r="AJ1122" s="86" t="str">
        <f>+IF(AG1122=$AJ$22,MONTH(V1122),"")</f>
        <v/>
      </c>
      <c r="AK1122" s="86" t="str">
        <f>+IF(AG1122=$AK$22,MONTH(V1122),"")</f>
        <v/>
      </c>
      <c r="AL1122" s="86">
        <f>+IF(AG1122=$AL$22,MONTH(V1122),"")</f>
        <v>9</v>
      </c>
      <c r="AM1122" s="86" t="str">
        <f>+IF($AG1122=$AM$22,MONTH($D1122),"")</f>
        <v/>
      </c>
      <c r="AN1122" s="89" t="str">
        <f>+IF($AG1122=AN$22,MONTH($D1122),"")</f>
        <v/>
      </c>
      <c r="AO1122" s="89" t="str">
        <f>+IF($AG1122=AO$22,MONTH($D1122),"")</f>
        <v/>
      </c>
      <c r="AP1122" s="89" t="str">
        <f>+IF($AG1122=AP$22,MONTH($D1122),"")</f>
        <v/>
      </c>
      <c r="AQ1122" s="89" t="str">
        <f>+IF($AG1122=AQ$22,MONTH($D1122),"")</f>
        <v/>
      </c>
      <c r="AR1122" s="89" t="str">
        <f>+IF($AG1122=AR$22,MONTH($D1122),"")</f>
        <v/>
      </c>
      <c r="AS1122" s="89" t="str">
        <f>+IF($AG1122=AS$22,MONTH($D1122),"")</f>
        <v/>
      </c>
      <c r="AT1122" s="89" t="str">
        <f>+IF($AG1122=AT$22,MONTH($D1122),"")</f>
        <v/>
      </c>
      <c r="AU1122" s="89" t="str">
        <f>+IF($AG1122=AU$22,MONTH($D1122),"")</f>
        <v/>
      </c>
      <c r="AV1122" s="89" t="str">
        <f>+IF($AG1122=AV$22,MONTH($D1122),"")</f>
        <v/>
      </c>
      <c r="AW1122" s="86" t="str">
        <f>+IF($AG1122=AW$22,MONTH($D1122),"")</f>
        <v/>
      </c>
      <c r="AX1122" s="86" t="str">
        <f>+IF($AG1122=AX$22,MONTH($D1122),"")</f>
        <v/>
      </c>
      <c r="AY1122" s="89"/>
      <c r="AZ1122" s="89"/>
      <c r="BA1122" s="89"/>
      <c r="BB1122" s="89"/>
      <c r="BC1122" s="89"/>
      <c r="BD1122" s="89"/>
      <c r="BE1122" s="89"/>
      <c r="BF1122" s="89"/>
      <c r="BG1122" s="89"/>
      <c r="BH1122" s="89"/>
      <c r="BI1122" s="89"/>
      <c r="BJ1122" s="89"/>
      <c r="BK1122" s="89"/>
      <c r="BL1122" s="89"/>
      <c r="BM1122" s="89"/>
      <c r="BN1122" s="89"/>
      <c r="BO1122" s="89"/>
      <c r="BP1122" s="89"/>
    </row>
    <row r="1123" spans="1:68" s="56" customFormat="1" ht="67.5" hidden="1">
      <c r="A1123" s="204" t="str">
        <f>+IFERROR(VALUE(MID(AB1123,4,4)),"")</f>
        <v/>
      </c>
      <c r="B1123" s="204">
        <f>VALUE(RIGHT(C1123,LEN(C1123)-2))</f>
        <v>1600</v>
      </c>
      <c r="C1123" s="74" t="s">
        <v>4276</v>
      </c>
      <c r="D1123" s="75">
        <v>44826</v>
      </c>
      <c r="E1123" s="70" t="s">
        <v>3685</v>
      </c>
      <c r="F1123" s="70" t="s">
        <v>51</v>
      </c>
      <c r="G1123" s="68" t="s">
        <v>3687</v>
      </c>
      <c r="H1123" s="59" t="s">
        <v>3688</v>
      </c>
      <c r="I1123" s="69" t="s">
        <v>4277</v>
      </c>
      <c r="J1123" s="69"/>
      <c r="K1123" s="68" t="s">
        <v>275</v>
      </c>
      <c r="L1123" s="69" t="s">
        <v>120</v>
      </c>
      <c r="M1123" s="71" t="s">
        <v>141</v>
      </c>
      <c r="N1123" s="69" t="e" vm="1">
        <v>#VALUE!</v>
      </c>
      <c r="O1123" s="84">
        <v>44827</v>
      </c>
      <c r="P1123" s="72" t="s">
        <v>402</v>
      </c>
      <c r="Q1123" s="72" t="s">
        <v>229</v>
      </c>
      <c r="R1123" s="162"/>
      <c r="S1123" s="146" t="s">
        <v>4278</v>
      </c>
      <c r="T1123" s="68" t="s">
        <v>165</v>
      </c>
      <c r="U1123" s="87"/>
      <c r="V1123" s="80">
        <v>44979</v>
      </c>
      <c r="W1123" s="73">
        <v>495</v>
      </c>
      <c r="X1123" s="73">
        <f>949*33800/1000000</f>
        <v>32.0762</v>
      </c>
      <c r="Y1123" s="83">
        <f>IF(SUM(W1123:W1123)&gt;0,X1123/SUM(W1123:W1123)*1000000,"N/A")</f>
        <v>64800.40404040405</v>
      </c>
      <c r="Z1123" s="80"/>
      <c r="AA1123" s="80"/>
      <c r="AB1123" s="73"/>
      <c r="AC1123" s="153"/>
      <c r="AD1123" s="331"/>
      <c r="AE1123" s="57"/>
      <c r="AF1123" s="88" t="s">
        <v>4279</v>
      </c>
      <c r="AG1123" s="182">
        <f>YEAR(D1123)</f>
        <v>2022</v>
      </c>
      <c r="AH1123" s="86" t="str">
        <f>+IF(AE1123=$AJ$22,MONTH(T1123),"")</f>
        <v/>
      </c>
      <c r="AI1123" s="86" t="str">
        <f>+IF(AF1123=$AJ$22,MONTH(U1123),"")</f>
        <v/>
      </c>
      <c r="AJ1123" s="86" t="str">
        <f>+IF(AG1123=$AJ$22,MONTH(V1123),"")</f>
        <v/>
      </c>
      <c r="AK1123" s="86" t="str">
        <f>+IF(AG1123=$AK$22,MONTH(V1123),"")</f>
        <v/>
      </c>
      <c r="AL1123" s="86">
        <f>+IF(AG1123=$AL$22,MONTH(V1123),"")</f>
        <v>2</v>
      </c>
      <c r="AM1123" s="86" t="str">
        <f>+IF($AG1123=$AM$22,MONTH($D1123),"")</f>
        <v/>
      </c>
      <c r="AN1123" s="89" t="str">
        <f>+IF($AG1123=AN$22,MONTH($D1123),"")</f>
        <v/>
      </c>
      <c r="AO1123" s="89" t="str">
        <f>+IF($AG1123=AO$22,MONTH($D1123),"")</f>
        <v/>
      </c>
      <c r="AP1123" s="89" t="str">
        <f>+IF($AG1123=AP$22,MONTH($D1123),"")</f>
        <v/>
      </c>
      <c r="AQ1123" s="89" t="str">
        <f>+IF($AG1123=AQ$22,MONTH($D1123),"")</f>
        <v/>
      </c>
      <c r="AR1123" s="89" t="str">
        <f>+IF($AG1123=AR$22,MONTH($D1123),"")</f>
        <v/>
      </c>
      <c r="AS1123" s="89" t="str">
        <f>+IF($AG1123=AS$22,MONTH($D1123),"")</f>
        <v/>
      </c>
      <c r="AT1123" s="89" t="str">
        <f>+IF($AG1123=AT$22,MONTH($D1123),"")</f>
        <v/>
      </c>
      <c r="AU1123" s="89" t="str">
        <f>+IF($AG1123=AU$22,MONTH($D1123),"")</f>
        <v/>
      </c>
      <c r="AV1123" s="89" t="str">
        <f>+IF($AG1123=AV$22,MONTH($D1123),"")</f>
        <v/>
      </c>
      <c r="AW1123" s="86" t="str">
        <f>+IF($AG1123=AW$22,MONTH($D1123),"")</f>
        <v/>
      </c>
      <c r="AX1123" s="86" t="str">
        <f>+IF($AG1123=AX$22,MONTH($D1123),"")</f>
        <v/>
      </c>
      <c r="AY1123" s="89"/>
      <c r="AZ1123" s="89"/>
      <c r="BA1123" s="89"/>
      <c r="BB1123" s="89"/>
      <c r="BC1123" s="89"/>
      <c r="BD1123" s="89"/>
      <c r="BE1123" s="89"/>
      <c r="BF1123" s="89"/>
      <c r="BG1123" s="89"/>
      <c r="BH1123" s="89"/>
      <c r="BI1123" s="89"/>
      <c r="BJ1123" s="89"/>
      <c r="BK1123" s="89"/>
      <c r="BL1123" s="89"/>
      <c r="BM1123" s="89"/>
      <c r="BN1123" s="89"/>
      <c r="BO1123" s="89"/>
      <c r="BP1123" s="89"/>
    </row>
    <row r="1124" spans="1:68" s="56" customFormat="1" ht="27" hidden="1">
      <c r="A1124" s="204">
        <f>+IFERROR(VALUE(MID(AB1124,4,4)),"")</f>
        <v>271</v>
      </c>
      <c r="B1124" s="204">
        <f>VALUE(RIGHT(C1124,LEN(C1124)-2))</f>
        <v>1599</v>
      </c>
      <c r="C1124" s="74" t="s">
        <v>4280</v>
      </c>
      <c r="D1124" s="75">
        <v>44819</v>
      </c>
      <c r="E1124" s="70" t="s">
        <v>277</v>
      </c>
      <c r="F1124" s="70" t="s">
        <v>277</v>
      </c>
      <c r="G1124" s="68" t="s">
        <v>1781</v>
      </c>
      <c r="H1124" s="59" t="s">
        <v>2413</v>
      </c>
      <c r="I1124" s="69" t="s">
        <v>4281</v>
      </c>
      <c r="J1124" s="69"/>
      <c r="K1124" s="68" t="s">
        <v>401</v>
      </c>
      <c r="L1124" s="69" t="s">
        <v>129</v>
      </c>
      <c r="M1124" s="71" t="s">
        <v>141</v>
      </c>
      <c r="N1124" s="69" t="e" vm="1">
        <v>#VALUE!</v>
      </c>
      <c r="O1124" s="84">
        <v>44824</v>
      </c>
      <c r="P1124" s="72" t="s">
        <v>2852</v>
      </c>
      <c r="Q1124" s="72" t="s">
        <v>1097</v>
      </c>
      <c r="R1124" s="162"/>
      <c r="S1124" s="146" t="s">
        <v>4282</v>
      </c>
      <c r="T1124" s="68" t="s">
        <v>3</v>
      </c>
      <c r="U1124" s="87"/>
      <c r="V1124" s="80">
        <v>44867</v>
      </c>
      <c r="W1124" s="73">
        <v>1367</v>
      </c>
      <c r="X1124" s="73">
        <v>48.4</v>
      </c>
      <c r="Y1124" s="83">
        <f>IF(SUM(W1124:W1124)&gt;0,X1124/SUM(W1124:W1124)*1000000,"N/A")</f>
        <v>35405.998536942207</v>
      </c>
      <c r="Z1124" s="80"/>
      <c r="AA1124" s="80"/>
      <c r="AB1124" s="73" t="s">
        <v>4283</v>
      </c>
      <c r="AC1124" s="153"/>
      <c r="AD1124" s="331"/>
      <c r="AE1124" s="57"/>
      <c r="AF1124" s="88"/>
      <c r="AG1124" s="182">
        <f>YEAR(D1124)</f>
        <v>2022</v>
      </c>
      <c r="AH1124" s="86" t="str">
        <f>+IF(AE1124=$AJ$22,MONTH(T1124),"")</f>
        <v/>
      </c>
      <c r="AI1124" s="86" t="str">
        <f>+IF(AF1124=$AJ$22,MONTH(U1124),"")</f>
        <v/>
      </c>
      <c r="AJ1124" s="86" t="str">
        <f>+IF(AG1124=$AJ$22,MONTH(V1124),"")</f>
        <v/>
      </c>
      <c r="AK1124" s="86" t="str">
        <f>+IF(AG1124=$AK$22,MONTH(V1124),"")</f>
        <v/>
      </c>
      <c r="AL1124" s="86">
        <f>+IF(AG1124=$AL$22,MONTH(V1124),"")</f>
        <v>11</v>
      </c>
      <c r="AM1124" s="86" t="str">
        <f>+IF($AG1124=$AM$22,MONTH($D1124),"")</f>
        <v/>
      </c>
      <c r="AN1124" s="89" t="str">
        <f>+IF($AG1124=AN$22,MONTH($D1124),"")</f>
        <v/>
      </c>
      <c r="AO1124" s="89" t="str">
        <f>+IF($AG1124=AO$22,MONTH($D1124),"")</f>
        <v/>
      </c>
      <c r="AP1124" s="89" t="str">
        <f>+IF($AG1124=AP$22,MONTH($D1124),"")</f>
        <v/>
      </c>
      <c r="AQ1124" s="89" t="str">
        <f>+IF($AG1124=AQ$22,MONTH($D1124),"")</f>
        <v/>
      </c>
      <c r="AR1124" s="89" t="str">
        <f>+IF($AG1124=AR$22,MONTH($D1124),"")</f>
        <v/>
      </c>
      <c r="AS1124" s="89" t="str">
        <f>+IF($AG1124=AS$22,MONTH($D1124),"")</f>
        <v/>
      </c>
      <c r="AT1124" s="89" t="str">
        <f>+IF($AG1124=AT$22,MONTH($D1124),"")</f>
        <v/>
      </c>
      <c r="AU1124" s="89" t="str">
        <f>+IF($AG1124=AU$22,MONTH($D1124),"")</f>
        <v/>
      </c>
      <c r="AV1124" s="89" t="str">
        <f>+IF($AG1124=AV$22,MONTH($D1124),"")</f>
        <v/>
      </c>
      <c r="AW1124" s="86" t="str">
        <f>+IF($AG1124=AW$22,MONTH($D1124),"")</f>
        <v/>
      </c>
      <c r="AX1124" s="86" t="str">
        <f>+IF($AG1124=AX$22,MONTH($D1124),"")</f>
        <v/>
      </c>
      <c r="AY1124" s="89"/>
      <c r="AZ1124" s="89"/>
      <c r="BA1124" s="89"/>
      <c r="BB1124" s="89"/>
      <c r="BC1124" s="89"/>
      <c r="BD1124" s="89"/>
      <c r="BE1124" s="89"/>
      <c r="BF1124" s="89"/>
      <c r="BG1124" s="89"/>
      <c r="BH1124" s="89"/>
      <c r="BI1124" s="89"/>
      <c r="BJ1124" s="89"/>
      <c r="BK1124" s="89"/>
      <c r="BL1124" s="89"/>
      <c r="BM1124" s="89"/>
      <c r="BN1124" s="89"/>
      <c r="BO1124" s="89"/>
      <c r="BP1124" s="89"/>
    </row>
    <row r="1125" spans="1:68" s="56" customFormat="1" ht="40.5" hidden="1">
      <c r="A1125" s="204" t="str">
        <f>+IFERROR(VALUE(MID(AB1125,4,4)),"")</f>
        <v/>
      </c>
      <c r="B1125" s="204">
        <f>VALUE(RIGHT(C1125,LEN(C1125)-2))</f>
        <v>1598</v>
      </c>
      <c r="C1125" s="74" t="s">
        <v>4284</v>
      </c>
      <c r="D1125" s="75">
        <v>44813</v>
      </c>
      <c r="E1125" s="70" t="s">
        <v>97</v>
      </c>
      <c r="F1125" s="70" t="s">
        <v>252</v>
      </c>
      <c r="G1125" s="68" t="s">
        <v>4043</v>
      </c>
      <c r="H1125" s="59" t="s">
        <v>4044</v>
      </c>
      <c r="I1125" s="69" t="s">
        <v>4285</v>
      </c>
      <c r="J1125" s="69"/>
      <c r="K1125" s="95" t="s">
        <v>275</v>
      </c>
      <c r="L1125" s="69" t="s">
        <v>120</v>
      </c>
      <c r="M1125" s="71" t="s">
        <v>141</v>
      </c>
      <c r="N1125" s="69" t="e" vm="1">
        <v>#VALUE!</v>
      </c>
      <c r="O1125" s="84">
        <v>44824</v>
      </c>
      <c r="P1125" s="82" t="s">
        <v>402</v>
      </c>
      <c r="Q1125" s="82" t="s">
        <v>316</v>
      </c>
      <c r="R1125" s="69"/>
      <c r="S1125" s="146" t="s">
        <v>4286</v>
      </c>
      <c r="T1125" s="68" t="s">
        <v>165</v>
      </c>
      <c r="U1125" s="87"/>
      <c r="V1125" s="80">
        <v>44886</v>
      </c>
      <c r="W1125" s="73">
        <v>310</v>
      </c>
      <c r="X1125" s="73">
        <v>19.600000000000001</v>
      </c>
      <c r="Y1125" s="83">
        <f>IF(SUM(W1125:W1125)&gt;0,X1125/SUM(W1125:W1125)*1000000,"N/A")</f>
        <v>63225.806451612909</v>
      </c>
      <c r="Z1125" s="80"/>
      <c r="AA1125" s="80"/>
      <c r="AB1125" s="73"/>
      <c r="AC1125" s="153"/>
      <c r="AD1125" s="331"/>
      <c r="AE1125" s="57"/>
      <c r="AF1125" s="88" t="s">
        <v>4287</v>
      </c>
      <c r="AG1125" s="182">
        <f>YEAR(D1125)</f>
        <v>2022</v>
      </c>
      <c r="AH1125" s="86" t="str">
        <f>+IF(AE1125=$AJ$22,MONTH(T1125),"")</f>
        <v/>
      </c>
      <c r="AI1125" s="86" t="str">
        <f>+IF(AF1125=$AJ$22,MONTH(U1125),"")</f>
        <v/>
      </c>
      <c r="AJ1125" s="86" t="str">
        <f>+IF(AG1125=$AJ$22,MONTH(V1125),"")</f>
        <v/>
      </c>
      <c r="AK1125" s="86" t="str">
        <f>+IF(AG1125=$AK$22,MONTH(V1125),"")</f>
        <v/>
      </c>
      <c r="AL1125" s="86">
        <f>+IF(AG1125=$AL$22,MONTH(V1125),"")</f>
        <v>11</v>
      </c>
      <c r="AM1125" s="86" t="str">
        <f>+IF($AG1125=$AM$22,MONTH($D1125),"")</f>
        <v/>
      </c>
      <c r="AN1125" s="89" t="str">
        <f>+IF($AG1125=AN$22,MONTH($D1125),"")</f>
        <v/>
      </c>
      <c r="AO1125" s="89" t="str">
        <f>+IF($AG1125=AO$22,MONTH($D1125),"")</f>
        <v/>
      </c>
      <c r="AP1125" s="89" t="str">
        <f>+IF($AG1125=AP$22,MONTH($D1125),"")</f>
        <v/>
      </c>
      <c r="AQ1125" s="89" t="str">
        <f>+IF($AG1125=AQ$22,MONTH($D1125),"")</f>
        <v/>
      </c>
      <c r="AR1125" s="89" t="str">
        <f>+IF($AG1125=AR$22,MONTH($D1125),"")</f>
        <v/>
      </c>
      <c r="AS1125" s="89" t="str">
        <f>+IF($AG1125=AS$22,MONTH($D1125),"")</f>
        <v/>
      </c>
      <c r="AT1125" s="89" t="str">
        <f>+IF($AG1125=AT$22,MONTH($D1125),"")</f>
        <v/>
      </c>
      <c r="AU1125" s="89" t="str">
        <f>+IF($AG1125=AU$22,MONTH($D1125),"")</f>
        <v/>
      </c>
      <c r="AV1125" s="89" t="str">
        <f>+IF($AG1125=AV$22,MONTH($D1125),"")</f>
        <v/>
      </c>
      <c r="AW1125" s="86" t="str">
        <f>+IF($AG1125=AW$22,MONTH($D1125),"")</f>
        <v/>
      </c>
      <c r="AX1125" s="86" t="str">
        <f>+IF($AG1125=AX$22,MONTH($D1125),"")</f>
        <v/>
      </c>
      <c r="AY1125" s="89"/>
      <c r="AZ1125" s="89"/>
      <c r="BA1125" s="89"/>
      <c r="BB1125" s="89"/>
      <c r="BC1125" s="89"/>
      <c r="BD1125" s="89"/>
      <c r="BE1125" s="89"/>
      <c r="BF1125" s="89"/>
      <c r="BG1125" s="89"/>
      <c r="BH1125" s="89"/>
      <c r="BI1125" s="89"/>
      <c r="BJ1125" s="89"/>
      <c r="BK1125" s="89"/>
      <c r="BL1125" s="89"/>
      <c r="BM1125" s="89"/>
      <c r="BN1125" s="89"/>
      <c r="BO1125" s="89"/>
      <c r="BP1125" s="89"/>
    </row>
    <row r="1126" spans="1:68" s="56" customFormat="1" ht="81" hidden="1">
      <c r="A1126" s="204" t="str">
        <f>+IFERROR(VALUE(MID(AB1126,4,4)),"")</f>
        <v/>
      </c>
      <c r="B1126" s="204">
        <f>VALUE(RIGHT(C1126,LEN(C1126)-2))</f>
        <v>1597</v>
      </c>
      <c r="C1126" s="74" t="s">
        <v>4288</v>
      </c>
      <c r="D1126" s="75">
        <v>44818</v>
      </c>
      <c r="E1126" s="70" t="s">
        <v>4114</v>
      </c>
      <c r="F1126" s="70" t="s">
        <v>4114</v>
      </c>
      <c r="G1126" s="68" t="s">
        <v>4289</v>
      </c>
      <c r="H1126" s="59" t="s">
        <v>4290</v>
      </c>
      <c r="I1126" s="69" t="s">
        <v>4291</v>
      </c>
      <c r="J1126" s="69"/>
      <c r="K1126" s="95" t="s">
        <v>275</v>
      </c>
      <c r="L1126" s="69" t="s">
        <v>120</v>
      </c>
      <c r="M1126" s="71" t="s">
        <v>141</v>
      </c>
      <c r="N1126" s="69" t="e" vm="1">
        <v>#VALUE!</v>
      </c>
      <c r="O1126" s="84">
        <v>44819</v>
      </c>
      <c r="P1126" s="82" t="s">
        <v>402</v>
      </c>
      <c r="Q1126" s="82" t="s">
        <v>316</v>
      </c>
      <c r="R1126" s="69"/>
      <c r="S1126" s="146" t="s">
        <v>4292</v>
      </c>
      <c r="T1126" s="68" t="s">
        <v>165</v>
      </c>
      <c r="U1126" s="87">
        <v>0</v>
      </c>
      <c r="V1126" s="80">
        <v>44965</v>
      </c>
      <c r="W1126" s="73">
        <v>810</v>
      </c>
      <c r="X1126" s="73">
        <f>1125*34200/1000000</f>
        <v>38.475000000000001</v>
      </c>
      <c r="Y1126" s="83">
        <f>IF(SUM(W1126:W1126)&gt;0,X1126/SUM(W1126:W1126)*1000000,"N/A")</f>
        <v>47500</v>
      </c>
      <c r="Z1126" s="80"/>
      <c r="AA1126" s="80"/>
      <c r="AB1126" s="73"/>
      <c r="AC1126" s="153"/>
      <c r="AD1126" s="331"/>
      <c r="AE1126" s="57"/>
      <c r="AF1126" s="88" t="s">
        <v>4293</v>
      </c>
      <c r="AG1126" s="182">
        <f>YEAR(D1126)</f>
        <v>2022</v>
      </c>
      <c r="AH1126" s="86" t="str">
        <f>+IF(AE1126=$AJ$22,MONTH(T1126),"")</f>
        <v/>
      </c>
      <c r="AI1126" s="86" t="str">
        <f>+IF(AF1126=$AJ$22,MONTH(U1126),"")</f>
        <v/>
      </c>
      <c r="AJ1126" s="86" t="str">
        <f>+IF(AG1126=$AJ$22,MONTH(V1126),"")</f>
        <v/>
      </c>
      <c r="AK1126" s="86" t="str">
        <f>+IF(AG1126=$AK$22,MONTH(V1126),"")</f>
        <v/>
      </c>
      <c r="AL1126" s="86">
        <f>+IF(AG1126=$AL$22,MONTH(V1126),"")</f>
        <v>2</v>
      </c>
      <c r="AM1126" s="86" t="str">
        <f>+IF($AG1126=$AM$22,MONTH($D1126),"")</f>
        <v/>
      </c>
      <c r="AN1126" s="89" t="str">
        <f>+IF($AG1126=AN$22,MONTH($D1126),"")</f>
        <v/>
      </c>
      <c r="AO1126" s="89" t="str">
        <f>+IF($AG1126=AO$22,MONTH($D1126),"")</f>
        <v/>
      </c>
      <c r="AP1126" s="89" t="str">
        <f>+IF($AG1126=AP$22,MONTH($D1126),"")</f>
        <v/>
      </c>
      <c r="AQ1126" s="89" t="str">
        <f>+IF($AG1126=AQ$22,MONTH($D1126),"")</f>
        <v/>
      </c>
      <c r="AR1126" s="89" t="str">
        <f>+IF($AG1126=AR$22,MONTH($D1126),"")</f>
        <v/>
      </c>
      <c r="AS1126" s="89" t="str">
        <f>+IF($AG1126=AS$22,MONTH($D1126),"")</f>
        <v/>
      </c>
      <c r="AT1126" s="89" t="str">
        <f>+IF($AG1126=AT$22,MONTH($D1126),"")</f>
        <v/>
      </c>
      <c r="AU1126" s="89" t="str">
        <f>+IF($AG1126=AU$22,MONTH($D1126),"")</f>
        <v/>
      </c>
      <c r="AV1126" s="89" t="str">
        <f>+IF($AG1126=AV$22,MONTH($D1126),"")</f>
        <v/>
      </c>
      <c r="AW1126" s="86" t="str">
        <f>+IF($AG1126=AW$22,MONTH($D1126),"")</f>
        <v/>
      </c>
      <c r="AX1126" s="86" t="str">
        <f>+IF($AG1126=AX$22,MONTH($D1126),"")</f>
        <v/>
      </c>
      <c r="AY1126" s="89"/>
      <c r="AZ1126" s="89"/>
      <c r="BA1126" s="89"/>
      <c r="BB1126" s="89"/>
      <c r="BC1126" s="89"/>
      <c r="BD1126" s="89"/>
      <c r="BE1126" s="89"/>
      <c r="BF1126" s="89"/>
      <c r="BG1126" s="89"/>
      <c r="BH1126" s="89"/>
      <c r="BI1126" s="89"/>
      <c r="BJ1126" s="182"/>
      <c r="BK1126" s="182"/>
      <c r="BL1126" s="182"/>
      <c r="BM1126" s="182"/>
      <c r="BN1126" s="89"/>
      <c r="BO1126" s="89"/>
      <c r="BP1126" s="89"/>
    </row>
    <row r="1127" spans="1:68" s="51" customFormat="1" ht="67.5" hidden="1">
      <c r="A1127" s="204" t="str">
        <f>+IFERROR(VALUE(MID(AB1127,4,4)),"")</f>
        <v/>
      </c>
      <c r="B1127" s="204">
        <f>VALUE(RIGHT(C1127,LEN(C1127)-2))</f>
        <v>1596</v>
      </c>
      <c r="C1127" s="74" t="s">
        <v>4294</v>
      </c>
      <c r="D1127" s="75">
        <v>44817</v>
      </c>
      <c r="E1127" s="70" t="s">
        <v>3282</v>
      </c>
      <c r="F1127" s="70" t="s">
        <v>3520</v>
      </c>
      <c r="G1127" s="68" t="s">
        <v>3283</v>
      </c>
      <c r="H1127" s="59" t="s">
        <v>3284</v>
      </c>
      <c r="I1127" s="69" t="s">
        <v>4295</v>
      </c>
      <c r="J1127" s="69"/>
      <c r="K1127" s="95" t="s">
        <v>12</v>
      </c>
      <c r="L1127" s="69" t="s">
        <v>120</v>
      </c>
      <c r="M1127" s="71" t="s">
        <v>113</v>
      </c>
      <c r="N1127" s="69" t="e" vm="9">
        <v>#VALUE!</v>
      </c>
      <c r="O1127" s="84">
        <v>44818</v>
      </c>
      <c r="P1127" s="82" t="s">
        <v>4173</v>
      </c>
      <c r="Q1127" s="82" t="s">
        <v>316</v>
      </c>
      <c r="R1127" s="69"/>
      <c r="S1127" s="146" t="s">
        <v>4296</v>
      </c>
      <c r="T1127" s="68" t="s">
        <v>165</v>
      </c>
      <c r="U1127" s="87"/>
      <c r="V1127" s="80">
        <v>44979</v>
      </c>
      <c r="W1127" s="73">
        <v>220</v>
      </c>
      <c r="X1127" s="73">
        <v>21</v>
      </c>
      <c r="Y1127" s="83">
        <f>IF(SUM(W1127:W1127)&gt;0,X1127/SUM(W1127:W1127)*1000000,"N/A")</f>
        <v>95454.545454545456</v>
      </c>
      <c r="Z1127" s="80"/>
      <c r="AA1127" s="80"/>
      <c r="AB1127" s="73"/>
      <c r="AC1127" s="153"/>
      <c r="AD1127" s="331"/>
      <c r="AE1127" s="57"/>
      <c r="AF1127" s="88" t="s">
        <v>4297</v>
      </c>
      <c r="AG1127" s="182">
        <f>YEAR(D1127)</f>
        <v>2022</v>
      </c>
      <c r="AH1127" s="86" t="str">
        <f>+IF(AE1127=$AJ$22,MONTH(T1127),"")</f>
        <v/>
      </c>
      <c r="AI1127" s="86" t="str">
        <f>+IF(AF1127=$AJ$22,MONTH(U1127),"")</f>
        <v/>
      </c>
      <c r="AJ1127" s="86" t="str">
        <f>+IF(AG1127=$AJ$22,MONTH(V1127),"")</f>
        <v/>
      </c>
      <c r="AK1127" s="86" t="str">
        <f>+IF(AG1127=$AK$22,MONTH(V1127),"")</f>
        <v/>
      </c>
      <c r="AL1127" s="86">
        <f>+IF(AG1127=$AL$22,MONTH(V1127),"")</f>
        <v>2</v>
      </c>
      <c r="AM1127" s="86" t="str">
        <f>+IF($AG1127=$AM$22,MONTH($D1127),"")</f>
        <v/>
      </c>
      <c r="AN1127" s="89" t="str">
        <f>+IF($AG1127=AN$22,MONTH($D1127),"")</f>
        <v/>
      </c>
      <c r="AO1127" s="89" t="str">
        <f>+IF($AG1127=AO$22,MONTH($D1127),"")</f>
        <v/>
      </c>
      <c r="AP1127" s="89" t="str">
        <f>+IF($AG1127=AP$22,MONTH($D1127),"")</f>
        <v/>
      </c>
      <c r="AQ1127" s="89" t="str">
        <f>+IF($AG1127=AQ$22,MONTH($D1127),"")</f>
        <v/>
      </c>
      <c r="AR1127" s="89" t="str">
        <f>+IF($AG1127=AR$22,MONTH($D1127),"")</f>
        <v/>
      </c>
      <c r="AS1127" s="89" t="str">
        <f>+IF($AG1127=AS$22,MONTH($D1127),"")</f>
        <v/>
      </c>
      <c r="AT1127" s="89" t="str">
        <f>+IF($AG1127=AT$22,MONTH($D1127),"")</f>
        <v/>
      </c>
      <c r="AU1127" s="89" t="str">
        <f>+IF($AG1127=AU$22,MONTH($D1127),"")</f>
        <v/>
      </c>
      <c r="AV1127" s="89" t="str">
        <f>+IF($AG1127=AV$22,MONTH($D1127),"")</f>
        <v/>
      </c>
      <c r="AW1127" s="86" t="str">
        <f>+IF($AG1127=AW$22,MONTH($D1127),"")</f>
        <v/>
      </c>
      <c r="AX1127" s="86" t="str">
        <f>+IF($AG1127=AX$22,MONTH($D1127),"")</f>
        <v/>
      </c>
      <c r="AY1127" s="89"/>
      <c r="AZ1127" s="89"/>
      <c r="BA1127" s="89"/>
      <c r="BB1127" s="89"/>
      <c r="BC1127" s="89"/>
      <c r="BD1127" s="89"/>
      <c r="BE1127" s="89"/>
      <c r="BF1127" s="89"/>
      <c r="BG1127" s="89"/>
      <c r="BH1127" s="89"/>
      <c r="BI1127" s="89"/>
      <c r="BJ1127" s="182"/>
      <c r="BK1127" s="182"/>
      <c r="BL1127" s="182"/>
      <c r="BM1127" s="182"/>
      <c r="BN1127" s="182"/>
      <c r="BO1127" s="182"/>
      <c r="BP1127" s="182"/>
    </row>
    <row r="1128" spans="1:68" s="51" customFormat="1" ht="27" hidden="1">
      <c r="A1128" s="204">
        <f>+IFERROR(VALUE(MID(AB1128,4,4)),"")</f>
        <v>312</v>
      </c>
      <c r="B1128" s="204">
        <f>VALUE(RIGHT(C1128,LEN(C1128)-2))</f>
        <v>1595</v>
      </c>
      <c r="C1128" s="74" t="s">
        <v>4298</v>
      </c>
      <c r="D1128" s="75">
        <v>44817</v>
      </c>
      <c r="E1128" s="70" t="s">
        <v>4299</v>
      </c>
      <c r="F1128" s="70" t="s">
        <v>51</v>
      </c>
      <c r="G1128" s="68" t="s">
        <v>4300</v>
      </c>
      <c r="H1128" s="59" t="s">
        <v>4301</v>
      </c>
      <c r="I1128" s="69" t="s">
        <v>4302</v>
      </c>
      <c r="J1128" s="69"/>
      <c r="K1128" s="95" t="s">
        <v>18</v>
      </c>
      <c r="L1128" s="69" t="s">
        <v>120</v>
      </c>
      <c r="M1128" s="71" t="s">
        <v>141</v>
      </c>
      <c r="N1128" s="69" t="e" vm="1">
        <v>#VALUE!</v>
      </c>
      <c r="O1128" s="84">
        <v>44818</v>
      </c>
      <c r="P1128" s="82" t="s">
        <v>402</v>
      </c>
      <c r="Q1128" s="82" t="s">
        <v>1097</v>
      </c>
      <c r="R1128" s="69"/>
      <c r="S1128" s="146" t="s">
        <v>2491</v>
      </c>
      <c r="T1128" s="68" t="s">
        <v>3</v>
      </c>
      <c r="U1128" s="87"/>
      <c r="V1128" s="80">
        <v>44837</v>
      </c>
      <c r="W1128" s="73">
        <v>165</v>
      </c>
      <c r="X1128" s="73">
        <f>282*34045/1000000</f>
        <v>9.6006900000000002</v>
      </c>
      <c r="Y1128" s="83">
        <f>IF(SUM(W1128:W1128)&gt;0,X1128/SUM(W1128:W1128)*1000000,"N/A")</f>
        <v>58186</v>
      </c>
      <c r="Z1128" s="80"/>
      <c r="AA1128" s="80"/>
      <c r="AB1128" s="73" t="s">
        <v>4303</v>
      </c>
      <c r="AC1128" s="153"/>
      <c r="AD1128" s="331"/>
      <c r="AE1128" s="57"/>
      <c r="AF1128" s="88"/>
      <c r="AG1128" s="182">
        <f>YEAR(D1128)</f>
        <v>2022</v>
      </c>
      <c r="AH1128" s="86" t="str">
        <f>+IF(AE1128=$AJ$22,MONTH(T1128),"")</f>
        <v/>
      </c>
      <c r="AI1128" s="86" t="str">
        <f>+IF(AF1128=$AJ$22,MONTH(U1128),"")</f>
        <v/>
      </c>
      <c r="AJ1128" s="86" t="str">
        <f>+IF(AG1128=$AJ$22,MONTH(V1128),"")</f>
        <v/>
      </c>
      <c r="AK1128" s="86" t="str">
        <f>+IF(AG1128=$AK$22,MONTH(V1128),"")</f>
        <v/>
      </c>
      <c r="AL1128" s="86">
        <f>+IF(AG1128=$AL$22,MONTH(V1128),"")</f>
        <v>10</v>
      </c>
      <c r="AM1128" s="86" t="str">
        <f>+IF($AG1128=$AM$22,MONTH($D1128),"")</f>
        <v/>
      </c>
      <c r="AN1128" s="89" t="str">
        <f>+IF($AG1128=AN$22,MONTH($D1128),"")</f>
        <v/>
      </c>
      <c r="AO1128" s="89" t="str">
        <f>+IF($AG1128=AO$22,MONTH($D1128),"")</f>
        <v/>
      </c>
      <c r="AP1128" s="89" t="str">
        <f>+IF($AG1128=AP$22,MONTH($D1128),"")</f>
        <v/>
      </c>
      <c r="AQ1128" s="89" t="str">
        <f>+IF($AG1128=AQ$22,MONTH($D1128),"")</f>
        <v/>
      </c>
      <c r="AR1128" s="89" t="str">
        <f>+IF($AG1128=AR$22,MONTH($D1128),"")</f>
        <v/>
      </c>
      <c r="AS1128" s="89" t="str">
        <f>+IF($AG1128=AS$22,MONTH($D1128),"")</f>
        <v/>
      </c>
      <c r="AT1128" s="89" t="str">
        <f>+IF($AG1128=AT$22,MONTH($D1128),"")</f>
        <v/>
      </c>
      <c r="AU1128" s="89" t="str">
        <f>+IF($AG1128=AU$22,MONTH($D1128),"")</f>
        <v/>
      </c>
      <c r="AV1128" s="89" t="str">
        <f>+IF($AG1128=AV$22,MONTH($D1128),"")</f>
        <v/>
      </c>
      <c r="AW1128" s="86" t="str">
        <f>+IF($AG1128=AW$22,MONTH($D1128),"")</f>
        <v/>
      </c>
      <c r="AX1128" s="86" t="str">
        <f>+IF($AG1128=AX$22,MONTH($D1128),"")</f>
        <v/>
      </c>
      <c r="AY1128" s="89"/>
      <c r="AZ1128" s="89"/>
      <c r="BA1128" s="89"/>
      <c r="BB1128" s="89"/>
      <c r="BC1128" s="89"/>
      <c r="BD1128" s="89"/>
      <c r="BE1128" s="89"/>
      <c r="BF1128" s="89"/>
      <c r="BG1128" s="89"/>
      <c r="BH1128" s="89"/>
      <c r="BI1128" s="89"/>
      <c r="BJ1128" s="89"/>
      <c r="BK1128" s="89"/>
      <c r="BL1128" s="89"/>
      <c r="BM1128" s="89"/>
      <c r="BN1128" s="182"/>
      <c r="BO1128" s="182"/>
      <c r="BP1128" s="182"/>
    </row>
    <row r="1129" spans="1:68" s="56" customFormat="1" ht="53.25" hidden="1">
      <c r="A1129" s="204" t="str">
        <f>+IFERROR(VALUE(MID(AB1129,4,4)),"")</f>
        <v/>
      </c>
      <c r="B1129" s="204">
        <f>VALUE(RIGHT(C1129,LEN(C1129)-2))</f>
        <v>1594</v>
      </c>
      <c r="C1129" s="74" t="s">
        <v>4304</v>
      </c>
      <c r="D1129" s="75">
        <v>44816</v>
      </c>
      <c r="E1129" s="70" t="s">
        <v>394</v>
      </c>
      <c r="F1129" s="70" t="s">
        <v>394</v>
      </c>
      <c r="G1129" s="68" t="s">
        <v>4192</v>
      </c>
      <c r="H1129" s="111" t="s">
        <v>4193</v>
      </c>
      <c r="I1129" s="69" t="s">
        <v>4305</v>
      </c>
      <c r="J1129" s="69"/>
      <c r="K1129" s="95" t="s">
        <v>13</v>
      </c>
      <c r="L1129" s="69" t="s">
        <v>120</v>
      </c>
      <c r="M1129" s="71" t="s">
        <v>141</v>
      </c>
      <c r="N1129" s="69" t="e" vm="1">
        <v>#VALUE!</v>
      </c>
      <c r="O1129" s="84">
        <v>44817</v>
      </c>
      <c r="P1129" s="82" t="s">
        <v>2852</v>
      </c>
      <c r="Q1129" s="82" t="s">
        <v>229</v>
      </c>
      <c r="R1129" s="69"/>
      <c r="S1129" s="146" t="s">
        <v>4306</v>
      </c>
      <c r="T1129" s="68" t="s">
        <v>165</v>
      </c>
      <c r="U1129" s="90"/>
      <c r="V1129" s="80">
        <v>44979</v>
      </c>
      <c r="W1129" s="73">
        <v>243</v>
      </c>
      <c r="X1129" s="216">
        <f>366*34500/1000000</f>
        <v>12.627000000000001</v>
      </c>
      <c r="Y1129" s="83">
        <f>IF(SUM(W1129:W1129)&gt;0,X1129/SUM(W1129:W1129)*1000000,"N/A")</f>
        <v>51962.962962962971</v>
      </c>
      <c r="Z1129" s="80"/>
      <c r="AA1129" s="80"/>
      <c r="AB1129" s="73"/>
      <c r="AC1129" s="217"/>
      <c r="AD1129" s="333"/>
      <c r="AE1129" s="112"/>
      <c r="AF1129" s="88" t="s">
        <v>4247</v>
      </c>
      <c r="AG1129" s="182">
        <f>YEAR(D1129)</f>
        <v>2022</v>
      </c>
      <c r="AH1129" s="86" t="str">
        <f>+IF(AE1129=$AJ$22,MONTH(T1129),"")</f>
        <v/>
      </c>
      <c r="AI1129" s="86" t="str">
        <f>+IF(AF1129=$AJ$22,MONTH(U1129),"")</f>
        <v/>
      </c>
      <c r="AJ1129" s="86" t="str">
        <f>+IF(AG1129=$AJ$22,MONTH(V1129),"")</f>
        <v/>
      </c>
      <c r="AK1129" s="86" t="str">
        <f>+IF(AG1129=$AK$22,MONTH(V1129),"")</f>
        <v/>
      </c>
      <c r="AL1129" s="86">
        <f>+IF(AG1129=$AL$22,MONTH(V1129),"")</f>
        <v>2</v>
      </c>
      <c r="AM1129" s="86" t="str">
        <f>+IF($AG1129=$AM$22,MONTH($D1129),"")</f>
        <v/>
      </c>
      <c r="AN1129" s="89" t="str">
        <f>+IF($AG1129=AN$22,MONTH($D1129),"")</f>
        <v/>
      </c>
      <c r="AO1129" s="89" t="str">
        <f>+IF($AG1129=AO$22,MONTH($D1129),"")</f>
        <v/>
      </c>
      <c r="AP1129" s="89" t="str">
        <f>+IF($AG1129=AP$22,MONTH($D1129),"")</f>
        <v/>
      </c>
      <c r="AQ1129" s="89" t="str">
        <f>+IF($AG1129=AQ$22,MONTH($D1129),"")</f>
        <v/>
      </c>
      <c r="AR1129" s="89" t="str">
        <f>+IF($AG1129=AR$22,MONTH($D1129),"")</f>
        <v/>
      </c>
      <c r="AS1129" s="89" t="str">
        <f>+IF($AG1129=AS$22,MONTH($D1129),"")</f>
        <v/>
      </c>
      <c r="AT1129" s="89" t="str">
        <f>+IF($AG1129=AT$22,MONTH($D1129),"")</f>
        <v/>
      </c>
      <c r="AU1129" s="89" t="str">
        <f>+IF($AG1129=AU$22,MONTH($D1129),"")</f>
        <v/>
      </c>
      <c r="AV1129" s="89" t="str">
        <f>+IF($AG1129=AV$22,MONTH($D1129),"")</f>
        <v/>
      </c>
      <c r="AW1129" s="86" t="str">
        <f>+IF($AG1129=AW$22,MONTH($D1129),"")</f>
        <v/>
      </c>
      <c r="AX1129" s="86" t="str">
        <f>+IF($AG1129=AX$22,MONTH($D1129),"")</f>
        <v/>
      </c>
      <c r="AY1129" s="89"/>
      <c r="AZ1129" s="89"/>
      <c r="BA1129" s="89"/>
      <c r="BB1129" s="89"/>
      <c r="BC1129" s="89"/>
      <c r="BD1129" s="89"/>
      <c r="BE1129" s="89"/>
      <c r="BF1129" s="89"/>
      <c r="BG1129" s="89"/>
      <c r="BH1129" s="89"/>
      <c r="BI1129" s="89"/>
      <c r="BJ1129" s="89"/>
      <c r="BK1129" s="89"/>
      <c r="BL1129" s="89"/>
      <c r="BM1129" s="89"/>
      <c r="BN1129" s="89"/>
      <c r="BO1129" s="89"/>
      <c r="BP1129" s="89"/>
    </row>
    <row r="1130" spans="1:68" s="56" customFormat="1" ht="27" hidden="1">
      <c r="A1130" s="204">
        <f>+IFERROR(VALUE(MID(AB1130,4,4)),"")</f>
        <v>289</v>
      </c>
      <c r="B1130" s="204">
        <f>VALUE(RIGHT(C1130,LEN(C1130)-2))</f>
        <v>1593</v>
      </c>
      <c r="C1130" s="74" t="s">
        <v>4307</v>
      </c>
      <c r="D1130" s="75">
        <v>44795</v>
      </c>
      <c r="E1130" s="70" t="s">
        <v>479</v>
      </c>
      <c r="F1130" s="70" t="s">
        <v>479</v>
      </c>
      <c r="G1130" s="68" t="s">
        <v>4308</v>
      </c>
      <c r="H1130" s="59" t="s">
        <v>4309</v>
      </c>
      <c r="I1130" s="69" t="s">
        <v>4310</v>
      </c>
      <c r="J1130" s="69"/>
      <c r="K1130" s="68" t="s">
        <v>12</v>
      </c>
      <c r="L1130" s="69" t="s">
        <v>129</v>
      </c>
      <c r="M1130" s="71" t="s">
        <v>113</v>
      </c>
      <c r="N1130" s="69" t="e" vm="2">
        <v>#VALUE!</v>
      </c>
      <c r="O1130" s="84">
        <v>44827</v>
      </c>
      <c r="P1130" s="72" t="s">
        <v>483</v>
      </c>
      <c r="Q1130" s="72" t="s">
        <v>837</v>
      </c>
      <c r="R1130" s="162"/>
      <c r="S1130" s="146" t="s">
        <v>4311</v>
      </c>
      <c r="T1130" s="68" t="s">
        <v>3</v>
      </c>
      <c r="U1130" s="87"/>
      <c r="V1130" s="80">
        <v>44867</v>
      </c>
      <c r="W1130" s="73">
        <v>1951</v>
      </c>
      <c r="X1130" s="73">
        <v>69.099999999999994</v>
      </c>
      <c r="Y1130" s="83">
        <f>IF(SUM(W1130:W1130)&gt;0,X1130/SUM(W1130:W1130)*1000000,"N/A")</f>
        <v>35417.734495130702</v>
      </c>
      <c r="Z1130" s="80"/>
      <c r="AA1130" s="80"/>
      <c r="AB1130" s="73" t="s">
        <v>4312</v>
      </c>
      <c r="AC1130" s="153"/>
      <c r="AD1130" s="331"/>
      <c r="AE1130" s="57"/>
      <c r="AF1130" s="88"/>
      <c r="AG1130" s="182">
        <f>YEAR(D1130)</f>
        <v>2022</v>
      </c>
      <c r="AH1130" s="86" t="str">
        <f>+IF(AE1130=$AJ$22,MONTH(T1130),"")</f>
        <v/>
      </c>
      <c r="AI1130" s="86" t="str">
        <f>+IF(AF1130=$AJ$22,MONTH(U1130),"")</f>
        <v/>
      </c>
      <c r="AJ1130" s="86" t="str">
        <f>+IF(AG1130=$AJ$22,MONTH(V1130),"")</f>
        <v/>
      </c>
      <c r="AK1130" s="86" t="str">
        <f>+IF(AG1130=$AK$22,MONTH(V1130),"")</f>
        <v/>
      </c>
      <c r="AL1130" s="86">
        <f>+IF(AG1130=$AL$22,MONTH(V1130),"")</f>
        <v>11</v>
      </c>
      <c r="AM1130" s="86" t="str">
        <f>+IF($AG1130=$AM$22,MONTH($D1130),"")</f>
        <v/>
      </c>
      <c r="AN1130" s="89" t="str">
        <f>+IF($AG1130=AN$22,MONTH($D1130),"")</f>
        <v/>
      </c>
      <c r="AO1130" s="89" t="str">
        <f>+IF($AG1130=AO$22,MONTH($D1130),"")</f>
        <v/>
      </c>
      <c r="AP1130" s="89" t="str">
        <f>+IF($AG1130=AP$22,MONTH($D1130),"")</f>
        <v/>
      </c>
      <c r="AQ1130" s="89" t="str">
        <f>+IF($AG1130=AQ$22,MONTH($D1130),"")</f>
        <v/>
      </c>
      <c r="AR1130" s="89" t="str">
        <f>+IF($AG1130=AR$22,MONTH($D1130),"")</f>
        <v/>
      </c>
      <c r="AS1130" s="89" t="str">
        <f>+IF($AG1130=AS$22,MONTH($D1130),"")</f>
        <v/>
      </c>
      <c r="AT1130" s="89" t="str">
        <f>+IF($AG1130=AT$22,MONTH($D1130),"")</f>
        <v/>
      </c>
      <c r="AU1130" s="89" t="str">
        <f>+IF($AG1130=AU$22,MONTH($D1130),"")</f>
        <v/>
      </c>
      <c r="AV1130" s="89" t="str">
        <f>+IF($AG1130=AV$22,MONTH($D1130),"")</f>
        <v/>
      </c>
      <c r="AW1130" s="86" t="str">
        <f>+IF($AG1130=AW$22,MONTH($D1130),"")</f>
        <v/>
      </c>
      <c r="AX1130" s="86" t="str">
        <f>+IF($AG1130=AX$22,MONTH($D1130),"")</f>
        <v/>
      </c>
      <c r="AY1130" s="89"/>
      <c r="AZ1130" s="89"/>
      <c r="BA1130" s="89"/>
      <c r="BB1130" s="89"/>
      <c r="BC1130" s="89"/>
      <c r="BD1130" s="89"/>
      <c r="BE1130" s="89"/>
      <c r="BF1130" s="89"/>
      <c r="BG1130" s="89"/>
      <c r="BH1130" s="89"/>
      <c r="BI1130" s="89"/>
      <c r="BJ1130" s="89"/>
      <c r="BK1130" s="89"/>
      <c r="BL1130" s="89"/>
      <c r="BM1130" s="89"/>
      <c r="BN1130" s="89"/>
      <c r="BO1130" s="89"/>
      <c r="BP1130" s="89"/>
    </row>
    <row r="1131" spans="1:68" s="56" customFormat="1" ht="81" hidden="1">
      <c r="A1131" s="204" t="str">
        <f>+IFERROR(VALUE(MID(AB1131,4,4)),"")</f>
        <v/>
      </c>
      <c r="B1131" s="204">
        <f>VALUE(RIGHT(C1131,LEN(C1131)-2))</f>
        <v>1592</v>
      </c>
      <c r="C1131" s="74" t="s">
        <v>4313</v>
      </c>
      <c r="D1131" s="75">
        <v>44816</v>
      </c>
      <c r="E1131" s="70" t="s">
        <v>394</v>
      </c>
      <c r="F1131" s="70" t="s">
        <v>394</v>
      </c>
      <c r="G1131" s="68" t="s">
        <v>4314</v>
      </c>
      <c r="H1131" s="111" t="s">
        <v>4315</v>
      </c>
      <c r="I1131" s="69" t="s">
        <v>4316</v>
      </c>
      <c r="J1131" s="69"/>
      <c r="K1131" s="68" t="s">
        <v>212</v>
      </c>
      <c r="L1131" s="69" t="s">
        <v>123</v>
      </c>
      <c r="M1131" s="71" t="s">
        <v>141</v>
      </c>
      <c r="N1131" s="69" t="e" vm="1">
        <v>#VALUE!</v>
      </c>
      <c r="O1131" s="84">
        <v>44868</v>
      </c>
      <c r="P1131" s="82" t="s">
        <v>228</v>
      </c>
      <c r="Q1131" s="82" t="s">
        <v>405</v>
      </c>
      <c r="R1131" s="69"/>
      <c r="S1131" s="146" t="s">
        <v>3136</v>
      </c>
      <c r="T1131" s="68" t="s">
        <v>165</v>
      </c>
      <c r="U1131" s="90"/>
      <c r="V1131" s="80">
        <v>45448</v>
      </c>
      <c r="W1131" s="73">
        <v>1000</v>
      </c>
      <c r="X1131" s="216">
        <v>40</v>
      </c>
      <c r="Y1131" s="83">
        <f>IF(SUM(W1131:W1131)&gt;0,X1131/SUM(W1131:W1131)*1000000,"N/A")</f>
        <v>40000</v>
      </c>
      <c r="Z1131" s="80"/>
      <c r="AA1131" s="80"/>
      <c r="AB1131" s="73"/>
      <c r="AC1131" s="217"/>
      <c r="AD1131" s="333"/>
      <c r="AE1131" s="112"/>
      <c r="AF1131" s="88" t="s">
        <v>4317</v>
      </c>
      <c r="AG1131" s="182">
        <f>YEAR(D1131)</f>
        <v>2022</v>
      </c>
      <c r="AH1131" s="86" t="str">
        <f>+IF(AE1131=$AJ$22,MONTH(T1131),"")</f>
        <v/>
      </c>
      <c r="AI1131" s="86" t="str">
        <f>+IF(AF1131=$AJ$22,MONTH(U1131),"")</f>
        <v/>
      </c>
      <c r="AJ1131" s="86" t="str">
        <f>+IF(AG1131=$AJ$22,MONTH(V1131),"")</f>
        <v/>
      </c>
      <c r="AK1131" s="86" t="str">
        <f>+IF(AG1131=$AK$22,MONTH(V1131),"")</f>
        <v/>
      </c>
      <c r="AL1131" s="86">
        <f>+IF(AG1131=$AL$22,MONTH(V1131),"")</f>
        <v>6</v>
      </c>
      <c r="AM1131" s="86" t="str">
        <f>+IF($AG1131=$AM$22,MONTH($D1131),"")</f>
        <v/>
      </c>
      <c r="AN1131" s="89" t="str">
        <f>+IF($AG1131=AN$22,MONTH($D1131),"")</f>
        <v/>
      </c>
      <c r="AO1131" s="89" t="str">
        <f>+IF($AG1131=AO$22,MONTH($D1131),"")</f>
        <v/>
      </c>
      <c r="AP1131" s="89" t="str">
        <f>+IF($AG1131=AP$22,MONTH($D1131),"")</f>
        <v/>
      </c>
      <c r="AQ1131" s="89" t="str">
        <f>+IF($AG1131=AQ$22,MONTH($D1131),"")</f>
        <v/>
      </c>
      <c r="AR1131" s="89" t="str">
        <f>+IF($AG1131=AR$22,MONTH($D1131),"")</f>
        <v/>
      </c>
      <c r="AS1131" s="89" t="str">
        <f>+IF($AG1131=AS$22,MONTH($D1131),"")</f>
        <v/>
      </c>
      <c r="AT1131" s="89" t="str">
        <f>+IF($AG1131=AT$22,MONTH($D1131),"")</f>
        <v/>
      </c>
      <c r="AU1131" s="89" t="str">
        <f>+IF($AG1131=AU$22,MONTH($D1131),"")</f>
        <v/>
      </c>
      <c r="AV1131" s="89" t="str">
        <f>+IF($AG1131=AV$22,MONTH($D1131),"")</f>
        <v/>
      </c>
      <c r="AW1131" s="86" t="str">
        <f>+IF($AG1131=AW$22,MONTH($D1131),"")</f>
        <v/>
      </c>
      <c r="AX1131" s="86" t="str">
        <f>+IF($AG1131=AX$22,MONTH($D1131),"")</f>
        <v/>
      </c>
      <c r="AY1131" s="89"/>
      <c r="AZ1131" s="89"/>
      <c r="BA1131" s="89"/>
      <c r="BB1131" s="89"/>
      <c r="BC1131" s="89"/>
      <c r="BD1131" s="89"/>
      <c r="BE1131" s="89"/>
      <c r="BF1131" s="89"/>
      <c r="BG1131" s="89"/>
      <c r="BH1131" s="89"/>
      <c r="BI1131" s="89"/>
      <c r="BJ1131" s="89"/>
      <c r="BK1131" s="89"/>
      <c r="BL1131" s="89"/>
      <c r="BM1131" s="89"/>
      <c r="BN1131" s="89"/>
      <c r="BO1131" s="89"/>
      <c r="BP1131" s="89"/>
    </row>
    <row r="1132" spans="1:68" s="56" customFormat="1" ht="27" hidden="1">
      <c r="A1132" s="204">
        <f>+IFERROR(VALUE(MID(AB1132,4,4)),"")</f>
        <v>274</v>
      </c>
      <c r="B1132" s="204">
        <f>VALUE(RIGHT(C1132,LEN(C1132)-2))</f>
        <v>1591</v>
      </c>
      <c r="C1132" s="74" t="s">
        <v>4318</v>
      </c>
      <c r="D1132" s="75">
        <v>44804</v>
      </c>
      <c r="E1132" s="70" t="s">
        <v>1054</v>
      </c>
      <c r="F1132" s="70" t="s">
        <v>252</v>
      </c>
      <c r="G1132" s="68" t="s">
        <v>1055</v>
      </c>
      <c r="H1132" s="59" t="s">
        <v>1056</v>
      </c>
      <c r="I1132" s="69" t="s">
        <v>4319</v>
      </c>
      <c r="J1132" s="69"/>
      <c r="K1132" s="68" t="s">
        <v>18</v>
      </c>
      <c r="L1132" s="69" t="s">
        <v>129</v>
      </c>
      <c r="M1132" s="71" t="s">
        <v>141</v>
      </c>
      <c r="N1132" s="69" t="e" vm="1">
        <v>#VALUE!</v>
      </c>
      <c r="O1132" s="84">
        <v>44805</v>
      </c>
      <c r="P1132" s="72" t="s">
        <v>402</v>
      </c>
      <c r="Q1132" s="82" t="s">
        <v>1097</v>
      </c>
      <c r="R1132" s="69"/>
      <c r="S1132" s="146" t="s">
        <v>4320</v>
      </c>
      <c r="T1132" s="68" t="s">
        <v>3</v>
      </c>
      <c r="U1132" s="87"/>
      <c r="V1132" s="80">
        <v>44816</v>
      </c>
      <c r="W1132" s="73">
        <v>277</v>
      </c>
      <c r="X1132" s="73">
        <v>7.9</v>
      </c>
      <c r="Y1132" s="83">
        <f>IF(SUM(W1132:W1132)&gt;0,X1132/SUM(W1132:W1132)*1000000,"N/A")</f>
        <v>28519.855595667872</v>
      </c>
      <c r="Z1132" s="80"/>
      <c r="AA1132" s="80"/>
      <c r="AB1132" s="73" t="s">
        <v>4321</v>
      </c>
      <c r="AC1132" s="153"/>
      <c r="AD1132" s="331"/>
      <c r="AE1132" s="57"/>
      <c r="AF1132" s="88"/>
      <c r="AG1132" s="182">
        <f>YEAR(D1132)</f>
        <v>2022</v>
      </c>
      <c r="AH1132" s="86" t="str">
        <f>+IF(AE1132=$AJ$22,MONTH(T1132),"")</f>
        <v/>
      </c>
      <c r="AI1132" s="86" t="str">
        <f>+IF(AF1132=$AJ$22,MONTH(U1132),"")</f>
        <v/>
      </c>
      <c r="AJ1132" s="86" t="str">
        <f>+IF(AG1132=$AJ$22,MONTH(V1132),"")</f>
        <v/>
      </c>
      <c r="AK1132" s="86" t="str">
        <f>+IF(AG1132=$AK$22,MONTH(V1132),"")</f>
        <v/>
      </c>
      <c r="AL1132" s="86">
        <f>+IF(AG1132=$AL$22,MONTH(V1132),"")</f>
        <v>9</v>
      </c>
      <c r="AM1132" s="86" t="str">
        <f>+IF($AG1132=$AM$22,MONTH($D1132),"")</f>
        <v/>
      </c>
      <c r="AN1132" s="89" t="str">
        <f>+IF($AG1132=AN$22,MONTH($D1132),"")</f>
        <v/>
      </c>
      <c r="AO1132" s="89" t="str">
        <f>+IF($AG1132=AO$22,MONTH($D1132),"")</f>
        <v/>
      </c>
      <c r="AP1132" s="89" t="str">
        <f>+IF($AG1132=AP$22,MONTH($D1132),"")</f>
        <v/>
      </c>
      <c r="AQ1132" s="89" t="str">
        <f>+IF($AG1132=AQ$22,MONTH($D1132),"")</f>
        <v/>
      </c>
      <c r="AR1132" s="89" t="str">
        <f>+IF($AG1132=AR$22,MONTH($D1132),"")</f>
        <v/>
      </c>
      <c r="AS1132" s="89" t="str">
        <f>+IF($AG1132=AS$22,MONTH($D1132),"")</f>
        <v/>
      </c>
      <c r="AT1132" s="89" t="str">
        <f>+IF($AG1132=AT$22,MONTH($D1132),"")</f>
        <v/>
      </c>
      <c r="AU1132" s="89" t="str">
        <f>+IF($AG1132=AU$22,MONTH($D1132),"")</f>
        <v/>
      </c>
      <c r="AV1132" s="89" t="str">
        <f>+IF($AG1132=AV$22,MONTH($D1132),"")</f>
        <v/>
      </c>
      <c r="AW1132" s="86" t="str">
        <f>+IF($AG1132=AW$22,MONTH($D1132),"")</f>
        <v/>
      </c>
      <c r="AX1132" s="86" t="str">
        <f>+IF($AG1132=AX$22,MONTH($D1132),"")</f>
        <v/>
      </c>
      <c r="AY1132" s="89"/>
      <c r="AZ1132" s="89"/>
      <c r="BA1132" s="89"/>
      <c r="BB1132" s="89"/>
      <c r="BC1132" s="89"/>
      <c r="BD1132" s="89"/>
      <c r="BE1132" s="89"/>
      <c r="BF1132" s="89"/>
      <c r="BG1132" s="89"/>
      <c r="BH1132" s="89"/>
      <c r="BI1132" s="89"/>
      <c r="BJ1132" s="89"/>
      <c r="BK1132" s="89"/>
      <c r="BL1132" s="89"/>
      <c r="BM1132" s="89"/>
      <c r="BN1132" s="89"/>
      <c r="BO1132" s="89"/>
      <c r="BP1132" s="89"/>
    </row>
    <row r="1133" spans="1:68" s="56" customFormat="1" ht="27" hidden="1">
      <c r="A1133" s="204">
        <f>+IFERROR(VALUE(MID(AB1133,4,4)),"")</f>
        <v>265</v>
      </c>
      <c r="B1133" s="204">
        <f>VALUE(RIGHT(C1133,LEN(C1133)-2))</f>
        <v>1590</v>
      </c>
      <c r="C1133" s="74" t="s">
        <v>4322</v>
      </c>
      <c r="D1133" s="75">
        <v>44804</v>
      </c>
      <c r="E1133" s="70" t="s">
        <v>332</v>
      </c>
      <c r="F1133" s="70" t="s">
        <v>332</v>
      </c>
      <c r="G1133" s="68" t="s">
        <v>4323</v>
      </c>
      <c r="H1133" s="59" t="s">
        <v>3819</v>
      </c>
      <c r="I1133" s="69" t="s">
        <v>4324</v>
      </c>
      <c r="J1133" s="69"/>
      <c r="K1133" s="68" t="s">
        <v>13</v>
      </c>
      <c r="L1133" s="69" t="s">
        <v>129</v>
      </c>
      <c r="M1133" s="71" t="s">
        <v>141</v>
      </c>
      <c r="N1133" s="69" t="e" vm="1">
        <v>#VALUE!</v>
      </c>
      <c r="O1133" s="84">
        <v>44804</v>
      </c>
      <c r="P1133" s="72" t="s">
        <v>285</v>
      </c>
      <c r="Q1133" s="82" t="s">
        <v>1097</v>
      </c>
      <c r="R1133" s="69"/>
      <c r="S1133" s="146" t="s">
        <v>2469</v>
      </c>
      <c r="T1133" s="68" t="s">
        <v>3</v>
      </c>
      <c r="U1133" s="87"/>
      <c r="V1133" s="80">
        <v>44816</v>
      </c>
      <c r="W1133" s="73">
        <v>291</v>
      </c>
      <c r="X1133" s="73">
        <f>314*33750/1000000</f>
        <v>10.5975</v>
      </c>
      <c r="Y1133" s="83">
        <f>IF(SUM(W1133:W1133)&gt;0,X1133/SUM(W1133:W1133)*1000000,"N/A")</f>
        <v>36417.525773195877</v>
      </c>
      <c r="Z1133" s="80"/>
      <c r="AA1133" s="80"/>
      <c r="AB1133" s="73" t="s">
        <v>4325</v>
      </c>
      <c r="AC1133" s="153"/>
      <c r="AD1133" s="331"/>
      <c r="AE1133" s="57"/>
      <c r="AF1133" s="88"/>
      <c r="AG1133" s="182">
        <f>YEAR(D1133)</f>
        <v>2022</v>
      </c>
      <c r="AH1133" s="86" t="str">
        <f>+IF(AE1133=$AJ$22,MONTH(T1133),"")</f>
        <v/>
      </c>
      <c r="AI1133" s="86" t="str">
        <f>+IF(AF1133=$AJ$22,MONTH(U1133),"")</f>
        <v/>
      </c>
      <c r="AJ1133" s="86" t="str">
        <f>+IF(AG1133=$AJ$22,MONTH(V1133),"")</f>
        <v/>
      </c>
      <c r="AK1133" s="86" t="str">
        <f>+IF(AG1133=$AK$22,MONTH(V1133),"")</f>
        <v/>
      </c>
      <c r="AL1133" s="86">
        <f>+IF(AG1133=$AL$22,MONTH(V1133),"")</f>
        <v>9</v>
      </c>
      <c r="AM1133" s="86" t="str">
        <f>+IF($AG1133=$AM$22,MONTH($D1133),"")</f>
        <v/>
      </c>
      <c r="AN1133" s="89" t="str">
        <f>+IF($AG1133=AN$22,MONTH($D1133),"")</f>
        <v/>
      </c>
      <c r="AO1133" s="89" t="str">
        <f>+IF($AG1133=AO$22,MONTH($D1133),"")</f>
        <v/>
      </c>
      <c r="AP1133" s="89" t="str">
        <f>+IF($AG1133=AP$22,MONTH($D1133),"")</f>
        <v/>
      </c>
      <c r="AQ1133" s="89" t="str">
        <f>+IF($AG1133=AQ$22,MONTH($D1133),"")</f>
        <v/>
      </c>
      <c r="AR1133" s="89" t="str">
        <f>+IF($AG1133=AR$22,MONTH($D1133),"")</f>
        <v/>
      </c>
      <c r="AS1133" s="89" t="str">
        <f>+IF($AG1133=AS$22,MONTH($D1133),"")</f>
        <v/>
      </c>
      <c r="AT1133" s="89" t="str">
        <f>+IF($AG1133=AT$22,MONTH($D1133),"")</f>
        <v/>
      </c>
      <c r="AU1133" s="89" t="str">
        <f>+IF($AG1133=AU$22,MONTH($D1133),"")</f>
        <v/>
      </c>
      <c r="AV1133" s="89" t="str">
        <f>+IF($AG1133=AV$22,MONTH($D1133),"")</f>
        <v/>
      </c>
      <c r="AW1133" s="86" t="str">
        <f>+IF($AG1133=AW$22,MONTH($D1133),"")</f>
        <v/>
      </c>
      <c r="AX1133" s="86" t="str">
        <f>+IF($AG1133=AX$22,MONTH($D1133),"")</f>
        <v/>
      </c>
      <c r="AY1133" s="89"/>
      <c r="AZ1133" s="89"/>
      <c r="BA1133" s="89"/>
      <c r="BB1133" s="89"/>
      <c r="BC1133" s="89"/>
      <c r="BD1133" s="89"/>
      <c r="BE1133" s="89"/>
      <c r="BF1133" s="89"/>
      <c r="BG1133" s="89"/>
      <c r="BH1133" s="89"/>
      <c r="BI1133" s="89"/>
      <c r="BJ1133" s="89"/>
      <c r="BK1133" s="89"/>
      <c r="BL1133" s="89"/>
      <c r="BM1133" s="89"/>
      <c r="BN1133" s="89"/>
      <c r="BO1133" s="89"/>
      <c r="BP1133" s="89"/>
    </row>
    <row r="1134" spans="1:68" s="56" customFormat="1" ht="27" hidden="1">
      <c r="A1134" s="204">
        <f>+IFERROR(VALUE(MID(AB1134,4,4)),"")</f>
        <v>271</v>
      </c>
      <c r="B1134" s="204">
        <f>VALUE(RIGHT(C1134,LEN(C1134)-2))</f>
        <v>1589</v>
      </c>
      <c r="C1134" s="74" t="s">
        <v>4326</v>
      </c>
      <c r="D1134" s="75">
        <v>44799</v>
      </c>
      <c r="E1134" s="70" t="s">
        <v>277</v>
      </c>
      <c r="F1134" s="70" t="s">
        <v>277</v>
      </c>
      <c r="G1134" s="68" t="s">
        <v>1350</v>
      </c>
      <c r="H1134" s="59" t="s">
        <v>4327</v>
      </c>
      <c r="I1134" s="69" t="s">
        <v>4328</v>
      </c>
      <c r="J1134" s="69"/>
      <c r="K1134" s="68" t="s">
        <v>9</v>
      </c>
      <c r="L1134" s="69" t="s">
        <v>129</v>
      </c>
      <c r="M1134" s="71" t="s">
        <v>141</v>
      </c>
      <c r="N1134" s="69" t="e" vm="1">
        <v>#VALUE!</v>
      </c>
      <c r="O1134" s="84">
        <v>44810</v>
      </c>
      <c r="P1134" s="72" t="s">
        <v>2852</v>
      </c>
      <c r="Q1134" s="82" t="s">
        <v>229</v>
      </c>
      <c r="R1134" s="69"/>
      <c r="S1134" s="146" t="s">
        <v>2469</v>
      </c>
      <c r="T1134" s="68" t="s">
        <v>3</v>
      </c>
      <c r="U1134" s="87"/>
      <c r="V1134" s="80">
        <v>44811</v>
      </c>
      <c r="W1134" s="73">
        <v>200</v>
      </c>
      <c r="X1134" s="73">
        <v>7.5</v>
      </c>
      <c r="Y1134" s="83">
        <f>IF(SUM(W1134:W1134)&gt;0,X1134/SUM(W1134:W1134)*1000000,"N/A")</f>
        <v>37500</v>
      </c>
      <c r="Z1134" s="80"/>
      <c r="AA1134" s="80"/>
      <c r="AB1134" s="73" t="s">
        <v>4329</v>
      </c>
      <c r="AC1134" s="153"/>
      <c r="AD1134" s="331"/>
      <c r="AE1134" s="57"/>
      <c r="AF1134" s="88"/>
      <c r="AG1134" s="182">
        <f>YEAR(D1134)</f>
        <v>2022</v>
      </c>
      <c r="AH1134" s="86" t="str">
        <f>+IF(AE1134=$AJ$22,MONTH(T1134),"")</f>
        <v/>
      </c>
      <c r="AI1134" s="86" t="str">
        <f>+IF(AF1134=$AJ$22,MONTH(U1134),"")</f>
        <v/>
      </c>
      <c r="AJ1134" s="86" t="str">
        <f>+IF(AG1134=$AJ$22,MONTH(V1134),"")</f>
        <v/>
      </c>
      <c r="AK1134" s="86" t="str">
        <f>+IF(AG1134=$AK$22,MONTH(V1134),"")</f>
        <v/>
      </c>
      <c r="AL1134" s="86">
        <f>+IF(AG1134=$AL$22,MONTH(V1134),"")</f>
        <v>9</v>
      </c>
      <c r="AM1134" s="86" t="str">
        <f>+IF($AG1134=$AM$22,MONTH($D1134),"")</f>
        <v/>
      </c>
      <c r="AN1134" s="89" t="str">
        <f>+IF($AG1134=AN$22,MONTH($D1134),"")</f>
        <v/>
      </c>
      <c r="AO1134" s="89" t="str">
        <f>+IF($AG1134=AO$22,MONTH($D1134),"")</f>
        <v/>
      </c>
      <c r="AP1134" s="89" t="str">
        <f>+IF($AG1134=AP$22,MONTH($D1134),"")</f>
        <v/>
      </c>
      <c r="AQ1134" s="89" t="str">
        <f>+IF($AG1134=AQ$22,MONTH($D1134),"")</f>
        <v/>
      </c>
      <c r="AR1134" s="89" t="str">
        <f>+IF($AG1134=AR$22,MONTH($D1134),"")</f>
        <v/>
      </c>
      <c r="AS1134" s="89" t="str">
        <f>+IF($AG1134=AS$22,MONTH($D1134),"")</f>
        <v/>
      </c>
      <c r="AT1134" s="89" t="str">
        <f>+IF($AG1134=AT$22,MONTH($D1134),"")</f>
        <v/>
      </c>
      <c r="AU1134" s="89" t="str">
        <f>+IF($AG1134=AU$22,MONTH($D1134),"")</f>
        <v/>
      </c>
      <c r="AV1134" s="89" t="str">
        <f>+IF($AG1134=AV$22,MONTH($D1134),"")</f>
        <v/>
      </c>
      <c r="AW1134" s="86" t="str">
        <f>+IF($AG1134=AW$22,MONTH($D1134),"")</f>
        <v/>
      </c>
      <c r="AX1134" s="86" t="str">
        <f>+IF($AG1134=AX$22,MONTH($D1134),"")</f>
        <v/>
      </c>
      <c r="AY1134" s="89"/>
      <c r="AZ1134" s="89"/>
      <c r="BA1134" s="89"/>
      <c r="BB1134" s="89"/>
      <c r="BC1134" s="89"/>
      <c r="BD1134" s="89"/>
      <c r="BE1134" s="89"/>
      <c r="BF1134" s="89"/>
      <c r="BG1134" s="89"/>
      <c r="BH1134" s="89"/>
      <c r="BI1134" s="89"/>
      <c r="BJ1134" s="89"/>
      <c r="BK1134" s="89"/>
      <c r="BL1134" s="89"/>
      <c r="BM1134" s="89"/>
      <c r="BN1134" s="89"/>
      <c r="BO1134" s="89"/>
      <c r="BP1134" s="89"/>
    </row>
    <row r="1135" spans="1:68" s="56" customFormat="1" ht="27" hidden="1">
      <c r="A1135" s="204">
        <f>+IFERROR(VALUE(MID(AB1135,4,4)),"")</f>
        <v>265</v>
      </c>
      <c r="B1135" s="204">
        <f>VALUE(RIGHT(C1135,LEN(C1135)-2))</f>
        <v>1588</v>
      </c>
      <c r="C1135" s="74" t="s">
        <v>4330</v>
      </c>
      <c r="D1135" s="75">
        <v>44803</v>
      </c>
      <c r="E1135" s="70" t="s">
        <v>332</v>
      </c>
      <c r="F1135" s="70" t="s">
        <v>332</v>
      </c>
      <c r="G1135" s="68" t="s">
        <v>4323</v>
      </c>
      <c r="H1135" s="59" t="s">
        <v>3819</v>
      </c>
      <c r="I1135" s="69" t="s">
        <v>4331</v>
      </c>
      <c r="J1135" s="69"/>
      <c r="K1135" s="68" t="s">
        <v>13</v>
      </c>
      <c r="L1135" s="69" t="s">
        <v>129</v>
      </c>
      <c r="M1135" s="71" t="s">
        <v>141</v>
      </c>
      <c r="N1135" s="69" t="e" vm="1">
        <v>#VALUE!</v>
      </c>
      <c r="O1135" s="84">
        <v>44803</v>
      </c>
      <c r="P1135" s="72" t="s">
        <v>285</v>
      </c>
      <c r="Q1135" s="82" t="s">
        <v>1097</v>
      </c>
      <c r="R1135" s="69"/>
      <c r="S1135" s="146" t="s">
        <v>2469</v>
      </c>
      <c r="T1135" s="68" t="s">
        <v>3</v>
      </c>
      <c r="U1135" s="90"/>
      <c r="V1135" s="80">
        <v>44803</v>
      </c>
      <c r="W1135" s="73">
        <v>142</v>
      </c>
      <c r="X1135" s="73">
        <f>160*33750/1000000</f>
        <v>5.4</v>
      </c>
      <c r="Y1135" s="83">
        <f>IF(SUM(W1135:W1135)&gt;0,X1135/SUM(W1135:W1135)*1000000,"N/A")</f>
        <v>38028.169014084509</v>
      </c>
      <c r="Z1135" s="80"/>
      <c r="AA1135" s="80"/>
      <c r="AB1135" s="73" t="s">
        <v>4332</v>
      </c>
      <c r="AC1135" s="153"/>
      <c r="AD1135" s="331"/>
      <c r="AE1135" s="57"/>
      <c r="AF1135" s="88"/>
      <c r="AG1135" s="182">
        <f>YEAR(V1135)</f>
        <v>2022</v>
      </c>
      <c r="AH1135" s="86" t="str">
        <f>+IF(AE1135=$AJ$22,MONTH(T1135),"")</f>
        <v/>
      </c>
      <c r="AI1135" s="86" t="str">
        <f>+IF(AF1135=$AJ$22,MONTH(U1135),"")</f>
        <v/>
      </c>
      <c r="AJ1135" s="86" t="str">
        <f>+IF(AG1135=$AJ$22,MONTH(V1135),"")</f>
        <v/>
      </c>
      <c r="AK1135" s="86" t="str">
        <f>+IF(AG1135=$AK$22,MONTH(V1135),"")</f>
        <v/>
      </c>
      <c r="AL1135" s="86">
        <f>+IF(AG1135=$AL$22,MONTH(V1135),"")</f>
        <v>8</v>
      </c>
      <c r="AM1135" s="86" t="str">
        <f>+IF($AG1135=$AM$22,MONTH($D1135),"")</f>
        <v/>
      </c>
      <c r="AN1135" s="89" t="str">
        <f>+IF($AG1135=AN$22,MONTH($D1135),"")</f>
        <v/>
      </c>
      <c r="AO1135" s="89" t="str">
        <f>+IF($AG1135=AO$22,MONTH($D1135),"")</f>
        <v/>
      </c>
      <c r="AP1135" s="89" t="str">
        <f>+IF($AG1135=AP$22,MONTH($D1135),"")</f>
        <v/>
      </c>
      <c r="AQ1135" s="89" t="str">
        <f>+IF($AG1135=AQ$22,MONTH($D1135),"")</f>
        <v/>
      </c>
      <c r="AR1135" s="89" t="str">
        <f>+IF($AG1135=AR$22,MONTH($D1135),"")</f>
        <v/>
      </c>
      <c r="AS1135" s="89" t="str">
        <f>+IF($AG1135=AS$22,MONTH($D1135),"")</f>
        <v/>
      </c>
      <c r="AT1135" s="89" t="str">
        <f>+IF($AG1135=AT$22,MONTH($D1135),"")</f>
        <v/>
      </c>
      <c r="AU1135" s="89" t="str">
        <f>+IF($AG1135=AU$22,MONTH($D1135),"")</f>
        <v/>
      </c>
      <c r="AV1135" s="89" t="str">
        <f>+IF($AG1135=AV$22,MONTH($D1135),"")</f>
        <v/>
      </c>
      <c r="AW1135" s="86" t="str">
        <f>+IF($AG1135=AW$22,MONTH($D1135),"")</f>
        <v/>
      </c>
      <c r="AX1135" s="86" t="str">
        <f>+IF($AG1135=AX$22,MONTH($D1135),"")</f>
        <v/>
      </c>
      <c r="AY1135" s="89"/>
      <c r="AZ1135" s="89"/>
      <c r="BA1135" s="89"/>
      <c r="BB1135" s="89"/>
      <c r="BC1135" s="89"/>
      <c r="BD1135" s="89"/>
      <c r="BE1135" s="89"/>
      <c r="BF1135" s="89"/>
      <c r="BG1135" s="89"/>
      <c r="BH1135" s="89"/>
      <c r="BI1135" s="89"/>
      <c r="BJ1135" s="89"/>
      <c r="BK1135" s="89"/>
      <c r="BL1135" s="89"/>
      <c r="BM1135" s="89"/>
      <c r="BN1135" s="89"/>
      <c r="BO1135" s="89"/>
      <c r="BP1135" s="89"/>
    </row>
    <row r="1136" spans="1:68" s="56" customFormat="1" ht="13.5" hidden="1">
      <c r="A1136" s="204">
        <f>+IFERROR(VALUE(MID(AB1136,4,4)),"")</f>
        <v>313</v>
      </c>
      <c r="B1136" s="204">
        <f>VALUE(RIGHT(C1136,LEN(C1136)-2))</f>
        <v>1587</v>
      </c>
      <c r="C1136" s="74" t="s">
        <v>4333</v>
      </c>
      <c r="D1136" s="75">
        <v>44802</v>
      </c>
      <c r="E1136" s="70" t="s">
        <v>76</v>
      </c>
      <c r="F1136" s="70" t="s">
        <v>255</v>
      </c>
      <c r="G1136" s="68" t="s">
        <v>3883</v>
      </c>
      <c r="H1136" s="59" t="s">
        <v>3925</v>
      </c>
      <c r="I1136" s="69" t="s">
        <v>4334</v>
      </c>
      <c r="J1136" s="69"/>
      <c r="K1136" s="95" t="s">
        <v>12</v>
      </c>
      <c r="L1136" s="69" t="s">
        <v>120</v>
      </c>
      <c r="M1136" s="71" t="s">
        <v>141</v>
      </c>
      <c r="N1136" s="69" t="e" vm="1">
        <v>#VALUE!</v>
      </c>
      <c r="O1136" s="84">
        <v>44827</v>
      </c>
      <c r="P1136" s="82" t="s">
        <v>4335</v>
      </c>
      <c r="Q1136" s="82" t="s">
        <v>623</v>
      </c>
      <c r="R1136" s="69"/>
      <c r="S1136" s="146" t="s">
        <v>4336</v>
      </c>
      <c r="T1136" s="68" t="s">
        <v>3</v>
      </c>
      <c r="U1136" s="87"/>
      <c r="V1136" s="80">
        <v>44851</v>
      </c>
      <c r="W1136" s="73">
        <v>6032</v>
      </c>
      <c r="X1136" s="216">
        <v>216.7</v>
      </c>
      <c r="Y1136" s="83">
        <f>IF(SUM(W1136:W1136)&gt;0,X1136/SUM(W1136:W1136)*1000000,"N/A")</f>
        <v>35925.066312997347</v>
      </c>
      <c r="Z1136" s="80"/>
      <c r="AA1136" s="80"/>
      <c r="AB1136" s="73" t="s">
        <v>4337</v>
      </c>
      <c r="AC1136" s="153"/>
      <c r="AD1136" s="331"/>
      <c r="AE1136" s="57"/>
      <c r="AF1136" s="88"/>
      <c r="AG1136" s="182">
        <f>YEAR(D1136)</f>
        <v>2022</v>
      </c>
      <c r="AH1136" s="86" t="str">
        <f>+IF(AE1136=$AJ$22,MONTH(T1136),"")</f>
        <v/>
      </c>
      <c r="AI1136" s="86" t="str">
        <f>+IF(AF1136=$AJ$22,MONTH(U1136),"")</f>
        <v/>
      </c>
      <c r="AJ1136" s="86" t="str">
        <f>+IF(AG1136=$AJ$22,MONTH(V1136),"")</f>
        <v/>
      </c>
      <c r="AK1136" s="86" t="str">
        <f>+IF(AG1136=$AK$22,MONTH(V1136),"")</f>
        <v/>
      </c>
      <c r="AL1136" s="86">
        <f>+IF(AG1136=$AL$22,MONTH(V1136),"")</f>
        <v>10</v>
      </c>
      <c r="AM1136" s="86" t="str">
        <f>+IF($AG1136=$AM$22,MONTH($D1136),"")</f>
        <v/>
      </c>
      <c r="AN1136" s="89" t="str">
        <f>+IF($AG1136=AN$22,MONTH($D1136),"")</f>
        <v/>
      </c>
      <c r="AO1136" s="89" t="str">
        <f>+IF($AG1136=AO$22,MONTH($D1136),"")</f>
        <v/>
      </c>
      <c r="AP1136" s="89" t="str">
        <f>+IF($AG1136=AP$22,MONTH($D1136),"")</f>
        <v/>
      </c>
      <c r="AQ1136" s="89" t="str">
        <f>+IF($AG1136=AQ$22,MONTH($D1136),"")</f>
        <v/>
      </c>
      <c r="AR1136" s="89" t="str">
        <f>+IF($AG1136=AR$22,MONTH($D1136),"")</f>
        <v/>
      </c>
      <c r="AS1136" s="89" t="str">
        <f>+IF($AG1136=AS$22,MONTH($D1136),"")</f>
        <v/>
      </c>
      <c r="AT1136" s="89" t="str">
        <f>+IF($AG1136=AT$22,MONTH($D1136),"")</f>
        <v/>
      </c>
      <c r="AU1136" s="89" t="str">
        <f>+IF($AG1136=AU$22,MONTH($D1136),"")</f>
        <v/>
      </c>
      <c r="AV1136" s="89" t="str">
        <f>+IF($AG1136=AV$22,MONTH($D1136),"")</f>
        <v/>
      </c>
      <c r="AW1136" s="86" t="str">
        <f>+IF($AG1136=AW$22,MONTH($D1136),"")</f>
        <v/>
      </c>
      <c r="AX1136" s="86" t="str">
        <f>+IF($AG1136=AX$22,MONTH($D1136),"")</f>
        <v/>
      </c>
      <c r="AY1136" s="89"/>
      <c r="AZ1136" s="89"/>
      <c r="BA1136" s="89"/>
      <c r="BB1136" s="89"/>
      <c r="BC1136" s="89"/>
      <c r="BD1136" s="89"/>
      <c r="BE1136" s="89"/>
      <c r="BF1136" s="89"/>
      <c r="BG1136" s="89"/>
      <c r="BH1136" s="89"/>
      <c r="BI1136" s="89"/>
      <c r="BJ1136" s="89"/>
      <c r="BK1136" s="89"/>
      <c r="BL1136" s="89"/>
      <c r="BM1136" s="89"/>
      <c r="BN1136" s="89"/>
      <c r="BO1136" s="89"/>
      <c r="BP1136" s="89"/>
    </row>
    <row r="1137" spans="1:68" s="56" customFormat="1" ht="42" hidden="1" customHeight="1">
      <c r="A1137" s="204" t="str">
        <f>+IFERROR(VALUE(MID(AB1137,4,4)),"")</f>
        <v/>
      </c>
      <c r="B1137" s="204">
        <f>VALUE(RIGHT(C1137,LEN(C1137)-2))</f>
        <v>1586</v>
      </c>
      <c r="C1137" s="74" t="s">
        <v>4338</v>
      </c>
      <c r="D1137" s="75">
        <v>44802</v>
      </c>
      <c r="E1137" s="70" t="s">
        <v>3685</v>
      </c>
      <c r="F1137" s="70" t="s">
        <v>4339</v>
      </c>
      <c r="G1137" s="68"/>
      <c r="H1137" s="59"/>
      <c r="I1137" s="69" t="s">
        <v>4340</v>
      </c>
      <c r="J1137" s="69"/>
      <c r="K1137" s="95" t="s">
        <v>12</v>
      </c>
      <c r="L1137" s="69" t="s">
        <v>120</v>
      </c>
      <c r="M1137" s="71" t="s">
        <v>141</v>
      </c>
      <c r="N1137" s="69" t="e" vm="1">
        <v>#VALUE!</v>
      </c>
      <c r="O1137" s="84">
        <v>44811</v>
      </c>
      <c r="P1137" s="82" t="s">
        <v>402</v>
      </c>
      <c r="Q1137" s="82" t="s">
        <v>229</v>
      </c>
      <c r="R1137" s="69"/>
      <c r="S1137" s="146" t="s">
        <v>4341</v>
      </c>
      <c r="T1137" s="68" t="s">
        <v>155</v>
      </c>
      <c r="U1137" s="87"/>
      <c r="V1137" s="80">
        <v>44874</v>
      </c>
      <c r="W1137" s="73"/>
      <c r="X1137" s="73"/>
      <c r="Y1137" s="83" t="str">
        <f>IF(SUM(W1137:W1137)&gt;0,X1137/SUM(W1137:W1137)*1000000,"N/A")</f>
        <v>N/A</v>
      </c>
      <c r="Z1137" s="80"/>
      <c r="AA1137" s="80"/>
      <c r="AB1137" s="73"/>
      <c r="AC1137" s="153"/>
      <c r="AD1137" s="331"/>
      <c r="AE1137" s="57"/>
      <c r="AF1137" s="88"/>
      <c r="AG1137" s="182">
        <f>YEAR(D1137)</f>
        <v>2022</v>
      </c>
      <c r="AH1137" s="86" t="str">
        <f>+IF(AE1137=$AJ$22,MONTH(T1137),"")</f>
        <v/>
      </c>
      <c r="AI1137" s="86" t="str">
        <f>+IF(AF1137=$AJ$22,MONTH(U1137),"")</f>
        <v/>
      </c>
      <c r="AJ1137" s="86" t="str">
        <f>+IF(AG1137=$AJ$22,MONTH(V1137),"")</f>
        <v/>
      </c>
      <c r="AK1137" s="86" t="str">
        <f>+IF(AG1137=$AK$22,MONTH(V1137),"")</f>
        <v/>
      </c>
      <c r="AL1137" s="86">
        <f>+IF(AG1137=$AL$22,MONTH(V1137),"")</f>
        <v>11</v>
      </c>
      <c r="AM1137" s="86" t="str">
        <f>+IF($AG1137=$AM$22,MONTH($D1137),"")</f>
        <v/>
      </c>
      <c r="AN1137" s="89" t="str">
        <f>+IF($AG1137=AN$22,MONTH($D1137),"")</f>
        <v/>
      </c>
      <c r="AO1137" s="89" t="str">
        <f>+IF($AG1137=AO$22,MONTH($D1137),"")</f>
        <v/>
      </c>
      <c r="AP1137" s="89" t="str">
        <f>+IF($AG1137=AP$22,MONTH($D1137),"")</f>
        <v/>
      </c>
      <c r="AQ1137" s="89" t="str">
        <f>+IF($AG1137=AQ$22,MONTH($D1137),"")</f>
        <v/>
      </c>
      <c r="AR1137" s="89" t="str">
        <f>+IF($AG1137=AR$22,MONTH($D1137),"")</f>
        <v/>
      </c>
      <c r="AS1137" s="89" t="str">
        <f>+IF($AG1137=AS$22,MONTH($D1137),"")</f>
        <v/>
      </c>
      <c r="AT1137" s="89" t="str">
        <f>+IF($AG1137=AT$22,MONTH($D1137),"")</f>
        <v/>
      </c>
      <c r="AU1137" s="89" t="str">
        <f>+IF($AG1137=AU$22,MONTH($D1137),"")</f>
        <v/>
      </c>
      <c r="AV1137" s="89" t="str">
        <f>+IF($AG1137=AV$22,MONTH($D1137),"")</f>
        <v/>
      </c>
      <c r="AW1137" s="86" t="str">
        <f>+IF($AG1137=AW$22,MONTH($D1137),"")</f>
        <v/>
      </c>
      <c r="AX1137" s="86" t="str">
        <f>+IF($AG1137=AX$22,MONTH($D1137),"")</f>
        <v/>
      </c>
      <c r="AY1137" s="89"/>
      <c r="AZ1137" s="89"/>
      <c r="BA1137" s="89"/>
      <c r="BB1137" s="89"/>
      <c r="BC1137" s="89"/>
      <c r="BD1137" s="89"/>
      <c r="BE1137" s="89"/>
      <c r="BF1137" s="89"/>
      <c r="BG1137" s="89"/>
      <c r="BH1137" s="89"/>
      <c r="BI1137" s="89"/>
      <c r="BJ1137" s="89"/>
      <c r="BK1137" s="89"/>
      <c r="BL1137" s="89"/>
      <c r="BM1137" s="89"/>
      <c r="BN1137" s="89"/>
      <c r="BO1137" s="89"/>
      <c r="BP1137" s="89"/>
    </row>
    <row r="1138" spans="1:68" s="56" customFormat="1" ht="27" hidden="1">
      <c r="A1138" s="204" t="str">
        <f>+IFERROR(VALUE(MID(AB1138,4,4)),"")</f>
        <v/>
      </c>
      <c r="B1138" s="204">
        <f>VALUE(RIGHT(C1138,LEN(C1138)-2))</f>
        <v>1585</v>
      </c>
      <c r="C1138" s="74" t="s">
        <v>4342</v>
      </c>
      <c r="D1138" s="75">
        <v>44802</v>
      </c>
      <c r="E1138" s="70" t="s">
        <v>3741</v>
      </c>
      <c r="F1138" s="70" t="s">
        <v>4343</v>
      </c>
      <c r="G1138" s="68" t="s">
        <v>3743</v>
      </c>
      <c r="H1138" s="59" t="s">
        <v>1159</v>
      </c>
      <c r="I1138" s="69" t="s">
        <v>4344</v>
      </c>
      <c r="J1138" s="69"/>
      <c r="K1138" s="68" t="s">
        <v>13</v>
      </c>
      <c r="L1138" s="69" t="s">
        <v>123</v>
      </c>
      <c r="M1138" s="71" t="s">
        <v>113</v>
      </c>
      <c r="N1138" s="69" t="e" vm="2">
        <v>#VALUE!</v>
      </c>
      <c r="O1138" s="84">
        <v>44804</v>
      </c>
      <c r="P1138" s="72" t="s">
        <v>483</v>
      </c>
      <c r="Q1138" s="72" t="s">
        <v>229</v>
      </c>
      <c r="R1138" s="162"/>
      <c r="S1138" s="146"/>
      <c r="T1138" s="68" t="s">
        <v>155</v>
      </c>
      <c r="U1138" s="87"/>
      <c r="V1138" s="80">
        <v>44802</v>
      </c>
      <c r="W1138" s="73"/>
      <c r="X1138" s="73"/>
      <c r="Y1138" s="83" t="str">
        <f>IF(SUM(W1138:W1138)&gt;0,X1138/SUM(W1138:W1138)*1000000,"N/A")</f>
        <v>N/A</v>
      </c>
      <c r="Z1138" s="80"/>
      <c r="AA1138" s="80"/>
      <c r="AB1138" s="73"/>
      <c r="AC1138" s="153"/>
      <c r="AD1138" s="331"/>
      <c r="AE1138" s="57"/>
      <c r="AF1138" s="88"/>
      <c r="AG1138" s="182">
        <f>YEAR(D1138)</f>
        <v>2022</v>
      </c>
      <c r="AH1138" s="86" t="str">
        <f>+IF(AE1138=$AJ$22,MONTH(T1138),"")</f>
        <v/>
      </c>
      <c r="AI1138" s="86" t="str">
        <f>+IF(AF1138=$AJ$22,MONTH(U1138),"")</f>
        <v/>
      </c>
      <c r="AJ1138" s="86" t="str">
        <f>+IF(AG1138=$AJ$22,MONTH(V1138),"")</f>
        <v/>
      </c>
      <c r="AK1138" s="86" t="str">
        <f>+IF(AG1138=$AK$22,MONTH(V1138),"")</f>
        <v/>
      </c>
      <c r="AL1138" s="86">
        <f>+IF(AG1138=$AL$22,MONTH(V1138),"")</f>
        <v>8</v>
      </c>
      <c r="AM1138" s="86" t="str">
        <f>+IF($AG1138=$AM$22,MONTH($D1138),"")</f>
        <v/>
      </c>
      <c r="AN1138" s="89" t="str">
        <f>+IF($AG1138=AN$22,MONTH($D1138),"")</f>
        <v/>
      </c>
      <c r="AO1138" s="89" t="str">
        <f>+IF($AG1138=AO$22,MONTH($D1138),"")</f>
        <v/>
      </c>
      <c r="AP1138" s="89" t="str">
        <f>+IF($AG1138=AP$22,MONTH($D1138),"")</f>
        <v/>
      </c>
      <c r="AQ1138" s="89" t="str">
        <f>+IF($AG1138=AQ$22,MONTH($D1138),"")</f>
        <v/>
      </c>
      <c r="AR1138" s="89" t="str">
        <f>+IF($AG1138=AR$22,MONTH($D1138),"")</f>
        <v/>
      </c>
      <c r="AS1138" s="89" t="str">
        <f>+IF($AG1138=AS$22,MONTH($D1138),"")</f>
        <v/>
      </c>
      <c r="AT1138" s="89" t="str">
        <f>+IF($AG1138=AT$22,MONTH($D1138),"")</f>
        <v/>
      </c>
      <c r="AU1138" s="89" t="str">
        <f>+IF($AG1138=AU$22,MONTH($D1138),"")</f>
        <v/>
      </c>
      <c r="AV1138" s="89" t="str">
        <f>+IF($AG1138=AV$22,MONTH($D1138),"")</f>
        <v/>
      </c>
      <c r="AW1138" s="86" t="str">
        <f>+IF($AG1138=AW$22,MONTH($D1138),"")</f>
        <v/>
      </c>
      <c r="AX1138" s="86" t="str">
        <f>+IF($AG1138=AX$22,MONTH($D1138),"")</f>
        <v/>
      </c>
      <c r="AY1138" s="89"/>
      <c r="AZ1138" s="89"/>
      <c r="BA1138" s="89"/>
      <c r="BB1138" s="89"/>
      <c r="BC1138" s="89"/>
      <c r="BD1138" s="89"/>
      <c r="BE1138" s="89"/>
      <c r="BF1138" s="89"/>
      <c r="BG1138" s="89"/>
      <c r="BH1138" s="89"/>
      <c r="BI1138" s="89"/>
      <c r="BJ1138" s="89"/>
      <c r="BK1138" s="89"/>
      <c r="BL1138" s="89"/>
      <c r="BM1138" s="89"/>
      <c r="BN1138" s="89"/>
      <c r="BO1138" s="89"/>
      <c r="BP1138" s="89"/>
    </row>
    <row r="1139" spans="1:68" s="56" customFormat="1" ht="27" hidden="1">
      <c r="A1139" s="204">
        <f>+IFERROR(VALUE(MID(AB1139,4,4)),"")</f>
        <v>265</v>
      </c>
      <c r="B1139" s="204">
        <f>VALUE(RIGHT(C1139,LEN(C1139)-2))</f>
        <v>1584</v>
      </c>
      <c r="C1139" s="74" t="s">
        <v>4345</v>
      </c>
      <c r="D1139" s="75">
        <v>44798</v>
      </c>
      <c r="E1139" s="70" t="s">
        <v>332</v>
      </c>
      <c r="F1139" s="70" t="s">
        <v>332</v>
      </c>
      <c r="G1139" s="68" t="s">
        <v>3818</v>
      </c>
      <c r="H1139" s="59" t="s">
        <v>3819</v>
      </c>
      <c r="I1139" s="69" t="s">
        <v>4346</v>
      </c>
      <c r="J1139" s="69"/>
      <c r="K1139" s="68" t="s">
        <v>9</v>
      </c>
      <c r="L1139" s="69" t="s">
        <v>129</v>
      </c>
      <c r="M1139" s="71" t="s">
        <v>141</v>
      </c>
      <c r="N1139" s="69" t="e" vm="1">
        <v>#VALUE!</v>
      </c>
      <c r="O1139" s="84">
        <v>44798</v>
      </c>
      <c r="P1139" s="72" t="s">
        <v>285</v>
      </c>
      <c r="Q1139" s="72" t="s">
        <v>644</v>
      </c>
      <c r="R1139" s="162"/>
      <c r="S1139" s="146" t="s">
        <v>2469</v>
      </c>
      <c r="T1139" s="68" t="s">
        <v>3</v>
      </c>
      <c r="U1139" s="87"/>
      <c r="V1139" s="80">
        <v>44798</v>
      </c>
      <c r="W1139" s="73">
        <v>95</v>
      </c>
      <c r="X1139" s="73">
        <f>130*33750/1000000</f>
        <v>4.3875000000000002</v>
      </c>
      <c r="Y1139" s="83">
        <f>IF(SUM(W1139:W1139)&gt;0,X1139/SUM(W1139:W1139)*1000000,"N/A")</f>
        <v>46184.210526315794</v>
      </c>
      <c r="Z1139" s="80"/>
      <c r="AA1139" s="80"/>
      <c r="AB1139" s="73" t="s">
        <v>4347</v>
      </c>
      <c r="AC1139" s="153"/>
      <c r="AD1139" s="331"/>
      <c r="AE1139" s="57"/>
      <c r="AF1139" s="88"/>
      <c r="AG1139" s="182">
        <f>YEAR(D1139)</f>
        <v>2022</v>
      </c>
      <c r="AH1139" s="86" t="str">
        <f>+IF(AE1139=$AJ$22,MONTH(T1139),"")</f>
        <v/>
      </c>
      <c r="AI1139" s="86" t="str">
        <f>+IF(AF1139=$AJ$22,MONTH(U1139),"")</f>
        <v/>
      </c>
      <c r="AJ1139" s="86" t="str">
        <f>+IF(AG1139=$AJ$22,MONTH(V1139),"")</f>
        <v/>
      </c>
      <c r="AK1139" s="86" t="str">
        <f>+IF(AG1139=$AK$22,MONTH(V1139),"")</f>
        <v/>
      </c>
      <c r="AL1139" s="86">
        <f>+IF(AG1139=$AL$22,MONTH(V1139),"")</f>
        <v>8</v>
      </c>
      <c r="AM1139" s="86" t="str">
        <f>+IF($AG1139=$AM$22,MONTH($D1139),"")</f>
        <v/>
      </c>
      <c r="AN1139" s="89" t="str">
        <f>+IF($AG1139=AN$22,MONTH($D1139),"")</f>
        <v/>
      </c>
      <c r="AO1139" s="89" t="str">
        <f>+IF($AG1139=AO$22,MONTH($D1139),"")</f>
        <v/>
      </c>
      <c r="AP1139" s="89" t="str">
        <f>+IF($AG1139=AP$22,MONTH($D1139),"")</f>
        <v/>
      </c>
      <c r="AQ1139" s="89" t="str">
        <f>+IF($AG1139=AQ$22,MONTH($D1139),"")</f>
        <v/>
      </c>
      <c r="AR1139" s="89" t="str">
        <f>+IF($AG1139=AR$22,MONTH($D1139),"")</f>
        <v/>
      </c>
      <c r="AS1139" s="89" t="str">
        <f>+IF($AG1139=AS$22,MONTH($D1139),"")</f>
        <v/>
      </c>
      <c r="AT1139" s="89" t="str">
        <f>+IF($AG1139=AT$22,MONTH($D1139),"")</f>
        <v/>
      </c>
      <c r="AU1139" s="89" t="str">
        <f>+IF($AG1139=AU$22,MONTH($D1139),"")</f>
        <v/>
      </c>
      <c r="AV1139" s="89" t="str">
        <f>+IF($AG1139=AV$22,MONTH($D1139),"")</f>
        <v/>
      </c>
      <c r="AW1139" s="86" t="str">
        <f>+IF($AG1139=AW$22,MONTH($D1139),"")</f>
        <v/>
      </c>
      <c r="AX1139" s="86" t="str">
        <f>+IF($AG1139=AX$22,MONTH($D1139),"")</f>
        <v/>
      </c>
      <c r="AY1139" s="89"/>
      <c r="AZ1139" s="89"/>
      <c r="BA1139" s="89"/>
      <c r="BB1139" s="89"/>
      <c r="BC1139" s="89"/>
      <c r="BD1139" s="89"/>
      <c r="BE1139" s="89"/>
      <c r="BF1139" s="89"/>
      <c r="BG1139" s="89"/>
      <c r="BH1139" s="89"/>
      <c r="BI1139" s="89"/>
      <c r="BJ1139" s="89"/>
      <c r="BK1139" s="89"/>
      <c r="BL1139" s="89"/>
      <c r="BM1139" s="89"/>
      <c r="BN1139" s="89"/>
      <c r="BO1139" s="89"/>
      <c r="BP1139" s="89"/>
    </row>
    <row r="1140" spans="1:68" s="56" customFormat="1" ht="27" hidden="1">
      <c r="A1140" s="204">
        <f>+IFERROR(VALUE(MID(AB1140,4,4)),"")</f>
        <v>265</v>
      </c>
      <c r="B1140" s="204">
        <f>VALUE(RIGHT(C1140,LEN(C1140)-2))</f>
        <v>1583</v>
      </c>
      <c r="C1140" s="74" t="s">
        <v>4348</v>
      </c>
      <c r="D1140" s="75">
        <v>44791</v>
      </c>
      <c r="E1140" s="70" t="s">
        <v>332</v>
      </c>
      <c r="F1140" s="70" t="s">
        <v>332</v>
      </c>
      <c r="G1140" s="68" t="s">
        <v>3818</v>
      </c>
      <c r="H1140" s="59" t="s">
        <v>3819</v>
      </c>
      <c r="I1140" s="69" t="s">
        <v>4349</v>
      </c>
      <c r="J1140" s="69"/>
      <c r="K1140" s="68" t="s">
        <v>9</v>
      </c>
      <c r="L1140" s="69" t="s">
        <v>129</v>
      </c>
      <c r="M1140" s="71" t="s">
        <v>141</v>
      </c>
      <c r="N1140" s="69" t="e" vm="1">
        <v>#VALUE!</v>
      </c>
      <c r="O1140" s="84">
        <v>44798</v>
      </c>
      <c r="P1140" s="72" t="s">
        <v>285</v>
      </c>
      <c r="Q1140" s="72" t="s">
        <v>229</v>
      </c>
      <c r="R1140" s="162"/>
      <c r="S1140" s="146" t="s">
        <v>2525</v>
      </c>
      <c r="T1140" s="68" t="s">
        <v>3</v>
      </c>
      <c r="U1140" s="87"/>
      <c r="V1140" s="80">
        <v>44798</v>
      </c>
      <c r="W1140" s="73">
        <v>65</v>
      </c>
      <c r="X1140" s="73">
        <f>70*33750/1000000</f>
        <v>2.3624999999999998</v>
      </c>
      <c r="Y1140" s="83">
        <f>IF(SUM(W1140:W1140)&gt;0,X1140/SUM(W1140:W1140)*1000000,"N/A")</f>
        <v>36346.153846153844</v>
      </c>
      <c r="Z1140" s="80"/>
      <c r="AA1140" s="80"/>
      <c r="AB1140" s="73" t="s">
        <v>4350</v>
      </c>
      <c r="AC1140" s="153"/>
      <c r="AD1140" s="331"/>
      <c r="AE1140" s="57"/>
      <c r="AF1140" s="88"/>
      <c r="AG1140" s="182">
        <f>YEAR(D1140)</f>
        <v>2022</v>
      </c>
      <c r="AH1140" s="86" t="str">
        <f>+IF(AE1140=$AJ$22,MONTH(T1140),"")</f>
        <v/>
      </c>
      <c r="AI1140" s="86" t="str">
        <f>+IF(AF1140=$AJ$22,MONTH(U1140),"")</f>
        <v/>
      </c>
      <c r="AJ1140" s="86" t="str">
        <f>+IF(AG1140=$AJ$22,MONTH(V1140),"")</f>
        <v/>
      </c>
      <c r="AK1140" s="86" t="str">
        <f>+IF(AG1140=$AK$22,MONTH(V1140),"")</f>
        <v/>
      </c>
      <c r="AL1140" s="86">
        <f>+IF(AG1140=$AL$22,MONTH(V1140),"")</f>
        <v>8</v>
      </c>
      <c r="AM1140" s="86" t="str">
        <f>+IF($AG1140=$AM$22,MONTH($D1140),"")</f>
        <v/>
      </c>
      <c r="AN1140" s="89" t="str">
        <f>+IF($AG1140=AN$22,MONTH($D1140),"")</f>
        <v/>
      </c>
      <c r="AO1140" s="89" t="str">
        <f>+IF($AG1140=AO$22,MONTH($D1140),"")</f>
        <v/>
      </c>
      <c r="AP1140" s="89" t="str">
        <f>+IF($AG1140=AP$22,MONTH($D1140),"")</f>
        <v/>
      </c>
      <c r="AQ1140" s="89" t="str">
        <f>+IF($AG1140=AQ$22,MONTH($D1140),"")</f>
        <v/>
      </c>
      <c r="AR1140" s="89" t="str">
        <f>+IF($AG1140=AR$22,MONTH($D1140),"")</f>
        <v/>
      </c>
      <c r="AS1140" s="89" t="str">
        <f>+IF($AG1140=AS$22,MONTH($D1140),"")</f>
        <v/>
      </c>
      <c r="AT1140" s="89" t="str">
        <f>+IF($AG1140=AT$22,MONTH($D1140),"")</f>
        <v/>
      </c>
      <c r="AU1140" s="89" t="str">
        <f>+IF($AG1140=AU$22,MONTH($D1140),"")</f>
        <v/>
      </c>
      <c r="AV1140" s="89" t="str">
        <f>+IF($AG1140=AV$22,MONTH($D1140),"")</f>
        <v/>
      </c>
      <c r="AW1140" s="86" t="str">
        <f>+IF($AG1140=AW$22,MONTH($D1140),"")</f>
        <v/>
      </c>
      <c r="AX1140" s="86" t="str">
        <f>+IF($AG1140=AX$22,MONTH($D1140),"")</f>
        <v/>
      </c>
      <c r="AY1140" s="89"/>
      <c r="AZ1140" s="89"/>
      <c r="BA1140" s="89"/>
      <c r="BB1140" s="89"/>
      <c r="BC1140" s="89"/>
      <c r="BD1140" s="89"/>
      <c r="BE1140" s="89"/>
      <c r="BF1140" s="89"/>
      <c r="BG1140" s="89"/>
      <c r="BH1140" s="89"/>
      <c r="BI1140" s="89"/>
      <c r="BJ1140" s="89"/>
      <c r="BK1140" s="89"/>
      <c r="BL1140" s="89"/>
      <c r="BM1140" s="89"/>
      <c r="BN1140" s="89"/>
      <c r="BO1140" s="89"/>
      <c r="BP1140" s="89"/>
    </row>
    <row r="1141" spans="1:68" s="56" customFormat="1" ht="40.5" hidden="1">
      <c r="A1141" s="204" t="str">
        <f>+IFERROR(VALUE(MID(AB1141,4,4)),"")</f>
        <v/>
      </c>
      <c r="B1141" s="204">
        <f>VALUE(RIGHT(C1141,LEN(C1141)-2))</f>
        <v>1582</v>
      </c>
      <c r="C1141" s="74" t="s">
        <v>4351</v>
      </c>
      <c r="D1141" s="75">
        <v>44795</v>
      </c>
      <c r="E1141" s="70" t="s">
        <v>1321</v>
      </c>
      <c r="F1141" s="70" t="s">
        <v>313</v>
      </c>
      <c r="G1141" s="68" t="s">
        <v>1322</v>
      </c>
      <c r="H1141" s="59" t="s">
        <v>1323</v>
      </c>
      <c r="I1141" s="69" t="s">
        <v>4352</v>
      </c>
      <c r="J1141" s="69"/>
      <c r="K1141" s="95" t="s">
        <v>18</v>
      </c>
      <c r="L1141" s="69" t="s">
        <v>120</v>
      </c>
      <c r="M1141" s="71" t="s">
        <v>141</v>
      </c>
      <c r="N1141" s="69" t="e" vm="1">
        <v>#VALUE!</v>
      </c>
      <c r="O1141" s="84">
        <v>44798</v>
      </c>
      <c r="P1141" s="82" t="s">
        <v>402</v>
      </c>
      <c r="Q1141" s="82" t="s">
        <v>623</v>
      </c>
      <c r="R1141" s="69"/>
      <c r="S1141" s="146" t="s">
        <v>2491</v>
      </c>
      <c r="T1141" s="68" t="s">
        <v>165</v>
      </c>
      <c r="U1141" s="87"/>
      <c r="V1141" s="80">
        <v>44867</v>
      </c>
      <c r="W1141" s="73">
        <v>80</v>
      </c>
      <c r="X1141" s="73">
        <v>5.6</v>
      </c>
      <c r="Y1141" s="83">
        <f>IF(SUM(W1141:W1141)&gt;0,X1141/SUM(W1141:W1141)*1000000,"N/A")</f>
        <v>70000</v>
      </c>
      <c r="Z1141" s="80"/>
      <c r="AA1141" s="80"/>
      <c r="AB1141" s="73"/>
      <c r="AC1141" s="153"/>
      <c r="AD1141" s="331"/>
      <c r="AE1141" s="57"/>
      <c r="AF1141" s="88" t="s">
        <v>4353</v>
      </c>
      <c r="AG1141" s="182">
        <f>YEAR(D1141)</f>
        <v>2022</v>
      </c>
      <c r="AH1141" s="86" t="str">
        <f>+IF(AE1141=$AJ$22,MONTH(T1141),"")</f>
        <v/>
      </c>
      <c r="AI1141" s="86" t="str">
        <f>+IF(AF1141=$AJ$22,MONTH(U1141),"")</f>
        <v/>
      </c>
      <c r="AJ1141" s="86" t="str">
        <f>+IF(AG1141=$AJ$22,MONTH(V1141),"")</f>
        <v/>
      </c>
      <c r="AK1141" s="86" t="str">
        <f>+IF(AG1141=$AK$22,MONTH(V1141),"")</f>
        <v/>
      </c>
      <c r="AL1141" s="86">
        <f>+IF(AG1141=$AL$22,MONTH(V1141),"")</f>
        <v>11</v>
      </c>
      <c r="AM1141" s="86" t="str">
        <f>+IF($AG1141=$AM$22,MONTH($D1141),"")</f>
        <v/>
      </c>
      <c r="AN1141" s="89" t="str">
        <f>+IF($AG1141=AN$22,MONTH($D1141),"")</f>
        <v/>
      </c>
      <c r="AO1141" s="89" t="str">
        <f>+IF($AG1141=AO$22,MONTH($D1141),"")</f>
        <v/>
      </c>
      <c r="AP1141" s="89" t="str">
        <f>+IF($AG1141=AP$22,MONTH($D1141),"")</f>
        <v/>
      </c>
      <c r="AQ1141" s="89" t="str">
        <f>+IF($AG1141=AQ$22,MONTH($D1141),"")</f>
        <v/>
      </c>
      <c r="AR1141" s="89" t="str">
        <f>+IF($AG1141=AR$22,MONTH($D1141),"")</f>
        <v/>
      </c>
      <c r="AS1141" s="89" t="str">
        <f>+IF($AG1141=AS$22,MONTH($D1141),"")</f>
        <v/>
      </c>
      <c r="AT1141" s="89" t="str">
        <f>+IF($AG1141=AT$22,MONTH($D1141),"")</f>
        <v/>
      </c>
      <c r="AU1141" s="89" t="str">
        <f>+IF($AG1141=AU$22,MONTH($D1141),"")</f>
        <v/>
      </c>
      <c r="AV1141" s="89" t="str">
        <f>+IF($AG1141=AV$22,MONTH($D1141),"")</f>
        <v/>
      </c>
      <c r="AW1141" s="86" t="str">
        <f>+IF($AG1141=AW$22,MONTH($D1141),"")</f>
        <v/>
      </c>
      <c r="AX1141" s="86" t="str">
        <f>+IF($AG1141=AX$22,MONTH($D1141),"")</f>
        <v/>
      </c>
      <c r="AY1141" s="89"/>
      <c r="AZ1141" s="89"/>
      <c r="BA1141" s="89"/>
      <c r="BB1141" s="89"/>
      <c r="BC1141" s="89"/>
      <c r="BD1141" s="89"/>
      <c r="BE1141" s="89"/>
      <c r="BF1141" s="89"/>
      <c r="BG1141" s="89"/>
      <c r="BH1141" s="89"/>
      <c r="BI1141" s="89"/>
      <c r="BJ1141" s="89"/>
      <c r="BK1141" s="89"/>
      <c r="BL1141" s="89"/>
      <c r="BM1141" s="89"/>
      <c r="BN1141" s="89"/>
      <c r="BO1141" s="89"/>
      <c r="BP1141" s="89"/>
    </row>
    <row r="1142" spans="1:68" s="56" customFormat="1" ht="53.25" hidden="1">
      <c r="A1142" s="204" t="str">
        <f>+IFERROR(VALUE(MID(AB1142,4,4)),"")</f>
        <v/>
      </c>
      <c r="B1142" s="204">
        <f>VALUE(RIGHT(C1142,LEN(C1142)-2))</f>
        <v>1581</v>
      </c>
      <c r="C1142" s="74" t="s">
        <v>4354</v>
      </c>
      <c r="D1142" s="75">
        <v>44795</v>
      </c>
      <c r="E1142" s="70" t="s">
        <v>479</v>
      </c>
      <c r="F1142" s="70" t="s">
        <v>479</v>
      </c>
      <c r="G1142" s="68" t="s">
        <v>4355</v>
      </c>
      <c r="H1142" s="59" t="s">
        <v>4356</v>
      </c>
      <c r="I1142" s="69" t="s">
        <v>4357</v>
      </c>
      <c r="J1142" s="69"/>
      <c r="K1142" s="68" t="s">
        <v>13</v>
      </c>
      <c r="L1142" s="69" t="s">
        <v>129</v>
      </c>
      <c r="M1142" s="71" t="s">
        <v>113</v>
      </c>
      <c r="N1142" s="69" t="e" vm="2">
        <v>#VALUE!</v>
      </c>
      <c r="O1142" s="84">
        <v>44798</v>
      </c>
      <c r="P1142" s="72" t="s">
        <v>483</v>
      </c>
      <c r="Q1142" s="72" t="s">
        <v>623</v>
      </c>
      <c r="R1142" s="162"/>
      <c r="S1142" s="146" t="s">
        <v>2491</v>
      </c>
      <c r="T1142" s="68" t="s">
        <v>165</v>
      </c>
      <c r="U1142" s="87"/>
      <c r="V1142" s="80">
        <v>44979</v>
      </c>
      <c r="W1142" s="73">
        <v>2970</v>
      </c>
      <c r="X1142" s="73">
        <v>91.7</v>
      </c>
      <c r="Y1142" s="83">
        <f>IF(SUM(W1142:W1142)&gt;0,X1142/SUM(W1142:W1142)*1000000,"N/A")</f>
        <v>30875.420875420874</v>
      </c>
      <c r="Z1142" s="80"/>
      <c r="AA1142" s="80"/>
      <c r="AB1142" s="73"/>
      <c r="AC1142" s="153"/>
      <c r="AD1142" s="331"/>
      <c r="AE1142" s="57"/>
      <c r="AF1142" s="88" t="s">
        <v>4236</v>
      </c>
      <c r="AG1142" s="182">
        <f>YEAR(D1142)</f>
        <v>2022</v>
      </c>
      <c r="AH1142" s="86" t="str">
        <f>+IF(AE1142=$AJ$22,MONTH(T1142),"")</f>
        <v/>
      </c>
      <c r="AI1142" s="86" t="str">
        <f>+IF(AF1142=$AJ$22,MONTH(U1142),"")</f>
        <v/>
      </c>
      <c r="AJ1142" s="86" t="str">
        <f>+IF(AG1142=$AJ$22,MONTH(V1142),"")</f>
        <v/>
      </c>
      <c r="AK1142" s="86" t="str">
        <f>+IF(AG1142=$AK$22,MONTH(V1142),"")</f>
        <v/>
      </c>
      <c r="AL1142" s="86">
        <f>+IF(AG1142=$AL$22,MONTH(V1142),"")</f>
        <v>2</v>
      </c>
      <c r="AM1142" s="86" t="str">
        <f>+IF($AG1142=$AM$22,MONTH($D1142),"")</f>
        <v/>
      </c>
      <c r="AN1142" s="89" t="str">
        <f>+IF($AG1142=AN$22,MONTH($D1142),"")</f>
        <v/>
      </c>
      <c r="AO1142" s="89" t="str">
        <f>+IF($AG1142=AO$22,MONTH($D1142),"")</f>
        <v/>
      </c>
      <c r="AP1142" s="89" t="str">
        <f>+IF($AG1142=AP$22,MONTH($D1142),"")</f>
        <v/>
      </c>
      <c r="AQ1142" s="89" t="str">
        <f>+IF($AG1142=AQ$22,MONTH($D1142),"")</f>
        <v/>
      </c>
      <c r="AR1142" s="89" t="str">
        <f>+IF($AG1142=AR$22,MONTH($D1142),"")</f>
        <v/>
      </c>
      <c r="AS1142" s="89" t="str">
        <f>+IF($AG1142=AS$22,MONTH($D1142),"")</f>
        <v/>
      </c>
      <c r="AT1142" s="89" t="str">
        <f>+IF($AG1142=AT$22,MONTH($D1142),"")</f>
        <v/>
      </c>
      <c r="AU1142" s="89" t="str">
        <f>+IF($AG1142=AU$22,MONTH($D1142),"")</f>
        <v/>
      </c>
      <c r="AV1142" s="89" t="str">
        <f>+IF($AG1142=AV$22,MONTH($D1142),"")</f>
        <v/>
      </c>
      <c r="AW1142" s="86" t="str">
        <f>+IF($AG1142=AW$22,MONTH($D1142),"")</f>
        <v/>
      </c>
      <c r="AX1142" s="86" t="str">
        <f>+IF($AG1142=AX$22,MONTH($D1142),"")</f>
        <v/>
      </c>
      <c r="AY1142" s="89"/>
      <c r="AZ1142" s="89"/>
      <c r="BA1142" s="89"/>
      <c r="BB1142" s="89"/>
      <c r="BC1142" s="89"/>
      <c r="BD1142" s="89"/>
      <c r="BE1142" s="89"/>
      <c r="BF1142" s="89"/>
      <c r="BG1142" s="89"/>
      <c r="BH1142" s="89"/>
      <c r="BI1142" s="89"/>
      <c r="BJ1142" s="89"/>
      <c r="BK1142" s="89"/>
      <c r="BL1142" s="89"/>
      <c r="BM1142" s="89"/>
      <c r="BN1142" s="89"/>
      <c r="BO1142" s="89"/>
      <c r="BP1142" s="89"/>
    </row>
    <row r="1143" spans="1:68" s="56" customFormat="1" ht="40.5" hidden="1">
      <c r="A1143" s="204" t="str">
        <f>+IFERROR(VALUE(MID(AB1143,4,4)),"")</f>
        <v/>
      </c>
      <c r="B1143" s="204">
        <f>VALUE(RIGHT(C1143,LEN(C1143)-2))</f>
        <v>1580</v>
      </c>
      <c r="C1143" s="74" t="s">
        <v>4358</v>
      </c>
      <c r="D1143" s="75">
        <v>44792</v>
      </c>
      <c r="E1143" s="70" t="s">
        <v>332</v>
      </c>
      <c r="F1143" s="70" t="s">
        <v>332</v>
      </c>
      <c r="G1143" s="68" t="s">
        <v>4323</v>
      </c>
      <c r="H1143" s="59" t="s">
        <v>3819</v>
      </c>
      <c r="I1143" s="69" t="s">
        <v>4359</v>
      </c>
      <c r="J1143" s="69"/>
      <c r="K1143" s="68" t="s">
        <v>13</v>
      </c>
      <c r="L1143" s="69" t="s">
        <v>129</v>
      </c>
      <c r="M1143" s="71" t="s">
        <v>141</v>
      </c>
      <c r="N1143" s="69" t="e" vm="1">
        <v>#VALUE!</v>
      </c>
      <c r="O1143" s="84">
        <v>44750</v>
      </c>
      <c r="P1143" s="72" t="s">
        <v>285</v>
      </c>
      <c r="Q1143" s="72" t="s">
        <v>644</v>
      </c>
      <c r="R1143" s="162"/>
      <c r="S1143" s="146" t="s">
        <v>4360</v>
      </c>
      <c r="T1143" s="68" t="s">
        <v>165</v>
      </c>
      <c r="U1143" s="87"/>
      <c r="V1143" s="80">
        <v>44979</v>
      </c>
      <c r="W1143" s="73">
        <v>1279</v>
      </c>
      <c r="X1143" s="73">
        <f>1350*33750/1000000</f>
        <v>45.5625</v>
      </c>
      <c r="Y1143" s="83">
        <f>IF(SUM(W1143:W1143)&gt;0,X1143/SUM(W1143:W1143)*1000000,"N/A")</f>
        <v>35623.534010946052</v>
      </c>
      <c r="Z1143" s="80"/>
      <c r="AA1143" s="80"/>
      <c r="AB1143" s="73"/>
      <c r="AC1143" s="153"/>
      <c r="AD1143" s="331"/>
      <c r="AE1143" s="57"/>
      <c r="AF1143" s="88" t="s">
        <v>4361</v>
      </c>
      <c r="AG1143" s="182">
        <f>YEAR(D1143)</f>
        <v>2022</v>
      </c>
      <c r="AH1143" s="86" t="str">
        <f>+IF(AE1143=$AJ$22,MONTH(T1143),"")</f>
        <v/>
      </c>
      <c r="AI1143" s="86" t="str">
        <f>+IF(AF1143=$AJ$22,MONTH(U1143),"")</f>
        <v/>
      </c>
      <c r="AJ1143" s="86" t="str">
        <f>+IF(AG1143=$AJ$22,MONTH(V1143),"")</f>
        <v/>
      </c>
      <c r="AK1143" s="86" t="str">
        <f>+IF(AG1143=$AK$22,MONTH(V1143),"")</f>
        <v/>
      </c>
      <c r="AL1143" s="86">
        <f>+IF(AG1143=$AL$22,MONTH(V1143),"")</f>
        <v>2</v>
      </c>
      <c r="AM1143" s="86" t="str">
        <f>+IF($AG1143=$AM$22,MONTH($D1143),"")</f>
        <v/>
      </c>
      <c r="AN1143" s="89" t="str">
        <f>+IF($AG1143=AN$22,MONTH($D1143),"")</f>
        <v/>
      </c>
      <c r="AO1143" s="89" t="str">
        <f>+IF($AG1143=AO$22,MONTH($D1143),"")</f>
        <v/>
      </c>
      <c r="AP1143" s="89" t="str">
        <f>+IF($AG1143=AP$22,MONTH($D1143),"")</f>
        <v/>
      </c>
      <c r="AQ1143" s="89" t="str">
        <f>+IF($AG1143=AQ$22,MONTH($D1143),"")</f>
        <v/>
      </c>
      <c r="AR1143" s="89" t="str">
        <f>+IF($AG1143=AR$22,MONTH($D1143),"")</f>
        <v/>
      </c>
      <c r="AS1143" s="89" t="str">
        <f>+IF($AG1143=AS$22,MONTH($D1143),"")</f>
        <v/>
      </c>
      <c r="AT1143" s="89" t="str">
        <f>+IF($AG1143=AT$22,MONTH($D1143),"")</f>
        <v/>
      </c>
      <c r="AU1143" s="89" t="str">
        <f>+IF($AG1143=AU$22,MONTH($D1143),"")</f>
        <v/>
      </c>
      <c r="AV1143" s="89" t="str">
        <f>+IF($AG1143=AV$22,MONTH($D1143),"")</f>
        <v/>
      </c>
      <c r="AW1143" s="86" t="str">
        <f>+IF($AG1143=AW$22,MONTH($D1143),"")</f>
        <v/>
      </c>
      <c r="AX1143" s="86" t="str">
        <f>+IF($AG1143=AX$22,MONTH($D1143),"")</f>
        <v/>
      </c>
      <c r="AY1143" s="89"/>
      <c r="AZ1143" s="89"/>
      <c r="BA1143" s="89"/>
      <c r="BB1143" s="89"/>
      <c r="BC1143" s="89"/>
      <c r="BD1143" s="89"/>
      <c r="BE1143" s="89"/>
      <c r="BF1143" s="89"/>
      <c r="BG1143" s="89"/>
      <c r="BH1143" s="89"/>
      <c r="BI1143" s="89"/>
      <c r="BJ1143" s="89"/>
      <c r="BK1143" s="89"/>
      <c r="BL1143" s="89"/>
      <c r="BM1143" s="89"/>
      <c r="BN1143" s="89"/>
      <c r="BO1143" s="89"/>
      <c r="BP1143" s="89"/>
    </row>
    <row r="1144" spans="1:68" s="56" customFormat="1" ht="13.5" hidden="1">
      <c r="A1144" s="204">
        <f>+IFERROR(VALUE(MID(AB1144,4,4)),"")</f>
        <v>290</v>
      </c>
      <c r="B1144" s="204">
        <f>VALUE(RIGHT(C1144,LEN(C1144)-2))</f>
        <v>1579</v>
      </c>
      <c r="C1144" s="74" t="s">
        <v>4362</v>
      </c>
      <c r="D1144" s="75">
        <v>44789</v>
      </c>
      <c r="E1144" s="70" t="s">
        <v>3282</v>
      </c>
      <c r="F1144" s="70" t="s">
        <v>3520</v>
      </c>
      <c r="G1144" s="68" t="s">
        <v>4363</v>
      </c>
      <c r="H1144" s="59" t="s">
        <v>4364</v>
      </c>
      <c r="I1144" s="69" t="s">
        <v>4365</v>
      </c>
      <c r="J1144" s="69"/>
      <c r="K1144" s="95" t="s">
        <v>18</v>
      </c>
      <c r="L1144" s="69" t="s">
        <v>120</v>
      </c>
      <c r="M1144" s="71" t="s">
        <v>113</v>
      </c>
      <c r="N1144" s="69" t="e" vm="9">
        <v>#VALUE!</v>
      </c>
      <c r="O1144" s="84">
        <v>44790</v>
      </c>
      <c r="P1144" s="82" t="s">
        <v>4173</v>
      </c>
      <c r="Q1144" s="72" t="s">
        <v>644</v>
      </c>
      <c r="R1144" s="162"/>
      <c r="S1144" s="146"/>
      <c r="T1144" s="68" t="s">
        <v>3</v>
      </c>
      <c r="U1144" s="87"/>
      <c r="V1144" s="80">
        <v>44797</v>
      </c>
      <c r="W1144" s="73">
        <v>190</v>
      </c>
      <c r="X1144" s="73">
        <v>9.4</v>
      </c>
      <c r="Y1144" s="83">
        <f>IF(SUM(W1144:W1144)&gt;0,X1144/SUM(W1144:W1144)*1000000,"N/A")</f>
        <v>49473.684210526313</v>
      </c>
      <c r="Z1144" s="80"/>
      <c r="AA1144" s="80"/>
      <c r="AB1144" s="73" t="s">
        <v>4366</v>
      </c>
      <c r="AC1144" s="153"/>
      <c r="AD1144" s="331"/>
      <c r="AE1144" s="57"/>
      <c r="AF1144" s="88"/>
      <c r="AG1144" s="182">
        <f>YEAR(D1144)</f>
        <v>2022</v>
      </c>
      <c r="AH1144" s="86" t="str">
        <f>+IF(AE1144=$AJ$22,MONTH(T1144),"")</f>
        <v/>
      </c>
      <c r="AI1144" s="86" t="str">
        <f>+IF(AF1144=$AJ$22,MONTH(U1144),"")</f>
        <v/>
      </c>
      <c r="AJ1144" s="86" t="str">
        <f>+IF(AG1144=$AJ$22,MONTH(V1144),"")</f>
        <v/>
      </c>
      <c r="AK1144" s="86" t="str">
        <f>+IF(AG1144=$AK$22,MONTH(V1144),"")</f>
        <v/>
      </c>
      <c r="AL1144" s="86">
        <f>+IF(AG1144=$AL$22,MONTH(V1144),"")</f>
        <v>8</v>
      </c>
      <c r="AM1144" s="86" t="str">
        <f>+IF($AG1144=$AM$22,MONTH($D1144),"")</f>
        <v/>
      </c>
      <c r="AN1144" s="89" t="str">
        <f>+IF($AG1144=AN$22,MONTH($D1144),"")</f>
        <v/>
      </c>
      <c r="AO1144" s="89" t="str">
        <f>+IF($AG1144=AO$22,MONTH($D1144),"")</f>
        <v/>
      </c>
      <c r="AP1144" s="89" t="str">
        <f>+IF($AG1144=AP$22,MONTH($D1144),"")</f>
        <v/>
      </c>
      <c r="AQ1144" s="89" t="str">
        <f>+IF($AG1144=AQ$22,MONTH($D1144),"")</f>
        <v/>
      </c>
      <c r="AR1144" s="89" t="str">
        <f>+IF($AG1144=AR$22,MONTH($D1144),"")</f>
        <v/>
      </c>
      <c r="AS1144" s="89" t="str">
        <f>+IF($AG1144=AS$22,MONTH($D1144),"")</f>
        <v/>
      </c>
      <c r="AT1144" s="89" t="str">
        <f>+IF($AG1144=AT$22,MONTH($D1144),"")</f>
        <v/>
      </c>
      <c r="AU1144" s="89" t="str">
        <f>+IF($AG1144=AU$22,MONTH($D1144),"")</f>
        <v/>
      </c>
      <c r="AV1144" s="89" t="str">
        <f>+IF($AG1144=AV$22,MONTH($D1144),"")</f>
        <v/>
      </c>
      <c r="AW1144" s="86" t="str">
        <f>+IF($AG1144=AW$22,MONTH($D1144),"")</f>
        <v/>
      </c>
      <c r="AX1144" s="86" t="str">
        <f>+IF($AG1144=AX$22,MONTH($D1144),"")</f>
        <v/>
      </c>
      <c r="AY1144" s="89"/>
      <c r="AZ1144" s="89"/>
      <c r="BA1144" s="89"/>
      <c r="BB1144" s="89"/>
      <c r="BC1144" s="89"/>
      <c r="BD1144" s="89"/>
      <c r="BE1144" s="89"/>
      <c r="BF1144" s="89"/>
      <c r="BG1144" s="89"/>
      <c r="BH1144" s="89"/>
      <c r="BI1144" s="89"/>
      <c r="BJ1144" s="89"/>
      <c r="BK1144" s="89"/>
      <c r="BL1144" s="89"/>
      <c r="BM1144" s="89"/>
      <c r="BN1144" s="89"/>
      <c r="BO1144" s="89"/>
      <c r="BP1144" s="89"/>
    </row>
    <row r="1145" spans="1:68" s="56" customFormat="1" ht="53.25" hidden="1">
      <c r="A1145" s="204" t="str">
        <f>+IFERROR(VALUE(MID(AB1145,4,4)),"")</f>
        <v/>
      </c>
      <c r="B1145" s="204">
        <f>VALUE(RIGHT(C1145,LEN(C1145)-2))</f>
        <v>1578</v>
      </c>
      <c r="C1145" s="74" t="s">
        <v>4367</v>
      </c>
      <c r="D1145" s="75">
        <v>44790</v>
      </c>
      <c r="E1145" s="70" t="s">
        <v>394</v>
      </c>
      <c r="F1145" s="70" t="s">
        <v>394</v>
      </c>
      <c r="G1145" s="68" t="s">
        <v>4192</v>
      </c>
      <c r="H1145" s="111" t="s">
        <v>4193</v>
      </c>
      <c r="I1145" s="69" t="s">
        <v>4368</v>
      </c>
      <c r="J1145" s="69"/>
      <c r="K1145" s="95" t="s">
        <v>9</v>
      </c>
      <c r="L1145" s="69" t="s">
        <v>120</v>
      </c>
      <c r="M1145" s="71" t="s">
        <v>141</v>
      </c>
      <c r="N1145" s="69" t="e" vm="1">
        <v>#VALUE!</v>
      </c>
      <c r="O1145" s="84">
        <v>44791</v>
      </c>
      <c r="P1145" s="82" t="s">
        <v>2852</v>
      </c>
      <c r="Q1145" s="82" t="s">
        <v>229</v>
      </c>
      <c r="R1145" s="69"/>
      <c r="S1145" s="146" t="s">
        <v>4369</v>
      </c>
      <c r="T1145" s="68" t="s">
        <v>165</v>
      </c>
      <c r="U1145" s="90"/>
      <c r="V1145" s="80">
        <v>44979</v>
      </c>
      <c r="W1145" s="73">
        <v>346</v>
      </c>
      <c r="X1145" s="216">
        <f>523*33700/1000000</f>
        <v>17.6251</v>
      </c>
      <c r="Y1145" s="83">
        <f>IF(SUM(W1145:W1145)&gt;0,X1145/SUM(W1145:W1145)*1000000,"N/A")</f>
        <v>50939.595375722543</v>
      </c>
      <c r="Z1145" s="80"/>
      <c r="AA1145" s="80"/>
      <c r="AB1145" s="73"/>
      <c r="AC1145" s="217"/>
      <c r="AD1145" s="333"/>
      <c r="AE1145" s="112"/>
      <c r="AF1145" s="88" t="s">
        <v>4247</v>
      </c>
      <c r="AG1145" s="182">
        <f>YEAR(D1145)</f>
        <v>2022</v>
      </c>
      <c r="AH1145" s="86" t="str">
        <f>+IF(AE1145=$AJ$22,MONTH(T1145),"")</f>
        <v/>
      </c>
      <c r="AI1145" s="86" t="str">
        <f>+IF(AF1145=$AJ$22,MONTH(U1145),"")</f>
        <v/>
      </c>
      <c r="AJ1145" s="86" t="str">
        <f>+IF(AG1145=$AJ$22,MONTH(V1145),"")</f>
        <v/>
      </c>
      <c r="AK1145" s="86" t="str">
        <f>+IF(AG1145=$AK$22,MONTH(V1145),"")</f>
        <v/>
      </c>
      <c r="AL1145" s="86">
        <f>+IF(AG1145=$AL$22,MONTH(V1145),"")</f>
        <v>2</v>
      </c>
      <c r="AM1145" s="86" t="str">
        <f>+IF($AG1145=$AM$22,MONTH($D1145),"")</f>
        <v/>
      </c>
      <c r="AN1145" s="89" t="str">
        <f>+IF($AG1145=AN$22,MONTH($D1145),"")</f>
        <v/>
      </c>
      <c r="AO1145" s="89" t="str">
        <f>+IF($AG1145=AO$22,MONTH($D1145),"")</f>
        <v/>
      </c>
      <c r="AP1145" s="89" t="str">
        <f>+IF($AG1145=AP$22,MONTH($D1145),"")</f>
        <v/>
      </c>
      <c r="AQ1145" s="89" t="str">
        <f>+IF($AG1145=AQ$22,MONTH($D1145),"")</f>
        <v/>
      </c>
      <c r="AR1145" s="89" t="str">
        <f>+IF($AG1145=AR$22,MONTH($D1145),"")</f>
        <v/>
      </c>
      <c r="AS1145" s="89" t="str">
        <f>+IF($AG1145=AS$22,MONTH($D1145),"")</f>
        <v/>
      </c>
      <c r="AT1145" s="89" t="str">
        <f>+IF($AG1145=AT$22,MONTH($D1145),"")</f>
        <v/>
      </c>
      <c r="AU1145" s="89" t="str">
        <f>+IF($AG1145=AU$22,MONTH($D1145),"")</f>
        <v/>
      </c>
      <c r="AV1145" s="89" t="str">
        <f>+IF($AG1145=AV$22,MONTH($D1145),"")</f>
        <v/>
      </c>
      <c r="AW1145" s="86" t="str">
        <f>+IF($AG1145=AW$22,MONTH($D1145),"")</f>
        <v/>
      </c>
      <c r="AX1145" s="86" t="str">
        <f>+IF($AG1145=AX$22,MONTH($D1145),"")</f>
        <v/>
      </c>
      <c r="AY1145" s="89"/>
      <c r="AZ1145" s="89"/>
      <c r="BA1145" s="89"/>
      <c r="BB1145" s="89"/>
      <c r="BC1145" s="89"/>
      <c r="BD1145" s="89"/>
      <c r="BE1145" s="89"/>
      <c r="BF1145" s="89"/>
      <c r="BG1145" s="89"/>
      <c r="BH1145" s="89"/>
      <c r="BI1145" s="89"/>
      <c r="BJ1145" s="89"/>
      <c r="BK1145" s="89"/>
      <c r="BL1145" s="89"/>
      <c r="BM1145" s="89"/>
      <c r="BN1145" s="89"/>
      <c r="BO1145" s="89"/>
      <c r="BP1145" s="89"/>
    </row>
    <row r="1146" spans="1:68" s="56" customFormat="1" ht="27" hidden="1">
      <c r="A1146" s="204">
        <f>+IFERROR(VALUE(MID(AB1146,4,4)),"")</f>
        <v>265</v>
      </c>
      <c r="B1146" s="204">
        <f>VALUE(RIGHT(C1146,LEN(C1146)-2))</f>
        <v>1577</v>
      </c>
      <c r="C1146" s="74" t="s">
        <v>4370</v>
      </c>
      <c r="D1146" s="75">
        <v>44781</v>
      </c>
      <c r="E1146" s="70" t="s">
        <v>332</v>
      </c>
      <c r="F1146" s="70" t="s">
        <v>332</v>
      </c>
      <c r="G1146" s="68" t="s">
        <v>4323</v>
      </c>
      <c r="H1146" s="59" t="s">
        <v>3819</v>
      </c>
      <c r="I1146" s="69" t="s">
        <v>4371</v>
      </c>
      <c r="J1146" s="69"/>
      <c r="K1146" s="68" t="s">
        <v>13</v>
      </c>
      <c r="L1146" s="69" t="s">
        <v>129</v>
      </c>
      <c r="M1146" s="71" t="s">
        <v>141</v>
      </c>
      <c r="N1146" s="69" t="e" vm="1">
        <v>#VALUE!</v>
      </c>
      <c r="O1146" s="84">
        <v>44790</v>
      </c>
      <c r="P1146" s="72" t="s">
        <v>285</v>
      </c>
      <c r="Q1146" s="72" t="s">
        <v>1097</v>
      </c>
      <c r="R1146" s="162"/>
      <c r="S1146" s="146" t="s">
        <v>2469</v>
      </c>
      <c r="T1146" s="68" t="s">
        <v>3</v>
      </c>
      <c r="U1146" s="87"/>
      <c r="V1146" s="80">
        <v>44790</v>
      </c>
      <c r="W1146" s="73">
        <v>115</v>
      </c>
      <c r="X1146" s="73">
        <f>117*33700/1000000</f>
        <v>3.9428999999999998</v>
      </c>
      <c r="Y1146" s="83">
        <f>IF(SUM(W1146:W1146)&gt;0,X1146/SUM(W1146:W1146)*1000000,"N/A")</f>
        <v>34286.086956521736</v>
      </c>
      <c r="Z1146" s="80"/>
      <c r="AA1146" s="80"/>
      <c r="AB1146" s="73" t="s">
        <v>4372</v>
      </c>
      <c r="AC1146" s="153"/>
      <c r="AD1146" s="331"/>
      <c r="AE1146" s="57"/>
      <c r="AF1146" s="88"/>
      <c r="AG1146" s="182">
        <f>YEAR(D1146)</f>
        <v>2022</v>
      </c>
      <c r="AH1146" s="86" t="str">
        <f>+IF(AE1146=$AJ$22,MONTH(T1146),"")</f>
        <v/>
      </c>
      <c r="AI1146" s="86" t="str">
        <f>+IF(AF1146=$AJ$22,MONTH(U1146),"")</f>
        <v/>
      </c>
      <c r="AJ1146" s="86" t="str">
        <f>+IF(AG1146=$AJ$22,MONTH(V1146),"")</f>
        <v/>
      </c>
      <c r="AK1146" s="86" t="str">
        <f>+IF(AG1146=$AK$22,MONTH(V1146),"")</f>
        <v/>
      </c>
      <c r="AL1146" s="86">
        <f>+IF(AG1146=$AL$22,MONTH(V1146),"")</f>
        <v>8</v>
      </c>
      <c r="AM1146" s="86" t="str">
        <f>+IF($AG1146=$AM$22,MONTH($D1146),"")</f>
        <v/>
      </c>
      <c r="AN1146" s="89" t="str">
        <f>+IF($AG1146=AN$22,MONTH($D1146),"")</f>
        <v/>
      </c>
      <c r="AO1146" s="89" t="str">
        <f>+IF($AG1146=AO$22,MONTH($D1146),"")</f>
        <v/>
      </c>
      <c r="AP1146" s="89" t="str">
        <f>+IF($AG1146=AP$22,MONTH($D1146),"")</f>
        <v/>
      </c>
      <c r="AQ1146" s="89" t="str">
        <f>+IF($AG1146=AQ$22,MONTH($D1146),"")</f>
        <v/>
      </c>
      <c r="AR1146" s="89" t="str">
        <f>+IF($AG1146=AR$22,MONTH($D1146),"")</f>
        <v/>
      </c>
      <c r="AS1146" s="89" t="str">
        <f>+IF($AG1146=AS$22,MONTH($D1146),"")</f>
        <v/>
      </c>
      <c r="AT1146" s="89" t="str">
        <f>+IF($AG1146=AT$22,MONTH($D1146),"")</f>
        <v/>
      </c>
      <c r="AU1146" s="89" t="str">
        <f>+IF($AG1146=AU$22,MONTH($D1146),"")</f>
        <v/>
      </c>
      <c r="AV1146" s="89" t="str">
        <f>+IF($AG1146=AV$22,MONTH($D1146),"")</f>
        <v/>
      </c>
      <c r="AW1146" s="86" t="str">
        <f>+IF($AG1146=AW$22,MONTH($D1146),"")</f>
        <v/>
      </c>
      <c r="AX1146" s="86" t="str">
        <f>+IF($AG1146=AX$22,MONTH($D1146),"")</f>
        <v/>
      </c>
      <c r="AY1146" s="89"/>
      <c r="AZ1146" s="89"/>
      <c r="BA1146" s="89"/>
      <c r="BB1146" s="89"/>
      <c r="BC1146" s="89"/>
      <c r="BD1146" s="89"/>
      <c r="BE1146" s="89"/>
      <c r="BF1146" s="89"/>
      <c r="BG1146" s="89"/>
      <c r="BH1146" s="89"/>
      <c r="BI1146" s="89"/>
      <c r="BJ1146" s="89"/>
      <c r="BK1146" s="89"/>
      <c r="BL1146" s="89"/>
      <c r="BM1146" s="89"/>
      <c r="BN1146" s="89"/>
      <c r="BO1146" s="89"/>
      <c r="BP1146" s="89"/>
    </row>
    <row r="1147" spans="1:68" s="56" customFormat="1" ht="13.5" hidden="1">
      <c r="A1147" s="204" t="str">
        <f>+IFERROR(VALUE(MID(AB1147,4,4)),"")</f>
        <v/>
      </c>
      <c r="B1147" s="204">
        <f>VALUE(RIGHT(C1147,LEN(C1147)-2))</f>
        <v>1576</v>
      </c>
      <c r="C1147" s="74" t="s">
        <v>4373</v>
      </c>
      <c r="D1147" s="75">
        <v>44781</v>
      </c>
      <c r="E1147" s="70" t="s">
        <v>939</v>
      </c>
      <c r="F1147" s="70" t="s">
        <v>940</v>
      </c>
      <c r="G1147" s="68" t="s">
        <v>4374</v>
      </c>
      <c r="H1147" s="59" t="s">
        <v>4375</v>
      </c>
      <c r="I1147" s="69" t="s">
        <v>4376</v>
      </c>
      <c r="J1147" s="69"/>
      <c r="K1147" s="68" t="s">
        <v>33</v>
      </c>
      <c r="L1147" s="69" t="s">
        <v>123</v>
      </c>
      <c r="M1147" s="71" t="s">
        <v>141</v>
      </c>
      <c r="N1147" s="69" t="e" vm="1">
        <v>#VALUE!</v>
      </c>
      <c r="O1147" s="84">
        <v>44833</v>
      </c>
      <c r="P1147" s="72" t="s">
        <v>402</v>
      </c>
      <c r="Q1147" s="72" t="s">
        <v>389</v>
      </c>
      <c r="R1147" s="162"/>
      <c r="S1147" s="146" t="s">
        <v>3677</v>
      </c>
      <c r="T1147" s="68" t="s">
        <v>165</v>
      </c>
      <c r="U1147" s="87"/>
      <c r="V1147" s="80">
        <v>44942</v>
      </c>
      <c r="W1147" s="73">
        <v>41400</v>
      </c>
      <c r="X1147" s="73">
        <f>58042*34300/1000000</f>
        <v>1990.8406</v>
      </c>
      <c r="Y1147" s="83">
        <f>IF(SUM(W1147:W1147)&gt;0,X1147/SUM(W1147:W1147)*1000000,"N/A")</f>
        <v>48087.937198067637</v>
      </c>
      <c r="Z1147" s="80"/>
      <c r="AA1147" s="80"/>
      <c r="AB1147" s="73"/>
      <c r="AC1147" s="153"/>
      <c r="AD1147" s="331"/>
      <c r="AE1147" s="57"/>
      <c r="AF1147" s="88"/>
      <c r="AG1147" s="182">
        <f>YEAR(V1147)</f>
        <v>2023</v>
      </c>
      <c r="AH1147" s="86" t="str">
        <f>+IF(AE1147=$AJ$22,MONTH(T1147),"")</f>
        <v/>
      </c>
      <c r="AI1147" s="86" t="str">
        <f>+IF(AF1147=$AJ$22,MONTH(U1147),"")</f>
        <v/>
      </c>
      <c r="AJ1147" s="86" t="str">
        <f>+IF(AG1147=$AJ$22,MONTH(V1147),"")</f>
        <v/>
      </c>
      <c r="AK1147" s="86">
        <f>+IF(AG1147=$AK$22,MONTH(V1147),"")</f>
        <v>1</v>
      </c>
      <c r="AL1147" s="86" t="str">
        <f>+IF(AG1147=$AL$22,MONTH(V1147),"")</f>
        <v/>
      </c>
      <c r="AM1147" s="86" t="str">
        <f>+IF($AG1147=$AM$22,MONTH($D1147),"")</f>
        <v/>
      </c>
      <c r="AN1147" s="89" t="str">
        <f>+IF($AG1147=AN$22,MONTH($D1147),"")</f>
        <v/>
      </c>
      <c r="AO1147" s="89" t="str">
        <f>+IF($AG1147=AO$22,MONTH($D1147),"")</f>
        <v/>
      </c>
      <c r="AP1147" s="89" t="str">
        <f>+IF($AG1147=AP$22,MONTH($D1147),"")</f>
        <v/>
      </c>
      <c r="AQ1147" s="89" t="str">
        <f>+IF($AG1147=AQ$22,MONTH($D1147),"")</f>
        <v/>
      </c>
      <c r="AR1147" s="89" t="str">
        <f>+IF($AG1147=AR$22,MONTH($D1147),"")</f>
        <v/>
      </c>
      <c r="AS1147" s="89" t="str">
        <f>+IF($AG1147=AS$22,MONTH($D1147),"")</f>
        <v/>
      </c>
      <c r="AT1147" s="89" t="str">
        <f>+IF($AG1147=AT$22,MONTH($D1147),"")</f>
        <v/>
      </c>
      <c r="AU1147" s="89" t="str">
        <f>+IF($AG1147=AU$22,MONTH($D1147),"")</f>
        <v/>
      </c>
      <c r="AV1147" s="89" t="str">
        <f>+IF($AG1147=AV$22,MONTH($D1147),"")</f>
        <v/>
      </c>
      <c r="AW1147" s="86" t="str">
        <f>+IF($AG1147=AW$22,MONTH($D1147),"")</f>
        <v/>
      </c>
      <c r="AX1147" s="86" t="str">
        <f>+IF($AG1147=AX$22,MONTH($D1147),"")</f>
        <v/>
      </c>
      <c r="AY1147" s="89"/>
      <c r="AZ1147" s="89"/>
      <c r="BA1147" s="89"/>
      <c r="BB1147" s="89"/>
      <c r="BC1147" s="89"/>
      <c r="BD1147" s="89"/>
      <c r="BE1147" s="89"/>
      <c r="BF1147" s="89"/>
      <c r="BG1147" s="89"/>
      <c r="BH1147" s="89"/>
      <c r="BI1147" s="89"/>
      <c r="BJ1147" s="89"/>
      <c r="BK1147" s="89"/>
      <c r="BL1147" s="89"/>
      <c r="BM1147" s="89"/>
      <c r="BN1147" s="89"/>
      <c r="BO1147" s="89"/>
      <c r="BP1147" s="89"/>
    </row>
    <row r="1148" spans="1:68" s="56" customFormat="1" ht="40.5" hidden="1">
      <c r="A1148" s="204" t="str">
        <f>+IFERROR(VALUE(MID(AB1148,4,4)),"")</f>
        <v/>
      </c>
      <c r="B1148" s="204">
        <f>VALUE(RIGHT(C1148,LEN(C1148)-2))</f>
        <v>1575</v>
      </c>
      <c r="C1148" s="74" t="s">
        <v>4377</v>
      </c>
      <c r="D1148" s="75">
        <v>44781</v>
      </c>
      <c r="E1148" s="70" t="s">
        <v>97</v>
      </c>
      <c r="F1148" s="70" t="s">
        <v>460</v>
      </c>
      <c r="G1148" s="68" t="s">
        <v>4043</v>
      </c>
      <c r="H1148" s="59" t="s">
        <v>4044</v>
      </c>
      <c r="I1148" s="69" t="s">
        <v>4378</v>
      </c>
      <c r="J1148" s="69"/>
      <c r="K1148" s="95" t="s">
        <v>275</v>
      </c>
      <c r="L1148" s="69" t="s">
        <v>120</v>
      </c>
      <c r="M1148" s="71" t="s">
        <v>141</v>
      </c>
      <c r="N1148" s="69" t="e" vm="1">
        <v>#VALUE!</v>
      </c>
      <c r="O1148" s="84">
        <v>44782</v>
      </c>
      <c r="P1148" s="82" t="s">
        <v>402</v>
      </c>
      <c r="Q1148" s="82" t="s">
        <v>623</v>
      </c>
      <c r="R1148" s="69"/>
      <c r="S1148" s="146" t="s">
        <v>4286</v>
      </c>
      <c r="T1148" s="68" t="s">
        <v>165</v>
      </c>
      <c r="U1148" s="87"/>
      <c r="V1148" s="80">
        <v>44886</v>
      </c>
      <c r="W1148" s="73">
        <v>493</v>
      </c>
      <c r="X1148" s="73">
        <v>31</v>
      </c>
      <c r="Y1148" s="83">
        <f>IF(SUM(W1148:W1148)&gt;0,X1148/SUM(W1148:W1148)*1000000,"N/A")</f>
        <v>62880.32454361055</v>
      </c>
      <c r="Z1148" s="80"/>
      <c r="AA1148" s="80"/>
      <c r="AB1148" s="73"/>
      <c r="AC1148" s="153"/>
      <c r="AD1148" s="331"/>
      <c r="AE1148" s="57"/>
      <c r="AF1148" s="88" t="s">
        <v>4287</v>
      </c>
      <c r="AG1148" s="182">
        <f>YEAR(D1148)</f>
        <v>2022</v>
      </c>
      <c r="AH1148" s="86" t="str">
        <f>+IF(AE1148=$AJ$22,MONTH(T1148),"")</f>
        <v/>
      </c>
      <c r="AI1148" s="86" t="str">
        <f>+IF(AF1148=$AJ$22,MONTH(U1148),"")</f>
        <v/>
      </c>
      <c r="AJ1148" s="86" t="str">
        <f>+IF(AG1148=$AJ$22,MONTH(V1148),"")</f>
        <v/>
      </c>
      <c r="AK1148" s="86" t="str">
        <f>+IF(AG1148=$AK$22,MONTH(V1148),"")</f>
        <v/>
      </c>
      <c r="AL1148" s="86">
        <f>+IF(AG1148=$AL$22,MONTH(V1148),"")</f>
        <v>11</v>
      </c>
      <c r="AM1148" s="86" t="str">
        <f>+IF($AG1148=$AM$22,MONTH($D1148),"")</f>
        <v/>
      </c>
      <c r="AN1148" s="89" t="str">
        <f>+IF($AG1148=AN$22,MONTH($D1148),"")</f>
        <v/>
      </c>
      <c r="AO1148" s="89" t="str">
        <f>+IF($AG1148=AO$22,MONTH($D1148),"")</f>
        <v/>
      </c>
      <c r="AP1148" s="89" t="str">
        <f>+IF($AG1148=AP$22,MONTH($D1148),"")</f>
        <v/>
      </c>
      <c r="AQ1148" s="89" t="str">
        <f>+IF($AG1148=AQ$22,MONTH($D1148),"")</f>
        <v/>
      </c>
      <c r="AR1148" s="89" t="str">
        <f>+IF($AG1148=AR$22,MONTH($D1148),"")</f>
        <v/>
      </c>
      <c r="AS1148" s="89" t="str">
        <f>+IF($AG1148=AS$22,MONTH($D1148),"")</f>
        <v/>
      </c>
      <c r="AT1148" s="89" t="str">
        <f>+IF($AG1148=AT$22,MONTH($D1148),"")</f>
        <v/>
      </c>
      <c r="AU1148" s="89" t="str">
        <f>+IF($AG1148=AU$22,MONTH($D1148),"")</f>
        <v/>
      </c>
      <c r="AV1148" s="89" t="str">
        <f>+IF($AG1148=AV$22,MONTH($D1148),"")</f>
        <v/>
      </c>
      <c r="AW1148" s="86" t="str">
        <f>+IF($AG1148=AW$22,MONTH($D1148),"")</f>
        <v/>
      </c>
      <c r="AX1148" s="86" t="str">
        <f>+IF($AG1148=AX$22,MONTH($D1148),"")</f>
        <v/>
      </c>
      <c r="AY1148" s="89"/>
      <c r="AZ1148" s="89"/>
      <c r="BA1148" s="89"/>
      <c r="BB1148" s="89"/>
      <c r="BC1148" s="89"/>
      <c r="BD1148" s="89"/>
      <c r="BE1148" s="89"/>
      <c r="BF1148" s="89"/>
      <c r="BG1148" s="89"/>
      <c r="BH1148" s="89"/>
      <c r="BI1148" s="89"/>
      <c r="BJ1148" s="182"/>
      <c r="BK1148" s="182"/>
      <c r="BL1148" s="182"/>
      <c r="BM1148" s="182"/>
      <c r="BN1148" s="89"/>
      <c r="BO1148" s="89"/>
      <c r="BP1148" s="89"/>
    </row>
    <row r="1149" spans="1:68" s="51" customFormat="1" ht="13.5" hidden="1">
      <c r="A1149" s="204">
        <f>+IFERROR(VALUE(MID(AB1149,4,4)),"")</f>
        <v>310</v>
      </c>
      <c r="B1149" s="204">
        <f>VALUE(RIGHT(C1149,LEN(C1149)-2))</f>
        <v>1574</v>
      </c>
      <c r="C1149" s="74" t="s">
        <v>4379</v>
      </c>
      <c r="D1149" s="75">
        <v>44777</v>
      </c>
      <c r="E1149" s="70" t="s">
        <v>848</v>
      </c>
      <c r="F1149" s="70" t="s">
        <v>848</v>
      </c>
      <c r="G1149" s="68" t="s">
        <v>4380</v>
      </c>
      <c r="H1149" s="59" t="s">
        <v>4381</v>
      </c>
      <c r="I1149" s="69" t="s">
        <v>4382</v>
      </c>
      <c r="J1149" s="69"/>
      <c r="K1149" s="68" t="s">
        <v>90</v>
      </c>
      <c r="L1149" s="69" t="s">
        <v>120</v>
      </c>
      <c r="M1149" s="71" t="s">
        <v>141</v>
      </c>
      <c r="N1149" s="69" t="e" vm="1">
        <v>#VALUE!</v>
      </c>
      <c r="O1149" s="84">
        <v>44785</v>
      </c>
      <c r="P1149" s="72" t="s">
        <v>274</v>
      </c>
      <c r="Q1149" s="72" t="s">
        <v>275</v>
      </c>
      <c r="R1149" s="162"/>
      <c r="S1149" s="146" t="s">
        <v>2491</v>
      </c>
      <c r="T1149" s="68" t="s">
        <v>3</v>
      </c>
      <c r="U1149" s="87"/>
      <c r="V1149" s="80">
        <v>44797</v>
      </c>
      <c r="W1149" s="73">
        <v>591</v>
      </c>
      <c r="X1149" s="73">
        <f>1095.5*33750/1000000</f>
        <v>36.973125000000003</v>
      </c>
      <c r="Y1149" s="83">
        <f>IF(SUM(W1149:W1149)&gt;0,X1149/SUM(W1149:W1149)*1000000,"N/A")</f>
        <v>62560.279187817257</v>
      </c>
      <c r="Z1149" s="80"/>
      <c r="AA1149" s="80"/>
      <c r="AB1149" s="73" t="s">
        <v>4383</v>
      </c>
      <c r="AC1149" s="153"/>
      <c r="AD1149" s="331"/>
      <c r="AE1149" s="57"/>
      <c r="AF1149" s="88"/>
      <c r="AG1149" s="182">
        <f>YEAR(D1149)</f>
        <v>2022</v>
      </c>
      <c r="AH1149" s="86" t="str">
        <f>+IF(AE1149=$AJ$22,MONTH(T1149),"")</f>
        <v/>
      </c>
      <c r="AI1149" s="86" t="str">
        <f>+IF(AF1149=$AJ$22,MONTH(U1149),"")</f>
        <v/>
      </c>
      <c r="AJ1149" s="86" t="str">
        <f>+IF(AG1149=$AJ$22,MONTH(V1149),"")</f>
        <v/>
      </c>
      <c r="AK1149" s="86" t="str">
        <f>+IF(AG1149=$AK$22,MONTH(V1149),"")</f>
        <v/>
      </c>
      <c r="AL1149" s="86">
        <f>+IF(AG1149=$AL$22,MONTH(V1149),"")</f>
        <v>8</v>
      </c>
      <c r="AM1149" s="86" t="str">
        <f>+IF($AG1149=$AM$22,MONTH($D1149),"")</f>
        <v/>
      </c>
      <c r="AN1149" s="89" t="str">
        <f>+IF($AG1149=AN$22,MONTH($D1149),"")</f>
        <v/>
      </c>
      <c r="AO1149" s="89" t="str">
        <f>+IF($AG1149=AO$22,MONTH($D1149),"")</f>
        <v/>
      </c>
      <c r="AP1149" s="89" t="str">
        <f>+IF($AG1149=AP$22,MONTH($D1149),"")</f>
        <v/>
      </c>
      <c r="AQ1149" s="89" t="str">
        <f>+IF($AG1149=AQ$22,MONTH($D1149),"")</f>
        <v/>
      </c>
      <c r="AR1149" s="89" t="str">
        <f>+IF($AG1149=AR$22,MONTH($D1149),"")</f>
        <v/>
      </c>
      <c r="AS1149" s="89" t="str">
        <f>+IF($AG1149=AS$22,MONTH($D1149),"")</f>
        <v/>
      </c>
      <c r="AT1149" s="89" t="str">
        <f>+IF($AG1149=AT$22,MONTH($D1149),"")</f>
        <v/>
      </c>
      <c r="AU1149" s="89" t="str">
        <f>+IF($AG1149=AU$22,MONTH($D1149),"")</f>
        <v/>
      </c>
      <c r="AV1149" s="89" t="str">
        <f>+IF($AG1149=AV$22,MONTH($D1149),"")</f>
        <v/>
      </c>
      <c r="AW1149" s="86" t="str">
        <f>+IF($AG1149=AW$22,MONTH($D1149),"")</f>
        <v/>
      </c>
      <c r="AX1149" s="86" t="str">
        <f>+IF($AG1149=AX$22,MONTH($D1149),"")</f>
        <v/>
      </c>
      <c r="AY1149" s="89"/>
      <c r="AZ1149" s="89"/>
      <c r="BA1149" s="89"/>
      <c r="BB1149" s="89"/>
      <c r="BC1149" s="89"/>
      <c r="BD1149" s="89"/>
      <c r="BE1149" s="89"/>
      <c r="BF1149" s="89"/>
      <c r="BG1149" s="89"/>
      <c r="BH1149" s="89"/>
      <c r="BI1149" s="89"/>
      <c r="BJ1149" s="89"/>
      <c r="BK1149" s="89"/>
      <c r="BL1149" s="89"/>
      <c r="BM1149" s="89"/>
      <c r="BN1149" s="182"/>
      <c r="BO1149" s="182"/>
      <c r="BP1149" s="182"/>
    </row>
    <row r="1150" spans="1:68" s="56" customFormat="1" ht="94.5" hidden="1">
      <c r="A1150" s="204" t="str">
        <f>+IFERROR(VALUE(MID(AB1150,4,4)),"")</f>
        <v/>
      </c>
      <c r="B1150" s="204">
        <f>VALUE(RIGHT(C1150,LEN(C1150)-2))</f>
        <v>1573</v>
      </c>
      <c r="C1150" s="74" t="s">
        <v>4384</v>
      </c>
      <c r="D1150" s="75">
        <v>44777</v>
      </c>
      <c r="E1150" s="70" t="s">
        <v>262</v>
      </c>
      <c r="F1150" s="70" t="s">
        <v>262</v>
      </c>
      <c r="G1150" s="68" t="s">
        <v>4385</v>
      </c>
      <c r="H1150" s="59" t="s">
        <v>4386</v>
      </c>
      <c r="I1150" s="69" t="s">
        <v>4387</v>
      </c>
      <c r="J1150" s="69"/>
      <c r="K1150" s="68" t="s">
        <v>212</v>
      </c>
      <c r="L1150" s="69" t="s">
        <v>123</v>
      </c>
      <c r="M1150" s="71" t="s">
        <v>141</v>
      </c>
      <c r="N1150" s="69" t="e" vm="1">
        <v>#VALUE!</v>
      </c>
      <c r="O1150" s="84">
        <v>44798</v>
      </c>
      <c r="P1150" s="72" t="s">
        <v>402</v>
      </c>
      <c r="Q1150" s="72" t="s">
        <v>405</v>
      </c>
      <c r="R1150" s="162"/>
      <c r="S1150" s="146" t="s">
        <v>4388</v>
      </c>
      <c r="T1150" s="68" t="s">
        <v>155</v>
      </c>
      <c r="U1150" s="87"/>
      <c r="V1150" s="80">
        <v>44777</v>
      </c>
      <c r="W1150" s="73"/>
      <c r="X1150" s="73"/>
      <c r="Y1150" s="83" t="str">
        <f>IF(SUM(W1150:W1150)&gt;0,X1150/SUM(W1150:W1150)*1000000,"N/A")</f>
        <v>N/A</v>
      </c>
      <c r="Z1150" s="80"/>
      <c r="AA1150" s="80"/>
      <c r="AB1150" s="73"/>
      <c r="AC1150" s="153"/>
      <c r="AD1150" s="331"/>
      <c r="AE1150" s="57"/>
      <c r="AF1150" s="88"/>
      <c r="AG1150" s="182">
        <f>YEAR(D1150)</f>
        <v>2022</v>
      </c>
      <c r="AH1150" s="86" t="str">
        <f>+IF(AE1150=$AJ$22,MONTH(T1150),"")</f>
        <v/>
      </c>
      <c r="AI1150" s="86" t="str">
        <f>+IF(AF1150=$AJ$22,MONTH(U1150),"")</f>
        <v/>
      </c>
      <c r="AJ1150" s="86" t="str">
        <f>+IF(AG1150=$AJ$22,MONTH(V1150),"")</f>
        <v/>
      </c>
      <c r="AK1150" s="86" t="str">
        <f>+IF(AG1150=$AK$22,MONTH(V1150),"")</f>
        <v/>
      </c>
      <c r="AL1150" s="86">
        <f>+IF(AG1150=$AL$22,MONTH(V1150),"")</f>
        <v>8</v>
      </c>
      <c r="AM1150" s="86" t="str">
        <f>+IF($AG1150=$AM$22,MONTH($D1150),"")</f>
        <v/>
      </c>
      <c r="AN1150" s="89" t="str">
        <f>+IF($AG1150=AN$22,MONTH($D1150),"")</f>
        <v/>
      </c>
      <c r="AO1150" s="89" t="str">
        <f>+IF($AG1150=AO$22,MONTH($D1150),"")</f>
        <v/>
      </c>
      <c r="AP1150" s="89" t="str">
        <f>+IF($AG1150=AP$22,MONTH($D1150),"")</f>
        <v/>
      </c>
      <c r="AQ1150" s="89" t="str">
        <f>+IF($AG1150=AQ$22,MONTH($D1150),"")</f>
        <v/>
      </c>
      <c r="AR1150" s="89" t="str">
        <f>+IF($AG1150=AR$22,MONTH($D1150),"")</f>
        <v/>
      </c>
      <c r="AS1150" s="89" t="str">
        <f>+IF($AG1150=AS$22,MONTH($D1150),"")</f>
        <v/>
      </c>
      <c r="AT1150" s="89" t="str">
        <f>+IF($AG1150=AT$22,MONTH($D1150),"")</f>
        <v/>
      </c>
      <c r="AU1150" s="89" t="str">
        <f>+IF($AG1150=AU$22,MONTH($D1150),"")</f>
        <v/>
      </c>
      <c r="AV1150" s="89" t="str">
        <f>+IF($AG1150=AV$22,MONTH($D1150),"")</f>
        <v/>
      </c>
      <c r="AW1150" s="86" t="str">
        <f>+IF($AG1150=AW$22,MONTH($D1150),"")</f>
        <v/>
      </c>
      <c r="AX1150" s="86" t="str">
        <f>+IF($AG1150=AX$22,MONTH($D1150),"")</f>
        <v/>
      </c>
      <c r="AY1150" s="89"/>
      <c r="AZ1150" s="89"/>
      <c r="BA1150" s="89"/>
      <c r="BB1150" s="89"/>
      <c r="BC1150" s="89"/>
      <c r="BD1150" s="89"/>
      <c r="BE1150" s="89"/>
      <c r="BF1150" s="89"/>
      <c r="BG1150" s="89"/>
      <c r="BH1150" s="89"/>
      <c r="BI1150" s="89"/>
      <c r="BJ1150" s="89"/>
      <c r="BK1150" s="89"/>
      <c r="BL1150" s="89"/>
      <c r="BM1150" s="89"/>
      <c r="BN1150" s="89"/>
      <c r="BO1150" s="89"/>
      <c r="BP1150" s="89"/>
    </row>
    <row r="1151" spans="1:68" s="56" customFormat="1" ht="27" hidden="1">
      <c r="A1151" s="204">
        <f>+IFERROR(VALUE(MID(AB1151,4,4)),"")</f>
        <v>274</v>
      </c>
      <c r="B1151" s="204">
        <f>VALUE(RIGHT(C1151,LEN(C1151)-2))</f>
        <v>1572</v>
      </c>
      <c r="C1151" s="74" t="s">
        <v>4389</v>
      </c>
      <c r="D1151" s="75">
        <v>44777</v>
      </c>
      <c r="E1151" s="70" t="s">
        <v>1054</v>
      </c>
      <c r="F1151" s="70" t="s">
        <v>252</v>
      </c>
      <c r="G1151" s="68" t="s">
        <v>1055</v>
      </c>
      <c r="H1151" s="59" t="s">
        <v>1056</v>
      </c>
      <c r="I1151" s="69" t="s">
        <v>4390</v>
      </c>
      <c r="J1151" s="69"/>
      <c r="K1151" s="68" t="s">
        <v>31</v>
      </c>
      <c r="L1151" s="69" t="s">
        <v>129</v>
      </c>
      <c r="M1151" s="71" t="s">
        <v>141</v>
      </c>
      <c r="N1151" s="69" t="e" vm="1">
        <v>#VALUE!</v>
      </c>
      <c r="O1151" s="84">
        <v>44781</v>
      </c>
      <c r="P1151" s="72" t="s">
        <v>402</v>
      </c>
      <c r="Q1151" s="82" t="s">
        <v>623</v>
      </c>
      <c r="R1151" s="69"/>
      <c r="S1151" s="146" t="s">
        <v>2525</v>
      </c>
      <c r="T1151" s="68" t="s">
        <v>3</v>
      </c>
      <c r="U1151" s="87"/>
      <c r="V1151" s="80">
        <v>44830</v>
      </c>
      <c r="W1151" s="73">
        <v>308</v>
      </c>
      <c r="X1151" s="73">
        <v>7.8</v>
      </c>
      <c r="Y1151" s="83">
        <f>IF(SUM(W1151:W1151)&gt;0,X1151/SUM(W1151:W1151)*1000000,"N/A")</f>
        <v>25324.675324675321</v>
      </c>
      <c r="Z1151" s="80"/>
      <c r="AA1151" s="80"/>
      <c r="AB1151" s="73" t="s">
        <v>4391</v>
      </c>
      <c r="AC1151" s="153"/>
      <c r="AD1151" s="331"/>
      <c r="AE1151" s="57"/>
      <c r="AF1151" s="88"/>
      <c r="AG1151" s="182">
        <f>YEAR(D1151)</f>
        <v>2022</v>
      </c>
      <c r="AH1151" s="86" t="str">
        <f>+IF(AE1151=$AJ$22,MONTH(T1151),"")</f>
        <v/>
      </c>
      <c r="AI1151" s="86" t="str">
        <f>+IF(AF1151=$AJ$22,MONTH(U1151),"")</f>
        <v/>
      </c>
      <c r="AJ1151" s="86" t="str">
        <f>+IF(AG1151=$AJ$22,MONTH(V1151),"")</f>
        <v/>
      </c>
      <c r="AK1151" s="86" t="str">
        <f>+IF(AG1151=$AK$22,MONTH(V1151),"")</f>
        <v/>
      </c>
      <c r="AL1151" s="86">
        <f>+IF(AG1151=$AL$22,MONTH(V1151),"")</f>
        <v>9</v>
      </c>
      <c r="AM1151" s="86" t="str">
        <f>+IF($AG1151=$AM$22,MONTH($D1151),"")</f>
        <v/>
      </c>
      <c r="AN1151" s="89" t="str">
        <f>+IF($AG1151=AN$22,MONTH($D1151),"")</f>
        <v/>
      </c>
      <c r="AO1151" s="89" t="str">
        <f>+IF($AG1151=AO$22,MONTH($D1151),"")</f>
        <v/>
      </c>
      <c r="AP1151" s="89" t="str">
        <f>+IF($AG1151=AP$22,MONTH($D1151),"")</f>
        <v/>
      </c>
      <c r="AQ1151" s="89" t="str">
        <f>+IF($AG1151=AQ$22,MONTH($D1151),"")</f>
        <v/>
      </c>
      <c r="AR1151" s="89" t="str">
        <f>+IF($AG1151=AR$22,MONTH($D1151),"")</f>
        <v/>
      </c>
      <c r="AS1151" s="89" t="str">
        <f>+IF($AG1151=AS$22,MONTH($D1151),"")</f>
        <v/>
      </c>
      <c r="AT1151" s="89" t="str">
        <f>+IF($AG1151=AT$22,MONTH($D1151),"")</f>
        <v/>
      </c>
      <c r="AU1151" s="89" t="str">
        <f>+IF($AG1151=AU$22,MONTH($D1151),"")</f>
        <v/>
      </c>
      <c r="AV1151" s="89" t="str">
        <f>+IF($AG1151=AV$22,MONTH($D1151),"")</f>
        <v/>
      </c>
      <c r="AW1151" s="86" t="str">
        <f>+IF($AG1151=AW$22,MONTH($D1151),"")</f>
        <v/>
      </c>
      <c r="AX1151" s="86" t="str">
        <f>+IF($AG1151=AX$22,MONTH($D1151),"")</f>
        <v/>
      </c>
      <c r="AY1151" s="89"/>
      <c r="AZ1151" s="89"/>
      <c r="BA1151" s="89"/>
      <c r="BB1151" s="89"/>
      <c r="BC1151" s="89"/>
      <c r="BD1151" s="89"/>
      <c r="BE1151" s="89"/>
      <c r="BF1151" s="89"/>
      <c r="BG1151" s="89"/>
      <c r="BH1151" s="89"/>
      <c r="BI1151" s="89"/>
      <c r="BJ1151" s="89"/>
      <c r="BK1151" s="89"/>
      <c r="BL1151" s="89"/>
      <c r="BM1151" s="89"/>
      <c r="BN1151" s="89"/>
      <c r="BO1151" s="89"/>
      <c r="BP1151" s="89"/>
    </row>
    <row r="1152" spans="1:68" s="56" customFormat="1" ht="27" hidden="1">
      <c r="A1152" s="204">
        <f>+IFERROR(VALUE(MID(AB1152,4,4)),"")</f>
        <v>265</v>
      </c>
      <c r="B1152" s="204">
        <f>VALUE(RIGHT(C1152,LEN(C1152)-2))</f>
        <v>1571</v>
      </c>
      <c r="C1152" s="74" t="s">
        <v>4392</v>
      </c>
      <c r="D1152" s="75">
        <v>44776</v>
      </c>
      <c r="E1152" s="70" t="s">
        <v>332</v>
      </c>
      <c r="F1152" s="70" t="s">
        <v>332</v>
      </c>
      <c r="G1152" s="68" t="s">
        <v>4323</v>
      </c>
      <c r="H1152" s="59" t="s">
        <v>3819</v>
      </c>
      <c r="I1152" s="69" t="s">
        <v>4393</v>
      </c>
      <c r="J1152" s="69"/>
      <c r="K1152" s="68" t="s">
        <v>9</v>
      </c>
      <c r="L1152" s="69" t="s">
        <v>129</v>
      </c>
      <c r="M1152" s="71" t="s">
        <v>141</v>
      </c>
      <c r="N1152" s="69" t="e" vm="1">
        <v>#VALUE!</v>
      </c>
      <c r="O1152" s="84">
        <v>44778</v>
      </c>
      <c r="P1152" s="72" t="s">
        <v>369</v>
      </c>
      <c r="Q1152" s="72" t="s">
        <v>1097</v>
      </c>
      <c r="R1152" s="162"/>
      <c r="S1152" s="146" t="s">
        <v>2525</v>
      </c>
      <c r="T1152" s="68" t="s">
        <v>3</v>
      </c>
      <c r="U1152" s="87"/>
      <c r="V1152" s="80">
        <v>44781</v>
      </c>
      <c r="W1152" s="73">
        <v>58</v>
      </c>
      <c r="X1152" s="73">
        <f>65*33500/1000000</f>
        <v>2.1775000000000002</v>
      </c>
      <c r="Y1152" s="83">
        <f>IF(SUM(W1152:W1152)&gt;0,X1152/SUM(W1152:W1152)*1000000,"N/A")</f>
        <v>37543.10344827587</v>
      </c>
      <c r="Z1152" s="80"/>
      <c r="AA1152" s="80"/>
      <c r="AB1152" s="73" t="s">
        <v>4394</v>
      </c>
      <c r="AC1152" s="153"/>
      <c r="AD1152" s="331"/>
      <c r="AE1152" s="57"/>
      <c r="AF1152" s="88"/>
      <c r="AG1152" s="182">
        <f>YEAR(D1152)</f>
        <v>2022</v>
      </c>
      <c r="AH1152" s="86" t="str">
        <f>+IF(AE1152=$AJ$22,MONTH(T1152),"")</f>
        <v/>
      </c>
      <c r="AI1152" s="86" t="str">
        <f>+IF(AF1152=$AJ$22,MONTH(U1152),"")</f>
        <v/>
      </c>
      <c r="AJ1152" s="86" t="str">
        <f>+IF(AG1152=$AJ$22,MONTH(V1152),"")</f>
        <v/>
      </c>
      <c r="AK1152" s="86" t="str">
        <f>+IF(AG1152=$AK$22,MONTH(V1152),"")</f>
        <v/>
      </c>
      <c r="AL1152" s="86">
        <f>+IF(AG1152=$AL$22,MONTH(V1152),"")</f>
        <v>8</v>
      </c>
      <c r="AM1152" s="86" t="str">
        <f>+IF($AG1152=$AM$22,MONTH($D1152),"")</f>
        <v/>
      </c>
      <c r="AN1152" s="89" t="str">
        <f>+IF($AG1152=AN$22,MONTH($D1152),"")</f>
        <v/>
      </c>
      <c r="AO1152" s="89" t="str">
        <f>+IF($AG1152=AO$22,MONTH($D1152),"")</f>
        <v/>
      </c>
      <c r="AP1152" s="89" t="str">
        <f>+IF($AG1152=AP$22,MONTH($D1152),"")</f>
        <v/>
      </c>
      <c r="AQ1152" s="89" t="str">
        <f>+IF($AG1152=AQ$22,MONTH($D1152),"")</f>
        <v/>
      </c>
      <c r="AR1152" s="89" t="str">
        <f>+IF($AG1152=AR$22,MONTH($D1152),"")</f>
        <v/>
      </c>
      <c r="AS1152" s="89" t="str">
        <f>+IF($AG1152=AS$22,MONTH($D1152),"")</f>
        <v/>
      </c>
      <c r="AT1152" s="89" t="str">
        <f>+IF($AG1152=AT$22,MONTH($D1152),"")</f>
        <v/>
      </c>
      <c r="AU1152" s="89" t="str">
        <f>+IF($AG1152=AU$22,MONTH($D1152),"")</f>
        <v/>
      </c>
      <c r="AV1152" s="89" t="str">
        <f>+IF($AG1152=AV$22,MONTH($D1152),"")</f>
        <v/>
      </c>
      <c r="AW1152" s="86" t="str">
        <f>+IF($AG1152=AW$22,MONTH($D1152),"")</f>
        <v/>
      </c>
      <c r="AX1152" s="86" t="str">
        <f>+IF($AG1152=AX$22,MONTH($D1152),"")</f>
        <v/>
      </c>
      <c r="AY1152" s="89"/>
      <c r="AZ1152" s="89"/>
      <c r="BA1152" s="89"/>
      <c r="BB1152" s="89"/>
      <c r="BC1152" s="89"/>
      <c r="BD1152" s="89"/>
      <c r="BE1152" s="89"/>
      <c r="BF1152" s="89"/>
      <c r="BG1152" s="89"/>
      <c r="BH1152" s="89"/>
      <c r="BI1152" s="89"/>
      <c r="BJ1152" s="89"/>
      <c r="BK1152" s="89"/>
      <c r="BL1152" s="89"/>
      <c r="BM1152" s="89"/>
      <c r="BN1152" s="89"/>
      <c r="BO1152" s="89"/>
      <c r="BP1152" s="89"/>
    </row>
    <row r="1153" spans="1:68" s="56" customFormat="1" ht="27" hidden="1">
      <c r="A1153" s="204">
        <f>+IFERROR(VALUE(MID(AB1153,4,4)),"")</f>
        <v>289</v>
      </c>
      <c r="B1153" s="204">
        <f>VALUE(RIGHT(C1153,LEN(C1153)-2))</f>
        <v>1570</v>
      </c>
      <c r="C1153" s="74" t="s">
        <v>4395</v>
      </c>
      <c r="D1153" s="75">
        <v>44774</v>
      </c>
      <c r="E1153" s="70" t="s">
        <v>479</v>
      </c>
      <c r="F1153" s="70" t="s">
        <v>479</v>
      </c>
      <c r="G1153" s="68" t="s">
        <v>4124</v>
      </c>
      <c r="H1153" s="59" t="s">
        <v>3571</v>
      </c>
      <c r="I1153" s="69" t="s">
        <v>4396</v>
      </c>
      <c r="J1153" s="69"/>
      <c r="K1153" s="68" t="s">
        <v>9</v>
      </c>
      <c r="L1153" s="69" t="s">
        <v>120</v>
      </c>
      <c r="M1153" s="71" t="s">
        <v>113</v>
      </c>
      <c r="N1153" s="69" t="e" vm="2">
        <v>#VALUE!</v>
      </c>
      <c r="O1153" s="84">
        <v>44778</v>
      </c>
      <c r="P1153" s="72" t="s">
        <v>483</v>
      </c>
      <c r="Q1153" s="82" t="s">
        <v>1097</v>
      </c>
      <c r="R1153" s="69"/>
      <c r="S1153" s="146" t="s">
        <v>4130</v>
      </c>
      <c r="T1153" s="68" t="s">
        <v>3</v>
      </c>
      <c r="U1153" s="87"/>
      <c r="V1153" s="80">
        <v>45117</v>
      </c>
      <c r="W1153" s="73">
        <v>546</v>
      </c>
      <c r="X1153" s="73">
        <v>16.3</v>
      </c>
      <c r="Y1153" s="83">
        <f>IF(SUM(W1153:W1153)&gt;0,X1153/SUM(W1153:W1153)*1000000,"N/A")</f>
        <v>29853.479853479854</v>
      </c>
      <c r="Z1153" s="80"/>
      <c r="AA1153" s="80"/>
      <c r="AB1153" s="73" t="s">
        <v>4397</v>
      </c>
      <c r="AC1153" s="153"/>
      <c r="AD1153" s="331"/>
      <c r="AE1153" s="57"/>
      <c r="AF1153" s="88"/>
      <c r="AG1153" s="182">
        <f>YEAR(D1153)</f>
        <v>2022</v>
      </c>
      <c r="AH1153" s="86" t="str">
        <f>+IF(AE1153=$AJ$22,MONTH(T1153),"")</f>
        <v/>
      </c>
      <c r="AI1153" s="86" t="str">
        <f>+IF(AF1153=$AJ$22,MONTH(U1153),"")</f>
        <v/>
      </c>
      <c r="AJ1153" s="86" t="str">
        <f>+IF(AG1153=$AJ$22,MONTH(V1153),"")</f>
        <v/>
      </c>
      <c r="AK1153" s="86" t="str">
        <f>+IF(AG1153=$AK$22,MONTH(V1153),"")</f>
        <v/>
      </c>
      <c r="AL1153" s="86">
        <f>+IF(AG1153=$AL$22,MONTH(V1153),"")</f>
        <v>7</v>
      </c>
      <c r="AM1153" s="86" t="str">
        <f>+IF($AG1153=$AM$22,MONTH($D1153),"")</f>
        <v/>
      </c>
      <c r="AN1153" s="89" t="str">
        <f>+IF($AG1153=AN$22,MONTH($D1153),"")</f>
        <v/>
      </c>
      <c r="AO1153" s="89" t="str">
        <f>+IF($AG1153=AO$22,MONTH($D1153),"")</f>
        <v/>
      </c>
      <c r="AP1153" s="89" t="str">
        <f>+IF($AG1153=AP$22,MONTH($D1153),"")</f>
        <v/>
      </c>
      <c r="AQ1153" s="89" t="str">
        <f>+IF($AG1153=AQ$22,MONTH($D1153),"")</f>
        <v/>
      </c>
      <c r="AR1153" s="89" t="str">
        <f>+IF($AG1153=AR$22,MONTH($D1153),"")</f>
        <v/>
      </c>
      <c r="AS1153" s="89" t="str">
        <f>+IF($AG1153=AS$22,MONTH($D1153),"")</f>
        <v/>
      </c>
      <c r="AT1153" s="89" t="str">
        <f>+IF($AG1153=AT$22,MONTH($D1153),"")</f>
        <v/>
      </c>
      <c r="AU1153" s="89" t="str">
        <f>+IF($AG1153=AU$22,MONTH($D1153),"")</f>
        <v/>
      </c>
      <c r="AV1153" s="89" t="str">
        <f>+IF($AG1153=AV$22,MONTH($D1153),"")</f>
        <v/>
      </c>
      <c r="AW1153" s="86" t="str">
        <f>+IF($AG1153=AW$22,MONTH($D1153),"")</f>
        <v/>
      </c>
      <c r="AX1153" s="86" t="str">
        <f>+IF($AG1153=AX$22,MONTH($D1153),"")</f>
        <v/>
      </c>
      <c r="AY1153" s="89"/>
      <c r="AZ1153" s="89"/>
      <c r="BA1153" s="89"/>
      <c r="BB1153" s="89"/>
      <c r="BC1153" s="89"/>
      <c r="BD1153" s="89"/>
      <c r="BE1153" s="89"/>
      <c r="BF1153" s="89"/>
      <c r="BG1153" s="89"/>
      <c r="BH1153" s="89"/>
      <c r="BI1153" s="89"/>
      <c r="BJ1153" s="89"/>
      <c r="BK1153" s="89"/>
      <c r="BL1153" s="89"/>
      <c r="BM1153" s="89"/>
      <c r="BN1153" s="89"/>
      <c r="BO1153" s="89"/>
      <c r="BP1153" s="89"/>
    </row>
    <row r="1154" spans="1:68" s="56" customFormat="1" ht="53.25" hidden="1">
      <c r="A1154" s="204" t="str">
        <f>+IFERROR(VALUE(MID(AB1154,4,4)),"")</f>
        <v/>
      </c>
      <c r="B1154" s="204">
        <f>VALUE(RIGHT(C1154,LEN(C1154)-2))</f>
        <v>1569</v>
      </c>
      <c r="C1154" s="74" t="s">
        <v>4398</v>
      </c>
      <c r="D1154" s="75">
        <v>44775</v>
      </c>
      <c r="E1154" s="70" t="s">
        <v>4154</v>
      </c>
      <c r="F1154" s="70" t="s">
        <v>263</v>
      </c>
      <c r="G1154" s="68" t="s">
        <v>4399</v>
      </c>
      <c r="H1154" s="59" t="s">
        <v>4400</v>
      </c>
      <c r="I1154" s="69" t="s">
        <v>4401</v>
      </c>
      <c r="J1154" s="69"/>
      <c r="K1154" s="68" t="s">
        <v>13</v>
      </c>
      <c r="L1154" s="69" t="s">
        <v>123</v>
      </c>
      <c r="M1154" s="71" t="s">
        <v>141</v>
      </c>
      <c r="N1154" s="69" t="e" vm="1">
        <v>#VALUE!</v>
      </c>
      <c r="O1154" s="84">
        <v>44785</v>
      </c>
      <c r="P1154" s="72" t="s">
        <v>228</v>
      </c>
      <c r="Q1154" s="72" t="s">
        <v>316</v>
      </c>
      <c r="R1154" s="162"/>
      <c r="S1154" s="146" t="s">
        <v>4402</v>
      </c>
      <c r="T1154" s="68" t="s">
        <v>165</v>
      </c>
      <c r="U1154" s="87"/>
      <c r="V1154" s="80">
        <v>44817</v>
      </c>
      <c r="W1154" s="73">
        <v>931</v>
      </c>
      <c r="X1154" s="73">
        <f>1297*33750/1000000</f>
        <v>43.77375</v>
      </c>
      <c r="Y1154" s="83">
        <f>IF(SUM(W1154:W1154)&gt;0,X1154/SUM(W1154:W1154)*1000000,"N/A")</f>
        <v>47017.991407089146</v>
      </c>
      <c r="Z1154" s="80"/>
      <c r="AA1154" s="80"/>
      <c r="AB1154" s="73"/>
      <c r="AC1154" s="153"/>
      <c r="AD1154" s="331"/>
      <c r="AE1154" s="57"/>
      <c r="AF1154" s="88"/>
      <c r="AG1154" s="182">
        <f>YEAR(D1154)</f>
        <v>2022</v>
      </c>
      <c r="AH1154" s="86" t="str">
        <f>+IF(AE1154=$AJ$22,MONTH(T1154),"")</f>
        <v/>
      </c>
      <c r="AI1154" s="86" t="str">
        <f>+IF(AF1154=$AJ$22,MONTH(U1154),"")</f>
        <v/>
      </c>
      <c r="AJ1154" s="86" t="str">
        <f>+IF(AG1154=$AJ$22,MONTH(V1154),"")</f>
        <v/>
      </c>
      <c r="AK1154" s="86" t="str">
        <f>+IF(AG1154=$AK$22,MONTH(V1154),"")</f>
        <v/>
      </c>
      <c r="AL1154" s="86">
        <f>+IF(AG1154=$AL$22,MONTH(V1154),"")</f>
        <v>9</v>
      </c>
      <c r="AM1154" s="86" t="str">
        <f>+IF($AG1154=$AM$22,MONTH($D1154),"")</f>
        <v/>
      </c>
      <c r="AN1154" s="89" t="str">
        <f>+IF($AG1154=AN$22,MONTH($D1154),"")</f>
        <v/>
      </c>
      <c r="AO1154" s="89" t="str">
        <f>+IF($AG1154=AO$22,MONTH($D1154),"")</f>
        <v/>
      </c>
      <c r="AP1154" s="89" t="str">
        <f>+IF($AG1154=AP$22,MONTH($D1154),"")</f>
        <v/>
      </c>
      <c r="AQ1154" s="89" t="str">
        <f>+IF($AG1154=AQ$22,MONTH($D1154),"")</f>
        <v/>
      </c>
      <c r="AR1154" s="89" t="str">
        <f>+IF($AG1154=AR$22,MONTH($D1154),"")</f>
        <v/>
      </c>
      <c r="AS1154" s="89" t="str">
        <f>+IF($AG1154=AS$22,MONTH($D1154),"")</f>
        <v/>
      </c>
      <c r="AT1154" s="89" t="str">
        <f>+IF($AG1154=AT$22,MONTH($D1154),"")</f>
        <v/>
      </c>
      <c r="AU1154" s="89" t="str">
        <f>+IF($AG1154=AU$22,MONTH($D1154),"")</f>
        <v/>
      </c>
      <c r="AV1154" s="89" t="str">
        <f>+IF($AG1154=AV$22,MONTH($D1154),"")</f>
        <v/>
      </c>
      <c r="AW1154" s="86" t="str">
        <f>+IF($AG1154=AW$22,MONTH($D1154),"")</f>
        <v/>
      </c>
      <c r="AX1154" s="86" t="str">
        <f>+IF($AG1154=AX$22,MONTH($D1154),"")</f>
        <v/>
      </c>
      <c r="AY1154" s="89"/>
      <c r="AZ1154" s="89"/>
      <c r="BA1154" s="89"/>
      <c r="BB1154" s="89"/>
      <c r="BC1154" s="89"/>
      <c r="BD1154" s="89"/>
      <c r="BE1154" s="89"/>
      <c r="BF1154" s="89"/>
      <c r="BG1154" s="89"/>
      <c r="BH1154" s="89"/>
      <c r="BI1154" s="89"/>
      <c r="BJ1154" s="89"/>
      <c r="BK1154" s="89"/>
      <c r="BL1154" s="89"/>
      <c r="BM1154" s="89"/>
      <c r="BN1154" s="89"/>
      <c r="BO1154" s="89"/>
      <c r="BP1154" s="89"/>
    </row>
    <row r="1155" spans="1:68" s="56" customFormat="1" ht="67.5" hidden="1">
      <c r="A1155" s="204" t="str">
        <f>+IFERROR(VALUE(MID(AB1155,4,4)),"")</f>
        <v/>
      </c>
      <c r="B1155" s="204">
        <f>VALUE(RIGHT(C1155,LEN(C1155)-2))</f>
        <v>1568</v>
      </c>
      <c r="C1155" s="74" t="s">
        <v>4403</v>
      </c>
      <c r="D1155" s="75">
        <v>44771</v>
      </c>
      <c r="E1155" s="70" t="s">
        <v>685</v>
      </c>
      <c r="F1155" s="70" t="s">
        <v>685</v>
      </c>
      <c r="G1155" s="68" t="s">
        <v>2947</v>
      </c>
      <c r="H1155" s="59"/>
      <c r="I1155" s="69" t="s">
        <v>4404</v>
      </c>
      <c r="J1155" s="69"/>
      <c r="K1155" s="68" t="s">
        <v>13</v>
      </c>
      <c r="L1155" s="69" t="s">
        <v>123</v>
      </c>
      <c r="M1155" s="71" t="s">
        <v>141</v>
      </c>
      <c r="N1155" s="69" t="e" vm="1">
        <v>#VALUE!</v>
      </c>
      <c r="O1155" s="84">
        <v>44795</v>
      </c>
      <c r="P1155" s="72" t="s">
        <v>666</v>
      </c>
      <c r="Q1155" s="72" t="s">
        <v>837</v>
      </c>
      <c r="R1155" s="162"/>
      <c r="S1155" s="146" t="s">
        <v>4405</v>
      </c>
      <c r="T1155" s="68" t="s">
        <v>165</v>
      </c>
      <c r="U1155" s="87"/>
      <c r="V1155" s="80">
        <v>44902</v>
      </c>
      <c r="W1155" s="73">
        <v>5904</v>
      </c>
      <c r="X1155" s="73">
        <v>265</v>
      </c>
      <c r="Y1155" s="83">
        <f>IF(SUM(W1155:W1155)&gt;0,X1155/SUM(W1155:W1155)*1000000,"N/A")</f>
        <v>44884.823848238484</v>
      </c>
      <c r="Z1155" s="80"/>
      <c r="AA1155" s="80"/>
      <c r="AB1155" s="73"/>
      <c r="AC1155" s="153"/>
      <c r="AD1155" s="331"/>
      <c r="AE1155" s="57"/>
      <c r="AF1155" s="88"/>
      <c r="AG1155" s="182">
        <f>YEAR(D1155)</f>
        <v>2022</v>
      </c>
      <c r="AH1155" s="86" t="str">
        <f>+IF(AE1155=$AJ$22,MONTH(T1155),"")</f>
        <v/>
      </c>
      <c r="AI1155" s="86" t="str">
        <f>+IF(AF1155=$AJ$22,MONTH(U1155),"")</f>
        <v/>
      </c>
      <c r="AJ1155" s="86" t="str">
        <f>+IF(AG1155=$AJ$22,MONTH(V1155),"")</f>
        <v/>
      </c>
      <c r="AK1155" s="86" t="str">
        <f>+IF(AG1155=$AK$22,MONTH(V1155),"")</f>
        <v/>
      </c>
      <c r="AL1155" s="86">
        <f>+IF(AG1155=$AL$22,MONTH(V1155),"")</f>
        <v>12</v>
      </c>
      <c r="AM1155" s="86" t="str">
        <f>+IF($AG1155=$AM$22,MONTH($D1155),"")</f>
        <v/>
      </c>
      <c r="AN1155" s="89" t="str">
        <f>+IF($AG1155=AN$22,MONTH($D1155),"")</f>
        <v/>
      </c>
      <c r="AO1155" s="89" t="str">
        <f>+IF($AG1155=AO$22,MONTH($D1155),"")</f>
        <v/>
      </c>
      <c r="AP1155" s="89" t="str">
        <f>+IF($AG1155=AP$22,MONTH($D1155),"")</f>
        <v/>
      </c>
      <c r="AQ1155" s="89" t="str">
        <f>+IF($AG1155=AQ$22,MONTH($D1155),"")</f>
        <v/>
      </c>
      <c r="AR1155" s="89" t="str">
        <f>+IF($AG1155=AR$22,MONTH($D1155),"")</f>
        <v/>
      </c>
      <c r="AS1155" s="89" t="str">
        <f>+IF($AG1155=AS$22,MONTH($D1155),"")</f>
        <v/>
      </c>
      <c r="AT1155" s="89" t="str">
        <f>+IF($AG1155=AT$22,MONTH($D1155),"")</f>
        <v/>
      </c>
      <c r="AU1155" s="89" t="str">
        <f>+IF($AG1155=AU$22,MONTH($D1155),"")</f>
        <v/>
      </c>
      <c r="AV1155" s="89" t="str">
        <f>+IF($AG1155=AV$22,MONTH($D1155),"")</f>
        <v/>
      </c>
      <c r="AW1155" s="86" t="str">
        <f>+IF($AG1155=AW$22,MONTH($D1155),"")</f>
        <v/>
      </c>
      <c r="AX1155" s="86" t="str">
        <f>+IF($AG1155=AX$22,MONTH($D1155),"")</f>
        <v/>
      </c>
      <c r="AY1155" s="89"/>
      <c r="AZ1155" s="89"/>
      <c r="BA1155" s="89"/>
      <c r="BB1155" s="89"/>
      <c r="BC1155" s="89"/>
      <c r="BD1155" s="89"/>
      <c r="BE1155" s="89"/>
      <c r="BF1155" s="89"/>
      <c r="BG1155" s="89"/>
      <c r="BH1155" s="89"/>
      <c r="BI1155" s="89"/>
      <c r="BJ1155" s="89"/>
      <c r="BK1155" s="89"/>
      <c r="BL1155" s="89"/>
      <c r="BM1155" s="89"/>
      <c r="BN1155" s="89"/>
      <c r="BO1155" s="89"/>
      <c r="BP1155" s="89"/>
    </row>
    <row r="1156" spans="1:68" s="56" customFormat="1" ht="27" hidden="1">
      <c r="A1156" s="204">
        <f>+IFERROR(VALUE(MID(AB1156,4,4)),"")</f>
        <v>289</v>
      </c>
      <c r="B1156" s="204">
        <f>VALUE(RIGHT(C1156,LEN(C1156)-2))</f>
        <v>1567</v>
      </c>
      <c r="C1156" s="74" t="s">
        <v>4406</v>
      </c>
      <c r="D1156" s="75">
        <v>44770</v>
      </c>
      <c r="E1156" s="70" t="s">
        <v>479</v>
      </c>
      <c r="F1156" s="70" t="s">
        <v>479</v>
      </c>
      <c r="G1156" s="68" t="s">
        <v>4407</v>
      </c>
      <c r="H1156" s="59" t="s">
        <v>4408</v>
      </c>
      <c r="I1156" s="69" t="s">
        <v>4409</v>
      </c>
      <c r="J1156" s="69"/>
      <c r="K1156" s="68" t="s">
        <v>30</v>
      </c>
      <c r="L1156" s="69" t="s">
        <v>129</v>
      </c>
      <c r="M1156" s="71" t="s">
        <v>113</v>
      </c>
      <c r="N1156" s="69" t="e" vm="2">
        <v>#VALUE!</v>
      </c>
      <c r="O1156" s="84">
        <v>44757</v>
      </c>
      <c r="P1156" s="72" t="s">
        <v>483</v>
      </c>
      <c r="Q1156" s="82" t="s">
        <v>229</v>
      </c>
      <c r="R1156" s="69"/>
      <c r="S1156" s="146" t="s">
        <v>4410</v>
      </c>
      <c r="T1156" s="68" t="s">
        <v>3</v>
      </c>
      <c r="U1156" s="87"/>
      <c r="V1156" s="80">
        <v>45462</v>
      </c>
      <c r="W1156" s="73">
        <v>581</v>
      </c>
      <c r="X1156" s="73">
        <v>22.3</v>
      </c>
      <c r="Y1156" s="83">
        <f>IF(SUM(W1156:W1156)&gt;0,X1156/SUM(W1156:W1156)*1000000,"N/A")</f>
        <v>38382.099827882957</v>
      </c>
      <c r="Z1156" s="80"/>
      <c r="AA1156" s="80"/>
      <c r="AB1156" s="73" t="s">
        <v>4411</v>
      </c>
      <c r="AC1156" s="153"/>
      <c r="AD1156" s="331"/>
      <c r="AE1156" s="57"/>
      <c r="AF1156" s="88"/>
      <c r="AG1156" s="182">
        <f>YEAR(D1156)</f>
        <v>2022</v>
      </c>
      <c r="AH1156" s="86" t="str">
        <f>+IF(AE1156=$AJ$22,MONTH(T1156),"")</f>
        <v/>
      </c>
      <c r="AI1156" s="86" t="str">
        <f>+IF(AF1156=$AJ$22,MONTH(U1156),"")</f>
        <v/>
      </c>
      <c r="AJ1156" s="86" t="str">
        <f>+IF(AG1156=$AJ$22,MONTH(V1156),"")</f>
        <v/>
      </c>
      <c r="AK1156" s="86" t="str">
        <f>+IF(AG1156=$AK$22,MONTH(V1156),"")</f>
        <v/>
      </c>
      <c r="AL1156" s="86">
        <f>+IF(AG1156=$AL$22,MONTH(V1156),"")</f>
        <v>6</v>
      </c>
      <c r="AM1156" s="86" t="str">
        <f>+IF($AG1156=$AM$22,MONTH($D1156),"")</f>
        <v/>
      </c>
      <c r="AN1156" s="89" t="str">
        <f>+IF($AG1156=AN$22,MONTH($D1156),"")</f>
        <v/>
      </c>
      <c r="AO1156" s="89" t="str">
        <f>+IF($AG1156=AO$22,MONTH($D1156),"")</f>
        <v/>
      </c>
      <c r="AP1156" s="89" t="str">
        <f>+IF($AG1156=AP$22,MONTH($D1156),"")</f>
        <v/>
      </c>
      <c r="AQ1156" s="89" t="str">
        <f>+IF($AG1156=AQ$22,MONTH($D1156),"")</f>
        <v/>
      </c>
      <c r="AR1156" s="89" t="str">
        <f>+IF($AG1156=AR$22,MONTH($D1156),"")</f>
        <v/>
      </c>
      <c r="AS1156" s="89" t="str">
        <f>+IF($AG1156=AS$22,MONTH($D1156),"")</f>
        <v/>
      </c>
      <c r="AT1156" s="89" t="str">
        <f>+IF($AG1156=AT$22,MONTH($D1156),"")</f>
        <v/>
      </c>
      <c r="AU1156" s="89" t="str">
        <f>+IF($AG1156=AU$22,MONTH($D1156),"")</f>
        <v/>
      </c>
      <c r="AV1156" s="89" t="str">
        <f>+IF($AG1156=AV$22,MONTH($D1156),"")</f>
        <v/>
      </c>
      <c r="AW1156" s="86" t="str">
        <f>+IF($AG1156=AW$22,MONTH($D1156),"")</f>
        <v/>
      </c>
      <c r="AX1156" s="86" t="str">
        <f>+IF($AG1156=AX$22,MONTH($D1156),"")</f>
        <v/>
      </c>
      <c r="AY1156" s="89"/>
      <c r="AZ1156" s="89"/>
      <c r="BA1156" s="89"/>
      <c r="BB1156" s="89"/>
      <c r="BC1156" s="89"/>
      <c r="BD1156" s="89"/>
      <c r="BE1156" s="89"/>
      <c r="BF1156" s="89"/>
      <c r="BG1156" s="89"/>
      <c r="BH1156" s="89"/>
      <c r="BI1156" s="89"/>
      <c r="BJ1156" s="89"/>
      <c r="BK1156" s="89"/>
      <c r="BL1156" s="89"/>
      <c r="BM1156" s="89"/>
      <c r="BN1156" s="89"/>
      <c r="BO1156" s="89"/>
      <c r="BP1156" s="89"/>
    </row>
    <row r="1157" spans="1:68" s="56" customFormat="1" ht="40.5" hidden="1">
      <c r="A1157" s="204" t="str">
        <f>+IFERROR(VALUE(MID(AB1157,4,4)),"")</f>
        <v/>
      </c>
      <c r="B1157" s="204">
        <f>VALUE(RIGHT(C1157,LEN(C1157)-2))</f>
        <v>1566</v>
      </c>
      <c r="C1157" s="74" t="s">
        <v>4412</v>
      </c>
      <c r="D1157" s="75">
        <v>44768</v>
      </c>
      <c r="E1157" s="70" t="s">
        <v>685</v>
      </c>
      <c r="F1157" s="70" t="s">
        <v>685</v>
      </c>
      <c r="G1157" s="68" t="s">
        <v>4413</v>
      </c>
      <c r="H1157" s="59" t="s">
        <v>4414</v>
      </c>
      <c r="I1157" s="69" t="s">
        <v>4415</v>
      </c>
      <c r="J1157" s="69"/>
      <c r="K1157" s="68" t="s">
        <v>31</v>
      </c>
      <c r="L1157" s="69" t="s">
        <v>123</v>
      </c>
      <c r="M1157" s="71" t="s">
        <v>141</v>
      </c>
      <c r="N1157" s="69" t="e" vm="1">
        <v>#VALUE!</v>
      </c>
      <c r="O1157" s="84">
        <v>44818</v>
      </c>
      <c r="P1157" s="72" t="s">
        <v>666</v>
      </c>
      <c r="Q1157" s="72" t="s">
        <v>229</v>
      </c>
      <c r="R1157" s="162"/>
      <c r="S1157" s="146" t="s">
        <v>4416</v>
      </c>
      <c r="T1157" s="68" t="s">
        <v>165</v>
      </c>
      <c r="U1157" s="87"/>
      <c r="V1157" s="80">
        <v>44979</v>
      </c>
      <c r="W1157" s="73">
        <v>1099</v>
      </c>
      <c r="X1157" s="73">
        <v>53</v>
      </c>
      <c r="Y1157" s="83">
        <f>IF(SUM(W1157:W1157)&gt;0,X1157/SUM(W1157:W1157)*1000000,"N/A")</f>
        <v>48225.659690627843</v>
      </c>
      <c r="Z1157" s="80"/>
      <c r="AA1157" s="80"/>
      <c r="AB1157" s="73"/>
      <c r="AC1157" s="153"/>
      <c r="AD1157" s="331"/>
      <c r="AE1157" s="57"/>
      <c r="AF1157" s="88" t="s">
        <v>4417</v>
      </c>
      <c r="AG1157" s="182">
        <f>YEAR(D1157)</f>
        <v>2022</v>
      </c>
      <c r="AH1157" s="86" t="str">
        <f>+IF(AE1157=$AJ$22,MONTH(T1157),"")</f>
        <v/>
      </c>
      <c r="AI1157" s="86" t="str">
        <f>+IF(AF1157=$AJ$22,MONTH(U1157),"")</f>
        <v/>
      </c>
      <c r="AJ1157" s="86" t="str">
        <f>+IF(AG1157=$AJ$22,MONTH(V1157),"")</f>
        <v/>
      </c>
      <c r="AK1157" s="86" t="str">
        <f>+IF(AG1157=$AK$22,MONTH(V1157),"")</f>
        <v/>
      </c>
      <c r="AL1157" s="86">
        <f>+IF(AG1157=$AL$22,MONTH(V1157),"")</f>
        <v>2</v>
      </c>
      <c r="AM1157" s="86" t="str">
        <f>+IF($AG1157=$AM$22,MONTH($D1157),"")</f>
        <v/>
      </c>
      <c r="AN1157" s="89" t="str">
        <f>+IF($AG1157=AN$22,MONTH($D1157),"")</f>
        <v/>
      </c>
      <c r="AO1157" s="89" t="str">
        <f>+IF($AG1157=AO$22,MONTH($D1157),"")</f>
        <v/>
      </c>
      <c r="AP1157" s="89" t="str">
        <f>+IF($AG1157=AP$22,MONTH($D1157),"")</f>
        <v/>
      </c>
      <c r="AQ1157" s="89" t="str">
        <f>+IF($AG1157=AQ$22,MONTH($D1157),"")</f>
        <v/>
      </c>
      <c r="AR1157" s="89" t="str">
        <f>+IF($AG1157=AR$22,MONTH($D1157),"")</f>
        <v/>
      </c>
      <c r="AS1157" s="89" t="str">
        <f>+IF($AG1157=AS$22,MONTH($D1157),"")</f>
        <v/>
      </c>
      <c r="AT1157" s="89" t="str">
        <f>+IF($AG1157=AT$22,MONTH($D1157),"")</f>
        <v/>
      </c>
      <c r="AU1157" s="89" t="str">
        <f>+IF($AG1157=AU$22,MONTH($D1157),"")</f>
        <v/>
      </c>
      <c r="AV1157" s="89" t="str">
        <f>+IF($AG1157=AV$22,MONTH($D1157),"")</f>
        <v/>
      </c>
      <c r="AW1157" s="86" t="str">
        <f>+IF($AG1157=AW$22,MONTH($D1157),"")</f>
        <v/>
      </c>
      <c r="AX1157" s="86" t="str">
        <f>+IF($AG1157=AX$22,MONTH($D1157),"")</f>
        <v/>
      </c>
      <c r="AY1157" s="89"/>
      <c r="AZ1157" s="89"/>
      <c r="BA1157" s="89"/>
      <c r="BB1157" s="89"/>
      <c r="BC1157" s="89"/>
      <c r="BD1157" s="89"/>
      <c r="BE1157" s="89"/>
      <c r="BF1157" s="89"/>
      <c r="BG1157" s="89"/>
      <c r="BH1157" s="89"/>
      <c r="BI1157" s="89"/>
      <c r="BJ1157" s="89"/>
      <c r="BK1157" s="89"/>
      <c r="BL1157" s="89"/>
      <c r="BM1157" s="89"/>
      <c r="BN1157" s="89"/>
      <c r="BO1157" s="89"/>
      <c r="BP1157" s="89"/>
    </row>
    <row r="1158" spans="1:68" s="56" customFormat="1" ht="40.5" hidden="1">
      <c r="A1158" s="204" t="str">
        <f>+IFERROR(VALUE(MID(AB1158,4,4)),"")</f>
        <v/>
      </c>
      <c r="B1158" s="204">
        <f>VALUE(RIGHT(C1158,LEN(C1158)-2))</f>
        <v>1565</v>
      </c>
      <c r="C1158" s="74" t="s">
        <v>4418</v>
      </c>
      <c r="D1158" s="75">
        <v>44769</v>
      </c>
      <c r="E1158" s="70" t="s">
        <v>394</v>
      </c>
      <c r="F1158" s="70" t="s">
        <v>2269</v>
      </c>
      <c r="G1158" s="68" t="s">
        <v>4419</v>
      </c>
      <c r="H1158" s="59" t="s">
        <v>4420</v>
      </c>
      <c r="I1158" s="69" t="s">
        <v>4421</v>
      </c>
      <c r="J1158" s="69"/>
      <c r="K1158" s="95" t="s">
        <v>9</v>
      </c>
      <c r="L1158" s="69" t="s">
        <v>120</v>
      </c>
      <c r="M1158" s="71" t="s">
        <v>141</v>
      </c>
      <c r="N1158" s="69" t="e" vm="1">
        <v>#VALUE!</v>
      </c>
      <c r="O1158" s="84">
        <v>44782</v>
      </c>
      <c r="P1158" s="82" t="s">
        <v>228</v>
      </c>
      <c r="Q1158" s="82" t="s">
        <v>623</v>
      </c>
      <c r="R1158" s="69"/>
      <c r="S1158" s="146"/>
      <c r="T1158" s="68" t="s">
        <v>165</v>
      </c>
      <c r="U1158" s="87"/>
      <c r="V1158" s="80">
        <v>44867</v>
      </c>
      <c r="W1158" s="73">
        <v>50</v>
      </c>
      <c r="X1158" s="73">
        <v>1.9</v>
      </c>
      <c r="Y1158" s="83">
        <f>IF(SUM(W1158:W1158)&gt;0,X1158/SUM(W1158:W1158)*1000000,"N/A")</f>
        <v>38000</v>
      </c>
      <c r="Z1158" s="80"/>
      <c r="AA1158" s="80"/>
      <c r="AB1158" s="73"/>
      <c r="AC1158" s="153"/>
      <c r="AD1158" s="331"/>
      <c r="AE1158" s="57"/>
      <c r="AF1158" s="88"/>
      <c r="AG1158" s="182">
        <f>YEAR(D1158)</f>
        <v>2022</v>
      </c>
      <c r="AH1158" s="86" t="str">
        <f>+IF(AE1158=$AJ$22,MONTH(T1158),"")</f>
        <v/>
      </c>
      <c r="AI1158" s="86" t="str">
        <f>+IF(AF1158=$AJ$22,MONTH(U1158),"")</f>
        <v/>
      </c>
      <c r="AJ1158" s="86" t="str">
        <f>+IF(AG1158=$AJ$22,MONTH(V1158),"")</f>
        <v/>
      </c>
      <c r="AK1158" s="86" t="str">
        <f>+IF(AG1158=$AK$22,MONTH(V1158),"")</f>
        <v/>
      </c>
      <c r="AL1158" s="86">
        <f>+IF(AG1158=$AL$22,MONTH(V1158),"")</f>
        <v>11</v>
      </c>
      <c r="AM1158" s="86" t="str">
        <f>+IF($AG1158=$AM$22,MONTH($D1158),"")</f>
        <v/>
      </c>
      <c r="AN1158" s="89" t="str">
        <f>+IF($AG1158=AN$22,MONTH($D1158),"")</f>
        <v/>
      </c>
      <c r="AO1158" s="89" t="str">
        <f>+IF($AG1158=AO$22,MONTH($D1158),"")</f>
        <v/>
      </c>
      <c r="AP1158" s="89" t="str">
        <f>+IF($AG1158=AP$22,MONTH($D1158),"")</f>
        <v/>
      </c>
      <c r="AQ1158" s="89" t="str">
        <f>+IF($AG1158=AQ$22,MONTH($D1158),"")</f>
        <v/>
      </c>
      <c r="AR1158" s="89" t="str">
        <f>+IF($AG1158=AR$22,MONTH($D1158),"")</f>
        <v/>
      </c>
      <c r="AS1158" s="89" t="str">
        <f>+IF($AG1158=AS$22,MONTH($D1158),"")</f>
        <v/>
      </c>
      <c r="AT1158" s="89" t="str">
        <f>+IF($AG1158=AT$22,MONTH($D1158),"")</f>
        <v/>
      </c>
      <c r="AU1158" s="89" t="str">
        <f>+IF($AG1158=AU$22,MONTH($D1158),"")</f>
        <v/>
      </c>
      <c r="AV1158" s="89" t="str">
        <f>+IF($AG1158=AV$22,MONTH($D1158),"")</f>
        <v/>
      </c>
      <c r="AW1158" s="86" t="str">
        <f>+IF($AG1158=AW$22,MONTH($D1158),"")</f>
        <v/>
      </c>
      <c r="AX1158" s="86" t="str">
        <f>+IF($AG1158=AX$22,MONTH($D1158),"")</f>
        <v/>
      </c>
      <c r="AY1158" s="89"/>
      <c r="AZ1158" s="89"/>
      <c r="BA1158" s="89"/>
      <c r="BB1158" s="89"/>
      <c r="BC1158" s="89"/>
      <c r="BD1158" s="89"/>
      <c r="BE1158" s="89"/>
      <c r="BF1158" s="89"/>
      <c r="BG1158" s="89"/>
      <c r="BH1158" s="89"/>
      <c r="BI1158" s="89"/>
      <c r="BJ1158" s="89"/>
      <c r="BK1158" s="89"/>
      <c r="BL1158" s="89"/>
      <c r="BM1158" s="89"/>
      <c r="BN1158" s="89"/>
      <c r="BO1158" s="89"/>
      <c r="BP1158" s="89"/>
    </row>
    <row r="1159" spans="1:68" s="56" customFormat="1" ht="67.5" hidden="1">
      <c r="A1159" s="204" t="str">
        <f>+IFERROR(VALUE(MID(AB1159,4,4)),"")</f>
        <v/>
      </c>
      <c r="B1159" s="204">
        <f>VALUE(RIGHT(C1159,LEN(C1159)-2))</f>
        <v>1564</v>
      </c>
      <c r="C1159" s="74" t="s">
        <v>4422</v>
      </c>
      <c r="D1159" s="75">
        <v>44763</v>
      </c>
      <c r="E1159" s="70" t="s">
        <v>394</v>
      </c>
      <c r="F1159" s="70" t="s">
        <v>2269</v>
      </c>
      <c r="G1159" s="68" t="s">
        <v>2270</v>
      </c>
      <c r="H1159" s="59" t="s">
        <v>2271</v>
      </c>
      <c r="I1159" s="69" t="s">
        <v>4423</v>
      </c>
      <c r="J1159" s="69"/>
      <c r="K1159" s="95" t="s">
        <v>9</v>
      </c>
      <c r="L1159" s="69" t="s">
        <v>120</v>
      </c>
      <c r="M1159" s="71" t="s">
        <v>141</v>
      </c>
      <c r="N1159" s="69" t="e" vm="1">
        <v>#VALUE!</v>
      </c>
      <c r="O1159" s="84">
        <v>44767</v>
      </c>
      <c r="P1159" s="82" t="s">
        <v>2852</v>
      </c>
      <c r="Q1159" s="82" t="s">
        <v>1097</v>
      </c>
      <c r="R1159" s="69"/>
      <c r="S1159" s="146" t="s">
        <v>4424</v>
      </c>
      <c r="T1159" s="68" t="s">
        <v>165</v>
      </c>
      <c r="U1159" s="87"/>
      <c r="V1159" s="80">
        <v>44839</v>
      </c>
      <c r="W1159" s="73">
        <v>403</v>
      </c>
      <c r="X1159" s="73">
        <v>14.7</v>
      </c>
      <c r="Y1159" s="83">
        <f>IF(SUM(W1159:W1159)&gt;0,X1159/SUM(W1159:W1159)*1000000,"N/A")</f>
        <v>36476.426799007444</v>
      </c>
      <c r="Z1159" s="80"/>
      <c r="AA1159" s="80"/>
      <c r="AB1159" s="73"/>
      <c r="AC1159" s="153"/>
      <c r="AD1159" s="331"/>
      <c r="AE1159" s="57"/>
      <c r="AF1159" s="88"/>
      <c r="AG1159" s="182">
        <f>YEAR(D1159)</f>
        <v>2022</v>
      </c>
      <c r="AH1159" s="86" t="str">
        <f>+IF(AE1159=$AJ$22,MONTH(T1159),"")</f>
        <v/>
      </c>
      <c r="AI1159" s="86" t="str">
        <f>+IF(AF1159=$AJ$22,MONTH(U1159),"")</f>
        <v/>
      </c>
      <c r="AJ1159" s="86" t="str">
        <f>+IF(AG1159=$AJ$22,MONTH(V1159),"")</f>
        <v/>
      </c>
      <c r="AK1159" s="86" t="str">
        <f>+IF(AG1159=$AK$22,MONTH(V1159),"")</f>
        <v/>
      </c>
      <c r="AL1159" s="86">
        <f>+IF(AG1159=$AL$22,MONTH(V1159),"")</f>
        <v>10</v>
      </c>
      <c r="AM1159" s="86" t="str">
        <f>+IF($AG1159=$AM$22,MONTH($D1159),"")</f>
        <v/>
      </c>
      <c r="AN1159" s="89" t="str">
        <f>+IF($AG1159=AN$22,MONTH($D1159),"")</f>
        <v/>
      </c>
      <c r="AO1159" s="89" t="str">
        <f>+IF($AG1159=AO$22,MONTH($D1159),"")</f>
        <v/>
      </c>
      <c r="AP1159" s="89" t="str">
        <f>+IF($AG1159=AP$22,MONTH($D1159),"")</f>
        <v/>
      </c>
      <c r="AQ1159" s="89" t="str">
        <f>+IF($AG1159=AQ$22,MONTH($D1159),"")</f>
        <v/>
      </c>
      <c r="AR1159" s="89" t="str">
        <f>+IF($AG1159=AR$22,MONTH($D1159),"")</f>
        <v/>
      </c>
      <c r="AS1159" s="89" t="str">
        <f>+IF($AG1159=AS$22,MONTH($D1159),"")</f>
        <v/>
      </c>
      <c r="AT1159" s="89" t="str">
        <f>+IF($AG1159=AT$22,MONTH($D1159),"")</f>
        <v/>
      </c>
      <c r="AU1159" s="89" t="str">
        <f>+IF($AG1159=AU$22,MONTH($D1159),"")</f>
        <v/>
      </c>
      <c r="AV1159" s="89" t="str">
        <f>+IF($AG1159=AV$22,MONTH($D1159),"")</f>
        <v/>
      </c>
      <c r="AW1159" s="86" t="str">
        <f>+IF($AG1159=AW$22,MONTH($D1159),"")</f>
        <v/>
      </c>
      <c r="AX1159" s="86" t="str">
        <f>+IF($AG1159=AX$22,MONTH($D1159),"")</f>
        <v/>
      </c>
      <c r="AY1159" s="89"/>
      <c r="AZ1159" s="89"/>
      <c r="BA1159" s="89"/>
      <c r="BB1159" s="89"/>
      <c r="BC1159" s="89"/>
      <c r="BD1159" s="89"/>
      <c r="BE1159" s="89"/>
      <c r="BF1159" s="89"/>
      <c r="BG1159" s="89"/>
      <c r="BH1159" s="89"/>
      <c r="BI1159" s="89"/>
      <c r="BJ1159" s="89"/>
      <c r="BK1159" s="89"/>
      <c r="BL1159" s="89"/>
      <c r="BM1159" s="89"/>
      <c r="BN1159" s="89"/>
      <c r="BO1159" s="89"/>
      <c r="BP1159" s="89"/>
    </row>
    <row r="1160" spans="1:68" s="56" customFormat="1" ht="81" hidden="1">
      <c r="A1160" s="204" t="str">
        <f>+IFERROR(VALUE(MID(AB1160,4,4)),"")</f>
        <v/>
      </c>
      <c r="B1160" s="204">
        <f>VALUE(RIGHT(C1160,LEN(C1160)-2))</f>
        <v>1563</v>
      </c>
      <c r="C1160" s="74" t="s">
        <v>4425</v>
      </c>
      <c r="D1160" s="75">
        <v>44762</v>
      </c>
      <c r="E1160" s="70" t="s">
        <v>97</v>
      </c>
      <c r="F1160" s="70" t="s">
        <v>4426</v>
      </c>
      <c r="G1160" s="68" t="s">
        <v>4175</v>
      </c>
      <c r="H1160" s="59" t="s">
        <v>4176</v>
      </c>
      <c r="I1160" s="69" t="s">
        <v>4427</v>
      </c>
      <c r="J1160" s="69"/>
      <c r="K1160" s="68" t="s">
        <v>13</v>
      </c>
      <c r="L1160" s="69" t="s">
        <v>120</v>
      </c>
      <c r="M1160" s="71" t="s">
        <v>141</v>
      </c>
      <c r="N1160" s="69" t="e" vm="1">
        <v>#VALUE!</v>
      </c>
      <c r="O1160" s="84">
        <v>44762</v>
      </c>
      <c r="P1160" s="72" t="s">
        <v>2124</v>
      </c>
      <c r="Q1160" s="72" t="s">
        <v>623</v>
      </c>
      <c r="R1160" s="162"/>
      <c r="S1160" s="146" t="s">
        <v>4428</v>
      </c>
      <c r="T1160" s="68" t="s">
        <v>165</v>
      </c>
      <c r="U1160" s="87"/>
      <c r="V1160" s="80">
        <v>44886</v>
      </c>
      <c r="W1160" s="73">
        <v>1087</v>
      </c>
      <c r="X1160" s="73">
        <v>51.4</v>
      </c>
      <c r="Y1160" s="83">
        <f>IF(SUM(W1160:W1160)&gt;0,X1160/SUM(W1160:W1160)*1000000,"N/A")</f>
        <v>47286.108555657767</v>
      </c>
      <c r="Z1160" s="80"/>
      <c r="AA1160" s="80"/>
      <c r="AB1160" s="73"/>
      <c r="AC1160" s="153"/>
      <c r="AD1160" s="331"/>
      <c r="AE1160" s="57"/>
      <c r="AF1160" s="88" t="s">
        <v>4287</v>
      </c>
      <c r="AG1160" s="182">
        <f>YEAR(D1160)</f>
        <v>2022</v>
      </c>
      <c r="AH1160" s="86" t="str">
        <f>+IF(AE1160=$AJ$22,MONTH(T1160),"")</f>
        <v/>
      </c>
      <c r="AI1160" s="86" t="str">
        <f>+IF(AF1160=$AJ$22,MONTH(U1160),"")</f>
        <v/>
      </c>
      <c r="AJ1160" s="86" t="str">
        <f>+IF(AG1160=$AJ$22,MONTH(V1160),"")</f>
        <v/>
      </c>
      <c r="AK1160" s="86" t="str">
        <f>+IF(AG1160=$AK$22,MONTH(V1160),"")</f>
        <v/>
      </c>
      <c r="AL1160" s="86">
        <f>+IF(AG1160=$AL$22,MONTH(V1160),"")</f>
        <v>11</v>
      </c>
      <c r="AM1160" s="86" t="str">
        <f>+IF($AG1160=$AM$22,MONTH($D1160),"")</f>
        <v/>
      </c>
      <c r="AN1160" s="89" t="str">
        <f>+IF($AG1160=AN$22,MONTH($D1160),"")</f>
        <v/>
      </c>
      <c r="AO1160" s="89" t="str">
        <f>+IF($AG1160=AO$22,MONTH($D1160),"")</f>
        <v/>
      </c>
      <c r="AP1160" s="89" t="str">
        <f>+IF($AG1160=AP$22,MONTH($D1160),"")</f>
        <v/>
      </c>
      <c r="AQ1160" s="89" t="str">
        <f>+IF($AG1160=AQ$22,MONTH($D1160),"")</f>
        <v/>
      </c>
      <c r="AR1160" s="89" t="str">
        <f>+IF($AG1160=AR$22,MONTH($D1160),"")</f>
        <v/>
      </c>
      <c r="AS1160" s="89" t="str">
        <f>+IF($AG1160=AS$22,MONTH($D1160),"")</f>
        <v/>
      </c>
      <c r="AT1160" s="89" t="str">
        <f>+IF($AG1160=AT$22,MONTH($D1160),"")</f>
        <v/>
      </c>
      <c r="AU1160" s="89" t="str">
        <f>+IF($AG1160=AU$22,MONTH($D1160),"")</f>
        <v/>
      </c>
      <c r="AV1160" s="89" t="str">
        <f>+IF($AG1160=AV$22,MONTH($D1160),"")</f>
        <v/>
      </c>
      <c r="AW1160" s="86" t="str">
        <f>+IF($AG1160=AW$22,MONTH($D1160),"")</f>
        <v/>
      </c>
      <c r="AX1160" s="86" t="str">
        <f>+IF($AG1160=AX$22,MONTH($D1160),"")</f>
        <v/>
      </c>
      <c r="AY1160" s="89"/>
      <c r="AZ1160" s="89"/>
      <c r="BA1160" s="89"/>
      <c r="BB1160" s="89"/>
      <c r="BC1160" s="89"/>
      <c r="BD1160" s="89"/>
      <c r="BE1160" s="89"/>
      <c r="BF1160" s="89"/>
      <c r="BG1160" s="89"/>
      <c r="BH1160" s="89"/>
      <c r="BI1160" s="89"/>
      <c r="BJ1160" s="89"/>
      <c r="BK1160" s="89"/>
      <c r="BL1160" s="89"/>
      <c r="BM1160" s="89"/>
      <c r="BN1160" s="89"/>
      <c r="BO1160" s="89"/>
      <c r="BP1160" s="89"/>
    </row>
    <row r="1161" spans="1:68" s="56" customFormat="1" ht="27" hidden="1">
      <c r="A1161" s="204" t="str">
        <f>+IFERROR(VALUE(MID(AB1161,4,4)),"")</f>
        <v/>
      </c>
      <c r="B1161" s="204">
        <f>VALUE(RIGHT(C1161,LEN(C1161)-2))</f>
        <v>1562</v>
      </c>
      <c r="C1161" s="74" t="s">
        <v>4429</v>
      </c>
      <c r="D1161" s="75">
        <v>44761</v>
      </c>
      <c r="E1161" s="70" t="s">
        <v>255</v>
      </c>
      <c r="F1161" s="70" t="s">
        <v>255</v>
      </c>
      <c r="G1161" s="68" t="s">
        <v>4430</v>
      </c>
      <c r="H1161" s="59" t="s">
        <v>4431</v>
      </c>
      <c r="I1161" s="69" t="s">
        <v>4432</v>
      </c>
      <c r="J1161" s="69"/>
      <c r="K1161" s="68" t="s">
        <v>275</v>
      </c>
      <c r="L1161" s="69" t="s">
        <v>120</v>
      </c>
      <c r="M1161" s="71" t="s">
        <v>141</v>
      </c>
      <c r="N1161" s="69" t="e" vm="1">
        <v>#VALUE!</v>
      </c>
      <c r="O1161" s="84">
        <v>44762</v>
      </c>
      <c r="P1161" s="72" t="s">
        <v>4173</v>
      </c>
      <c r="Q1161" s="72" t="s">
        <v>316</v>
      </c>
      <c r="R1161" s="162"/>
      <c r="S1161" s="146" t="s">
        <v>4433</v>
      </c>
      <c r="T1161" s="68" t="s">
        <v>155</v>
      </c>
      <c r="U1161" s="87"/>
      <c r="V1161" s="80">
        <v>44761</v>
      </c>
      <c r="W1161" s="73"/>
      <c r="X1161" s="73"/>
      <c r="Y1161" s="83" t="str">
        <f>IF(SUM(W1161:W1161)&gt;0,X1161/SUM(W1161:W1161)*1000000,"N/A")</f>
        <v>N/A</v>
      </c>
      <c r="Z1161" s="80"/>
      <c r="AA1161" s="80"/>
      <c r="AB1161" s="73"/>
      <c r="AC1161" s="153"/>
      <c r="AD1161" s="331"/>
      <c r="AE1161" s="57"/>
      <c r="AF1161" s="88"/>
      <c r="AG1161" s="182">
        <f>YEAR(D1161)</f>
        <v>2022</v>
      </c>
      <c r="AH1161" s="86" t="str">
        <f>+IF(AE1161=$AJ$22,MONTH(T1161),"")</f>
        <v/>
      </c>
      <c r="AI1161" s="86" t="str">
        <f>+IF(AF1161=$AJ$22,MONTH(U1161),"")</f>
        <v/>
      </c>
      <c r="AJ1161" s="86" t="str">
        <f>+IF(AG1161=$AJ$22,MONTH(V1161),"")</f>
        <v/>
      </c>
      <c r="AK1161" s="86" t="str">
        <f>+IF(AG1161=$AK$22,MONTH(V1161),"")</f>
        <v/>
      </c>
      <c r="AL1161" s="86">
        <f>+IF(AG1161=$AL$22,MONTH(V1161),"")</f>
        <v>7</v>
      </c>
      <c r="AM1161" s="86" t="str">
        <f>+IF($AG1161=$AM$22,MONTH($D1161),"")</f>
        <v/>
      </c>
      <c r="AN1161" s="89" t="str">
        <f>+IF($AG1161=AN$22,MONTH($D1161),"")</f>
        <v/>
      </c>
      <c r="AO1161" s="89" t="str">
        <f>+IF($AG1161=AO$22,MONTH($D1161),"")</f>
        <v/>
      </c>
      <c r="AP1161" s="89" t="str">
        <f>+IF($AG1161=AP$22,MONTH($D1161),"")</f>
        <v/>
      </c>
      <c r="AQ1161" s="89" t="str">
        <f>+IF($AG1161=AQ$22,MONTH($D1161),"")</f>
        <v/>
      </c>
      <c r="AR1161" s="89" t="str">
        <f>+IF($AG1161=AR$22,MONTH($D1161),"")</f>
        <v/>
      </c>
      <c r="AS1161" s="89" t="str">
        <f>+IF($AG1161=AS$22,MONTH($D1161),"")</f>
        <v/>
      </c>
      <c r="AT1161" s="89" t="str">
        <f>+IF($AG1161=AT$22,MONTH($D1161),"")</f>
        <v/>
      </c>
      <c r="AU1161" s="89" t="str">
        <f>+IF($AG1161=AU$22,MONTH($D1161),"")</f>
        <v/>
      </c>
      <c r="AV1161" s="89" t="str">
        <f>+IF($AG1161=AV$22,MONTH($D1161),"")</f>
        <v/>
      </c>
      <c r="AW1161" s="86" t="str">
        <f>+IF($AG1161=AW$22,MONTH($D1161),"")</f>
        <v/>
      </c>
      <c r="AX1161" s="86" t="str">
        <f>+IF($AG1161=AX$22,MONTH($D1161),"")</f>
        <v/>
      </c>
      <c r="AY1161" s="89"/>
      <c r="AZ1161" s="89"/>
      <c r="BA1161" s="89"/>
      <c r="BB1161" s="89"/>
      <c r="BC1161" s="89"/>
      <c r="BD1161" s="89"/>
      <c r="BE1161" s="89"/>
      <c r="BF1161" s="89"/>
      <c r="BG1161" s="89"/>
      <c r="BH1161" s="89"/>
      <c r="BI1161" s="89"/>
      <c r="BJ1161" s="89"/>
      <c r="BK1161" s="89"/>
      <c r="BL1161" s="89"/>
      <c r="BM1161" s="89"/>
      <c r="BN1161" s="89"/>
      <c r="BO1161" s="89"/>
      <c r="BP1161" s="89"/>
    </row>
    <row r="1162" spans="1:68" s="56" customFormat="1" ht="13.5" hidden="1">
      <c r="A1162" s="204">
        <f>+IFERROR(VALUE(MID(AB1162,4,4)),"")</f>
        <v>256</v>
      </c>
      <c r="B1162" s="204">
        <f>VALUE(RIGHT(C1162,LEN(C1162)-2))</f>
        <v>1561</v>
      </c>
      <c r="C1162" s="74" t="s">
        <v>4434</v>
      </c>
      <c r="D1162" s="75">
        <v>44761</v>
      </c>
      <c r="E1162" s="70" t="s">
        <v>255</v>
      </c>
      <c r="F1162" s="70" t="s">
        <v>255</v>
      </c>
      <c r="G1162" s="68" t="s">
        <v>4430</v>
      </c>
      <c r="H1162" s="59" t="s">
        <v>4431</v>
      </c>
      <c r="I1162" s="69" t="s">
        <v>4435</v>
      </c>
      <c r="J1162" s="69"/>
      <c r="K1162" s="68" t="s">
        <v>275</v>
      </c>
      <c r="L1162" s="69" t="s">
        <v>120</v>
      </c>
      <c r="M1162" s="71" t="s">
        <v>141</v>
      </c>
      <c r="N1162" s="69" t="e" vm="1">
        <v>#VALUE!</v>
      </c>
      <c r="O1162" s="84">
        <v>44774</v>
      </c>
      <c r="P1162" s="72" t="s">
        <v>4173</v>
      </c>
      <c r="Q1162" s="72" t="s">
        <v>316</v>
      </c>
      <c r="R1162" s="162"/>
      <c r="S1162" s="146" t="s">
        <v>4436</v>
      </c>
      <c r="T1162" s="68" t="s">
        <v>3</v>
      </c>
      <c r="U1162" s="87"/>
      <c r="V1162" s="80">
        <v>44798</v>
      </c>
      <c r="W1162" s="73">
        <v>1620</v>
      </c>
      <c r="X1162" s="73">
        <f>2279*33500/1000000</f>
        <v>76.346500000000006</v>
      </c>
      <c r="Y1162" s="83">
        <f>IF(SUM(W1162:W1162)&gt;0,X1162/SUM(W1162:W1162)*1000000,"N/A")</f>
        <v>47127.469135802472</v>
      </c>
      <c r="Z1162" s="80"/>
      <c r="AA1162" s="80"/>
      <c r="AB1162" s="73" t="s">
        <v>4437</v>
      </c>
      <c r="AC1162" s="153"/>
      <c r="AD1162" s="331"/>
      <c r="AE1162" s="57"/>
      <c r="AF1162" s="88"/>
      <c r="AG1162" s="182">
        <f>YEAR(D1162)</f>
        <v>2022</v>
      </c>
      <c r="AH1162" s="86" t="str">
        <f>+IF(AE1162=$AJ$22,MONTH(T1162),"")</f>
        <v/>
      </c>
      <c r="AI1162" s="86" t="str">
        <f>+IF(AF1162=$AJ$22,MONTH(U1162),"")</f>
        <v/>
      </c>
      <c r="AJ1162" s="86" t="str">
        <f>+IF(AG1162=$AJ$22,MONTH(V1162),"")</f>
        <v/>
      </c>
      <c r="AK1162" s="86" t="str">
        <f>+IF(AG1162=$AK$22,MONTH(V1162),"")</f>
        <v/>
      </c>
      <c r="AL1162" s="86">
        <f>+IF(AG1162=$AL$22,MONTH(V1162),"")</f>
        <v>8</v>
      </c>
      <c r="AM1162" s="86" t="str">
        <f>+IF($AG1162=$AM$22,MONTH($D1162),"")</f>
        <v/>
      </c>
      <c r="AN1162" s="89" t="str">
        <f>+IF($AG1162=AN$22,MONTH($D1162),"")</f>
        <v/>
      </c>
      <c r="AO1162" s="89" t="str">
        <f>+IF($AG1162=AO$22,MONTH($D1162),"")</f>
        <v/>
      </c>
      <c r="AP1162" s="89" t="str">
        <f>+IF($AG1162=AP$22,MONTH($D1162),"")</f>
        <v/>
      </c>
      <c r="AQ1162" s="89" t="str">
        <f>+IF($AG1162=AQ$22,MONTH($D1162),"")</f>
        <v/>
      </c>
      <c r="AR1162" s="89" t="str">
        <f>+IF($AG1162=AR$22,MONTH($D1162),"")</f>
        <v/>
      </c>
      <c r="AS1162" s="89" t="str">
        <f>+IF($AG1162=AS$22,MONTH($D1162),"")</f>
        <v/>
      </c>
      <c r="AT1162" s="89" t="str">
        <f>+IF($AG1162=AT$22,MONTH($D1162),"")</f>
        <v/>
      </c>
      <c r="AU1162" s="89" t="str">
        <f>+IF($AG1162=AU$22,MONTH($D1162),"")</f>
        <v/>
      </c>
      <c r="AV1162" s="89" t="str">
        <f>+IF($AG1162=AV$22,MONTH($D1162),"")</f>
        <v/>
      </c>
      <c r="AW1162" s="86" t="str">
        <f>+IF($AG1162=AW$22,MONTH($D1162),"")</f>
        <v/>
      </c>
      <c r="AX1162" s="86" t="str">
        <f>+IF($AG1162=AX$22,MONTH($D1162),"")</f>
        <v/>
      </c>
      <c r="AY1162" s="89"/>
      <c r="AZ1162" s="89"/>
      <c r="BA1162" s="89"/>
      <c r="BB1162" s="89"/>
      <c r="BC1162" s="89"/>
      <c r="BD1162" s="89"/>
      <c r="BE1162" s="89"/>
      <c r="BF1162" s="89"/>
      <c r="BG1162" s="89"/>
      <c r="BH1162" s="89"/>
      <c r="BI1162" s="89"/>
      <c r="BJ1162" s="89"/>
      <c r="BK1162" s="89"/>
      <c r="BL1162" s="89"/>
      <c r="BM1162" s="89"/>
      <c r="BN1162" s="89"/>
      <c r="BO1162" s="89"/>
      <c r="BP1162" s="89"/>
    </row>
    <row r="1163" spans="1:68" s="56" customFormat="1" ht="40.5" hidden="1">
      <c r="A1163" s="204" t="str">
        <f>+IFERROR(VALUE(MID(AB1163,4,4)),"")</f>
        <v/>
      </c>
      <c r="B1163" s="204">
        <f>VALUE(RIGHT(C1163,LEN(C1163)-2))</f>
        <v>1560</v>
      </c>
      <c r="C1163" s="74" t="s">
        <v>4438</v>
      </c>
      <c r="D1163" s="75">
        <v>44760</v>
      </c>
      <c r="E1163" s="70" t="s">
        <v>847</v>
      </c>
      <c r="F1163" s="70" t="s">
        <v>252</v>
      </c>
      <c r="G1163" s="68" t="s">
        <v>4439</v>
      </c>
      <c r="H1163" s="59"/>
      <c r="I1163" s="69" t="s">
        <v>2566</v>
      </c>
      <c r="J1163" s="69"/>
      <c r="K1163" s="68" t="s">
        <v>13</v>
      </c>
      <c r="L1163" s="69" t="s">
        <v>123</v>
      </c>
      <c r="M1163" s="71" t="s">
        <v>141</v>
      </c>
      <c r="N1163" s="69" t="e" vm="1">
        <v>#VALUE!</v>
      </c>
      <c r="O1163" s="84">
        <v>44804</v>
      </c>
      <c r="P1163" s="72" t="s">
        <v>364</v>
      </c>
      <c r="Q1163" s="72" t="s">
        <v>1097</v>
      </c>
      <c r="R1163" s="162"/>
      <c r="S1163" s="146" t="s">
        <v>4440</v>
      </c>
      <c r="T1163" s="68" t="s">
        <v>168</v>
      </c>
      <c r="U1163" s="87"/>
      <c r="V1163" s="80">
        <v>45020</v>
      </c>
      <c r="W1163" s="73">
        <v>4353</v>
      </c>
      <c r="X1163" s="73">
        <v>218</v>
      </c>
      <c r="Y1163" s="83">
        <f>IF(SUM(W1163:W1163)&gt;0,X1163/SUM(W1163:W1163)*1000000,"N/A")</f>
        <v>50080.404318860557</v>
      </c>
      <c r="Z1163" s="80"/>
      <c r="AA1163" s="80"/>
      <c r="AB1163" s="73"/>
      <c r="AC1163" s="153"/>
      <c r="AD1163" s="331"/>
      <c r="AE1163" s="57"/>
      <c r="AF1163" s="88" t="s">
        <v>4441</v>
      </c>
      <c r="AG1163" s="182">
        <f>YEAR(D1163)</f>
        <v>2022</v>
      </c>
      <c r="AH1163" s="86" t="str">
        <f>+IF(AE1163=$AJ$22,MONTH(T1163),"")</f>
        <v/>
      </c>
      <c r="AI1163" s="86" t="str">
        <f>+IF(AF1163=$AJ$22,MONTH(U1163),"")</f>
        <v/>
      </c>
      <c r="AJ1163" s="86" t="str">
        <f>+IF(AG1163=$AJ$22,MONTH(V1163),"")</f>
        <v/>
      </c>
      <c r="AK1163" s="86" t="str">
        <f>+IF(AG1163=$AK$22,MONTH(V1163),"")</f>
        <v/>
      </c>
      <c r="AL1163" s="86">
        <f>+IF(AG1163=$AL$22,MONTH(V1163),"")</f>
        <v>4</v>
      </c>
      <c r="AM1163" s="86" t="str">
        <f>+IF($AG1163=$AM$22,MONTH($D1163),"")</f>
        <v/>
      </c>
      <c r="AN1163" s="89" t="str">
        <f>+IF($AG1163=AN$22,MONTH($D1163),"")</f>
        <v/>
      </c>
      <c r="AO1163" s="89" t="str">
        <f>+IF($AG1163=AO$22,MONTH($D1163),"")</f>
        <v/>
      </c>
      <c r="AP1163" s="89" t="str">
        <f>+IF($AG1163=AP$22,MONTH($D1163),"")</f>
        <v/>
      </c>
      <c r="AQ1163" s="89" t="str">
        <f>+IF($AG1163=AQ$22,MONTH($D1163),"")</f>
        <v/>
      </c>
      <c r="AR1163" s="89" t="str">
        <f>+IF($AG1163=AR$22,MONTH($D1163),"")</f>
        <v/>
      </c>
      <c r="AS1163" s="89" t="str">
        <f>+IF($AG1163=AS$22,MONTH($D1163),"")</f>
        <v/>
      </c>
      <c r="AT1163" s="89" t="str">
        <f>+IF($AG1163=AT$22,MONTH($D1163),"")</f>
        <v/>
      </c>
      <c r="AU1163" s="89" t="str">
        <f>+IF($AG1163=AU$22,MONTH($D1163),"")</f>
        <v/>
      </c>
      <c r="AV1163" s="89" t="str">
        <f>+IF($AG1163=AV$22,MONTH($D1163),"")</f>
        <v/>
      </c>
      <c r="AW1163" s="86" t="str">
        <f>+IF($AG1163=AW$22,MONTH($D1163),"")</f>
        <v/>
      </c>
      <c r="AX1163" s="86" t="str">
        <f>+IF($AG1163=AX$22,MONTH($D1163),"")</f>
        <v/>
      </c>
      <c r="AY1163" s="89"/>
      <c r="AZ1163" s="89"/>
      <c r="BA1163" s="89"/>
      <c r="BB1163" s="89"/>
      <c r="BC1163" s="89"/>
      <c r="BD1163" s="89"/>
      <c r="BE1163" s="89"/>
      <c r="BF1163" s="89"/>
      <c r="BG1163" s="89"/>
      <c r="BH1163" s="89"/>
      <c r="BI1163" s="89"/>
      <c r="BJ1163" s="89"/>
      <c r="BK1163" s="89"/>
      <c r="BL1163" s="89"/>
      <c r="BM1163" s="89"/>
      <c r="BN1163" s="89"/>
      <c r="BO1163" s="89"/>
      <c r="BP1163" s="89"/>
    </row>
    <row r="1164" spans="1:68" s="56" customFormat="1" ht="27" hidden="1">
      <c r="A1164" s="204" t="str">
        <f>+IFERROR(VALUE(MID(AB1164,4,4)),"")</f>
        <v/>
      </c>
      <c r="B1164" s="204">
        <f>VALUE(RIGHT(C1164,LEN(C1164)-2))</f>
        <v>1559</v>
      </c>
      <c r="C1164" s="74" t="s">
        <v>4442</v>
      </c>
      <c r="D1164" s="75">
        <v>44806</v>
      </c>
      <c r="E1164" s="70" t="s">
        <v>4443</v>
      </c>
      <c r="F1164" s="70" t="s">
        <v>853</v>
      </c>
      <c r="G1164" s="68" t="s">
        <v>4444</v>
      </c>
      <c r="H1164" s="59" t="s">
        <v>4445</v>
      </c>
      <c r="I1164" s="69" t="s">
        <v>4446</v>
      </c>
      <c r="J1164" s="69"/>
      <c r="K1164" s="68" t="s">
        <v>14</v>
      </c>
      <c r="L1164" s="69" t="s">
        <v>129</v>
      </c>
      <c r="M1164" s="71" t="s">
        <v>141</v>
      </c>
      <c r="N1164" s="69" t="e" vm="1">
        <v>#VALUE!</v>
      </c>
      <c r="O1164" s="84">
        <v>44810</v>
      </c>
      <c r="P1164" s="72" t="s">
        <v>2852</v>
      </c>
      <c r="Q1164" s="72" t="s">
        <v>229</v>
      </c>
      <c r="R1164" s="162"/>
      <c r="S1164" s="146" t="s">
        <v>4341</v>
      </c>
      <c r="T1164" s="68" t="s">
        <v>155</v>
      </c>
      <c r="U1164" s="87"/>
      <c r="V1164" s="80">
        <v>44806</v>
      </c>
      <c r="W1164" s="73"/>
      <c r="X1164" s="73"/>
      <c r="Y1164" s="83" t="str">
        <f>IF(SUM(W1164:W1164)&gt;0,X1164/SUM(W1164:W1164)*1000000,"N/A")</f>
        <v>N/A</v>
      </c>
      <c r="Z1164" s="80"/>
      <c r="AA1164" s="80"/>
      <c r="AB1164" s="73"/>
      <c r="AC1164" s="153"/>
      <c r="AD1164" s="331"/>
      <c r="AE1164" s="57"/>
      <c r="AF1164" s="88"/>
      <c r="AG1164" s="182">
        <f>YEAR(D1164)</f>
        <v>2022</v>
      </c>
      <c r="AH1164" s="86" t="str">
        <f>+IF(AE1164=$AJ$22,MONTH(T1164),"")</f>
        <v/>
      </c>
      <c r="AI1164" s="86" t="str">
        <f>+IF(AF1164=$AJ$22,MONTH(U1164),"")</f>
        <v/>
      </c>
      <c r="AJ1164" s="86" t="str">
        <f>+IF(AG1164=$AJ$22,MONTH(V1164),"")</f>
        <v/>
      </c>
      <c r="AK1164" s="86" t="str">
        <f>+IF(AG1164=$AK$22,MONTH(V1164),"")</f>
        <v/>
      </c>
      <c r="AL1164" s="86">
        <f>+IF(AG1164=$AL$22,MONTH(V1164),"")</f>
        <v>9</v>
      </c>
      <c r="AM1164" s="86" t="str">
        <f>+IF($AG1164=$AM$22,MONTH($D1164),"")</f>
        <v/>
      </c>
      <c r="AN1164" s="89" t="str">
        <f>+IF($AG1164=AN$22,MONTH($D1164),"")</f>
        <v/>
      </c>
      <c r="AO1164" s="89" t="str">
        <f>+IF($AG1164=AO$22,MONTH($D1164),"")</f>
        <v/>
      </c>
      <c r="AP1164" s="89" t="str">
        <f>+IF($AG1164=AP$22,MONTH($D1164),"")</f>
        <v/>
      </c>
      <c r="AQ1164" s="89" t="str">
        <f>+IF($AG1164=AQ$22,MONTH($D1164),"")</f>
        <v/>
      </c>
      <c r="AR1164" s="89" t="str">
        <f>+IF($AG1164=AR$22,MONTH($D1164),"")</f>
        <v/>
      </c>
      <c r="AS1164" s="89" t="str">
        <f>+IF($AG1164=AS$22,MONTH($D1164),"")</f>
        <v/>
      </c>
      <c r="AT1164" s="89" t="str">
        <f>+IF($AG1164=AT$22,MONTH($D1164),"")</f>
        <v/>
      </c>
      <c r="AU1164" s="89" t="str">
        <f>+IF($AG1164=AU$22,MONTH($D1164),"")</f>
        <v/>
      </c>
      <c r="AV1164" s="89" t="str">
        <f>+IF($AG1164=AV$22,MONTH($D1164),"")</f>
        <v/>
      </c>
      <c r="AW1164" s="86" t="str">
        <f>+IF($AG1164=AW$22,MONTH($D1164),"")</f>
        <v/>
      </c>
      <c r="AX1164" s="86" t="str">
        <f>+IF($AG1164=AX$22,MONTH($D1164),"")</f>
        <v/>
      </c>
      <c r="AY1164" s="89"/>
      <c r="AZ1164" s="89"/>
      <c r="BA1164" s="89"/>
      <c r="BB1164" s="89"/>
      <c r="BC1164" s="89"/>
      <c r="BD1164" s="89"/>
      <c r="BE1164" s="89"/>
      <c r="BF1164" s="89"/>
      <c r="BG1164" s="89"/>
      <c r="BH1164" s="89"/>
      <c r="BI1164" s="89"/>
      <c r="BJ1164" s="89"/>
      <c r="BK1164" s="89"/>
      <c r="BL1164" s="89"/>
      <c r="BM1164" s="89"/>
      <c r="BN1164" s="89"/>
      <c r="BO1164" s="89"/>
      <c r="BP1164" s="89"/>
    </row>
    <row r="1165" spans="1:68" s="56" customFormat="1" ht="27" hidden="1">
      <c r="A1165" s="204" t="str">
        <f>+IFERROR(VALUE(MID(AB1165,4,4)),"")</f>
        <v/>
      </c>
      <c r="B1165" s="204">
        <f>VALUE(RIGHT(C1165,LEN(C1165)-2))</f>
        <v>1558</v>
      </c>
      <c r="C1165" s="74" t="s">
        <v>4447</v>
      </c>
      <c r="D1165" s="75">
        <v>44757</v>
      </c>
      <c r="E1165" s="70" t="s">
        <v>3741</v>
      </c>
      <c r="F1165" s="70" t="s">
        <v>4448</v>
      </c>
      <c r="G1165" s="68" t="s">
        <v>4449</v>
      </c>
      <c r="H1165" s="59" t="s">
        <v>1159</v>
      </c>
      <c r="I1165" s="69" t="s">
        <v>4450</v>
      </c>
      <c r="J1165" s="69"/>
      <c r="K1165" s="68" t="s">
        <v>12</v>
      </c>
      <c r="L1165" s="69" t="s">
        <v>123</v>
      </c>
      <c r="M1165" s="71" t="s">
        <v>113</v>
      </c>
      <c r="N1165" s="69" t="e" vm="2">
        <v>#VALUE!</v>
      </c>
      <c r="O1165" s="84">
        <v>44761</v>
      </c>
      <c r="P1165" s="72" t="s">
        <v>483</v>
      </c>
      <c r="Q1165" s="72" t="s">
        <v>229</v>
      </c>
      <c r="R1165" s="162"/>
      <c r="S1165" s="146" t="s">
        <v>4451</v>
      </c>
      <c r="T1165" s="68" t="s">
        <v>165</v>
      </c>
      <c r="U1165" s="87"/>
      <c r="V1165" s="80">
        <v>44979</v>
      </c>
      <c r="W1165" s="73">
        <v>1670</v>
      </c>
      <c r="X1165" s="73">
        <v>65.400000000000006</v>
      </c>
      <c r="Y1165" s="83">
        <f>IF(SUM(W1165:W1165)&gt;0,X1165/SUM(W1165:W1165)*1000000,"N/A")</f>
        <v>39161.67664670659</v>
      </c>
      <c r="Z1165" s="80"/>
      <c r="AA1165" s="80"/>
      <c r="AB1165" s="73"/>
      <c r="AC1165" s="153"/>
      <c r="AD1165" s="331"/>
      <c r="AE1165" s="57"/>
      <c r="AF1165" s="88" t="s">
        <v>4452</v>
      </c>
      <c r="AG1165" s="182">
        <f>YEAR(D1165)</f>
        <v>2022</v>
      </c>
      <c r="AH1165" s="86" t="str">
        <f>+IF(AE1165=$AJ$22,MONTH(T1165),"")</f>
        <v/>
      </c>
      <c r="AI1165" s="86" t="str">
        <f>+IF(AF1165=$AJ$22,MONTH(U1165),"")</f>
        <v/>
      </c>
      <c r="AJ1165" s="86" t="str">
        <f>+IF(AG1165=$AJ$22,MONTH(V1165),"")</f>
        <v/>
      </c>
      <c r="AK1165" s="86" t="str">
        <f>+IF(AG1165=$AK$22,MONTH(V1165),"")</f>
        <v/>
      </c>
      <c r="AL1165" s="86">
        <f>+IF(AG1165=$AL$22,MONTH(V1165),"")</f>
        <v>2</v>
      </c>
      <c r="AM1165" s="86" t="str">
        <f>+IF($AG1165=$AM$22,MONTH($D1165),"")</f>
        <v/>
      </c>
      <c r="AN1165" s="89" t="str">
        <f>+IF($AG1165=AN$22,MONTH($D1165),"")</f>
        <v/>
      </c>
      <c r="AO1165" s="89" t="str">
        <f>+IF($AG1165=AO$22,MONTH($D1165),"")</f>
        <v/>
      </c>
      <c r="AP1165" s="89" t="str">
        <f>+IF($AG1165=AP$22,MONTH($D1165),"")</f>
        <v/>
      </c>
      <c r="AQ1165" s="89" t="str">
        <f>+IF($AG1165=AQ$22,MONTH($D1165),"")</f>
        <v/>
      </c>
      <c r="AR1165" s="89" t="str">
        <f>+IF($AG1165=AR$22,MONTH($D1165),"")</f>
        <v/>
      </c>
      <c r="AS1165" s="89" t="str">
        <f>+IF($AG1165=AS$22,MONTH($D1165),"")</f>
        <v/>
      </c>
      <c r="AT1165" s="89" t="str">
        <f>+IF($AG1165=AT$22,MONTH($D1165),"")</f>
        <v/>
      </c>
      <c r="AU1165" s="89" t="str">
        <f>+IF($AG1165=AU$22,MONTH($D1165),"")</f>
        <v/>
      </c>
      <c r="AV1165" s="89" t="str">
        <f>+IF($AG1165=AV$22,MONTH($D1165),"")</f>
        <v/>
      </c>
      <c r="AW1165" s="86" t="str">
        <f>+IF($AG1165=AW$22,MONTH($D1165),"")</f>
        <v/>
      </c>
      <c r="AX1165" s="86" t="str">
        <f>+IF($AG1165=AX$22,MONTH($D1165),"")</f>
        <v/>
      </c>
      <c r="AY1165" s="89"/>
      <c r="AZ1165" s="89"/>
      <c r="BA1165" s="89"/>
      <c r="BB1165" s="89"/>
      <c r="BC1165" s="89"/>
      <c r="BD1165" s="89"/>
      <c r="BE1165" s="89"/>
      <c r="BF1165" s="89"/>
      <c r="BG1165" s="89"/>
      <c r="BH1165" s="89"/>
      <c r="BI1165" s="89"/>
      <c r="BJ1165" s="89"/>
      <c r="BK1165" s="89"/>
      <c r="BL1165" s="89"/>
      <c r="BM1165" s="89"/>
      <c r="BN1165" s="89"/>
      <c r="BO1165" s="89"/>
      <c r="BP1165" s="89"/>
    </row>
    <row r="1166" spans="1:68" s="56" customFormat="1" ht="13.5" hidden="1">
      <c r="A1166" s="204">
        <f>+IFERROR(VALUE(MID(AB1166,4,4)),"")</f>
        <v>311</v>
      </c>
      <c r="B1166" s="204">
        <f>VALUE(RIGHT(C1166,LEN(C1166)-2))</f>
        <v>1557</v>
      </c>
      <c r="C1166" s="74" t="s">
        <v>4453</v>
      </c>
      <c r="D1166" s="75">
        <v>44757</v>
      </c>
      <c r="E1166" s="70" t="s">
        <v>3534</v>
      </c>
      <c r="F1166" s="70" t="s">
        <v>3534</v>
      </c>
      <c r="G1166" s="68" t="s">
        <v>3535</v>
      </c>
      <c r="H1166" s="59" t="s">
        <v>3536</v>
      </c>
      <c r="I1166" s="69" t="s">
        <v>4454</v>
      </c>
      <c r="J1166" s="69"/>
      <c r="K1166" s="68" t="s">
        <v>12</v>
      </c>
      <c r="L1166" s="69" t="s">
        <v>120</v>
      </c>
      <c r="M1166" s="71" t="s">
        <v>141</v>
      </c>
      <c r="N1166" s="69" t="e" vm="1">
        <v>#VALUE!</v>
      </c>
      <c r="O1166" s="84">
        <v>44757</v>
      </c>
      <c r="P1166" s="72" t="s">
        <v>364</v>
      </c>
      <c r="Q1166" s="72" t="s">
        <v>229</v>
      </c>
      <c r="R1166" s="162"/>
      <c r="S1166" s="146" t="s">
        <v>2469</v>
      </c>
      <c r="T1166" s="68" t="s">
        <v>3</v>
      </c>
      <c r="U1166" s="87"/>
      <c r="V1166" s="80">
        <v>44774</v>
      </c>
      <c r="W1166" s="73">
        <v>115</v>
      </c>
      <c r="X1166" s="73">
        <f>6800*950/1000000</f>
        <v>6.46</v>
      </c>
      <c r="Y1166" s="83">
        <f>IF(SUM(W1166:W1166)&gt;0,X1166/SUM(W1166:W1166)*1000000,"N/A")</f>
        <v>56173.913043478264</v>
      </c>
      <c r="Z1166" s="80"/>
      <c r="AA1166" s="80"/>
      <c r="AB1166" s="73" t="s">
        <v>4455</v>
      </c>
      <c r="AC1166" s="153"/>
      <c r="AD1166" s="331"/>
      <c r="AE1166" s="57"/>
      <c r="AF1166" s="88"/>
      <c r="AG1166" s="182">
        <f>YEAR(D1166)</f>
        <v>2022</v>
      </c>
      <c r="AH1166" s="86" t="str">
        <f>+IF(AE1166=$AJ$22,MONTH(T1166),"")</f>
        <v/>
      </c>
      <c r="AI1166" s="86" t="str">
        <f>+IF(AF1166=$AJ$22,MONTH(U1166),"")</f>
        <v/>
      </c>
      <c r="AJ1166" s="86" t="str">
        <f>+IF(AG1166=$AJ$22,MONTH(V1166),"")</f>
        <v/>
      </c>
      <c r="AK1166" s="86" t="str">
        <f>+IF(AG1166=$AK$22,MONTH(V1166),"")</f>
        <v/>
      </c>
      <c r="AL1166" s="86">
        <f>+IF(AG1166=$AL$22,MONTH(V1166),"")</f>
        <v>8</v>
      </c>
      <c r="AM1166" s="86" t="str">
        <f>+IF($AG1166=$AM$22,MONTH($D1166),"")</f>
        <v/>
      </c>
      <c r="AN1166" s="89" t="str">
        <f>+IF($AG1166=AN$22,MONTH($D1166),"")</f>
        <v/>
      </c>
      <c r="AO1166" s="86" t="str">
        <f>+IF($AG1166=AO$22,MONTH($D1166),"")</f>
        <v/>
      </c>
      <c r="AP1166" s="86" t="str">
        <f>+IF($AG1166=AP$22,MONTH($D1166),"")</f>
        <v/>
      </c>
      <c r="AQ1166" s="86" t="str">
        <f>+IF($AG1166=AQ$22,MONTH($D1166),"")</f>
        <v/>
      </c>
      <c r="AR1166" s="86" t="str">
        <f>+IF($AG1166=AR$22,MONTH($D1166),"")</f>
        <v/>
      </c>
      <c r="AS1166" s="86" t="str">
        <f>+IF($AG1166=AS$22,MONTH($D1166),"")</f>
        <v/>
      </c>
      <c r="AT1166" s="86" t="str">
        <f>+IF($AG1166=AT$22,MONTH($D1166),"")</f>
        <v/>
      </c>
      <c r="AU1166" s="86" t="str">
        <f>+IF($AG1166=AU$22,MONTH($D1166),"")</f>
        <v/>
      </c>
      <c r="AV1166" s="86" t="str">
        <f>+IF($AG1166=AV$22,MONTH($D1166),"")</f>
        <v/>
      </c>
      <c r="AW1166" s="86" t="str">
        <f>+IF($AG1166=AW$22,MONTH($D1166),"")</f>
        <v/>
      </c>
      <c r="AX1166" s="86" t="str">
        <f>+IF($AG1166=AX$22,MONTH($D1166),"")</f>
        <v/>
      </c>
      <c r="AY1166" s="89"/>
      <c r="AZ1166" s="89"/>
      <c r="BA1166" s="89"/>
      <c r="BB1166" s="89"/>
      <c r="BC1166" s="89"/>
      <c r="BD1166" s="89"/>
      <c r="BE1166" s="89"/>
      <c r="BF1166" s="89"/>
      <c r="BG1166" s="89"/>
      <c r="BH1166" s="89"/>
      <c r="BI1166" s="89"/>
      <c r="BJ1166" s="89"/>
      <c r="BK1166" s="89"/>
      <c r="BL1166" s="89"/>
      <c r="BM1166" s="89"/>
      <c r="BN1166" s="89"/>
      <c r="BO1166" s="89"/>
      <c r="BP1166" s="89"/>
    </row>
    <row r="1167" spans="1:68" s="56" customFormat="1" ht="27" hidden="1">
      <c r="A1167" s="204">
        <f>+IFERROR(VALUE(MID(AB1167,4,4)),"")</f>
        <v>235</v>
      </c>
      <c r="B1167" s="204">
        <f>VALUE(RIGHT(C1167,LEN(C1167)-2))</f>
        <v>1556</v>
      </c>
      <c r="C1167" s="74" t="s">
        <v>4456</v>
      </c>
      <c r="D1167" s="75">
        <v>44756</v>
      </c>
      <c r="E1167" s="70" t="s">
        <v>479</v>
      </c>
      <c r="F1167" s="70" t="s">
        <v>479</v>
      </c>
      <c r="G1167" s="68" t="s">
        <v>4457</v>
      </c>
      <c r="H1167" s="59" t="s">
        <v>4458</v>
      </c>
      <c r="I1167" s="69" t="s">
        <v>4459</v>
      </c>
      <c r="J1167" s="69"/>
      <c r="K1167" s="68" t="s">
        <v>30</v>
      </c>
      <c r="L1167" s="69" t="s">
        <v>129</v>
      </c>
      <c r="M1167" s="71" t="s">
        <v>113</v>
      </c>
      <c r="N1167" s="69" t="e" vm="2">
        <v>#VALUE!</v>
      </c>
      <c r="O1167" s="84">
        <v>44757</v>
      </c>
      <c r="P1167" s="72" t="s">
        <v>483</v>
      </c>
      <c r="Q1167" s="72" t="s">
        <v>229</v>
      </c>
      <c r="R1167" s="162"/>
      <c r="S1167" s="146"/>
      <c r="T1167" s="68" t="s">
        <v>3</v>
      </c>
      <c r="U1167" s="87"/>
      <c r="V1167" s="80">
        <v>44797</v>
      </c>
      <c r="W1167" s="73">
        <v>1440</v>
      </c>
      <c r="X1167" s="73">
        <f>184000*181.36/1000000</f>
        <v>33.370240000000003</v>
      </c>
      <c r="Y1167" s="83">
        <f>IF(SUM(W1167:W1167)&gt;0,X1167/SUM(W1167:W1167)*1000000,"N/A")</f>
        <v>23173.777777777781</v>
      </c>
      <c r="Z1167" s="80"/>
      <c r="AA1167" s="80"/>
      <c r="AB1167" s="73" t="s">
        <v>4460</v>
      </c>
      <c r="AC1167" s="153"/>
      <c r="AD1167" s="331"/>
      <c r="AE1167" s="57"/>
      <c r="AF1167" s="88"/>
      <c r="AG1167" s="182">
        <f>YEAR(D1167)</f>
        <v>2022</v>
      </c>
      <c r="AH1167" s="86" t="str">
        <f>+IF(AE1167=$AJ$22,MONTH(T1167),"")</f>
        <v/>
      </c>
      <c r="AI1167" s="86" t="str">
        <f>+IF(AF1167=$AJ$22,MONTH(U1167),"")</f>
        <v/>
      </c>
      <c r="AJ1167" s="86" t="str">
        <f>+IF(AG1167=$AJ$22,MONTH(V1167),"")</f>
        <v/>
      </c>
      <c r="AK1167" s="86" t="str">
        <f>+IF(AG1167=$AK$22,MONTH(V1167),"")</f>
        <v/>
      </c>
      <c r="AL1167" s="86">
        <f>+IF(AG1167=$AL$22,MONTH(V1167),"")</f>
        <v>8</v>
      </c>
      <c r="AM1167" s="86" t="str">
        <f>+IF($AG1167=$AM$22,MONTH($D1167),"")</f>
        <v/>
      </c>
      <c r="AN1167" s="89" t="str">
        <f>+IF($AG1167=AN$22,MONTH($D1167),"")</f>
        <v/>
      </c>
      <c r="AO1167" s="89" t="str">
        <f>+IF($AG1167=AO$22,MONTH($D1167),"")</f>
        <v/>
      </c>
      <c r="AP1167" s="89" t="str">
        <f>+IF($AG1167=AP$22,MONTH($D1167),"")</f>
        <v/>
      </c>
      <c r="AQ1167" s="89" t="str">
        <f>+IF($AG1167=AQ$22,MONTH($D1167),"")</f>
        <v/>
      </c>
      <c r="AR1167" s="89" t="str">
        <f>+IF($AG1167=AR$22,MONTH($D1167),"")</f>
        <v/>
      </c>
      <c r="AS1167" s="89" t="str">
        <f>+IF($AG1167=AS$22,MONTH($D1167),"")</f>
        <v/>
      </c>
      <c r="AT1167" s="89" t="str">
        <f>+IF($AG1167=AT$22,MONTH($D1167),"")</f>
        <v/>
      </c>
      <c r="AU1167" s="89" t="str">
        <f>+IF($AG1167=AU$22,MONTH($D1167),"")</f>
        <v/>
      </c>
      <c r="AV1167" s="89" t="str">
        <f>+IF($AG1167=AV$22,MONTH($D1167),"")</f>
        <v/>
      </c>
      <c r="AW1167" s="86" t="str">
        <f>+IF($AG1167=AW$22,MONTH($D1167),"")</f>
        <v/>
      </c>
      <c r="AX1167" s="86" t="str">
        <f>+IF($AG1167=AX$22,MONTH($D1167),"")</f>
        <v/>
      </c>
      <c r="AY1167" s="89"/>
      <c r="AZ1167" s="89"/>
      <c r="BA1167" s="89"/>
      <c r="BB1167" s="89"/>
      <c r="BC1167" s="89"/>
      <c r="BD1167" s="89"/>
      <c r="BE1167" s="89"/>
      <c r="BF1167" s="89"/>
      <c r="BG1167" s="89"/>
      <c r="BH1167" s="89"/>
      <c r="BI1167" s="89"/>
      <c r="BJ1167" s="89"/>
      <c r="BK1167" s="89"/>
      <c r="BL1167" s="89"/>
      <c r="BM1167" s="89"/>
      <c r="BN1167" s="89"/>
      <c r="BO1167" s="89"/>
      <c r="BP1167" s="89"/>
    </row>
    <row r="1168" spans="1:68" s="56" customFormat="1" ht="40.5" hidden="1">
      <c r="A1168" s="204" t="str">
        <f>+IFERROR(VALUE(MID(AB1168,4,4)),"")</f>
        <v/>
      </c>
      <c r="B1168" s="204">
        <f>VALUE(RIGHT(C1168,LEN(C1168)-2))</f>
        <v>1555</v>
      </c>
      <c r="C1168" s="74" t="s">
        <v>4461</v>
      </c>
      <c r="D1168" s="75">
        <v>44754</v>
      </c>
      <c r="E1168" s="70" t="s">
        <v>394</v>
      </c>
      <c r="F1168" s="70" t="s">
        <v>2269</v>
      </c>
      <c r="G1168" s="68" t="s">
        <v>4462</v>
      </c>
      <c r="H1168" s="59" t="s">
        <v>4463</v>
      </c>
      <c r="I1168" s="69" t="s">
        <v>4464</v>
      </c>
      <c r="J1168" s="69"/>
      <c r="K1168" s="68" t="s">
        <v>13</v>
      </c>
      <c r="L1168" s="69" t="s">
        <v>123</v>
      </c>
      <c r="M1168" s="71" t="s">
        <v>141</v>
      </c>
      <c r="N1168" s="69" t="e" vm="1">
        <v>#VALUE!</v>
      </c>
      <c r="O1168" s="84">
        <v>44756</v>
      </c>
      <c r="P1168" s="72" t="s">
        <v>666</v>
      </c>
      <c r="Q1168" s="72" t="s">
        <v>316</v>
      </c>
      <c r="R1168" s="162"/>
      <c r="S1168" s="146" t="s">
        <v>4465</v>
      </c>
      <c r="T1168" s="68" t="s">
        <v>165</v>
      </c>
      <c r="U1168" s="87"/>
      <c r="V1168" s="80">
        <v>44867</v>
      </c>
      <c r="W1168" s="73">
        <v>771</v>
      </c>
      <c r="X1168" s="73">
        <v>29.97</v>
      </c>
      <c r="Y1168" s="83">
        <f>IF(SUM(W1168:W1168)&gt;0,X1168/SUM(W1168:W1168)*1000000,"N/A")</f>
        <v>38871.595330739299</v>
      </c>
      <c r="Z1168" s="80"/>
      <c r="AA1168" s="80"/>
      <c r="AB1168" s="73"/>
      <c r="AC1168" s="153"/>
      <c r="AD1168" s="331"/>
      <c r="AE1168" s="57"/>
      <c r="AF1168" s="88" t="s">
        <v>4466</v>
      </c>
      <c r="AG1168" s="182">
        <f>YEAR(D1168)</f>
        <v>2022</v>
      </c>
      <c r="AH1168" s="86" t="str">
        <f>+IF(AE1168=$AJ$22,MONTH(T1168),"")</f>
        <v/>
      </c>
      <c r="AI1168" s="86" t="str">
        <f>+IF(AF1168=$AJ$22,MONTH(U1168),"")</f>
        <v/>
      </c>
      <c r="AJ1168" s="86" t="str">
        <f>+IF(AG1168=$AJ$22,MONTH(V1168),"")</f>
        <v/>
      </c>
      <c r="AK1168" s="86" t="str">
        <f>+IF(AG1168=$AK$22,MONTH(V1168),"")</f>
        <v/>
      </c>
      <c r="AL1168" s="86">
        <f>+IF(AG1168=$AL$22,MONTH(V1168),"")</f>
        <v>11</v>
      </c>
      <c r="AM1168" s="86" t="str">
        <f>+IF($AG1168=$AM$22,MONTH($D1168),"")</f>
        <v/>
      </c>
      <c r="AN1168" s="89" t="str">
        <f>+IF($AG1168=AN$22,MONTH($D1168),"")</f>
        <v/>
      </c>
      <c r="AO1168" s="86" t="str">
        <f>+IF($AG1168=AO$22,MONTH($D1168),"")</f>
        <v/>
      </c>
      <c r="AP1168" s="86" t="str">
        <f>+IF($AG1168=AP$22,MONTH($D1168),"")</f>
        <v/>
      </c>
      <c r="AQ1168" s="86" t="str">
        <f>+IF($AG1168=AQ$22,MONTH($D1168),"")</f>
        <v/>
      </c>
      <c r="AR1168" s="86" t="str">
        <f>+IF($AG1168=AR$22,MONTH($D1168),"")</f>
        <v/>
      </c>
      <c r="AS1168" s="86" t="str">
        <f>+IF($AG1168=AS$22,MONTH($D1168),"")</f>
        <v/>
      </c>
      <c r="AT1168" s="86" t="str">
        <f>+IF($AG1168=AT$22,MONTH($D1168),"")</f>
        <v/>
      </c>
      <c r="AU1168" s="86" t="str">
        <f>+IF($AG1168=AU$22,MONTH($D1168),"")</f>
        <v/>
      </c>
      <c r="AV1168" s="86" t="str">
        <f>+IF($AG1168=AV$22,MONTH($D1168),"")</f>
        <v/>
      </c>
      <c r="AW1168" s="86" t="str">
        <f>+IF($AG1168=AW$22,MONTH($D1168),"")</f>
        <v/>
      </c>
      <c r="AX1168" s="86" t="str">
        <f>+IF($AG1168=AX$22,MONTH($D1168),"")</f>
        <v/>
      </c>
      <c r="AY1168" s="89"/>
      <c r="AZ1168" s="89"/>
      <c r="BA1168" s="89"/>
      <c r="BB1168" s="89"/>
      <c r="BC1168" s="89"/>
      <c r="BD1168" s="89"/>
      <c r="BE1168" s="89"/>
      <c r="BF1168" s="89"/>
      <c r="BG1168" s="89"/>
      <c r="BH1168" s="89"/>
      <c r="BI1168" s="89"/>
      <c r="BJ1168" s="89"/>
      <c r="BK1168" s="89"/>
      <c r="BL1168" s="89"/>
      <c r="BM1168" s="89"/>
      <c r="BN1168" s="89"/>
      <c r="BO1168" s="89"/>
      <c r="BP1168" s="89"/>
    </row>
    <row r="1169" spans="1:68" s="56" customFormat="1" ht="25.5" hidden="1" customHeight="1">
      <c r="A1169" s="204">
        <f>+IFERROR(VALUE(MID(AB1169,4,4)),"")</f>
        <v>308</v>
      </c>
      <c r="B1169" s="204">
        <f>VALUE(RIGHT(C1169,LEN(C1169)-2))</f>
        <v>1554</v>
      </c>
      <c r="C1169" s="74" t="s">
        <v>4467</v>
      </c>
      <c r="D1169" s="75">
        <v>44753</v>
      </c>
      <c r="E1169" s="70" t="s">
        <v>277</v>
      </c>
      <c r="F1169" s="70" t="s">
        <v>277</v>
      </c>
      <c r="G1169" s="68"/>
      <c r="H1169" s="59"/>
      <c r="I1169" s="69" t="s">
        <v>4468</v>
      </c>
      <c r="J1169" s="69"/>
      <c r="K1169" s="68" t="s">
        <v>401</v>
      </c>
      <c r="L1169" s="69" t="s">
        <v>120</v>
      </c>
      <c r="M1169" s="71" t="s">
        <v>141</v>
      </c>
      <c r="N1169" s="69" t="e" vm="1">
        <v>#VALUE!</v>
      </c>
      <c r="O1169" s="84">
        <v>44754</v>
      </c>
      <c r="P1169" s="72" t="s">
        <v>2852</v>
      </c>
      <c r="Q1169" s="72" t="s">
        <v>1097</v>
      </c>
      <c r="R1169" s="162"/>
      <c r="S1169" s="146" t="s">
        <v>4469</v>
      </c>
      <c r="T1169" s="68" t="s">
        <v>3</v>
      </c>
      <c r="U1169" s="87"/>
      <c r="V1169" s="80">
        <v>44769</v>
      </c>
      <c r="W1169" s="73">
        <v>280</v>
      </c>
      <c r="X1169" s="73">
        <v>11.8</v>
      </c>
      <c r="Y1169" s="83">
        <f>IF(SUM(W1169:W1169)&gt;0,X1169/SUM(W1169:W1169)*1000000,"N/A")</f>
        <v>42142.857142857145</v>
      </c>
      <c r="Z1169" s="80"/>
      <c r="AA1169" s="80"/>
      <c r="AB1169" s="73" t="s">
        <v>4470</v>
      </c>
      <c r="AC1169" s="153"/>
      <c r="AD1169" s="331"/>
      <c r="AE1169" s="57"/>
      <c r="AF1169" s="88"/>
      <c r="AG1169" s="182">
        <f>YEAR(D1169)</f>
        <v>2022</v>
      </c>
      <c r="AH1169" s="86" t="str">
        <f>+IF(AE1169=$AJ$22,MONTH(T1169),"")</f>
        <v/>
      </c>
      <c r="AI1169" s="86" t="str">
        <f>+IF(AF1169=$AJ$22,MONTH(U1169),"")</f>
        <v/>
      </c>
      <c r="AJ1169" s="86" t="str">
        <f>+IF(AG1169=$AJ$22,MONTH(V1169),"")</f>
        <v/>
      </c>
      <c r="AK1169" s="86" t="str">
        <f>+IF(AG1169=$AK$22,MONTH(V1169),"")</f>
        <v/>
      </c>
      <c r="AL1169" s="86">
        <f>+IF(AG1169=$AL$22,MONTH(V1169),"")</f>
        <v>7</v>
      </c>
      <c r="AM1169" s="86" t="str">
        <f>+IF($AG1169=$AM$22,MONTH($D1169),"")</f>
        <v/>
      </c>
      <c r="AN1169" s="89" t="str">
        <f>+IF($AG1169=AN$22,MONTH($D1169),"")</f>
        <v/>
      </c>
      <c r="AO1169" s="89" t="str">
        <f>+IF($AG1169=AO$22,MONTH($D1169),"")</f>
        <v/>
      </c>
      <c r="AP1169" s="89" t="str">
        <f>+IF($AG1169=AP$22,MONTH($D1169),"")</f>
        <v/>
      </c>
      <c r="AQ1169" s="89" t="str">
        <f>+IF($AG1169=AQ$22,MONTH($D1169),"")</f>
        <v/>
      </c>
      <c r="AR1169" s="89" t="str">
        <f>+IF($AG1169=AR$22,MONTH($D1169),"")</f>
        <v/>
      </c>
      <c r="AS1169" s="89" t="str">
        <f>+IF($AG1169=AS$22,MONTH($D1169),"")</f>
        <v/>
      </c>
      <c r="AT1169" s="89" t="str">
        <f>+IF($AG1169=AT$22,MONTH($D1169),"")</f>
        <v/>
      </c>
      <c r="AU1169" s="89" t="str">
        <f>+IF($AG1169=AU$22,MONTH($D1169),"")</f>
        <v/>
      </c>
      <c r="AV1169" s="89" t="str">
        <f>+IF($AG1169=AV$22,MONTH($D1169),"")</f>
        <v/>
      </c>
      <c r="AW1169" s="86" t="str">
        <f>+IF($AG1169=AW$22,MONTH($D1169),"")</f>
        <v/>
      </c>
      <c r="AX1169" s="86" t="str">
        <f>+IF($AG1169=AX$22,MONTH($D1169),"")</f>
        <v/>
      </c>
      <c r="AY1169" s="89"/>
      <c r="AZ1169" s="89"/>
      <c r="BA1169" s="89"/>
      <c r="BB1169" s="89"/>
      <c r="BC1169" s="89"/>
      <c r="BD1169" s="89"/>
      <c r="BE1169" s="89"/>
      <c r="BF1169" s="89"/>
      <c r="BG1169" s="89"/>
      <c r="BH1169" s="89"/>
      <c r="BI1169" s="89"/>
      <c r="BJ1169" s="89"/>
      <c r="BK1169" s="89"/>
      <c r="BL1169" s="89"/>
      <c r="BM1169" s="89"/>
      <c r="BN1169" s="89"/>
      <c r="BO1169" s="89"/>
      <c r="BP1169" s="89"/>
    </row>
    <row r="1170" spans="1:68" s="56" customFormat="1" ht="27" hidden="1">
      <c r="A1170" s="204">
        <f>+IFERROR(VALUE(MID(AB1170,4,4)),"")</f>
        <v>265</v>
      </c>
      <c r="B1170" s="204">
        <f>VALUE(RIGHT(C1170,LEN(C1170)-2))</f>
        <v>1553</v>
      </c>
      <c r="C1170" s="74" t="s">
        <v>4471</v>
      </c>
      <c r="D1170" s="75">
        <v>44749</v>
      </c>
      <c r="E1170" s="70" t="s">
        <v>332</v>
      </c>
      <c r="F1170" s="70" t="s">
        <v>332</v>
      </c>
      <c r="G1170" s="68"/>
      <c r="H1170" s="59"/>
      <c r="I1170" s="69" t="s">
        <v>4472</v>
      </c>
      <c r="J1170" s="69"/>
      <c r="K1170" s="68" t="s">
        <v>18</v>
      </c>
      <c r="L1170" s="69" t="s">
        <v>129</v>
      </c>
      <c r="M1170" s="71" t="s">
        <v>141</v>
      </c>
      <c r="N1170" s="69" t="e" vm="1">
        <v>#VALUE!</v>
      </c>
      <c r="O1170" s="84">
        <v>44750</v>
      </c>
      <c r="P1170" s="72" t="s">
        <v>285</v>
      </c>
      <c r="Q1170" s="82" t="s">
        <v>837</v>
      </c>
      <c r="R1170" s="69"/>
      <c r="S1170" s="146" t="s">
        <v>4130</v>
      </c>
      <c r="T1170" s="68" t="s">
        <v>3</v>
      </c>
      <c r="U1170" s="87"/>
      <c r="V1170" s="80">
        <v>44805</v>
      </c>
      <c r="W1170" s="73">
        <v>2623</v>
      </c>
      <c r="X1170" s="73">
        <f>3362*33230/1000000</f>
        <v>111.71926000000001</v>
      </c>
      <c r="Y1170" s="83">
        <f>IF(SUM(W1170:W1170)&gt;0,X1170/SUM(W1170:W1170)*1000000,"N/A")</f>
        <v>42592.169271826155</v>
      </c>
      <c r="Z1170" s="80"/>
      <c r="AA1170" s="80"/>
      <c r="AB1170" s="73" t="s">
        <v>4473</v>
      </c>
      <c r="AC1170" s="153"/>
      <c r="AD1170" s="331"/>
      <c r="AE1170" s="57"/>
      <c r="AF1170" s="88"/>
      <c r="AG1170" s="182">
        <f>YEAR(D1170)</f>
        <v>2022</v>
      </c>
      <c r="AH1170" s="86" t="str">
        <f>+IF(AE1170=$AJ$22,MONTH(T1170),"")</f>
        <v/>
      </c>
      <c r="AI1170" s="86" t="str">
        <f>+IF(AF1170=$AJ$22,MONTH(U1170),"")</f>
        <v/>
      </c>
      <c r="AJ1170" s="86" t="str">
        <f>+IF(AG1170=$AJ$22,MONTH(V1170),"")</f>
        <v/>
      </c>
      <c r="AK1170" s="86" t="str">
        <f>+IF(AG1170=$AK$22,MONTH(V1170),"")</f>
        <v/>
      </c>
      <c r="AL1170" s="86">
        <f>+IF(AG1170=$AL$22,MONTH(V1170),"")</f>
        <v>9</v>
      </c>
      <c r="AM1170" s="86" t="str">
        <f>+IF($AG1170=$AM$22,MONTH($D1170),"")</f>
        <v/>
      </c>
      <c r="AN1170" s="89" t="str">
        <f>+IF($AG1170=AN$22,MONTH($D1170),"")</f>
        <v/>
      </c>
      <c r="AO1170" s="89" t="str">
        <f>+IF($AG1170=AO$22,MONTH($D1170),"")</f>
        <v/>
      </c>
      <c r="AP1170" s="89" t="str">
        <f>+IF($AG1170=AP$22,MONTH($D1170),"")</f>
        <v/>
      </c>
      <c r="AQ1170" s="89" t="str">
        <f>+IF($AG1170=AQ$22,MONTH($D1170),"")</f>
        <v/>
      </c>
      <c r="AR1170" s="89" t="str">
        <f>+IF($AG1170=AR$22,MONTH($D1170),"")</f>
        <v/>
      </c>
      <c r="AS1170" s="89" t="str">
        <f>+IF($AG1170=AS$22,MONTH($D1170),"")</f>
        <v/>
      </c>
      <c r="AT1170" s="89" t="str">
        <f>+IF($AG1170=AT$22,MONTH($D1170),"")</f>
        <v/>
      </c>
      <c r="AU1170" s="89" t="str">
        <f>+IF($AG1170=AU$22,MONTH($D1170),"")</f>
        <v/>
      </c>
      <c r="AV1170" s="89" t="str">
        <f>+IF($AG1170=AV$22,MONTH($D1170),"")</f>
        <v/>
      </c>
      <c r="AW1170" s="86" t="str">
        <f>+IF($AG1170=AW$22,MONTH($D1170),"")</f>
        <v/>
      </c>
      <c r="AX1170" s="86" t="str">
        <f>+IF($AG1170=AX$22,MONTH($D1170),"")</f>
        <v/>
      </c>
      <c r="AY1170" s="89"/>
      <c r="AZ1170" s="89"/>
      <c r="BA1170" s="89"/>
      <c r="BB1170" s="89"/>
      <c r="BC1170" s="89"/>
      <c r="BD1170" s="89"/>
      <c r="BE1170" s="89"/>
      <c r="BF1170" s="89"/>
      <c r="BG1170" s="89"/>
      <c r="BH1170" s="89"/>
      <c r="BI1170" s="89"/>
      <c r="BJ1170" s="89"/>
      <c r="BK1170" s="89"/>
      <c r="BL1170" s="89"/>
      <c r="BM1170" s="89"/>
      <c r="BN1170" s="89"/>
      <c r="BO1170" s="89"/>
      <c r="BP1170" s="89"/>
    </row>
    <row r="1171" spans="1:68" s="56" customFormat="1" ht="21.75" hidden="1" customHeight="1">
      <c r="A1171" s="204" t="str">
        <f>+IFERROR(VALUE(MID(AB1171,4,4)),"")</f>
        <v/>
      </c>
      <c r="B1171" s="204">
        <f>VALUE(RIGHT(C1171,LEN(C1171)-2))</f>
        <v>1552</v>
      </c>
      <c r="C1171" s="74" t="s">
        <v>4474</v>
      </c>
      <c r="D1171" s="75">
        <v>44748</v>
      </c>
      <c r="E1171" s="70" t="s">
        <v>53</v>
      </c>
      <c r="F1171" s="70" t="s">
        <v>642</v>
      </c>
      <c r="G1171" s="68"/>
      <c r="H1171" s="59"/>
      <c r="I1171" s="69" t="s">
        <v>4475</v>
      </c>
      <c r="J1171" s="69"/>
      <c r="K1171" s="68" t="s">
        <v>212</v>
      </c>
      <c r="L1171" s="69" t="s">
        <v>123</v>
      </c>
      <c r="M1171" s="71" t="s">
        <v>141</v>
      </c>
      <c r="N1171" s="69" t="e" vm="1">
        <v>#VALUE!</v>
      </c>
      <c r="O1171" s="84">
        <v>44809</v>
      </c>
      <c r="P1171" s="72" t="s">
        <v>228</v>
      </c>
      <c r="Q1171" s="72" t="s">
        <v>405</v>
      </c>
      <c r="R1171" s="162"/>
      <c r="S1171" s="146" t="s">
        <v>2465</v>
      </c>
      <c r="T1171" s="68" t="s">
        <v>165</v>
      </c>
      <c r="U1171" s="87"/>
      <c r="V1171" s="80">
        <v>45118</v>
      </c>
      <c r="W1171" s="73">
        <v>1000</v>
      </c>
      <c r="X1171" s="73">
        <f>1000*1.2*35300/1000000</f>
        <v>42.36</v>
      </c>
      <c r="Y1171" s="83">
        <f>IF(SUM(W1171:W1171)&gt;0,X1171/SUM(W1171:W1171)*1000000,"N/A")</f>
        <v>42360</v>
      </c>
      <c r="Z1171" s="80"/>
      <c r="AA1171" s="80"/>
      <c r="AB1171" s="73"/>
      <c r="AC1171" s="153"/>
      <c r="AD1171" s="331"/>
      <c r="AE1171" s="57"/>
      <c r="AF1171" s="88"/>
      <c r="AG1171" s="182">
        <f>YEAR(D1171)</f>
        <v>2022</v>
      </c>
      <c r="AH1171" s="86" t="str">
        <f>+IF(AE1171=$AJ$22,MONTH(T1171),"")</f>
        <v/>
      </c>
      <c r="AI1171" s="86" t="str">
        <f>+IF(AF1171=$AJ$22,MONTH(U1171),"")</f>
        <v/>
      </c>
      <c r="AJ1171" s="86" t="str">
        <f>+IF(AG1171=$AJ$22,MONTH(V1171),"")</f>
        <v/>
      </c>
      <c r="AK1171" s="86" t="str">
        <f>+IF(AG1171=$AK$22,MONTH(V1171),"")</f>
        <v/>
      </c>
      <c r="AL1171" s="86">
        <f>+IF(AG1171=$AL$22,MONTH(V1171),"")</f>
        <v>7</v>
      </c>
      <c r="AM1171" s="86" t="str">
        <f>+IF($AG1171=$AM$22,MONTH($D1171),"")</f>
        <v/>
      </c>
      <c r="AN1171" s="89" t="str">
        <f>+IF($AG1171=AN$22,MONTH($D1171),"")</f>
        <v/>
      </c>
      <c r="AO1171" s="89" t="str">
        <f>+IF($AG1171=AO$22,MONTH($D1171),"")</f>
        <v/>
      </c>
      <c r="AP1171" s="89" t="str">
        <f>+IF($AG1171=AP$22,MONTH($D1171),"")</f>
        <v/>
      </c>
      <c r="AQ1171" s="89" t="str">
        <f>+IF($AG1171=AQ$22,MONTH($D1171),"")</f>
        <v/>
      </c>
      <c r="AR1171" s="89" t="str">
        <f>+IF($AG1171=AR$22,MONTH($D1171),"")</f>
        <v/>
      </c>
      <c r="AS1171" s="89" t="str">
        <f>+IF($AG1171=AS$22,MONTH($D1171),"")</f>
        <v/>
      </c>
      <c r="AT1171" s="89" t="str">
        <f>+IF($AG1171=AT$22,MONTH($D1171),"")</f>
        <v/>
      </c>
      <c r="AU1171" s="89" t="str">
        <f>+IF($AG1171=AU$22,MONTH($D1171),"")</f>
        <v/>
      </c>
      <c r="AV1171" s="89" t="str">
        <f>+IF($AG1171=AV$22,MONTH($D1171),"")</f>
        <v/>
      </c>
      <c r="AW1171" s="86" t="str">
        <f>+IF($AG1171=AW$22,MONTH($D1171),"")</f>
        <v/>
      </c>
      <c r="AX1171" s="86" t="str">
        <f>+IF($AG1171=AX$22,MONTH($D1171),"")</f>
        <v/>
      </c>
      <c r="AY1171" s="89"/>
      <c r="AZ1171" s="89"/>
      <c r="BA1171" s="89"/>
      <c r="BB1171" s="89"/>
      <c r="BC1171" s="89"/>
      <c r="BD1171" s="89"/>
      <c r="BE1171" s="89"/>
      <c r="BF1171" s="89"/>
      <c r="BG1171" s="89"/>
      <c r="BH1171" s="89"/>
      <c r="BI1171" s="89"/>
      <c r="BJ1171" s="89"/>
      <c r="BK1171" s="89"/>
      <c r="BL1171" s="89"/>
      <c r="BM1171" s="89"/>
      <c r="BN1171" s="89"/>
      <c r="BO1171" s="89"/>
      <c r="BP1171" s="89"/>
    </row>
    <row r="1172" spans="1:68" s="56" customFormat="1" ht="27" hidden="1">
      <c r="A1172" s="204" t="str">
        <f>+IFERROR(VALUE(MID(AB1172,4,4)),"")</f>
        <v/>
      </c>
      <c r="B1172" s="204">
        <f>VALUE(RIGHT(C1172,LEN(C1172)-2))</f>
        <v>1551</v>
      </c>
      <c r="C1172" s="74" t="s">
        <v>4476</v>
      </c>
      <c r="D1172" s="75">
        <v>44748</v>
      </c>
      <c r="E1172" s="70" t="s">
        <v>4477</v>
      </c>
      <c r="F1172" s="70" t="s">
        <v>4477</v>
      </c>
      <c r="G1172" s="68" t="s">
        <v>4478</v>
      </c>
      <c r="H1172" s="59" t="s">
        <v>4479</v>
      </c>
      <c r="I1172" s="69" t="s">
        <v>4480</v>
      </c>
      <c r="J1172" s="69"/>
      <c r="K1172" s="68" t="s">
        <v>401</v>
      </c>
      <c r="L1172" s="69" t="s">
        <v>120</v>
      </c>
      <c r="M1172" s="71" t="s">
        <v>141</v>
      </c>
      <c r="N1172" s="69" t="e" vm="1">
        <v>#VALUE!</v>
      </c>
      <c r="O1172" s="84">
        <v>44749</v>
      </c>
      <c r="P1172" s="72" t="s">
        <v>274</v>
      </c>
      <c r="Q1172" s="72" t="s">
        <v>623</v>
      </c>
      <c r="R1172" s="162"/>
      <c r="S1172" s="146"/>
      <c r="T1172" s="68" t="s">
        <v>155</v>
      </c>
      <c r="U1172" s="87"/>
      <c r="V1172" s="80">
        <v>44748</v>
      </c>
      <c r="W1172" s="73"/>
      <c r="X1172" s="73"/>
      <c r="Y1172" s="83" t="str">
        <f>IF(SUM(W1172:W1172)&gt;0,X1172/SUM(W1172:W1172)*1000000,"N/A")</f>
        <v>N/A</v>
      </c>
      <c r="Z1172" s="80"/>
      <c r="AA1172" s="80"/>
      <c r="AB1172" s="73"/>
      <c r="AC1172" s="153"/>
      <c r="AD1172" s="331"/>
      <c r="AE1172" s="57"/>
      <c r="AF1172" s="88"/>
      <c r="AG1172" s="182">
        <f>YEAR(D1172)</f>
        <v>2022</v>
      </c>
      <c r="AH1172" s="86" t="str">
        <f>+IF(AE1172=$AJ$22,MONTH(T1172),"")</f>
        <v/>
      </c>
      <c r="AI1172" s="86" t="str">
        <f>+IF(AF1172=$AJ$22,MONTH(U1172),"")</f>
        <v/>
      </c>
      <c r="AJ1172" s="86" t="str">
        <f>+IF(AG1172=$AJ$22,MONTH(V1172),"")</f>
        <v/>
      </c>
      <c r="AK1172" s="86" t="str">
        <f>+IF(AG1172=$AK$22,MONTH(V1172),"")</f>
        <v/>
      </c>
      <c r="AL1172" s="86">
        <f>+IF(AG1172=$AL$22,MONTH(V1172),"")</f>
        <v>7</v>
      </c>
      <c r="AM1172" s="86" t="str">
        <f>+IF($AG1172=$AM$22,MONTH($D1172),"")</f>
        <v/>
      </c>
      <c r="AN1172" s="89" t="str">
        <f>+IF($AG1172=AN$22,MONTH($D1172),"")</f>
        <v/>
      </c>
      <c r="AO1172" s="89" t="str">
        <f>+IF($AG1172=AO$22,MONTH($D1172),"")</f>
        <v/>
      </c>
      <c r="AP1172" s="89" t="str">
        <f>+IF($AG1172=AP$22,MONTH($D1172),"")</f>
        <v/>
      </c>
      <c r="AQ1172" s="89" t="str">
        <f>+IF($AG1172=AQ$22,MONTH($D1172),"")</f>
        <v/>
      </c>
      <c r="AR1172" s="89" t="str">
        <f>+IF($AG1172=AR$22,MONTH($D1172),"")</f>
        <v/>
      </c>
      <c r="AS1172" s="89" t="str">
        <f>+IF($AG1172=AS$22,MONTH($D1172),"")</f>
        <v/>
      </c>
      <c r="AT1172" s="89" t="str">
        <f>+IF($AG1172=AT$22,MONTH($D1172),"")</f>
        <v/>
      </c>
      <c r="AU1172" s="89" t="str">
        <f>+IF($AG1172=AU$22,MONTH($D1172),"")</f>
        <v/>
      </c>
      <c r="AV1172" s="89" t="str">
        <f>+IF($AG1172=AV$22,MONTH($D1172),"")</f>
        <v/>
      </c>
      <c r="AW1172" s="86" t="str">
        <f>+IF($AG1172=AW$22,MONTH($D1172),"")</f>
        <v/>
      </c>
      <c r="AX1172" s="86" t="str">
        <f>+IF($AG1172=AX$22,MONTH($D1172),"")</f>
        <v/>
      </c>
      <c r="AY1172" s="89"/>
      <c r="AZ1172" s="89"/>
      <c r="BA1172" s="89"/>
      <c r="BB1172" s="89"/>
      <c r="BC1172" s="89"/>
      <c r="BD1172" s="89"/>
      <c r="BE1172" s="89"/>
      <c r="BF1172" s="89"/>
      <c r="BG1172" s="89"/>
      <c r="BH1172" s="89"/>
      <c r="BI1172" s="89"/>
      <c r="BJ1172" s="89"/>
      <c r="BK1172" s="89"/>
      <c r="BL1172" s="89"/>
      <c r="BM1172" s="89"/>
      <c r="BN1172" s="89"/>
      <c r="BO1172" s="89"/>
      <c r="BP1172" s="89"/>
    </row>
    <row r="1173" spans="1:68" s="56" customFormat="1" ht="27" hidden="1">
      <c r="A1173" s="204" t="str">
        <f>+IFERROR(VALUE(MID(AB1173,4,4)),"")</f>
        <v/>
      </c>
      <c r="B1173" s="204">
        <f>VALUE(RIGHT(C1173,LEN(C1173)-2))</f>
        <v>1550</v>
      </c>
      <c r="C1173" s="74" t="s">
        <v>4481</v>
      </c>
      <c r="D1173" s="75">
        <v>44861</v>
      </c>
      <c r="E1173" s="70" t="s">
        <v>332</v>
      </c>
      <c r="F1173" s="70" t="s">
        <v>332</v>
      </c>
      <c r="G1173" s="68" t="s">
        <v>3818</v>
      </c>
      <c r="H1173" s="59" t="s">
        <v>3878</v>
      </c>
      <c r="I1173" s="69" t="s">
        <v>4482</v>
      </c>
      <c r="J1173" s="69"/>
      <c r="K1173" s="68" t="s">
        <v>13</v>
      </c>
      <c r="L1173" s="69" t="s">
        <v>129</v>
      </c>
      <c r="M1173" s="71" t="s">
        <v>141</v>
      </c>
      <c r="N1173" s="69" t="e" vm="1">
        <v>#VALUE!</v>
      </c>
      <c r="O1173" s="84">
        <v>44873</v>
      </c>
      <c r="P1173" s="82" t="s">
        <v>285</v>
      </c>
      <c r="Q1173" s="82" t="s">
        <v>229</v>
      </c>
      <c r="R1173" s="69"/>
      <c r="S1173" s="146" t="s">
        <v>4483</v>
      </c>
      <c r="T1173" s="68" t="s">
        <v>165</v>
      </c>
      <c r="U1173" s="87"/>
      <c r="V1173" s="80">
        <v>45019</v>
      </c>
      <c r="W1173" s="73">
        <v>4376</v>
      </c>
      <c r="X1173" s="73">
        <f>4546*34680/1000000</f>
        <v>157.65528</v>
      </c>
      <c r="Y1173" s="83">
        <f>IF(SUM(W1173:W1173)&gt;0,X1173/SUM(W1173:W1173)*1000000,"N/A")</f>
        <v>36027.257769652657</v>
      </c>
      <c r="Z1173" s="80"/>
      <c r="AA1173" s="80"/>
      <c r="AB1173" s="73"/>
      <c r="AC1173" s="153"/>
      <c r="AD1173" s="331"/>
      <c r="AE1173" s="57"/>
      <c r="AF1173" s="88"/>
      <c r="AG1173" s="182">
        <f>YEAR(D1173)</f>
        <v>2022</v>
      </c>
      <c r="AH1173" s="86" t="str">
        <f>+IF(AE1173=$AJ$22,MONTH(T1173),"")</f>
        <v/>
      </c>
      <c r="AI1173" s="86" t="str">
        <f>+IF(AF1173=$AJ$22,MONTH(U1173),"")</f>
        <v/>
      </c>
      <c r="AJ1173" s="86" t="str">
        <f>+IF(AG1173=$AJ$22,MONTH(V1173),"")</f>
        <v/>
      </c>
      <c r="AK1173" s="86" t="str">
        <f>+IF(AG1173=$AK$22,MONTH(V1173),"")</f>
        <v/>
      </c>
      <c r="AL1173" s="86">
        <f>+IF(AG1173=$AL$22,MONTH(V1173),"")</f>
        <v>4</v>
      </c>
      <c r="AM1173" s="86" t="str">
        <f>+IF($AG1173=$AM$22,MONTH($D1173),"")</f>
        <v/>
      </c>
      <c r="AN1173" s="89" t="str">
        <f>+IF($AG1173=AN$22,MONTH($D1173),"")</f>
        <v/>
      </c>
      <c r="AO1173" s="89" t="str">
        <f>+IF($AG1173=AO$22,MONTH($D1173),"")</f>
        <v/>
      </c>
      <c r="AP1173" s="89" t="str">
        <f>+IF($AG1173=AP$22,MONTH($D1173),"")</f>
        <v/>
      </c>
      <c r="AQ1173" s="89" t="str">
        <f>+IF($AG1173=AQ$22,MONTH($D1173),"")</f>
        <v/>
      </c>
      <c r="AR1173" s="89" t="str">
        <f>+IF($AG1173=AR$22,MONTH($D1173),"")</f>
        <v/>
      </c>
      <c r="AS1173" s="89" t="str">
        <f>+IF($AG1173=AS$22,MONTH($D1173),"")</f>
        <v/>
      </c>
      <c r="AT1173" s="89" t="str">
        <f>+IF($AG1173=AT$22,MONTH($D1173),"")</f>
        <v/>
      </c>
      <c r="AU1173" s="89" t="str">
        <f>+IF($AG1173=AU$22,MONTH($D1173),"")</f>
        <v/>
      </c>
      <c r="AV1173" s="89" t="str">
        <f>+IF($AG1173=AV$22,MONTH($D1173),"")</f>
        <v/>
      </c>
      <c r="AW1173" s="86" t="str">
        <f>+IF($AG1173=AW$22,MONTH($D1173),"")</f>
        <v/>
      </c>
      <c r="AX1173" s="86" t="str">
        <f>+IF($AG1173=AX$22,MONTH($D1173),"")</f>
        <v/>
      </c>
      <c r="AY1173" s="89"/>
      <c r="AZ1173" s="89"/>
      <c r="BA1173" s="89"/>
      <c r="BB1173" s="89"/>
      <c r="BC1173" s="89"/>
      <c r="BD1173" s="89"/>
      <c r="BE1173" s="89"/>
      <c r="BF1173" s="89"/>
      <c r="BG1173" s="89"/>
      <c r="BH1173" s="89"/>
      <c r="BI1173" s="89"/>
      <c r="BJ1173" s="89"/>
      <c r="BK1173" s="89"/>
      <c r="BL1173" s="89"/>
      <c r="BM1173" s="89"/>
      <c r="BN1173" s="89"/>
      <c r="BO1173" s="89"/>
      <c r="BP1173" s="89"/>
    </row>
    <row r="1174" spans="1:68" s="56" customFormat="1" ht="40.5" hidden="1">
      <c r="A1174" s="204" t="str">
        <f>+IFERROR(VALUE(MID(AB1174,4,4)),"")</f>
        <v/>
      </c>
      <c r="B1174" s="204">
        <f>VALUE(RIGHT(C1174,LEN(C1174)-2))</f>
        <v>1549</v>
      </c>
      <c r="C1174" s="74" t="s">
        <v>4484</v>
      </c>
      <c r="D1174" s="75">
        <v>44748</v>
      </c>
      <c r="E1174" s="70" t="s">
        <v>4485</v>
      </c>
      <c r="F1174" s="70" t="s">
        <v>4485</v>
      </c>
      <c r="G1174" s="68" t="s">
        <v>4486</v>
      </c>
      <c r="H1174" s="59" t="s">
        <v>4487</v>
      </c>
      <c r="I1174" s="69" t="s">
        <v>4488</v>
      </c>
      <c r="J1174" s="69"/>
      <c r="K1174" s="68" t="s">
        <v>212</v>
      </c>
      <c r="L1174" s="69" t="s">
        <v>123</v>
      </c>
      <c r="M1174" s="71" t="s">
        <v>141</v>
      </c>
      <c r="N1174" s="69" t="e" vm="1">
        <v>#VALUE!</v>
      </c>
      <c r="O1174" s="84">
        <v>44778</v>
      </c>
      <c r="P1174" s="72" t="s">
        <v>228</v>
      </c>
      <c r="Q1174" s="72" t="s">
        <v>652</v>
      </c>
      <c r="R1174" s="162"/>
      <c r="S1174" s="146" t="s">
        <v>4489</v>
      </c>
      <c r="T1174" s="68" t="s">
        <v>165</v>
      </c>
      <c r="U1174" s="87"/>
      <c r="V1174" s="80">
        <v>44867</v>
      </c>
      <c r="W1174" s="73">
        <v>2185</v>
      </c>
      <c r="X1174" s="73">
        <v>102.75</v>
      </c>
      <c r="Y1174" s="83">
        <f>IF(SUM(W1174:W1174)&gt;0,X1174/SUM(W1174:W1174)*1000000,"N/A")</f>
        <v>47025.171624713956</v>
      </c>
      <c r="Z1174" s="80"/>
      <c r="AA1174" s="80"/>
      <c r="AB1174" s="73"/>
      <c r="AC1174" s="153"/>
      <c r="AD1174" s="331"/>
      <c r="AE1174" s="57"/>
      <c r="AF1174" s="88" t="s">
        <v>4490</v>
      </c>
      <c r="AG1174" s="182">
        <f>YEAR(D1174)</f>
        <v>2022</v>
      </c>
      <c r="AH1174" s="86" t="str">
        <f>+IF(AE1174=$AJ$22,MONTH(T1174),"")</f>
        <v/>
      </c>
      <c r="AI1174" s="86" t="str">
        <f>+IF(AF1174=$AJ$22,MONTH(U1174),"")</f>
        <v/>
      </c>
      <c r="AJ1174" s="86" t="str">
        <f>+IF(AG1174=$AJ$22,MONTH(V1174),"")</f>
        <v/>
      </c>
      <c r="AK1174" s="86" t="str">
        <f>+IF(AG1174=$AK$22,MONTH(V1174),"")</f>
        <v/>
      </c>
      <c r="AL1174" s="86">
        <f>+IF(AG1174=$AL$22,MONTH(V1174),"")</f>
        <v>11</v>
      </c>
      <c r="AM1174" s="86" t="str">
        <f>+IF($AG1174=$AM$22,MONTH($D1174),"")</f>
        <v/>
      </c>
      <c r="AN1174" s="89" t="str">
        <f>+IF($AG1174=AN$22,MONTH($D1174),"")</f>
        <v/>
      </c>
      <c r="AO1174" s="89" t="str">
        <f>+IF($AG1174=AO$22,MONTH($D1174),"")</f>
        <v/>
      </c>
      <c r="AP1174" s="89" t="str">
        <f>+IF($AG1174=AP$22,MONTH($D1174),"")</f>
        <v/>
      </c>
      <c r="AQ1174" s="89" t="str">
        <f>+IF($AG1174=AQ$22,MONTH($D1174),"")</f>
        <v/>
      </c>
      <c r="AR1174" s="89" t="str">
        <f>+IF($AG1174=AR$22,MONTH($D1174),"")</f>
        <v/>
      </c>
      <c r="AS1174" s="89" t="str">
        <f>+IF($AG1174=AS$22,MONTH($D1174),"")</f>
        <v/>
      </c>
      <c r="AT1174" s="89" t="str">
        <f>+IF($AG1174=AT$22,MONTH($D1174),"")</f>
        <v/>
      </c>
      <c r="AU1174" s="89" t="str">
        <f>+IF($AG1174=AU$22,MONTH($D1174),"")</f>
        <v/>
      </c>
      <c r="AV1174" s="89" t="str">
        <f>+IF($AG1174=AV$22,MONTH($D1174),"")</f>
        <v/>
      </c>
      <c r="AW1174" s="86" t="str">
        <f>+IF($AG1174=AW$22,MONTH($D1174),"")</f>
        <v/>
      </c>
      <c r="AX1174" s="86" t="str">
        <f>+IF($AG1174=AX$22,MONTH($D1174),"")</f>
        <v/>
      </c>
      <c r="AY1174" s="89"/>
      <c r="AZ1174" s="89"/>
      <c r="BA1174" s="89"/>
      <c r="BB1174" s="89"/>
      <c r="BC1174" s="89"/>
      <c r="BD1174" s="89"/>
      <c r="BE1174" s="89"/>
      <c r="BF1174" s="89"/>
      <c r="BG1174" s="89"/>
      <c r="BH1174" s="89"/>
      <c r="BI1174" s="89"/>
      <c r="BJ1174" s="89"/>
      <c r="BK1174" s="89"/>
      <c r="BL1174" s="89"/>
      <c r="BM1174" s="89"/>
      <c r="BN1174" s="89"/>
      <c r="BO1174" s="89"/>
      <c r="BP1174" s="89"/>
    </row>
    <row r="1175" spans="1:68" s="56" customFormat="1" ht="27" hidden="1">
      <c r="A1175" s="204">
        <f>+IFERROR(VALUE(MID(AB1175,4,4)),"")</f>
        <v>265</v>
      </c>
      <c r="B1175" s="204">
        <f>VALUE(RIGHT(C1175,LEN(C1175)-2))</f>
        <v>1548</v>
      </c>
      <c r="C1175" s="74" t="s">
        <v>4491</v>
      </c>
      <c r="D1175" s="75">
        <v>44746</v>
      </c>
      <c r="E1175" s="70" t="s">
        <v>332</v>
      </c>
      <c r="F1175" s="70" t="s">
        <v>332</v>
      </c>
      <c r="G1175" s="68" t="s">
        <v>3818</v>
      </c>
      <c r="H1175" s="59"/>
      <c r="I1175" s="69" t="s">
        <v>3460</v>
      </c>
      <c r="J1175" s="69"/>
      <c r="K1175" s="68" t="s">
        <v>11</v>
      </c>
      <c r="L1175" s="69" t="s">
        <v>129</v>
      </c>
      <c r="M1175" s="71" t="s">
        <v>141</v>
      </c>
      <c r="N1175" s="69" t="e" vm="1">
        <v>#VALUE!</v>
      </c>
      <c r="O1175" s="84">
        <v>44774</v>
      </c>
      <c r="P1175" s="72" t="s">
        <v>285</v>
      </c>
      <c r="Q1175" s="82" t="s">
        <v>229</v>
      </c>
      <c r="R1175" s="69"/>
      <c r="S1175" s="146" t="s">
        <v>2491</v>
      </c>
      <c r="T1175" s="68" t="s">
        <v>3</v>
      </c>
      <c r="U1175" s="87"/>
      <c r="V1175" s="80">
        <v>44851</v>
      </c>
      <c r="W1175" s="73">
        <v>1361</v>
      </c>
      <c r="X1175" s="214">
        <f>1288*33500/1000000</f>
        <v>43.148000000000003</v>
      </c>
      <c r="Y1175" s="83">
        <f>IF(SUM(W1175:W1175)&gt;0,X1175/SUM(W1175:W1175)*1000000,"N/A")</f>
        <v>31703.159441587075</v>
      </c>
      <c r="Z1175" s="80"/>
      <c r="AA1175" s="80"/>
      <c r="AB1175" s="73" t="s">
        <v>4492</v>
      </c>
      <c r="AC1175" s="153"/>
      <c r="AD1175" s="331"/>
      <c r="AE1175" s="57"/>
      <c r="AF1175" s="88"/>
      <c r="AG1175" s="182">
        <f>YEAR(D1175)</f>
        <v>2022</v>
      </c>
      <c r="AH1175" s="86" t="str">
        <f>+IF(AE1175=$AJ$22,MONTH(T1175),"")</f>
        <v/>
      </c>
      <c r="AI1175" s="86" t="str">
        <f>+IF(AF1175=$AJ$22,MONTH(U1175),"")</f>
        <v/>
      </c>
      <c r="AJ1175" s="86" t="str">
        <f>+IF(AG1175=$AJ$22,MONTH(V1175),"")</f>
        <v/>
      </c>
      <c r="AK1175" s="86" t="str">
        <f>+IF(AG1175=$AK$22,MONTH(V1175),"")</f>
        <v/>
      </c>
      <c r="AL1175" s="86">
        <f>+IF(AG1175=$AL$22,MONTH(V1175),"")</f>
        <v>10</v>
      </c>
      <c r="AM1175" s="86" t="str">
        <f>+IF($AG1175=$AM$22,MONTH($D1175),"")</f>
        <v/>
      </c>
      <c r="AN1175" s="89" t="str">
        <f>+IF($AG1175=AN$22,MONTH($D1175),"")</f>
        <v/>
      </c>
      <c r="AO1175" s="89" t="str">
        <f>+IF($AG1175=AO$22,MONTH($D1175),"")</f>
        <v/>
      </c>
      <c r="AP1175" s="89" t="str">
        <f>+IF($AG1175=AP$22,MONTH($D1175),"")</f>
        <v/>
      </c>
      <c r="AQ1175" s="89" t="str">
        <f>+IF($AG1175=AQ$22,MONTH($D1175),"")</f>
        <v/>
      </c>
      <c r="AR1175" s="89" t="str">
        <f>+IF($AG1175=AR$22,MONTH($D1175),"")</f>
        <v/>
      </c>
      <c r="AS1175" s="89" t="str">
        <f>+IF($AG1175=AS$22,MONTH($D1175),"")</f>
        <v/>
      </c>
      <c r="AT1175" s="89" t="str">
        <f>+IF($AG1175=AT$22,MONTH($D1175),"")</f>
        <v/>
      </c>
      <c r="AU1175" s="89" t="str">
        <f>+IF($AG1175=AU$22,MONTH($D1175),"")</f>
        <v/>
      </c>
      <c r="AV1175" s="89" t="str">
        <f>+IF($AG1175=AV$22,MONTH($D1175),"")</f>
        <v/>
      </c>
      <c r="AW1175" s="86" t="str">
        <f>+IF($AG1175=AW$22,MONTH($D1175),"")</f>
        <v/>
      </c>
      <c r="AX1175" s="86" t="str">
        <f>+IF($AG1175=AX$22,MONTH($D1175),"")</f>
        <v/>
      </c>
      <c r="AY1175" s="89"/>
      <c r="AZ1175" s="89"/>
      <c r="BA1175" s="89"/>
      <c r="BB1175" s="89"/>
      <c r="BC1175" s="89"/>
      <c r="BD1175" s="89"/>
      <c r="BE1175" s="89"/>
      <c r="BF1175" s="89"/>
      <c r="BG1175" s="89"/>
      <c r="BH1175" s="89"/>
      <c r="BI1175" s="89"/>
      <c r="BJ1175" s="89"/>
      <c r="BK1175" s="89"/>
      <c r="BL1175" s="89"/>
      <c r="BM1175" s="89"/>
      <c r="BN1175" s="89"/>
      <c r="BO1175" s="89"/>
      <c r="BP1175" s="89"/>
    </row>
    <row r="1176" spans="1:68" s="56" customFormat="1" ht="27" hidden="1">
      <c r="A1176" s="204" t="str">
        <f>+IFERROR(VALUE(MID(AB1176,4,4)),"")</f>
        <v/>
      </c>
      <c r="B1176" s="204">
        <f>VALUE(RIGHT(C1176,LEN(C1176)-2))</f>
        <v>1547</v>
      </c>
      <c r="C1176" s="74" t="s">
        <v>4493</v>
      </c>
      <c r="D1176" s="75">
        <v>44739</v>
      </c>
      <c r="E1176" s="70" t="s">
        <v>3520</v>
      </c>
      <c r="F1176" s="70" t="s">
        <v>3520</v>
      </c>
      <c r="G1176" s="68" t="s">
        <v>4494</v>
      </c>
      <c r="H1176" s="59" t="s">
        <v>4495</v>
      </c>
      <c r="I1176" s="69" t="s">
        <v>4496</v>
      </c>
      <c r="J1176" s="69"/>
      <c r="K1176" s="95" t="s">
        <v>9</v>
      </c>
      <c r="L1176" s="69" t="s">
        <v>120</v>
      </c>
      <c r="M1176" s="71" t="s">
        <v>113</v>
      </c>
      <c r="N1176" s="69" t="e" vm="9">
        <v>#VALUE!</v>
      </c>
      <c r="O1176" s="84">
        <v>44748</v>
      </c>
      <c r="P1176" s="82" t="s">
        <v>649</v>
      </c>
      <c r="Q1176" s="82" t="s">
        <v>259</v>
      </c>
      <c r="R1176" s="69"/>
      <c r="S1176" s="146" t="s">
        <v>4497</v>
      </c>
      <c r="T1176" s="68" t="s">
        <v>155</v>
      </c>
      <c r="U1176" s="87"/>
      <c r="V1176" s="80">
        <v>44810</v>
      </c>
      <c r="W1176" s="73"/>
      <c r="X1176" s="73"/>
      <c r="Y1176" s="83" t="str">
        <f>IF(SUM(W1176:W1176)&gt;0,X1176/SUM(W1176:W1176)*1000000,"N/A")</f>
        <v>N/A</v>
      </c>
      <c r="Z1176" s="80"/>
      <c r="AA1176" s="80"/>
      <c r="AB1176" s="73"/>
      <c r="AC1176" s="153"/>
      <c r="AD1176" s="331"/>
      <c r="AE1176" s="57"/>
      <c r="AF1176" s="88"/>
      <c r="AG1176" s="182">
        <f>YEAR(D1176)</f>
        <v>2022</v>
      </c>
      <c r="AH1176" s="86" t="str">
        <f>+IF(AE1176=$AJ$22,MONTH(T1176),"")</f>
        <v/>
      </c>
      <c r="AI1176" s="86" t="str">
        <f>+IF(AF1176=$AJ$22,MONTH(U1176),"")</f>
        <v/>
      </c>
      <c r="AJ1176" s="86" t="str">
        <f>+IF(AG1176=$AJ$22,MONTH(V1176),"")</f>
        <v/>
      </c>
      <c r="AK1176" s="86" t="str">
        <f>+IF(AG1176=$AK$22,MONTH(V1176),"")</f>
        <v/>
      </c>
      <c r="AL1176" s="86">
        <f>+IF(AG1176=$AL$22,MONTH(V1176),"")</f>
        <v>9</v>
      </c>
      <c r="AM1176" s="86" t="str">
        <f>+IF($AG1176=$AM$22,MONTH($D1176),"")</f>
        <v/>
      </c>
      <c r="AN1176" s="89" t="str">
        <f>+IF($AG1176=AN$22,MONTH($D1176),"")</f>
        <v/>
      </c>
      <c r="AO1176" s="89" t="str">
        <f>+IF($AG1176=AO$22,MONTH($D1176),"")</f>
        <v/>
      </c>
      <c r="AP1176" s="89" t="str">
        <f>+IF($AG1176=AP$22,MONTH($D1176),"")</f>
        <v/>
      </c>
      <c r="AQ1176" s="89" t="str">
        <f>+IF($AG1176=AQ$22,MONTH($D1176),"")</f>
        <v/>
      </c>
      <c r="AR1176" s="89" t="str">
        <f>+IF($AG1176=AR$22,MONTH($D1176),"")</f>
        <v/>
      </c>
      <c r="AS1176" s="89" t="str">
        <f>+IF($AG1176=AS$22,MONTH($D1176),"")</f>
        <v/>
      </c>
      <c r="AT1176" s="89" t="str">
        <f>+IF($AG1176=AT$22,MONTH($D1176),"")</f>
        <v/>
      </c>
      <c r="AU1176" s="89" t="str">
        <f>+IF($AG1176=AU$22,MONTH($D1176),"")</f>
        <v/>
      </c>
      <c r="AV1176" s="89" t="str">
        <f>+IF($AG1176=AV$22,MONTH($D1176),"")</f>
        <v/>
      </c>
      <c r="AW1176" s="86" t="str">
        <f>+IF($AG1176=AW$22,MONTH($D1176),"")</f>
        <v/>
      </c>
      <c r="AX1176" s="86" t="str">
        <f>+IF($AG1176=AX$22,MONTH($D1176),"")</f>
        <v/>
      </c>
      <c r="AY1176" s="89"/>
      <c r="AZ1176" s="89"/>
      <c r="BA1176" s="89"/>
      <c r="BB1176" s="89"/>
      <c r="BC1176" s="89"/>
      <c r="BD1176" s="89"/>
      <c r="BE1176" s="89"/>
      <c r="BF1176" s="89"/>
      <c r="BG1176" s="89"/>
      <c r="BH1176" s="89"/>
      <c r="BI1176" s="89"/>
      <c r="BJ1176" s="89"/>
      <c r="BK1176" s="89"/>
      <c r="BL1176" s="89"/>
      <c r="BM1176" s="89"/>
      <c r="BN1176" s="89"/>
      <c r="BO1176" s="89"/>
      <c r="BP1176" s="89"/>
    </row>
    <row r="1177" spans="1:68" s="56" customFormat="1" ht="81" hidden="1">
      <c r="A1177" s="204" t="str">
        <f>+IFERROR(VALUE(MID(AB1177,4,4)),"")</f>
        <v/>
      </c>
      <c r="B1177" s="204">
        <f>VALUE(RIGHT(C1177,LEN(C1177)-2))</f>
        <v>1546</v>
      </c>
      <c r="C1177" s="74" t="s">
        <v>4498</v>
      </c>
      <c r="D1177" s="75">
        <v>44742</v>
      </c>
      <c r="E1177" s="70" t="s">
        <v>262</v>
      </c>
      <c r="F1177" s="70" t="s">
        <v>262</v>
      </c>
      <c r="G1177" s="68" t="s">
        <v>4499</v>
      </c>
      <c r="H1177" s="59" t="s">
        <v>4500</v>
      </c>
      <c r="I1177" s="69" t="s">
        <v>4501</v>
      </c>
      <c r="J1177" s="69"/>
      <c r="K1177" s="68" t="s">
        <v>212</v>
      </c>
      <c r="L1177" s="69" t="s">
        <v>123</v>
      </c>
      <c r="M1177" s="71" t="s">
        <v>141</v>
      </c>
      <c r="N1177" s="69" t="e" vm="1">
        <v>#VALUE!</v>
      </c>
      <c r="O1177" s="84">
        <v>44749</v>
      </c>
      <c r="P1177" s="72" t="s">
        <v>228</v>
      </c>
      <c r="Q1177" s="72" t="s">
        <v>405</v>
      </c>
      <c r="R1177" s="162"/>
      <c r="S1177" s="146" t="s">
        <v>4502</v>
      </c>
      <c r="T1177" s="68" t="s">
        <v>155</v>
      </c>
      <c r="U1177" s="87"/>
      <c r="V1177" s="80">
        <v>44749</v>
      </c>
      <c r="W1177" s="73"/>
      <c r="X1177" s="73"/>
      <c r="Y1177" s="83" t="str">
        <f>IF(SUM(W1177:W1177)&gt;0,X1177/SUM(W1177:W1177)*1000000,"N/A")</f>
        <v>N/A</v>
      </c>
      <c r="Z1177" s="80"/>
      <c r="AA1177" s="80"/>
      <c r="AB1177" s="73"/>
      <c r="AC1177" s="153"/>
      <c r="AD1177" s="331"/>
      <c r="AE1177" s="57"/>
      <c r="AF1177" s="88"/>
      <c r="AG1177" s="182">
        <f>YEAR(D1177)</f>
        <v>2022</v>
      </c>
      <c r="AH1177" s="86" t="str">
        <f>+IF(AE1177=$AJ$22,MONTH(T1177),"")</f>
        <v/>
      </c>
      <c r="AI1177" s="86" t="str">
        <f>+IF(AF1177=$AJ$22,MONTH(U1177),"")</f>
        <v/>
      </c>
      <c r="AJ1177" s="86" t="str">
        <f>+IF(AG1177=$AJ$22,MONTH(V1177),"")</f>
        <v/>
      </c>
      <c r="AK1177" s="86" t="str">
        <f>+IF(AG1177=$AK$22,MONTH(V1177),"")</f>
        <v/>
      </c>
      <c r="AL1177" s="86">
        <f>+IF(AG1177=$AL$22,MONTH(V1177),"")</f>
        <v>7</v>
      </c>
      <c r="AM1177" s="86" t="str">
        <f>+IF($AG1177=$AM$22,MONTH($D1177),"")</f>
        <v/>
      </c>
      <c r="AN1177" s="89" t="str">
        <f>+IF($AG1177=AN$22,MONTH($D1177),"")</f>
        <v/>
      </c>
      <c r="AO1177" s="89" t="str">
        <f>+IF($AG1177=AO$22,MONTH($D1177),"")</f>
        <v/>
      </c>
      <c r="AP1177" s="89" t="str">
        <f>+IF($AG1177=AP$22,MONTH($D1177),"")</f>
        <v/>
      </c>
      <c r="AQ1177" s="89" t="str">
        <f>+IF($AG1177=AQ$22,MONTH($D1177),"")</f>
        <v/>
      </c>
      <c r="AR1177" s="89" t="str">
        <f>+IF($AG1177=AR$22,MONTH($D1177),"")</f>
        <v/>
      </c>
      <c r="AS1177" s="89" t="str">
        <f>+IF($AG1177=AS$22,MONTH($D1177),"")</f>
        <v/>
      </c>
      <c r="AT1177" s="89" t="str">
        <f>+IF($AG1177=AT$22,MONTH($D1177),"")</f>
        <v/>
      </c>
      <c r="AU1177" s="89" t="str">
        <f>+IF($AG1177=AU$22,MONTH($D1177),"")</f>
        <v/>
      </c>
      <c r="AV1177" s="89" t="str">
        <f>+IF($AG1177=AV$22,MONTH($D1177),"")</f>
        <v/>
      </c>
      <c r="AW1177" s="86" t="str">
        <f>+IF($AG1177=AW$22,MONTH($D1177),"")</f>
        <v/>
      </c>
      <c r="AX1177" s="86" t="str">
        <f>+IF($AG1177=AX$22,MONTH($D1177),"")</f>
        <v/>
      </c>
      <c r="AY1177" s="89"/>
      <c r="AZ1177" s="89"/>
      <c r="BA1177" s="89"/>
      <c r="BB1177" s="89"/>
      <c r="BC1177" s="89"/>
      <c r="BD1177" s="89"/>
      <c r="BE1177" s="89"/>
      <c r="BF1177" s="89"/>
      <c r="BG1177" s="89"/>
      <c r="BH1177" s="89"/>
      <c r="BI1177" s="89"/>
      <c r="BJ1177" s="89"/>
      <c r="BK1177" s="89"/>
      <c r="BL1177" s="89"/>
      <c r="BM1177" s="89"/>
      <c r="BN1177" s="89"/>
      <c r="BO1177" s="89"/>
      <c r="BP1177" s="89"/>
    </row>
    <row r="1178" spans="1:68" s="56" customFormat="1" ht="27" hidden="1">
      <c r="A1178" s="204">
        <f>+IFERROR(VALUE(MID(AB1178,4,4)),"")</f>
        <v>265</v>
      </c>
      <c r="B1178" s="204">
        <f>VALUE(RIGHT(C1178,LEN(C1178)-2))</f>
        <v>1545</v>
      </c>
      <c r="C1178" s="74" t="s">
        <v>4503</v>
      </c>
      <c r="D1178" s="75">
        <v>44740</v>
      </c>
      <c r="E1178" s="70" t="s">
        <v>332</v>
      </c>
      <c r="F1178" s="70" t="s">
        <v>332</v>
      </c>
      <c r="G1178" s="68" t="s">
        <v>3818</v>
      </c>
      <c r="H1178" s="59" t="s">
        <v>3878</v>
      </c>
      <c r="I1178" s="69" t="s">
        <v>4504</v>
      </c>
      <c r="J1178" s="69"/>
      <c r="K1178" s="68" t="s">
        <v>13</v>
      </c>
      <c r="L1178" s="69" t="s">
        <v>129</v>
      </c>
      <c r="M1178" s="71" t="s">
        <v>141</v>
      </c>
      <c r="N1178" s="69" t="e" vm="1">
        <v>#VALUE!</v>
      </c>
      <c r="O1178" s="84">
        <v>44742</v>
      </c>
      <c r="P1178" s="72" t="s">
        <v>666</v>
      </c>
      <c r="Q1178" s="72" t="s">
        <v>1097</v>
      </c>
      <c r="R1178" s="162"/>
      <c r="S1178" s="146" t="s">
        <v>2491</v>
      </c>
      <c r="T1178" s="68" t="s">
        <v>3</v>
      </c>
      <c r="U1178" s="87"/>
      <c r="V1178" s="80">
        <v>44796</v>
      </c>
      <c r="W1178" s="73">
        <v>2186</v>
      </c>
      <c r="X1178" s="73">
        <f>2233*33700/1000000</f>
        <v>75.252099999999999</v>
      </c>
      <c r="Y1178" s="83">
        <f>IF(SUM(W1178:W1178)&gt;0,X1178/SUM(W1178:W1178)*1000000,"N/A")</f>
        <v>34424.565416285455</v>
      </c>
      <c r="Z1178" s="80"/>
      <c r="AA1178" s="80"/>
      <c r="AB1178" s="73" t="s">
        <v>4505</v>
      </c>
      <c r="AC1178" s="153"/>
      <c r="AD1178" s="331"/>
      <c r="AE1178" s="57"/>
      <c r="AF1178" s="88" t="s">
        <v>4506</v>
      </c>
      <c r="AG1178" s="182">
        <f>YEAR(D1178)</f>
        <v>2022</v>
      </c>
      <c r="AH1178" s="86" t="str">
        <f>+IF(AE1178=$AJ$22,MONTH(T1178),"")</f>
        <v/>
      </c>
      <c r="AI1178" s="86" t="str">
        <f>+IF(AF1178=$AJ$22,MONTH(U1178),"")</f>
        <v/>
      </c>
      <c r="AJ1178" s="86" t="str">
        <f>+IF(AG1178=$AJ$22,MONTH(V1178),"")</f>
        <v/>
      </c>
      <c r="AK1178" s="86" t="str">
        <f>+IF(AG1178=$AK$22,MONTH(V1178),"")</f>
        <v/>
      </c>
      <c r="AL1178" s="86">
        <f>+IF(AG1178=$AL$22,MONTH(V1178),"")</f>
        <v>8</v>
      </c>
      <c r="AM1178" s="86" t="str">
        <f>+IF($AG1178=$AM$22,MONTH($D1178),"")</f>
        <v/>
      </c>
      <c r="AN1178" s="89" t="str">
        <f>+IF($AG1178=AN$22,MONTH($D1178),"")</f>
        <v/>
      </c>
      <c r="AO1178" s="89" t="str">
        <f>+IF($AG1178=AO$22,MONTH($D1178),"")</f>
        <v/>
      </c>
      <c r="AP1178" s="89" t="str">
        <f>+IF($AG1178=AP$22,MONTH($D1178),"")</f>
        <v/>
      </c>
      <c r="AQ1178" s="89" t="str">
        <f>+IF($AG1178=AQ$22,MONTH($D1178),"")</f>
        <v/>
      </c>
      <c r="AR1178" s="89" t="str">
        <f>+IF($AG1178=AR$22,MONTH($D1178),"")</f>
        <v/>
      </c>
      <c r="AS1178" s="89" t="str">
        <f>+IF($AG1178=AS$22,MONTH($D1178),"")</f>
        <v/>
      </c>
      <c r="AT1178" s="89" t="str">
        <f>+IF($AG1178=AT$22,MONTH($D1178),"")</f>
        <v/>
      </c>
      <c r="AU1178" s="89" t="str">
        <f>+IF($AG1178=AU$22,MONTH($D1178),"")</f>
        <v/>
      </c>
      <c r="AV1178" s="89" t="str">
        <f>+IF($AG1178=AV$22,MONTH($D1178),"")</f>
        <v/>
      </c>
      <c r="AW1178" s="86" t="str">
        <f>+IF($AG1178=AW$22,MONTH($D1178),"")</f>
        <v/>
      </c>
      <c r="AX1178" s="86" t="str">
        <f>+IF($AG1178=AX$22,MONTH($D1178),"")</f>
        <v/>
      </c>
      <c r="AY1178" s="89"/>
      <c r="AZ1178" s="89"/>
      <c r="BA1178" s="89"/>
      <c r="BB1178" s="89"/>
      <c r="BC1178" s="89"/>
      <c r="BD1178" s="89"/>
      <c r="BE1178" s="89"/>
      <c r="BF1178" s="89"/>
      <c r="BG1178" s="89"/>
      <c r="BH1178" s="89"/>
      <c r="BI1178" s="89"/>
      <c r="BJ1178" s="89"/>
      <c r="BK1178" s="89"/>
      <c r="BL1178" s="89"/>
      <c r="BM1178" s="89"/>
      <c r="BN1178" s="89"/>
      <c r="BO1178" s="89"/>
      <c r="BP1178" s="89"/>
    </row>
    <row r="1179" spans="1:68" s="56" customFormat="1" ht="27" hidden="1">
      <c r="A1179" s="204">
        <f>+IFERROR(VALUE(MID(AB1179,4,4)),"")</f>
        <v>306</v>
      </c>
      <c r="B1179" s="204">
        <f>VALUE(RIGHT(C1179,LEN(C1179)-2))</f>
        <v>1544</v>
      </c>
      <c r="C1179" s="74" t="s">
        <v>4507</v>
      </c>
      <c r="D1179" s="75">
        <v>44740</v>
      </c>
      <c r="E1179" s="70" t="s">
        <v>4048</v>
      </c>
      <c r="F1179" s="70" t="s">
        <v>2269</v>
      </c>
      <c r="G1179" s="68" t="s">
        <v>4508</v>
      </c>
      <c r="H1179" s="59"/>
      <c r="I1179" s="69" t="s">
        <v>4509</v>
      </c>
      <c r="J1179" s="69"/>
      <c r="K1179" s="68" t="s">
        <v>13</v>
      </c>
      <c r="L1179" s="69" t="s">
        <v>120</v>
      </c>
      <c r="M1179" s="71" t="s">
        <v>141</v>
      </c>
      <c r="N1179" s="69" t="e" vm="1">
        <v>#VALUE!</v>
      </c>
      <c r="O1179" s="84">
        <v>44746</v>
      </c>
      <c r="P1179" s="72" t="s">
        <v>666</v>
      </c>
      <c r="Q1179" s="72" t="s">
        <v>229</v>
      </c>
      <c r="R1179" s="162"/>
      <c r="S1179" s="146"/>
      <c r="T1179" s="68" t="s">
        <v>3</v>
      </c>
      <c r="U1179" s="87"/>
      <c r="V1179" s="80">
        <v>44746</v>
      </c>
      <c r="W1179" s="73">
        <v>229</v>
      </c>
      <c r="X1179" s="73">
        <f>276*33100/1000000</f>
        <v>9.1356000000000002</v>
      </c>
      <c r="Y1179" s="83">
        <f>IF(SUM(W1179:W1179)&gt;0,X1179/SUM(W1179:W1179)*1000000,"N/A")</f>
        <v>39893.449781659387</v>
      </c>
      <c r="Z1179" s="80"/>
      <c r="AA1179" s="80"/>
      <c r="AB1179" s="73" t="s">
        <v>4510</v>
      </c>
      <c r="AC1179" s="153"/>
      <c r="AD1179" s="331"/>
      <c r="AE1179" s="57"/>
      <c r="AF1179" s="88"/>
      <c r="AG1179" s="182">
        <f>YEAR(D1179)</f>
        <v>2022</v>
      </c>
      <c r="AH1179" s="86" t="str">
        <f>+IF(AE1179=$AJ$22,MONTH(T1179),"")</f>
        <v/>
      </c>
      <c r="AI1179" s="86" t="str">
        <f>+IF(AF1179=$AJ$22,MONTH(U1179),"")</f>
        <v/>
      </c>
      <c r="AJ1179" s="86" t="str">
        <f>+IF(AG1179=$AJ$22,MONTH(V1179),"")</f>
        <v/>
      </c>
      <c r="AK1179" s="86" t="str">
        <f>+IF(AG1179=$AK$22,MONTH(V1179),"")</f>
        <v/>
      </c>
      <c r="AL1179" s="86">
        <f>+IF(AG1179=$AL$22,MONTH(V1179),"")</f>
        <v>7</v>
      </c>
      <c r="AM1179" s="86" t="str">
        <f>+IF($AG1179=$AM$22,MONTH($D1179),"")</f>
        <v/>
      </c>
      <c r="AN1179" s="89" t="str">
        <f>+IF($AG1179=AN$22,MONTH($D1179),"")</f>
        <v/>
      </c>
      <c r="AO1179" s="86" t="str">
        <f>+IF($AG1179=AO$22,MONTH($D1179),"")</f>
        <v/>
      </c>
      <c r="AP1179" s="86" t="str">
        <f>+IF($AG1179=AP$22,MONTH($D1179),"")</f>
        <v/>
      </c>
      <c r="AQ1179" s="86" t="str">
        <f>+IF($AG1179=AQ$22,MONTH($D1179),"")</f>
        <v/>
      </c>
      <c r="AR1179" s="86" t="str">
        <f>+IF($AG1179=AR$22,MONTH($D1179),"")</f>
        <v/>
      </c>
      <c r="AS1179" s="86" t="str">
        <f>+IF($AG1179=AS$22,MONTH($D1179),"")</f>
        <v/>
      </c>
      <c r="AT1179" s="86" t="str">
        <f>+IF($AG1179=AT$22,MONTH($D1179),"")</f>
        <v/>
      </c>
      <c r="AU1179" s="86" t="str">
        <f>+IF($AG1179=AU$22,MONTH($D1179),"")</f>
        <v/>
      </c>
      <c r="AV1179" s="86" t="str">
        <f>+IF($AG1179=AV$22,MONTH($D1179),"")</f>
        <v/>
      </c>
      <c r="AW1179" s="86" t="str">
        <f>+IF($AG1179=AW$22,MONTH($D1179),"")</f>
        <v/>
      </c>
      <c r="AX1179" s="86" t="str">
        <f>+IF($AG1179=AX$22,MONTH($D1179),"")</f>
        <v/>
      </c>
      <c r="AY1179" s="89"/>
      <c r="AZ1179" s="89"/>
      <c r="BA1179" s="89"/>
      <c r="BB1179" s="89"/>
      <c r="BC1179" s="89"/>
      <c r="BD1179" s="89"/>
      <c r="BE1179" s="89"/>
      <c r="BF1179" s="89"/>
      <c r="BG1179" s="89"/>
      <c r="BH1179" s="89"/>
      <c r="BI1179" s="89"/>
      <c r="BJ1179" s="89"/>
      <c r="BK1179" s="89"/>
      <c r="BL1179" s="89"/>
      <c r="BM1179" s="89"/>
      <c r="BN1179" s="89"/>
      <c r="BO1179" s="89"/>
      <c r="BP1179" s="89"/>
    </row>
    <row r="1180" spans="1:68" s="56" customFormat="1" ht="27" hidden="1">
      <c r="A1180" s="204" t="str">
        <f>+IFERROR(VALUE(MID(AB1180,4,4)),"")</f>
        <v/>
      </c>
      <c r="B1180" s="204">
        <f>VALUE(RIGHT(C1180,LEN(C1180)-2))</f>
        <v>1543</v>
      </c>
      <c r="C1180" s="74" t="s">
        <v>4511</v>
      </c>
      <c r="D1180" s="75">
        <v>44740</v>
      </c>
      <c r="E1180" s="70" t="s">
        <v>3741</v>
      </c>
      <c r="F1180" s="70" t="s">
        <v>4512</v>
      </c>
      <c r="G1180" s="68" t="s">
        <v>3743</v>
      </c>
      <c r="H1180" s="59" t="s">
        <v>1159</v>
      </c>
      <c r="I1180" s="69" t="s">
        <v>4513</v>
      </c>
      <c r="J1180" s="69"/>
      <c r="K1180" s="68" t="s">
        <v>12</v>
      </c>
      <c r="L1180" s="69" t="s">
        <v>123</v>
      </c>
      <c r="M1180" s="71" t="s">
        <v>113</v>
      </c>
      <c r="N1180" s="69" t="e" vm="2">
        <v>#VALUE!</v>
      </c>
      <c r="O1180" s="84">
        <v>44741</v>
      </c>
      <c r="P1180" s="72" t="s">
        <v>483</v>
      </c>
      <c r="Q1180" s="72" t="s">
        <v>405</v>
      </c>
      <c r="R1180" s="162"/>
      <c r="S1180" s="146" t="s">
        <v>2509</v>
      </c>
      <c r="T1180" s="68" t="s">
        <v>165</v>
      </c>
      <c r="U1180" s="87"/>
      <c r="V1180" s="80">
        <v>44979</v>
      </c>
      <c r="W1180" s="73">
        <v>225</v>
      </c>
      <c r="X1180" s="73">
        <v>8.8000000000000007</v>
      </c>
      <c r="Y1180" s="83">
        <f>IF(SUM(W1180:W1180)&gt;0,X1180/SUM(W1180:W1180)*1000000,"N/A")</f>
        <v>39111.111111111117</v>
      </c>
      <c r="Z1180" s="80"/>
      <c r="AA1180" s="80"/>
      <c r="AB1180" s="73"/>
      <c r="AC1180" s="153"/>
      <c r="AD1180" s="331"/>
      <c r="AE1180" s="57"/>
      <c r="AF1180" s="88" t="s">
        <v>4452</v>
      </c>
      <c r="AG1180" s="182">
        <f>YEAR(D1180)</f>
        <v>2022</v>
      </c>
      <c r="AH1180" s="86" t="str">
        <f>+IF(AE1180=$AJ$22,MONTH(T1180),"")</f>
        <v/>
      </c>
      <c r="AI1180" s="86" t="str">
        <f>+IF(AF1180=$AJ$22,MONTH(U1180),"")</f>
        <v/>
      </c>
      <c r="AJ1180" s="86" t="str">
        <f>+IF(AG1180=$AJ$22,MONTH(V1180),"")</f>
        <v/>
      </c>
      <c r="AK1180" s="86" t="str">
        <f>+IF(AG1180=$AK$22,MONTH(V1180),"")</f>
        <v/>
      </c>
      <c r="AL1180" s="86">
        <f>+IF(AG1180=$AL$22,MONTH(V1180),"")</f>
        <v>2</v>
      </c>
      <c r="AM1180" s="86" t="str">
        <f>+IF($AG1180=$AM$22,MONTH($D1180),"")</f>
        <v/>
      </c>
      <c r="AN1180" s="89" t="str">
        <f>+IF($AG1180=AN$22,MONTH($D1180),"")</f>
        <v/>
      </c>
      <c r="AO1180" s="89" t="str">
        <f>+IF($AG1180=AO$22,MONTH($D1180),"")</f>
        <v/>
      </c>
      <c r="AP1180" s="89" t="str">
        <f>+IF($AG1180=AP$22,MONTH($D1180),"")</f>
        <v/>
      </c>
      <c r="AQ1180" s="89" t="str">
        <f>+IF($AG1180=AQ$22,MONTH($D1180),"")</f>
        <v/>
      </c>
      <c r="AR1180" s="89" t="str">
        <f>+IF($AG1180=AR$22,MONTH($D1180),"")</f>
        <v/>
      </c>
      <c r="AS1180" s="89" t="str">
        <f>+IF($AG1180=AS$22,MONTH($D1180),"")</f>
        <v/>
      </c>
      <c r="AT1180" s="89" t="str">
        <f>+IF($AG1180=AT$22,MONTH($D1180),"")</f>
        <v/>
      </c>
      <c r="AU1180" s="89" t="str">
        <f>+IF($AG1180=AU$22,MONTH($D1180),"")</f>
        <v/>
      </c>
      <c r="AV1180" s="89" t="str">
        <f>+IF($AG1180=AV$22,MONTH($D1180),"")</f>
        <v/>
      </c>
      <c r="AW1180" s="86" t="str">
        <f>+IF($AG1180=AW$22,MONTH($D1180),"")</f>
        <v/>
      </c>
      <c r="AX1180" s="86" t="str">
        <f>+IF($AG1180=AX$22,MONTH($D1180),"")</f>
        <v/>
      </c>
      <c r="AY1180" s="89"/>
      <c r="AZ1180" s="89"/>
      <c r="BA1180" s="89"/>
      <c r="BB1180" s="89"/>
      <c r="BC1180" s="89"/>
      <c r="BD1180" s="89"/>
      <c r="BE1180" s="89"/>
      <c r="BF1180" s="89"/>
      <c r="BG1180" s="89"/>
      <c r="BH1180" s="89"/>
      <c r="BI1180" s="89"/>
      <c r="BJ1180" s="89"/>
      <c r="BK1180" s="89"/>
      <c r="BL1180" s="89"/>
      <c r="BM1180" s="89"/>
      <c r="BN1180" s="89"/>
      <c r="BO1180" s="89"/>
      <c r="BP1180" s="89"/>
    </row>
    <row r="1181" spans="1:68" s="56" customFormat="1" ht="27" hidden="1">
      <c r="A1181" s="204">
        <f>+IFERROR(VALUE(MID(AB1181,4,4)),"")</f>
        <v>310</v>
      </c>
      <c r="B1181" s="204">
        <f>VALUE(RIGHT(C1181,LEN(C1181)-2))</f>
        <v>1542</v>
      </c>
      <c r="C1181" s="74" t="s">
        <v>4514</v>
      </c>
      <c r="D1181" s="75">
        <v>44735</v>
      </c>
      <c r="E1181" s="70" t="s">
        <v>848</v>
      </c>
      <c r="F1181" s="70" t="s">
        <v>848</v>
      </c>
      <c r="G1181" s="68" t="s">
        <v>4515</v>
      </c>
      <c r="H1181" s="59" t="s">
        <v>4516</v>
      </c>
      <c r="I1181" s="69" t="s">
        <v>4382</v>
      </c>
      <c r="J1181" s="69"/>
      <c r="K1181" s="68" t="s">
        <v>90</v>
      </c>
      <c r="L1181" s="69" t="s">
        <v>120</v>
      </c>
      <c r="M1181" s="71" t="s">
        <v>141</v>
      </c>
      <c r="N1181" s="69" t="e" vm="1">
        <v>#VALUE!</v>
      </c>
      <c r="O1181" s="84">
        <v>44741</v>
      </c>
      <c r="P1181" s="72" t="s">
        <v>274</v>
      </c>
      <c r="Q1181" s="72" t="s">
        <v>275</v>
      </c>
      <c r="R1181" s="162"/>
      <c r="S1181" s="146"/>
      <c r="T1181" s="68" t="s">
        <v>165</v>
      </c>
      <c r="U1181" s="87"/>
      <c r="V1181" s="80">
        <v>44797</v>
      </c>
      <c r="W1181" s="73">
        <v>363</v>
      </c>
      <c r="X1181" s="73">
        <f>696.5*33080/1000000</f>
        <v>23.040220000000001</v>
      </c>
      <c r="Y1181" s="83">
        <f>IF(SUM(W1181:W1181)&gt;0,X1181/SUM(W1181:W1181)*1000000,"N/A")</f>
        <v>63471.68044077135</v>
      </c>
      <c r="Z1181" s="80"/>
      <c r="AA1181" s="80"/>
      <c r="AB1181" s="73" t="s">
        <v>4383</v>
      </c>
      <c r="AC1181" s="153"/>
      <c r="AD1181" s="331"/>
      <c r="AE1181" s="57"/>
      <c r="AF1181" s="88"/>
      <c r="AG1181" s="182">
        <f>YEAR(D1181)</f>
        <v>2022</v>
      </c>
      <c r="AH1181" s="86" t="str">
        <f>+IF(AE1181=$AJ$22,MONTH(T1181),"")</f>
        <v/>
      </c>
      <c r="AI1181" s="86" t="str">
        <f>+IF(AF1181=$AJ$22,MONTH(U1181),"")</f>
        <v/>
      </c>
      <c r="AJ1181" s="86" t="str">
        <f>+IF(AG1181=$AJ$22,MONTH(V1181),"")</f>
        <v/>
      </c>
      <c r="AK1181" s="86" t="str">
        <f>+IF(AG1181=$AK$22,MONTH(V1181),"")</f>
        <v/>
      </c>
      <c r="AL1181" s="86">
        <f>+IF(AG1181=$AL$22,MONTH(V1181),"")</f>
        <v>8</v>
      </c>
      <c r="AM1181" s="86" t="str">
        <f>+IF($AG1181=$AM$22,MONTH($D1181),"")</f>
        <v/>
      </c>
      <c r="AN1181" s="89" t="str">
        <f>+IF($AG1181=AN$22,MONTH($D1181),"")</f>
        <v/>
      </c>
      <c r="AO1181" s="89" t="str">
        <f>+IF($AG1181=AO$22,MONTH($D1181),"")</f>
        <v/>
      </c>
      <c r="AP1181" s="89" t="str">
        <f>+IF($AG1181=AP$22,MONTH($D1181),"")</f>
        <v/>
      </c>
      <c r="AQ1181" s="89" t="str">
        <f>+IF($AG1181=AQ$22,MONTH($D1181),"")</f>
        <v/>
      </c>
      <c r="AR1181" s="89" t="str">
        <f>+IF($AG1181=AR$22,MONTH($D1181),"")</f>
        <v/>
      </c>
      <c r="AS1181" s="89" t="str">
        <f>+IF($AG1181=AS$22,MONTH($D1181),"")</f>
        <v/>
      </c>
      <c r="AT1181" s="89" t="str">
        <f>+IF($AG1181=AT$22,MONTH($D1181),"")</f>
        <v/>
      </c>
      <c r="AU1181" s="89" t="str">
        <f>+IF($AG1181=AU$22,MONTH($D1181),"")</f>
        <v/>
      </c>
      <c r="AV1181" s="89" t="str">
        <f>+IF($AG1181=AV$22,MONTH($D1181),"")</f>
        <v/>
      </c>
      <c r="AW1181" s="86" t="str">
        <f>+IF($AG1181=AW$22,MONTH($D1181),"")</f>
        <v/>
      </c>
      <c r="AX1181" s="86" t="str">
        <f>+IF($AG1181=AX$22,MONTH($D1181),"")</f>
        <v/>
      </c>
      <c r="AY1181" s="89"/>
      <c r="AZ1181" s="89"/>
      <c r="BA1181" s="89"/>
      <c r="BB1181" s="89"/>
      <c r="BC1181" s="89"/>
      <c r="BD1181" s="89"/>
      <c r="BE1181" s="89"/>
      <c r="BF1181" s="89"/>
      <c r="BG1181" s="89"/>
      <c r="BH1181" s="89"/>
      <c r="BI1181" s="89"/>
      <c r="BJ1181" s="89"/>
      <c r="BK1181" s="89"/>
      <c r="BL1181" s="89"/>
      <c r="BM1181" s="89"/>
      <c r="BN1181" s="89"/>
      <c r="BO1181" s="89"/>
      <c r="BP1181" s="89"/>
    </row>
    <row r="1182" spans="1:68" s="56" customFormat="1" ht="30" hidden="1" customHeight="1">
      <c r="A1182" s="204" t="str">
        <f>+IFERROR(VALUE(MID(AB1182,4,4)),"")</f>
        <v/>
      </c>
      <c r="B1182" s="204">
        <f>VALUE(RIGHT(C1182,LEN(C1182)-2))</f>
        <v>1541</v>
      </c>
      <c r="C1182" s="74" t="s">
        <v>4517</v>
      </c>
      <c r="D1182" s="75">
        <v>44725</v>
      </c>
      <c r="E1182" s="70" t="s">
        <v>96</v>
      </c>
      <c r="F1182" s="70" t="s">
        <v>96</v>
      </c>
      <c r="G1182" s="68" t="s">
        <v>4518</v>
      </c>
      <c r="H1182" s="59" t="s">
        <v>4519</v>
      </c>
      <c r="I1182" s="69" t="s">
        <v>4520</v>
      </c>
      <c r="J1182" s="69"/>
      <c r="K1182" s="95" t="s">
        <v>13</v>
      </c>
      <c r="L1182" s="69" t="s">
        <v>123</v>
      </c>
      <c r="M1182" s="71" t="s">
        <v>141</v>
      </c>
      <c r="N1182" s="69" t="e" vm="1">
        <v>#VALUE!</v>
      </c>
      <c r="O1182" s="84">
        <v>44741</v>
      </c>
      <c r="P1182" s="82" t="s">
        <v>402</v>
      </c>
      <c r="Q1182" s="82" t="s">
        <v>316</v>
      </c>
      <c r="R1182" s="69"/>
      <c r="S1182" s="146" t="s">
        <v>4521</v>
      </c>
      <c r="T1182" s="68" t="s">
        <v>165</v>
      </c>
      <c r="U1182" s="87"/>
      <c r="V1182" s="80">
        <v>44834</v>
      </c>
      <c r="W1182" s="73">
        <v>6134</v>
      </c>
      <c r="X1182" s="73">
        <v>214</v>
      </c>
      <c r="Y1182" s="83">
        <f>IF(SUM(W1182:W1182)&gt;0,X1182/SUM(W1182:W1182)*1000000,"N/A")</f>
        <v>34887.51222693186</v>
      </c>
      <c r="Z1182" s="80"/>
      <c r="AA1182" s="80"/>
      <c r="AB1182" s="73"/>
      <c r="AC1182" s="153"/>
      <c r="AD1182" s="331"/>
      <c r="AE1182" s="57"/>
      <c r="AF1182" s="88"/>
      <c r="AG1182" s="182">
        <f>YEAR(D1182)</f>
        <v>2022</v>
      </c>
      <c r="AH1182" s="86" t="str">
        <f>+IF(AE1182=$AJ$22,MONTH(T1182),"")</f>
        <v/>
      </c>
      <c r="AI1182" s="86" t="str">
        <f>+IF(AF1182=$AJ$22,MONTH(U1182),"")</f>
        <v/>
      </c>
      <c r="AJ1182" s="86" t="str">
        <f>+IF(AG1182=$AJ$22,MONTH(V1182),"")</f>
        <v/>
      </c>
      <c r="AK1182" s="86" t="str">
        <f>+IF(AG1182=$AK$22,MONTH(V1182),"")</f>
        <v/>
      </c>
      <c r="AL1182" s="86">
        <f>+IF(AG1182=$AL$22,MONTH(V1182),"")</f>
        <v>9</v>
      </c>
      <c r="AM1182" s="86" t="str">
        <f>+IF($AG1182=$AM$22,MONTH($D1182),"")</f>
        <v/>
      </c>
      <c r="AN1182" s="89" t="str">
        <f>+IF($AG1182=AN$22,MONTH($D1182),"")</f>
        <v/>
      </c>
      <c r="AO1182" s="89" t="str">
        <f>+IF($AG1182=AO$22,MONTH($D1182),"")</f>
        <v/>
      </c>
      <c r="AP1182" s="89" t="str">
        <f>+IF($AG1182=AP$22,MONTH($D1182),"")</f>
        <v/>
      </c>
      <c r="AQ1182" s="89" t="str">
        <f>+IF($AG1182=AQ$22,MONTH($D1182),"")</f>
        <v/>
      </c>
      <c r="AR1182" s="89" t="str">
        <f>+IF($AG1182=AR$22,MONTH($D1182),"")</f>
        <v/>
      </c>
      <c r="AS1182" s="89" t="str">
        <f>+IF($AG1182=AS$22,MONTH($D1182),"")</f>
        <v/>
      </c>
      <c r="AT1182" s="89" t="str">
        <f>+IF($AG1182=AT$22,MONTH($D1182),"")</f>
        <v/>
      </c>
      <c r="AU1182" s="89" t="str">
        <f>+IF($AG1182=AU$22,MONTH($D1182),"")</f>
        <v/>
      </c>
      <c r="AV1182" s="89" t="str">
        <f>+IF($AG1182=AV$22,MONTH($D1182),"")</f>
        <v/>
      </c>
      <c r="AW1182" s="86" t="str">
        <f>+IF($AG1182=AW$22,MONTH($D1182),"")</f>
        <v/>
      </c>
      <c r="AX1182" s="86" t="str">
        <f>+IF($AG1182=AX$22,MONTH($D1182),"")</f>
        <v/>
      </c>
      <c r="AY1182" s="89"/>
      <c r="AZ1182" s="89"/>
      <c r="BA1182" s="89"/>
      <c r="BB1182" s="89"/>
      <c r="BC1182" s="89"/>
      <c r="BD1182" s="89"/>
      <c r="BE1182" s="89"/>
      <c r="BF1182" s="89"/>
      <c r="BG1182" s="89"/>
      <c r="BH1182" s="89"/>
      <c r="BI1182" s="89"/>
      <c r="BJ1182" s="89"/>
      <c r="BK1182" s="89"/>
      <c r="BL1182" s="89"/>
      <c r="BM1182" s="89"/>
      <c r="BN1182" s="89"/>
      <c r="BO1182" s="89"/>
      <c r="BP1182" s="89"/>
    </row>
    <row r="1183" spans="1:68" s="56" customFormat="1" ht="27" hidden="1">
      <c r="A1183" s="204" t="str">
        <f>+IFERROR(VALUE(MID(AB1183,4,4)),"")</f>
        <v/>
      </c>
      <c r="B1183" s="204">
        <f>VALUE(RIGHT(C1183,LEN(C1183)-2))</f>
        <v>1540</v>
      </c>
      <c r="C1183" s="74" t="s">
        <v>4522</v>
      </c>
      <c r="D1183" s="75">
        <v>44730</v>
      </c>
      <c r="E1183" s="70" t="s">
        <v>255</v>
      </c>
      <c r="F1183" s="70" t="s">
        <v>255</v>
      </c>
      <c r="G1183" s="68" t="s">
        <v>4523</v>
      </c>
      <c r="H1183" s="59" t="s">
        <v>4524</v>
      </c>
      <c r="I1183" s="69" t="s">
        <v>4525</v>
      </c>
      <c r="J1183" s="69"/>
      <c r="K1183" s="68" t="s">
        <v>9</v>
      </c>
      <c r="L1183" s="69" t="s">
        <v>123</v>
      </c>
      <c r="M1183" s="71" t="s">
        <v>141</v>
      </c>
      <c r="N1183" s="69" t="e" vm="1">
        <v>#VALUE!</v>
      </c>
      <c r="O1183" s="84">
        <v>44760</v>
      </c>
      <c r="P1183" s="72" t="s">
        <v>228</v>
      </c>
      <c r="Q1183" s="72" t="s">
        <v>259</v>
      </c>
      <c r="R1183" s="162"/>
      <c r="S1183" s="146" t="s">
        <v>4526</v>
      </c>
      <c r="T1183" s="68" t="s">
        <v>155</v>
      </c>
      <c r="U1183" s="87"/>
      <c r="V1183" s="80">
        <v>44735</v>
      </c>
      <c r="W1183" s="73"/>
      <c r="X1183" s="73"/>
      <c r="Y1183" s="83" t="str">
        <f>IF(SUM(W1183:W1183)&gt;0,X1183/SUM(W1183:W1183)*1000000,"N/A")</f>
        <v>N/A</v>
      </c>
      <c r="Z1183" s="80"/>
      <c r="AA1183" s="80"/>
      <c r="AB1183" s="73"/>
      <c r="AC1183" s="153"/>
      <c r="AD1183" s="331"/>
      <c r="AE1183" s="57"/>
      <c r="AF1183" s="88"/>
      <c r="AG1183" s="182">
        <f>YEAR(D1183)</f>
        <v>2022</v>
      </c>
      <c r="AH1183" s="86" t="str">
        <f>+IF(AE1183=$AJ$22,MONTH(T1183),"")</f>
        <v/>
      </c>
      <c r="AI1183" s="86" t="str">
        <f>+IF(AF1183=$AJ$22,MONTH(U1183),"")</f>
        <v/>
      </c>
      <c r="AJ1183" s="86" t="str">
        <f>+IF(AG1183=$AJ$22,MONTH(V1183),"")</f>
        <v/>
      </c>
      <c r="AK1183" s="86" t="str">
        <f>+IF(AG1183=$AK$22,MONTH(V1183),"")</f>
        <v/>
      </c>
      <c r="AL1183" s="86">
        <f>+IF(AG1183=$AL$22,MONTH(V1183),"")</f>
        <v>6</v>
      </c>
      <c r="AM1183" s="86" t="str">
        <f>+IF($AG1183=$AM$22,MONTH($D1183),"")</f>
        <v/>
      </c>
      <c r="AN1183" s="89" t="str">
        <f>+IF($AG1183=AN$22,MONTH($D1183),"")</f>
        <v/>
      </c>
      <c r="AO1183" s="89" t="str">
        <f>+IF($AG1183=AO$22,MONTH($D1183),"")</f>
        <v/>
      </c>
      <c r="AP1183" s="89" t="str">
        <f>+IF($AG1183=AP$22,MONTH($D1183),"")</f>
        <v/>
      </c>
      <c r="AQ1183" s="89" t="str">
        <f>+IF($AG1183=AQ$22,MONTH($D1183),"")</f>
        <v/>
      </c>
      <c r="AR1183" s="89" t="str">
        <f>+IF($AG1183=AR$22,MONTH($D1183),"")</f>
        <v/>
      </c>
      <c r="AS1183" s="89" t="str">
        <f>+IF($AG1183=AS$22,MONTH($D1183),"")</f>
        <v/>
      </c>
      <c r="AT1183" s="89" t="str">
        <f>+IF($AG1183=AT$22,MONTH($D1183),"")</f>
        <v/>
      </c>
      <c r="AU1183" s="89" t="str">
        <f>+IF($AG1183=AU$22,MONTH($D1183),"")</f>
        <v/>
      </c>
      <c r="AV1183" s="89" t="str">
        <f>+IF($AG1183=AV$22,MONTH($D1183),"")</f>
        <v/>
      </c>
      <c r="AW1183" s="86" t="str">
        <f>+IF($AG1183=AW$22,MONTH($D1183),"")</f>
        <v/>
      </c>
      <c r="AX1183" s="86" t="str">
        <f>+IF($AG1183=AX$22,MONTH($D1183),"")</f>
        <v/>
      </c>
      <c r="AY1183" s="89"/>
      <c r="AZ1183" s="89"/>
      <c r="BA1183" s="89"/>
      <c r="BB1183" s="89"/>
      <c r="BC1183" s="89"/>
      <c r="BD1183" s="89"/>
      <c r="BE1183" s="89"/>
      <c r="BF1183" s="89"/>
      <c r="BG1183" s="89"/>
      <c r="BH1183" s="89"/>
      <c r="BI1183" s="89"/>
      <c r="BJ1183" s="89"/>
      <c r="BK1183" s="89"/>
      <c r="BL1183" s="89"/>
      <c r="BM1183" s="89"/>
      <c r="BN1183" s="89"/>
      <c r="BO1183" s="89"/>
      <c r="BP1183" s="89"/>
    </row>
    <row r="1184" spans="1:68" s="56" customFormat="1" ht="27" hidden="1">
      <c r="A1184" s="204" t="str">
        <f>+IFERROR(VALUE(MID(AB1184,4,4)),"")</f>
        <v/>
      </c>
      <c r="B1184" s="204">
        <f>VALUE(RIGHT(C1184,LEN(C1184)-2))</f>
        <v>1539</v>
      </c>
      <c r="C1184" s="74" t="s">
        <v>4527</v>
      </c>
      <c r="D1184" s="75">
        <v>44730</v>
      </c>
      <c r="E1184" s="70" t="s">
        <v>53</v>
      </c>
      <c r="F1184" s="70" t="s">
        <v>252</v>
      </c>
      <c r="G1184" s="68"/>
      <c r="H1184" s="59"/>
      <c r="I1184" s="69" t="s">
        <v>4528</v>
      </c>
      <c r="J1184" s="69"/>
      <c r="K1184" s="68" t="s">
        <v>275</v>
      </c>
      <c r="L1184" s="69" t="s">
        <v>123</v>
      </c>
      <c r="M1184" s="71" t="s">
        <v>141</v>
      </c>
      <c r="N1184" s="69" t="e" vm="1">
        <v>#VALUE!</v>
      </c>
      <c r="O1184" s="84">
        <v>44784</v>
      </c>
      <c r="P1184" s="72" t="s">
        <v>228</v>
      </c>
      <c r="Q1184" s="72" t="s">
        <v>405</v>
      </c>
      <c r="R1184" s="162"/>
      <c r="S1184" s="146" t="s">
        <v>4526</v>
      </c>
      <c r="T1184" s="68" t="s">
        <v>155</v>
      </c>
      <c r="U1184" s="87"/>
      <c r="V1184" s="80">
        <v>44734</v>
      </c>
      <c r="W1184" s="73"/>
      <c r="X1184" s="73"/>
      <c r="Y1184" s="83" t="str">
        <f>IF(SUM(W1184:W1184)&gt;0,X1184/SUM(W1184:W1184)*1000000,"N/A")</f>
        <v>N/A</v>
      </c>
      <c r="Z1184" s="80"/>
      <c r="AA1184" s="80"/>
      <c r="AB1184" s="73"/>
      <c r="AC1184" s="153"/>
      <c r="AD1184" s="331"/>
      <c r="AE1184" s="57"/>
      <c r="AF1184" s="88"/>
      <c r="AG1184" s="182">
        <f>YEAR(D1184)</f>
        <v>2022</v>
      </c>
      <c r="AH1184" s="86" t="str">
        <f>+IF(AE1184=$AJ$22,MONTH(T1184),"")</f>
        <v/>
      </c>
      <c r="AI1184" s="86" t="str">
        <f>+IF(AF1184=$AJ$22,MONTH(U1184),"")</f>
        <v/>
      </c>
      <c r="AJ1184" s="86" t="str">
        <f>+IF(AG1184=$AJ$22,MONTH(V1184),"")</f>
        <v/>
      </c>
      <c r="AK1184" s="86" t="str">
        <f>+IF(AG1184=$AK$22,MONTH(V1184),"")</f>
        <v/>
      </c>
      <c r="AL1184" s="86">
        <f>+IF(AG1184=$AL$22,MONTH(V1184),"")</f>
        <v>6</v>
      </c>
      <c r="AM1184" s="86" t="str">
        <f>+IF($AG1184=$AM$22,MONTH($D1184),"")</f>
        <v/>
      </c>
      <c r="AN1184" s="89" t="str">
        <f>+IF($AG1184=AN$22,MONTH($D1184),"")</f>
        <v/>
      </c>
      <c r="AO1184" s="89" t="str">
        <f>+IF($AG1184=AO$22,MONTH($D1184),"")</f>
        <v/>
      </c>
      <c r="AP1184" s="89" t="str">
        <f>+IF($AG1184=AP$22,MONTH($D1184),"")</f>
        <v/>
      </c>
      <c r="AQ1184" s="89" t="str">
        <f>+IF($AG1184=AQ$22,MONTH($D1184),"")</f>
        <v/>
      </c>
      <c r="AR1184" s="89" t="str">
        <f>+IF($AG1184=AR$22,MONTH($D1184),"")</f>
        <v/>
      </c>
      <c r="AS1184" s="89" t="str">
        <f>+IF($AG1184=AS$22,MONTH($D1184),"")</f>
        <v/>
      </c>
      <c r="AT1184" s="89" t="str">
        <f>+IF($AG1184=AT$22,MONTH($D1184),"")</f>
        <v/>
      </c>
      <c r="AU1184" s="89" t="str">
        <f>+IF($AG1184=AU$22,MONTH($D1184),"")</f>
        <v/>
      </c>
      <c r="AV1184" s="89" t="str">
        <f>+IF($AG1184=AV$22,MONTH($D1184),"")</f>
        <v/>
      </c>
      <c r="AW1184" s="86" t="str">
        <f>+IF($AG1184=AW$22,MONTH($D1184),"")</f>
        <v/>
      </c>
      <c r="AX1184" s="86" t="str">
        <f>+IF($AG1184=AX$22,MONTH($D1184),"")</f>
        <v/>
      </c>
      <c r="AY1184" s="89"/>
      <c r="AZ1184" s="89"/>
      <c r="BA1184" s="89"/>
      <c r="BB1184" s="89"/>
      <c r="BC1184" s="89"/>
      <c r="BD1184" s="89"/>
      <c r="BE1184" s="89"/>
      <c r="BF1184" s="89"/>
      <c r="BG1184" s="89"/>
      <c r="BH1184" s="89"/>
      <c r="BI1184" s="89"/>
      <c r="BJ1184" s="89"/>
      <c r="BK1184" s="89"/>
      <c r="BL1184" s="89"/>
      <c r="BM1184" s="89"/>
      <c r="BN1184" s="89"/>
      <c r="BO1184" s="89"/>
      <c r="BP1184" s="89"/>
    </row>
    <row r="1185" spans="1:68" s="56" customFormat="1" ht="13.5" hidden="1">
      <c r="A1185" s="204" t="str">
        <f>+IFERROR(VALUE(MID(AB1185,4,4)),"")</f>
        <v/>
      </c>
      <c r="B1185" s="204">
        <f>VALUE(RIGHT(C1185,LEN(C1185)-2))</f>
        <v>1538</v>
      </c>
      <c r="C1185" s="74" t="s">
        <v>4529</v>
      </c>
      <c r="D1185" s="75">
        <v>44730</v>
      </c>
      <c r="E1185" s="70" t="s">
        <v>53</v>
      </c>
      <c r="F1185" s="70" t="s">
        <v>460</v>
      </c>
      <c r="G1185" s="68"/>
      <c r="H1185" s="59"/>
      <c r="I1185" s="69" t="s">
        <v>4530</v>
      </c>
      <c r="J1185" s="69"/>
      <c r="K1185" s="68" t="s">
        <v>14</v>
      </c>
      <c r="L1185" s="69" t="s">
        <v>123</v>
      </c>
      <c r="M1185" s="71" t="s">
        <v>141</v>
      </c>
      <c r="N1185" s="69" t="e" vm="1">
        <v>#VALUE!</v>
      </c>
      <c r="O1185" s="84">
        <v>44743</v>
      </c>
      <c r="P1185" s="72" t="s">
        <v>228</v>
      </c>
      <c r="Q1185" s="72" t="s">
        <v>229</v>
      </c>
      <c r="R1185" s="162"/>
      <c r="S1185" s="146" t="s">
        <v>838</v>
      </c>
      <c r="T1185" s="68" t="s">
        <v>155</v>
      </c>
      <c r="U1185" s="87"/>
      <c r="V1185" s="80">
        <v>44730</v>
      </c>
      <c r="W1185" s="73"/>
      <c r="X1185" s="73"/>
      <c r="Y1185" s="83" t="str">
        <f>IF(SUM(W1185:W1185)&gt;0,X1185/SUM(W1185:W1185)*1000000,"N/A")</f>
        <v>N/A</v>
      </c>
      <c r="Z1185" s="80"/>
      <c r="AA1185" s="80"/>
      <c r="AB1185" s="73"/>
      <c r="AC1185" s="153"/>
      <c r="AD1185" s="331"/>
      <c r="AE1185" s="57"/>
      <c r="AF1185" s="88"/>
      <c r="AG1185" s="182">
        <f>YEAR(D1185)</f>
        <v>2022</v>
      </c>
      <c r="AH1185" s="86" t="str">
        <f>+IF(AE1185=$AJ$22,MONTH(T1185),"")</f>
        <v/>
      </c>
      <c r="AI1185" s="86" t="str">
        <f>+IF(AF1185=$AJ$22,MONTH(U1185),"")</f>
        <v/>
      </c>
      <c r="AJ1185" s="86" t="str">
        <f>+IF(AG1185=$AJ$22,MONTH(V1185),"")</f>
        <v/>
      </c>
      <c r="AK1185" s="86" t="str">
        <f>+IF(AG1185=$AK$22,MONTH(V1185),"")</f>
        <v/>
      </c>
      <c r="AL1185" s="86">
        <f>+IF(AG1185=$AL$22,MONTH(V1185),"")</f>
        <v>6</v>
      </c>
      <c r="AM1185" s="86" t="str">
        <f>+IF($AG1185=$AM$22,MONTH($D1185),"")</f>
        <v/>
      </c>
      <c r="AN1185" s="89" t="str">
        <f>+IF($AG1185=AN$22,MONTH($D1185),"")</f>
        <v/>
      </c>
      <c r="AO1185" s="89" t="str">
        <f>+IF($AG1185=AO$22,MONTH($D1185),"")</f>
        <v/>
      </c>
      <c r="AP1185" s="89" t="str">
        <f>+IF($AG1185=AP$22,MONTH($D1185),"")</f>
        <v/>
      </c>
      <c r="AQ1185" s="89" t="str">
        <f>+IF($AG1185=AQ$22,MONTH($D1185),"")</f>
        <v/>
      </c>
      <c r="AR1185" s="89" t="str">
        <f>+IF($AG1185=AR$22,MONTH($D1185),"")</f>
        <v/>
      </c>
      <c r="AS1185" s="89" t="str">
        <f>+IF($AG1185=AS$22,MONTH($D1185),"")</f>
        <v/>
      </c>
      <c r="AT1185" s="89" t="str">
        <f>+IF($AG1185=AT$22,MONTH($D1185),"")</f>
        <v/>
      </c>
      <c r="AU1185" s="89" t="str">
        <f>+IF($AG1185=AU$22,MONTH($D1185),"")</f>
        <v/>
      </c>
      <c r="AV1185" s="89" t="str">
        <f>+IF($AG1185=AV$22,MONTH($D1185),"")</f>
        <v/>
      </c>
      <c r="AW1185" s="86" t="str">
        <f>+IF($AG1185=AW$22,MONTH($D1185),"")</f>
        <v/>
      </c>
      <c r="AX1185" s="86" t="str">
        <f>+IF($AG1185=AX$22,MONTH($D1185),"")</f>
        <v/>
      </c>
      <c r="AY1185" s="89"/>
      <c r="AZ1185" s="89"/>
      <c r="BA1185" s="89"/>
      <c r="BB1185" s="89"/>
      <c r="BC1185" s="89"/>
      <c r="BD1185" s="89"/>
      <c r="BE1185" s="89"/>
      <c r="BF1185" s="89"/>
      <c r="BG1185" s="89"/>
      <c r="BH1185" s="89"/>
      <c r="BI1185" s="89"/>
      <c r="BJ1185" s="89"/>
      <c r="BK1185" s="89"/>
      <c r="BL1185" s="89"/>
      <c r="BM1185" s="89"/>
      <c r="BN1185" s="89"/>
      <c r="BO1185" s="89"/>
      <c r="BP1185" s="89"/>
    </row>
    <row r="1186" spans="1:68" s="56" customFormat="1" ht="27" hidden="1">
      <c r="A1186" s="204">
        <f>+IFERROR(VALUE(MID(AB1186,4,4)),"")</f>
        <v>265</v>
      </c>
      <c r="B1186" s="204">
        <f>VALUE(RIGHT(C1186,LEN(C1186)-2))</f>
        <v>1537</v>
      </c>
      <c r="C1186" s="74" t="s">
        <v>4531</v>
      </c>
      <c r="D1186" s="75">
        <v>44728</v>
      </c>
      <c r="E1186" s="70" t="s">
        <v>332</v>
      </c>
      <c r="F1186" s="70" t="s">
        <v>332</v>
      </c>
      <c r="G1186" s="68" t="s">
        <v>4532</v>
      </c>
      <c r="H1186" s="59" t="s">
        <v>4533</v>
      </c>
      <c r="I1186" s="69" t="s">
        <v>4534</v>
      </c>
      <c r="J1186" s="69"/>
      <c r="K1186" s="68" t="s">
        <v>18</v>
      </c>
      <c r="L1186" s="69" t="s">
        <v>129</v>
      </c>
      <c r="M1186" s="71" t="s">
        <v>141</v>
      </c>
      <c r="N1186" s="69" t="e" vm="1">
        <v>#VALUE!</v>
      </c>
      <c r="O1186" s="84">
        <v>44729</v>
      </c>
      <c r="P1186" s="72" t="s">
        <v>402</v>
      </c>
      <c r="Q1186" s="72" t="s">
        <v>229</v>
      </c>
      <c r="R1186" s="162"/>
      <c r="S1186" s="146" t="s">
        <v>4535</v>
      </c>
      <c r="T1186" s="68" t="s">
        <v>3</v>
      </c>
      <c r="U1186" s="87"/>
      <c r="V1186" s="80">
        <v>44764</v>
      </c>
      <c r="W1186" s="73">
        <v>1141</v>
      </c>
      <c r="X1186" s="73">
        <f>1284*30060/1000000</f>
        <v>38.59704</v>
      </c>
      <c r="Y1186" s="83">
        <f>IF(SUM(W1186:W1186)&gt;0,X1186/SUM(W1186:W1186)*1000000,"N/A")</f>
        <v>33827.379491673972</v>
      </c>
      <c r="Z1186" s="80"/>
      <c r="AA1186" s="80"/>
      <c r="AB1186" s="73" t="s">
        <v>3702</v>
      </c>
      <c r="AC1186" s="153"/>
      <c r="AD1186" s="331"/>
      <c r="AE1186" s="57"/>
      <c r="AF1186" s="88"/>
      <c r="AG1186" s="182">
        <f>YEAR(D1186)</f>
        <v>2022</v>
      </c>
      <c r="AH1186" s="86" t="str">
        <f>+IF(AE1186=$AJ$22,MONTH(T1186),"")</f>
        <v/>
      </c>
      <c r="AI1186" s="86" t="str">
        <f>+IF(AF1186=$AJ$22,MONTH(U1186),"")</f>
        <v/>
      </c>
      <c r="AJ1186" s="86" t="str">
        <f>+IF(AG1186=$AJ$22,MONTH(V1186),"")</f>
        <v/>
      </c>
      <c r="AK1186" s="86" t="str">
        <f>+IF(AG1186=$AK$22,MONTH(V1186),"")</f>
        <v/>
      </c>
      <c r="AL1186" s="86">
        <f>+IF(AG1186=$AL$22,MONTH(V1186),"")</f>
        <v>7</v>
      </c>
      <c r="AM1186" s="86" t="str">
        <f>+IF($AG1186=$AM$22,MONTH($D1186),"")</f>
        <v/>
      </c>
      <c r="AN1186" s="89" t="str">
        <f>+IF($AG1186=AN$22,MONTH($D1186),"")</f>
        <v/>
      </c>
      <c r="AO1186" s="89" t="str">
        <f>+IF($AG1186=AO$22,MONTH($D1186),"")</f>
        <v/>
      </c>
      <c r="AP1186" s="89" t="str">
        <f>+IF($AG1186=AP$22,MONTH($D1186),"")</f>
        <v/>
      </c>
      <c r="AQ1186" s="89" t="str">
        <f>+IF($AG1186=AQ$22,MONTH($D1186),"")</f>
        <v/>
      </c>
      <c r="AR1186" s="89" t="str">
        <f>+IF($AG1186=AR$22,MONTH($D1186),"")</f>
        <v/>
      </c>
      <c r="AS1186" s="89" t="str">
        <f>+IF($AG1186=AS$22,MONTH($D1186),"")</f>
        <v/>
      </c>
      <c r="AT1186" s="89" t="str">
        <f>+IF($AG1186=AT$22,MONTH($D1186),"")</f>
        <v/>
      </c>
      <c r="AU1186" s="89" t="str">
        <f>+IF($AG1186=AU$22,MONTH($D1186),"")</f>
        <v/>
      </c>
      <c r="AV1186" s="89" t="str">
        <f>+IF($AG1186=AV$22,MONTH($D1186),"")</f>
        <v/>
      </c>
      <c r="AW1186" s="86" t="str">
        <f>+IF($AG1186=AW$22,MONTH($D1186),"")</f>
        <v/>
      </c>
      <c r="AX1186" s="86" t="str">
        <f>+IF($AG1186=AX$22,MONTH($D1186),"")</f>
        <v/>
      </c>
      <c r="AY1186" s="89"/>
      <c r="AZ1186" s="89"/>
      <c r="BA1186" s="89"/>
      <c r="BB1186" s="89"/>
      <c r="BC1186" s="89"/>
      <c r="BD1186" s="89"/>
      <c r="BE1186" s="89"/>
      <c r="BF1186" s="89"/>
      <c r="BG1186" s="89"/>
      <c r="BH1186" s="89"/>
      <c r="BI1186" s="89"/>
      <c r="BJ1186" s="89"/>
      <c r="BK1186" s="89"/>
      <c r="BL1186" s="89"/>
      <c r="BM1186" s="89"/>
      <c r="BN1186" s="89"/>
      <c r="BO1186" s="89"/>
      <c r="BP1186" s="89"/>
    </row>
    <row r="1187" spans="1:68" s="56" customFormat="1" ht="27" hidden="1">
      <c r="A1187" s="204" t="str">
        <f>+IFERROR(VALUE(MID(AB1187,4,4)),"")</f>
        <v/>
      </c>
      <c r="B1187" s="204">
        <f>VALUE(RIGHT(C1187,LEN(C1187)-2))</f>
        <v>1536</v>
      </c>
      <c r="C1187" s="74" t="s">
        <v>4536</v>
      </c>
      <c r="D1187" s="75">
        <v>44728</v>
      </c>
      <c r="E1187" s="70" t="s">
        <v>394</v>
      </c>
      <c r="F1187" s="70" t="s">
        <v>394</v>
      </c>
      <c r="G1187" s="68" t="s">
        <v>4537</v>
      </c>
      <c r="H1187" s="111" t="s">
        <v>4193</v>
      </c>
      <c r="I1187" s="69" t="s">
        <v>4538</v>
      </c>
      <c r="J1187" s="69"/>
      <c r="K1187" s="95" t="s">
        <v>18</v>
      </c>
      <c r="L1187" s="69" t="s">
        <v>120</v>
      </c>
      <c r="M1187" s="71" t="s">
        <v>141</v>
      </c>
      <c r="N1187" s="69" t="e" vm="1">
        <v>#VALUE!</v>
      </c>
      <c r="O1187" s="84">
        <v>44729</v>
      </c>
      <c r="P1187" s="82" t="s">
        <v>402</v>
      </c>
      <c r="Q1187" s="82" t="s">
        <v>837</v>
      </c>
      <c r="R1187" s="69"/>
      <c r="S1187" s="146" t="s">
        <v>2509</v>
      </c>
      <c r="T1187" s="68" t="s">
        <v>165</v>
      </c>
      <c r="U1187" s="90"/>
      <c r="V1187" s="80">
        <v>44837</v>
      </c>
      <c r="W1187" s="73">
        <v>118</v>
      </c>
      <c r="X1187" s="216">
        <f>248*33100/1000000</f>
        <v>8.2088000000000001</v>
      </c>
      <c r="Y1187" s="83">
        <f>IF(SUM(W1187:W1187)&gt;0,X1187/SUM(W1187:W1187)*1000000,"N/A")</f>
        <v>69566.101694915254</v>
      </c>
      <c r="Z1187" s="80"/>
      <c r="AA1187" s="80"/>
      <c r="AB1187" s="73"/>
      <c r="AC1187" s="217"/>
      <c r="AD1187" s="333"/>
      <c r="AE1187" s="112"/>
      <c r="AF1187" s="88"/>
      <c r="AG1187" s="182">
        <f>YEAR(D1187)</f>
        <v>2022</v>
      </c>
      <c r="AH1187" s="86" t="str">
        <f>+IF(AE1187=$AJ$22,MONTH(T1187),"")</f>
        <v/>
      </c>
      <c r="AI1187" s="86" t="str">
        <f>+IF(AF1187=$AJ$22,MONTH(U1187),"")</f>
        <v/>
      </c>
      <c r="AJ1187" s="86" t="str">
        <f>+IF(AG1187=$AJ$22,MONTH(V1187),"")</f>
        <v/>
      </c>
      <c r="AK1187" s="86" t="str">
        <f>+IF(AG1187=$AK$22,MONTH(V1187),"")</f>
        <v/>
      </c>
      <c r="AL1187" s="86">
        <f>+IF(AG1187=$AL$22,MONTH(V1187),"")</f>
        <v>10</v>
      </c>
      <c r="AM1187" s="86" t="str">
        <f>+IF($AG1187=$AM$22,MONTH($D1187),"")</f>
        <v/>
      </c>
      <c r="AN1187" s="89" t="str">
        <f>+IF($AG1187=AN$22,MONTH($D1187),"")</f>
        <v/>
      </c>
      <c r="AO1187" s="89" t="str">
        <f>+IF($AG1187=AO$22,MONTH($D1187),"")</f>
        <v/>
      </c>
      <c r="AP1187" s="89" t="str">
        <f>+IF($AG1187=AP$22,MONTH($D1187),"")</f>
        <v/>
      </c>
      <c r="AQ1187" s="89" t="str">
        <f>+IF($AG1187=AQ$22,MONTH($D1187),"")</f>
        <v/>
      </c>
      <c r="AR1187" s="89" t="str">
        <f>+IF($AG1187=AR$22,MONTH($D1187),"")</f>
        <v/>
      </c>
      <c r="AS1187" s="89" t="str">
        <f>+IF($AG1187=AS$22,MONTH($D1187),"")</f>
        <v/>
      </c>
      <c r="AT1187" s="89" t="str">
        <f>+IF($AG1187=AT$22,MONTH($D1187),"")</f>
        <v/>
      </c>
      <c r="AU1187" s="89" t="str">
        <f>+IF($AG1187=AU$22,MONTH($D1187),"")</f>
        <v/>
      </c>
      <c r="AV1187" s="89" t="str">
        <f>+IF($AG1187=AV$22,MONTH($D1187),"")</f>
        <v/>
      </c>
      <c r="AW1187" s="86" t="str">
        <f>+IF($AG1187=AW$22,MONTH($D1187),"")</f>
        <v/>
      </c>
      <c r="AX1187" s="86" t="str">
        <f>+IF($AG1187=AX$22,MONTH($D1187),"")</f>
        <v/>
      </c>
      <c r="AY1187" s="89"/>
      <c r="AZ1187" s="89"/>
      <c r="BA1187" s="89"/>
      <c r="BB1187" s="89"/>
      <c r="BC1187" s="89"/>
      <c r="BD1187" s="89"/>
      <c r="BE1187" s="89"/>
      <c r="BF1187" s="89"/>
      <c r="BG1187" s="89"/>
      <c r="BH1187" s="89"/>
      <c r="BI1187" s="89"/>
      <c r="BJ1187" s="89"/>
      <c r="BK1187" s="89"/>
      <c r="BL1187" s="89"/>
      <c r="BM1187" s="89"/>
      <c r="BN1187" s="89"/>
      <c r="BO1187" s="89"/>
      <c r="BP1187" s="89"/>
    </row>
    <row r="1188" spans="1:68" s="56" customFormat="1" ht="27" hidden="1">
      <c r="A1188" s="204" t="str">
        <f>+IFERROR(VALUE(MID(AB1188,4,4)),"")</f>
        <v/>
      </c>
      <c r="B1188" s="204">
        <f>VALUE(RIGHT(C1188,LEN(C1188)-2))</f>
        <v>1535</v>
      </c>
      <c r="C1188" s="74" t="s">
        <v>4539</v>
      </c>
      <c r="D1188" s="75">
        <v>44725</v>
      </c>
      <c r="E1188" s="70" t="s">
        <v>3282</v>
      </c>
      <c r="F1188" s="70" t="s">
        <v>3520</v>
      </c>
      <c r="G1188" s="68" t="s">
        <v>4363</v>
      </c>
      <c r="H1188" s="59" t="s">
        <v>4364</v>
      </c>
      <c r="I1188" s="69" t="s">
        <v>4540</v>
      </c>
      <c r="J1188" s="69"/>
      <c r="K1188" s="95" t="s">
        <v>33</v>
      </c>
      <c r="L1188" s="69" t="s">
        <v>120</v>
      </c>
      <c r="M1188" s="71" t="s">
        <v>113</v>
      </c>
      <c r="N1188" s="69" t="e" vm="9">
        <v>#VALUE!</v>
      </c>
      <c r="O1188" s="84">
        <v>44726</v>
      </c>
      <c r="P1188" s="82" t="s">
        <v>402</v>
      </c>
      <c r="Q1188" s="82" t="s">
        <v>389</v>
      </c>
      <c r="R1188" s="69"/>
      <c r="S1188" s="146" t="s">
        <v>4341</v>
      </c>
      <c r="T1188" s="68" t="s">
        <v>155</v>
      </c>
      <c r="U1188" s="87"/>
      <c r="V1188" s="80">
        <v>44874</v>
      </c>
      <c r="W1188" s="73"/>
      <c r="X1188" s="73"/>
      <c r="Y1188" s="83" t="str">
        <f>IF(SUM(W1188:W1188)&gt;0,X1188/SUM(W1188:W1188)*1000000,"N/A")</f>
        <v>N/A</v>
      </c>
      <c r="Z1188" s="80"/>
      <c r="AA1188" s="80"/>
      <c r="AB1188" s="73"/>
      <c r="AC1188" s="153"/>
      <c r="AD1188" s="331"/>
      <c r="AE1188" s="57"/>
      <c r="AF1188" s="88"/>
      <c r="AG1188" s="182">
        <f>YEAR(D1188)</f>
        <v>2022</v>
      </c>
      <c r="AH1188" s="86" t="str">
        <f>+IF(AE1188=$AJ$22,MONTH(T1188),"")</f>
        <v/>
      </c>
      <c r="AI1188" s="86" t="str">
        <f>+IF(AF1188=$AJ$22,MONTH(U1188),"")</f>
        <v/>
      </c>
      <c r="AJ1188" s="86" t="str">
        <f>+IF(AG1188=$AJ$22,MONTH(V1188),"")</f>
        <v/>
      </c>
      <c r="AK1188" s="86" t="str">
        <f>+IF(AG1188=$AK$22,MONTH(V1188),"")</f>
        <v/>
      </c>
      <c r="AL1188" s="86">
        <f>+IF(AG1188=$AL$22,MONTH(V1188),"")</f>
        <v>11</v>
      </c>
      <c r="AM1188" s="86" t="str">
        <f>+IF($AG1188=$AM$22,MONTH($D1188),"")</f>
        <v/>
      </c>
      <c r="AN1188" s="89" t="str">
        <f>+IF($AG1188=AN$22,MONTH($D1188),"")</f>
        <v/>
      </c>
      <c r="AO1188" s="89" t="str">
        <f>+IF($AG1188=AO$22,MONTH($D1188),"")</f>
        <v/>
      </c>
      <c r="AP1188" s="89" t="str">
        <f>+IF($AG1188=AP$22,MONTH($D1188),"")</f>
        <v/>
      </c>
      <c r="AQ1188" s="89" t="str">
        <f>+IF($AG1188=AQ$22,MONTH($D1188),"")</f>
        <v/>
      </c>
      <c r="AR1188" s="89" t="str">
        <f>+IF($AG1188=AR$22,MONTH($D1188),"")</f>
        <v/>
      </c>
      <c r="AS1188" s="89" t="str">
        <f>+IF($AG1188=AS$22,MONTH($D1188),"")</f>
        <v/>
      </c>
      <c r="AT1188" s="89" t="str">
        <f>+IF($AG1188=AT$22,MONTH($D1188),"")</f>
        <v/>
      </c>
      <c r="AU1188" s="89" t="str">
        <f>+IF($AG1188=AU$22,MONTH($D1188),"")</f>
        <v/>
      </c>
      <c r="AV1188" s="89" t="str">
        <f>+IF($AG1188=AV$22,MONTH($D1188),"")</f>
        <v/>
      </c>
      <c r="AW1188" s="86" t="str">
        <f>+IF($AG1188=AW$22,MONTH($D1188),"")</f>
        <v/>
      </c>
      <c r="AX1188" s="86" t="str">
        <f>+IF($AG1188=AX$22,MONTH($D1188),"")</f>
        <v/>
      </c>
      <c r="AY1188" s="89"/>
      <c r="AZ1188" s="89"/>
      <c r="BA1188" s="89"/>
      <c r="BB1188" s="89"/>
      <c r="BC1188" s="89"/>
      <c r="BD1188" s="89"/>
      <c r="BE1188" s="89"/>
      <c r="BF1188" s="89"/>
      <c r="BG1188" s="89"/>
      <c r="BH1188" s="89"/>
      <c r="BI1188" s="89"/>
      <c r="BJ1188" s="89"/>
      <c r="BK1188" s="89"/>
      <c r="BL1188" s="89"/>
      <c r="BM1188" s="89"/>
      <c r="BN1188" s="89"/>
      <c r="BO1188" s="89"/>
      <c r="BP1188" s="89"/>
    </row>
    <row r="1189" spans="1:68" s="56" customFormat="1" ht="27" hidden="1">
      <c r="A1189" s="204" t="str">
        <f>+IFERROR(VALUE(MID(AB1189,4,4)),"")</f>
        <v/>
      </c>
      <c r="B1189" s="204">
        <f>VALUE(RIGHT(C1189,LEN(C1189)-2))</f>
        <v>1534</v>
      </c>
      <c r="C1189" s="74" t="s">
        <v>4541</v>
      </c>
      <c r="D1189" s="75">
        <v>44725</v>
      </c>
      <c r="E1189" s="70" t="s">
        <v>4542</v>
      </c>
      <c r="F1189" s="70" t="s">
        <v>4542</v>
      </c>
      <c r="G1189" s="68" t="s">
        <v>4543</v>
      </c>
      <c r="H1189" s="59" t="s">
        <v>4544</v>
      </c>
      <c r="I1189" s="69" t="s">
        <v>4545</v>
      </c>
      <c r="J1189" s="69"/>
      <c r="K1189" s="95" t="s">
        <v>18</v>
      </c>
      <c r="L1189" s="69" t="s">
        <v>120</v>
      </c>
      <c r="M1189" s="71" t="s">
        <v>141</v>
      </c>
      <c r="N1189" s="69" t="e" vm="1">
        <v>#VALUE!</v>
      </c>
      <c r="O1189" s="84">
        <v>44726</v>
      </c>
      <c r="P1189" s="82" t="s">
        <v>402</v>
      </c>
      <c r="Q1189" s="82" t="s">
        <v>316</v>
      </c>
      <c r="R1189" s="69"/>
      <c r="S1189" s="146" t="s">
        <v>4130</v>
      </c>
      <c r="T1189" s="68" t="s">
        <v>165</v>
      </c>
      <c r="U1189" s="87"/>
      <c r="V1189" s="80">
        <v>44837</v>
      </c>
      <c r="W1189" s="73">
        <v>1582</v>
      </c>
      <c r="X1189" s="73">
        <v>84.7</v>
      </c>
      <c r="Y1189" s="83">
        <f>IF(SUM(W1189:W1189)&gt;0,X1189/SUM(W1189:W1189)*1000000,"N/A")</f>
        <v>53539.823008849562</v>
      </c>
      <c r="Z1189" s="80"/>
      <c r="AA1189" s="80"/>
      <c r="AB1189" s="73"/>
      <c r="AC1189" s="153"/>
      <c r="AD1189" s="331"/>
      <c r="AE1189" s="57"/>
      <c r="AF1189" s="88"/>
      <c r="AG1189" s="182">
        <f>YEAR(D1189)</f>
        <v>2022</v>
      </c>
      <c r="AH1189" s="86" t="str">
        <f>+IF(AE1189=$AJ$22,MONTH(T1189),"")</f>
        <v/>
      </c>
      <c r="AI1189" s="86" t="str">
        <f>+IF(AF1189=$AJ$22,MONTH(U1189),"")</f>
        <v/>
      </c>
      <c r="AJ1189" s="86" t="str">
        <f>+IF(AG1189=$AJ$22,MONTH(V1189),"")</f>
        <v/>
      </c>
      <c r="AK1189" s="86" t="str">
        <f>+IF(AG1189=$AK$22,MONTH(V1189),"")</f>
        <v/>
      </c>
      <c r="AL1189" s="86">
        <f>+IF(AG1189=$AL$22,MONTH(V1189),"")</f>
        <v>10</v>
      </c>
      <c r="AM1189" s="86" t="str">
        <f>+IF($AG1189=$AM$22,MONTH($D1189),"")</f>
        <v/>
      </c>
      <c r="AN1189" s="89" t="str">
        <f>+IF($AG1189=AN$22,MONTH($D1189),"")</f>
        <v/>
      </c>
      <c r="AO1189" s="89" t="str">
        <f>+IF($AG1189=AO$22,MONTH($D1189),"")</f>
        <v/>
      </c>
      <c r="AP1189" s="89" t="str">
        <f>+IF($AG1189=AP$22,MONTH($D1189),"")</f>
        <v/>
      </c>
      <c r="AQ1189" s="89" t="str">
        <f>+IF($AG1189=AQ$22,MONTH($D1189),"")</f>
        <v/>
      </c>
      <c r="AR1189" s="89" t="str">
        <f>+IF($AG1189=AR$22,MONTH($D1189),"")</f>
        <v/>
      </c>
      <c r="AS1189" s="89" t="str">
        <f>+IF($AG1189=AS$22,MONTH($D1189),"")</f>
        <v/>
      </c>
      <c r="AT1189" s="89" t="str">
        <f>+IF($AG1189=AT$22,MONTH($D1189),"")</f>
        <v/>
      </c>
      <c r="AU1189" s="89" t="str">
        <f>+IF($AG1189=AU$22,MONTH($D1189),"")</f>
        <v/>
      </c>
      <c r="AV1189" s="89" t="str">
        <f>+IF($AG1189=AV$22,MONTH($D1189),"")</f>
        <v/>
      </c>
      <c r="AW1189" s="86" t="str">
        <f>+IF($AG1189=AW$22,MONTH($D1189),"")</f>
        <v/>
      </c>
      <c r="AX1189" s="86" t="str">
        <f>+IF($AG1189=AX$22,MONTH($D1189),"")</f>
        <v/>
      </c>
      <c r="AY1189" s="89"/>
      <c r="AZ1189" s="89"/>
      <c r="BA1189" s="89"/>
      <c r="BB1189" s="89"/>
      <c r="BC1189" s="89"/>
      <c r="BD1189" s="89"/>
      <c r="BE1189" s="89"/>
      <c r="BF1189" s="89"/>
      <c r="BG1189" s="89"/>
      <c r="BH1189" s="89"/>
      <c r="BI1189" s="89"/>
      <c r="BJ1189" s="89"/>
      <c r="BK1189" s="89"/>
      <c r="BL1189" s="89"/>
      <c r="BM1189" s="89"/>
      <c r="BN1189" s="89"/>
      <c r="BO1189" s="89"/>
      <c r="BP1189" s="89"/>
    </row>
    <row r="1190" spans="1:68" s="56" customFormat="1" ht="40.5" hidden="1">
      <c r="A1190" s="204" t="str">
        <f>+IFERROR(VALUE(MID(AB1190,4,4)),"")</f>
        <v/>
      </c>
      <c r="B1190" s="204">
        <f>VALUE(RIGHT(C1190,LEN(C1190)-2))</f>
        <v>1533</v>
      </c>
      <c r="C1190" s="74" t="s">
        <v>4546</v>
      </c>
      <c r="D1190" s="75">
        <v>44720</v>
      </c>
      <c r="E1190" s="70" t="s">
        <v>4547</v>
      </c>
      <c r="F1190" s="70" t="s">
        <v>2269</v>
      </c>
      <c r="G1190" s="68" t="s">
        <v>3294</v>
      </c>
      <c r="H1190" s="59" t="s">
        <v>4548</v>
      </c>
      <c r="I1190" s="69" t="s">
        <v>4549</v>
      </c>
      <c r="J1190" s="69"/>
      <c r="K1190" s="95" t="s">
        <v>13</v>
      </c>
      <c r="L1190" s="69" t="s">
        <v>120</v>
      </c>
      <c r="M1190" s="71" t="s">
        <v>141</v>
      </c>
      <c r="N1190" s="69" t="e" vm="1">
        <v>#VALUE!</v>
      </c>
      <c r="O1190" s="84">
        <v>44722</v>
      </c>
      <c r="P1190" s="82" t="s">
        <v>402</v>
      </c>
      <c r="Q1190" s="72" t="s">
        <v>405</v>
      </c>
      <c r="R1190" s="162"/>
      <c r="S1190" s="146" t="s">
        <v>2501</v>
      </c>
      <c r="T1190" s="68" t="s">
        <v>165</v>
      </c>
      <c r="U1190" s="87"/>
      <c r="V1190" s="80">
        <v>44837</v>
      </c>
      <c r="W1190" s="73">
        <v>1947</v>
      </c>
      <c r="X1190" s="73">
        <f>2889*32870/1000000</f>
        <v>94.961429999999993</v>
      </c>
      <c r="Y1190" s="83">
        <f>IF(SUM(W1190:W1190)&gt;0,X1190/SUM(W1190:W1190)*1000000,"N/A")</f>
        <v>48773.204930662556</v>
      </c>
      <c r="Z1190" s="80"/>
      <c r="AA1190" s="80"/>
      <c r="AB1190" s="73"/>
      <c r="AC1190" s="153"/>
      <c r="AD1190" s="331"/>
      <c r="AE1190" s="57"/>
      <c r="AF1190" s="88"/>
      <c r="AG1190" s="182">
        <f>YEAR(D1190)</f>
        <v>2022</v>
      </c>
      <c r="AH1190" s="86" t="str">
        <f>+IF(AE1190=$AJ$22,MONTH(T1190),"")</f>
        <v/>
      </c>
      <c r="AI1190" s="86" t="str">
        <f>+IF(AF1190=$AJ$22,MONTH(U1190),"")</f>
        <v/>
      </c>
      <c r="AJ1190" s="86" t="str">
        <f>+IF(AG1190=$AJ$22,MONTH(V1190),"")</f>
        <v/>
      </c>
      <c r="AK1190" s="86" t="str">
        <f>+IF(AG1190=$AK$22,MONTH(V1190),"")</f>
        <v/>
      </c>
      <c r="AL1190" s="86">
        <f>+IF(AG1190=$AL$22,MONTH(V1190),"")</f>
        <v>10</v>
      </c>
      <c r="AM1190" s="86" t="str">
        <f>+IF($AG1190=$AM$22,MONTH($D1190),"")</f>
        <v/>
      </c>
      <c r="AN1190" s="89" t="str">
        <f>+IF($AG1190=AN$22,MONTH($D1190),"")</f>
        <v/>
      </c>
      <c r="AO1190" s="89" t="str">
        <f>+IF($AG1190=AO$22,MONTH($D1190),"")</f>
        <v/>
      </c>
      <c r="AP1190" s="89" t="str">
        <f>+IF($AG1190=AP$22,MONTH($D1190),"")</f>
        <v/>
      </c>
      <c r="AQ1190" s="89" t="str">
        <f>+IF($AG1190=AQ$22,MONTH($D1190),"")</f>
        <v/>
      </c>
      <c r="AR1190" s="89" t="str">
        <f>+IF($AG1190=AR$22,MONTH($D1190),"")</f>
        <v/>
      </c>
      <c r="AS1190" s="89" t="str">
        <f>+IF($AG1190=AS$22,MONTH($D1190),"")</f>
        <v/>
      </c>
      <c r="AT1190" s="89" t="str">
        <f>+IF($AG1190=AT$22,MONTH($D1190),"")</f>
        <v/>
      </c>
      <c r="AU1190" s="89" t="str">
        <f>+IF($AG1190=AU$22,MONTH($D1190),"")</f>
        <v/>
      </c>
      <c r="AV1190" s="89" t="str">
        <f>+IF($AG1190=AV$22,MONTH($D1190),"")</f>
        <v/>
      </c>
      <c r="AW1190" s="86" t="str">
        <f>+IF($AG1190=AW$22,MONTH($D1190),"")</f>
        <v/>
      </c>
      <c r="AX1190" s="86" t="str">
        <f>+IF($AG1190=AX$22,MONTH($D1190),"")</f>
        <v/>
      </c>
      <c r="AY1190" s="89"/>
      <c r="AZ1190" s="89"/>
      <c r="BA1190" s="89"/>
      <c r="BB1190" s="89"/>
      <c r="BC1190" s="89"/>
      <c r="BD1190" s="89"/>
      <c r="BE1190" s="89"/>
      <c r="BF1190" s="89"/>
      <c r="BG1190" s="89"/>
      <c r="BH1190" s="89"/>
      <c r="BI1190" s="89"/>
      <c r="BJ1190" s="89"/>
      <c r="BK1190" s="89"/>
      <c r="BL1190" s="89"/>
      <c r="BM1190" s="89"/>
      <c r="BN1190" s="89"/>
      <c r="BO1190" s="89"/>
      <c r="BP1190" s="89"/>
    </row>
    <row r="1191" spans="1:68" s="56" customFormat="1" ht="40.5" hidden="1">
      <c r="A1191" s="204" t="str">
        <f>+IFERROR(VALUE(MID(AB1191,4,4)),"")</f>
        <v/>
      </c>
      <c r="B1191" s="204">
        <f>VALUE(RIGHT(C1191,LEN(C1191)-2))</f>
        <v>1532</v>
      </c>
      <c r="C1191" s="74" t="s">
        <v>4550</v>
      </c>
      <c r="D1191" s="75">
        <v>44720</v>
      </c>
      <c r="E1191" s="70" t="s">
        <v>4547</v>
      </c>
      <c r="F1191" s="70" t="s">
        <v>2269</v>
      </c>
      <c r="G1191" s="68" t="s">
        <v>3294</v>
      </c>
      <c r="H1191" s="59" t="s">
        <v>4548</v>
      </c>
      <c r="I1191" s="69" t="s">
        <v>4551</v>
      </c>
      <c r="J1191" s="69"/>
      <c r="K1191" s="95" t="s">
        <v>13</v>
      </c>
      <c r="L1191" s="69" t="s">
        <v>120</v>
      </c>
      <c r="M1191" s="71" t="s">
        <v>141</v>
      </c>
      <c r="N1191" s="69" t="e" vm="1">
        <v>#VALUE!</v>
      </c>
      <c r="O1191" s="84">
        <v>44722</v>
      </c>
      <c r="P1191" s="82" t="s">
        <v>402</v>
      </c>
      <c r="Q1191" s="82" t="s">
        <v>837</v>
      </c>
      <c r="R1191" s="69"/>
      <c r="S1191" s="146" t="s">
        <v>2501</v>
      </c>
      <c r="T1191" s="68" t="s">
        <v>165</v>
      </c>
      <c r="U1191" s="87"/>
      <c r="V1191" s="80">
        <v>44837</v>
      </c>
      <c r="W1191" s="73">
        <v>1984</v>
      </c>
      <c r="X1191" s="73">
        <f>2914*32870/1000000</f>
        <v>95.783180000000002</v>
      </c>
      <c r="Y1191" s="83">
        <f>IF(SUM(W1191:W1191)&gt;0,X1191/SUM(W1191:W1191)*1000000,"N/A")</f>
        <v>48277.8125</v>
      </c>
      <c r="Z1191" s="80"/>
      <c r="AA1191" s="80"/>
      <c r="AB1191" s="73"/>
      <c r="AC1191" s="153"/>
      <c r="AD1191" s="331"/>
      <c r="AE1191" s="57"/>
      <c r="AF1191" s="88"/>
      <c r="AG1191" s="182">
        <f>YEAR(D1191)</f>
        <v>2022</v>
      </c>
      <c r="AH1191" s="86" t="str">
        <f>+IF(AE1191=$AJ$22,MONTH(T1191),"")</f>
        <v/>
      </c>
      <c r="AI1191" s="86" t="str">
        <f>+IF(AF1191=$AJ$22,MONTH(U1191),"")</f>
        <v/>
      </c>
      <c r="AJ1191" s="86" t="str">
        <f>+IF(AG1191=$AJ$22,MONTH(V1191),"")</f>
        <v/>
      </c>
      <c r="AK1191" s="86" t="str">
        <f>+IF(AG1191=$AK$22,MONTH(V1191),"")</f>
        <v/>
      </c>
      <c r="AL1191" s="86">
        <f>+IF(AG1191=$AL$22,MONTH(V1191),"")</f>
        <v>10</v>
      </c>
      <c r="AM1191" s="86" t="str">
        <f>+IF($AG1191=$AM$22,MONTH($D1191),"")</f>
        <v/>
      </c>
      <c r="AN1191" s="89" t="str">
        <f>+IF($AG1191=AN$22,MONTH($D1191),"")</f>
        <v/>
      </c>
      <c r="AO1191" s="89" t="str">
        <f>+IF($AG1191=AO$22,MONTH($D1191),"")</f>
        <v/>
      </c>
      <c r="AP1191" s="89" t="str">
        <f>+IF($AG1191=AP$22,MONTH($D1191),"")</f>
        <v/>
      </c>
      <c r="AQ1191" s="89" t="str">
        <f>+IF($AG1191=AQ$22,MONTH($D1191),"")</f>
        <v/>
      </c>
      <c r="AR1191" s="89" t="str">
        <f>+IF($AG1191=AR$22,MONTH($D1191),"")</f>
        <v/>
      </c>
      <c r="AS1191" s="89" t="str">
        <f>+IF($AG1191=AS$22,MONTH($D1191),"")</f>
        <v/>
      </c>
      <c r="AT1191" s="89" t="str">
        <f>+IF($AG1191=AT$22,MONTH($D1191),"")</f>
        <v/>
      </c>
      <c r="AU1191" s="89" t="str">
        <f>+IF($AG1191=AU$22,MONTH($D1191),"")</f>
        <v/>
      </c>
      <c r="AV1191" s="89" t="str">
        <f>+IF($AG1191=AV$22,MONTH($D1191),"")</f>
        <v/>
      </c>
      <c r="AW1191" s="86" t="str">
        <f>+IF($AG1191=AW$22,MONTH($D1191),"")</f>
        <v/>
      </c>
      <c r="AX1191" s="86" t="str">
        <f>+IF($AG1191=AX$22,MONTH($D1191),"")</f>
        <v/>
      </c>
      <c r="AY1191" s="89"/>
      <c r="AZ1191" s="89"/>
      <c r="BA1191" s="89"/>
      <c r="BB1191" s="89"/>
      <c r="BC1191" s="89"/>
      <c r="BD1191" s="89"/>
      <c r="BE1191" s="89"/>
      <c r="BF1191" s="89"/>
      <c r="BG1191" s="89"/>
      <c r="BH1191" s="89"/>
      <c r="BI1191" s="89"/>
      <c r="BJ1191" s="89"/>
      <c r="BK1191" s="89"/>
      <c r="BL1191" s="89"/>
      <c r="BM1191" s="89"/>
      <c r="BN1191" s="89"/>
      <c r="BO1191" s="89"/>
      <c r="BP1191" s="89"/>
    </row>
    <row r="1192" spans="1:68" s="56" customFormat="1" ht="27" hidden="1">
      <c r="A1192" s="204" t="str">
        <f>+IFERROR(VALUE(MID(AB1192,4,4)),"")</f>
        <v/>
      </c>
      <c r="B1192" s="204">
        <f>VALUE(RIGHT(C1192,LEN(C1192)-2))</f>
        <v>1531</v>
      </c>
      <c r="C1192" s="74" t="s">
        <v>4552</v>
      </c>
      <c r="D1192" s="75">
        <v>44720</v>
      </c>
      <c r="E1192" s="70" t="s">
        <v>4553</v>
      </c>
      <c r="F1192" s="70" t="s">
        <v>4553</v>
      </c>
      <c r="G1192" s="68" t="s">
        <v>774</v>
      </c>
      <c r="H1192" s="59" t="s">
        <v>775</v>
      </c>
      <c r="I1192" s="69" t="s">
        <v>4554</v>
      </c>
      <c r="J1192" s="69"/>
      <c r="K1192" s="68" t="s">
        <v>401</v>
      </c>
      <c r="L1192" s="69" t="s">
        <v>120</v>
      </c>
      <c r="M1192" s="71" t="s">
        <v>141</v>
      </c>
      <c r="N1192" s="69" t="e" vm="1">
        <v>#VALUE!</v>
      </c>
      <c r="O1192" s="84">
        <v>44721</v>
      </c>
      <c r="P1192" s="72" t="s">
        <v>2124</v>
      </c>
      <c r="Q1192" s="72" t="s">
        <v>259</v>
      </c>
      <c r="R1192" s="162"/>
      <c r="S1192" s="146" t="s">
        <v>4188</v>
      </c>
      <c r="T1192" s="68" t="s">
        <v>165</v>
      </c>
      <c r="U1192" s="87"/>
      <c r="V1192" s="80">
        <v>44720</v>
      </c>
      <c r="W1192" s="73">
        <v>445</v>
      </c>
      <c r="X1192" s="73">
        <f>484*32870/1000000</f>
        <v>15.909079999999999</v>
      </c>
      <c r="Y1192" s="83">
        <f>IF(SUM(W1192:W1192)&gt;0,X1192/SUM(W1192:W1192)*1000000,"N/A")</f>
        <v>35750.741573033709</v>
      </c>
      <c r="Z1192" s="80"/>
      <c r="AA1192" s="80"/>
      <c r="AB1192" s="73"/>
      <c r="AC1192" s="153"/>
      <c r="AD1192" s="331"/>
      <c r="AE1192" s="57"/>
      <c r="AF1192" s="88"/>
      <c r="AG1192" s="182">
        <f>YEAR(D1192)</f>
        <v>2022</v>
      </c>
      <c r="AH1192" s="86" t="str">
        <f>+IF(AE1192=$AJ$22,MONTH(T1192),"")</f>
        <v/>
      </c>
      <c r="AI1192" s="86" t="str">
        <f>+IF(AF1192=$AJ$22,MONTH(U1192),"")</f>
        <v/>
      </c>
      <c r="AJ1192" s="86" t="str">
        <f>+IF(AG1192=$AJ$22,MONTH(V1192),"")</f>
        <v/>
      </c>
      <c r="AK1192" s="86" t="str">
        <f>+IF(AG1192=$AK$22,MONTH(V1192),"")</f>
        <v/>
      </c>
      <c r="AL1192" s="86">
        <f>+IF(AG1192=$AL$22,MONTH(V1192),"")</f>
        <v>6</v>
      </c>
      <c r="AM1192" s="86" t="str">
        <f>+IF($AG1192=$AM$22,MONTH($D1192),"")</f>
        <v/>
      </c>
      <c r="AN1192" s="89" t="str">
        <f>+IF($AG1192=AN$22,MONTH($D1192),"")</f>
        <v/>
      </c>
      <c r="AO1192" s="89" t="str">
        <f>+IF($AG1192=AO$22,MONTH($D1192),"")</f>
        <v/>
      </c>
      <c r="AP1192" s="89" t="str">
        <f>+IF($AG1192=AP$22,MONTH($D1192),"")</f>
        <v/>
      </c>
      <c r="AQ1192" s="89" t="str">
        <f>+IF($AG1192=AQ$22,MONTH($D1192),"")</f>
        <v/>
      </c>
      <c r="AR1192" s="89" t="str">
        <f>+IF($AG1192=AR$22,MONTH($D1192),"")</f>
        <v/>
      </c>
      <c r="AS1192" s="89" t="str">
        <f>+IF($AG1192=AS$22,MONTH($D1192),"")</f>
        <v/>
      </c>
      <c r="AT1192" s="89" t="str">
        <f>+IF($AG1192=AT$22,MONTH($D1192),"")</f>
        <v/>
      </c>
      <c r="AU1192" s="89" t="str">
        <f>+IF($AG1192=AU$22,MONTH($D1192),"")</f>
        <v/>
      </c>
      <c r="AV1192" s="89" t="str">
        <f>+IF($AG1192=AV$22,MONTH($D1192),"")</f>
        <v/>
      </c>
      <c r="AW1192" s="86" t="str">
        <f>+IF($AG1192=AW$22,MONTH($D1192),"")</f>
        <v/>
      </c>
      <c r="AX1192" s="86" t="str">
        <f>+IF($AG1192=AX$22,MONTH($D1192),"")</f>
        <v/>
      </c>
      <c r="AY1192" s="89"/>
      <c r="AZ1192" s="89"/>
      <c r="BA1192" s="89"/>
      <c r="BB1192" s="89"/>
      <c r="BC1192" s="89"/>
      <c r="BD1192" s="89"/>
      <c r="BE1192" s="89"/>
      <c r="BF1192" s="89"/>
      <c r="BG1192" s="89"/>
      <c r="BH1192" s="89"/>
      <c r="BI1192" s="89"/>
      <c r="BJ1192" s="89"/>
      <c r="BK1192" s="89"/>
      <c r="BL1192" s="89"/>
      <c r="BM1192" s="89"/>
      <c r="BN1192" s="89"/>
      <c r="BO1192" s="89"/>
      <c r="BP1192" s="89"/>
    </row>
    <row r="1193" spans="1:68" s="56" customFormat="1" ht="67.5" hidden="1">
      <c r="A1193" s="204" t="str">
        <f>+IFERROR(VALUE(MID(AB1193,4,4)),"")</f>
        <v/>
      </c>
      <c r="B1193" s="204">
        <f>VALUE(RIGHT(C1193,LEN(C1193)-2))</f>
        <v>1530</v>
      </c>
      <c r="C1193" s="74" t="s">
        <v>4555</v>
      </c>
      <c r="D1193" s="75">
        <v>44719</v>
      </c>
      <c r="E1193" s="70" t="s">
        <v>394</v>
      </c>
      <c r="F1193" s="70" t="s">
        <v>2269</v>
      </c>
      <c r="G1193" s="68" t="s">
        <v>2270</v>
      </c>
      <c r="H1193" s="59" t="s">
        <v>2271</v>
      </c>
      <c r="I1193" s="69" t="s">
        <v>4556</v>
      </c>
      <c r="J1193" s="69"/>
      <c r="K1193" s="95" t="s">
        <v>777</v>
      </c>
      <c r="L1193" s="69" t="s">
        <v>120</v>
      </c>
      <c r="M1193" s="71" t="s">
        <v>141</v>
      </c>
      <c r="N1193" s="69" t="e" vm="1">
        <v>#VALUE!</v>
      </c>
      <c r="O1193" s="84">
        <v>44720</v>
      </c>
      <c r="P1193" s="82" t="s">
        <v>402</v>
      </c>
      <c r="Q1193" s="82" t="s">
        <v>229</v>
      </c>
      <c r="R1193" s="69"/>
      <c r="S1193" s="146" t="s">
        <v>4557</v>
      </c>
      <c r="T1193" s="68" t="s">
        <v>165</v>
      </c>
      <c r="U1193" s="87"/>
      <c r="V1193" s="80">
        <v>44839</v>
      </c>
      <c r="W1193" s="73">
        <v>177</v>
      </c>
      <c r="X1193" s="73">
        <v>7.3</v>
      </c>
      <c r="Y1193" s="83">
        <f>IF(SUM(W1193:W1193)&gt;0,X1193/SUM(W1193:W1193)*1000000,"N/A")</f>
        <v>41242.937853107345</v>
      </c>
      <c r="Z1193" s="80"/>
      <c r="AA1193" s="80"/>
      <c r="AB1193" s="73"/>
      <c r="AC1193" s="153"/>
      <c r="AD1193" s="331"/>
      <c r="AE1193" s="57"/>
      <c r="AF1193" s="88"/>
      <c r="AG1193" s="182">
        <f>YEAR(D1193)</f>
        <v>2022</v>
      </c>
      <c r="AH1193" s="86" t="str">
        <f>+IF(AE1193=$AJ$22,MONTH(T1193),"")</f>
        <v/>
      </c>
      <c r="AI1193" s="86" t="str">
        <f>+IF(AF1193=$AJ$22,MONTH(U1193),"")</f>
        <v/>
      </c>
      <c r="AJ1193" s="86" t="str">
        <f>+IF(AG1193=$AJ$22,MONTH(V1193),"")</f>
        <v/>
      </c>
      <c r="AK1193" s="86" t="str">
        <f>+IF(AG1193=$AK$22,MONTH(V1193),"")</f>
        <v/>
      </c>
      <c r="AL1193" s="86">
        <f>+IF(AG1193=$AL$22,MONTH(V1193),"")</f>
        <v>10</v>
      </c>
      <c r="AM1193" s="86" t="str">
        <f>+IF($AG1193=$AM$22,MONTH($D1193),"")</f>
        <v/>
      </c>
      <c r="AN1193" s="89" t="str">
        <f>+IF($AG1193=AN$22,MONTH($D1193),"")</f>
        <v/>
      </c>
      <c r="AO1193" s="89" t="str">
        <f>+IF($AG1193=AO$22,MONTH($D1193),"")</f>
        <v/>
      </c>
      <c r="AP1193" s="89" t="str">
        <f>+IF($AG1193=AP$22,MONTH($D1193),"")</f>
        <v/>
      </c>
      <c r="AQ1193" s="89" t="str">
        <f>+IF($AG1193=AQ$22,MONTH($D1193),"")</f>
        <v/>
      </c>
      <c r="AR1193" s="89" t="str">
        <f>+IF($AG1193=AR$22,MONTH($D1193),"")</f>
        <v/>
      </c>
      <c r="AS1193" s="89" t="str">
        <f>+IF($AG1193=AS$22,MONTH($D1193),"")</f>
        <v/>
      </c>
      <c r="AT1193" s="89" t="str">
        <f>+IF($AG1193=AT$22,MONTH($D1193),"")</f>
        <v/>
      </c>
      <c r="AU1193" s="89" t="str">
        <f>+IF($AG1193=AU$22,MONTH($D1193),"")</f>
        <v/>
      </c>
      <c r="AV1193" s="89" t="str">
        <f>+IF($AG1193=AV$22,MONTH($D1193),"")</f>
        <v/>
      </c>
      <c r="AW1193" s="86" t="str">
        <f>+IF($AG1193=AW$22,MONTH($D1193),"")</f>
        <v/>
      </c>
      <c r="AX1193" s="86" t="str">
        <f>+IF($AG1193=AX$22,MONTH($D1193),"")</f>
        <v/>
      </c>
      <c r="AY1193" s="89"/>
      <c r="AZ1193" s="89"/>
      <c r="BA1193" s="89"/>
      <c r="BB1193" s="89"/>
      <c r="BC1193" s="89"/>
      <c r="BD1193" s="89"/>
      <c r="BE1193" s="89"/>
      <c r="BF1193" s="89"/>
      <c r="BG1193" s="89"/>
      <c r="BH1193" s="89"/>
      <c r="BI1193" s="89"/>
      <c r="BJ1193" s="89"/>
      <c r="BK1193" s="89"/>
      <c r="BL1193" s="89"/>
      <c r="BM1193" s="89"/>
      <c r="BN1193" s="89"/>
      <c r="BO1193" s="89"/>
      <c r="BP1193" s="89"/>
    </row>
    <row r="1194" spans="1:68" s="56" customFormat="1" ht="27" hidden="1">
      <c r="A1194" s="204" t="str">
        <f>+IFERROR(VALUE(MID(AB1194,4,4)),"")</f>
        <v/>
      </c>
      <c r="B1194" s="204">
        <f>VALUE(RIGHT(C1194,LEN(C1194)-2))</f>
        <v>1529</v>
      </c>
      <c r="C1194" s="74" t="s">
        <v>4558</v>
      </c>
      <c r="D1194" s="75">
        <v>44719</v>
      </c>
      <c r="E1194" s="70" t="s">
        <v>4559</v>
      </c>
      <c r="F1194" s="70" t="s">
        <v>4560</v>
      </c>
      <c r="G1194" s="68" t="s">
        <v>4559</v>
      </c>
      <c r="H1194" s="59" t="s">
        <v>4561</v>
      </c>
      <c r="I1194" s="69" t="s">
        <v>4562</v>
      </c>
      <c r="J1194" s="69"/>
      <c r="K1194" s="68" t="s">
        <v>13</v>
      </c>
      <c r="L1194" s="69" t="s">
        <v>120</v>
      </c>
      <c r="M1194" s="71" t="s">
        <v>141</v>
      </c>
      <c r="N1194" s="69" t="e" vm="1">
        <v>#VALUE!</v>
      </c>
      <c r="O1194" s="84">
        <v>44719</v>
      </c>
      <c r="P1194" s="72" t="s">
        <v>2124</v>
      </c>
      <c r="Q1194" s="72" t="s">
        <v>259</v>
      </c>
      <c r="R1194" s="162"/>
      <c r="S1194" s="146" t="s">
        <v>2469</v>
      </c>
      <c r="T1194" s="68" t="s">
        <v>165</v>
      </c>
      <c r="U1194" s="87"/>
      <c r="V1194" s="80">
        <v>44867</v>
      </c>
      <c r="W1194" s="73">
        <v>324</v>
      </c>
      <c r="X1194" s="73">
        <f>365*32700/1000000</f>
        <v>11.935499999999999</v>
      </c>
      <c r="Y1194" s="83">
        <f>IF(SUM(W1194:W1194)&gt;0,X1194/SUM(W1194:W1194)*1000000,"N/A")</f>
        <v>36837.962962962964</v>
      </c>
      <c r="Z1194" s="80"/>
      <c r="AA1194" s="80"/>
      <c r="AB1194" s="73"/>
      <c r="AC1194" s="153"/>
      <c r="AD1194" s="331"/>
      <c r="AE1194" s="57"/>
      <c r="AF1194" s="88" t="s">
        <v>4563</v>
      </c>
      <c r="AG1194" s="182">
        <f>YEAR(D1194)</f>
        <v>2022</v>
      </c>
      <c r="AH1194" s="86" t="str">
        <f>+IF(AE1194=$AJ$22,MONTH(T1194),"")</f>
        <v/>
      </c>
      <c r="AI1194" s="86" t="str">
        <f>+IF(AF1194=$AJ$22,MONTH(U1194),"")</f>
        <v/>
      </c>
      <c r="AJ1194" s="86" t="str">
        <f>+IF(AG1194=$AJ$22,MONTH(V1194),"")</f>
        <v/>
      </c>
      <c r="AK1194" s="86" t="str">
        <f>+IF(AG1194=$AK$22,MONTH(V1194),"")</f>
        <v/>
      </c>
      <c r="AL1194" s="86">
        <f>+IF(AG1194=$AL$22,MONTH(V1194),"")</f>
        <v>11</v>
      </c>
      <c r="AM1194" s="86" t="str">
        <f>+IF($AG1194=$AM$22,MONTH($D1194),"")</f>
        <v/>
      </c>
      <c r="AN1194" s="89" t="str">
        <f>+IF($AG1194=AN$22,MONTH($D1194),"")</f>
        <v/>
      </c>
      <c r="AO1194" s="89" t="str">
        <f>+IF($AG1194=AO$22,MONTH($D1194),"")</f>
        <v/>
      </c>
      <c r="AP1194" s="89" t="str">
        <f>+IF($AG1194=AP$22,MONTH($D1194),"")</f>
        <v/>
      </c>
      <c r="AQ1194" s="89" t="str">
        <f>+IF($AG1194=AQ$22,MONTH($D1194),"")</f>
        <v/>
      </c>
      <c r="AR1194" s="89" t="str">
        <f>+IF($AG1194=AR$22,MONTH($D1194),"")</f>
        <v/>
      </c>
      <c r="AS1194" s="89" t="str">
        <f>+IF($AG1194=AS$22,MONTH($D1194),"")</f>
        <v/>
      </c>
      <c r="AT1194" s="89" t="str">
        <f>+IF($AG1194=AT$22,MONTH($D1194),"")</f>
        <v/>
      </c>
      <c r="AU1194" s="89" t="str">
        <f>+IF($AG1194=AU$22,MONTH($D1194),"")</f>
        <v/>
      </c>
      <c r="AV1194" s="89" t="str">
        <f>+IF($AG1194=AV$22,MONTH($D1194),"")</f>
        <v/>
      </c>
      <c r="AW1194" s="86" t="str">
        <f>+IF($AG1194=AW$22,MONTH($D1194),"")</f>
        <v/>
      </c>
      <c r="AX1194" s="86" t="str">
        <f>+IF($AG1194=AX$22,MONTH($D1194),"")</f>
        <v/>
      </c>
      <c r="AY1194" s="89"/>
      <c r="AZ1194" s="89"/>
      <c r="BA1194" s="89"/>
      <c r="BB1194" s="89"/>
      <c r="BC1194" s="89"/>
      <c r="BD1194" s="89"/>
      <c r="BE1194" s="89"/>
      <c r="BF1194" s="89"/>
      <c r="BG1194" s="89"/>
      <c r="BH1194" s="89"/>
      <c r="BI1194" s="89"/>
      <c r="BJ1194" s="89"/>
      <c r="BK1194" s="89"/>
      <c r="BL1194" s="89"/>
      <c r="BM1194" s="89"/>
      <c r="BN1194" s="89"/>
      <c r="BO1194" s="89"/>
      <c r="BP1194" s="89"/>
    </row>
    <row r="1195" spans="1:68" s="56" customFormat="1" ht="13.5" hidden="1">
      <c r="A1195" s="204">
        <f>+IFERROR(VALUE(MID(AB1195,4,4)),"")</f>
        <v>305</v>
      </c>
      <c r="B1195" s="204">
        <f>VALUE(RIGHT(C1195,LEN(C1195)-2))</f>
        <v>1528</v>
      </c>
      <c r="C1195" s="74" t="s">
        <v>4564</v>
      </c>
      <c r="D1195" s="75">
        <v>44715</v>
      </c>
      <c r="E1195" s="70" t="s">
        <v>4565</v>
      </c>
      <c r="F1195" s="70" t="s">
        <v>853</v>
      </c>
      <c r="G1195" s="68" t="s">
        <v>1372</v>
      </c>
      <c r="H1195" s="59" t="s">
        <v>1373</v>
      </c>
      <c r="I1195" s="69" t="s">
        <v>4566</v>
      </c>
      <c r="J1195" s="69"/>
      <c r="K1195" s="68" t="s">
        <v>12</v>
      </c>
      <c r="L1195" s="69" t="s">
        <v>120</v>
      </c>
      <c r="M1195" s="71" t="s">
        <v>141</v>
      </c>
      <c r="N1195" s="69" t="e" vm="1">
        <v>#VALUE!</v>
      </c>
      <c r="O1195" s="84">
        <v>44719</v>
      </c>
      <c r="P1195" s="72" t="s">
        <v>4567</v>
      </c>
      <c r="Q1195" s="72" t="s">
        <v>259</v>
      </c>
      <c r="R1195" s="162"/>
      <c r="S1195" s="146"/>
      <c r="T1195" s="68" t="s">
        <v>3</v>
      </c>
      <c r="U1195" s="87"/>
      <c r="V1195" s="80">
        <v>44715</v>
      </c>
      <c r="W1195" s="73">
        <v>483</v>
      </c>
      <c r="X1195" s="214">
        <f>498*32870/1000000</f>
        <v>16.369260000000001</v>
      </c>
      <c r="Y1195" s="83">
        <f>IF(SUM(W1195:W1195)&gt;0,X1195/SUM(W1195:W1195)*1000000,"N/A")</f>
        <v>33890.80745341615</v>
      </c>
      <c r="Z1195" s="80"/>
      <c r="AA1195" s="80"/>
      <c r="AB1195" s="73" t="s">
        <v>4568</v>
      </c>
      <c r="AC1195" s="153"/>
      <c r="AD1195" s="331"/>
      <c r="AE1195" s="57"/>
      <c r="AF1195" s="88"/>
      <c r="AG1195" s="182">
        <f>YEAR(D1195)</f>
        <v>2022</v>
      </c>
      <c r="AH1195" s="86" t="str">
        <f>+IF(AE1195=$AJ$22,MONTH(T1195),"")</f>
        <v/>
      </c>
      <c r="AI1195" s="86" t="str">
        <f>+IF(AF1195=$AJ$22,MONTH(U1195),"")</f>
        <v/>
      </c>
      <c r="AJ1195" s="86" t="str">
        <f>+IF(AG1195=$AJ$22,MONTH(V1195),"")</f>
        <v/>
      </c>
      <c r="AK1195" s="86" t="str">
        <f>+IF(AG1195=$AK$22,MONTH(V1195),"")</f>
        <v/>
      </c>
      <c r="AL1195" s="86">
        <f>+IF(AG1195=$AL$22,MONTH(V1195),"")</f>
        <v>6</v>
      </c>
      <c r="AM1195" s="86" t="str">
        <f>+IF($AG1195=$AM$22,MONTH($D1195),"")</f>
        <v/>
      </c>
      <c r="AN1195" s="89" t="str">
        <f>+IF($AG1195=AN$22,MONTH($D1195),"")</f>
        <v/>
      </c>
      <c r="AO1195" s="89" t="str">
        <f>+IF($AG1195=AO$22,MONTH($D1195),"")</f>
        <v/>
      </c>
      <c r="AP1195" s="89" t="str">
        <f>+IF($AG1195=AP$22,MONTH($D1195),"")</f>
        <v/>
      </c>
      <c r="AQ1195" s="89" t="str">
        <f>+IF($AG1195=AQ$22,MONTH($D1195),"")</f>
        <v/>
      </c>
      <c r="AR1195" s="89" t="str">
        <f>+IF($AG1195=AR$22,MONTH($D1195),"")</f>
        <v/>
      </c>
      <c r="AS1195" s="89" t="str">
        <f>+IF($AG1195=AS$22,MONTH($D1195),"")</f>
        <v/>
      </c>
      <c r="AT1195" s="89" t="str">
        <f>+IF($AG1195=AT$22,MONTH($D1195),"")</f>
        <v/>
      </c>
      <c r="AU1195" s="89" t="str">
        <f>+IF($AG1195=AU$22,MONTH($D1195),"")</f>
        <v/>
      </c>
      <c r="AV1195" s="89" t="str">
        <f>+IF($AG1195=AV$22,MONTH($D1195),"")</f>
        <v/>
      </c>
      <c r="AW1195" s="86" t="str">
        <f>+IF($AG1195=AW$22,MONTH($D1195),"")</f>
        <v/>
      </c>
      <c r="AX1195" s="86" t="str">
        <f>+IF($AG1195=AX$22,MONTH($D1195),"")</f>
        <v/>
      </c>
      <c r="AY1195" s="89"/>
      <c r="AZ1195" s="89"/>
      <c r="BA1195" s="89"/>
      <c r="BB1195" s="89"/>
      <c r="BC1195" s="89"/>
      <c r="BD1195" s="89"/>
      <c r="BE1195" s="89"/>
      <c r="BF1195" s="89"/>
      <c r="BG1195" s="89"/>
      <c r="BH1195" s="89"/>
      <c r="BI1195" s="89"/>
      <c r="BJ1195" s="89"/>
      <c r="BK1195" s="89"/>
      <c r="BL1195" s="89"/>
      <c r="BM1195" s="89"/>
      <c r="BN1195" s="89"/>
      <c r="BO1195" s="89"/>
      <c r="BP1195" s="89"/>
    </row>
    <row r="1196" spans="1:68" s="56" customFormat="1" ht="108" hidden="1">
      <c r="A1196" s="204" t="str">
        <f>+IFERROR(VALUE(MID(AB1196,4,4)),"")</f>
        <v/>
      </c>
      <c r="B1196" s="204">
        <f>VALUE(RIGHT(C1196,LEN(C1196)-2))</f>
        <v>1527</v>
      </c>
      <c r="C1196" s="74" t="s">
        <v>4569</v>
      </c>
      <c r="D1196" s="75">
        <v>44708</v>
      </c>
      <c r="E1196" s="70" t="s">
        <v>53</v>
      </c>
      <c r="F1196" s="70" t="s">
        <v>252</v>
      </c>
      <c r="G1196" s="68"/>
      <c r="H1196" s="59"/>
      <c r="I1196" s="69" t="s">
        <v>4570</v>
      </c>
      <c r="J1196" s="69"/>
      <c r="K1196" s="68" t="s">
        <v>12</v>
      </c>
      <c r="L1196" s="69" t="s">
        <v>123</v>
      </c>
      <c r="M1196" s="71" t="s">
        <v>141</v>
      </c>
      <c r="N1196" s="69" t="e" vm="1">
        <v>#VALUE!</v>
      </c>
      <c r="O1196" s="84">
        <v>44743</v>
      </c>
      <c r="P1196" s="72" t="s">
        <v>4567</v>
      </c>
      <c r="Q1196" s="72" t="s">
        <v>623</v>
      </c>
      <c r="R1196" s="162"/>
      <c r="S1196" s="146" t="s">
        <v>4571</v>
      </c>
      <c r="T1196" s="68" t="s">
        <v>165</v>
      </c>
      <c r="U1196" s="87"/>
      <c r="V1196" s="80">
        <v>44711</v>
      </c>
      <c r="W1196" s="73"/>
      <c r="X1196" s="73"/>
      <c r="Y1196" s="83" t="str">
        <f>IF(SUM(W1196:W1196)&gt;0,X1196/SUM(W1196:W1196)*1000000,"N/A")</f>
        <v>N/A</v>
      </c>
      <c r="Z1196" s="80"/>
      <c r="AA1196" s="80"/>
      <c r="AB1196" s="73"/>
      <c r="AC1196" s="153"/>
      <c r="AD1196" s="331"/>
      <c r="AE1196" s="57"/>
      <c r="AF1196" s="88"/>
      <c r="AG1196" s="182">
        <f>YEAR(D1196)</f>
        <v>2022</v>
      </c>
      <c r="AH1196" s="86" t="str">
        <f>+IF(AE1196=$AJ$22,MONTH(T1196),"")</f>
        <v/>
      </c>
      <c r="AI1196" s="86" t="str">
        <f>+IF(AF1196=$AJ$22,MONTH(U1196),"")</f>
        <v/>
      </c>
      <c r="AJ1196" s="86" t="str">
        <f>+IF(AG1196=$AJ$22,MONTH(V1196),"")</f>
        <v/>
      </c>
      <c r="AK1196" s="86" t="str">
        <f>+IF(AG1196=$AK$22,MONTH(V1196),"")</f>
        <v/>
      </c>
      <c r="AL1196" s="86">
        <f>+IF(AG1196=$AL$22,MONTH(V1196),"")</f>
        <v>5</v>
      </c>
      <c r="AM1196" s="86" t="str">
        <f>+IF($AG1196=$AM$22,MONTH($D1196),"")</f>
        <v/>
      </c>
      <c r="AN1196" s="89" t="str">
        <f>+IF($AG1196=AN$22,MONTH($D1196),"")</f>
        <v/>
      </c>
      <c r="AO1196" s="89" t="str">
        <f>+IF($AG1196=AO$22,MONTH($D1196),"")</f>
        <v/>
      </c>
      <c r="AP1196" s="89" t="str">
        <f>+IF($AG1196=AP$22,MONTH($D1196),"")</f>
        <v/>
      </c>
      <c r="AQ1196" s="89" t="str">
        <f>+IF($AG1196=AQ$22,MONTH($D1196),"")</f>
        <v/>
      </c>
      <c r="AR1196" s="89" t="str">
        <f>+IF($AG1196=AR$22,MONTH($D1196),"")</f>
        <v/>
      </c>
      <c r="AS1196" s="89" t="str">
        <f>+IF($AG1196=AS$22,MONTH($D1196),"")</f>
        <v/>
      </c>
      <c r="AT1196" s="89" t="str">
        <f>+IF($AG1196=AT$22,MONTH($D1196),"")</f>
        <v/>
      </c>
      <c r="AU1196" s="89" t="str">
        <f>+IF($AG1196=AU$22,MONTH($D1196),"")</f>
        <v/>
      </c>
      <c r="AV1196" s="89" t="str">
        <f>+IF($AG1196=AV$22,MONTH($D1196),"")</f>
        <v/>
      </c>
      <c r="AW1196" s="86" t="str">
        <f>+IF($AG1196=AW$22,MONTH($D1196),"")</f>
        <v/>
      </c>
      <c r="AX1196" s="86" t="str">
        <f>+IF($AG1196=AX$22,MONTH($D1196),"")</f>
        <v/>
      </c>
      <c r="AY1196" s="89"/>
      <c r="AZ1196" s="89"/>
      <c r="BA1196" s="89"/>
      <c r="BB1196" s="89"/>
      <c r="BC1196" s="89"/>
      <c r="BD1196" s="89"/>
      <c r="BE1196" s="89"/>
      <c r="BF1196" s="89"/>
      <c r="BG1196" s="89"/>
      <c r="BH1196" s="89"/>
      <c r="BI1196" s="89"/>
      <c r="BJ1196" s="89"/>
      <c r="BK1196" s="89"/>
      <c r="BL1196" s="89"/>
      <c r="BM1196" s="89"/>
      <c r="BN1196" s="89"/>
      <c r="BO1196" s="89"/>
      <c r="BP1196" s="89"/>
    </row>
    <row r="1197" spans="1:68" s="56" customFormat="1" ht="40.5" hidden="1">
      <c r="A1197" s="204" t="str">
        <f>+IFERROR(VALUE(MID(AB1197,4,4)),"")</f>
        <v/>
      </c>
      <c r="B1197" s="204">
        <f>VALUE(RIGHT(C1197,LEN(C1197)-2))</f>
        <v>1526</v>
      </c>
      <c r="C1197" s="74" t="s">
        <v>4572</v>
      </c>
      <c r="D1197" s="75">
        <v>44684</v>
      </c>
      <c r="E1197" s="70" t="s">
        <v>53</v>
      </c>
      <c r="F1197" s="70" t="s">
        <v>252</v>
      </c>
      <c r="G1197" s="68"/>
      <c r="H1197" s="59"/>
      <c r="I1197" s="69" t="s">
        <v>4573</v>
      </c>
      <c r="J1197" s="69"/>
      <c r="K1197" s="68" t="s">
        <v>3389</v>
      </c>
      <c r="L1197" s="69" t="s">
        <v>123</v>
      </c>
      <c r="M1197" s="71" t="s">
        <v>141</v>
      </c>
      <c r="N1197" s="69" t="e" vm="1">
        <v>#VALUE!</v>
      </c>
      <c r="O1197" s="84">
        <v>44743</v>
      </c>
      <c r="P1197" s="72" t="s">
        <v>4574</v>
      </c>
      <c r="Q1197" s="72" t="s">
        <v>259</v>
      </c>
      <c r="R1197" s="162"/>
      <c r="S1197" s="146" t="s">
        <v>4575</v>
      </c>
      <c r="T1197" s="68" t="s">
        <v>155</v>
      </c>
      <c r="U1197" s="87"/>
      <c r="V1197" s="80">
        <v>44711</v>
      </c>
      <c r="W1197" s="73"/>
      <c r="X1197" s="73"/>
      <c r="Y1197" s="83" t="str">
        <f>IF(SUM(W1197:W1197)&gt;0,X1197/SUM(W1197:W1197)*1000000,"N/A")</f>
        <v>N/A</v>
      </c>
      <c r="Z1197" s="80"/>
      <c r="AA1197" s="80"/>
      <c r="AB1197" s="73"/>
      <c r="AC1197" s="153"/>
      <c r="AD1197" s="331"/>
      <c r="AE1197" s="57"/>
      <c r="AF1197" s="88"/>
      <c r="AG1197" s="182">
        <f>YEAR(D1197)</f>
        <v>2022</v>
      </c>
      <c r="AH1197" s="86" t="str">
        <f>+IF(AE1197=$AJ$22,MONTH(T1197),"")</f>
        <v/>
      </c>
      <c r="AI1197" s="86" t="str">
        <f>+IF(AF1197=$AJ$22,MONTH(U1197),"")</f>
        <v/>
      </c>
      <c r="AJ1197" s="86" t="str">
        <f>+IF(AG1197=$AJ$22,MONTH(V1197),"")</f>
        <v/>
      </c>
      <c r="AK1197" s="86" t="str">
        <f>+IF(AG1197=$AK$22,MONTH(V1197),"")</f>
        <v/>
      </c>
      <c r="AL1197" s="86">
        <f>+IF(AG1197=$AL$22,MONTH(V1197),"")</f>
        <v>5</v>
      </c>
      <c r="AM1197" s="86" t="str">
        <f>+IF($AG1197=$AM$22,MONTH($D1197),"")</f>
        <v/>
      </c>
      <c r="AN1197" s="89" t="str">
        <f>+IF($AG1197=AN$22,MONTH($D1197),"")</f>
        <v/>
      </c>
      <c r="AO1197" s="89" t="str">
        <f>+IF($AG1197=AO$22,MONTH($D1197),"")</f>
        <v/>
      </c>
      <c r="AP1197" s="89" t="str">
        <f>+IF($AG1197=AP$22,MONTH($D1197),"")</f>
        <v/>
      </c>
      <c r="AQ1197" s="89" t="str">
        <f>+IF($AG1197=AQ$22,MONTH($D1197),"")</f>
        <v/>
      </c>
      <c r="AR1197" s="89" t="str">
        <f>+IF($AG1197=AR$22,MONTH($D1197),"")</f>
        <v/>
      </c>
      <c r="AS1197" s="89" t="str">
        <f>+IF($AG1197=AS$22,MONTH($D1197),"")</f>
        <v/>
      </c>
      <c r="AT1197" s="89" t="str">
        <f>+IF($AG1197=AT$22,MONTH($D1197),"")</f>
        <v/>
      </c>
      <c r="AU1197" s="89" t="str">
        <f>+IF($AG1197=AU$22,MONTH($D1197),"")</f>
        <v/>
      </c>
      <c r="AV1197" s="89" t="str">
        <f>+IF($AG1197=AV$22,MONTH($D1197),"")</f>
        <v/>
      </c>
      <c r="AW1197" s="86" t="str">
        <f>+IF($AG1197=AW$22,MONTH($D1197),"")</f>
        <v/>
      </c>
      <c r="AX1197" s="86" t="str">
        <f>+IF($AG1197=AX$22,MONTH($D1197),"")</f>
        <v/>
      </c>
      <c r="AY1197" s="89"/>
      <c r="AZ1197" s="89"/>
      <c r="BA1197" s="89"/>
      <c r="BB1197" s="89"/>
      <c r="BC1197" s="89"/>
      <c r="BD1197" s="89"/>
      <c r="BE1197" s="89"/>
      <c r="BF1197" s="89"/>
      <c r="BG1197" s="89"/>
      <c r="BH1197" s="89"/>
      <c r="BI1197" s="89"/>
      <c r="BJ1197" s="89"/>
      <c r="BK1197" s="89"/>
      <c r="BL1197" s="89"/>
      <c r="BM1197" s="89"/>
      <c r="BN1197" s="89"/>
      <c r="BO1197" s="89"/>
      <c r="BP1197" s="89"/>
    </row>
    <row r="1198" spans="1:68" s="56" customFormat="1" ht="81" hidden="1">
      <c r="A1198" s="204" t="str">
        <f>+IFERROR(VALUE(MID(AB1198,4,4)),"")</f>
        <v/>
      </c>
      <c r="B1198" s="204">
        <f>VALUE(RIGHT(C1198,LEN(C1198)-2))</f>
        <v>1525</v>
      </c>
      <c r="C1198" s="74" t="s">
        <v>4576</v>
      </c>
      <c r="D1198" s="75">
        <v>44704</v>
      </c>
      <c r="E1198" s="70" t="s">
        <v>394</v>
      </c>
      <c r="F1198" s="70" t="s">
        <v>2269</v>
      </c>
      <c r="G1198" s="68" t="s">
        <v>2270</v>
      </c>
      <c r="H1198" s="59" t="s">
        <v>2271</v>
      </c>
      <c r="I1198" s="69" t="s">
        <v>4577</v>
      </c>
      <c r="J1198" s="69"/>
      <c r="K1198" s="95" t="s">
        <v>13</v>
      </c>
      <c r="L1198" s="69" t="s">
        <v>120</v>
      </c>
      <c r="M1198" s="71" t="s">
        <v>141</v>
      </c>
      <c r="N1198" s="69" t="e" vm="1">
        <v>#VALUE!</v>
      </c>
      <c r="O1198" s="84">
        <v>44708</v>
      </c>
      <c r="P1198" s="82" t="s">
        <v>402</v>
      </c>
      <c r="Q1198" s="82" t="s">
        <v>623</v>
      </c>
      <c r="R1198" s="69"/>
      <c r="S1198" s="146" t="s">
        <v>4578</v>
      </c>
      <c r="T1198" s="68" t="s">
        <v>165</v>
      </c>
      <c r="U1198" s="87"/>
      <c r="V1198" s="80">
        <v>44839</v>
      </c>
      <c r="W1198" s="73">
        <v>2594</v>
      </c>
      <c r="X1198" s="73">
        <v>94</v>
      </c>
      <c r="Y1198" s="83">
        <f>IF(SUM(W1198:W1198)&gt;0,X1198/SUM(W1198:W1198)*1000000,"N/A")</f>
        <v>36237.471087124133</v>
      </c>
      <c r="Z1198" s="80"/>
      <c r="AA1198" s="80"/>
      <c r="AB1198" s="73"/>
      <c r="AC1198" s="153"/>
      <c r="AD1198" s="331"/>
      <c r="AE1198" s="57"/>
      <c r="AF1198" s="88"/>
      <c r="AG1198" s="182">
        <f>YEAR(D1198)</f>
        <v>2022</v>
      </c>
      <c r="AH1198" s="86" t="str">
        <f>+IF(AE1198=$AJ$22,MONTH(T1198),"")</f>
        <v/>
      </c>
      <c r="AI1198" s="86" t="str">
        <f>+IF(AF1198=$AJ$22,MONTH(U1198),"")</f>
        <v/>
      </c>
      <c r="AJ1198" s="86" t="str">
        <f>+IF(AG1198=$AJ$22,MONTH(V1198),"")</f>
        <v/>
      </c>
      <c r="AK1198" s="86" t="str">
        <f>+IF(AG1198=$AK$22,MONTH(V1198),"")</f>
        <v/>
      </c>
      <c r="AL1198" s="86">
        <f>+IF(AG1198=$AL$22,MONTH(V1198),"")</f>
        <v>10</v>
      </c>
      <c r="AM1198" s="86" t="str">
        <f>+IF($AG1198=$AM$22,MONTH($D1198),"")</f>
        <v/>
      </c>
      <c r="AN1198" s="89" t="str">
        <f>+IF($AG1198=AN$22,MONTH($D1198),"")</f>
        <v/>
      </c>
      <c r="AO1198" s="89" t="str">
        <f>+IF($AG1198=AO$22,MONTH($D1198),"")</f>
        <v/>
      </c>
      <c r="AP1198" s="89" t="str">
        <f>+IF($AG1198=AP$22,MONTH($D1198),"")</f>
        <v/>
      </c>
      <c r="AQ1198" s="89" t="str">
        <f>+IF($AG1198=AQ$22,MONTH($D1198),"")</f>
        <v/>
      </c>
      <c r="AR1198" s="89" t="str">
        <f>+IF($AG1198=AR$22,MONTH($D1198),"")</f>
        <v/>
      </c>
      <c r="AS1198" s="89" t="str">
        <f>+IF($AG1198=AS$22,MONTH($D1198),"")</f>
        <v/>
      </c>
      <c r="AT1198" s="89" t="str">
        <f>+IF($AG1198=AT$22,MONTH($D1198),"")</f>
        <v/>
      </c>
      <c r="AU1198" s="89" t="str">
        <f>+IF($AG1198=AU$22,MONTH($D1198),"")</f>
        <v/>
      </c>
      <c r="AV1198" s="89" t="str">
        <f>+IF($AG1198=AV$22,MONTH($D1198),"")</f>
        <v/>
      </c>
      <c r="AW1198" s="86" t="str">
        <f>+IF($AG1198=AW$22,MONTH($D1198),"")</f>
        <v/>
      </c>
      <c r="AX1198" s="86" t="str">
        <f>+IF($AG1198=AX$22,MONTH($D1198),"")</f>
        <v/>
      </c>
      <c r="AY1198" s="89"/>
      <c r="AZ1198" s="89"/>
      <c r="BA1198" s="89"/>
      <c r="BB1198" s="89"/>
      <c r="BC1198" s="89"/>
      <c r="BD1198" s="89"/>
      <c r="BE1198" s="89"/>
      <c r="BF1198" s="89"/>
      <c r="BG1198" s="89"/>
      <c r="BH1198" s="89"/>
      <c r="BI1198" s="89"/>
      <c r="BJ1198" s="89"/>
      <c r="BK1198" s="89"/>
      <c r="BL1198" s="89"/>
      <c r="BM1198" s="89"/>
      <c r="BN1198" s="89"/>
      <c r="BO1198" s="89"/>
      <c r="BP1198" s="89"/>
    </row>
    <row r="1199" spans="1:68" s="56" customFormat="1" ht="13.5" hidden="1">
      <c r="A1199" s="204" t="str">
        <f>+IFERROR(VALUE(MID(AB1199,4,4)),"")</f>
        <v/>
      </c>
      <c r="B1199" s="204">
        <f>VALUE(RIGHT(C1199,LEN(C1199)-2))</f>
        <v>1524</v>
      </c>
      <c r="C1199" s="74" t="s">
        <v>4579</v>
      </c>
      <c r="D1199" s="75">
        <v>44706</v>
      </c>
      <c r="E1199" s="70" t="s">
        <v>3741</v>
      </c>
      <c r="F1199" s="70" t="s">
        <v>4343</v>
      </c>
      <c r="G1199" s="68" t="s">
        <v>4449</v>
      </c>
      <c r="H1199" s="59"/>
      <c r="I1199" s="69" t="s">
        <v>4580</v>
      </c>
      <c r="J1199" s="69"/>
      <c r="K1199" s="68" t="s">
        <v>777</v>
      </c>
      <c r="L1199" s="69" t="s">
        <v>123</v>
      </c>
      <c r="M1199" s="71" t="s">
        <v>113</v>
      </c>
      <c r="N1199" s="69" t="e" vm="2">
        <v>#VALUE!</v>
      </c>
      <c r="O1199" s="84">
        <v>44713</v>
      </c>
      <c r="P1199" s="72" t="s">
        <v>483</v>
      </c>
      <c r="Q1199" s="72" t="s">
        <v>229</v>
      </c>
      <c r="R1199" s="162"/>
      <c r="S1199" s="146" t="s">
        <v>4188</v>
      </c>
      <c r="T1199" s="68" t="s">
        <v>165</v>
      </c>
      <c r="U1199" s="87">
        <v>0.1</v>
      </c>
      <c r="V1199" s="80">
        <v>44713</v>
      </c>
      <c r="W1199" s="73">
        <v>1019</v>
      </c>
      <c r="X1199" s="73">
        <v>40</v>
      </c>
      <c r="Y1199" s="83">
        <f>IF(SUM(W1199:W1199)&gt;0,X1199/SUM(W1199:W1199)*1000000,"N/A")</f>
        <v>39254.170755642786</v>
      </c>
      <c r="Z1199" s="80"/>
      <c r="AA1199" s="80"/>
      <c r="AB1199" s="73"/>
      <c r="AC1199" s="153"/>
      <c r="AD1199" s="331"/>
      <c r="AE1199" s="57"/>
      <c r="AF1199" s="88"/>
      <c r="AG1199" s="182">
        <f>YEAR(D1199)</f>
        <v>2022</v>
      </c>
      <c r="AH1199" s="86" t="str">
        <f>+IF(AE1199=$AJ$22,MONTH(T1199),"")</f>
        <v/>
      </c>
      <c r="AI1199" s="86" t="str">
        <f>+IF(AF1199=$AJ$22,MONTH(U1199),"")</f>
        <v/>
      </c>
      <c r="AJ1199" s="86" t="str">
        <f>+IF(AG1199=$AJ$22,MONTH(V1199),"")</f>
        <v/>
      </c>
      <c r="AK1199" s="86" t="str">
        <f>+IF(AG1199=$AK$22,MONTH(V1199),"")</f>
        <v/>
      </c>
      <c r="AL1199" s="86">
        <f>+IF(AG1199=$AL$22,MONTH(V1199),"")</f>
        <v>6</v>
      </c>
      <c r="AM1199" s="86" t="str">
        <f>+IF($AG1199=$AM$22,MONTH($D1199),"")</f>
        <v/>
      </c>
      <c r="AN1199" s="89" t="str">
        <f>+IF($AG1199=AN$22,MONTH($D1199),"")</f>
        <v/>
      </c>
      <c r="AO1199" s="89" t="str">
        <f>+IF($AG1199=AO$22,MONTH($D1199),"")</f>
        <v/>
      </c>
      <c r="AP1199" s="89" t="str">
        <f>+IF($AG1199=AP$22,MONTH($D1199),"")</f>
        <v/>
      </c>
      <c r="AQ1199" s="89" t="str">
        <f>+IF($AG1199=AQ$22,MONTH($D1199),"")</f>
        <v/>
      </c>
      <c r="AR1199" s="89" t="str">
        <f>+IF($AG1199=AR$22,MONTH($D1199),"")</f>
        <v/>
      </c>
      <c r="AS1199" s="89" t="str">
        <f>+IF($AG1199=AS$22,MONTH($D1199),"")</f>
        <v/>
      </c>
      <c r="AT1199" s="89" t="str">
        <f>+IF($AG1199=AT$22,MONTH($D1199),"")</f>
        <v/>
      </c>
      <c r="AU1199" s="89" t="str">
        <f>+IF($AG1199=AU$22,MONTH($D1199),"")</f>
        <v/>
      </c>
      <c r="AV1199" s="89" t="str">
        <f>+IF($AG1199=AV$22,MONTH($D1199),"")</f>
        <v/>
      </c>
      <c r="AW1199" s="86" t="str">
        <f>+IF($AG1199=AW$22,MONTH($D1199),"")</f>
        <v/>
      </c>
      <c r="AX1199" s="86" t="str">
        <f>+IF($AG1199=AX$22,MONTH($D1199),"")</f>
        <v/>
      </c>
      <c r="AY1199" s="89"/>
      <c r="AZ1199" s="89"/>
      <c r="BA1199" s="89"/>
      <c r="BB1199" s="89"/>
      <c r="BC1199" s="89"/>
      <c r="BD1199" s="89"/>
      <c r="BE1199" s="89"/>
      <c r="BF1199" s="89"/>
      <c r="BG1199" s="89"/>
      <c r="BH1199" s="89"/>
      <c r="BI1199" s="89"/>
      <c r="BJ1199" s="89"/>
      <c r="BK1199" s="89"/>
      <c r="BL1199" s="89"/>
      <c r="BM1199" s="89"/>
      <c r="BN1199" s="89"/>
      <c r="BO1199" s="89"/>
      <c r="BP1199" s="89"/>
    </row>
    <row r="1200" spans="1:68" s="56" customFormat="1" ht="13.5" hidden="1">
      <c r="A1200" s="204">
        <f>+IFERROR(VALUE(MID(AB1200,4,4)),"")</f>
        <v>249</v>
      </c>
      <c r="B1200" s="204">
        <f>VALUE(RIGHT(C1200,LEN(C1200)-2))</f>
        <v>1523</v>
      </c>
      <c r="C1200" s="74" t="s">
        <v>4581</v>
      </c>
      <c r="D1200" s="75">
        <v>44704</v>
      </c>
      <c r="E1200" s="70" t="s">
        <v>262</v>
      </c>
      <c r="F1200" s="70" t="s">
        <v>270</v>
      </c>
      <c r="G1200" s="68" t="s">
        <v>3446</v>
      </c>
      <c r="H1200" s="59" t="s">
        <v>3447</v>
      </c>
      <c r="I1200" s="69" t="s">
        <v>4582</v>
      </c>
      <c r="J1200" s="69"/>
      <c r="K1200" s="68" t="s">
        <v>401</v>
      </c>
      <c r="L1200" s="69" t="s">
        <v>120</v>
      </c>
      <c r="M1200" s="71" t="s">
        <v>141</v>
      </c>
      <c r="N1200" s="69" t="e" vm="1">
        <v>#VALUE!</v>
      </c>
      <c r="O1200" s="84">
        <v>44708</v>
      </c>
      <c r="P1200" s="72" t="s">
        <v>2852</v>
      </c>
      <c r="Q1200" s="72" t="s">
        <v>623</v>
      </c>
      <c r="R1200" s="162"/>
      <c r="S1200" s="146" t="s">
        <v>4188</v>
      </c>
      <c r="T1200" s="68" t="s">
        <v>3</v>
      </c>
      <c r="U1200" s="87"/>
      <c r="V1200" s="80">
        <v>44749</v>
      </c>
      <c r="W1200" s="73">
        <v>750</v>
      </c>
      <c r="X1200" s="73">
        <v>43</v>
      </c>
      <c r="Y1200" s="169">
        <f>IF(SUM(W1200:W1200)&gt;0,X1200/SUM(W1200:W1200)*1000000,"N/A")</f>
        <v>57333.333333333336</v>
      </c>
      <c r="Z1200" s="80"/>
      <c r="AA1200" s="80"/>
      <c r="AB1200" s="73" t="s">
        <v>3988</v>
      </c>
      <c r="AC1200" s="153"/>
      <c r="AD1200" s="331"/>
      <c r="AE1200" s="57"/>
      <c r="AF1200" s="88"/>
      <c r="AG1200" s="182">
        <f>YEAR(D1200)</f>
        <v>2022</v>
      </c>
      <c r="AH1200" s="86" t="str">
        <f>+IF(AE1200=$AJ$22,MONTH(T1200),"")</f>
        <v/>
      </c>
      <c r="AI1200" s="86" t="str">
        <f>+IF(AF1200=$AJ$22,MONTH(U1200),"")</f>
        <v/>
      </c>
      <c r="AJ1200" s="86" t="str">
        <f>+IF(AG1200=$AJ$22,MONTH(V1200),"")</f>
        <v/>
      </c>
      <c r="AK1200" s="86" t="str">
        <f>+IF(AG1200=$AK$22,MONTH(V1200),"")</f>
        <v/>
      </c>
      <c r="AL1200" s="86">
        <f>+IF(AG1200=$AL$22,MONTH(V1200),"")</f>
        <v>7</v>
      </c>
      <c r="AM1200" s="86" t="str">
        <f>+IF($AG1200=$AM$22,MONTH($D1200),"")</f>
        <v/>
      </c>
      <c r="AN1200" s="89" t="str">
        <f>+IF($AG1200=AN$22,MONTH($D1200),"")</f>
        <v/>
      </c>
      <c r="AO1200" s="89" t="str">
        <f>+IF($AG1200=AO$22,MONTH($D1200),"")</f>
        <v/>
      </c>
      <c r="AP1200" s="89" t="str">
        <f>+IF($AG1200=AP$22,MONTH($D1200),"")</f>
        <v/>
      </c>
      <c r="AQ1200" s="89" t="str">
        <f>+IF($AG1200=AQ$22,MONTH($D1200),"")</f>
        <v/>
      </c>
      <c r="AR1200" s="89" t="str">
        <f>+IF($AG1200=AR$22,MONTH($D1200),"")</f>
        <v/>
      </c>
      <c r="AS1200" s="89" t="str">
        <f>+IF($AG1200=AS$22,MONTH($D1200),"")</f>
        <v/>
      </c>
      <c r="AT1200" s="89" t="str">
        <f>+IF($AG1200=AT$22,MONTH($D1200),"")</f>
        <v/>
      </c>
      <c r="AU1200" s="89" t="str">
        <f>+IF($AG1200=AU$22,MONTH($D1200),"")</f>
        <v/>
      </c>
      <c r="AV1200" s="89" t="str">
        <f>+IF($AG1200=AV$22,MONTH($D1200),"")</f>
        <v/>
      </c>
      <c r="AW1200" s="86" t="str">
        <f>+IF($AG1200=AW$22,MONTH($D1200),"")</f>
        <v/>
      </c>
      <c r="AX1200" s="86" t="str">
        <f>+IF($AG1200=AX$22,MONTH($D1200),"")</f>
        <v/>
      </c>
      <c r="AY1200" s="89"/>
      <c r="AZ1200" s="89"/>
      <c r="BA1200" s="89"/>
      <c r="BB1200" s="89"/>
      <c r="BC1200" s="89"/>
      <c r="BD1200" s="89"/>
      <c r="BE1200" s="89"/>
      <c r="BF1200" s="89"/>
      <c r="BG1200" s="89"/>
      <c r="BH1200" s="89"/>
      <c r="BI1200" s="89"/>
      <c r="BJ1200" s="89"/>
      <c r="BK1200" s="89"/>
      <c r="BL1200" s="89"/>
      <c r="BM1200" s="89"/>
      <c r="BN1200" s="89"/>
      <c r="BO1200" s="89"/>
      <c r="BP1200" s="89"/>
    </row>
    <row r="1201" spans="1:68" s="56" customFormat="1" ht="27" hidden="1">
      <c r="A1201" s="204" t="str">
        <f>+IFERROR(VALUE(MID(AB1201,4,4)),"")</f>
        <v/>
      </c>
      <c r="B1201" s="204">
        <f>VALUE(RIGHT(C1201,LEN(C1201)-2))</f>
        <v>1522</v>
      </c>
      <c r="C1201" s="74" t="s">
        <v>4583</v>
      </c>
      <c r="D1201" s="75">
        <v>44704</v>
      </c>
      <c r="E1201" s="70" t="s">
        <v>4584</v>
      </c>
      <c r="F1201" s="70" t="s">
        <v>395</v>
      </c>
      <c r="G1201" s="68" t="s">
        <v>364</v>
      </c>
      <c r="H1201" s="59"/>
      <c r="I1201" s="69" t="s">
        <v>4585</v>
      </c>
      <c r="J1201" s="69"/>
      <c r="K1201" s="68" t="s">
        <v>12</v>
      </c>
      <c r="L1201" s="69" t="s">
        <v>120</v>
      </c>
      <c r="M1201" s="71" t="s">
        <v>141</v>
      </c>
      <c r="N1201" s="69" t="e" vm="1">
        <v>#VALUE!</v>
      </c>
      <c r="O1201" s="84">
        <v>44705</v>
      </c>
      <c r="P1201" s="72" t="s">
        <v>402</v>
      </c>
      <c r="Q1201" s="72" t="s">
        <v>229</v>
      </c>
      <c r="R1201" s="162"/>
      <c r="S1201" s="146" t="s">
        <v>2513</v>
      </c>
      <c r="T1201" s="68" t="s">
        <v>165</v>
      </c>
      <c r="U1201" s="87"/>
      <c r="V1201" s="80">
        <v>44867</v>
      </c>
      <c r="W1201" s="73">
        <v>830</v>
      </c>
      <c r="X1201" s="73">
        <f>1272*32500/1000000</f>
        <v>41.34</v>
      </c>
      <c r="Y1201" s="83">
        <f>IF(SUM(W1201:W1201)&gt;0,X1201/SUM(W1201:W1201)*1000000,"N/A")</f>
        <v>49807.22891566265</v>
      </c>
      <c r="Z1201" s="80"/>
      <c r="AA1201" s="80"/>
      <c r="AB1201" s="73"/>
      <c r="AC1201" s="153"/>
      <c r="AD1201" s="331"/>
      <c r="AE1201" s="57"/>
      <c r="AF1201" s="88" t="s">
        <v>4586</v>
      </c>
      <c r="AG1201" s="182">
        <f>YEAR(D1201)</f>
        <v>2022</v>
      </c>
      <c r="AH1201" s="86" t="str">
        <f>+IF(AE1201=$AJ$22,MONTH(T1201),"")</f>
        <v/>
      </c>
      <c r="AI1201" s="86" t="str">
        <f>+IF(AF1201=$AJ$22,MONTH(U1201),"")</f>
        <v/>
      </c>
      <c r="AJ1201" s="86" t="str">
        <f>+IF(AG1201=$AJ$22,MONTH(V1201),"")</f>
        <v/>
      </c>
      <c r="AK1201" s="86" t="str">
        <f>+IF(AG1201=$AK$22,MONTH(V1201),"")</f>
        <v/>
      </c>
      <c r="AL1201" s="86">
        <f>+IF(AG1201=$AL$22,MONTH(V1201),"")</f>
        <v>11</v>
      </c>
      <c r="AM1201" s="86" t="str">
        <f>+IF($AG1201=$AM$22,MONTH($D1201),"")</f>
        <v/>
      </c>
      <c r="AN1201" s="89" t="str">
        <f>+IF($AG1201=AN$22,MONTH($D1201),"")</f>
        <v/>
      </c>
      <c r="AO1201" s="89" t="str">
        <f>+IF($AG1201=AO$22,MONTH($D1201),"")</f>
        <v/>
      </c>
      <c r="AP1201" s="89" t="str">
        <f>+IF($AG1201=AP$22,MONTH($D1201),"")</f>
        <v/>
      </c>
      <c r="AQ1201" s="89" t="str">
        <f>+IF($AG1201=AQ$22,MONTH($D1201),"")</f>
        <v/>
      </c>
      <c r="AR1201" s="89" t="str">
        <f>+IF($AG1201=AR$22,MONTH($D1201),"")</f>
        <v/>
      </c>
      <c r="AS1201" s="89" t="str">
        <f>+IF($AG1201=AS$22,MONTH($D1201),"")</f>
        <v/>
      </c>
      <c r="AT1201" s="89" t="str">
        <f>+IF($AG1201=AT$22,MONTH($D1201),"")</f>
        <v/>
      </c>
      <c r="AU1201" s="89" t="str">
        <f>+IF($AG1201=AU$22,MONTH($D1201),"")</f>
        <v/>
      </c>
      <c r="AV1201" s="89" t="str">
        <f>+IF($AG1201=AV$22,MONTH($D1201),"")</f>
        <v/>
      </c>
      <c r="AW1201" s="86" t="str">
        <f>+IF($AG1201=AW$22,MONTH($D1201),"")</f>
        <v/>
      </c>
      <c r="AX1201" s="86" t="str">
        <f>+IF($AG1201=AX$22,MONTH($D1201),"")</f>
        <v/>
      </c>
      <c r="AY1201" s="89"/>
      <c r="AZ1201" s="89"/>
      <c r="BA1201" s="89"/>
      <c r="BB1201" s="89"/>
      <c r="BC1201" s="89"/>
      <c r="BD1201" s="89"/>
      <c r="BE1201" s="89"/>
      <c r="BF1201" s="89"/>
      <c r="BG1201" s="89"/>
      <c r="BH1201" s="89"/>
      <c r="BI1201" s="89"/>
      <c r="BJ1201" s="89"/>
      <c r="BK1201" s="89"/>
      <c r="BL1201" s="89"/>
      <c r="BM1201" s="89"/>
      <c r="BN1201" s="89"/>
      <c r="BO1201" s="89"/>
      <c r="BP1201" s="89"/>
    </row>
    <row r="1202" spans="1:68" s="56" customFormat="1" ht="53.25" hidden="1">
      <c r="A1202" s="204" t="str">
        <f>+IFERROR(VALUE(MID(AB1202,4,4)),"")</f>
        <v/>
      </c>
      <c r="B1202" s="204">
        <f>VALUE(RIGHT(C1202,LEN(C1202)-2))</f>
        <v>1521</v>
      </c>
      <c r="C1202" s="74" t="s">
        <v>4587</v>
      </c>
      <c r="D1202" s="75">
        <v>44696</v>
      </c>
      <c r="E1202" s="70" t="s">
        <v>53</v>
      </c>
      <c r="F1202" s="70" t="s">
        <v>252</v>
      </c>
      <c r="G1202" s="68"/>
      <c r="H1202" s="59"/>
      <c r="I1202" s="69" t="s">
        <v>4588</v>
      </c>
      <c r="J1202" s="69"/>
      <c r="K1202" s="68" t="s">
        <v>212</v>
      </c>
      <c r="L1202" s="69" t="s">
        <v>123</v>
      </c>
      <c r="M1202" s="71" t="s">
        <v>141</v>
      </c>
      <c r="N1202" s="69" t="e" vm="1">
        <v>#VALUE!</v>
      </c>
      <c r="O1202" s="84">
        <v>44750</v>
      </c>
      <c r="P1202" s="72" t="s">
        <v>228</v>
      </c>
      <c r="Q1202" s="72" t="s">
        <v>405</v>
      </c>
      <c r="R1202" s="162"/>
      <c r="S1202" s="146" t="s">
        <v>4209</v>
      </c>
      <c r="T1202" s="68" t="s">
        <v>165</v>
      </c>
      <c r="U1202" s="87"/>
      <c r="V1202" s="80">
        <v>44979</v>
      </c>
      <c r="W1202" s="73">
        <v>1000</v>
      </c>
      <c r="X1202" s="73">
        <v>42</v>
      </c>
      <c r="Y1202" s="83">
        <f>IF(SUM(W1202:W1202)&gt;0,X1202/SUM(W1202:W1202)*1000000,"N/A")</f>
        <v>42000</v>
      </c>
      <c r="Z1202" s="80"/>
      <c r="AA1202" s="80"/>
      <c r="AB1202" s="73"/>
      <c r="AC1202" s="153"/>
      <c r="AD1202" s="331"/>
      <c r="AE1202" s="57"/>
      <c r="AF1202" s="88" t="s">
        <v>4589</v>
      </c>
      <c r="AG1202" s="182">
        <f>YEAR(D1202)</f>
        <v>2022</v>
      </c>
      <c r="AH1202" s="86" t="str">
        <f>+IF(AE1202=$AJ$22,MONTH(T1202),"")</f>
        <v/>
      </c>
      <c r="AI1202" s="86" t="str">
        <f>+IF(AF1202=$AJ$22,MONTH(U1202),"")</f>
        <v/>
      </c>
      <c r="AJ1202" s="86" t="str">
        <f>+IF(AG1202=$AJ$22,MONTH(V1202),"")</f>
        <v/>
      </c>
      <c r="AK1202" s="86" t="str">
        <f>+IF(AG1202=$AK$22,MONTH(V1202),"")</f>
        <v/>
      </c>
      <c r="AL1202" s="86">
        <f>+IF(AG1202=$AL$22,MONTH(V1202),"")</f>
        <v>2</v>
      </c>
      <c r="AM1202" s="86" t="str">
        <f>+IF($AG1202=$AM$22,MONTH($D1202),"")</f>
        <v/>
      </c>
      <c r="AN1202" s="89" t="str">
        <f>+IF($AG1202=AN$22,MONTH($D1202),"")</f>
        <v/>
      </c>
      <c r="AO1202" s="89" t="str">
        <f>+IF($AG1202=AO$22,MONTH($D1202),"")</f>
        <v/>
      </c>
      <c r="AP1202" s="89" t="str">
        <f>+IF($AG1202=AP$22,MONTH($D1202),"")</f>
        <v/>
      </c>
      <c r="AQ1202" s="89" t="str">
        <f>+IF($AG1202=AQ$22,MONTH($D1202),"")</f>
        <v/>
      </c>
      <c r="AR1202" s="89" t="str">
        <f>+IF($AG1202=AR$22,MONTH($D1202),"")</f>
        <v/>
      </c>
      <c r="AS1202" s="89" t="str">
        <f>+IF($AG1202=AS$22,MONTH($D1202),"")</f>
        <v/>
      </c>
      <c r="AT1202" s="89" t="str">
        <f>+IF($AG1202=AT$22,MONTH($D1202),"")</f>
        <v/>
      </c>
      <c r="AU1202" s="89" t="str">
        <f>+IF($AG1202=AU$22,MONTH($D1202),"")</f>
        <v/>
      </c>
      <c r="AV1202" s="89" t="str">
        <f>+IF($AG1202=AV$22,MONTH($D1202),"")</f>
        <v/>
      </c>
      <c r="AW1202" s="86" t="str">
        <f>+IF($AG1202=AW$22,MONTH($D1202),"")</f>
        <v/>
      </c>
      <c r="AX1202" s="86" t="str">
        <f>+IF($AG1202=AX$22,MONTH($D1202),"")</f>
        <v/>
      </c>
      <c r="AY1202" s="89"/>
      <c r="AZ1202" s="89"/>
      <c r="BA1202" s="89"/>
      <c r="BB1202" s="89"/>
      <c r="BC1202" s="89"/>
      <c r="BD1202" s="89"/>
      <c r="BE1202" s="89"/>
      <c r="BF1202" s="89"/>
      <c r="BG1202" s="89"/>
      <c r="BH1202" s="89"/>
      <c r="BI1202" s="89"/>
      <c r="BJ1202" s="89"/>
      <c r="BK1202" s="89"/>
      <c r="BL1202" s="89"/>
      <c r="BM1202" s="89"/>
      <c r="BN1202" s="89"/>
      <c r="BO1202" s="89"/>
      <c r="BP1202" s="89"/>
    </row>
    <row r="1203" spans="1:68" s="56" customFormat="1" ht="27" hidden="1">
      <c r="A1203" s="204" t="str">
        <f>+IFERROR(VALUE(MID(AB1203,4,4)),"")</f>
        <v/>
      </c>
      <c r="B1203" s="204">
        <f>VALUE(RIGHT(C1203,LEN(C1203)-2))</f>
        <v>1520</v>
      </c>
      <c r="C1203" s="74" t="s">
        <v>4590</v>
      </c>
      <c r="D1203" s="75">
        <v>44697</v>
      </c>
      <c r="E1203" s="70" t="s">
        <v>848</v>
      </c>
      <c r="F1203" s="70" t="s">
        <v>848</v>
      </c>
      <c r="G1203" s="68" t="s">
        <v>4591</v>
      </c>
      <c r="H1203" s="59" t="s">
        <v>4592</v>
      </c>
      <c r="I1203" s="69" t="s">
        <v>4593</v>
      </c>
      <c r="J1203" s="69"/>
      <c r="K1203" s="68" t="s">
        <v>90</v>
      </c>
      <c r="L1203" s="69" t="s">
        <v>123</v>
      </c>
      <c r="M1203" s="71" t="s">
        <v>141</v>
      </c>
      <c r="N1203" s="69" t="e" vm="1">
        <v>#VALUE!</v>
      </c>
      <c r="O1203" s="84">
        <v>44711</v>
      </c>
      <c r="P1203" s="72" t="s">
        <v>4134</v>
      </c>
      <c r="Q1203" s="72" t="s">
        <v>275</v>
      </c>
      <c r="R1203" s="162"/>
      <c r="S1203" s="146" t="s">
        <v>4594</v>
      </c>
      <c r="T1203" s="68" t="s">
        <v>165</v>
      </c>
      <c r="U1203" s="87"/>
      <c r="V1203" s="80">
        <v>44700</v>
      </c>
      <c r="W1203" s="73">
        <v>1015</v>
      </c>
      <c r="X1203" s="73">
        <f>1394*32700/1000000</f>
        <v>45.583799999999997</v>
      </c>
      <c r="Y1203" s="83">
        <f>IF(SUM(W1203:W1203)&gt;0,X1203/SUM(W1203:W1203)*1000000,"N/A")</f>
        <v>44910.147783251225</v>
      </c>
      <c r="Z1203" s="80"/>
      <c r="AA1203" s="80"/>
      <c r="AB1203" s="73"/>
      <c r="AC1203" s="153"/>
      <c r="AD1203" s="331"/>
      <c r="AE1203" s="57"/>
      <c r="AF1203" s="88"/>
      <c r="AG1203" s="182">
        <f>YEAR(D1203)</f>
        <v>2022</v>
      </c>
      <c r="AH1203" s="86" t="str">
        <f>+IF(AE1203=$AJ$22,MONTH(T1203),"")</f>
        <v/>
      </c>
      <c r="AI1203" s="86" t="str">
        <f>+IF(AF1203=$AJ$22,MONTH(U1203),"")</f>
        <v/>
      </c>
      <c r="AJ1203" s="86" t="str">
        <f>+IF(AG1203=$AJ$22,MONTH(V1203),"")</f>
        <v/>
      </c>
      <c r="AK1203" s="86" t="str">
        <f>+IF(AG1203=$AK$22,MONTH(V1203),"")</f>
        <v/>
      </c>
      <c r="AL1203" s="86">
        <f>+IF(AG1203=$AL$22,MONTH(V1203),"")</f>
        <v>5</v>
      </c>
      <c r="AM1203" s="86" t="str">
        <f>+IF($AG1203=$AM$22,MONTH($D1203),"")</f>
        <v/>
      </c>
      <c r="AN1203" s="89" t="str">
        <f>+IF($AG1203=AN$22,MONTH($D1203),"")</f>
        <v/>
      </c>
      <c r="AO1203" s="89" t="str">
        <f>+IF($AG1203=AO$22,MONTH($D1203),"")</f>
        <v/>
      </c>
      <c r="AP1203" s="89" t="str">
        <f>+IF($AG1203=AP$22,MONTH($D1203),"")</f>
        <v/>
      </c>
      <c r="AQ1203" s="89" t="str">
        <f>+IF($AG1203=AQ$22,MONTH($D1203),"")</f>
        <v/>
      </c>
      <c r="AR1203" s="89" t="str">
        <f>+IF($AG1203=AR$22,MONTH($D1203),"")</f>
        <v/>
      </c>
      <c r="AS1203" s="89" t="str">
        <f>+IF($AG1203=AS$22,MONTH($D1203),"")</f>
        <v/>
      </c>
      <c r="AT1203" s="89" t="str">
        <f>+IF($AG1203=AT$22,MONTH($D1203),"")</f>
        <v/>
      </c>
      <c r="AU1203" s="89" t="str">
        <f>+IF($AG1203=AU$22,MONTH($D1203),"")</f>
        <v/>
      </c>
      <c r="AV1203" s="89" t="str">
        <f>+IF($AG1203=AV$22,MONTH($D1203),"")</f>
        <v/>
      </c>
      <c r="AW1203" s="86" t="str">
        <f>+IF($AG1203=AW$22,MONTH($D1203),"")</f>
        <v/>
      </c>
      <c r="AX1203" s="86" t="str">
        <f>+IF($AG1203=AX$22,MONTH($D1203),"")</f>
        <v/>
      </c>
      <c r="AY1203" s="89"/>
      <c r="AZ1203" s="89"/>
      <c r="BA1203" s="89"/>
      <c r="BB1203" s="89"/>
      <c r="BC1203" s="89"/>
      <c r="BD1203" s="89"/>
      <c r="BE1203" s="89"/>
      <c r="BF1203" s="89"/>
      <c r="BG1203" s="89"/>
      <c r="BH1203" s="89"/>
      <c r="BI1203" s="89"/>
      <c r="BJ1203" s="89"/>
      <c r="BK1203" s="89"/>
      <c r="BL1203" s="89"/>
      <c r="BM1203" s="89"/>
      <c r="BN1203" s="89"/>
      <c r="BO1203" s="89"/>
      <c r="BP1203" s="89"/>
    </row>
    <row r="1204" spans="1:68" s="56" customFormat="1" ht="53.25" hidden="1">
      <c r="A1204" s="204" t="str">
        <f>+IFERROR(VALUE(MID(AB1204,4,4)),"")</f>
        <v/>
      </c>
      <c r="B1204" s="204">
        <f>VALUE(RIGHT(C1204,LEN(C1204)-2))</f>
        <v>1519</v>
      </c>
      <c r="C1204" s="74" t="s">
        <v>4595</v>
      </c>
      <c r="D1204" s="75">
        <v>44697</v>
      </c>
      <c r="E1204" s="70" t="s">
        <v>3741</v>
      </c>
      <c r="F1204" s="70" t="s">
        <v>4596</v>
      </c>
      <c r="G1204" s="68" t="s">
        <v>3743</v>
      </c>
      <c r="H1204" s="59"/>
      <c r="I1204" s="69" t="s">
        <v>4597</v>
      </c>
      <c r="J1204" s="69"/>
      <c r="K1204" s="68" t="s">
        <v>12</v>
      </c>
      <c r="L1204" s="69" t="s">
        <v>120</v>
      </c>
      <c r="M1204" s="71" t="s">
        <v>113</v>
      </c>
      <c r="N1204" s="69" t="e" vm="2">
        <v>#VALUE!</v>
      </c>
      <c r="O1204" s="84">
        <v>44699</v>
      </c>
      <c r="P1204" s="72" t="s">
        <v>483</v>
      </c>
      <c r="Q1204" s="72" t="s">
        <v>623</v>
      </c>
      <c r="R1204" s="162"/>
      <c r="S1204" s="146" t="s">
        <v>4598</v>
      </c>
      <c r="T1204" s="68" t="s">
        <v>165</v>
      </c>
      <c r="U1204" s="87"/>
      <c r="V1204" s="80">
        <v>44867</v>
      </c>
      <c r="W1204" s="73">
        <v>305</v>
      </c>
      <c r="X1204" s="73">
        <v>11.6</v>
      </c>
      <c r="Y1204" s="83">
        <f>IF(SUM(W1204:W1204)&gt;0,X1204/SUM(W1204:W1204)*1000000,"N/A")</f>
        <v>38032.786885245907</v>
      </c>
      <c r="Z1204" s="80"/>
      <c r="AA1204" s="80"/>
      <c r="AB1204" s="73"/>
      <c r="AC1204" s="153"/>
      <c r="AD1204" s="331"/>
      <c r="AE1204" s="57"/>
      <c r="AF1204" s="88" t="s">
        <v>4452</v>
      </c>
      <c r="AG1204" s="182">
        <f>YEAR(D1204)</f>
        <v>2022</v>
      </c>
      <c r="AH1204" s="86" t="str">
        <f>+IF(AE1204=$AJ$22,MONTH(T1204),"")</f>
        <v/>
      </c>
      <c r="AI1204" s="86" t="str">
        <f>+IF(AF1204=$AJ$22,MONTH(U1204),"")</f>
        <v/>
      </c>
      <c r="AJ1204" s="86" t="str">
        <f>+IF(AG1204=$AJ$22,MONTH(V1204),"")</f>
        <v/>
      </c>
      <c r="AK1204" s="86" t="str">
        <f>+IF(AG1204=$AK$22,MONTH(V1204),"")</f>
        <v/>
      </c>
      <c r="AL1204" s="86">
        <f>+IF(AG1204=$AL$22,MONTH(V1204),"")</f>
        <v>11</v>
      </c>
      <c r="AM1204" s="86" t="str">
        <f>+IF($AG1204=$AM$22,MONTH($D1204),"")</f>
        <v/>
      </c>
      <c r="AN1204" s="89" t="str">
        <f>+IF($AG1204=AN$22,MONTH($D1204),"")</f>
        <v/>
      </c>
      <c r="AO1204" s="89" t="str">
        <f>+IF($AG1204=AO$22,MONTH($D1204),"")</f>
        <v/>
      </c>
      <c r="AP1204" s="89" t="str">
        <f>+IF($AG1204=AP$22,MONTH($D1204),"")</f>
        <v/>
      </c>
      <c r="AQ1204" s="89" t="str">
        <f>+IF($AG1204=AQ$22,MONTH($D1204),"")</f>
        <v/>
      </c>
      <c r="AR1204" s="89" t="str">
        <f>+IF($AG1204=AR$22,MONTH($D1204),"")</f>
        <v/>
      </c>
      <c r="AS1204" s="89" t="str">
        <f>+IF($AG1204=AS$22,MONTH($D1204),"")</f>
        <v/>
      </c>
      <c r="AT1204" s="89" t="str">
        <f>+IF($AG1204=AT$22,MONTH($D1204),"")</f>
        <v/>
      </c>
      <c r="AU1204" s="89" t="str">
        <f>+IF($AG1204=AU$22,MONTH($D1204),"")</f>
        <v/>
      </c>
      <c r="AV1204" s="89" t="str">
        <f>+IF($AG1204=AV$22,MONTH($D1204),"")</f>
        <v/>
      </c>
      <c r="AW1204" s="86" t="str">
        <f>+IF($AG1204=AW$22,MONTH($D1204),"")</f>
        <v/>
      </c>
      <c r="AX1204" s="86" t="str">
        <f>+IF($AG1204=AX$22,MONTH($D1204),"")</f>
        <v/>
      </c>
      <c r="AY1204" s="89"/>
      <c r="AZ1204" s="89"/>
      <c r="BA1204" s="89"/>
      <c r="BB1204" s="89"/>
      <c r="BC1204" s="89"/>
      <c r="BD1204" s="89"/>
      <c r="BE1204" s="89"/>
      <c r="BF1204" s="89"/>
      <c r="BG1204" s="89"/>
      <c r="BH1204" s="89"/>
      <c r="BI1204" s="89"/>
      <c r="BJ1204" s="89"/>
      <c r="BK1204" s="89"/>
      <c r="BL1204" s="89"/>
      <c r="BM1204" s="89"/>
      <c r="BN1204" s="89"/>
      <c r="BO1204" s="89"/>
      <c r="BP1204" s="89"/>
    </row>
    <row r="1205" spans="1:68" s="56" customFormat="1" ht="13.5" hidden="1">
      <c r="A1205" s="204">
        <f>+IFERROR(VALUE(MID(AB1205,4,4)),"")</f>
        <v>302</v>
      </c>
      <c r="B1205" s="204">
        <f>VALUE(RIGHT(C1205,LEN(C1205)-2))</f>
        <v>1518</v>
      </c>
      <c r="C1205" s="74" t="s">
        <v>4599</v>
      </c>
      <c r="D1205" s="75">
        <v>44697</v>
      </c>
      <c r="E1205" s="70" t="s">
        <v>394</v>
      </c>
      <c r="F1205" s="70" t="s">
        <v>394</v>
      </c>
      <c r="G1205" s="68" t="s">
        <v>3726</v>
      </c>
      <c r="H1205" s="59" t="s">
        <v>3727</v>
      </c>
      <c r="I1205" s="69" t="s">
        <v>4600</v>
      </c>
      <c r="J1205" s="69"/>
      <c r="K1205" s="68" t="s">
        <v>9</v>
      </c>
      <c r="L1205" s="69" t="s">
        <v>120</v>
      </c>
      <c r="M1205" s="71" t="s">
        <v>141</v>
      </c>
      <c r="N1205" s="69" t="e" vm="1">
        <v>#VALUE!</v>
      </c>
      <c r="O1205" s="84">
        <v>44698</v>
      </c>
      <c r="P1205" s="72" t="s">
        <v>402</v>
      </c>
      <c r="Q1205" s="72" t="s">
        <v>623</v>
      </c>
      <c r="R1205" s="162"/>
      <c r="S1205" s="146" t="s">
        <v>4601</v>
      </c>
      <c r="T1205" s="68" t="s">
        <v>3</v>
      </c>
      <c r="U1205" s="87"/>
      <c r="V1205" s="80">
        <v>44699</v>
      </c>
      <c r="W1205" s="73">
        <v>70</v>
      </c>
      <c r="X1205" s="73">
        <f>114*32500/1000000</f>
        <v>3.7050000000000001</v>
      </c>
      <c r="Y1205" s="83">
        <f>IF(SUM(W1205:W1205)&gt;0,X1205/SUM(W1205:W1205)*1000000,"N/A")</f>
        <v>52928.571428571428</v>
      </c>
      <c r="Z1205" s="80"/>
      <c r="AA1205" s="80"/>
      <c r="AB1205" s="73" t="s">
        <v>4602</v>
      </c>
      <c r="AC1205" s="153"/>
      <c r="AD1205" s="331"/>
      <c r="AE1205" s="57"/>
      <c r="AF1205" s="88"/>
      <c r="AG1205" s="182">
        <f>YEAR(D1205)</f>
        <v>2022</v>
      </c>
      <c r="AH1205" s="86" t="str">
        <f>+IF(AE1205=$AJ$22,MONTH(T1205),"")</f>
        <v/>
      </c>
      <c r="AI1205" s="86" t="str">
        <f>+IF(AF1205=$AJ$22,MONTH(U1205),"")</f>
        <v/>
      </c>
      <c r="AJ1205" s="86" t="str">
        <f>+IF(AG1205=$AJ$22,MONTH(V1205),"")</f>
        <v/>
      </c>
      <c r="AK1205" s="86" t="str">
        <f>+IF(AG1205=$AK$22,MONTH(V1205),"")</f>
        <v/>
      </c>
      <c r="AL1205" s="86">
        <f>+IF(AG1205=$AL$22,MONTH(V1205),"")</f>
        <v>5</v>
      </c>
      <c r="AM1205" s="86" t="str">
        <f>+IF($AG1205=$AM$22,MONTH($D1205),"")</f>
        <v/>
      </c>
      <c r="AN1205" s="89" t="str">
        <f>+IF($AG1205=AN$22,MONTH($D1205),"")</f>
        <v/>
      </c>
      <c r="AO1205" s="89" t="str">
        <f>+IF($AG1205=AO$22,MONTH($D1205),"")</f>
        <v/>
      </c>
      <c r="AP1205" s="89" t="str">
        <f>+IF($AG1205=AP$22,MONTH($D1205),"")</f>
        <v/>
      </c>
      <c r="AQ1205" s="89" t="str">
        <f>+IF($AG1205=AQ$22,MONTH($D1205),"")</f>
        <v/>
      </c>
      <c r="AR1205" s="89" t="str">
        <f>+IF($AG1205=AR$22,MONTH($D1205),"")</f>
        <v/>
      </c>
      <c r="AS1205" s="89" t="str">
        <f>+IF($AG1205=AS$22,MONTH($D1205),"")</f>
        <v/>
      </c>
      <c r="AT1205" s="89" t="str">
        <f>+IF($AG1205=AT$22,MONTH($D1205),"")</f>
        <v/>
      </c>
      <c r="AU1205" s="89" t="str">
        <f>+IF($AG1205=AU$22,MONTH($D1205),"")</f>
        <v/>
      </c>
      <c r="AV1205" s="89" t="str">
        <f>+IF($AG1205=AV$22,MONTH($D1205),"")</f>
        <v/>
      </c>
      <c r="AW1205" s="86" t="str">
        <f>+IF($AG1205=AW$22,MONTH($D1205),"")</f>
        <v/>
      </c>
      <c r="AX1205" s="86" t="str">
        <f>+IF($AG1205=AX$22,MONTH($D1205),"")</f>
        <v/>
      </c>
      <c r="AY1205" s="89"/>
      <c r="AZ1205" s="89"/>
      <c r="BA1205" s="89"/>
      <c r="BB1205" s="89"/>
      <c r="BC1205" s="89"/>
      <c r="BD1205" s="89"/>
      <c r="BE1205" s="89"/>
      <c r="BF1205" s="89"/>
      <c r="BG1205" s="89"/>
      <c r="BH1205" s="89"/>
      <c r="BI1205" s="89"/>
      <c r="BJ1205" s="89"/>
      <c r="BK1205" s="89"/>
      <c r="BL1205" s="89"/>
      <c r="BM1205" s="89"/>
      <c r="BN1205" s="89"/>
      <c r="BO1205" s="89"/>
      <c r="BP1205" s="89"/>
    </row>
    <row r="1206" spans="1:68" s="56" customFormat="1" ht="13.5" hidden="1">
      <c r="A1206" s="204">
        <f>+IFERROR(VALUE(MID(AB1206,4,4)),"")</f>
        <v>309</v>
      </c>
      <c r="B1206" s="204">
        <f>VALUE(RIGHT(C1206,LEN(C1206)-2))</f>
        <v>1517</v>
      </c>
      <c r="C1206" s="74" t="s">
        <v>4603</v>
      </c>
      <c r="D1206" s="75">
        <v>44693</v>
      </c>
      <c r="E1206" s="70" t="s">
        <v>96</v>
      </c>
      <c r="F1206" s="70" t="s">
        <v>96</v>
      </c>
      <c r="G1206" s="68" t="s">
        <v>4604</v>
      </c>
      <c r="H1206" s="59" t="s">
        <v>4605</v>
      </c>
      <c r="I1206" s="69" t="s">
        <v>4606</v>
      </c>
      <c r="J1206" s="69"/>
      <c r="K1206" s="95" t="s">
        <v>11</v>
      </c>
      <c r="L1206" s="69" t="s">
        <v>123</v>
      </c>
      <c r="M1206" s="71" t="s">
        <v>141</v>
      </c>
      <c r="N1206" s="69" t="e" vm="1">
        <v>#VALUE!</v>
      </c>
      <c r="O1206" s="84">
        <v>44722</v>
      </c>
      <c r="P1206" s="82" t="s">
        <v>402</v>
      </c>
      <c r="Q1206" s="72" t="s">
        <v>316</v>
      </c>
      <c r="R1206" s="162"/>
      <c r="S1206" s="146" t="s">
        <v>4607</v>
      </c>
      <c r="T1206" s="68" t="s">
        <v>3</v>
      </c>
      <c r="U1206" s="87"/>
      <c r="V1206" s="80">
        <v>44772</v>
      </c>
      <c r="W1206" s="73">
        <v>11228</v>
      </c>
      <c r="X1206" s="73">
        <v>391</v>
      </c>
      <c r="Y1206" s="83">
        <f>IF(SUM(W1206:W1206)&gt;0,X1206/SUM(W1206:W1206)*1000000,"N/A")</f>
        <v>34823.655147844678</v>
      </c>
      <c r="Z1206" s="80"/>
      <c r="AA1206" s="80"/>
      <c r="AB1206" s="73" t="s">
        <v>4608</v>
      </c>
      <c r="AC1206" s="153"/>
      <c r="AD1206" s="331"/>
      <c r="AE1206" s="57"/>
      <c r="AF1206" s="88"/>
      <c r="AG1206" s="182">
        <f>YEAR(D1206)</f>
        <v>2022</v>
      </c>
      <c r="AH1206" s="86" t="str">
        <f>+IF(AE1206=$AJ$22,MONTH(T1206),"")</f>
        <v/>
      </c>
      <c r="AI1206" s="86" t="str">
        <f>+IF(AF1206=$AJ$22,MONTH(U1206),"")</f>
        <v/>
      </c>
      <c r="AJ1206" s="86" t="str">
        <f>+IF(AG1206=$AJ$22,MONTH(V1206),"")</f>
        <v/>
      </c>
      <c r="AK1206" s="86" t="str">
        <f>+IF(AG1206=$AK$22,MONTH(V1206),"")</f>
        <v/>
      </c>
      <c r="AL1206" s="86">
        <f>+IF(AG1206=$AL$22,MONTH(V1206),"")</f>
        <v>7</v>
      </c>
      <c r="AM1206" s="86" t="str">
        <f>+IF($AG1206=$AM$22,MONTH($D1206),"")</f>
        <v/>
      </c>
      <c r="AN1206" s="89" t="str">
        <f>+IF($AG1206=AN$22,MONTH($D1206),"")</f>
        <v/>
      </c>
      <c r="AO1206" s="89" t="str">
        <f>+IF($AG1206=AO$22,MONTH($D1206),"")</f>
        <v/>
      </c>
      <c r="AP1206" s="89" t="str">
        <f>+IF($AG1206=AP$22,MONTH($D1206),"")</f>
        <v/>
      </c>
      <c r="AQ1206" s="89" t="str">
        <f>+IF($AG1206=AQ$22,MONTH($D1206),"")</f>
        <v/>
      </c>
      <c r="AR1206" s="89" t="str">
        <f>+IF($AG1206=AR$22,MONTH($D1206),"")</f>
        <v/>
      </c>
      <c r="AS1206" s="89" t="str">
        <f>+IF($AG1206=AS$22,MONTH($D1206),"")</f>
        <v/>
      </c>
      <c r="AT1206" s="89" t="str">
        <f>+IF($AG1206=AT$22,MONTH($D1206),"")</f>
        <v/>
      </c>
      <c r="AU1206" s="89" t="str">
        <f>+IF($AG1206=AU$22,MONTH($D1206),"")</f>
        <v/>
      </c>
      <c r="AV1206" s="89" t="str">
        <f>+IF($AG1206=AV$22,MONTH($D1206),"")</f>
        <v/>
      </c>
      <c r="AW1206" s="86" t="str">
        <f>+IF($AG1206=AW$22,MONTH($D1206),"")</f>
        <v/>
      </c>
      <c r="AX1206" s="86" t="str">
        <f>+IF($AG1206=AX$22,MONTH($D1206),"")</f>
        <v/>
      </c>
      <c r="AY1206" s="89"/>
      <c r="AZ1206" s="89"/>
      <c r="BA1206" s="89"/>
      <c r="BB1206" s="89"/>
      <c r="BC1206" s="89"/>
      <c r="BD1206" s="89"/>
      <c r="BE1206" s="89"/>
      <c r="BF1206" s="89"/>
      <c r="BG1206" s="89"/>
      <c r="BH1206" s="89"/>
      <c r="BI1206" s="89"/>
      <c r="BJ1206" s="89"/>
      <c r="BK1206" s="89"/>
      <c r="BL1206" s="89"/>
      <c r="BM1206" s="89"/>
      <c r="BN1206" s="89"/>
      <c r="BO1206" s="89"/>
      <c r="BP1206" s="89"/>
    </row>
    <row r="1207" spans="1:68" s="56" customFormat="1" ht="13.5" hidden="1">
      <c r="A1207" s="204" t="str">
        <f>+IFERROR(VALUE(MID(AB1207,4,4)),"")</f>
        <v/>
      </c>
      <c r="B1207" s="204">
        <f>VALUE(RIGHT(C1207,LEN(C1207)-2))</f>
        <v>1516</v>
      </c>
      <c r="C1207" s="74" t="s">
        <v>4609</v>
      </c>
      <c r="D1207" s="75">
        <v>44686</v>
      </c>
      <c r="E1207" s="70" t="s">
        <v>685</v>
      </c>
      <c r="F1207" s="70" t="s">
        <v>685</v>
      </c>
      <c r="G1207" s="68" t="s">
        <v>4413</v>
      </c>
      <c r="H1207" s="59" t="s">
        <v>4414</v>
      </c>
      <c r="I1207" s="69" t="s">
        <v>4610</v>
      </c>
      <c r="J1207" s="69"/>
      <c r="K1207" s="68" t="s">
        <v>9</v>
      </c>
      <c r="L1207" s="69" t="s">
        <v>123</v>
      </c>
      <c r="M1207" s="71" t="s">
        <v>141</v>
      </c>
      <c r="N1207" s="69" t="e" vm="1">
        <v>#VALUE!</v>
      </c>
      <c r="O1207" s="84">
        <v>44697</v>
      </c>
      <c r="P1207" s="72" t="s">
        <v>402</v>
      </c>
      <c r="Q1207" s="72" t="s">
        <v>623</v>
      </c>
      <c r="R1207" s="162"/>
      <c r="S1207" s="146"/>
      <c r="T1207" s="68" t="s">
        <v>155</v>
      </c>
      <c r="U1207" s="87"/>
      <c r="V1207" s="80">
        <v>44694</v>
      </c>
      <c r="W1207" s="73"/>
      <c r="X1207" s="73"/>
      <c r="Y1207" s="83" t="str">
        <f>IF(SUM(W1207:W1207)&gt;0,X1207/SUM(W1207:W1207)*1000000,"N/A")</f>
        <v>N/A</v>
      </c>
      <c r="Z1207" s="80"/>
      <c r="AA1207" s="80"/>
      <c r="AB1207" s="73"/>
      <c r="AC1207" s="153"/>
      <c r="AD1207" s="331"/>
      <c r="AE1207" s="57"/>
      <c r="AF1207" s="88"/>
      <c r="AG1207" s="182">
        <f>YEAR(D1207)</f>
        <v>2022</v>
      </c>
      <c r="AH1207" s="86" t="str">
        <f>+IF(AE1207=$AJ$22,MONTH(T1207),"")</f>
        <v/>
      </c>
      <c r="AI1207" s="86" t="str">
        <f>+IF(AF1207=$AJ$22,MONTH(U1207),"")</f>
        <v/>
      </c>
      <c r="AJ1207" s="86" t="str">
        <f>+IF(AG1207=$AJ$22,MONTH(V1207),"")</f>
        <v/>
      </c>
      <c r="AK1207" s="86" t="str">
        <f>+IF(AG1207=$AK$22,MONTH(V1207),"")</f>
        <v/>
      </c>
      <c r="AL1207" s="86">
        <f>+IF(AG1207=$AL$22,MONTH(V1207),"")</f>
        <v>5</v>
      </c>
      <c r="AM1207" s="86" t="str">
        <f>+IF($AG1207=$AM$22,MONTH($D1207),"")</f>
        <v/>
      </c>
      <c r="AN1207" s="89" t="str">
        <f>+IF($AG1207=AN$22,MONTH($D1207),"")</f>
        <v/>
      </c>
      <c r="AO1207" s="89" t="str">
        <f>+IF($AG1207=AO$22,MONTH($D1207),"")</f>
        <v/>
      </c>
      <c r="AP1207" s="89" t="str">
        <f>+IF($AG1207=AP$22,MONTH($D1207),"")</f>
        <v/>
      </c>
      <c r="AQ1207" s="89" t="str">
        <f>+IF($AG1207=AQ$22,MONTH($D1207),"")</f>
        <v/>
      </c>
      <c r="AR1207" s="89" t="str">
        <f>+IF($AG1207=AR$22,MONTH($D1207),"")</f>
        <v/>
      </c>
      <c r="AS1207" s="89" t="str">
        <f>+IF($AG1207=AS$22,MONTH($D1207),"")</f>
        <v/>
      </c>
      <c r="AT1207" s="89" t="str">
        <f>+IF($AG1207=AT$22,MONTH($D1207),"")</f>
        <v/>
      </c>
      <c r="AU1207" s="89" t="str">
        <f>+IF($AG1207=AU$22,MONTH($D1207),"")</f>
        <v/>
      </c>
      <c r="AV1207" s="89" t="str">
        <f>+IF($AG1207=AV$22,MONTH($D1207),"")</f>
        <v/>
      </c>
      <c r="AW1207" s="86" t="str">
        <f>+IF($AG1207=AW$22,MONTH($D1207),"")</f>
        <v/>
      </c>
      <c r="AX1207" s="86" t="str">
        <f>+IF($AG1207=AX$22,MONTH($D1207),"")</f>
        <v/>
      </c>
      <c r="AY1207" s="89"/>
      <c r="AZ1207" s="89"/>
      <c r="BA1207" s="89"/>
      <c r="BB1207" s="89"/>
      <c r="BC1207" s="89"/>
      <c r="BD1207" s="89"/>
      <c r="BE1207" s="89"/>
      <c r="BF1207" s="89"/>
      <c r="BG1207" s="89"/>
      <c r="BH1207" s="89"/>
      <c r="BI1207" s="89"/>
      <c r="BJ1207" s="89"/>
      <c r="BK1207" s="89"/>
      <c r="BL1207" s="89"/>
      <c r="BM1207" s="89"/>
      <c r="BN1207" s="89"/>
      <c r="BO1207" s="89"/>
      <c r="BP1207" s="89"/>
    </row>
    <row r="1208" spans="1:68" s="56" customFormat="1" ht="13.5" hidden="1">
      <c r="A1208" s="204" t="str">
        <f>+IFERROR(VALUE(MID(AB1208,4,4)),"")</f>
        <v/>
      </c>
      <c r="B1208" s="204">
        <f>VALUE(RIGHT(C1208,LEN(C1208)-2))</f>
        <v>1515</v>
      </c>
      <c r="C1208" s="74" t="s">
        <v>4611</v>
      </c>
      <c r="D1208" s="75">
        <v>44691</v>
      </c>
      <c r="E1208" s="70" t="s">
        <v>939</v>
      </c>
      <c r="F1208" s="70" t="s">
        <v>940</v>
      </c>
      <c r="G1208" s="68" t="s">
        <v>4374</v>
      </c>
      <c r="H1208" s="59" t="s">
        <v>4375</v>
      </c>
      <c r="I1208" s="69" t="s">
        <v>2392</v>
      </c>
      <c r="J1208" s="69"/>
      <c r="K1208" s="68" t="s">
        <v>9</v>
      </c>
      <c r="L1208" s="69" t="s">
        <v>123</v>
      </c>
      <c r="M1208" s="71" t="s">
        <v>141</v>
      </c>
      <c r="N1208" s="69" t="e" vm="1">
        <v>#VALUE!</v>
      </c>
      <c r="O1208" s="84">
        <v>44993</v>
      </c>
      <c r="P1208" s="72" t="s">
        <v>749</v>
      </c>
      <c r="Q1208" s="72" t="s">
        <v>229</v>
      </c>
      <c r="R1208" s="162"/>
      <c r="S1208" s="146"/>
      <c r="T1208" s="68" t="s">
        <v>165</v>
      </c>
      <c r="U1208" s="87"/>
      <c r="V1208" s="80">
        <v>44994</v>
      </c>
      <c r="W1208" s="73">
        <v>24788</v>
      </c>
      <c r="X1208" s="73">
        <v>1400</v>
      </c>
      <c r="Y1208" s="83">
        <f>IF(SUM(W1208:W1208)&gt;0,X1208/SUM(W1208:W1208)*1000000,"N/A")</f>
        <v>56478.941423269331</v>
      </c>
      <c r="Z1208" s="80"/>
      <c r="AA1208" s="80"/>
      <c r="AB1208" s="73"/>
      <c r="AC1208" s="153"/>
      <c r="AD1208" s="331"/>
      <c r="AE1208" s="57"/>
      <c r="AF1208" s="88"/>
      <c r="AG1208" s="182">
        <f>YEAR(V1208)</f>
        <v>2023</v>
      </c>
      <c r="AH1208" s="86" t="str">
        <f>+IF(AE1208=$AJ$22,MONTH(T1208),"")</f>
        <v/>
      </c>
      <c r="AI1208" s="86" t="str">
        <f>+IF(AF1208=$AJ$22,MONTH(U1208),"")</f>
        <v/>
      </c>
      <c r="AJ1208" s="86" t="str">
        <f>+IF(AG1208=$AJ$22,MONTH(V1208),"")</f>
        <v/>
      </c>
      <c r="AK1208" s="86">
        <f>+IF(AG1208=$AK$22,MONTH(V1208),"")</f>
        <v>3</v>
      </c>
      <c r="AL1208" s="86" t="str">
        <f>+IF(AG1208=$AL$22,MONTH(V1208),"")</f>
        <v/>
      </c>
      <c r="AM1208" s="86" t="str">
        <f>+IF($AG1208=$AM$22,MONTH($D1208),"")</f>
        <v/>
      </c>
      <c r="AN1208" s="89" t="str">
        <f>+IF($AG1208=AN$22,MONTH($D1208),"")</f>
        <v/>
      </c>
      <c r="AO1208" s="89" t="str">
        <f>+IF($AG1208=AO$22,MONTH($D1208),"")</f>
        <v/>
      </c>
      <c r="AP1208" s="89" t="str">
        <f>+IF($AG1208=AP$22,MONTH($D1208),"")</f>
        <v/>
      </c>
      <c r="AQ1208" s="89" t="str">
        <f>+IF($AG1208=AQ$22,MONTH($D1208),"")</f>
        <v/>
      </c>
      <c r="AR1208" s="89" t="str">
        <f>+IF($AG1208=AR$22,MONTH($D1208),"")</f>
        <v/>
      </c>
      <c r="AS1208" s="89" t="str">
        <f>+IF($AG1208=AS$22,MONTH($D1208),"")</f>
        <v/>
      </c>
      <c r="AT1208" s="89" t="str">
        <f>+IF($AG1208=AT$22,MONTH($D1208),"")</f>
        <v/>
      </c>
      <c r="AU1208" s="89" t="str">
        <f>+IF($AG1208=AU$22,MONTH($D1208),"")</f>
        <v/>
      </c>
      <c r="AV1208" s="89" t="str">
        <f>+IF($AG1208=AV$22,MONTH($D1208),"")</f>
        <v/>
      </c>
      <c r="AW1208" s="86" t="str">
        <f>+IF($AG1208=AW$22,MONTH($D1208),"")</f>
        <v/>
      </c>
      <c r="AX1208" s="86" t="str">
        <f>+IF($AG1208=AX$22,MONTH($D1208),"")</f>
        <v/>
      </c>
      <c r="AY1208" s="89"/>
      <c r="AZ1208" s="89"/>
      <c r="BA1208" s="89"/>
      <c r="BB1208" s="89"/>
      <c r="BC1208" s="89"/>
      <c r="BD1208" s="89"/>
      <c r="BE1208" s="89"/>
      <c r="BF1208" s="89"/>
      <c r="BG1208" s="89"/>
      <c r="BH1208" s="89"/>
      <c r="BI1208" s="89"/>
      <c r="BJ1208" s="89"/>
      <c r="BK1208" s="89"/>
      <c r="BL1208" s="89"/>
      <c r="BM1208" s="89"/>
      <c r="BN1208" s="89"/>
      <c r="BO1208" s="89"/>
      <c r="BP1208" s="89"/>
    </row>
    <row r="1209" spans="1:68" s="56" customFormat="1" ht="27" hidden="1">
      <c r="A1209" s="204" t="str">
        <f>+IFERROR(VALUE(MID(AB1209,4,4)),"")</f>
        <v/>
      </c>
      <c r="B1209" s="204">
        <f>VALUE(RIGHT(C1209,LEN(C1209)-2))</f>
        <v>1514</v>
      </c>
      <c r="C1209" s="74" t="s">
        <v>4612</v>
      </c>
      <c r="D1209" s="75">
        <v>44692</v>
      </c>
      <c r="E1209" s="70" t="s">
        <v>479</v>
      </c>
      <c r="F1209" s="70" t="s">
        <v>479</v>
      </c>
      <c r="G1209" s="68"/>
      <c r="H1209" s="59"/>
      <c r="I1209" s="69" t="s">
        <v>4613</v>
      </c>
      <c r="J1209" s="69"/>
      <c r="K1209" s="95" t="s">
        <v>13</v>
      </c>
      <c r="L1209" s="69" t="s">
        <v>129</v>
      </c>
      <c r="M1209" s="71" t="s">
        <v>113</v>
      </c>
      <c r="N1209" s="69" t="e" vm="2">
        <v>#VALUE!</v>
      </c>
      <c r="O1209" s="84">
        <v>44714</v>
      </c>
      <c r="P1209" s="82" t="s">
        <v>483</v>
      </c>
      <c r="Q1209" s="82" t="s">
        <v>229</v>
      </c>
      <c r="R1209" s="69"/>
      <c r="S1209" s="146"/>
      <c r="T1209" s="68" t="s">
        <v>165</v>
      </c>
      <c r="U1209" s="87"/>
      <c r="V1209" s="80">
        <v>44693</v>
      </c>
      <c r="W1209" s="73">
        <v>1250</v>
      </c>
      <c r="X1209" s="73"/>
      <c r="Y1209" s="83">
        <f>IF(SUM(W1209:W1209)&gt;0,X1209/SUM(W1209:W1209)*1000000,"N/A")</f>
        <v>0</v>
      </c>
      <c r="Z1209" s="80"/>
      <c r="AA1209" s="80"/>
      <c r="AB1209" s="73"/>
      <c r="AC1209" s="153"/>
      <c r="AD1209" s="331"/>
      <c r="AE1209" s="57"/>
      <c r="AF1209" s="88"/>
      <c r="AG1209" s="182">
        <f>YEAR(D1209)</f>
        <v>2022</v>
      </c>
      <c r="AH1209" s="86" t="str">
        <f>+IF(AE1209=$AJ$22,MONTH(T1209),"")</f>
        <v/>
      </c>
      <c r="AI1209" s="86" t="str">
        <f>+IF(AF1209=$AJ$22,MONTH(U1209),"")</f>
        <v/>
      </c>
      <c r="AJ1209" s="86" t="str">
        <f>+IF(AG1209=$AJ$22,MONTH(V1209),"")</f>
        <v/>
      </c>
      <c r="AK1209" s="86" t="str">
        <f>+IF(AG1209=$AK$22,MONTH(V1209),"")</f>
        <v/>
      </c>
      <c r="AL1209" s="86">
        <f>+IF(AG1209=$AL$22,MONTH(V1209),"")</f>
        <v>5</v>
      </c>
      <c r="AM1209" s="86" t="str">
        <f>+IF($AG1209=$AM$22,MONTH($D1209),"")</f>
        <v/>
      </c>
      <c r="AN1209" s="89" t="str">
        <f>+IF($AG1209=AN$22,MONTH($D1209),"")</f>
        <v/>
      </c>
      <c r="AO1209" s="89" t="str">
        <f>+IF($AG1209=AO$22,MONTH($D1209),"")</f>
        <v/>
      </c>
      <c r="AP1209" s="89" t="str">
        <f>+IF($AG1209=AP$22,MONTH($D1209),"")</f>
        <v/>
      </c>
      <c r="AQ1209" s="89" t="str">
        <f>+IF($AG1209=AQ$22,MONTH($D1209),"")</f>
        <v/>
      </c>
      <c r="AR1209" s="89" t="str">
        <f>+IF($AG1209=AR$22,MONTH($D1209),"")</f>
        <v/>
      </c>
      <c r="AS1209" s="89" t="str">
        <f>+IF($AG1209=AS$22,MONTH($D1209),"")</f>
        <v/>
      </c>
      <c r="AT1209" s="89" t="str">
        <f>+IF($AG1209=AT$22,MONTH($D1209),"")</f>
        <v/>
      </c>
      <c r="AU1209" s="89" t="str">
        <f>+IF($AG1209=AU$22,MONTH($D1209),"")</f>
        <v/>
      </c>
      <c r="AV1209" s="89" t="str">
        <f>+IF($AG1209=AV$22,MONTH($D1209),"")</f>
        <v/>
      </c>
      <c r="AW1209" s="86" t="str">
        <f>+IF($AG1209=AW$22,MONTH($D1209),"")</f>
        <v/>
      </c>
      <c r="AX1209" s="86" t="str">
        <f>+IF($AG1209=AX$22,MONTH($D1209),"")</f>
        <v/>
      </c>
      <c r="AY1209" s="89"/>
      <c r="AZ1209" s="89"/>
      <c r="BA1209" s="89"/>
      <c r="BB1209" s="89"/>
      <c r="BC1209" s="89"/>
      <c r="BD1209" s="89"/>
      <c r="BE1209" s="89"/>
      <c r="BF1209" s="89"/>
      <c r="BG1209" s="89"/>
      <c r="BH1209" s="89"/>
      <c r="BI1209" s="89"/>
      <c r="BJ1209" s="89"/>
      <c r="BK1209" s="89"/>
      <c r="BL1209" s="89"/>
      <c r="BM1209" s="89"/>
      <c r="BN1209" s="89"/>
      <c r="BO1209" s="89"/>
      <c r="BP1209" s="89"/>
    </row>
    <row r="1210" spans="1:68" s="56" customFormat="1" ht="27" hidden="1">
      <c r="A1210" s="204">
        <f>+IFERROR(VALUE(MID(AB1210,4,4)),"")</f>
        <v>304</v>
      </c>
      <c r="B1210" s="204">
        <f>VALUE(RIGHT(C1210,LEN(C1210)-2))</f>
        <v>1513</v>
      </c>
      <c r="C1210" s="74" t="s">
        <v>4614</v>
      </c>
      <c r="D1210" s="75">
        <v>44692</v>
      </c>
      <c r="E1210" s="70" t="s">
        <v>394</v>
      </c>
      <c r="F1210" s="70" t="s">
        <v>395</v>
      </c>
      <c r="G1210" s="68" t="s">
        <v>3906</v>
      </c>
      <c r="H1210" s="59" t="s">
        <v>3907</v>
      </c>
      <c r="I1210" s="69" t="s">
        <v>4615</v>
      </c>
      <c r="J1210" s="69"/>
      <c r="K1210" s="95" t="s">
        <v>13</v>
      </c>
      <c r="L1210" s="69" t="s">
        <v>120</v>
      </c>
      <c r="M1210" s="71" t="s">
        <v>141</v>
      </c>
      <c r="N1210" s="69" t="e" vm="1">
        <v>#VALUE!</v>
      </c>
      <c r="O1210" s="84">
        <v>44694</v>
      </c>
      <c r="P1210" s="82" t="s">
        <v>666</v>
      </c>
      <c r="Q1210" s="82" t="s">
        <v>259</v>
      </c>
      <c r="R1210" s="69"/>
      <c r="S1210" s="146" t="s">
        <v>2501</v>
      </c>
      <c r="T1210" s="68" t="s">
        <v>3</v>
      </c>
      <c r="U1210" s="87"/>
      <c r="V1210" s="80">
        <v>44718</v>
      </c>
      <c r="W1210" s="73">
        <v>1150</v>
      </c>
      <c r="X1210" s="214">
        <f>1729*32500/1000000</f>
        <v>56.192500000000003</v>
      </c>
      <c r="Y1210" s="83">
        <f>IF(SUM(W1210:W1210)&gt;0,X1210/SUM(W1210:W1210)*1000000,"N/A")</f>
        <v>48863.043478260872</v>
      </c>
      <c r="Z1210" s="80"/>
      <c r="AA1210" s="80"/>
      <c r="AB1210" s="73" t="s">
        <v>4616</v>
      </c>
      <c r="AC1210" s="153"/>
      <c r="AD1210" s="331"/>
      <c r="AE1210" s="57"/>
      <c r="AF1210" s="88"/>
      <c r="AG1210" s="182">
        <f>YEAR(D1210)</f>
        <v>2022</v>
      </c>
      <c r="AH1210" s="86" t="str">
        <f>+IF(AE1210=$AJ$22,MONTH(T1210),"")</f>
        <v/>
      </c>
      <c r="AI1210" s="86" t="str">
        <f>+IF(AF1210=$AJ$22,MONTH(U1210),"")</f>
        <v/>
      </c>
      <c r="AJ1210" s="86" t="str">
        <f>+IF(AG1210=$AJ$22,MONTH(V1210),"")</f>
        <v/>
      </c>
      <c r="AK1210" s="86" t="str">
        <f>+IF(AG1210=$AK$22,MONTH(V1210),"")</f>
        <v/>
      </c>
      <c r="AL1210" s="86">
        <f>+IF(AG1210=$AL$22,MONTH(V1210),"")</f>
        <v>6</v>
      </c>
      <c r="AM1210" s="86" t="str">
        <f>+IF($AG1210=$AM$22,MONTH($D1210),"")</f>
        <v/>
      </c>
      <c r="AN1210" s="89" t="str">
        <f>+IF($AG1210=AN$22,MONTH($D1210),"")</f>
        <v/>
      </c>
      <c r="AO1210" s="89" t="str">
        <f>+IF($AG1210=AO$22,MONTH($D1210),"")</f>
        <v/>
      </c>
      <c r="AP1210" s="89" t="str">
        <f>+IF($AG1210=AP$22,MONTH($D1210),"")</f>
        <v/>
      </c>
      <c r="AQ1210" s="89" t="str">
        <f>+IF($AG1210=AQ$22,MONTH($D1210),"")</f>
        <v/>
      </c>
      <c r="AR1210" s="89" t="str">
        <f>+IF($AG1210=AR$22,MONTH($D1210),"")</f>
        <v/>
      </c>
      <c r="AS1210" s="89" t="str">
        <f>+IF($AG1210=AS$22,MONTH($D1210),"")</f>
        <v/>
      </c>
      <c r="AT1210" s="89" t="str">
        <f>+IF($AG1210=AT$22,MONTH($D1210),"")</f>
        <v/>
      </c>
      <c r="AU1210" s="89" t="str">
        <f>+IF($AG1210=AU$22,MONTH($D1210),"")</f>
        <v/>
      </c>
      <c r="AV1210" s="89" t="str">
        <f>+IF($AG1210=AV$22,MONTH($D1210),"")</f>
        <v/>
      </c>
      <c r="AW1210" s="86" t="str">
        <f>+IF($AG1210=AW$22,MONTH($D1210),"")</f>
        <v/>
      </c>
      <c r="AX1210" s="86" t="str">
        <f>+IF($AG1210=AX$22,MONTH($D1210),"")</f>
        <v/>
      </c>
      <c r="AY1210" s="89"/>
      <c r="AZ1210" s="89"/>
      <c r="BA1210" s="89"/>
      <c r="BB1210" s="89"/>
      <c r="BC1210" s="89"/>
      <c r="BD1210" s="89"/>
      <c r="BE1210" s="89"/>
      <c r="BF1210" s="89"/>
      <c r="BG1210" s="89"/>
      <c r="BH1210" s="89"/>
      <c r="BI1210" s="89"/>
      <c r="BJ1210" s="89"/>
      <c r="BK1210" s="89"/>
      <c r="BL1210" s="89"/>
      <c r="BM1210" s="89"/>
      <c r="BN1210" s="89"/>
      <c r="BO1210" s="89"/>
      <c r="BP1210" s="89"/>
    </row>
    <row r="1211" spans="1:68" s="56" customFormat="1" ht="27" hidden="1">
      <c r="A1211" s="204" t="str">
        <f>+IFERROR(VALUE(MID(AB1211,4,4)),"")</f>
        <v/>
      </c>
      <c r="B1211" s="204">
        <f>VALUE(RIGHT(C1211,LEN(C1211)-2))</f>
        <v>1512</v>
      </c>
      <c r="C1211" s="74" t="s">
        <v>4617</v>
      </c>
      <c r="D1211" s="75">
        <v>44690</v>
      </c>
      <c r="E1211" s="70" t="s">
        <v>3282</v>
      </c>
      <c r="F1211" s="70" t="s">
        <v>3520</v>
      </c>
      <c r="G1211" s="68" t="s">
        <v>3283</v>
      </c>
      <c r="H1211" s="59" t="s">
        <v>3284</v>
      </c>
      <c r="I1211" s="69" t="s">
        <v>4618</v>
      </c>
      <c r="J1211" s="69"/>
      <c r="K1211" s="95" t="s">
        <v>13</v>
      </c>
      <c r="L1211" s="69" t="s">
        <v>120</v>
      </c>
      <c r="M1211" s="71" t="s">
        <v>113</v>
      </c>
      <c r="N1211" s="69" t="e" vm="9">
        <v>#VALUE!</v>
      </c>
      <c r="O1211" s="84">
        <v>44693</v>
      </c>
      <c r="P1211" s="82" t="s">
        <v>402</v>
      </c>
      <c r="Q1211" s="82" t="s">
        <v>644</v>
      </c>
      <c r="R1211" s="69"/>
      <c r="S1211" s="146" t="s">
        <v>2509</v>
      </c>
      <c r="T1211" s="68" t="s">
        <v>165</v>
      </c>
      <c r="U1211" s="87"/>
      <c r="V1211" s="80">
        <v>44837</v>
      </c>
      <c r="W1211" s="73">
        <v>549</v>
      </c>
      <c r="X1211" s="73">
        <f>49535*861/1000000</f>
        <v>42.649635000000004</v>
      </c>
      <c r="Y1211" s="83">
        <f>IF(SUM(W1211:W1211)&gt;0,X1211/SUM(W1211:W1211)*1000000,"N/A")</f>
        <v>77686.038251366117</v>
      </c>
      <c r="Z1211" s="80"/>
      <c r="AA1211" s="80"/>
      <c r="AB1211" s="73"/>
      <c r="AC1211" s="153"/>
      <c r="AD1211" s="331"/>
      <c r="AE1211" s="57"/>
      <c r="AF1211" s="88"/>
      <c r="AG1211" s="182">
        <f>YEAR(D1211)</f>
        <v>2022</v>
      </c>
      <c r="AH1211" s="86" t="str">
        <f>+IF(AE1211=$AJ$22,MONTH(T1211),"")</f>
        <v/>
      </c>
      <c r="AI1211" s="86" t="str">
        <f>+IF(AF1211=$AJ$22,MONTH(U1211),"")</f>
        <v/>
      </c>
      <c r="AJ1211" s="86" t="str">
        <f>+IF(AG1211=$AJ$22,MONTH(V1211),"")</f>
        <v/>
      </c>
      <c r="AK1211" s="86" t="str">
        <f>+IF(AG1211=$AK$22,MONTH(V1211),"")</f>
        <v/>
      </c>
      <c r="AL1211" s="86">
        <f>+IF(AG1211=$AL$22,MONTH(V1211),"")</f>
        <v>10</v>
      </c>
      <c r="AM1211" s="86" t="str">
        <f>+IF($AG1211=$AM$22,MONTH($D1211),"")</f>
        <v/>
      </c>
      <c r="AN1211" s="89" t="str">
        <f>+IF($AG1211=AN$22,MONTH($D1211),"")</f>
        <v/>
      </c>
      <c r="AO1211" s="89" t="str">
        <f>+IF($AG1211=AO$22,MONTH($D1211),"")</f>
        <v/>
      </c>
      <c r="AP1211" s="89" t="str">
        <f>+IF($AG1211=AP$22,MONTH($D1211),"")</f>
        <v/>
      </c>
      <c r="AQ1211" s="89" t="str">
        <f>+IF($AG1211=AQ$22,MONTH($D1211),"")</f>
        <v/>
      </c>
      <c r="AR1211" s="89" t="str">
        <f>+IF($AG1211=AR$22,MONTH($D1211),"")</f>
        <v/>
      </c>
      <c r="AS1211" s="89" t="str">
        <f>+IF($AG1211=AS$22,MONTH($D1211),"")</f>
        <v/>
      </c>
      <c r="AT1211" s="89" t="str">
        <f>+IF($AG1211=AT$22,MONTH($D1211),"")</f>
        <v/>
      </c>
      <c r="AU1211" s="89" t="str">
        <f>+IF($AG1211=AU$22,MONTH($D1211),"")</f>
        <v/>
      </c>
      <c r="AV1211" s="89" t="str">
        <f>+IF($AG1211=AV$22,MONTH($D1211),"")</f>
        <v/>
      </c>
      <c r="AW1211" s="86" t="str">
        <f>+IF($AG1211=AW$22,MONTH($D1211),"")</f>
        <v/>
      </c>
      <c r="AX1211" s="86" t="str">
        <f>+IF($AG1211=AX$22,MONTH($D1211),"")</f>
        <v/>
      </c>
      <c r="AY1211" s="89"/>
      <c r="AZ1211" s="89"/>
      <c r="BA1211" s="89"/>
      <c r="BB1211" s="89"/>
      <c r="BC1211" s="89"/>
      <c r="BD1211" s="89"/>
      <c r="BE1211" s="89"/>
      <c r="BF1211" s="89"/>
      <c r="BG1211" s="89"/>
      <c r="BH1211" s="89"/>
      <c r="BI1211" s="89"/>
      <c r="BJ1211" s="89"/>
      <c r="BK1211" s="89"/>
      <c r="BL1211" s="89"/>
      <c r="BM1211" s="89"/>
      <c r="BN1211" s="89"/>
      <c r="BO1211" s="89"/>
      <c r="BP1211" s="89"/>
    </row>
    <row r="1212" spans="1:68" s="56" customFormat="1" ht="27" hidden="1">
      <c r="A1212" s="204">
        <f>+IFERROR(VALUE(MID(AB1212,4,4)),"")</f>
        <v>303</v>
      </c>
      <c r="B1212" s="204">
        <f>VALUE(RIGHT(C1212,LEN(C1212)-2))</f>
        <v>1511</v>
      </c>
      <c r="C1212" s="74" t="s">
        <v>4619</v>
      </c>
      <c r="D1212" s="75">
        <v>44691</v>
      </c>
      <c r="E1212" s="70" t="s">
        <v>277</v>
      </c>
      <c r="F1212" s="70" t="s">
        <v>277</v>
      </c>
      <c r="G1212" s="68" t="s">
        <v>1350</v>
      </c>
      <c r="H1212" s="59" t="s">
        <v>4327</v>
      </c>
      <c r="I1212" s="69" t="s">
        <v>4620</v>
      </c>
      <c r="J1212" s="69"/>
      <c r="K1212" s="68" t="s">
        <v>13</v>
      </c>
      <c r="L1212" s="69" t="s">
        <v>120</v>
      </c>
      <c r="M1212" s="71" t="s">
        <v>141</v>
      </c>
      <c r="N1212" s="69" t="e" vm="1">
        <v>#VALUE!</v>
      </c>
      <c r="O1212" s="84">
        <v>44699</v>
      </c>
      <c r="P1212" s="72" t="s">
        <v>402</v>
      </c>
      <c r="Q1212" s="72" t="s">
        <v>1097</v>
      </c>
      <c r="R1212" s="162"/>
      <c r="S1212" s="146"/>
      <c r="T1212" s="68" t="s">
        <v>3</v>
      </c>
      <c r="U1212" s="87"/>
      <c r="V1212" s="80">
        <v>44699</v>
      </c>
      <c r="W1212" s="73">
        <v>1783</v>
      </c>
      <c r="X1212" s="73">
        <v>79</v>
      </c>
      <c r="Y1212" s="83">
        <f>IF(SUM(W1212:W1212)&gt;0,X1212/SUM(W1212:W1212)*1000000,"N/A")</f>
        <v>44307.347167694898</v>
      </c>
      <c r="Z1212" s="80"/>
      <c r="AA1212" s="80"/>
      <c r="AB1212" s="73" t="s">
        <v>4621</v>
      </c>
      <c r="AC1212" s="153"/>
      <c r="AD1212" s="331"/>
      <c r="AE1212" s="57"/>
      <c r="AF1212" s="88"/>
      <c r="AG1212" s="182">
        <f>YEAR(D1212)</f>
        <v>2022</v>
      </c>
      <c r="AH1212" s="86" t="str">
        <f>+IF(AE1212=$AJ$22,MONTH(T1212),"")</f>
        <v/>
      </c>
      <c r="AI1212" s="86" t="str">
        <f>+IF(AF1212=$AJ$22,MONTH(U1212),"")</f>
        <v/>
      </c>
      <c r="AJ1212" s="86" t="str">
        <f>+IF(AG1212=$AJ$22,MONTH(V1212),"")</f>
        <v/>
      </c>
      <c r="AK1212" s="86" t="str">
        <f>+IF(AG1212=$AK$22,MONTH(V1212),"")</f>
        <v/>
      </c>
      <c r="AL1212" s="86">
        <f>+IF(AG1212=$AL$22,MONTH(V1212),"")</f>
        <v>5</v>
      </c>
      <c r="AM1212" s="86" t="str">
        <f>+IF($AG1212=$AM$22,MONTH($D1212),"")</f>
        <v/>
      </c>
      <c r="AN1212" s="89" t="str">
        <f>+IF($AG1212=AN$22,MONTH($D1212),"")</f>
        <v/>
      </c>
      <c r="AO1212" s="89" t="str">
        <f>+IF($AG1212=AO$22,MONTH($D1212),"")</f>
        <v/>
      </c>
      <c r="AP1212" s="89" t="str">
        <f>+IF($AG1212=AP$22,MONTH($D1212),"")</f>
        <v/>
      </c>
      <c r="AQ1212" s="89" t="str">
        <f>+IF($AG1212=AQ$22,MONTH($D1212),"")</f>
        <v/>
      </c>
      <c r="AR1212" s="89" t="str">
        <f>+IF($AG1212=AR$22,MONTH($D1212),"")</f>
        <v/>
      </c>
      <c r="AS1212" s="89" t="str">
        <f>+IF($AG1212=AS$22,MONTH($D1212),"")</f>
        <v/>
      </c>
      <c r="AT1212" s="89" t="str">
        <f>+IF($AG1212=AT$22,MONTH($D1212),"")</f>
        <v/>
      </c>
      <c r="AU1212" s="89" t="str">
        <f>+IF($AG1212=AU$22,MONTH($D1212),"")</f>
        <v/>
      </c>
      <c r="AV1212" s="89" t="str">
        <f>+IF($AG1212=AV$22,MONTH($D1212),"")</f>
        <v/>
      </c>
      <c r="AW1212" s="86" t="str">
        <f>+IF($AG1212=AW$22,MONTH($D1212),"")</f>
        <v/>
      </c>
      <c r="AX1212" s="86" t="str">
        <f>+IF($AG1212=AX$22,MONTH($D1212),"")</f>
        <v/>
      </c>
      <c r="AY1212" s="89"/>
      <c r="AZ1212" s="89"/>
      <c r="BA1212" s="89"/>
      <c r="BB1212" s="89"/>
      <c r="BC1212" s="89"/>
      <c r="BD1212" s="89"/>
      <c r="BE1212" s="89"/>
      <c r="BF1212" s="89"/>
      <c r="BG1212" s="89"/>
      <c r="BH1212" s="89"/>
      <c r="BI1212" s="89"/>
      <c r="BJ1212" s="89"/>
      <c r="BK1212" s="89"/>
      <c r="BL1212" s="89"/>
      <c r="BM1212" s="89"/>
      <c r="BN1212" s="89"/>
      <c r="BO1212" s="89"/>
      <c r="BP1212" s="89"/>
    </row>
    <row r="1213" spans="1:68" s="56" customFormat="1" ht="39" hidden="1" customHeight="1">
      <c r="A1213" s="204" t="str">
        <f>+IFERROR(VALUE(MID(AB1213,4,4)),"")</f>
        <v/>
      </c>
      <c r="B1213" s="204">
        <f>VALUE(RIGHT(C1213,LEN(C1213)-2))</f>
        <v>1510</v>
      </c>
      <c r="C1213" s="74" t="s">
        <v>4622</v>
      </c>
      <c r="D1213" s="75">
        <v>44690</v>
      </c>
      <c r="E1213" s="70" t="s">
        <v>76</v>
      </c>
      <c r="F1213" s="70" t="s">
        <v>262</v>
      </c>
      <c r="G1213" s="68"/>
      <c r="H1213" s="59"/>
      <c r="I1213" s="69" t="s">
        <v>4623</v>
      </c>
      <c r="J1213" s="69"/>
      <c r="K1213" s="68" t="s">
        <v>11</v>
      </c>
      <c r="L1213" s="69" t="s">
        <v>123</v>
      </c>
      <c r="M1213" s="71" t="s">
        <v>141</v>
      </c>
      <c r="N1213" s="69" t="e" vm="1">
        <v>#VALUE!</v>
      </c>
      <c r="O1213" s="84">
        <v>44726</v>
      </c>
      <c r="P1213" s="72" t="s">
        <v>4335</v>
      </c>
      <c r="Q1213" s="72" t="s">
        <v>1097</v>
      </c>
      <c r="R1213" s="162"/>
      <c r="S1213" s="146" t="s">
        <v>4624</v>
      </c>
      <c r="T1213" s="68" t="s">
        <v>165</v>
      </c>
      <c r="U1213" s="87"/>
      <c r="V1213" s="80">
        <v>44834</v>
      </c>
      <c r="W1213" s="73">
        <v>15000</v>
      </c>
      <c r="X1213" s="73">
        <v>450</v>
      </c>
      <c r="Y1213" s="169">
        <f>IF(SUM(W1213:W1213)&gt;0,X1213/SUM(W1213:W1213)*1000000,"N/A")</f>
        <v>30000</v>
      </c>
      <c r="Z1213" s="80"/>
      <c r="AA1213" s="80"/>
      <c r="AB1213" s="73"/>
      <c r="AC1213" s="153"/>
      <c r="AD1213" s="331"/>
      <c r="AE1213" s="57"/>
      <c r="AF1213" s="88"/>
      <c r="AG1213" s="182">
        <f>YEAR(D1213)</f>
        <v>2022</v>
      </c>
      <c r="AH1213" s="86" t="str">
        <f>+IF(AE1213=$AJ$22,MONTH(T1213),"")</f>
        <v/>
      </c>
      <c r="AI1213" s="86" t="str">
        <f>+IF(AF1213=$AJ$22,MONTH(U1213),"")</f>
        <v/>
      </c>
      <c r="AJ1213" s="86" t="str">
        <f>+IF(AG1213=$AJ$22,MONTH(V1213),"")</f>
        <v/>
      </c>
      <c r="AK1213" s="86" t="str">
        <f>+IF(AG1213=$AK$22,MONTH(V1213),"")</f>
        <v/>
      </c>
      <c r="AL1213" s="86">
        <f>+IF(AG1213=$AL$22,MONTH(V1213),"")</f>
        <v>9</v>
      </c>
      <c r="AM1213" s="86" t="str">
        <f>+IF($AG1213=$AM$22,MONTH($D1213),"")</f>
        <v/>
      </c>
      <c r="AN1213" s="89" t="str">
        <f>+IF($AG1213=AN$22,MONTH($D1213),"")</f>
        <v/>
      </c>
      <c r="AO1213" s="89" t="str">
        <f>+IF($AG1213=AO$22,MONTH($D1213),"")</f>
        <v/>
      </c>
      <c r="AP1213" s="89" t="str">
        <f>+IF($AG1213=AP$22,MONTH($D1213),"")</f>
        <v/>
      </c>
      <c r="AQ1213" s="89" t="str">
        <f>+IF($AG1213=AQ$22,MONTH($D1213),"")</f>
        <v/>
      </c>
      <c r="AR1213" s="89" t="str">
        <f>+IF($AG1213=AR$22,MONTH($D1213),"")</f>
        <v/>
      </c>
      <c r="AS1213" s="89" t="str">
        <f>+IF($AG1213=AS$22,MONTH($D1213),"")</f>
        <v/>
      </c>
      <c r="AT1213" s="89" t="str">
        <f>+IF($AG1213=AT$22,MONTH($D1213),"")</f>
        <v/>
      </c>
      <c r="AU1213" s="89" t="str">
        <f>+IF($AG1213=AU$22,MONTH($D1213),"")</f>
        <v/>
      </c>
      <c r="AV1213" s="89" t="str">
        <f>+IF($AG1213=AV$22,MONTH($D1213),"")</f>
        <v/>
      </c>
      <c r="AW1213" s="86" t="str">
        <f>+IF($AG1213=AW$22,MONTH($D1213),"")</f>
        <v/>
      </c>
      <c r="AX1213" s="86" t="str">
        <f>+IF($AG1213=AX$22,MONTH($D1213),"")</f>
        <v/>
      </c>
      <c r="AY1213" s="89"/>
      <c r="AZ1213" s="89"/>
      <c r="BA1213" s="89"/>
      <c r="BB1213" s="89"/>
      <c r="BC1213" s="89"/>
      <c r="BD1213" s="89"/>
      <c r="BE1213" s="89"/>
      <c r="BF1213" s="89"/>
      <c r="BG1213" s="89"/>
      <c r="BH1213" s="89"/>
      <c r="BI1213" s="89"/>
      <c r="BJ1213" s="89"/>
      <c r="BK1213" s="89"/>
      <c r="BL1213" s="89"/>
      <c r="BM1213" s="89"/>
      <c r="BN1213" s="89"/>
      <c r="BO1213" s="89"/>
      <c r="BP1213" s="89"/>
    </row>
    <row r="1214" spans="1:68" s="56" customFormat="1" ht="27" hidden="1">
      <c r="A1214" s="204">
        <f>+IFERROR(VALUE(MID(AB1214,4,4)),"")</f>
        <v>265</v>
      </c>
      <c r="B1214" s="204">
        <f>VALUE(RIGHT(C1214,LEN(C1214)-2))</f>
        <v>1509</v>
      </c>
      <c r="C1214" s="74" t="s">
        <v>4625</v>
      </c>
      <c r="D1214" s="75">
        <v>44690</v>
      </c>
      <c r="E1214" s="70" t="s">
        <v>332</v>
      </c>
      <c r="F1214" s="70" t="s">
        <v>332</v>
      </c>
      <c r="G1214" s="68" t="s">
        <v>3818</v>
      </c>
      <c r="H1214" s="59"/>
      <c r="I1214" s="69" t="s">
        <v>4626</v>
      </c>
      <c r="J1214" s="69"/>
      <c r="K1214" s="68" t="s">
        <v>12</v>
      </c>
      <c r="L1214" s="69" t="s">
        <v>129</v>
      </c>
      <c r="M1214" s="71" t="s">
        <v>141</v>
      </c>
      <c r="N1214" s="69" t="e" vm="1">
        <v>#VALUE!</v>
      </c>
      <c r="O1214" s="84">
        <v>44691</v>
      </c>
      <c r="P1214" s="72" t="s">
        <v>285</v>
      </c>
      <c r="Q1214" s="72" t="s">
        <v>259</v>
      </c>
      <c r="R1214" s="162"/>
      <c r="S1214" s="146" t="s">
        <v>2501</v>
      </c>
      <c r="T1214" s="68" t="s">
        <v>3</v>
      </c>
      <c r="U1214" s="87"/>
      <c r="V1214" s="80">
        <v>44691</v>
      </c>
      <c r="W1214" s="73">
        <v>1830</v>
      </c>
      <c r="X1214" s="73">
        <f>1766*32500/1000000</f>
        <v>57.395000000000003</v>
      </c>
      <c r="Y1214" s="83">
        <f>IF(SUM(W1214:W1214)&gt;0,X1214/SUM(W1214:W1214)*1000000,"N/A")</f>
        <v>31363.38797814208</v>
      </c>
      <c r="Z1214" s="80"/>
      <c r="AA1214" s="80"/>
      <c r="AB1214" s="73" t="s">
        <v>4627</v>
      </c>
      <c r="AC1214" s="153"/>
      <c r="AD1214" s="331"/>
      <c r="AE1214" s="57"/>
      <c r="AF1214" s="88"/>
      <c r="AG1214" s="182">
        <f>YEAR(D1214)</f>
        <v>2022</v>
      </c>
      <c r="AH1214" s="86" t="str">
        <f>+IF(AE1214=$AJ$22,MONTH(T1214),"")</f>
        <v/>
      </c>
      <c r="AI1214" s="86" t="str">
        <f>+IF(AF1214=$AJ$22,MONTH(U1214),"")</f>
        <v/>
      </c>
      <c r="AJ1214" s="86" t="str">
        <f>+IF(AG1214=$AJ$22,MONTH(V1214),"")</f>
        <v/>
      </c>
      <c r="AK1214" s="86" t="str">
        <f>+IF(AG1214=$AK$22,MONTH(V1214),"")</f>
        <v/>
      </c>
      <c r="AL1214" s="86">
        <f>+IF(AG1214=$AL$22,MONTH(V1214),"")</f>
        <v>5</v>
      </c>
      <c r="AM1214" s="86" t="str">
        <f>+IF($AG1214=$AM$22,MONTH($D1214),"")</f>
        <v/>
      </c>
      <c r="AN1214" s="89" t="str">
        <f>+IF($AG1214=AN$22,MONTH($D1214),"")</f>
        <v/>
      </c>
      <c r="AO1214" s="89" t="str">
        <f>+IF($AG1214=AO$22,MONTH($D1214),"")</f>
        <v/>
      </c>
      <c r="AP1214" s="89" t="str">
        <f>+IF($AG1214=AP$22,MONTH($D1214),"")</f>
        <v/>
      </c>
      <c r="AQ1214" s="89" t="str">
        <f>+IF($AG1214=AQ$22,MONTH($D1214),"")</f>
        <v/>
      </c>
      <c r="AR1214" s="89" t="str">
        <f>+IF($AG1214=AR$22,MONTH($D1214),"")</f>
        <v/>
      </c>
      <c r="AS1214" s="89" t="str">
        <f>+IF($AG1214=AS$22,MONTH($D1214),"")</f>
        <v/>
      </c>
      <c r="AT1214" s="89" t="str">
        <f>+IF($AG1214=AT$22,MONTH($D1214),"")</f>
        <v/>
      </c>
      <c r="AU1214" s="89" t="str">
        <f>+IF($AG1214=AU$22,MONTH($D1214),"")</f>
        <v/>
      </c>
      <c r="AV1214" s="89" t="str">
        <f>+IF($AG1214=AV$22,MONTH($D1214),"")</f>
        <v/>
      </c>
      <c r="AW1214" s="86" t="str">
        <f>+IF($AG1214=AW$22,MONTH($D1214),"")</f>
        <v/>
      </c>
      <c r="AX1214" s="86" t="str">
        <f>+IF($AG1214=AX$22,MONTH($D1214),"")</f>
        <v/>
      </c>
      <c r="AY1214" s="89"/>
      <c r="AZ1214" s="89"/>
      <c r="BA1214" s="89"/>
      <c r="BB1214" s="89"/>
      <c r="BC1214" s="89"/>
      <c r="BD1214" s="89"/>
      <c r="BE1214" s="89"/>
      <c r="BF1214" s="89"/>
      <c r="BG1214" s="89"/>
      <c r="BH1214" s="89"/>
      <c r="BI1214" s="89"/>
      <c r="BJ1214" s="89"/>
      <c r="BK1214" s="89"/>
      <c r="BL1214" s="89"/>
      <c r="BM1214" s="89"/>
      <c r="BN1214" s="89"/>
      <c r="BO1214" s="89"/>
      <c r="BP1214" s="89"/>
    </row>
    <row r="1215" spans="1:68" s="56" customFormat="1" ht="27" hidden="1">
      <c r="A1215" s="204">
        <f>+IFERROR(VALUE(MID(AB1215,4,4)),"")</f>
        <v>333</v>
      </c>
      <c r="B1215" s="204">
        <f>VALUE(RIGHT(C1215,LEN(C1215)-2))</f>
        <v>1508</v>
      </c>
      <c r="C1215" s="74" t="s">
        <v>4628</v>
      </c>
      <c r="D1215" s="75">
        <v>44684</v>
      </c>
      <c r="E1215" s="70" t="s">
        <v>53</v>
      </c>
      <c r="F1215" s="70" t="s">
        <v>1379</v>
      </c>
      <c r="G1215" s="68" t="s">
        <v>1976</v>
      </c>
      <c r="H1215" s="59"/>
      <c r="I1215" s="69" t="s">
        <v>4629</v>
      </c>
      <c r="J1215" s="69"/>
      <c r="K1215" s="68" t="s">
        <v>212</v>
      </c>
      <c r="L1215" s="69" t="s">
        <v>123</v>
      </c>
      <c r="M1215" s="71" t="s">
        <v>141</v>
      </c>
      <c r="N1215" s="69" t="e" vm="1">
        <v>#VALUE!</v>
      </c>
      <c r="O1215" s="84">
        <v>44734</v>
      </c>
      <c r="P1215" s="72" t="s">
        <v>228</v>
      </c>
      <c r="Q1215" s="72" t="s">
        <v>1097</v>
      </c>
      <c r="R1215" s="162"/>
      <c r="S1215" s="146" t="s">
        <v>2465</v>
      </c>
      <c r="T1215" s="68" t="s">
        <v>3</v>
      </c>
      <c r="U1215" s="87"/>
      <c r="V1215" s="80">
        <v>45019</v>
      </c>
      <c r="W1215" s="73">
        <v>1000</v>
      </c>
      <c r="X1215" s="73">
        <v>42</v>
      </c>
      <c r="Y1215" s="83">
        <f>IF(SUM(W1215:W1215)&gt;0,X1215/SUM(W1215:W1215)*1000000,"N/A")</f>
        <v>42000</v>
      </c>
      <c r="Z1215" s="80"/>
      <c r="AA1215" s="80"/>
      <c r="AB1215" s="73" t="s">
        <v>4630</v>
      </c>
      <c r="AC1215" s="153"/>
      <c r="AD1215" s="331"/>
      <c r="AE1215" s="57"/>
      <c r="AF1215" s="88"/>
      <c r="AG1215" s="182">
        <f>YEAR(V1215)</f>
        <v>2023</v>
      </c>
      <c r="AH1215" s="86" t="str">
        <f>+IF(AE1215=$AJ$22,MONTH(T1215),"")</f>
        <v/>
      </c>
      <c r="AI1215" s="86" t="str">
        <f>+IF(AF1215=$AJ$22,MONTH(U1215),"")</f>
        <v/>
      </c>
      <c r="AJ1215" s="86" t="str">
        <f>+IF(AG1215=$AJ$22,MONTH(V1215),"")</f>
        <v/>
      </c>
      <c r="AK1215" s="86">
        <f>+IF(AG1215=$AK$22,MONTH(V1215),"")</f>
        <v>4</v>
      </c>
      <c r="AL1215" s="86" t="str">
        <f>+IF(AG1215=$AL$22,MONTH(V1215),"")</f>
        <v/>
      </c>
      <c r="AM1215" s="86" t="str">
        <f>+IF($AG1215=$AM$22,MONTH($D1215),"")</f>
        <v/>
      </c>
      <c r="AN1215" s="89" t="str">
        <f>+IF($AG1215=AN$22,MONTH($D1215),"")</f>
        <v/>
      </c>
      <c r="AO1215" s="89" t="str">
        <f>+IF($AG1215=AO$22,MONTH($D1215),"")</f>
        <v/>
      </c>
      <c r="AP1215" s="89" t="str">
        <f>+IF($AG1215=AP$22,MONTH($D1215),"")</f>
        <v/>
      </c>
      <c r="AQ1215" s="89" t="str">
        <f>+IF($AG1215=AQ$22,MONTH($D1215),"")</f>
        <v/>
      </c>
      <c r="AR1215" s="89" t="str">
        <f>+IF($AG1215=AR$22,MONTH($D1215),"")</f>
        <v/>
      </c>
      <c r="AS1215" s="89" t="str">
        <f>+IF($AG1215=AS$22,MONTH($D1215),"")</f>
        <v/>
      </c>
      <c r="AT1215" s="89" t="str">
        <f>+IF($AG1215=AT$22,MONTH($D1215),"")</f>
        <v/>
      </c>
      <c r="AU1215" s="89" t="str">
        <f>+IF($AG1215=AU$22,MONTH($D1215),"")</f>
        <v/>
      </c>
      <c r="AV1215" s="89" t="str">
        <f>+IF($AG1215=AV$22,MONTH($D1215),"")</f>
        <v/>
      </c>
      <c r="AW1215" s="86" t="str">
        <f>+IF($AG1215=AW$22,MONTH($D1215),"")</f>
        <v/>
      </c>
      <c r="AX1215" s="86" t="str">
        <f>+IF($AG1215=AX$22,MONTH($D1215),"")</f>
        <v/>
      </c>
      <c r="AY1215" s="89"/>
      <c r="AZ1215" s="89"/>
      <c r="BA1215" s="89"/>
      <c r="BB1215" s="89"/>
      <c r="BC1215" s="89"/>
      <c r="BD1215" s="89"/>
      <c r="BE1215" s="89"/>
      <c r="BF1215" s="89"/>
      <c r="BG1215" s="89"/>
      <c r="BH1215" s="89"/>
      <c r="BI1215" s="89"/>
      <c r="BJ1215" s="89"/>
      <c r="BK1215" s="89"/>
      <c r="BL1215" s="89"/>
      <c r="BM1215" s="89"/>
      <c r="BN1215" s="89"/>
      <c r="BO1215" s="89"/>
      <c r="BP1215" s="89"/>
    </row>
    <row r="1216" spans="1:68" s="56" customFormat="1" ht="27" hidden="1">
      <c r="A1216" s="204" t="str">
        <f>+IFERROR(VALUE(MID(AB1216,4,4)),"")</f>
        <v/>
      </c>
      <c r="B1216" s="204">
        <f>VALUE(RIGHT(C1216,LEN(C1216)-2))</f>
        <v>1507</v>
      </c>
      <c r="C1216" s="74" t="s">
        <v>4631</v>
      </c>
      <c r="D1216" s="75">
        <v>44684</v>
      </c>
      <c r="E1216" s="70" t="s">
        <v>394</v>
      </c>
      <c r="F1216" s="70" t="s">
        <v>2269</v>
      </c>
      <c r="G1216" s="68" t="s">
        <v>2270</v>
      </c>
      <c r="H1216" s="59" t="s">
        <v>2271</v>
      </c>
      <c r="I1216" s="69" t="s">
        <v>4632</v>
      </c>
      <c r="J1216" s="69"/>
      <c r="K1216" s="95" t="s">
        <v>13</v>
      </c>
      <c r="L1216" s="69" t="s">
        <v>120</v>
      </c>
      <c r="M1216" s="71" t="s">
        <v>141</v>
      </c>
      <c r="N1216" s="69" t="e" vm="1">
        <v>#VALUE!</v>
      </c>
      <c r="O1216" s="84">
        <v>44685</v>
      </c>
      <c r="P1216" s="82" t="s">
        <v>402</v>
      </c>
      <c r="Q1216" s="82" t="s">
        <v>623</v>
      </c>
      <c r="R1216" s="69"/>
      <c r="S1216" s="146"/>
      <c r="T1216" s="68" t="s">
        <v>165</v>
      </c>
      <c r="U1216" s="87"/>
      <c r="V1216" s="80">
        <v>44685</v>
      </c>
      <c r="W1216" s="73"/>
      <c r="X1216" s="73"/>
      <c r="Y1216" s="83" t="str">
        <f>IF(SUM(W1216:W1216)&gt;0,X1216/SUM(W1216:W1216)*1000000,"N/A")</f>
        <v>N/A</v>
      </c>
      <c r="Z1216" s="80"/>
      <c r="AA1216" s="80"/>
      <c r="AB1216" s="73"/>
      <c r="AC1216" s="153"/>
      <c r="AD1216" s="331"/>
      <c r="AE1216" s="57"/>
      <c r="AF1216" s="88"/>
      <c r="AG1216" s="182">
        <f>YEAR(D1216)</f>
        <v>2022</v>
      </c>
      <c r="AH1216" s="86" t="str">
        <f>+IF(AE1216=$AJ$22,MONTH(T1216),"")</f>
        <v/>
      </c>
      <c r="AI1216" s="86" t="str">
        <f>+IF(AF1216=$AJ$22,MONTH(U1216),"")</f>
        <v/>
      </c>
      <c r="AJ1216" s="86" t="str">
        <f>+IF(AG1216=$AJ$22,MONTH(V1216),"")</f>
        <v/>
      </c>
      <c r="AK1216" s="86" t="str">
        <f>+IF(AG1216=$AK$22,MONTH(V1216),"")</f>
        <v/>
      </c>
      <c r="AL1216" s="86">
        <f>+IF(AG1216=$AL$22,MONTH(V1216),"")</f>
        <v>5</v>
      </c>
      <c r="AM1216" s="86" t="str">
        <f>+IF($AG1216=$AM$22,MONTH($D1216),"")</f>
        <v/>
      </c>
      <c r="AN1216" s="89" t="str">
        <f>+IF($AG1216=AN$22,MONTH($D1216),"")</f>
        <v/>
      </c>
      <c r="AO1216" s="89" t="str">
        <f>+IF($AG1216=AO$22,MONTH($D1216),"")</f>
        <v/>
      </c>
      <c r="AP1216" s="89" t="str">
        <f>+IF($AG1216=AP$22,MONTH($D1216),"")</f>
        <v/>
      </c>
      <c r="AQ1216" s="89" t="str">
        <f>+IF($AG1216=AQ$22,MONTH($D1216),"")</f>
        <v/>
      </c>
      <c r="AR1216" s="89" t="str">
        <f>+IF($AG1216=AR$22,MONTH($D1216),"")</f>
        <v/>
      </c>
      <c r="AS1216" s="89" t="str">
        <f>+IF($AG1216=AS$22,MONTH($D1216),"")</f>
        <v/>
      </c>
      <c r="AT1216" s="89" t="str">
        <f>+IF($AG1216=AT$22,MONTH($D1216),"")</f>
        <v/>
      </c>
      <c r="AU1216" s="89" t="str">
        <f>+IF($AG1216=AU$22,MONTH($D1216),"")</f>
        <v/>
      </c>
      <c r="AV1216" s="89" t="str">
        <f>+IF($AG1216=AV$22,MONTH($D1216),"")</f>
        <v/>
      </c>
      <c r="AW1216" s="86" t="str">
        <f>+IF($AG1216=AW$22,MONTH($D1216),"")</f>
        <v/>
      </c>
      <c r="AX1216" s="86" t="str">
        <f>+IF($AG1216=AX$22,MONTH($D1216),"")</f>
        <v/>
      </c>
      <c r="AY1216" s="89"/>
      <c r="AZ1216" s="89"/>
      <c r="BA1216" s="89"/>
      <c r="BB1216" s="89"/>
      <c r="BC1216" s="89"/>
      <c r="BD1216" s="89"/>
      <c r="BE1216" s="89"/>
      <c r="BF1216" s="89"/>
      <c r="BG1216" s="89"/>
      <c r="BH1216" s="89"/>
      <c r="BI1216" s="89"/>
      <c r="BJ1216" s="89"/>
      <c r="BK1216" s="89"/>
      <c r="BL1216" s="89"/>
      <c r="BM1216" s="89"/>
      <c r="BN1216" s="89"/>
      <c r="BO1216" s="89"/>
      <c r="BP1216" s="89"/>
    </row>
    <row r="1217" spans="1:68" s="56" customFormat="1" ht="13.5" hidden="1">
      <c r="A1217" s="204" t="str">
        <f>+IFERROR(VALUE(MID(AB1217,4,4)),"")</f>
        <v/>
      </c>
      <c r="B1217" s="204">
        <f>VALUE(RIGHT(C1217,LEN(C1217)-2))</f>
        <v>1506</v>
      </c>
      <c r="C1217" s="74" t="s">
        <v>4633</v>
      </c>
      <c r="D1217" s="75">
        <v>44684</v>
      </c>
      <c r="E1217" s="70" t="s">
        <v>730</v>
      </c>
      <c r="F1217" s="70" t="s">
        <v>4634</v>
      </c>
      <c r="G1217" s="68" t="s">
        <v>731</v>
      </c>
      <c r="H1217" s="59" t="s">
        <v>732</v>
      </c>
      <c r="I1217" s="69" t="s">
        <v>4635</v>
      </c>
      <c r="J1217" s="69"/>
      <c r="K1217" s="95" t="s">
        <v>13</v>
      </c>
      <c r="L1217" s="69" t="s">
        <v>120</v>
      </c>
      <c r="M1217" s="71" t="s">
        <v>141</v>
      </c>
      <c r="N1217" s="69" t="e" vm="1">
        <v>#VALUE!</v>
      </c>
      <c r="O1217" s="84">
        <v>44696</v>
      </c>
      <c r="P1217" s="82" t="s">
        <v>4567</v>
      </c>
      <c r="Q1217" s="82" t="s">
        <v>229</v>
      </c>
      <c r="R1217" s="69"/>
      <c r="S1217" s="146" t="s">
        <v>734</v>
      </c>
      <c r="T1217" s="68" t="s">
        <v>165</v>
      </c>
      <c r="U1217" s="87"/>
      <c r="V1217" s="80">
        <v>44837</v>
      </c>
      <c r="W1217" s="73">
        <v>3097</v>
      </c>
      <c r="X1217" s="73">
        <f>4359*32500/1000000</f>
        <v>141.66749999999999</v>
      </c>
      <c r="Y1217" s="83">
        <f>IF(SUM(W1217:W1217)&gt;0,X1217/SUM(W1217:W1217)*1000000,"N/A")</f>
        <v>45743.461414271871</v>
      </c>
      <c r="Z1217" s="80"/>
      <c r="AA1217" s="80"/>
      <c r="AB1217" s="73"/>
      <c r="AC1217" s="153"/>
      <c r="AD1217" s="331"/>
      <c r="AE1217" s="57"/>
      <c r="AF1217" s="88"/>
      <c r="AG1217" s="182">
        <f>YEAR(D1217)</f>
        <v>2022</v>
      </c>
      <c r="AH1217" s="86" t="str">
        <f>+IF(AE1217=$AJ$22,MONTH(T1217),"")</f>
        <v/>
      </c>
      <c r="AI1217" s="86" t="str">
        <f>+IF(AF1217=$AJ$22,MONTH(U1217),"")</f>
        <v/>
      </c>
      <c r="AJ1217" s="86" t="str">
        <f>+IF(AG1217=$AJ$22,MONTH(V1217),"")</f>
        <v/>
      </c>
      <c r="AK1217" s="86" t="str">
        <f>+IF(AG1217=$AK$22,MONTH(V1217),"")</f>
        <v/>
      </c>
      <c r="AL1217" s="86">
        <f>+IF(AG1217=$AL$22,MONTH(V1217),"")</f>
        <v>10</v>
      </c>
      <c r="AM1217" s="86" t="str">
        <f>+IF($AG1217=$AM$22,MONTH($D1217),"")</f>
        <v/>
      </c>
      <c r="AN1217" s="89" t="str">
        <f>+IF($AG1217=AN$22,MONTH($D1217),"")</f>
        <v/>
      </c>
      <c r="AO1217" s="89" t="str">
        <f>+IF($AG1217=AO$22,MONTH($D1217),"")</f>
        <v/>
      </c>
      <c r="AP1217" s="89" t="str">
        <f>+IF($AG1217=AP$22,MONTH($D1217),"")</f>
        <v/>
      </c>
      <c r="AQ1217" s="89" t="str">
        <f>+IF($AG1217=AQ$22,MONTH($D1217),"")</f>
        <v/>
      </c>
      <c r="AR1217" s="89" t="str">
        <f>+IF($AG1217=AR$22,MONTH($D1217),"")</f>
        <v/>
      </c>
      <c r="AS1217" s="89" t="str">
        <f>+IF($AG1217=AS$22,MONTH($D1217),"")</f>
        <v/>
      </c>
      <c r="AT1217" s="89" t="str">
        <f>+IF($AG1217=AT$22,MONTH($D1217),"")</f>
        <v/>
      </c>
      <c r="AU1217" s="89" t="str">
        <f>+IF($AG1217=AU$22,MONTH($D1217),"")</f>
        <v/>
      </c>
      <c r="AV1217" s="89" t="str">
        <f>+IF($AG1217=AV$22,MONTH($D1217),"")</f>
        <v/>
      </c>
      <c r="AW1217" s="86" t="str">
        <f>+IF($AG1217=AW$22,MONTH($D1217),"")</f>
        <v/>
      </c>
      <c r="AX1217" s="86" t="str">
        <f>+IF($AG1217=AX$22,MONTH($D1217),"")</f>
        <v/>
      </c>
      <c r="AY1217" s="89"/>
      <c r="AZ1217" s="89"/>
      <c r="BA1217" s="89"/>
      <c r="BB1217" s="89"/>
      <c r="BC1217" s="89"/>
      <c r="BD1217" s="89"/>
      <c r="BE1217" s="89"/>
      <c r="BF1217" s="89"/>
      <c r="BG1217" s="89"/>
      <c r="BH1217" s="89"/>
      <c r="BI1217" s="89"/>
      <c r="BJ1217" s="89"/>
      <c r="BK1217" s="89"/>
      <c r="BL1217" s="89"/>
      <c r="BM1217" s="89"/>
      <c r="BN1217" s="89"/>
      <c r="BO1217" s="89"/>
      <c r="BP1217" s="89"/>
    </row>
    <row r="1218" spans="1:68" s="56" customFormat="1" ht="13.5" hidden="1">
      <c r="A1218" s="204" t="str">
        <f>+IFERROR(VALUE(MID(AB1218,4,4)),"")</f>
        <v/>
      </c>
      <c r="B1218" s="204">
        <f>VALUE(RIGHT(C1218,LEN(C1218)-2))</f>
        <v>1505</v>
      </c>
      <c r="C1218" s="74" t="s">
        <v>4636</v>
      </c>
      <c r="D1218" s="75">
        <v>44680</v>
      </c>
      <c r="E1218" s="70" t="s">
        <v>479</v>
      </c>
      <c r="F1218" s="70" t="s">
        <v>479</v>
      </c>
      <c r="G1218" s="68"/>
      <c r="H1218" s="59"/>
      <c r="I1218" s="69" t="s">
        <v>4637</v>
      </c>
      <c r="J1218" s="69"/>
      <c r="K1218" s="95" t="s">
        <v>13</v>
      </c>
      <c r="L1218" s="69" t="s">
        <v>129</v>
      </c>
      <c r="M1218" s="71" t="s">
        <v>113</v>
      </c>
      <c r="N1218" s="69" t="e" vm="2">
        <v>#VALUE!</v>
      </c>
      <c r="O1218" s="84">
        <v>44686</v>
      </c>
      <c r="P1218" s="82" t="s">
        <v>483</v>
      </c>
      <c r="Q1218" s="82" t="s">
        <v>229</v>
      </c>
      <c r="R1218" s="69"/>
      <c r="S1218" s="146" t="s">
        <v>2632</v>
      </c>
      <c r="T1218" s="68" t="s">
        <v>165</v>
      </c>
      <c r="U1218" s="87"/>
      <c r="V1218" s="80">
        <v>44875</v>
      </c>
      <c r="W1218" s="73">
        <v>1440</v>
      </c>
      <c r="X1218" s="73">
        <v>42.5</v>
      </c>
      <c r="Y1218" s="83">
        <f>IF(SUM(W1218:W1218)&gt;0,X1218/SUM(W1218:W1218)*1000000,"N/A")</f>
        <v>29513.888888888887</v>
      </c>
      <c r="Z1218" s="80"/>
      <c r="AA1218" s="80"/>
      <c r="AB1218" s="73"/>
      <c r="AC1218" s="153"/>
      <c r="AD1218" s="331"/>
      <c r="AE1218" s="57"/>
      <c r="AF1218" s="88"/>
      <c r="AG1218" s="182">
        <f>YEAR(D1218)</f>
        <v>2022</v>
      </c>
      <c r="AH1218" s="86" t="str">
        <f>+IF(AE1218=$AJ$22,MONTH(T1218),"")</f>
        <v/>
      </c>
      <c r="AI1218" s="86" t="str">
        <f>+IF(AF1218=$AJ$22,MONTH(U1218),"")</f>
        <v/>
      </c>
      <c r="AJ1218" s="86" t="str">
        <f>+IF(AG1218=$AJ$22,MONTH(V1218),"")</f>
        <v/>
      </c>
      <c r="AK1218" s="86" t="str">
        <f>+IF(AG1218=$AK$22,MONTH(V1218),"")</f>
        <v/>
      </c>
      <c r="AL1218" s="86">
        <f>+IF(AG1218=$AL$22,MONTH(V1218),"")</f>
        <v>11</v>
      </c>
      <c r="AM1218" s="86" t="str">
        <f>+IF($AG1218=$AM$22,MONTH($D1218),"")</f>
        <v/>
      </c>
      <c r="AN1218" s="89" t="str">
        <f>+IF($AG1218=AN$22,MONTH($D1218),"")</f>
        <v/>
      </c>
      <c r="AO1218" s="89" t="str">
        <f>+IF($AG1218=AO$22,MONTH($D1218),"")</f>
        <v/>
      </c>
      <c r="AP1218" s="89" t="str">
        <f>+IF($AG1218=AP$22,MONTH($D1218),"")</f>
        <v/>
      </c>
      <c r="AQ1218" s="89" t="str">
        <f>+IF($AG1218=AQ$22,MONTH($D1218),"")</f>
        <v/>
      </c>
      <c r="AR1218" s="89" t="str">
        <f>+IF($AG1218=AR$22,MONTH($D1218),"")</f>
        <v/>
      </c>
      <c r="AS1218" s="89" t="str">
        <f>+IF($AG1218=AS$22,MONTH($D1218),"")</f>
        <v/>
      </c>
      <c r="AT1218" s="89" t="str">
        <f>+IF($AG1218=AT$22,MONTH($D1218),"")</f>
        <v/>
      </c>
      <c r="AU1218" s="89" t="str">
        <f>+IF($AG1218=AU$22,MONTH($D1218),"")</f>
        <v/>
      </c>
      <c r="AV1218" s="89" t="str">
        <f>+IF($AG1218=AV$22,MONTH($D1218),"")</f>
        <v/>
      </c>
      <c r="AW1218" s="86" t="str">
        <f>+IF($AG1218=AW$22,MONTH($D1218),"")</f>
        <v/>
      </c>
      <c r="AX1218" s="86" t="str">
        <f>+IF($AG1218=AX$22,MONTH($D1218),"")</f>
        <v/>
      </c>
      <c r="AY1218" s="89"/>
      <c r="AZ1218" s="89"/>
      <c r="BA1218" s="89"/>
      <c r="BB1218" s="89"/>
      <c r="BC1218" s="89"/>
      <c r="BD1218" s="89"/>
      <c r="BE1218" s="89"/>
      <c r="BF1218" s="89"/>
      <c r="BG1218" s="89"/>
      <c r="BH1218" s="89"/>
      <c r="BI1218" s="89"/>
      <c r="BJ1218" s="89"/>
      <c r="BK1218" s="89"/>
      <c r="BL1218" s="89"/>
      <c r="BM1218" s="89"/>
      <c r="BN1218" s="89"/>
      <c r="BO1218" s="89"/>
      <c r="BP1218" s="89"/>
    </row>
    <row r="1219" spans="1:68" s="56" customFormat="1" ht="27" hidden="1">
      <c r="A1219" s="204">
        <f>+IFERROR(VALUE(MID(AB1219,4,4)),"")</f>
        <v>265</v>
      </c>
      <c r="B1219" s="204">
        <f>VALUE(RIGHT(C1219,LEN(C1219)-2))</f>
        <v>1504</v>
      </c>
      <c r="C1219" s="74" t="s">
        <v>4638</v>
      </c>
      <c r="D1219" s="75">
        <v>44679</v>
      </c>
      <c r="E1219" s="70" t="s">
        <v>332</v>
      </c>
      <c r="F1219" s="70" t="s">
        <v>332</v>
      </c>
      <c r="G1219" s="68"/>
      <c r="H1219" s="59"/>
      <c r="I1219" s="69" t="s">
        <v>4639</v>
      </c>
      <c r="J1219" s="69"/>
      <c r="K1219" s="68" t="s">
        <v>13</v>
      </c>
      <c r="L1219" s="69" t="s">
        <v>129</v>
      </c>
      <c r="M1219" s="71" t="s">
        <v>141</v>
      </c>
      <c r="N1219" s="69" t="e" vm="1">
        <v>#VALUE!</v>
      </c>
      <c r="O1219" s="84">
        <v>44679</v>
      </c>
      <c r="P1219" s="72" t="s">
        <v>285</v>
      </c>
      <c r="Q1219" s="72" t="s">
        <v>229</v>
      </c>
      <c r="R1219" s="162"/>
      <c r="S1219" s="146" t="s">
        <v>4535</v>
      </c>
      <c r="T1219" s="68" t="s">
        <v>3</v>
      </c>
      <c r="U1219" s="87"/>
      <c r="V1219" s="80">
        <v>44718</v>
      </c>
      <c r="W1219" s="73">
        <v>173</v>
      </c>
      <c r="X1219" s="214">
        <f>190*32300/1000000</f>
        <v>6.1369999999999996</v>
      </c>
      <c r="Y1219" s="83">
        <f>IF(SUM(W1219:W1219)&gt;0,X1219/SUM(W1219:W1219)*1000000,"N/A")</f>
        <v>35473.988439306355</v>
      </c>
      <c r="Z1219" s="80"/>
      <c r="AA1219" s="80"/>
      <c r="AB1219" s="73" t="s">
        <v>4640</v>
      </c>
      <c r="AC1219" s="153"/>
      <c r="AD1219" s="331"/>
      <c r="AE1219" s="57"/>
      <c r="AF1219" s="88"/>
      <c r="AG1219" s="182">
        <f>YEAR(D1219)</f>
        <v>2022</v>
      </c>
      <c r="AH1219" s="86" t="str">
        <f>+IF(AE1219=$AJ$22,MONTH(T1219),"")</f>
        <v/>
      </c>
      <c r="AI1219" s="86" t="str">
        <f>+IF(AF1219=$AJ$22,MONTH(U1219),"")</f>
        <v/>
      </c>
      <c r="AJ1219" s="86" t="str">
        <f>+IF(AG1219=$AJ$22,MONTH(V1219),"")</f>
        <v/>
      </c>
      <c r="AK1219" s="86" t="str">
        <f>+IF(AG1219=$AK$22,MONTH(V1219),"")</f>
        <v/>
      </c>
      <c r="AL1219" s="86">
        <f>+IF(AG1219=$AL$22,MONTH(V1219),"")</f>
        <v>6</v>
      </c>
      <c r="AM1219" s="86" t="str">
        <f>+IF($AG1219=$AM$22,MONTH($D1219),"")</f>
        <v/>
      </c>
      <c r="AN1219" s="89" t="str">
        <f>+IF($AG1219=AN$22,MONTH($D1219),"")</f>
        <v/>
      </c>
      <c r="AO1219" s="89" t="str">
        <f>+IF($AG1219=AO$22,MONTH($D1219),"")</f>
        <v/>
      </c>
      <c r="AP1219" s="89" t="str">
        <f>+IF($AG1219=AP$22,MONTH($D1219),"")</f>
        <v/>
      </c>
      <c r="AQ1219" s="89" t="str">
        <f>+IF($AG1219=AQ$22,MONTH($D1219),"")</f>
        <v/>
      </c>
      <c r="AR1219" s="89" t="str">
        <f>+IF($AG1219=AR$22,MONTH($D1219),"")</f>
        <v/>
      </c>
      <c r="AS1219" s="89" t="str">
        <f>+IF($AG1219=AS$22,MONTH($D1219),"")</f>
        <v/>
      </c>
      <c r="AT1219" s="89" t="str">
        <f>+IF($AG1219=AT$22,MONTH($D1219),"")</f>
        <v/>
      </c>
      <c r="AU1219" s="89" t="str">
        <f>+IF($AG1219=AU$22,MONTH($D1219),"")</f>
        <v/>
      </c>
      <c r="AV1219" s="89" t="str">
        <f>+IF($AG1219=AV$22,MONTH($D1219),"")</f>
        <v/>
      </c>
      <c r="AW1219" s="86" t="str">
        <f>+IF($AG1219=AW$22,MONTH($D1219),"")</f>
        <v/>
      </c>
      <c r="AX1219" s="86" t="str">
        <f>+IF($AG1219=AX$22,MONTH($D1219),"")</f>
        <v/>
      </c>
      <c r="AY1219" s="89"/>
      <c r="AZ1219" s="89"/>
      <c r="BA1219" s="89"/>
      <c r="BB1219" s="89"/>
      <c r="BC1219" s="89"/>
      <c r="BD1219" s="89"/>
      <c r="BE1219" s="89"/>
      <c r="BF1219" s="89"/>
      <c r="BG1219" s="89"/>
      <c r="BH1219" s="89"/>
      <c r="BI1219" s="89"/>
      <c r="BJ1219" s="89"/>
      <c r="BK1219" s="89"/>
      <c r="BL1219" s="89"/>
      <c r="BM1219" s="89"/>
      <c r="BN1219" s="89"/>
      <c r="BO1219" s="89"/>
      <c r="BP1219" s="89"/>
    </row>
    <row r="1220" spans="1:68" s="56" customFormat="1" ht="27" hidden="1">
      <c r="A1220" s="204" t="str">
        <f>+IFERROR(VALUE(MID(AB1220,4,4)),"")</f>
        <v/>
      </c>
      <c r="B1220" s="204">
        <f>VALUE(RIGHT(C1220,LEN(C1220)-2))</f>
        <v>1503</v>
      </c>
      <c r="C1220" s="74" t="s">
        <v>4641</v>
      </c>
      <c r="D1220" s="75">
        <v>44678</v>
      </c>
      <c r="E1220" s="70" t="s">
        <v>758</v>
      </c>
      <c r="F1220" s="70" t="s">
        <v>758</v>
      </c>
      <c r="G1220" s="68" t="s">
        <v>4642</v>
      </c>
      <c r="H1220" s="59" t="s">
        <v>4643</v>
      </c>
      <c r="I1220" s="69" t="s">
        <v>4644</v>
      </c>
      <c r="J1220" s="69"/>
      <c r="K1220" s="95" t="s">
        <v>18</v>
      </c>
      <c r="L1220" s="69" t="s">
        <v>120</v>
      </c>
      <c r="M1220" s="71" t="s">
        <v>113</v>
      </c>
      <c r="N1220" s="69" t="e" vm="4">
        <v>#VALUE!</v>
      </c>
      <c r="O1220" s="84">
        <v>44683</v>
      </c>
      <c r="P1220" s="82" t="s">
        <v>402</v>
      </c>
      <c r="Q1220" s="82" t="s">
        <v>229</v>
      </c>
      <c r="R1220" s="69"/>
      <c r="S1220" s="146" t="s">
        <v>2469</v>
      </c>
      <c r="T1220" s="68" t="s">
        <v>165</v>
      </c>
      <c r="U1220" s="87"/>
      <c r="V1220" s="80">
        <v>44837</v>
      </c>
      <c r="W1220" s="73">
        <v>500</v>
      </c>
      <c r="X1220" s="73">
        <v>23</v>
      </c>
      <c r="Y1220" s="83">
        <f>IF(SUM(W1220:W1220)&gt;0,X1220/SUM(W1220:W1220)*1000000,"N/A")</f>
        <v>46000</v>
      </c>
      <c r="Z1220" s="80"/>
      <c r="AA1220" s="80"/>
      <c r="AB1220" s="73"/>
      <c r="AC1220" s="153"/>
      <c r="AD1220" s="331"/>
      <c r="AE1220" s="57"/>
      <c r="AF1220" s="88"/>
      <c r="AG1220" s="182">
        <f>YEAR(D1220)</f>
        <v>2022</v>
      </c>
      <c r="AH1220" s="86" t="str">
        <f>+IF(AE1220=$AJ$22,MONTH(T1220),"")</f>
        <v/>
      </c>
      <c r="AI1220" s="86" t="str">
        <f>+IF(AF1220=$AJ$22,MONTH(U1220),"")</f>
        <v/>
      </c>
      <c r="AJ1220" s="86" t="str">
        <f>+IF(AG1220=$AJ$22,MONTH(V1220),"")</f>
        <v/>
      </c>
      <c r="AK1220" s="86" t="str">
        <f>+IF(AG1220=$AK$22,MONTH(V1220),"")</f>
        <v/>
      </c>
      <c r="AL1220" s="86">
        <f>+IF(AG1220=$AL$22,MONTH(V1220),"")</f>
        <v>10</v>
      </c>
      <c r="AM1220" s="86" t="str">
        <f>+IF($AG1220=$AM$22,MONTH($D1220),"")</f>
        <v/>
      </c>
      <c r="AN1220" s="89" t="str">
        <f>+IF($AG1220=AN$22,MONTH($D1220),"")</f>
        <v/>
      </c>
      <c r="AO1220" s="89" t="str">
        <f>+IF($AG1220=AO$22,MONTH($D1220),"")</f>
        <v/>
      </c>
      <c r="AP1220" s="89" t="str">
        <f>+IF($AG1220=AP$22,MONTH($D1220),"")</f>
        <v/>
      </c>
      <c r="AQ1220" s="89" t="str">
        <f>+IF($AG1220=AQ$22,MONTH($D1220),"")</f>
        <v/>
      </c>
      <c r="AR1220" s="89" t="str">
        <f>+IF($AG1220=AR$22,MONTH($D1220),"")</f>
        <v/>
      </c>
      <c r="AS1220" s="89" t="str">
        <f>+IF($AG1220=AS$22,MONTH($D1220),"")</f>
        <v/>
      </c>
      <c r="AT1220" s="89" t="str">
        <f>+IF($AG1220=AT$22,MONTH($D1220),"")</f>
        <v/>
      </c>
      <c r="AU1220" s="89" t="str">
        <f>+IF($AG1220=AU$22,MONTH($D1220),"")</f>
        <v/>
      </c>
      <c r="AV1220" s="89" t="str">
        <f>+IF($AG1220=AV$22,MONTH($D1220),"")</f>
        <v/>
      </c>
      <c r="AW1220" s="86" t="str">
        <f>+IF($AG1220=AW$22,MONTH($D1220),"")</f>
        <v/>
      </c>
      <c r="AX1220" s="86" t="str">
        <f>+IF($AG1220=AX$22,MONTH($D1220),"")</f>
        <v/>
      </c>
      <c r="AY1220" s="89"/>
      <c r="AZ1220" s="89"/>
      <c r="BA1220" s="89"/>
      <c r="BB1220" s="89"/>
      <c r="BC1220" s="89"/>
      <c r="BD1220" s="89"/>
      <c r="BE1220" s="89"/>
      <c r="BF1220" s="89"/>
      <c r="BG1220" s="89"/>
      <c r="BH1220" s="89"/>
      <c r="BI1220" s="89"/>
      <c r="BJ1220" s="89"/>
      <c r="BK1220" s="89"/>
      <c r="BL1220" s="89"/>
      <c r="BM1220" s="89"/>
      <c r="BN1220" s="89"/>
      <c r="BO1220" s="89"/>
      <c r="BP1220" s="89"/>
    </row>
    <row r="1221" spans="1:68" s="56" customFormat="1" ht="135" hidden="1">
      <c r="A1221" s="204" t="str">
        <f>+IFERROR(VALUE(MID(AB1221,4,4)),"")</f>
        <v/>
      </c>
      <c r="B1221" s="204">
        <f>VALUE(RIGHT(C1221,LEN(C1221)-2))</f>
        <v>1502</v>
      </c>
      <c r="C1221" s="74" t="s">
        <v>4645</v>
      </c>
      <c r="D1221" s="75">
        <v>44678</v>
      </c>
      <c r="E1221" s="70" t="s">
        <v>53</v>
      </c>
      <c r="F1221" s="70" t="s">
        <v>313</v>
      </c>
      <c r="G1221" s="68"/>
      <c r="H1221" s="59"/>
      <c r="I1221" s="69" t="s">
        <v>4646</v>
      </c>
      <c r="J1221" s="69"/>
      <c r="K1221" s="68" t="s">
        <v>227</v>
      </c>
      <c r="L1221" s="69" t="s">
        <v>123</v>
      </c>
      <c r="M1221" s="71" t="s">
        <v>141</v>
      </c>
      <c r="N1221" s="69" t="e" vm="1">
        <v>#VALUE!</v>
      </c>
      <c r="O1221" s="84">
        <v>44698</v>
      </c>
      <c r="P1221" s="72" t="s">
        <v>228</v>
      </c>
      <c r="Q1221" s="72" t="s">
        <v>229</v>
      </c>
      <c r="R1221" s="162"/>
      <c r="S1221" s="146" t="s">
        <v>838</v>
      </c>
      <c r="T1221" s="68" t="s">
        <v>165</v>
      </c>
      <c r="U1221" s="87"/>
      <c r="V1221" s="80">
        <v>44867</v>
      </c>
      <c r="W1221" s="145" t="str">
        <f>+IF(K1221="PRE","N/A","")</f>
        <v>N/A</v>
      </c>
      <c r="X1221" s="73"/>
      <c r="Y1221" s="83" t="str">
        <f>IF(SUM(W1221:W1221)&gt;0,X1221/SUM(W1221:W1221)*1000000,"N/A")</f>
        <v>N/A</v>
      </c>
      <c r="Z1221" s="80"/>
      <c r="AA1221" s="80"/>
      <c r="AB1221" s="73"/>
      <c r="AC1221" s="153"/>
      <c r="AD1221" s="331"/>
      <c r="AE1221" s="57"/>
      <c r="AF1221" s="88" t="s">
        <v>4646</v>
      </c>
      <c r="AG1221" s="182">
        <f>YEAR(D1221)</f>
        <v>2022</v>
      </c>
      <c r="AH1221" s="86" t="str">
        <f>+IF(AE1221=$AJ$22,MONTH(T1221),"")</f>
        <v/>
      </c>
      <c r="AI1221" s="86" t="str">
        <f>+IF(AF1221=$AJ$22,MONTH(U1221),"")</f>
        <v/>
      </c>
      <c r="AJ1221" s="86" t="str">
        <f>+IF(AG1221=$AJ$22,MONTH(V1221),"")</f>
        <v/>
      </c>
      <c r="AK1221" s="86" t="str">
        <f>+IF(AG1221=$AK$22,MONTH(V1221),"")</f>
        <v/>
      </c>
      <c r="AL1221" s="86">
        <f>+IF(AG1221=$AL$22,MONTH(V1221),"")</f>
        <v>11</v>
      </c>
      <c r="AM1221" s="86" t="str">
        <f>+IF($AG1221=$AM$22,MONTH($D1221),"")</f>
        <v/>
      </c>
      <c r="AN1221" s="89" t="str">
        <f>+IF($AG1221=AN$22,MONTH($D1221),"")</f>
        <v/>
      </c>
      <c r="AO1221" s="89" t="str">
        <f>+IF($AG1221=AO$22,MONTH($D1221),"")</f>
        <v/>
      </c>
      <c r="AP1221" s="89" t="str">
        <f>+IF($AG1221=AP$22,MONTH($D1221),"")</f>
        <v/>
      </c>
      <c r="AQ1221" s="89" t="str">
        <f>+IF($AG1221=AQ$22,MONTH($D1221),"")</f>
        <v/>
      </c>
      <c r="AR1221" s="89" t="str">
        <f>+IF($AG1221=AR$22,MONTH($D1221),"")</f>
        <v/>
      </c>
      <c r="AS1221" s="89" t="str">
        <f>+IF($AG1221=AS$22,MONTH($D1221),"")</f>
        <v/>
      </c>
      <c r="AT1221" s="89" t="str">
        <f>+IF($AG1221=AT$22,MONTH($D1221),"")</f>
        <v/>
      </c>
      <c r="AU1221" s="89" t="str">
        <f>+IF($AG1221=AU$22,MONTH($D1221),"")</f>
        <v/>
      </c>
      <c r="AV1221" s="89" t="str">
        <f>+IF($AG1221=AV$22,MONTH($D1221),"")</f>
        <v/>
      </c>
      <c r="AW1221" s="86" t="str">
        <f>+IF($AG1221=AW$22,MONTH($D1221),"")</f>
        <v/>
      </c>
      <c r="AX1221" s="86" t="str">
        <f>+IF($AG1221=AX$22,MONTH($D1221),"")</f>
        <v/>
      </c>
      <c r="AY1221" s="89"/>
      <c r="AZ1221" s="89"/>
      <c r="BA1221" s="89"/>
      <c r="BB1221" s="89"/>
      <c r="BC1221" s="89"/>
      <c r="BD1221" s="89"/>
      <c r="BE1221" s="89"/>
      <c r="BF1221" s="89"/>
      <c r="BG1221" s="89"/>
      <c r="BH1221" s="89"/>
      <c r="BI1221" s="89"/>
      <c r="BJ1221" s="89"/>
      <c r="BK1221" s="89"/>
      <c r="BL1221" s="89"/>
      <c r="BM1221" s="89"/>
      <c r="BN1221" s="89"/>
      <c r="BO1221" s="89"/>
      <c r="BP1221" s="89"/>
    </row>
    <row r="1222" spans="1:68" s="56" customFormat="1" ht="40.5" hidden="1" customHeight="1">
      <c r="A1222" s="204">
        <f>+IFERROR(VALUE(MID(AB1222,4,4)),"")</f>
        <v>324</v>
      </c>
      <c r="B1222" s="204">
        <f>VALUE(RIGHT(C1222,LEN(C1222)-2))</f>
        <v>1501</v>
      </c>
      <c r="C1222" s="74" t="s">
        <v>4647</v>
      </c>
      <c r="D1222" s="75">
        <v>44673</v>
      </c>
      <c r="E1222" s="70" t="s">
        <v>4648</v>
      </c>
      <c r="F1222" s="70" t="s">
        <v>4648</v>
      </c>
      <c r="G1222" s="68" t="s">
        <v>4175</v>
      </c>
      <c r="H1222" s="59" t="s">
        <v>4176</v>
      </c>
      <c r="I1222" s="69" t="s">
        <v>4649</v>
      </c>
      <c r="J1222" s="69"/>
      <c r="K1222" s="95" t="s">
        <v>4650</v>
      </c>
      <c r="L1222" s="69" t="s">
        <v>123</v>
      </c>
      <c r="M1222" s="71" t="s">
        <v>141</v>
      </c>
      <c r="N1222" s="69" t="e" vm="1">
        <v>#VALUE!</v>
      </c>
      <c r="O1222" s="84">
        <v>44895</v>
      </c>
      <c r="P1222" s="82" t="s">
        <v>749</v>
      </c>
      <c r="Q1222" s="82" t="s">
        <v>229</v>
      </c>
      <c r="R1222" s="69"/>
      <c r="S1222" s="146" t="s">
        <v>4651</v>
      </c>
      <c r="T1222" s="68" t="s">
        <v>3</v>
      </c>
      <c r="U1222" s="87"/>
      <c r="V1222" s="80">
        <v>44944</v>
      </c>
      <c r="W1222" s="73">
        <v>1181</v>
      </c>
      <c r="X1222" s="73">
        <f>1536*35850/1000000</f>
        <v>55.065600000000003</v>
      </c>
      <c r="Y1222" s="83">
        <f>IF(SUM(W1222:W1222)&gt;0,X1222/SUM(W1222:W1222)*1000000,"N/A")</f>
        <v>46626.248941574937</v>
      </c>
      <c r="Z1222" s="80"/>
      <c r="AA1222" s="80"/>
      <c r="AB1222" s="73" t="s">
        <v>4652</v>
      </c>
      <c r="AC1222" s="153"/>
      <c r="AD1222" s="331"/>
      <c r="AE1222" s="57"/>
      <c r="AF1222" s="88"/>
      <c r="AG1222" s="182">
        <f>YEAR(V1222)</f>
        <v>2023</v>
      </c>
      <c r="AH1222" s="86" t="str">
        <f>+IF(AE1222=$AJ$22,MONTH(T1222),"")</f>
        <v/>
      </c>
      <c r="AI1222" s="86" t="str">
        <f>+IF(AF1222=$AJ$22,MONTH(U1222),"")</f>
        <v/>
      </c>
      <c r="AJ1222" s="86" t="str">
        <f>+IF(AG1222=$AJ$22,MONTH(V1222),"")</f>
        <v/>
      </c>
      <c r="AK1222" s="86">
        <f>+IF(AG1222=$AK$22,MONTH(V1222),"")</f>
        <v>1</v>
      </c>
      <c r="AL1222" s="86" t="str">
        <f>+IF(AG1222=$AL$22,MONTH(V1222),"")</f>
        <v/>
      </c>
      <c r="AM1222" s="86" t="str">
        <f>+IF($AG1222=$AM$22,MONTH($D1222),"")</f>
        <v/>
      </c>
      <c r="AN1222" s="89" t="str">
        <f>+IF($AG1222=AN$22,MONTH($D1222),"")</f>
        <v/>
      </c>
      <c r="AO1222" s="89" t="str">
        <f>+IF($AG1222=AO$22,MONTH($D1222),"")</f>
        <v/>
      </c>
      <c r="AP1222" s="89" t="str">
        <f>+IF($AG1222=AP$22,MONTH($D1222),"")</f>
        <v/>
      </c>
      <c r="AQ1222" s="89" t="str">
        <f>+IF($AG1222=AQ$22,MONTH($D1222),"")</f>
        <v/>
      </c>
      <c r="AR1222" s="89" t="str">
        <f>+IF($AG1222=AR$22,MONTH($D1222),"")</f>
        <v/>
      </c>
      <c r="AS1222" s="89" t="str">
        <f>+IF($AG1222=AS$22,MONTH($D1222),"")</f>
        <v/>
      </c>
      <c r="AT1222" s="89" t="str">
        <f>+IF($AG1222=AT$22,MONTH($D1222),"")</f>
        <v/>
      </c>
      <c r="AU1222" s="89" t="str">
        <f>+IF($AG1222=AU$22,MONTH($D1222),"")</f>
        <v/>
      </c>
      <c r="AV1222" s="89" t="str">
        <f>+IF($AG1222=AV$22,MONTH($D1222),"")</f>
        <v/>
      </c>
      <c r="AW1222" s="86" t="str">
        <f>+IF($AG1222=AW$22,MONTH($D1222),"")</f>
        <v/>
      </c>
      <c r="AX1222" s="86" t="str">
        <f>+IF($AG1222=AX$22,MONTH($D1222),"")</f>
        <v/>
      </c>
      <c r="AY1222" s="89"/>
      <c r="AZ1222" s="89"/>
      <c r="BA1222" s="89"/>
      <c r="BB1222" s="89"/>
      <c r="BC1222" s="89"/>
      <c r="BD1222" s="89"/>
      <c r="BE1222" s="89"/>
      <c r="BF1222" s="89"/>
      <c r="BG1222" s="89"/>
      <c r="BH1222" s="89"/>
      <c r="BI1222" s="89"/>
      <c r="BJ1222" s="89"/>
      <c r="BK1222" s="89"/>
      <c r="BL1222" s="89"/>
      <c r="BM1222" s="89"/>
      <c r="BN1222" s="89"/>
      <c r="BO1222" s="89"/>
      <c r="BP1222" s="89"/>
    </row>
    <row r="1223" spans="1:68" s="56" customFormat="1" ht="27" hidden="1">
      <c r="A1223" s="204" t="str">
        <f>+IFERROR(VALUE(MID(AB1223,4,4)),"")</f>
        <v/>
      </c>
      <c r="B1223" s="204">
        <f>VALUE(RIGHT(C1223,LEN(C1223)-2))</f>
        <v>1500</v>
      </c>
      <c r="C1223" s="74" t="s">
        <v>4653</v>
      </c>
      <c r="D1223" s="75">
        <v>44673</v>
      </c>
      <c r="E1223" s="70" t="s">
        <v>394</v>
      </c>
      <c r="F1223" s="70" t="s">
        <v>2269</v>
      </c>
      <c r="G1223" s="68" t="s">
        <v>2270</v>
      </c>
      <c r="H1223" s="59" t="s">
        <v>2271</v>
      </c>
      <c r="I1223" s="69" t="s">
        <v>4654</v>
      </c>
      <c r="J1223" s="69"/>
      <c r="K1223" s="95" t="s">
        <v>13</v>
      </c>
      <c r="L1223" s="69" t="s">
        <v>120</v>
      </c>
      <c r="M1223" s="71" t="s">
        <v>141</v>
      </c>
      <c r="N1223" s="69" t="e" vm="1">
        <v>#VALUE!</v>
      </c>
      <c r="O1223" s="84">
        <v>44679</v>
      </c>
      <c r="P1223" s="82" t="s">
        <v>402</v>
      </c>
      <c r="Q1223" s="82" t="s">
        <v>623</v>
      </c>
      <c r="R1223" s="69"/>
      <c r="S1223" s="146" t="s">
        <v>4655</v>
      </c>
      <c r="T1223" s="68" t="s">
        <v>165</v>
      </c>
      <c r="U1223" s="87"/>
      <c r="V1223" s="80">
        <v>44837</v>
      </c>
      <c r="W1223" s="73">
        <v>27053</v>
      </c>
      <c r="X1223" s="73">
        <v>922</v>
      </c>
      <c r="Y1223" s="83">
        <f>IF(SUM(W1223:W1223)&gt;0,X1223/SUM(W1223:W1223)*1000000,"N/A")</f>
        <v>34081.247920748159</v>
      </c>
      <c r="Z1223" s="80"/>
      <c r="AA1223" s="80"/>
      <c r="AB1223" s="73"/>
      <c r="AC1223" s="153"/>
      <c r="AD1223" s="331"/>
      <c r="AE1223" s="57"/>
      <c r="AF1223" s="88"/>
      <c r="AG1223" s="182">
        <f>YEAR(D1223)</f>
        <v>2022</v>
      </c>
      <c r="AH1223" s="86" t="str">
        <f>+IF(AE1223=$AJ$22,MONTH(T1223),"")</f>
        <v/>
      </c>
      <c r="AI1223" s="86" t="str">
        <f>+IF(AF1223=$AJ$22,MONTH(U1223),"")</f>
        <v/>
      </c>
      <c r="AJ1223" s="86" t="str">
        <f>+IF(AG1223=$AJ$22,MONTH(V1223),"")</f>
        <v/>
      </c>
      <c r="AK1223" s="86" t="str">
        <f>+IF(AG1223=$AK$22,MONTH(V1223),"")</f>
        <v/>
      </c>
      <c r="AL1223" s="86">
        <f>+IF(AG1223=$AL$22,MONTH(V1223),"")</f>
        <v>10</v>
      </c>
      <c r="AM1223" s="86" t="str">
        <f>+IF($AG1223=$AM$22,MONTH($D1223),"")</f>
        <v/>
      </c>
      <c r="AN1223" s="89" t="str">
        <f>+IF($AG1223=AN$22,MONTH($D1223),"")</f>
        <v/>
      </c>
      <c r="AO1223" s="89" t="str">
        <f>+IF($AG1223=AO$22,MONTH($D1223),"")</f>
        <v/>
      </c>
      <c r="AP1223" s="89" t="str">
        <f>+IF($AG1223=AP$22,MONTH($D1223),"")</f>
        <v/>
      </c>
      <c r="AQ1223" s="89" t="str">
        <f>+IF($AG1223=AQ$22,MONTH($D1223),"")</f>
        <v/>
      </c>
      <c r="AR1223" s="89" t="str">
        <f>+IF($AG1223=AR$22,MONTH($D1223),"")</f>
        <v/>
      </c>
      <c r="AS1223" s="89" t="str">
        <f>+IF($AG1223=AS$22,MONTH($D1223),"")</f>
        <v/>
      </c>
      <c r="AT1223" s="89" t="str">
        <f>+IF($AG1223=AT$22,MONTH($D1223),"")</f>
        <v/>
      </c>
      <c r="AU1223" s="89" t="str">
        <f>+IF($AG1223=AU$22,MONTH($D1223),"")</f>
        <v/>
      </c>
      <c r="AV1223" s="89" t="str">
        <f>+IF($AG1223=AV$22,MONTH($D1223),"")</f>
        <v/>
      </c>
      <c r="AW1223" s="86" t="str">
        <f>+IF($AG1223=AW$22,MONTH($D1223),"")</f>
        <v/>
      </c>
      <c r="AX1223" s="86" t="str">
        <f>+IF($AG1223=AX$22,MONTH($D1223),"")</f>
        <v/>
      </c>
      <c r="AY1223" s="89"/>
      <c r="AZ1223" s="89"/>
      <c r="BA1223" s="89"/>
      <c r="BB1223" s="89"/>
      <c r="BC1223" s="89"/>
      <c r="BD1223" s="89"/>
      <c r="BE1223" s="89"/>
      <c r="BF1223" s="89"/>
      <c r="BG1223" s="89"/>
      <c r="BH1223" s="89"/>
      <c r="BI1223" s="89"/>
      <c r="BJ1223" s="89"/>
      <c r="BK1223" s="89"/>
      <c r="BL1223" s="89"/>
      <c r="BM1223" s="89"/>
      <c r="BN1223" s="89"/>
      <c r="BO1223" s="89"/>
      <c r="BP1223" s="89"/>
    </row>
    <row r="1224" spans="1:68" s="56" customFormat="1" ht="13.5" hidden="1">
      <c r="A1224" s="204" t="str">
        <f>+IFERROR(VALUE(MID(AB1224,4,4)),"")</f>
        <v/>
      </c>
      <c r="B1224" s="204">
        <f>VALUE(RIGHT(C1224,LEN(C1224)-2))</f>
        <v>1499</v>
      </c>
      <c r="C1224" s="74" t="s">
        <v>4656</v>
      </c>
      <c r="D1224" s="75">
        <v>44671</v>
      </c>
      <c r="E1224" s="70" t="s">
        <v>53</v>
      </c>
      <c r="F1224" s="70" t="s">
        <v>53</v>
      </c>
      <c r="G1224" s="68"/>
      <c r="H1224" s="59"/>
      <c r="I1224" s="69" t="s">
        <v>4657</v>
      </c>
      <c r="J1224" s="69"/>
      <c r="K1224" s="68" t="s">
        <v>227</v>
      </c>
      <c r="L1224" s="69" t="s">
        <v>123</v>
      </c>
      <c r="M1224" s="71" t="s">
        <v>141</v>
      </c>
      <c r="N1224" s="69" t="e" vm="1">
        <v>#VALUE!</v>
      </c>
      <c r="O1224" s="84">
        <v>44683</v>
      </c>
      <c r="P1224" s="72" t="s">
        <v>228</v>
      </c>
      <c r="Q1224" s="72" t="s">
        <v>405</v>
      </c>
      <c r="R1224" s="162"/>
      <c r="S1224" s="146" t="s">
        <v>838</v>
      </c>
      <c r="T1224" s="68" t="s">
        <v>3</v>
      </c>
      <c r="U1224" s="87"/>
      <c r="V1224" s="80">
        <v>44952</v>
      </c>
      <c r="W1224" s="145" t="str">
        <f>+IF(K1224="PRE","N/A","")</f>
        <v>N/A</v>
      </c>
      <c r="X1224" s="73"/>
      <c r="Y1224" s="83" t="str">
        <f>IF(SUM(W1224:W1224)&gt;0,X1224/SUM(W1224:W1224)*1000000,"N/A")</f>
        <v>N/A</v>
      </c>
      <c r="Z1224" s="80"/>
      <c r="AA1224" s="80"/>
      <c r="AB1224" s="73" t="s">
        <v>134</v>
      </c>
      <c r="AC1224" s="153"/>
      <c r="AD1224" s="331"/>
      <c r="AE1224" s="57"/>
      <c r="AF1224" s="88"/>
      <c r="AG1224" s="182">
        <f>YEAR(D1224)</f>
        <v>2022</v>
      </c>
      <c r="AH1224" s="86" t="str">
        <f>+IF(AE1224=$AJ$22,MONTH(T1224),"")</f>
        <v/>
      </c>
      <c r="AI1224" s="86" t="str">
        <f>+IF(AF1224=$AJ$22,MONTH(U1224),"")</f>
        <v/>
      </c>
      <c r="AJ1224" s="86" t="str">
        <f>+IF(AG1224=$AJ$22,MONTH(V1224),"")</f>
        <v/>
      </c>
      <c r="AK1224" s="86" t="str">
        <f>+IF(AG1224=$AK$22,MONTH(V1224),"")</f>
        <v/>
      </c>
      <c r="AL1224" s="86">
        <f>+IF(AG1224=$AL$22,MONTH(V1224),"")</f>
        <v>1</v>
      </c>
      <c r="AM1224" s="86" t="str">
        <f>+IF($AG1224=$AM$22,MONTH($D1224),"")</f>
        <v/>
      </c>
      <c r="AN1224" s="89" t="str">
        <f>+IF($AG1224=AN$22,MONTH($D1224),"")</f>
        <v/>
      </c>
      <c r="AO1224" s="89" t="str">
        <f>+IF($AG1224=AO$22,MONTH($D1224),"")</f>
        <v/>
      </c>
      <c r="AP1224" s="89" t="str">
        <f>+IF($AG1224=AP$22,MONTH($D1224),"")</f>
        <v/>
      </c>
      <c r="AQ1224" s="89" t="str">
        <f>+IF($AG1224=AQ$22,MONTH($D1224),"")</f>
        <v/>
      </c>
      <c r="AR1224" s="89" t="str">
        <f>+IF($AG1224=AR$22,MONTH($D1224),"")</f>
        <v/>
      </c>
      <c r="AS1224" s="89" t="str">
        <f>+IF($AG1224=AS$22,MONTH($D1224),"")</f>
        <v/>
      </c>
      <c r="AT1224" s="89" t="str">
        <f>+IF($AG1224=AT$22,MONTH($D1224),"")</f>
        <v/>
      </c>
      <c r="AU1224" s="89" t="str">
        <f>+IF($AG1224=AU$22,MONTH($D1224),"")</f>
        <v/>
      </c>
      <c r="AV1224" s="89" t="str">
        <f>+IF($AG1224=AV$22,MONTH($D1224),"")</f>
        <v/>
      </c>
      <c r="AW1224" s="86" t="str">
        <f>+IF($AG1224=AW$22,MONTH($D1224),"")</f>
        <v/>
      </c>
      <c r="AX1224" s="86" t="str">
        <f>+IF($AG1224=AX$22,MONTH($D1224),"")</f>
        <v/>
      </c>
      <c r="AY1224" s="89"/>
      <c r="AZ1224" s="89"/>
      <c r="BA1224" s="89"/>
      <c r="BB1224" s="89"/>
      <c r="BC1224" s="89"/>
      <c r="BD1224" s="89"/>
      <c r="BE1224" s="89"/>
      <c r="BF1224" s="89"/>
      <c r="BG1224" s="89"/>
      <c r="BH1224" s="89"/>
      <c r="BI1224" s="89"/>
      <c r="BJ1224" s="89"/>
      <c r="BK1224" s="89"/>
      <c r="BL1224" s="89"/>
      <c r="BM1224" s="89"/>
      <c r="BN1224" s="89"/>
      <c r="BO1224" s="89"/>
      <c r="BP1224" s="89"/>
    </row>
    <row r="1225" spans="1:68" s="56" customFormat="1" ht="94.5" hidden="1">
      <c r="A1225" s="204" t="str">
        <f>+IFERROR(VALUE(MID(AB1225,4,4)),"")</f>
        <v/>
      </c>
      <c r="B1225" s="204">
        <f>VALUE(RIGHT(C1225,LEN(C1225)-2))</f>
        <v>1498</v>
      </c>
      <c r="C1225" s="74" t="s">
        <v>4658</v>
      </c>
      <c r="D1225" s="75">
        <v>44671</v>
      </c>
      <c r="E1225" s="70" t="s">
        <v>479</v>
      </c>
      <c r="F1225" s="70" t="s">
        <v>479</v>
      </c>
      <c r="G1225" s="68"/>
      <c r="H1225" s="59"/>
      <c r="I1225" s="69" t="s">
        <v>4659</v>
      </c>
      <c r="J1225" s="69"/>
      <c r="K1225" s="95" t="s">
        <v>18</v>
      </c>
      <c r="L1225" s="69" t="s">
        <v>129</v>
      </c>
      <c r="M1225" s="71" t="s">
        <v>113</v>
      </c>
      <c r="N1225" s="69" t="e" vm="2">
        <v>#VALUE!</v>
      </c>
      <c r="O1225" s="84">
        <v>44670</v>
      </c>
      <c r="P1225" s="82" t="s">
        <v>483</v>
      </c>
      <c r="Q1225" s="82" t="s">
        <v>229</v>
      </c>
      <c r="R1225" s="69"/>
      <c r="S1225" s="146" t="s">
        <v>4660</v>
      </c>
      <c r="T1225" s="68" t="s">
        <v>165</v>
      </c>
      <c r="U1225" s="87"/>
      <c r="V1225" s="80">
        <v>44837</v>
      </c>
      <c r="W1225" s="73">
        <v>2102</v>
      </c>
      <c r="X1225" s="73">
        <v>63.5</v>
      </c>
      <c r="Y1225" s="83">
        <f>IF(SUM(W1225:W1225)&gt;0,X1225/SUM(W1225:W1225)*1000000,"N/A")</f>
        <v>30209.324452902001</v>
      </c>
      <c r="Z1225" s="80"/>
      <c r="AA1225" s="80"/>
      <c r="AB1225" s="73"/>
      <c r="AC1225" s="153"/>
      <c r="AD1225" s="331"/>
      <c r="AE1225" s="57"/>
      <c r="AF1225" s="88"/>
      <c r="AG1225" s="182">
        <f>YEAR(D1225)</f>
        <v>2022</v>
      </c>
      <c r="AH1225" s="86" t="str">
        <f>+IF(AE1225=$AJ$22,MONTH(T1225),"")</f>
        <v/>
      </c>
      <c r="AI1225" s="86" t="str">
        <f>+IF(AF1225=$AJ$22,MONTH(U1225),"")</f>
        <v/>
      </c>
      <c r="AJ1225" s="86" t="str">
        <f>+IF(AG1225=$AJ$22,MONTH(V1225),"")</f>
        <v/>
      </c>
      <c r="AK1225" s="86" t="str">
        <f>+IF(AG1225=$AK$22,MONTH(V1225),"")</f>
        <v/>
      </c>
      <c r="AL1225" s="86">
        <f>+IF(AG1225=$AL$22,MONTH(V1225),"")</f>
        <v>10</v>
      </c>
      <c r="AM1225" s="86" t="str">
        <f>+IF($AG1225=$AM$22,MONTH($D1225),"")</f>
        <v/>
      </c>
      <c r="AN1225" s="89" t="str">
        <f>+IF($AG1225=AN$22,MONTH($D1225),"")</f>
        <v/>
      </c>
      <c r="AO1225" s="89" t="str">
        <f>+IF($AG1225=AO$22,MONTH($D1225),"")</f>
        <v/>
      </c>
      <c r="AP1225" s="89" t="str">
        <f>+IF($AG1225=AP$22,MONTH($D1225),"")</f>
        <v/>
      </c>
      <c r="AQ1225" s="89" t="str">
        <f>+IF($AG1225=AQ$22,MONTH($D1225),"")</f>
        <v/>
      </c>
      <c r="AR1225" s="89" t="str">
        <f>+IF($AG1225=AR$22,MONTH($D1225),"")</f>
        <v/>
      </c>
      <c r="AS1225" s="89" t="str">
        <f>+IF($AG1225=AS$22,MONTH($D1225),"")</f>
        <v/>
      </c>
      <c r="AT1225" s="89" t="str">
        <f>+IF($AG1225=AT$22,MONTH($D1225),"")</f>
        <v/>
      </c>
      <c r="AU1225" s="89" t="str">
        <f>+IF($AG1225=AU$22,MONTH($D1225),"")</f>
        <v/>
      </c>
      <c r="AV1225" s="89" t="str">
        <f>+IF($AG1225=AV$22,MONTH($D1225),"")</f>
        <v/>
      </c>
      <c r="AW1225" s="86" t="str">
        <f>+IF($AG1225=AW$22,MONTH($D1225),"")</f>
        <v/>
      </c>
      <c r="AX1225" s="86" t="str">
        <f>+IF($AG1225=AX$22,MONTH($D1225),"")</f>
        <v/>
      </c>
      <c r="AY1225" s="89"/>
      <c r="AZ1225" s="89"/>
      <c r="BA1225" s="89"/>
      <c r="BB1225" s="89"/>
      <c r="BC1225" s="89"/>
      <c r="BD1225" s="89"/>
      <c r="BE1225" s="89"/>
      <c r="BF1225" s="89"/>
      <c r="BG1225" s="89"/>
      <c r="BH1225" s="89"/>
      <c r="BI1225" s="89"/>
      <c r="BJ1225" s="89"/>
      <c r="BK1225" s="89"/>
      <c r="BL1225" s="89"/>
      <c r="BM1225" s="89"/>
      <c r="BN1225" s="89"/>
      <c r="BO1225" s="89"/>
      <c r="BP1225" s="89"/>
    </row>
    <row r="1226" spans="1:68" s="56" customFormat="1" ht="27" hidden="1">
      <c r="A1226" s="204" t="str">
        <f>+IFERROR(VALUE(MID(AB1226,4,4)),"")</f>
        <v/>
      </c>
      <c r="B1226" s="204">
        <f>VALUE(RIGHT(C1226,LEN(C1226)-2))</f>
        <v>1497</v>
      </c>
      <c r="C1226" s="74" t="s">
        <v>4661</v>
      </c>
      <c r="D1226" s="75">
        <v>44669</v>
      </c>
      <c r="E1226" s="70" t="s">
        <v>394</v>
      </c>
      <c r="F1226" s="70" t="s">
        <v>2269</v>
      </c>
      <c r="G1226" s="68" t="s">
        <v>2270</v>
      </c>
      <c r="H1226" s="59"/>
      <c r="I1226" s="69" t="s">
        <v>4662</v>
      </c>
      <c r="J1226" s="69"/>
      <c r="K1226" s="95" t="s">
        <v>13</v>
      </c>
      <c r="L1226" s="69" t="s">
        <v>123</v>
      </c>
      <c r="M1226" s="71" t="s">
        <v>141</v>
      </c>
      <c r="N1226" s="69" t="e" vm="1">
        <v>#VALUE!</v>
      </c>
      <c r="O1226" s="84">
        <v>44686</v>
      </c>
      <c r="P1226" s="82" t="s">
        <v>402</v>
      </c>
      <c r="Q1226" s="82" t="s">
        <v>1097</v>
      </c>
      <c r="R1226" s="69"/>
      <c r="S1226" s="146"/>
      <c r="T1226" s="68" t="s">
        <v>155</v>
      </c>
      <c r="U1226" s="87"/>
      <c r="V1226" s="80">
        <v>44670</v>
      </c>
      <c r="W1226" s="73"/>
      <c r="X1226" s="73"/>
      <c r="Y1226" s="83" t="str">
        <f>IF(SUM(W1226:W1226)&gt;0,X1226/SUM(W1226:W1226)*1000000,"N/A")</f>
        <v>N/A</v>
      </c>
      <c r="Z1226" s="80"/>
      <c r="AA1226" s="80"/>
      <c r="AB1226" s="73"/>
      <c r="AC1226" s="153"/>
      <c r="AD1226" s="331"/>
      <c r="AE1226" s="57"/>
      <c r="AF1226" s="88"/>
      <c r="AG1226" s="182">
        <f>YEAR(D1226)</f>
        <v>2022</v>
      </c>
      <c r="AH1226" s="86" t="str">
        <f>+IF(AE1226=$AJ$22,MONTH(T1226),"")</f>
        <v/>
      </c>
      <c r="AI1226" s="86" t="str">
        <f>+IF(AF1226=$AJ$22,MONTH(U1226),"")</f>
        <v/>
      </c>
      <c r="AJ1226" s="86" t="str">
        <f>+IF(AG1226=$AJ$22,MONTH(V1226),"")</f>
        <v/>
      </c>
      <c r="AK1226" s="86" t="str">
        <f>+IF(AG1226=$AK$22,MONTH(V1226),"")</f>
        <v/>
      </c>
      <c r="AL1226" s="86">
        <f>+IF(AG1226=$AL$22,MONTH(V1226),"")</f>
        <v>4</v>
      </c>
      <c r="AM1226" s="86" t="str">
        <f>+IF($AG1226=$AM$22,MONTH($D1226),"")</f>
        <v/>
      </c>
      <c r="AN1226" s="89" t="str">
        <f>+IF($AG1226=AN$22,MONTH($D1226),"")</f>
        <v/>
      </c>
      <c r="AO1226" s="89" t="str">
        <f>+IF($AG1226=AO$22,MONTH($D1226),"")</f>
        <v/>
      </c>
      <c r="AP1226" s="89" t="str">
        <f>+IF($AG1226=AP$22,MONTH($D1226),"")</f>
        <v/>
      </c>
      <c r="AQ1226" s="89" t="str">
        <f>+IF($AG1226=AQ$22,MONTH($D1226),"")</f>
        <v/>
      </c>
      <c r="AR1226" s="89" t="str">
        <f>+IF($AG1226=AR$22,MONTH($D1226),"")</f>
        <v/>
      </c>
      <c r="AS1226" s="89" t="str">
        <f>+IF($AG1226=AS$22,MONTH($D1226),"")</f>
        <v/>
      </c>
      <c r="AT1226" s="89" t="str">
        <f>+IF($AG1226=AT$22,MONTH($D1226),"")</f>
        <v/>
      </c>
      <c r="AU1226" s="89" t="str">
        <f>+IF($AG1226=AU$22,MONTH($D1226),"")</f>
        <v/>
      </c>
      <c r="AV1226" s="89" t="str">
        <f>+IF($AG1226=AV$22,MONTH($D1226),"")</f>
        <v/>
      </c>
      <c r="AW1226" s="86" t="str">
        <f>+IF($AG1226=AW$22,MONTH($D1226),"")</f>
        <v/>
      </c>
      <c r="AX1226" s="86" t="str">
        <f>+IF($AG1226=AX$22,MONTH($D1226),"")</f>
        <v/>
      </c>
      <c r="AY1226" s="89"/>
      <c r="AZ1226" s="89"/>
      <c r="BA1226" s="89"/>
      <c r="BB1226" s="89"/>
      <c r="BC1226" s="89"/>
      <c r="BD1226" s="89"/>
      <c r="BE1226" s="89"/>
      <c r="BF1226" s="89"/>
      <c r="BG1226" s="89"/>
      <c r="BH1226" s="89"/>
      <c r="BI1226" s="89"/>
      <c r="BJ1226" s="89"/>
      <c r="BK1226" s="89"/>
      <c r="BL1226" s="89"/>
      <c r="BM1226" s="89"/>
      <c r="BN1226" s="89"/>
      <c r="BO1226" s="89"/>
      <c r="BP1226" s="89"/>
    </row>
    <row r="1227" spans="1:68" s="56" customFormat="1" ht="27" hidden="1">
      <c r="A1227" s="204">
        <f>+IFERROR(VALUE(MID(AB1227,4,4)),"")</f>
        <v>223</v>
      </c>
      <c r="B1227" s="204">
        <f>VALUE(RIGHT(C1227,LEN(C1227)-2))</f>
        <v>1496</v>
      </c>
      <c r="C1227" s="74" t="s">
        <v>4663</v>
      </c>
      <c r="D1227" s="75">
        <v>44669</v>
      </c>
      <c r="E1227" s="70" t="s">
        <v>4664</v>
      </c>
      <c r="F1227" s="70" t="s">
        <v>4664</v>
      </c>
      <c r="G1227" s="68"/>
      <c r="H1227" s="59"/>
      <c r="I1227" s="69" t="s">
        <v>4665</v>
      </c>
      <c r="J1227" s="69"/>
      <c r="K1227" s="95" t="s">
        <v>18</v>
      </c>
      <c r="L1227" s="69" t="s">
        <v>129</v>
      </c>
      <c r="M1227" s="71" t="s">
        <v>113</v>
      </c>
      <c r="N1227" s="69" t="e" vm="2">
        <v>#VALUE!</v>
      </c>
      <c r="O1227" s="84">
        <v>44670</v>
      </c>
      <c r="P1227" s="82" t="s">
        <v>483</v>
      </c>
      <c r="Q1227" s="82" t="s">
        <v>229</v>
      </c>
      <c r="R1227" s="69"/>
      <c r="S1227" s="146"/>
      <c r="T1227" s="68" t="s">
        <v>3</v>
      </c>
      <c r="U1227" s="87"/>
      <c r="V1227" s="80">
        <v>44691</v>
      </c>
      <c r="W1227" s="73">
        <v>135</v>
      </c>
      <c r="X1227" s="73">
        <v>4.9000000000000004</v>
      </c>
      <c r="Y1227" s="83">
        <f>IF(SUM(W1227:W1227)&gt;0,X1227/SUM(W1227:W1227)*1000000,"N/A")</f>
        <v>36296.296296296299</v>
      </c>
      <c r="Z1227" s="80"/>
      <c r="AA1227" s="80"/>
      <c r="AB1227" s="73" t="s">
        <v>4666</v>
      </c>
      <c r="AC1227" s="153"/>
      <c r="AD1227" s="331"/>
      <c r="AE1227" s="57"/>
      <c r="AF1227" s="88"/>
      <c r="AG1227" s="182">
        <f>YEAR(D1227)</f>
        <v>2022</v>
      </c>
      <c r="AH1227" s="86" t="str">
        <f>+IF(AE1227=$AJ$22,MONTH(T1227),"")</f>
        <v/>
      </c>
      <c r="AI1227" s="86" t="str">
        <f>+IF(AF1227=$AJ$22,MONTH(U1227),"")</f>
        <v/>
      </c>
      <c r="AJ1227" s="86" t="str">
        <f>+IF(AG1227=$AJ$22,MONTH(V1227),"")</f>
        <v/>
      </c>
      <c r="AK1227" s="86" t="str">
        <f>+IF(AG1227=$AK$22,MONTH(V1227),"")</f>
        <v/>
      </c>
      <c r="AL1227" s="86">
        <f>+IF(AG1227=$AL$22,MONTH(V1227),"")</f>
        <v>5</v>
      </c>
      <c r="AM1227" s="86" t="str">
        <f>+IF($AG1227=$AM$22,MONTH($D1227),"")</f>
        <v/>
      </c>
      <c r="AN1227" s="89" t="str">
        <f>+IF($AG1227=AN$22,MONTH($D1227),"")</f>
        <v/>
      </c>
      <c r="AO1227" s="89" t="str">
        <f>+IF($AG1227=AO$22,MONTH($D1227),"")</f>
        <v/>
      </c>
      <c r="AP1227" s="89" t="str">
        <f>+IF($AG1227=AP$22,MONTH($D1227),"")</f>
        <v/>
      </c>
      <c r="AQ1227" s="89" t="str">
        <f>+IF($AG1227=AQ$22,MONTH($D1227),"")</f>
        <v/>
      </c>
      <c r="AR1227" s="89" t="str">
        <f>+IF($AG1227=AR$22,MONTH($D1227),"")</f>
        <v/>
      </c>
      <c r="AS1227" s="89" t="str">
        <f>+IF($AG1227=AS$22,MONTH($D1227),"")</f>
        <v/>
      </c>
      <c r="AT1227" s="89" t="str">
        <f>+IF($AG1227=AT$22,MONTH($D1227),"")</f>
        <v/>
      </c>
      <c r="AU1227" s="89" t="str">
        <f>+IF($AG1227=AU$22,MONTH($D1227),"")</f>
        <v/>
      </c>
      <c r="AV1227" s="89" t="str">
        <f>+IF($AG1227=AV$22,MONTH($D1227),"")</f>
        <v/>
      </c>
      <c r="AW1227" s="86" t="str">
        <f>+IF($AG1227=AW$22,MONTH($D1227),"")</f>
        <v/>
      </c>
      <c r="AX1227" s="86" t="str">
        <f>+IF($AG1227=AX$22,MONTH($D1227),"")</f>
        <v/>
      </c>
      <c r="AY1227" s="89"/>
      <c r="AZ1227" s="89"/>
      <c r="BA1227" s="89"/>
      <c r="BB1227" s="89"/>
      <c r="BC1227" s="89"/>
      <c r="BD1227" s="89"/>
      <c r="BE1227" s="89"/>
      <c r="BF1227" s="89"/>
      <c r="BG1227" s="89"/>
      <c r="BH1227" s="89"/>
      <c r="BI1227" s="89"/>
      <c r="BJ1227" s="89"/>
      <c r="BK1227" s="89"/>
      <c r="BL1227" s="89"/>
      <c r="BM1227" s="89"/>
      <c r="BN1227" s="89"/>
      <c r="BO1227" s="89"/>
      <c r="BP1227" s="89"/>
    </row>
    <row r="1228" spans="1:68" s="56" customFormat="1" ht="27" hidden="1">
      <c r="A1228" s="204" t="str">
        <f>+IFERROR(VALUE(MID(AB1228,4,4)),"")</f>
        <v/>
      </c>
      <c r="B1228" s="204">
        <f>VALUE(RIGHT(C1228,LEN(C1228)-2))</f>
        <v>1495</v>
      </c>
      <c r="C1228" s="74" t="s">
        <v>4667</v>
      </c>
      <c r="D1228" s="75">
        <v>44665</v>
      </c>
      <c r="E1228" s="70" t="s">
        <v>92</v>
      </c>
      <c r="F1228" s="70" t="s">
        <v>4668</v>
      </c>
      <c r="G1228" s="68"/>
      <c r="H1228" s="59" t="s">
        <v>4669</v>
      </c>
      <c r="I1228" s="69" t="s">
        <v>4670</v>
      </c>
      <c r="J1228" s="69"/>
      <c r="K1228" s="95" t="s">
        <v>11</v>
      </c>
      <c r="L1228" s="69" t="s">
        <v>120</v>
      </c>
      <c r="M1228" s="71" t="s">
        <v>141</v>
      </c>
      <c r="N1228" s="69" t="e" vm="1">
        <v>#VALUE!</v>
      </c>
      <c r="O1228" s="84">
        <v>44665</v>
      </c>
      <c r="P1228" s="82" t="s">
        <v>4567</v>
      </c>
      <c r="Q1228" s="82" t="s">
        <v>229</v>
      </c>
      <c r="R1228" s="69"/>
      <c r="S1228" s="146" t="s">
        <v>2509</v>
      </c>
      <c r="T1228" s="68" t="s">
        <v>165</v>
      </c>
      <c r="U1228" s="87"/>
      <c r="V1228" s="80">
        <v>44837</v>
      </c>
      <c r="W1228" s="73">
        <v>2640</v>
      </c>
      <c r="X1228" s="73">
        <v>133.80000000000001</v>
      </c>
      <c r="Y1228" s="83">
        <f>IF(SUM(W1228:W1228)&gt;0,X1228/SUM(W1228:W1228)*1000000,"N/A")</f>
        <v>50681.818181818191</v>
      </c>
      <c r="Z1228" s="80"/>
      <c r="AA1228" s="80"/>
      <c r="AB1228" s="73"/>
      <c r="AC1228" s="153"/>
      <c r="AD1228" s="331"/>
      <c r="AE1228" s="57"/>
      <c r="AF1228" s="88"/>
      <c r="AG1228" s="182">
        <f>YEAR(D1228)</f>
        <v>2022</v>
      </c>
      <c r="AH1228" s="86" t="str">
        <f>+IF(AE1228=$AJ$22,MONTH(T1228),"")</f>
        <v/>
      </c>
      <c r="AI1228" s="86" t="str">
        <f>+IF(AF1228=$AJ$22,MONTH(U1228),"")</f>
        <v/>
      </c>
      <c r="AJ1228" s="86" t="str">
        <f>+IF(AG1228=$AJ$22,MONTH(V1228),"")</f>
        <v/>
      </c>
      <c r="AK1228" s="86" t="str">
        <f>+IF(AG1228=$AK$22,MONTH(V1228),"")</f>
        <v/>
      </c>
      <c r="AL1228" s="86">
        <f>+IF(AG1228=$AL$22,MONTH(V1228),"")</f>
        <v>10</v>
      </c>
      <c r="AM1228" s="86" t="str">
        <f>+IF($AG1228=$AM$22,MONTH($D1228),"")</f>
        <v/>
      </c>
      <c r="AN1228" s="89" t="str">
        <f>+IF($AG1228=AN$22,MONTH($D1228),"")</f>
        <v/>
      </c>
      <c r="AO1228" s="89" t="str">
        <f>+IF($AG1228=AO$22,MONTH($D1228),"")</f>
        <v/>
      </c>
      <c r="AP1228" s="89" t="str">
        <f>+IF($AG1228=AP$22,MONTH($D1228),"")</f>
        <v/>
      </c>
      <c r="AQ1228" s="89" t="str">
        <f>+IF($AG1228=AQ$22,MONTH($D1228),"")</f>
        <v/>
      </c>
      <c r="AR1228" s="89" t="str">
        <f>+IF($AG1228=AR$22,MONTH($D1228),"")</f>
        <v/>
      </c>
      <c r="AS1228" s="89" t="str">
        <f>+IF($AG1228=AS$22,MONTH($D1228),"")</f>
        <v/>
      </c>
      <c r="AT1228" s="89" t="str">
        <f>+IF($AG1228=AT$22,MONTH($D1228),"")</f>
        <v/>
      </c>
      <c r="AU1228" s="89" t="str">
        <f>+IF($AG1228=AU$22,MONTH($D1228),"")</f>
        <v/>
      </c>
      <c r="AV1228" s="89" t="str">
        <f>+IF($AG1228=AV$22,MONTH($D1228),"")</f>
        <v/>
      </c>
      <c r="AW1228" s="86" t="str">
        <f>+IF($AG1228=AW$22,MONTH($D1228),"")</f>
        <v/>
      </c>
      <c r="AX1228" s="86" t="str">
        <f>+IF($AG1228=AX$22,MONTH($D1228),"")</f>
        <v/>
      </c>
      <c r="AY1228" s="89"/>
      <c r="AZ1228" s="89"/>
      <c r="BA1228" s="89"/>
      <c r="BB1228" s="89"/>
      <c r="BC1228" s="89"/>
      <c r="BD1228" s="89"/>
      <c r="BE1228" s="89"/>
      <c r="BF1228" s="89"/>
      <c r="BG1228" s="89"/>
      <c r="BH1228" s="89"/>
      <c r="BI1228" s="89"/>
      <c r="BJ1228" s="89"/>
      <c r="BK1228" s="89"/>
      <c r="BL1228" s="89"/>
      <c r="BM1228" s="89"/>
      <c r="BN1228" s="89"/>
      <c r="BO1228" s="89"/>
      <c r="BP1228" s="89"/>
    </row>
    <row r="1229" spans="1:68" s="56" customFormat="1" ht="13.5" hidden="1">
      <c r="A1229" s="204" t="str">
        <f>+IFERROR(VALUE(MID(AB1229,4,4)),"")</f>
        <v/>
      </c>
      <c r="B1229" s="204">
        <f>VALUE(RIGHT(C1229,LEN(C1229)-2))</f>
        <v>1494</v>
      </c>
      <c r="C1229" s="74" t="s">
        <v>4671</v>
      </c>
      <c r="D1229" s="75">
        <v>44664</v>
      </c>
      <c r="E1229" s="70" t="s">
        <v>479</v>
      </c>
      <c r="F1229" s="70" t="s">
        <v>479</v>
      </c>
      <c r="G1229" s="68"/>
      <c r="H1229" s="59"/>
      <c r="I1229" s="69" t="s">
        <v>4672</v>
      </c>
      <c r="J1229" s="69"/>
      <c r="K1229" s="95" t="s">
        <v>13</v>
      </c>
      <c r="L1229" s="69" t="s">
        <v>129</v>
      </c>
      <c r="M1229" s="71" t="s">
        <v>113</v>
      </c>
      <c r="N1229" s="69" t="e" vm="2">
        <v>#VALUE!</v>
      </c>
      <c r="O1229" s="84">
        <v>44669</v>
      </c>
      <c r="P1229" s="82" t="s">
        <v>483</v>
      </c>
      <c r="Q1229" s="82" t="s">
        <v>229</v>
      </c>
      <c r="R1229" s="69"/>
      <c r="S1229" s="146" t="s">
        <v>4673</v>
      </c>
      <c r="T1229" s="68" t="s">
        <v>165</v>
      </c>
      <c r="U1229" s="87"/>
      <c r="V1229" s="80">
        <v>44684</v>
      </c>
      <c r="W1229" s="73">
        <v>1407</v>
      </c>
      <c r="X1229" s="73">
        <v>42.5</v>
      </c>
      <c r="Y1229" s="83">
        <f>IF(SUM(W1229:W1229)&gt;0,X1229/SUM(W1229:W1229)*1000000,"N/A")</f>
        <v>30206.112295664534</v>
      </c>
      <c r="Z1229" s="80"/>
      <c r="AA1229" s="80"/>
      <c r="AB1229" s="73"/>
      <c r="AC1229" s="153"/>
      <c r="AD1229" s="331"/>
      <c r="AE1229" s="57"/>
      <c r="AF1229" s="88"/>
      <c r="AG1229" s="182">
        <f>YEAR(D1229)</f>
        <v>2022</v>
      </c>
      <c r="AH1229" s="86" t="str">
        <f>+IF(AE1229=$AJ$22,MONTH(T1229),"")</f>
        <v/>
      </c>
      <c r="AI1229" s="86" t="str">
        <f>+IF(AF1229=$AJ$22,MONTH(U1229),"")</f>
        <v/>
      </c>
      <c r="AJ1229" s="86" t="str">
        <f>+IF(AG1229=$AJ$22,MONTH(V1229),"")</f>
        <v/>
      </c>
      <c r="AK1229" s="86" t="str">
        <f>+IF(AG1229=$AK$22,MONTH(V1229),"")</f>
        <v/>
      </c>
      <c r="AL1229" s="86">
        <f>+IF(AG1229=$AL$22,MONTH(V1229),"")</f>
        <v>5</v>
      </c>
      <c r="AM1229" s="86" t="str">
        <f>+IF($AG1229=$AM$22,MONTH($D1229),"")</f>
        <v/>
      </c>
      <c r="AN1229" s="89" t="str">
        <f>+IF($AG1229=AN$22,MONTH($D1229),"")</f>
        <v/>
      </c>
      <c r="AO1229" s="89" t="str">
        <f>+IF($AG1229=AO$22,MONTH($D1229),"")</f>
        <v/>
      </c>
      <c r="AP1229" s="89" t="str">
        <f>+IF($AG1229=AP$22,MONTH($D1229),"")</f>
        <v/>
      </c>
      <c r="AQ1229" s="89" t="str">
        <f>+IF($AG1229=AQ$22,MONTH($D1229),"")</f>
        <v/>
      </c>
      <c r="AR1229" s="89" t="str">
        <f>+IF($AG1229=AR$22,MONTH($D1229),"")</f>
        <v/>
      </c>
      <c r="AS1229" s="89" t="str">
        <f>+IF($AG1229=AS$22,MONTH($D1229),"")</f>
        <v/>
      </c>
      <c r="AT1229" s="89" t="str">
        <f>+IF($AG1229=AT$22,MONTH($D1229),"")</f>
        <v/>
      </c>
      <c r="AU1229" s="89" t="str">
        <f>+IF($AG1229=AU$22,MONTH($D1229),"")</f>
        <v/>
      </c>
      <c r="AV1229" s="89" t="str">
        <f>+IF($AG1229=AV$22,MONTH($D1229),"")</f>
        <v/>
      </c>
      <c r="AW1229" s="86" t="str">
        <f>+IF($AG1229=AW$22,MONTH($D1229),"")</f>
        <v/>
      </c>
      <c r="AX1229" s="86" t="str">
        <f>+IF($AG1229=AX$22,MONTH($D1229),"")</f>
        <v/>
      </c>
      <c r="AY1229" s="89"/>
      <c r="AZ1229" s="89"/>
      <c r="BA1229" s="89"/>
      <c r="BB1229" s="89"/>
      <c r="BC1229" s="89"/>
      <c r="BD1229" s="89"/>
      <c r="BE1229" s="89"/>
      <c r="BF1229" s="89"/>
      <c r="BG1229" s="89"/>
      <c r="BH1229" s="89"/>
      <c r="BI1229" s="89"/>
      <c r="BJ1229" s="89"/>
      <c r="BK1229" s="89"/>
      <c r="BL1229" s="89"/>
      <c r="BM1229" s="89"/>
      <c r="BN1229" s="89"/>
      <c r="BO1229" s="89"/>
      <c r="BP1229" s="89"/>
    </row>
    <row r="1230" spans="1:68" s="56" customFormat="1" ht="27" hidden="1">
      <c r="A1230" s="204" t="str">
        <f>+IFERROR(VALUE(MID(AB1230,4,4)),"")</f>
        <v/>
      </c>
      <c r="B1230" s="204">
        <f>VALUE(RIGHT(C1230,LEN(C1230)-2))</f>
        <v>1493</v>
      </c>
      <c r="C1230" s="74" t="s">
        <v>4674</v>
      </c>
      <c r="D1230" s="75">
        <v>44665</v>
      </c>
      <c r="E1230" s="70" t="s">
        <v>332</v>
      </c>
      <c r="F1230" s="70" t="s">
        <v>332</v>
      </c>
      <c r="G1230" s="68" t="s">
        <v>4675</v>
      </c>
      <c r="H1230" s="59" t="s">
        <v>4669</v>
      </c>
      <c r="I1230" s="69" t="s">
        <v>4676</v>
      </c>
      <c r="J1230" s="69"/>
      <c r="K1230" s="95" t="s">
        <v>13</v>
      </c>
      <c r="L1230" s="68" t="s">
        <v>120</v>
      </c>
      <c r="M1230" s="71" t="s">
        <v>141</v>
      </c>
      <c r="N1230" s="69" t="e" vm="1">
        <v>#VALUE!</v>
      </c>
      <c r="O1230" s="84">
        <v>44665</v>
      </c>
      <c r="P1230" s="82" t="s">
        <v>402</v>
      </c>
      <c r="Q1230" s="82" t="s">
        <v>1097</v>
      </c>
      <c r="R1230" s="69"/>
      <c r="S1230" s="146" t="s">
        <v>2509</v>
      </c>
      <c r="T1230" s="68" t="s">
        <v>165</v>
      </c>
      <c r="U1230" s="87"/>
      <c r="V1230" s="80">
        <v>45019</v>
      </c>
      <c r="W1230" s="73">
        <v>1134</v>
      </c>
      <c r="X1230" s="73">
        <f>1152*31800/1000000</f>
        <v>36.633600000000001</v>
      </c>
      <c r="Y1230" s="83">
        <f>IF(SUM(W1230:W1230)&gt;0,X1230/SUM(W1230:W1230)*1000000,"N/A")</f>
        <v>32304.761904761905</v>
      </c>
      <c r="Z1230" s="80"/>
      <c r="AA1230" s="80"/>
      <c r="AB1230" s="73"/>
      <c r="AC1230" s="153"/>
      <c r="AD1230" s="331"/>
      <c r="AE1230" s="57"/>
      <c r="AF1230" s="88" t="s">
        <v>4677</v>
      </c>
      <c r="AG1230" s="182">
        <f>YEAR(D1230)</f>
        <v>2022</v>
      </c>
      <c r="AH1230" s="86" t="str">
        <f>+IF(AE1230=$AJ$22,MONTH(T1230),"")</f>
        <v/>
      </c>
      <c r="AI1230" s="86" t="str">
        <f>+IF(AF1230=$AJ$22,MONTH(U1230),"")</f>
        <v/>
      </c>
      <c r="AJ1230" s="86" t="str">
        <f>+IF(AG1230=$AJ$22,MONTH(V1230),"")</f>
        <v/>
      </c>
      <c r="AK1230" s="86" t="str">
        <f>+IF(AG1230=$AK$22,MONTH(V1230),"")</f>
        <v/>
      </c>
      <c r="AL1230" s="86">
        <f>+IF(AG1230=$AL$22,MONTH(V1230),"")</f>
        <v>4</v>
      </c>
      <c r="AM1230" s="86" t="str">
        <f>+IF($AG1230=$AM$22,MONTH($D1230),"")</f>
        <v/>
      </c>
      <c r="AN1230" s="89" t="str">
        <f>+IF($AG1230=AN$22,MONTH($D1230),"")</f>
        <v/>
      </c>
      <c r="AO1230" s="89" t="str">
        <f>+IF($AG1230=AO$22,MONTH($D1230),"")</f>
        <v/>
      </c>
      <c r="AP1230" s="89" t="str">
        <f>+IF($AG1230=AP$22,MONTH($D1230),"")</f>
        <v/>
      </c>
      <c r="AQ1230" s="89" t="str">
        <f>+IF($AG1230=AQ$22,MONTH($D1230),"")</f>
        <v/>
      </c>
      <c r="AR1230" s="89" t="str">
        <f>+IF($AG1230=AR$22,MONTH($D1230),"")</f>
        <v/>
      </c>
      <c r="AS1230" s="89" t="str">
        <f>+IF($AG1230=AS$22,MONTH($D1230),"")</f>
        <v/>
      </c>
      <c r="AT1230" s="89" t="str">
        <f>+IF($AG1230=AT$22,MONTH($D1230),"")</f>
        <v/>
      </c>
      <c r="AU1230" s="89" t="str">
        <f>+IF($AG1230=AU$22,MONTH($D1230),"")</f>
        <v/>
      </c>
      <c r="AV1230" s="89" t="str">
        <f>+IF($AG1230=AV$22,MONTH($D1230),"")</f>
        <v/>
      </c>
      <c r="AW1230" s="86" t="str">
        <f>+IF($AG1230=AW$22,MONTH($D1230),"")</f>
        <v/>
      </c>
      <c r="AX1230" s="86" t="str">
        <f>+IF($AG1230=AX$22,MONTH($D1230),"")</f>
        <v/>
      </c>
      <c r="AY1230" s="89"/>
      <c r="AZ1230" s="89"/>
      <c r="BA1230" s="89"/>
      <c r="BB1230" s="89"/>
      <c r="BC1230" s="89"/>
      <c r="BD1230" s="89"/>
      <c r="BE1230" s="89"/>
      <c r="BF1230" s="89"/>
      <c r="BG1230" s="89"/>
      <c r="BH1230" s="89"/>
      <c r="BI1230" s="89"/>
      <c r="BJ1230" s="89"/>
      <c r="BK1230" s="89"/>
      <c r="BL1230" s="89"/>
      <c r="BM1230" s="89"/>
      <c r="BN1230" s="89"/>
      <c r="BO1230" s="89"/>
      <c r="BP1230" s="89"/>
    </row>
    <row r="1231" spans="1:68" s="56" customFormat="1" ht="13.5" hidden="1">
      <c r="A1231" s="204">
        <f>+IFERROR(VALUE(MID(AB1231,4,4)),"")</f>
        <v>292</v>
      </c>
      <c r="B1231" s="204">
        <f>VALUE(RIGHT(C1231,LEN(C1231)-2))</f>
        <v>1492</v>
      </c>
      <c r="C1231" s="74" t="s">
        <v>4678</v>
      </c>
      <c r="D1231" s="75">
        <v>44663</v>
      </c>
      <c r="E1231" s="70" t="s">
        <v>394</v>
      </c>
      <c r="F1231" s="70" t="s">
        <v>2269</v>
      </c>
      <c r="G1231" s="68" t="s">
        <v>2270</v>
      </c>
      <c r="H1231" s="59" t="s">
        <v>2271</v>
      </c>
      <c r="I1231" s="69" t="s">
        <v>4679</v>
      </c>
      <c r="J1231" s="69"/>
      <c r="K1231" s="95" t="s">
        <v>13</v>
      </c>
      <c r="L1231" s="69" t="s">
        <v>120</v>
      </c>
      <c r="M1231" s="71" t="s">
        <v>141</v>
      </c>
      <c r="N1231" s="69" t="e" vm="1">
        <v>#VALUE!</v>
      </c>
      <c r="O1231" s="84">
        <v>44664</v>
      </c>
      <c r="P1231" s="82" t="s">
        <v>402</v>
      </c>
      <c r="Q1231" s="82" t="s">
        <v>623</v>
      </c>
      <c r="R1231" s="69"/>
      <c r="S1231" s="146" t="s">
        <v>4680</v>
      </c>
      <c r="T1231" s="68" t="s">
        <v>3</v>
      </c>
      <c r="U1231" s="87"/>
      <c r="V1231" s="80">
        <v>44664</v>
      </c>
      <c r="W1231" s="73">
        <v>200</v>
      </c>
      <c r="X1231" s="73">
        <v>8.125</v>
      </c>
      <c r="Y1231" s="83">
        <f>IF(SUM(W1231:W1231)&gt;0,X1231/SUM(W1231:W1231)*1000000,"N/A")</f>
        <v>40625</v>
      </c>
      <c r="Z1231" s="80"/>
      <c r="AA1231" s="80"/>
      <c r="AB1231" s="73" t="s">
        <v>4681</v>
      </c>
      <c r="AC1231" s="153"/>
      <c r="AD1231" s="331"/>
      <c r="AE1231" s="57"/>
      <c r="AF1231" s="88"/>
      <c r="AG1231" s="182">
        <f>YEAR(D1231)</f>
        <v>2022</v>
      </c>
      <c r="AH1231" s="86" t="str">
        <f>+IF(AE1231=$AJ$22,MONTH(T1231),"")</f>
        <v/>
      </c>
      <c r="AI1231" s="86" t="str">
        <f>+IF(AF1231=$AJ$22,MONTH(U1231),"")</f>
        <v/>
      </c>
      <c r="AJ1231" s="86" t="str">
        <f>+IF(AG1231=$AJ$22,MONTH(V1231),"")</f>
        <v/>
      </c>
      <c r="AK1231" s="86" t="str">
        <f>+IF(AG1231=$AK$22,MONTH(V1231),"")</f>
        <v/>
      </c>
      <c r="AL1231" s="86">
        <f>+IF(AG1231=$AL$22,MONTH(V1231),"")</f>
        <v>4</v>
      </c>
      <c r="AM1231" s="86" t="str">
        <f>+IF($AG1231=$AM$22,MONTH($D1231),"")</f>
        <v/>
      </c>
      <c r="AN1231" s="89" t="str">
        <f>+IF($AG1231=AN$22,MONTH($D1231),"")</f>
        <v/>
      </c>
      <c r="AO1231" s="89" t="str">
        <f>+IF($AG1231=AO$22,MONTH($D1231),"")</f>
        <v/>
      </c>
      <c r="AP1231" s="89" t="str">
        <f>+IF($AG1231=AP$22,MONTH($D1231),"")</f>
        <v/>
      </c>
      <c r="AQ1231" s="89" t="str">
        <f>+IF($AG1231=AQ$22,MONTH($D1231),"")</f>
        <v/>
      </c>
      <c r="AR1231" s="89" t="str">
        <f>+IF($AG1231=AR$22,MONTH($D1231),"")</f>
        <v/>
      </c>
      <c r="AS1231" s="89" t="str">
        <f>+IF($AG1231=AS$22,MONTH($D1231),"")</f>
        <v/>
      </c>
      <c r="AT1231" s="89" t="str">
        <f>+IF($AG1231=AT$22,MONTH($D1231),"")</f>
        <v/>
      </c>
      <c r="AU1231" s="89" t="str">
        <f>+IF($AG1231=AU$22,MONTH($D1231),"")</f>
        <v/>
      </c>
      <c r="AV1231" s="89" t="str">
        <f>+IF($AG1231=AV$22,MONTH($D1231),"")</f>
        <v/>
      </c>
      <c r="AW1231" s="86" t="str">
        <f>+IF($AG1231=AW$22,MONTH($D1231),"")</f>
        <v/>
      </c>
      <c r="AX1231" s="86" t="str">
        <f>+IF($AG1231=AX$22,MONTH($D1231),"")</f>
        <v/>
      </c>
      <c r="AY1231" s="89"/>
      <c r="AZ1231" s="89"/>
      <c r="BA1231" s="89"/>
      <c r="BB1231" s="89"/>
      <c r="BC1231" s="89"/>
      <c r="BD1231" s="89"/>
      <c r="BE1231" s="89"/>
      <c r="BF1231" s="89"/>
      <c r="BG1231" s="89"/>
      <c r="BH1231" s="89"/>
      <c r="BI1231" s="89"/>
      <c r="BJ1231" s="89"/>
      <c r="BK1231" s="89"/>
      <c r="BL1231" s="89"/>
      <c r="BM1231" s="89"/>
      <c r="BN1231" s="89"/>
      <c r="BO1231" s="89"/>
      <c r="BP1231" s="89"/>
    </row>
    <row r="1232" spans="1:68" s="56" customFormat="1" ht="27" hidden="1">
      <c r="A1232" s="204">
        <f>+IFERROR(VALUE(MID(AB1232,4,4)),"")</f>
        <v>276</v>
      </c>
      <c r="B1232" s="204">
        <f>VALUE(RIGHT(C1232,LEN(C1232)-2))</f>
        <v>1491</v>
      </c>
      <c r="C1232" s="74" t="s">
        <v>4682</v>
      </c>
      <c r="D1232" s="75">
        <v>44662</v>
      </c>
      <c r="E1232" s="70" t="s">
        <v>394</v>
      </c>
      <c r="F1232" s="70" t="s">
        <v>394</v>
      </c>
      <c r="G1232" s="68" t="s">
        <v>4265</v>
      </c>
      <c r="H1232" s="59" t="s">
        <v>4266</v>
      </c>
      <c r="I1232" s="69" t="s">
        <v>4683</v>
      </c>
      <c r="J1232" s="69"/>
      <c r="K1232" s="68" t="s">
        <v>944</v>
      </c>
      <c r="L1232" s="69" t="s">
        <v>120</v>
      </c>
      <c r="M1232" s="71" t="s">
        <v>141</v>
      </c>
      <c r="N1232" s="69" t="e" vm="1">
        <v>#VALUE!</v>
      </c>
      <c r="O1232" s="84">
        <v>44664</v>
      </c>
      <c r="P1232" s="72" t="s">
        <v>402</v>
      </c>
      <c r="Q1232" s="72" t="s">
        <v>389</v>
      </c>
      <c r="R1232" s="162"/>
      <c r="S1232" s="146"/>
      <c r="T1232" s="68" t="s">
        <v>3</v>
      </c>
      <c r="U1232" s="87"/>
      <c r="V1232" s="80">
        <v>44783</v>
      </c>
      <c r="W1232" s="73">
        <v>1386</v>
      </c>
      <c r="X1232" s="73">
        <v>54</v>
      </c>
      <c r="Y1232" s="83">
        <f>IF(SUM(W1232:W1232)&gt;0,X1232/SUM(W1232:W1232)*1000000,"N/A")</f>
        <v>38961.038961038961</v>
      </c>
      <c r="Z1232" s="80"/>
      <c r="AA1232" s="80"/>
      <c r="AB1232" s="73" t="s">
        <v>4684</v>
      </c>
      <c r="AC1232" s="153"/>
      <c r="AD1232" s="331"/>
      <c r="AE1232" s="57"/>
      <c r="AF1232" s="88"/>
      <c r="AG1232" s="182">
        <f>YEAR(D1232)</f>
        <v>2022</v>
      </c>
      <c r="AH1232" s="86" t="str">
        <f>+IF(AE1232=$AJ$22,MONTH(T1232),"")</f>
        <v/>
      </c>
      <c r="AI1232" s="86" t="str">
        <f>+IF(AF1232=$AJ$22,MONTH(U1232),"")</f>
        <v/>
      </c>
      <c r="AJ1232" s="86" t="str">
        <f>+IF(AG1232=$AJ$22,MONTH(V1232),"")</f>
        <v/>
      </c>
      <c r="AK1232" s="86" t="str">
        <f>+IF(AG1232=$AK$22,MONTH(V1232),"")</f>
        <v/>
      </c>
      <c r="AL1232" s="86">
        <f>+IF(AG1232=$AL$22,MONTH(V1232),"")</f>
        <v>8</v>
      </c>
      <c r="AM1232" s="86" t="str">
        <f>+IF($AG1232=$AM$22,MONTH($D1232),"")</f>
        <v/>
      </c>
      <c r="AN1232" s="89" t="str">
        <f>+IF($AG1232=AN$22,MONTH($D1232),"")</f>
        <v/>
      </c>
      <c r="AO1232" s="89" t="str">
        <f>+IF($AG1232=AO$22,MONTH($D1232),"")</f>
        <v/>
      </c>
      <c r="AP1232" s="89" t="str">
        <f>+IF($AG1232=AP$22,MONTH($D1232),"")</f>
        <v/>
      </c>
      <c r="AQ1232" s="89" t="str">
        <f>+IF($AG1232=AQ$22,MONTH($D1232),"")</f>
        <v/>
      </c>
      <c r="AR1232" s="89" t="str">
        <f>+IF($AG1232=AR$22,MONTH($D1232),"")</f>
        <v/>
      </c>
      <c r="AS1232" s="89" t="str">
        <f>+IF($AG1232=AS$22,MONTH($D1232),"")</f>
        <v/>
      </c>
      <c r="AT1232" s="89" t="str">
        <f>+IF($AG1232=AT$22,MONTH($D1232),"")</f>
        <v/>
      </c>
      <c r="AU1232" s="89" t="str">
        <f>+IF($AG1232=AU$22,MONTH($D1232),"")</f>
        <v/>
      </c>
      <c r="AV1232" s="89" t="str">
        <f>+IF($AG1232=AV$22,MONTH($D1232),"")</f>
        <v/>
      </c>
      <c r="AW1232" s="86" t="str">
        <f>+IF($AG1232=AW$22,MONTH($D1232),"")</f>
        <v/>
      </c>
      <c r="AX1232" s="86" t="str">
        <f>+IF($AG1232=AX$22,MONTH($D1232),"")</f>
        <v/>
      </c>
      <c r="AY1232" s="89"/>
      <c r="AZ1232" s="89"/>
      <c r="BA1232" s="89"/>
      <c r="BB1232" s="89"/>
      <c r="BC1232" s="89"/>
      <c r="BD1232" s="89"/>
      <c r="BE1232" s="89"/>
      <c r="BF1232" s="89"/>
      <c r="BG1232" s="89"/>
      <c r="BH1232" s="89"/>
      <c r="BI1232" s="89"/>
      <c r="BJ1232" s="89"/>
      <c r="BK1232" s="89"/>
      <c r="BL1232" s="89"/>
      <c r="BM1232" s="89"/>
      <c r="BN1232" s="89"/>
      <c r="BO1232" s="89"/>
      <c r="BP1232" s="89"/>
    </row>
    <row r="1233" spans="1:68" s="56" customFormat="1" ht="27" hidden="1">
      <c r="A1233" s="204">
        <f>+IFERROR(VALUE(MID(AB1233,4,4)),"")</f>
        <v>249</v>
      </c>
      <c r="B1233" s="204">
        <f>VALUE(RIGHT(C1233,LEN(C1233)-2))</f>
        <v>1490</v>
      </c>
      <c r="C1233" s="74" t="s">
        <v>4685</v>
      </c>
      <c r="D1233" s="75">
        <v>44648</v>
      </c>
      <c r="E1233" s="70" t="s">
        <v>262</v>
      </c>
      <c r="F1233" s="70" t="s">
        <v>270</v>
      </c>
      <c r="G1233" s="68" t="s">
        <v>4686</v>
      </c>
      <c r="H1233" s="59" t="s">
        <v>4687</v>
      </c>
      <c r="I1233" s="69" t="s">
        <v>4688</v>
      </c>
      <c r="J1233" s="69"/>
      <c r="K1233" s="68" t="s">
        <v>13</v>
      </c>
      <c r="L1233" s="68" t="s">
        <v>120</v>
      </c>
      <c r="M1233" s="71" t="s">
        <v>141</v>
      </c>
      <c r="N1233" s="69" t="e" vm="1">
        <v>#VALUE!</v>
      </c>
      <c r="O1233" s="84">
        <v>44692</v>
      </c>
      <c r="P1233" s="72" t="s">
        <v>2852</v>
      </c>
      <c r="Q1233" s="72" t="s">
        <v>1097</v>
      </c>
      <c r="R1233" s="162"/>
      <c r="S1233" s="146" t="s">
        <v>4689</v>
      </c>
      <c r="T1233" s="68" t="s">
        <v>3</v>
      </c>
      <c r="U1233" s="87"/>
      <c r="V1233" s="80">
        <v>44734</v>
      </c>
      <c r="W1233" s="73">
        <v>1368</v>
      </c>
      <c r="X1233" s="73">
        <v>55</v>
      </c>
      <c r="Y1233" s="169">
        <f>IF(SUM(W1233:W1233)&gt;0,X1233/SUM(W1233:W1233)*1000000,"N/A")</f>
        <v>40204.678362573097</v>
      </c>
      <c r="Z1233" s="80"/>
      <c r="AA1233" s="80"/>
      <c r="AB1233" s="73" t="s">
        <v>3988</v>
      </c>
      <c r="AC1233" s="153"/>
      <c r="AD1233" s="331"/>
      <c r="AE1233" s="57"/>
      <c r="AF1233" s="88"/>
      <c r="AG1233" s="182">
        <f>YEAR(D1233)</f>
        <v>2022</v>
      </c>
      <c r="AH1233" s="86" t="str">
        <f>+IF(AE1233=$AJ$22,MONTH(T1233),"")</f>
        <v/>
      </c>
      <c r="AI1233" s="86" t="str">
        <f>+IF(AF1233=$AJ$22,MONTH(U1233),"")</f>
        <v/>
      </c>
      <c r="AJ1233" s="86" t="str">
        <f>+IF(AG1233=$AJ$22,MONTH(V1233),"")</f>
        <v/>
      </c>
      <c r="AK1233" s="86" t="str">
        <f>+IF(AG1233=$AK$22,MONTH(V1233),"")</f>
        <v/>
      </c>
      <c r="AL1233" s="86">
        <f>+IF(AG1233=$AL$22,MONTH(V1233),"")</f>
        <v>6</v>
      </c>
      <c r="AM1233" s="86" t="str">
        <f>+IF($AG1233=$AM$22,MONTH($D1233),"")</f>
        <v/>
      </c>
      <c r="AN1233" s="89" t="str">
        <f>+IF($AG1233=AN$22,MONTH($D1233),"")</f>
        <v/>
      </c>
      <c r="AO1233" s="89" t="str">
        <f>+IF($AG1233=AO$22,MONTH($D1233),"")</f>
        <v/>
      </c>
      <c r="AP1233" s="89" t="str">
        <f>+IF($AG1233=AP$22,MONTH($D1233),"")</f>
        <v/>
      </c>
      <c r="AQ1233" s="89" t="str">
        <f>+IF($AG1233=AQ$22,MONTH($D1233),"")</f>
        <v/>
      </c>
      <c r="AR1233" s="89" t="str">
        <f>+IF($AG1233=AR$22,MONTH($D1233),"")</f>
        <v/>
      </c>
      <c r="AS1233" s="89" t="str">
        <f>+IF($AG1233=AS$22,MONTH($D1233),"")</f>
        <v/>
      </c>
      <c r="AT1233" s="89" t="str">
        <f>+IF($AG1233=AT$22,MONTH($D1233),"")</f>
        <v/>
      </c>
      <c r="AU1233" s="89" t="str">
        <f>+IF($AG1233=AU$22,MONTH($D1233),"")</f>
        <v/>
      </c>
      <c r="AV1233" s="89" t="str">
        <f>+IF($AG1233=AV$22,MONTH($D1233),"")</f>
        <v/>
      </c>
      <c r="AW1233" s="86" t="str">
        <f>+IF($AG1233=AW$22,MONTH($D1233),"")</f>
        <v/>
      </c>
      <c r="AX1233" s="86" t="str">
        <f>+IF($AG1233=AX$22,MONTH($D1233),"")</f>
        <v/>
      </c>
      <c r="AY1233" s="89"/>
      <c r="AZ1233" s="89"/>
      <c r="BA1233" s="89"/>
      <c r="BB1233" s="89"/>
      <c r="BC1233" s="89"/>
      <c r="BD1233" s="89"/>
      <c r="BE1233" s="89"/>
      <c r="BF1233" s="89"/>
      <c r="BG1233" s="89"/>
      <c r="BH1233" s="89"/>
      <c r="BI1233" s="89"/>
      <c r="BJ1233" s="89"/>
      <c r="BK1233" s="89"/>
      <c r="BL1233" s="89"/>
      <c r="BM1233" s="89"/>
      <c r="BN1233" s="89"/>
      <c r="BO1233" s="89"/>
      <c r="BP1233" s="89"/>
    </row>
    <row r="1234" spans="1:68" s="56" customFormat="1" ht="27" hidden="1">
      <c r="A1234" s="204" t="str">
        <f>+IFERROR(VALUE(MID(AB1234,4,4)),"")</f>
        <v/>
      </c>
      <c r="B1234" s="204">
        <f>VALUE(RIGHT(C1234,LEN(C1234)-2))</f>
        <v>1489</v>
      </c>
      <c r="C1234" s="74" t="s">
        <v>4690</v>
      </c>
      <c r="D1234" s="75">
        <v>44657</v>
      </c>
      <c r="E1234" s="70" t="s">
        <v>53</v>
      </c>
      <c r="F1234" s="70" t="s">
        <v>53</v>
      </c>
      <c r="G1234" s="68" t="s">
        <v>4225</v>
      </c>
      <c r="H1234" s="59" t="s">
        <v>4226</v>
      </c>
      <c r="I1234" s="69" t="s">
        <v>4691</v>
      </c>
      <c r="J1234" s="69"/>
      <c r="K1234" s="68" t="s">
        <v>227</v>
      </c>
      <c r="L1234" s="69" t="s">
        <v>123</v>
      </c>
      <c r="M1234" s="71" t="s">
        <v>141</v>
      </c>
      <c r="N1234" s="69" t="e" vm="1">
        <v>#VALUE!</v>
      </c>
      <c r="O1234" s="84">
        <v>44662</v>
      </c>
      <c r="P1234" s="72" t="s">
        <v>228</v>
      </c>
      <c r="Q1234" s="72" t="s">
        <v>623</v>
      </c>
      <c r="R1234" s="162"/>
      <c r="S1234" s="146" t="s">
        <v>838</v>
      </c>
      <c r="T1234" s="68" t="s">
        <v>165</v>
      </c>
      <c r="U1234" s="87">
        <v>0.01</v>
      </c>
      <c r="V1234" s="80">
        <v>44662</v>
      </c>
      <c r="W1234" s="73" t="str">
        <f>+IF(K1234="PRE","N/A","")</f>
        <v>N/A</v>
      </c>
      <c r="X1234" s="73"/>
      <c r="Y1234" s="83" t="str">
        <f>IF(SUM(W1234:W1234)&gt;0,X1234/SUM(W1234:W1234)*1000000,"N/A")</f>
        <v>N/A</v>
      </c>
      <c r="Z1234" s="80"/>
      <c r="AA1234" s="80"/>
      <c r="AB1234" s="73"/>
      <c r="AC1234" s="153"/>
      <c r="AD1234" s="331"/>
      <c r="AE1234" s="57"/>
      <c r="AF1234" s="88"/>
      <c r="AG1234" s="182">
        <f>YEAR(D1234)</f>
        <v>2022</v>
      </c>
      <c r="AH1234" s="86" t="str">
        <f>+IF(AE1234=$AJ$22,MONTH(T1234),"")</f>
        <v/>
      </c>
      <c r="AI1234" s="86" t="str">
        <f>+IF(AF1234=$AJ$22,MONTH(U1234),"")</f>
        <v/>
      </c>
      <c r="AJ1234" s="86" t="str">
        <f>+IF(AG1234=$AJ$22,MONTH(V1234),"")</f>
        <v/>
      </c>
      <c r="AK1234" s="86" t="str">
        <f>+IF(AG1234=$AK$22,MONTH(V1234),"")</f>
        <v/>
      </c>
      <c r="AL1234" s="86">
        <f>+IF(AG1234=$AL$22,MONTH(V1234),"")</f>
        <v>4</v>
      </c>
      <c r="AM1234" s="86" t="str">
        <f>+IF($AG1234=$AM$22,MONTH($D1234),"")</f>
        <v/>
      </c>
      <c r="AN1234" s="89" t="str">
        <f>+IF($AG1234=AN$22,MONTH($D1234),"")</f>
        <v/>
      </c>
      <c r="AO1234" s="89" t="str">
        <f>+IF($AG1234=AO$22,MONTH($D1234),"")</f>
        <v/>
      </c>
      <c r="AP1234" s="89" t="str">
        <f>+IF($AG1234=AP$22,MONTH($D1234),"")</f>
        <v/>
      </c>
      <c r="AQ1234" s="89" t="str">
        <f>+IF($AG1234=AQ$22,MONTH($D1234),"")</f>
        <v/>
      </c>
      <c r="AR1234" s="89" t="str">
        <f>+IF($AG1234=AR$22,MONTH($D1234),"")</f>
        <v/>
      </c>
      <c r="AS1234" s="89" t="str">
        <f>+IF($AG1234=AS$22,MONTH($D1234),"")</f>
        <v/>
      </c>
      <c r="AT1234" s="89" t="str">
        <f>+IF($AG1234=AT$22,MONTH($D1234),"")</f>
        <v/>
      </c>
      <c r="AU1234" s="89" t="str">
        <f>+IF($AG1234=AU$22,MONTH($D1234),"")</f>
        <v/>
      </c>
      <c r="AV1234" s="89" t="str">
        <f>+IF($AG1234=AV$22,MONTH($D1234),"")</f>
        <v/>
      </c>
      <c r="AW1234" s="86" t="str">
        <f>+IF($AG1234=AW$22,MONTH($D1234),"")</f>
        <v/>
      </c>
      <c r="AX1234" s="86" t="str">
        <f>+IF($AG1234=AX$22,MONTH($D1234),"")</f>
        <v/>
      </c>
      <c r="AY1234" s="89"/>
      <c r="AZ1234" s="89"/>
      <c r="BA1234" s="89"/>
      <c r="BB1234" s="89"/>
      <c r="BC1234" s="89"/>
      <c r="BD1234" s="89"/>
      <c r="BE1234" s="89"/>
      <c r="BF1234" s="89"/>
      <c r="BG1234" s="89"/>
      <c r="BH1234" s="89"/>
      <c r="BI1234" s="89"/>
      <c r="BJ1234" s="89"/>
      <c r="BK1234" s="89"/>
      <c r="BL1234" s="89"/>
      <c r="BM1234" s="89"/>
      <c r="BN1234" s="89"/>
      <c r="BO1234" s="89"/>
      <c r="BP1234" s="89"/>
    </row>
    <row r="1235" spans="1:68" s="56" customFormat="1" ht="13.5" hidden="1">
      <c r="A1235" s="204">
        <f>+IFERROR(VALUE(MID(AB1235,4,4)),"")</f>
        <v>300</v>
      </c>
      <c r="B1235" s="204">
        <f>VALUE(RIGHT(C1235,LEN(C1235)-2))</f>
        <v>1488</v>
      </c>
      <c r="C1235" s="74" t="s">
        <v>4692</v>
      </c>
      <c r="D1235" s="75">
        <v>44649</v>
      </c>
      <c r="E1235" s="70" t="s">
        <v>394</v>
      </c>
      <c r="F1235" s="70" t="s">
        <v>394</v>
      </c>
      <c r="G1235" s="68" t="s">
        <v>4192</v>
      </c>
      <c r="H1235" s="111" t="s">
        <v>4193</v>
      </c>
      <c r="I1235" s="69" t="s">
        <v>4693</v>
      </c>
      <c r="J1235" s="69"/>
      <c r="K1235" s="95" t="s">
        <v>13</v>
      </c>
      <c r="L1235" s="69" t="s">
        <v>120</v>
      </c>
      <c r="M1235" s="71" t="s">
        <v>141</v>
      </c>
      <c r="N1235" s="69" t="e" vm="1">
        <v>#VALUE!</v>
      </c>
      <c r="O1235" s="84">
        <v>44658</v>
      </c>
      <c r="P1235" s="82" t="s">
        <v>2852</v>
      </c>
      <c r="Q1235" s="82" t="s">
        <v>229</v>
      </c>
      <c r="R1235" s="69"/>
      <c r="S1235" s="146" t="s">
        <v>2513</v>
      </c>
      <c r="T1235" s="68" t="s">
        <v>3</v>
      </c>
      <c r="U1235" s="90"/>
      <c r="V1235" s="80">
        <v>44658</v>
      </c>
      <c r="W1235" s="73">
        <v>251</v>
      </c>
      <c r="X1235" s="73">
        <f>399*31600/1000000</f>
        <v>12.6084</v>
      </c>
      <c r="Y1235" s="83">
        <f>IF(SUM(W1235:W1235)&gt;0,X1235/SUM(W1235:W1235)*1000000,"N/A")</f>
        <v>50232.66932270916</v>
      </c>
      <c r="Z1235" s="80"/>
      <c r="AA1235" s="80"/>
      <c r="AB1235" s="73" t="s">
        <v>4694</v>
      </c>
      <c r="AC1235" s="217"/>
      <c r="AD1235" s="333"/>
      <c r="AE1235" s="112"/>
      <c r="AF1235" s="88"/>
      <c r="AG1235" s="182">
        <f>YEAR(D1235)</f>
        <v>2022</v>
      </c>
      <c r="AH1235" s="86" t="str">
        <f>+IF(AE1235=$AJ$22,MONTH(T1235),"")</f>
        <v/>
      </c>
      <c r="AI1235" s="86" t="str">
        <f>+IF(AF1235=$AJ$22,MONTH(U1235),"")</f>
        <v/>
      </c>
      <c r="AJ1235" s="86" t="str">
        <f>+IF(AG1235=$AJ$22,MONTH(V1235),"")</f>
        <v/>
      </c>
      <c r="AK1235" s="86" t="str">
        <f>+IF(AG1235=$AK$22,MONTH(V1235),"")</f>
        <v/>
      </c>
      <c r="AL1235" s="86">
        <f>+IF(AG1235=$AL$22,MONTH(V1235),"")</f>
        <v>4</v>
      </c>
      <c r="AM1235" s="86" t="str">
        <f>+IF($AG1235=$AM$22,MONTH($D1235),"")</f>
        <v/>
      </c>
      <c r="AN1235" s="89" t="str">
        <f>+IF($AG1235=AN$22,MONTH($D1235),"")</f>
        <v/>
      </c>
      <c r="AO1235" s="89" t="str">
        <f>+IF($AG1235=AO$22,MONTH($D1235),"")</f>
        <v/>
      </c>
      <c r="AP1235" s="89" t="str">
        <f>+IF($AG1235=AP$22,MONTH($D1235),"")</f>
        <v/>
      </c>
      <c r="AQ1235" s="89" t="str">
        <f>+IF($AG1235=AQ$22,MONTH($D1235),"")</f>
        <v/>
      </c>
      <c r="AR1235" s="89" t="str">
        <f>+IF($AG1235=AR$22,MONTH($D1235),"")</f>
        <v/>
      </c>
      <c r="AS1235" s="89" t="str">
        <f>+IF($AG1235=AS$22,MONTH($D1235),"")</f>
        <v/>
      </c>
      <c r="AT1235" s="89" t="str">
        <f>+IF($AG1235=AT$22,MONTH($D1235),"")</f>
        <v/>
      </c>
      <c r="AU1235" s="89" t="str">
        <f>+IF($AG1235=AU$22,MONTH($D1235),"")</f>
        <v/>
      </c>
      <c r="AV1235" s="89" t="str">
        <f>+IF($AG1235=AV$22,MONTH($D1235),"")</f>
        <v/>
      </c>
      <c r="AW1235" s="86" t="str">
        <f>+IF($AG1235=AW$22,MONTH($D1235),"")</f>
        <v/>
      </c>
      <c r="AX1235" s="86" t="str">
        <f>+IF($AG1235=AX$22,MONTH($D1235),"")</f>
        <v/>
      </c>
      <c r="AY1235" s="89"/>
      <c r="AZ1235" s="89"/>
      <c r="BA1235" s="89"/>
      <c r="BB1235" s="89"/>
      <c r="BC1235" s="89"/>
      <c r="BD1235" s="89"/>
      <c r="BE1235" s="89"/>
      <c r="BF1235" s="89"/>
      <c r="BG1235" s="89"/>
      <c r="BH1235" s="89"/>
      <c r="BI1235" s="89"/>
      <c r="BJ1235" s="89"/>
      <c r="BK1235" s="89"/>
      <c r="BL1235" s="89"/>
      <c r="BM1235" s="89"/>
      <c r="BN1235" s="89"/>
      <c r="BO1235" s="89"/>
      <c r="BP1235" s="89"/>
    </row>
    <row r="1236" spans="1:68" s="56" customFormat="1" ht="67.5" hidden="1">
      <c r="A1236" s="204" t="str">
        <f>+IFERROR(VALUE(MID(AB1236,4,4)),"")</f>
        <v/>
      </c>
      <c r="B1236" s="204">
        <f>VALUE(RIGHT(C1236,LEN(C1236)-2))</f>
        <v>1487</v>
      </c>
      <c r="C1236" s="74" t="s">
        <v>4695</v>
      </c>
      <c r="D1236" s="75">
        <v>44649</v>
      </c>
      <c r="E1236" s="70" t="s">
        <v>394</v>
      </c>
      <c r="F1236" s="70" t="s">
        <v>2269</v>
      </c>
      <c r="G1236" s="68" t="s">
        <v>2270</v>
      </c>
      <c r="H1236" s="59" t="s">
        <v>2271</v>
      </c>
      <c r="I1236" s="69" t="s">
        <v>4696</v>
      </c>
      <c r="J1236" s="69"/>
      <c r="K1236" s="95" t="s">
        <v>13</v>
      </c>
      <c r="L1236" s="69" t="s">
        <v>120</v>
      </c>
      <c r="M1236" s="71" t="s">
        <v>141</v>
      </c>
      <c r="N1236" s="69" t="e" vm="1">
        <v>#VALUE!</v>
      </c>
      <c r="O1236" s="84">
        <v>44656</v>
      </c>
      <c r="P1236" s="82" t="s">
        <v>2852</v>
      </c>
      <c r="Q1236" s="82" t="s">
        <v>1097</v>
      </c>
      <c r="R1236" s="69"/>
      <c r="S1236" s="146" t="s">
        <v>4557</v>
      </c>
      <c r="T1236" s="68" t="s">
        <v>165</v>
      </c>
      <c r="U1236" s="87"/>
      <c r="V1236" s="80">
        <v>44838</v>
      </c>
      <c r="W1236" s="73">
        <v>497</v>
      </c>
      <c r="X1236" s="73">
        <v>19.8</v>
      </c>
      <c r="Y1236" s="83">
        <f>IF(SUM(W1236:W1236)&gt;0,X1236/SUM(W1236:W1236)*1000000,"N/A")</f>
        <v>39839.034205231386</v>
      </c>
      <c r="Z1236" s="80"/>
      <c r="AA1236" s="80"/>
      <c r="AB1236" s="73"/>
      <c r="AC1236" s="153"/>
      <c r="AD1236" s="331"/>
      <c r="AE1236" s="57"/>
      <c r="AF1236" s="88"/>
      <c r="AG1236" s="182">
        <f>YEAR(D1236)</f>
        <v>2022</v>
      </c>
      <c r="AH1236" s="86" t="str">
        <f>+IF(AE1236=$AJ$22,MONTH(T1236),"")</f>
        <v/>
      </c>
      <c r="AI1236" s="86" t="str">
        <f>+IF(AF1236=$AJ$22,MONTH(U1236),"")</f>
        <v/>
      </c>
      <c r="AJ1236" s="86" t="str">
        <f>+IF(AG1236=$AJ$22,MONTH(V1236),"")</f>
        <v/>
      </c>
      <c r="AK1236" s="86" t="str">
        <f>+IF(AG1236=$AK$22,MONTH(V1236),"")</f>
        <v/>
      </c>
      <c r="AL1236" s="86">
        <f>+IF(AG1236=$AL$22,MONTH(V1236),"")</f>
        <v>10</v>
      </c>
      <c r="AM1236" s="86" t="str">
        <f>+IF($AG1236=$AM$22,MONTH($D1236),"")</f>
        <v/>
      </c>
      <c r="AN1236" s="89" t="str">
        <f>+IF($AG1236=AN$22,MONTH($D1236),"")</f>
        <v/>
      </c>
      <c r="AO1236" s="89" t="str">
        <f>+IF($AG1236=AO$22,MONTH($D1236),"")</f>
        <v/>
      </c>
      <c r="AP1236" s="89" t="str">
        <f>+IF($AG1236=AP$22,MONTH($D1236),"")</f>
        <v/>
      </c>
      <c r="AQ1236" s="89" t="str">
        <f>+IF($AG1236=AQ$22,MONTH($D1236),"")</f>
        <v/>
      </c>
      <c r="AR1236" s="89" t="str">
        <f>+IF($AG1236=AR$22,MONTH($D1236),"")</f>
        <v/>
      </c>
      <c r="AS1236" s="89" t="str">
        <f>+IF($AG1236=AS$22,MONTH($D1236),"")</f>
        <v/>
      </c>
      <c r="AT1236" s="89" t="str">
        <f>+IF($AG1236=AT$22,MONTH($D1236),"")</f>
        <v/>
      </c>
      <c r="AU1236" s="89" t="str">
        <f>+IF($AG1236=AU$22,MONTH($D1236),"")</f>
        <v/>
      </c>
      <c r="AV1236" s="89" t="str">
        <f>+IF($AG1236=AV$22,MONTH($D1236),"")</f>
        <v/>
      </c>
      <c r="AW1236" s="86" t="str">
        <f>+IF($AG1236=AW$22,MONTH($D1236),"")</f>
        <v/>
      </c>
      <c r="AX1236" s="86" t="str">
        <f>+IF($AG1236=AX$22,MONTH($D1236),"")</f>
        <v/>
      </c>
      <c r="AY1236" s="89"/>
      <c r="AZ1236" s="89"/>
      <c r="BA1236" s="89"/>
      <c r="BB1236" s="89"/>
      <c r="BC1236" s="89"/>
      <c r="BD1236" s="89"/>
      <c r="BE1236" s="89"/>
      <c r="BF1236" s="89"/>
      <c r="BG1236" s="89"/>
      <c r="BH1236" s="89"/>
      <c r="BI1236" s="89"/>
      <c r="BJ1236" s="89"/>
      <c r="BK1236" s="89"/>
      <c r="BL1236" s="89"/>
      <c r="BM1236" s="89"/>
      <c r="BN1236" s="89"/>
      <c r="BO1236" s="89"/>
      <c r="BP1236" s="89"/>
    </row>
    <row r="1237" spans="1:68" s="56" customFormat="1" ht="13.5" hidden="1">
      <c r="A1237" s="204">
        <f>+IFERROR(VALUE(MID(AB1237,4,4)),"")</f>
        <v>307</v>
      </c>
      <c r="B1237" s="204">
        <f>VALUE(RIGHT(C1237,LEN(C1237)-2))</f>
        <v>1486</v>
      </c>
      <c r="C1237" s="74" t="s">
        <v>4697</v>
      </c>
      <c r="D1237" s="75">
        <v>44649</v>
      </c>
      <c r="E1237" s="70" t="s">
        <v>394</v>
      </c>
      <c r="F1237" s="70" t="s">
        <v>394</v>
      </c>
      <c r="G1237" s="68" t="s">
        <v>4192</v>
      </c>
      <c r="H1237" s="111" t="s">
        <v>4193</v>
      </c>
      <c r="I1237" s="69" t="s">
        <v>4698</v>
      </c>
      <c r="J1237" s="69"/>
      <c r="K1237" s="95" t="s">
        <v>13</v>
      </c>
      <c r="L1237" s="69" t="s">
        <v>120</v>
      </c>
      <c r="M1237" s="71" t="s">
        <v>141</v>
      </c>
      <c r="N1237" s="69" t="e" vm="1">
        <v>#VALUE!</v>
      </c>
      <c r="O1237" s="84">
        <v>44658</v>
      </c>
      <c r="P1237" s="82" t="s">
        <v>2852</v>
      </c>
      <c r="Q1237" s="82" t="s">
        <v>229</v>
      </c>
      <c r="R1237" s="69"/>
      <c r="S1237" s="146" t="s">
        <v>2513</v>
      </c>
      <c r="T1237" s="68" t="s">
        <v>3</v>
      </c>
      <c r="U1237" s="90"/>
      <c r="V1237" s="80">
        <v>44756</v>
      </c>
      <c r="W1237" s="73">
        <v>833</v>
      </c>
      <c r="X1237" s="73">
        <f>1268*33000/1000000</f>
        <v>41.844000000000001</v>
      </c>
      <c r="Y1237" s="83">
        <f>IF(SUM(W1237:W1237)&gt;0,X1237/SUM(W1237:W1237)*1000000,"N/A")</f>
        <v>50232.893157262908</v>
      </c>
      <c r="Z1237" s="80"/>
      <c r="AA1237" s="80"/>
      <c r="AB1237" s="73" t="s">
        <v>4699</v>
      </c>
      <c r="AC1237" s="217"/>
      <c r="AD1237" s="333"/>
      <c r="AE1237" s="112"/>
      <c r="AF1237" s="88"/>
      <c r="AG1237" s="182">
        <f>YEAR(D1237)</f>
        <v>2022</v>
      </c>
      <c r="AH1237" s="86" t="str">
        <f>+IF(AE1237=$AJ$22,MONTH(T1237),"")</f>
        <v/>
      </c>
      <c r="AI1237" s="86" t="str">
        <f>+IF(AF1237=$AJ$22,MONTH(U1237),"")</f>
        <v/>
      </c>
      <c r="AJ1237" s="86" t="str">
        <f>+IF(AG1237=$AJ$22,MONTH(V1237),"")</f>
        <v/>
      </c>
      <c r="AK1237" s="86" t="str">
        <f>+IF(AG1237=$AK$22,MONTH(V1237),"")</f>
        <v/>
      </c>
      <c r="AL1237" s="86">
        <f>+IF(AG1237=$AL$22,MONTH(V1237),"")</f>
        <v>7</v>
      </c>
      <c r="AM1237" s="86" t="str">
        <f>+IF($AG1237=$AM$22,MONTH($D1237),"")</f>
        <v/>
      </c>
      <c r="AN1237" s="89" t="str">
        <f>+IF($AG1237=AN$22,MONTH($D1237),"")</f>
        <v/>
      </c>
      <c r="AO1237" s="89" t="str">
        <f>+IF($AG1237=AO$22,MONTH($D1237),"")</f>
        <v/>
      </c>
      <c r="AP1237" s="89" t="str">
        <f>+IF($AG1237=AP$22,MONTH($D1237),"")</f>
        <v/>
      </c>
      <c r="AQ1237" s="89" t="str">
        <f>+IF($AG1237=AQ$22,MONTH($D1237),"")</f>
        <v/>
      </c>
      <c r="AR1237" s="89" t="str">
        <f>+IF($AG1237=AR$22,MONTH($D1237),"")</f>
        <v/>
      </c>
      <c r="AS1237" s="89" t="str">
        <f>+IF($AG1237=AS$22,MONTH($D1237),"")</f>
        <v/>
      </c>
      <c r="AT1237" s="89" t="str">
        <f>+IF($AG1237=AT$22,MONTH($D1237),"")</f>
        <v/>
      </c>
      <c r="AU1237" s="89" t="str">
        <f>+IF($AG1237=AU$22,MONTH($D1237),"")</f>
        <v/>
      </c>
      <c r="AV1237" s="89" t="str">
        <f>+IF($AG1237=AV$22,MONTH($D1237),"")</f>
        <v/>
      </c>
      <c r="AW1237" s="86" t="str">
        <f>+IF($AG1237=AW$22,MONTH($D1237),"")</f>
        <v/>
      </c>
      <c r="AX1237" s="86" t="str">
        <f>+IF($AG1237=AX$22,MONTH($D1237),"")</f>
        <v/>
      </c>
      <c r="AY1237" s="89"/>
      <c r="AZ1237" s="89"/>
      <c r="BA1237" s="89"/>
      <c r="BB1237" s="89"/>
      <c r="BC1237" s="89"/>
      <c r="BD1237" s="89"/>
      <c r="BE1237" s="89"/>
      <c r="BF1237" s="89"/>
      <c r="BG1237" s="89"/>
      <c r="BH1237" s="89"/>
      <c r="BI1237" s="89"/>
      <c r="BJ1237" s="89"/>
      <c r="BK1237" s="89"/>
      <c r="BL1237" s="89"/>
      <c r="BM1237" s="89"/>
      <c r="BN1237" s="89"/>
      <c r="BO1237" s="89"/>
      <c r="BP1237" s="89"/>
    </row>
    <row r="1238" spans="1:68" s="56" customFormat="1" ht="27" hidden="1">
      <c r="A1238" s="204" t="str">
        <f>+IFERROR(VALUE(MID(AB1238,4,4)),"")</f>
        <v/>
      </c>
      <c r="B1238" s="204">
        <f>VALUE(RIGHT(C1238,LEN(C1238)-2))</f>
        <v>1485</v>
      </c>
      <c r="C1238" s="74" t="s">
        <v>4700</v>
      </c>
      <c r="D1238" s="75">
        <v>44655</v>
      </c>
      <c r="E1238" s="70" t="s">
        <v>76</v>
      </c>
      <c r="F1238" s="70" t="s">
        <v>630</v>
      </c>
      <c r="G1238" s="68" t="s">
        <v>4701</v>
      </c>
      <c r="H1238" s="59" t="s">
        <v>4702</v>
      </c>
      <c r="I1238" s="69" t="s">
        <v>4703</v>
      </c>
      <c r="J1238" s="69"/>
      <c r="K1238" s="95" t="s">
        <v>9</v>
      </c>
      <c r="L1238" s="69" t="s">
        <v>120</v>
      </c>
      <c r="M1238" s="71" t="s">
        <v>141</v>
      </c>
      <c r="N1238" s="69" t="e" vm="1">
        <v>#VALUE!</v>
      </c>
      <c r="O1238" s="84">
        <v>44656</v>
      </c>
      <c r="P1238" s="82" t="s">
        <v>402</v>
      </c>
      <c r="Q1238" s="82" t="s">
        <v>259</v>
      </c>
      <c r="R1238" s="69"/>
      <c r="S1238" s="146"/>
      <c r="T1238" s="68" t="s">
        <v>155</v>
      </c>
      <c r="U1238" s="87"/>
      <c r="V1238" s="80">
        <v>44655</v>
      </c>
      <c r="W1238" s="73"/>
      <c r="X1238" s="73"/>
      <c r="Y1238" s="83" t="str">
        <f>IF(SUM(W1238:W1238)&gt;0,X1238/SUM(W1238:W1238)*1000000,"N/A")</f>
        <v>N/A</v>
      </c>
      <c r="Z1238" s="80"/>
      <c r="AA1238" s="80"/>
      <c r="AB1238" s="73"/>
      <c r="AC1238" s="153"/>
      <c r="AD1238" s="331"/>
      <c r="AE1238" s="57"/>
      <c r="AF1238" s="88"/>
      <c r="AG1238" s="182">
        <f>YEAR(D1238)</f>
        <v>2022</v>
      </c>
      <c r="AH1238" s="86" t="str">
        <f>+IF(AE1238=$AJ$22,MONTH(T1238),"")</f>
        <v/>
      </c>
      <c r="AI1238" s="86" t="str">
        <f>+IF(AF1238=$AJ$22,MONTH(U1238),"")</f>
        <v/>
      </c>
      <c r="AJ1238" s="86" t="str">
        <f>+IF(AG1238=$AJ$22,MONTH(V1238),"")</f>
        <v/>
      </c>
      <c r="AK1238" s="86" t="str">
        <f>+IF(AG1238=$AK$22,MONTH(V1238),"")</f>
        <v/>
      </c>
      <c r="AL1238" s="86">
        <f>+IF(AG1238=$AL$22,MONTH(V1238),"")</f>
        <v>4</v>
      </c>
      <c r="AM1238" s="86" t="str">
        <f>+IF($AG1238=$AM$22,MONTH($D1238),"")</f>
        <v/>
      </c>
      <c r="AN1238" s="89" t="str">
        <f>+IF($AG1238=AN$22,MONTH($D1238),"")</f>
        <v/>
      </c>
      <c r="AO1238" s="89" t="str">
        <f>+IF($AG1238=AO$22,MONTH($D1238),"")</f>
        <v/>
      </c>
      <c r="AP1238" s="89" t="str">
        <f>+IF($AG1238=AP$22,MONTH($D1238),"")</f>
        <v/>
      </c>
      <c r="AQ1238" s="89" t="str">
        <f>+IF($AG1238=AQ$22,MONTH($D1238),"")</f>
        <v/>
      </c>
      <c r="AR1238" s="89" t="str">
        <f>+IF($AG1238=AR$22,MONTH($D1238),"")</f>
        <v/>
      </c>
      <c r="AS1238" s="89" t="str">
        <f>+IF($AG1238=AS$22,MONTH($D1238),"")</f>
        <v/>
      </c>
      <c r="AT1238" s="89" t="str">
        <f>+IF($AG1238=AT$22,MONTH($D1238),"")</f>
        <v/>
      </c>
      <c r="AU1238" s="89" t="str">
        <f>+IF($AG1238=AU$22,MONTH($D1238),"")</f>
        <v/>
      </c>
      <c r="AV1238" s="89" t="str">
        <f>+IF($AG1238=AV$22,MONTH($D1238),"")</f>
        <v/>
      </c>
      <c r="AW1238" s="86" t="str">
        <f>+IF($AG1238=AW$22,MONTH($D1238),"")</f>
        <v/>
      </c>
      <c r="AX1238" s="86" t="str">
        <f>+IF($AG1238=AX$22,MONTH($D1238),"")</f>
        <v/>
      </c>
      <c r="AY1238" s="89"/>
      <c r="AZ1238" s="89"/>
      <c r="BA1238" s="89"/>
      <c r="BB1238" s="89"/>
      <c r="BC1238" s="89"/>
      <c r="BD1238" s="89"/>
      <c r="BE1238" s="89"/>
      <c r="BF1238" s="89"/>
      <c r="BG1238" s="89"/>
      <c r="BH1238" s="89"/>
      <c r="BI1238" s="89"/>
      <c r="BJ1238" s="89"/>
      <c r="BK1238" s="89"/>
      <c r="BL1238" s="89"/>
      <c r="BM1238" s="89"/>
      <c r="BN1238" s="89"/>
      <c r="BO1238" s="89"/>
      <c r="BP1238" s="89"/>
    </row>
    <row r="1239" spans="1:68" s="56" customFormat="1" ht="27" hidden="1">
      <c r="A1239" s="204" t="str">
        <f>+IFERROR(VALUE(MID(AB1239,4,4)),"")</f>
        <v/>
      </c>
      <c r="B1239" s="204">
        <f>VALUE(RIGHT(C1239,LEN(C1239)-2))</f>
        <v>1484</v>
      </c>
      <c r="C1239" s="74" t="s">
        <v>4704</v>
      </c>
      <c r="D1239" s="75">
        <v>44651</v>
      </c>
      <c r="E1239" s="70" t="s">
        <v>3741</v>
      </c>
      <c r="F1239" s="70" t="s">
        <v>4705</v>
      </c>
      <c r="G1239" s="68" t="s">
        <v>3743</v>
      </c>
      <c r="H1239" s="59" t="s">
        <v>1159</v>
      </c>
      <c r="I1239" s="69" t="s">
        <v>4706</v>
      </c>
      <c r="J1239" s="69"/>
      <c r="K1239" s="95" t="s">
        <v>3286</v>
      </c>
      <c r="L1239" s="69" t="s">
        <v>123</v>
      </c>
      <c r="M1239" s="71" t="s">
        <v>113</v>
      </c>
      <c r="N1239" s="69" t="e" vm="2">
        <v>#VALUE!</v>
      </c>
      <c r="O1239" s="84">
        <v>44651</v>
      </c>
      <c r="P1239" s="82" t="s">
        <v>483</v>
      </c>
      <c r="Q1239" s="82" t="s">
        <v>229</v>
      </c>
      <c r="R1239" s="69"/>
      <c r="S1239" s="146" t="s">
        <v>2402</v>
      </c>
      <c r="T1239" s="68" t="s">
        <v>165</v>
      </c>
      <c r="U1239" s="87"/>
      <c r="V1239" s="80">
        <v>44684</v>
      </c>
      <c r="W1239" s="73">
        <v>3127</v>
      </c>
      <c r="X1239" s="73">
        <v>110.5</v>
      </c>
      <c r="Y1239" s="83">
        <f>IF(SUM(W1239:W1239)&gt;0,X1239/SUM(W1239:W1239)*1000000,"N/A")</f>
        <v>35337.384074192523</v>
      </c>
      <c r="Z1239" s="80"/>
      <c r="AA1239" s="80"/>
      <c r="AB1239" s="73"/>
      <c r="AC1239" s="153"/>
      <c r="AD1239" s="331"/>
      <c r="AE1239" s="57"/>
      <c r="AF1239" s="88"/>
      <c r="AG1239" s="182">
        <f>YEAR(D1239)</f>
        <v>2022</v>
      </c>
      <c r="AH1239" s="86" t="str">
        <f>+IF(AE1239=$AJ$22,MONTH(T1239),"")</f>
        <v/>
      </c>
      <c r="AI1239" s="86" t="str">
        <f>+IF(AF1239=$AJ$22,MONTH(U1239),"")</f>
        <v/>
      </c>
      <c r="AJ1239" s="86" t="str">
        <f>+IF(AG1239=$AJ$22,MONTH(V1239),"")</f>
        <v/>
      </c>
      <c r="AK1239" s="86" t="str">
        <f>+IF(AG1239=$AK$22,MONTH(V1239),"")</f>
        <v/>
      </c>
      <c r="AL1239" s="86">
        <f>+IF(AG1239=$AL$22,MONTH(V1239),"")</f>
        <v>5</v>
      </c>
      <c r="AM1239" s="86" t="str">
        <f>+IF($AG1239=$AM$22,MONTH($D1239),"")</f>
        <v/>
      </c>
      <c r="AN1239" s="89" t="str">
        <f>+IF($AG1239=AN$22,MONTH($D1239),"")</f>
        <v/>
      </c>
      <c r="AO1239" s="89" t="str">
        <f>+IF($AG1239=AO$22,MONTH($D1239),"")</f>
        <v/>
      </c>
      <c r="AP1239" s="89" t="str">
        <f>+IF($AG1239=AP$22,MONTH($D1239),"")</f>
        <v/>
      </c>
      <c r="AQ1239" s="89" t="str">
        <f>+IF($AG1239=AQ$22,MONTH($D1239),"")</f>
        <v/>
      </c>
      <c r="AR1239" s="89" t="str">
        <f>+IF($AG1239=AR$22,MONTH($D1239),"")</f>
        <v/>
      </c>
      <c r="AS1239" s="89" t="str">
        <f>+IF($AG1239=AS$22,MONTH($D1239),"")</f>
        <v/>
      </c>
      <c r="AT1239" s="89" t="str">
        <f>+IF($AG1239=AT$22,MONTH($D1239),"")</f>
        <v/>
      </c>
      <c r="AU1239" s="89" t="str">
        <f>+IF($AG1239=AU$22,MONTH($D1239),"")</f>
        <v/>
      </c>
      <c r="AV1239" s="89" t="str">
        <f>+IF($AG1239=AV$22,MONTH($D1239),"")</f>
        <v/>
      </c>
      <c r="AW1239" s="86"/>
      <c r="AX1239" s="86"/>
      <c r="AY1239" s="89"/>
      <c r="AZ1239" s="89"/>
      <c r="BA1239" s="89"/>
      <c r="BB1239" s="89"/>
      <c r="BC1239" s="89"/>
      <c r="BD1239" s="89"/>
      <c r="BE1239" s="89"/>
      <c r="BF1239" s="89"/>
      <c r="BG1239" s="89"/>
      <c r="BH1239" s="89"/>
      <c r="BI1239" s="89"/>
      <c r="BJ1239" s="89"/>
      <c r="BK1239" s="89"/>
      <c r="BL1239" s="89"/>
      <c r="BM1239" s="89"/>
      <c r="BN1239" s="89"/>
      <c r="BO1239" s="89"/>
      <c r="BP1239" s="89"/>
    </row>
    <row r="1240" spans="1:68" s="56" customFormat="1" ht="13.5" hidden="1">
      <c r="A1240" s="204">
        <f>+IFERROR(VALUE(MID(AB1240,4,4)),"")</f>
        <v>299</v>
      </c>
      <c r="B1240" s="204">
        <f>VALUE(RIGHT(C1240,LEN(C1240)-2))</f>
        <v>1483</v>
      </c>
      <c r="C1240" s="74" t="s">
        <v>4707</v>
      </c>
      <c r="D1240" s="75">
        <v>44650</v>
      </c>
      <c r="E1240" s="70" t="s">
        <v>394</v>
      </c>
      <c r="F1240" s="70" t="s">
        <v>394</v>
      </c>
      <c r="G1240" s="68" t="s">
        <v>4708</v>
      </c>
      <c r="H1240" s="261" t="s">
        <v>4709</v>
      </c>
      <c r="I1240" s="69" t="s">
        <v>4710</v>
      </c>
      <c r="J1240" s="69"/>
      <c r="K1240" s="68" t="s">
        <v>12</v>
      </c>
      <c r="L1240" s="69" t="s">
        <v>120</v>
      </c>
      <c r="M1240" s="71" t="s">
        <v>141</v>
      </c>
      <c r="N1240" s="69" t="e" vm="1">
        <v>#VALUE!</v>
      </c>
      <c r="O1240" s="84">
        <v>44651</v>
      </c>
      <c r="P1240" s="72" t="s">
        <v>402</v>
      </c>
      <c r="Q1240" s="72" t="s">
        <v>623</v>
      </c>
      <c r="R1240" s="162"/>
      <c r="S1240" s="146" t="s">
        <v>4601</v>
      </c>
      <c r="T1240" s="68" t="s">
        <v>3</v>
      </c>
      <c r="U1240" s="87"/>
      <c r="V1240" s="80">
        <v>44657</v>
      </c>
      <c r="W1240" s="73">
        <v>199</v>
      </c>
      <c r="X1240" s="73">
        <f>273*31600/1000000</f>
        <v>8.6267999999999994</v>
      </c>
      <c r="Y1240" s="83">
        <f>IF(SUM(W1240:W1240)&gt;0,X1240/SUM(W1240:W1240)*1000000,"N/A")</f>
        <v>43350.753768844217</v>
      </c>
      <c r="Z1240" s="80"/>
      <c r="AA1240" s="80"/>
      <c r="AB1240" s="73" t="s">
        <v>4711</v>
      </c>
      <c r="AC1240" s="153"/>
      <c r="AD1240" s="331"/>
      <c r="AE1240" s="57"/>
      <c r="AF1240" s="88"/>
      <c r="AG1240" s="182">
        <f>YEAR(D1240)</f>
        <v>2022</v>
      </c>
      <c r="AH1240" s="86" t="str">
        <f>+IF(AE1240=$AJ$22,MONTH(T1240),"")</f>
        <v/>
      </c>
      <c r="AI1240" s="86" t="str">
        <f>+IF(AF1240=$AJ$22,MONTH(U1240),"")</f>
        <v/>
      </c>
      <c r="AJ1240" s="86" t="str">
        <f>+IF(AG1240=$AJ$22,MONTH(V1240),"")</f>
        <v/>
      </c>
      <c r="AK1240" s="86" t="str">
        <f>+IF(AG1240=$AK$22,MONTH(V1240),"")</f>
        <v/>
      </c>
      <c r="AL1240" s="86">
        <f>+IF(AG1240=$AL$22,MONTH(V1240),"")</f>
        <v>4</v>
      </c>
      <c r="AM1240" s="86" t="str">
        <f>+IF($AG1240=$AM$22,MONTH($D1240),"")</f>
        <v/>
      </c>
      <c r="AN1240" s="89" t="str">
        <f>+IF($AG1240=AN$22,MONTH($D1240),"")</f>
        <v/>
      </c>
      <c r="AO1240" s="89" t="str">
        <f>+IF($AG1240=AO$22,MONTH($D1240),"")</f>
        <v/>
      </c>
      <c r="AP1240" s="89" t="str">
        <f>+IF($AG1240=AP$22,MONTH($D1240),"")</f>
        <v/>
      </c>
      <c r="AQ1240" s="89" t="str">
        <f>+IF($AG1240=AQ$22,MONTH($D1240),"")</f>
        <v/>
      </c>
      <c r="AR1240" s="89" t="str">
        <f>+IF($AG1240=AR$22,MONTH($D1240),"")</f>
        <v/>
      </c>
      <c r="AS1240" s="89" t="str">
        <f>+IF($AG1240=AS$22,MONTH($D1240),"")</f>
        <v/>
      </c>
      <c r="AT1240" s="89" t="str">
        <f>+IF($AG1240=AT$22,MONTH($D1240),"")</f>
        <v/>
      </c>
      <c r="AU1240" s="89" t="str">
        <f>+IF($AG1240=AU$22,MONTH($D1240),"")</f>
        <v/>
      </c>
      <c r="AV1240" s="89" t="str">
        <f>+IF($AG1240=AV$22,MONTH($D1240),"")</f>
        <v/>
      </c>
      <c r="AW1240" s="86" t="str">
        <f>+IF($AG1240=AW$22,MONTH($D1240),"")</f>
        <v/>
      </c>
      <c r="AX1240" s="86" t="str">
        <f>+IF($AG1240=AX$22,MONTH($D1240),"")</f>
        <v/>
      </c>
      <c r="AY1240" s="89"/>
      <c r="AZ1240" s="89"/>
      <c r="BA1240" s="89"/>
      <c r="BB1240" s="89"/>
      <c r="BC1240" s="89"/>
      <c r="BD1240" s="89"/>
      <c r="BE1240" s="89"/>
      <c r="BF1240" s="89"/>
      <c r="BG1240" s="89"/>
      <c r="BH1240" s="89"/>
      <c r="BI1240" s="89"/>
      <c r="BJ1240" s="89"/>
      <c r="BK1240" s="89"/>
      <c r="BL1240" s="89"/>
      <c r="BM1240" s="89"/>
      <c r="BN1240" s="89"/>
      <c r="BO1240" s="89"/>
      <c r="BP1240" s="89"/>
    </row>
    <row r="1241" spans="1:68" s="56" customFormat="1" ht="27" hidden="1">
      <c r="A1241" s="204" t="str">
        <f>+IFERROR(VALUE(MID(AB1241,4,4)),"")</f>
        <v/>
      </c>
      <c r="B1241" s="204">
        <f>VALUE(RIGHT(C1241,LEN(C1241)-2))</f>
        <v>1482</v>
      </c>
      <c r="C1241" s="74" t="s">
        <v>4712</v>
      </c>
      <c r="D1241" s="75">
        <v>44644</v>
      </c>
      <c r="E1241" s="70" t="s">
        <v>332</v>
      </c>
      <c r="F1241" s="70" t="s">
        <v>332</v>
      </c>
      <c r="G1241" s="68" t="s">
        <v>4713</v>
      </c>
      <c r="H1241" s="59"/>
      <c r="I1241" s="69" t="s">
        <v>4714</v>
      </c>
      <c r="J1241" s="69"/>
      <c r="K1241" s="68" t="s">
        <v>12</v>
      </c>
      <c r="L1241" s="69" t="s">
        <v>129</v>
      </c>
      <c r="M1241" s="71" t="s">
        <v>141</v>
      </c>
      <c r="N1241" s="69" t="e" vm="1">
        <v>#VALUE!</v>
      </c>
      <c r="O1241" s="84">
        <v>44651</v>
      </c>
      <c r="P1241" s="72" t="s">
        <v>285</v>
      </c>
      <c r="Q1241" s="72" t="s">
        <v>259</v>
      </c>
      <c r="R1241" s="162"/>
      <c r="S1241" s="146" t="s">
        <v>4360</v>
      </c>
      <c r="T1241" s="68" t="s">
        <v>165</v>
      </c>
      <c r="U1241" s="87"/>
      <c r="V1241" s="80">
        <v>44837</v>
      </c>
      <c r="W1241" s="73">
        <v>2087</v>
      </c>
      <c r="X1241" s="73">
        <f>2299*31600/1000000</f>
        <v>72.648399999999995</v>
      </c>
      <c r="Y1241" s="83">
        <f>IF(SUM(W1241:W1241)&gt;0,X1241/SUM(W1241:W1241)*1000000,"N/A")</f>
        <v>34809.966459032104</v>
      </c>
      <c r="Z1241" s="80"/>
      <c r="AA1241" s="80"/>
      <c r="AB1241" s="73"/>
      <c r="AC1241" s="153"/>
      <c r="AD1241" s="331"/>
      <c r="AE1241" s="57"/>
      <c r="AF1241" s="88"/>
      <c r="AG1241" s="182">
        <f>YEAR(D1241)</f>
        <v>2022</v>
      </c>
      <c r="AH1241" s="86" t="str">
        <f>+IF(AE1241=$AJ$22,MONTH(T1241),"")</f>
        <v/>
      </c>
      <c r="AI1241" s="86" t="str">
        <f>+IF(AF1241=$AJ$22,MONTH(U1241),"")</f>
        <v/>
      </c>
      <c r="AJ1241" s="86" t="str">
        <f>+IF(AG1241=$AJ$22,MONTH(V1241),"")</f>
        <v/>
      </c>
      <c r="AK1241" s="86" t="str">
        <f>+IF(AG1241=$AK$22,MONTH(V1241),"")</f>
        <v/>
      </c>
      <c r="AL1241" s="86">
        <f>+IF(AG1241=$AL$22,MONTH(V1241),"")</f>
        <v>10</v>
      </c>
      <c r="AM1241" s="86" t="str">
        <f>+IF($AG1241=$AM$22,MONTH($D1241),"")</f>
        <v/>
      </c>
      <c r="AN1241" s="89" t="str">
        <f>+IF($AG1241=AN$22,MONTH($D1241),"")</f>
        <v/>
      </c>
      <c r="AO1241" s="89" t="str">
        <f>+IF($AG1241=AO$22,MONTH($D1241),"")</f>
        <v/>
      </c>
      <c r="AP1241" s="89" t="str">
        <f>+IF($AG1241=AP$22,MONTH($D1241),"")</f>
        <v/>
      </c>
      <c r="AQ1241" s="89" t="str">
        <f>+IF($AG1241=AQ$22,MONTH($D1241),"")</f>
        <v/>
      </c>
      <c r="AR1241" s="89" t="str">
        <f>+IF($AG1241=AR$22,MONTH($D1241),"")</f>
        <v/>
      </c>
      <c r="AS1241" s="89" t="str">
        <f>+IF($AG1241=AS$22,MONTH($D1241),"")</f>
        <v/>
      </c>
      <c r="AT1241" s="89" t="str">
        <f>+IF($AG1241=AT$22,MONTH($D1241),"")</f>
        <v/>
      </c>
      <c r="AU1241" s="89" t="str">
        <f>+IF($AG1241=AU$22,MONTH($D1241),"")</f>
        <v/>
      </c>
      <c r="AV1241" s="89" t="str">
        <f>+IF($AG1241=AV$22,MONTH($D1241),"")</f>
        <v/>
      </c>
      <c r="AW1241" s="86" t="str">
        <f>+IF($AG1241=AW$22,MONTH($D1241),"")</f>
        <v/>
      </c>
      <c r="AX1241" s="86" t="str">
        <f>+IF($AG1241=AX$22,MONTH($D1241),"")</f>
        <v/>
      </c>
      <c r="AY1241" s="89"/>
      <c r="AZ1241" s="89"/>
      <c r="BA1241" s="89"/>
      <c r="BB1241" s="89"/>
      <c r="BC1241" s="89"/>
      <c r="BD1241" s="89"/>
      <c r="BE1241" s="89"/>
      <c r="BF1241" s="89"/>
      <c r="BG1241" s="89"/>
      <c r="BH1241" s="89"/>
      <c r="BI1241" s="89"/>
      <c r="BJ1241" s="89"/>
      <c r="BK1241" s="89"/>
      <c r="BL1241" s="89"/>
      <c r="BM1241" s="89"/>
      <c r="BN1241" s="89"/>
      <c r="BO1241" s="89"/>
      <c r="BP1241" s="89"/>
    </row>
    <row r="1242" spans="1:68" s="56" customFormat="1" ht="27" hidden="1">
      <c r="A1242" s="204">
        <f>+IFERROR(VALUE(MID(AB1242,4,4)),"")</f>
        <v>280</v>
      </c>
      <c r="B1242" s="204">
        <f>VALUE(RIGHT(C1242,LEN(C1242)-2))</f>
        <v>1481</v>
      </c>
      <c r="C1242" s="74" t="s">
        <v>4715</v>
      </c>
      <c r="D1242" s="75">
        <v>44644</v>
      </c>
      <c r="E1242" s="70" t="s">
        <v>53</v>
      </c>
      <c r="F1242" s="70" t="s">
        <v>252</v>
      </c>
      <c r="G1242" s="68" t="s">
        <v>4716</v>
      </c>
      <c r="H1242" s="59" t="s">
        <v>4717</v>
      </c>
      <c r="I1242" s="69" t="s">
        <v>4718</v>
      </c>
      <c r="J1242" s="69"/>
      <c r="K1242" s="95" t="s">
        <v>12</v>
      </c>
      <c r="L1242" s="69" t="s">
        <v>120</v>
      </c>
      <c r="M1242" s="71" t="s">
        <v>141</v>
      </c>
      <c r="N1242" s="69" t="e" vm="1">
        <v>#VALUE!</v>
      </c>
      <c r="O1242" s="84">
        <v>44650</v>
      </c>
      <c r="P1242" s="82" t="s">
        <v>274</v>
      </c>
      <c r="Q1242" s="82" t="s">
        <v>1097</v>
      </c>
      <c r="R1242" s="69"/>
      <c r="S1242" s="146" t="s">
        <v>2476</v>
      </c>
      <c r="T1242" s="68" t="s">
        <v>3</v>
      </c>
      <c r="U1242" s="87"/>
      <c r="V1242" s="80">
        <v>44752</v>
      </c>
      <c r="W1242" s="73">
        <v>812</v>
      </c>
      <c r="X1242" s="73">
        <v>38.700000000000003</v>
      </c>
      <c r="Y1242" s="83">
        <f>IF(SUM(W1242:W1242)&gt;0,X1242/SUM(W1242:W1242)*1000000,"N/A")</f>
        <v>47660.098522167485</v>
      </c>
      <c r="Z1242" s="80"/>
      <c r="AA1242" s="80"/>
      <c r="AB1242" s="73" t="s">
        <v>4719</v>
      </c>
      <c r="AC1242" s="153"/>
      <c r="AD1242" s="331"/>
      <c r="AE1242" s="57"/>
      <c r="AF1242" s="88"/>
      <c r="AG1242" s="182">
        <f>YEAR(D1242)</f>
        <v>2022</v>
      </c>
      <c r="AH1242" s="86" t="str">
        <f>+IF(AE1242=$AJ$22,MONTH(T1242),"")</f>
        <v/>
      </c>
      <c r="AI1242" s="86" t="str">
        <f>+IF(AF1242=$AJ$22,MONTH(U1242),"")</f>
        <v/>
      </c>
      <c r="AJ1242" s="86" t="str">
        <f>+IF(AG1242=$AJ$22,MONTH(V1242),"")</f>
        <v/>
      </c>
      <c r="AK1242" s="86" t="str">
        <f>+IF(AG1242=$AK$22,MONTH(V1242),"")</f>
        <v/>
      </c>
      <c r="AL1242" s="86">
        <f>+IF(AG1242=$AL$22,MONTH(V1242),"")</f>
        <v>7</v>
      </c>
      <c r="AM1242" s="86" t="str">
        <f>+IF($AG1242=$AM$22,MONTH($D1242),"")</f>
        <v/>
      </c>
      <c r="AN1242" s="89" t="str">
        <f>+IF($AG1242=AN$22,MONTH($D1242),"")</f>
        <v/>
      </c>
      <c r="AO1242" s="89" t="str">
        <f>+IF($AG1242=AO$22,MONTH($D1242),"")</f>
        <v/>
      </c>
      <c r="AP1242" s="89" t="str">
        <f>+IF($AG1242=AP$22,MONTH($D1242),"")</f>
        <v/>
      </c>
      <c r="AQ1242" s="89" t="str">
        <f>+IF($AG1242=AQ$22,MONTH($D1242),"")</f>
        <v/>
      </c>
      <c r="AR1242" s="89" t="str">
        <f>+IF($AG1242=AR$22,MONTH($D1242),"")</f>
        <v/>
      </c>
      <c r="AS1242" s="89" t="str">
        <f>+IF($AG1242=AS$22,MONTH($D1242),"")</f>
        <v/>
      </c>
      <c r="AT1242" s="89" t="str">
        <f>+IF($AG1242=AT$22,MONTH($D1242),"")</f>
        <v/>
      </c>
      <c r="AU1242" s="89" t="str">
        <f>+IF($AG1242=AU$22,MONTH($D1242),"")</f>
        <v/>
      </c>
      <c r="AV1242" s="89" t="str">
        <f>+IF($AG1242=AV$22,MONTH($D1242),"")</f>
        <v/>
      </c>
      <c r="AW1242" s="86" t="str">
        <f>+IF($AG1242=AW$22,MONTH($D1242),"")</f>
        <v/>
      </c>
      <c r="AX1242" s="86" t="str">
        <f>+IF($AG1242=AX$22,MONTH($D1242),"")</f>
        <v/>
      </c>
      <c r="AY1242" s="89"/>
      <c r="AZ1242" s="89"/>
      <c r="BA1242" s="89"/>
      <c r="BB1242" s="89"/>
      <c r="BC1242" s="89"/>
      <c r="BD1242" s="89"/>
      <c r="BE1242" s="89"/>
      <c r="BF1242" s="89"/>
      <c r="BG1242" s="89"/>
      <c r="BH1242" s="89"/>
      <c r="BI1242" s="89"/>
      <c r="BJ1242" s="182"/>
      <c r="BK1242" s="182"/>
      <c r="BL1242" s="182"/>
      <c r="BM1242" s="182"/>
      <c r="BN1242" s="89"/>
      <c r="BO1242" s="89"/>
      <c r="BP1242" s="89"/>
    </row>
    <row r="1243" spans="1:68" s="51" customFormat="1" ht="27" hidden="1">
      <c r="A1243" s="204">
        <f>+IFERROR(VALUE(MID(AB1243,4,4)),"")</f>
        <v>265</v>
      </c>
      <c r="B1243" s="204">
        <f>VALUE(RIGHT(C1243,LEN(C1243)-2))</f>
        <v>1480</v>
      </c>
      <c r="C1243" s="74" t="s">
        <v>4720</v>
      </c>
      <c r="D1243" s="75">
        <v>44628</v>
      </c>
      <c r="E1243" s="70" t="s">
        <v>332</v>
      </c>
      <c r="F1243" s="70" t="s">
        <v>332</v>
      </c>
      <c r="G1243" s="68" t="s">
        <v>4323</v>
      </c>
      <c r="H1243" s="59" t="s">
        <v>3819</v>
      </c>
      <c r="I1243" s="69" t="s">
        <v>4721</v>
      </c>
      <c r="J1243" s="69"/>
      <c r="K1243" s="95" t="s">
        <v>13</v>
      </c>
      <c r="L1243" s="68" t="s">
        <v>129</v>
      </c>
      <c r="M1243" s="71" t="s">
        <v>141</v>
      </c>
      <c r="N1243" s="69" t="e" vm="1">
        <v>#VALUE!</v>
      </c>
      <c r="O1243" s="84">
        <v>44648</v>
      </c>
      <c r="P1243" s="82" t="s">
        <v>285</v>
      </c>
      <c r="Q1243" s="82" t="s">
        <v>1097</v>
      </c>
      <c r="R1243" s="69"/>
      <c r="S1243" s="146" t="s">
        <v>4722</v>
      </c>
      <c r="T1243" s="68" t="s">
        <v>3</v>
      </c>
      <c r="U1243" s="87"/>
      <c r="V1243" s="80">
        <v>44648</v>
      </c>
      <c r="W1243" s="73">
        <v>232</v>
      </c>
      <c r="X1243" s="73">
        <v>8.2799999999999994</v>
      </c>
      <c r="Y1243" s="83">
        <f>IF(SUM(W1243:W1243)&gt;0,X1243/SUM(W1243:W1243)*1000000,"N/A")</f>
        <v>35689.65517241379</v>
      </c>
      <c r="Z1243" s="80"/>
      <c r="AA1243" s="80"/>
      <c r="AB1243" s="73" t="s">
        <v>4723</v>
      </c>
      <c r="AC1243" s="153"/>
      <c r="AD1243" s="331"/>
      <c r="AE1243" s="57"/>
      <c r="AF1243" s="88"/>
      <c r="AG1243" s="182">
        <f>YEAR(D1243)</f>
        <v>2022</v>
      </c>
      <c r="AH1243" s="86" t="str">
        <f>+IF(AE1243=$AJ$22,MONTH(T1243),"")</f>
        <v/>
      </c>
      <c r="AI1243" s="86" t="str">
        <f>+IF(AF1243=$AJ$22,MONTH(U1243),"")</f>
        <v/>
      </c>
      <c r="AJ1243" s="86" t="str">
        <f>+IF(AG1243=$AJ$22,MONTH(V1243),"")</f>
        <v/>
      </c>
      <c r="AK1243" s="86" t="str">
        <f>+IF(AG1243=$AK$22,MONTH(V1243),"")</f>
        <v/>
      </c>
      <c r="AL1243" s="86">
        <f>+IF(AG1243=$AL$22,MONTH(V1243),"")</f>
        <v>3</v>
      </c>
      <c r="AM1243" s="86" t="str">
        <f>+IF($AG1243=$AM$22,MONTH($D1243),"")</f>
        <v/>
      </c>
      <c r="AN1243" s="89" t="str">
        <f>+IF($AG1243=AN$22,MONTH($D1243),"")</f>
        <v/>
      </c>
      <c r="AO1243" s="89" t="str">
        <f>+IF($AG1243=AO$22,MONTH($D1243),"")</f>
        <v/>
      </c>
      <c r="AP1243" s="89" t="str">
        <f>+IF($AG1243=AP$22,MONTH($D1243),"")</f>
        <v/>
      </c>
      <c r="AQ1243" s="89" t="str">
        <f>+IF($AG1243=AQ$22,MONTH($D1243),"")</f>
        <v/>
      </c>
      <c r="AR1243" s="89" t="str">
        <f>+IF($AG1243=AR$22,MONTH($D1243),"")</f>
        <v/>
      </c>
      <c r="AS1243" s="89" t="str">
        <f>+IF($AG1243=AS$22,MONTH($D1243),"")</f>
        <v/>
      </c>
      <c r="AT1243" s="89" t="str">
        <f>+IF($AG1243=AT$22,MONTH($D1243),"")</f>
        <v/>
      </c>
      <c r="AU1243" s="89" t="str">
        <f>+IF($AG1243=AU$22,MONTH($D1243),"")</f>
        <v/>
      </c>
      <c r="AV1243" s="89" t="str">
        <f>+IF($AG1243=AV$22,MONTH($D1243),"")</f>
        <v/>
      </c>
      <c r="AW1243" s="86" t="str">
        <f>+IF($AG1243=AW$22,MONTH($D1243),"")</f>
        <v/>
      </c>
      <c r="AX1243" s="86" t="str">
        <f>+IF($AG1243=AX$22,MONTH($D1243),"")</f>
        <v/>
      </c>
      <c r="AY1243" s="89"/>
      <c r="AZ1243" s="89"/>
      <c r="BA1243" s="89"/>
      <c r="BB1243" s="89"/>
      <c r="BC1243" s="89"/>
      <c r="BD1243" s="89"/>
      <c r="BE1243" s="89"/>
      <c r="BF1243" s="89"/>
      <c r="BG1243" s="89"/>
      <c r="BH1243" s="89"/>
      <c r="BI1243" s="89"/>
      <c r="BJ1243" s="89"/>
      <c r="BK1243" s="89"/>
      <c r="BL1243" s="89"/>
      <c r="BM1243" s="89"/>
      <c r="BN1243" s="182"/>
      <c r="BO1243" s="182"/>
      <c r="BP1243" s="182"/>
    </row>
    <row r="1244" spans="1:68" s="56" customFormat="1" ht="81" hidden="1">
      <c r="A1244" s="204" t="str">
        <f>+IFERROR(VALUE(MID(AB1244,4,4)),"")</f>
        <v/>
      </c>
      <c r="B1244" s="204">
        <f>VALUE(RIGHT(C1244,LEN(C1244)-2))</f>
        <v>1479</v>
      </c>
      <c r="C1244" s="74" t="s">
        <v>4724</v>
      </c>
      <c r="D1244" s="75">
        <v>44643</v>
      </c>
      <c r="E1244" s="70" t="s">
        <v>51</v>
      </c>
      <c r="F1244" s="70" t="s">
        <v>51</v>
      </c>
      <c r="G1244" s="68" t="s">
        <v>4725</v>
      </c>
      <c r="H1244" s="59" t="s">
        <v>256</v>
      </c>
      <c r="I1244" s="69" t="s">
        <v>4726</v>
      </c>
      <c r="J1244" s="69"/>
      <c r="K1244" s="68" t="s">
        <v>944</v>
      </c>
      <c r="L1244" s="69" t="s">
        <v>123</v>
      </c>
      <c r="M1244" s="71" t="s">
        <v>141</v>
      </c>
      <c r="N1244" s="69" t="e" vm="1">
        <v>#VALUE!</v>
      </c>
      <c r="O1244" s="84">
        <v>44671</v>
      </c>
      <c r="P1244" s="72" t="s">
        <v>228</v>
      </c>
      <c r="Q1244" s="72" t="s">
        <v>229</v>
      </c>
      <c r="R1244" s="162"/>
      <c r="S1244" s="146" t="s">
        <v>4727</v>
      </c>
      <c r="T1244" s="68" t="s">
        <v>165</v>
      </c>
      <c r="U1244" s="87"/>
      <c r="V1244" s="80">
        <v>44802</v>
      </c>
      <c r="W1244" s="73">
        <v>9000</v>
      </c>
      <c r="X1244" s="73">
        <v>452</v>
      </c>
      <c r="Y1244" s="83">
        <f>IF(SUM(W1244:W1244)&gt;0,X1244/SUM(W1244:W1244)*1000000,"N/A")</f>
        <v>50222.222222222226</v>
      </c>
      <c r="Z1244" s="80"/>
      <c r="AA1244" s="80"/>
      <c r="AB1244" s="73"/>
      <c r="AC1244" s="153"/>
      <c r="AD1244" s="331"/>
      <c r="AE1244" s="57"/>
      <c r="AF1244" s="88"/>
      <c r="AG1244" s="182">
        <f>YEAR(D1244)</f>
        <v>2022</v>
      </c>
      <c r="AH1244" s="86" t="str">
        <f>+IF(AE1244=$AJ$22,MONTH(T1244),"")</f>
        <v/>
      </c>
      <c r="AI1244" s="86" t="str">
        <f>+IF(AF1244=$AJ$22,MONTH(U1244),"")</f>
        <v/>
      </c>
      <c r="AJ1244" s="86" t="str">
        <f>+IF(AG1244=$AJ$22,MONTH(V1244),"")</f>
        <v/>
      </c>
      <c r="AK1244" s="86" t="str">
        <f>+IF(AG1244=$AK$22,MONTH(V1244),"")</f>
        <v/>
      </c>
      <c r="AL1244" s="86">
        <f>+IF(AG1244=$AL$22,MONTH(V1244),"")</f>
        <v>8</v>
      </c>
      <c r="AM1244" s="86" t="str">
        <f>+IF($AG1244=$AM$22,MONTH($D1244),"")</f>
        <v/>
      </c>
      <c r="AN1244" s="89" t="str">
        <f>+IF($AG1244=AN$22,MONTH($D1244),"")</f>
        <v/>
      </c>
      <c r="AO1244" s="89" t="str">
        <f>+IF($AG1244=AO$22,MONTH($D1244),"")</f>
        <v/>
      </c>
      <c r="AP1244" s="89" t="str">
        <f>+IF($AG1244=AP$22,MONTH($D1244),"")</f>
        <v/>
      </c>
      <c r="AQ1244" s="89" t="str">
        <f>+IF($AG1244=AQ$22,MONTH($D1244),"")</f>
        <v/>
      </c>
      <c r="AR1244" s="89" t="str">
        <f>+IF($AG1244=AR$22,MONTH($D1244),"")</f>
        <v/>
      </c>
      <c r="AS1244" s="89" t="str">
        <f>+IF($AG1244=AS$22,MONTH($D1244),"")</f>
        <v/>
      </c>
      <c r="AT1244" s="89" t="str">
        <f>+IF($AG1244=AT$22,MONTH($D1244),"")</f>
        <v/>
      </c>
      <c r="AU1244" s="89" t="str">
        <f>+IF($AG1244=AU$22,MONTH($D1244),"")</f>
        <v/>
      </c>
      <c r="AV1244" s="89" t="str">
        <f>+IF($AG1244=AV$22,MONTH($D1244),"")</f>
        <v/>
      </c>
      <c r="AW1244" s="86" t="str">
        <f>+IF($AG1244=AW$22,MONTH($D1244),"")</f>
        <v/>
      </c>
      <c r="AX1244" s="86" t="str">
        <f>+IF($AG1244=AX$22,MONTH($D1244),"")</f>
        <v/>
      </c>
      <c r="AY1244" s="89"/>
      <c r="AZ1244" s="89"/>
      <c r="BA1244" s="89"/>
      <c r="BB1244" s="89"/>
      <c r="BC1244" s="89"/>
      <c r="BD1244" s="89"/>
      <c r="BE1244" s="89"/>
      <c r="BF1244" s="89"/>
      <c r="BG1244" s="89"/>
      <c r="BH1244" s="89"/>
      <c r="BI1244" s="89"/>
      <c r="BJ1244" s="89"/>
      <c r="BK1244" s="89"/>
      <c r="BL1244" s="89"/>
      <c r="BM1244" s="89"/>
      <c r="BN1244" s="89"/>
      <c r="BO1244" s="89"/>
      <c r="BP1244" s="89"/>
    </row>
    <row r="1245" spans="1:68" s="56" customFormat="1" ht="29.25" hidden="1" customHeight="1">
      <c r="A1245" s="204">
        <f>+IFERROR(VALUE(MID(AB1245,4,4)),"")</f>
        <v>297</v>
      </c>
      <c r="B1245" s="204">
        <f>VALUE(RIGHT(C1245,LEN(C1245)-2))</f>
        <v>1478</v>
      </c>
      <c r="C1245" s="74" t="s">
        <v>4728</v>
      </c>
      <c r="D1245" s="75">
        <v>44642</v>
      </c>
      <c r="E1245" s="70" t="s">
        <v>332</v>
      </c>
      <c r="F1245" s="70" t="s">
        <v>332</v>
      </c>
      <c r="G1245" s="68" t="s">
        <v>4675</v>
      </c>
      <c r="H1245" s="59" t="s">
        <v>4669</v>
      </c>
      <c r="I1245" s="69" t="s">
        <v>4729</v>
      </c>
      <c r="J1245" s="69"/>
      <c r="K1245" s="95" t="s">
        <v>12</v>
      </c>
      <c r="L1245" s="69" t="s">
        <v>120</v>
      </c>
      <c r="M1245" s="71" t="s">
        <v>141</v>
      </c>
      <c r="N1245" s="69" t="e" vm="1">
        <v>#VALUE!</v>
      </c>
      <c r="O1245" s="84">
        <v>44651</v>
      </c>
      <c r="P1245" s="82" t="s">
        <v>4730</v>
      </c>
      <c r="Q1245" s="82" t="s">
        <v>1097</v>
      </c>
      <c r="R1245" s="69"/>
      <c r="S1245" s="146" t="s">
        <v>2509</v>
      </c>
      <c r="T1245" s="68" t="s">
        <v>3</v>
      </c>
      <c r="U1245" s="87"/>
      <c r="V1245" s="80">
        <v>44652</v>
      </c>
      <c r="W1245" s="73">
        <v>373</v>
      </c>
      <c r="X1245" s="73">
        <f>369*31600/1000000</f>
        <v>11.660399999999999</v>
      </c>
      <c r="Y1245" s="83">
        <f>IF(SUM(W1245:W1245)&gt;0,X1245/SUM(W1245:W1245)*1000000,"N/A")</f>
        <v>31261.126005361926</v>
      </c>
      <c r="Z1245" s="80"/>
      <c r="AA1245" s="80"/>
      <c r="AB1245" s="73" t="s">
        <v>4731</v>
      </c>
      <c r="AC1245" s="153"/>
      <c r="AD1245" s="331"/>
      <c r="AE1245" s="57"/>
      <c r="AF1245" s="88"/>
      <c r="AG1245" s="182">
        <f>YEAR(V1245)</f>
        <v>2022</v>
      </c>
      <c r="AH1245" s="86" t="str">
        <f>+IF(AE1245=$AJ$22,MONTH(T1245),"")</f>
        <v/>
      </c>
      <c r="AI1245" s="86" t="str">
        <f>+IF(AF1245=$AJ$22,MONTH(U1245),"")</f>
        <v/>
      </c>
      <c r="AJ1245" s="86" t="str">
        <f>+IF(AG1245=$AJ$22,MONTH(V1245),"")</f>
        <v/>
      </c>
      <c r="AK1245" s="86" t="str">
        <f>+IF(AG1245=$AK$22,MONTH(V1245),"")</f>
        <v/>
      </c>
      <c r="AL1245" s="86">
        <f>+IF(AG1245=$AL$22,MONTH(V1245),"")</f>
        <v>4</v>
      </c>
      <c r="AM1245" s="86" t="str">
        <f>+IF($AG1245=$AM$22,MONTH($D1245),"")</f>
        <v/>
      </c>
      <c r="AN1245" s="89" t="str">
        <f>+IF($AG1245=AN$22,MONTH($D1245),"")</f>
        <v/>
      </c>
      <c r="AO1245" s="89" t="str">
        <f>+IF($AG1245=AO$22,MONTH($D1245),"")</f>
        <v/>
      </c>
      <c r="AP1245" s="89" t="str">
        <f>+IF($AG1245=AP$22,MONTH($D1245),"")</f>
        <v/>
      </c>
      <c r="AQ1245" s="89" t="str">
        <f>+IF($AG1245=AQ$22,MONTH($D1245),"")</f>
        <v/>
      </c>
      <c r="AR1245" s="89" t="str">
        <f>+IF($AG1245=AR$22,MONTH($D1245),"")</f>
        <v/>
      </c>
      <c r="AS1245" s="89" t="str">
        <f>+IF($AG1245=AS$22,MONTH($D1245),"")</f>
        <v/>
      </c>
      <c r="AT1245" s="89" t="str">
        <f>+IF($AG1245=AT$22,MONTH($D1245),"")</f>
        <v/>
      </c>
      <c r="AU1245" s="89" t="str">
        <f>+IF($AG1245=AU$22,MONTH($D1245),"")</f>
        <v/>
      </c>
      <c r="AV1245" s="89" t="str">
        <f>+IF($AG1245=AV$22,MONTH($D1245),"")</f>
        <v/>
      </c>
      <c r="AW1245" s="86" t="str">
        <f>+IF($AG1245=AW$22,MONTH($D1245),"")</f>
        <v/>
      </c>
      <c r="AX1245" s="86" t="str">
        <f>+IF($AG1245=AX$22,MONTH($D1245),"")</f>
        <v/>
      </c>
      <c r="AY1245" s="89"/>
      <c r="AZ1245" s="89"/>
      <c r="BA1245" s="89"/>
      <c r="BB1245" s="89"/>
      <c r="BC1245" s="89"/>
      <c r="BD1245" s="89"/>
      <c r="BE1245" s="89"/>
      <c r="BF1245" s="89"/>
      <c r="BG1245" s="89"/>
      <c r="BH1245" s="89"/>
      <c r="BI1245" s="89"/>
      <c r="BJ1245" s="89"/>
      <c r="BK1245" s="89"/>
      <c r="BL1245" s="89"/>
      <c r="BM1245" s="89"/>
      <c r="BN1245" s="89"/>
      <c r="BO1245" s="89"/>
      <c r="BP1245" s="89"/>
    </row>
    <row r="1246" spans="1:68" s="56" customFormat="1" ht="40.5" hidden="1">
      <c r="A1246" s="204" t="str">
        <f>+IFERROR(VALUE(MID(AB1246,4,4)),"")</f>
        <v/>
      </c>
      <c r="B1246" s="204">
        <f>VALUE(RIGHT(C1246,LEN(C1246)-2))</f>
        <v>1477</v>
      </c>
      <c r="C1246" s="74" t="s">
        <v>4732</v>
      </c>
      <c r="D1246" s="75">
        <v>44642</v>
      </c>
      <c r="E1246" s="70" t="s">
        <v>4733</v>
      </c>
      <c r="F1246" s="70" t="s">
        <v>4733</v>
      </c>
      <c r="G1246" s="68" t="s">
        <v>4734</v>
      </c>
      <c r="H1246" s="59" t="s">
        <v>4735</v>
      </c>
      <c r="I1246" s="69" t="s">
        <v>4736</v>
      </c>
      <c r="J1246" s="69"/>
      <c r="K1246" s="95" t="s">
        <v>12</v>
      </c>
      <c r="L1246" s="69" t="s">
        <v>120</v>
      </c>
      <c r="M1246" s="71" t="s">
        <v>141</v>
      </c>
      <c r="N1246" s="69" t="e" vm="1">
        <v>#VALUE!</v>
      </c>
      <c r="O1246" s="84">
        <v>44643</v>
      </c>
      <c r="P1246" s="82" t="s">
        <v>666</v>
      </c>
      <c r="Q1246" s="82" t="s">
        <v>837</v>
      </c>
      <c r="R1246" s="69"/>
      <c r="S1246" s="146" t="s">
        <v>2501</v>
      </c>
      <c r="T1246" s="68" t="s">
        <v>165</v>
      </c>
      <c r="U1246" s="87"/>
      <c r="V1246" s="80">
        <v>44837</v>
      </c>
      <c r="W1246" s="73">
        <v>645</v>
      </c>
      <c r="X1246" s="73">
        <v>25.4</v>
      </c>
      <c r="Y1246" s="83">
        <f>IF(SUM(W1246:W1246)&gt;0,X1246/SUM(W1246:W1246)*1000000,"N/A")</f>
        <v>39379.844961240306</v>
      </c>
      <c r="Z1246" s="80"/>
      <c r="AA1246" s="80"/>
      <c r="AB1246" s="73"/>
      <c r="AC1246" s="153"/>
      <c r="AD1246" s="331"/>
      <c r="AE1246" s="57"/>
      <c r="AF1246" s="88"/>
      <c r="AG1246" s="182">
        <f>YEAR(D1246)</f>
        <v>2022</v>
      </c>
      <c r="AH1246" s="86" t="str">
        <f>+IF(AE1246=$AJ$22,MONTH(T1246),"")</f>
        <v/>
      </c>
      <c r="AI1246" s="86" t="str">
        <f>+IF(AF1246=$AJ$22,MONTH(U1246),"")</f>
        <v/>
      </c>
      <c r="AJ1246" s="86" t="str">
        <f>+IF(AG1246=$AJ$22,MONTH(V1246),"")</f>
        <v/>
      </c>
      <c r="AK1246" s="86" t="str">
        <f>+IF(AG1246=$AK$22,MONTH(V1246),"")</f>
        <v/>
      </c>
      <c r="AL1246" s="86">
        <f>+IF(AG1246=$AL$22,MONTH(V1246),"")</f>
        <v>10</v>
      </c>
      <c r="AM1246" s="86" t="str">
        <f>+IF($AG1246=$AM$22,MONTH($D1246),"")</f>
        <v/>
      </c>
      <c r="AN1246" s="89" t="str">
        <f>+IF($AG1246=AN$22,MONTH($D1246),"")</f>
        <v/>
      </c>
      <c r="AO1246" s="89" t="str">
        <f>+IF($AG1246=AO$22,MONTH($D1246),"")</f>
        <v/>
      </c>
      <c r="AP1246" s="89" t="str">
        <f>+IF($AG1246=AP$22,MONTH($D1246),"")</f>
        <v/>
      </c>
      <c r="AQ1246" s="89" t="str">
        <f>+IF($AG1246=AQ$22,MONTH($D1246),"")</f>
        <v/>
      </c>
      <c r="AR1246" s="89" t="str">
        <f>+IF($AG1246=AR$22,MONTH($D1246),"")</f>
        <v/>
      </c>
      <c r="AS1246" s="89" t="str">
        <f>+IF($AG1246=AS$22,MONTH($D1246),"")</f>
        <v/>
      </c>
      <c r="AT1246" s="89" t="str">
        <f>+IF($AG1246=AT$22,MONTH($D1246),"")</f>
        <v/>
      </c>
      <c r="AU1246" s="89" t="str">
        <f>+IF($AG1246=AU$22,MONTH($D1246),"")</f>
        <v/>
      </c>
      <c r="AV1246" s="89" t="str">
        <f>+IF($AG1246=AV$22,MONTH($D1246),"")</f>
        <v/>
      </c>
      <c r="AW1246" s="86" t="str">
        <f>+IF($AG1246=AW$22,MONTH($D1246),"")</f>
        <v/>
      </c>
      <c r="AX1246" s="86" t="str">
        <f>+IF($AG1246=AX$22,MONTH($D1246),"")</f>
        <v/>
      </c>
      <c r="AY1246" s="89"/>
      <c r="AZ1246" s="89"/>
      <c r="BA1246" s="89"/>
      <c r="BB1246" s="89"/>
      <c r="BC1246" s="89"/>
      <c r="BD1246" s="89"/>
      <c r="BE1246" s="89"/>
      <c r="BF1246" s="89"/>
      <c r="BG1246" s="89"/>
      <c r="BH1246" s="89"/>
      <c r="BI1246" s="89"/>
      <c r="BJ1246" s="89"/>
      <c r="BK1246" s="89"/>
      <c r="BL1246" s="89"/>
      <c r="BM1246" s="89"/>
      <c r="BN1246" s="89"/>
      <c r="BO1246" s="89"/>
      <c r="BP1246" s="89"/>
    </row>
    <row r="1247" spans="1:68" s="56" customFormat="1" ht="27" hidden="1">
      <c r="A1247" s="204">
        <f>+IFERROR(VALUE(MID(AB1247,4,4)),"")</f>
        <v>265</v>
      </c>
      <c r="B1247" s="204">
        <f>VALUE(RIGHT(C1247,LEN(C1247)-2))</f>
        <v>1476</v>
      </c>
      <c r="C1247" s="74" t="s">
        <v>4737</v>
      </c>
      <c r="D1247" s="75">
        <v>44635</v>
      </c>
      <c r="E1247" s="70" t="s">
        <v>332</v>
      </c>
      <c r="F1247" s="70" t="s">
        <v>332</v>
      </c>
      <c r="G1247" s="68" t="s">
        <v>4323</v>
      </c>
      <c r="H1247" s="59" t="s">
        <v>3819</v>
      </c>
      <c r="I1247" s="69" t="s">
        <v>4738</v>
      </c>
      <c r="J1247" s="69"/>
      <c r="K1247" s="95" t="s">
        <v>9</v>
      </c>
      <c r="L1247" s="69" t="s">
        <v>129</v>
      </c>
      <c r="M1247" s="71" t="s">
        <v>141</v>
      </c>
      <c r="N1247" s="69" t="e" vm="1">
        <v>#VALUE!</v>
      </c>
      <c r="O1247" s="84">
        <v>44642</v>
      </c>
      <c r="P1247" s="82" t="s">
        <v>285</v>
      </c>
      <c r="Q1247" s="82" t="s">
        <v>1097</v>
      </c>
      <c r="R1247" s="69"/>
      <c r="S1247" s="146" t="s">
        <v>4254</v>
      </c>
      <c r="T1247" s="68" t="s">
        <v>3</v>
      </c>
      <c r="U1247" s="87"/>
      <c r="V1247" s="80">
        <v>44642</v>
      </c>
      <c r="W1247" s="73">
        <v>48</v>
      </c>
      <c r="X1247" s="73">
        <f>49*31500/1000000</f>
        <v>1.5435000000000001</v>
      </c>
      <c r="Y1247" s="83">
        <f>IF(SUM(W1247:W1247)&gt;0,X1247/SUM(W1247:W1247)*1000000,"N/A")</f>
        <v>32156.250000000004</v>
      </c>
      <c r="Z1247" s="80"/>
      <c r="AA1247" s="80"/>
      <c r="AB1247" s="73" t="s">
        <v>4739</v>
      </c>
      <c r="AC1247" s="153"/>
      <c r="AD1247" s="331"/>
      <c r="AE1247" s="57"/>
      <c r="AF1247" s="88"/>
      <c r="AG1247" s="182">
        <f>YEAR(D1247)</f>
        <v>2022</v>
      </c>
      <c r="AH1247" s="86" t="str">
        <f>+IF(AE1247=$AJ$22,MONTH(T1247),"")</f>
        <v/>
      </c>
      <c r="AI1247" s="86" t="str">
        <f>+IF(AF1247=$AJ$22,MONTH(U1247),"")</f>
        <v/>
      </c>
      <c r="AJ1247" s="86" t="str">
        <f>+IF(AG1247=$AJ$22,MONTH(V1247),"")</f>
        <v/>
      </c>
      <c r="AK1247" s="86" t="str">
        <f>+IF(AG1247=$AK$22,MONTH(V1247),"")</f>
        <v/>
      </c>
      <c r="AL1247" s="86">
        <f>+IF(AG1247=$AL$22,MONTH(V1247),"")</f>
        <v>3</v>
      </c>
      <c r="AM1247" s="86" t="str">
        <f>+IF($AG1247=$AM$22,MONTH($D1247),"")</f>
        <v/>
      </c>
      <c r="AN1247" s="89" t="str">
        <f>+IF($AG1247=AN$22,MONTH($D1247),"")</f>
        <v/>
      </c>
      <c r="AO1247" s="89" t="str">
        <f>+IF($AG1247=AO$22,MONTH($D1247),"")</f>
        <v/>
      </c>
      <c r="AP1247" s="89" t="str">
        <f>+IF($AG1247=AP$22,MONTH($D1247),"")</f>
        <v/>
      </c>
      <c r="AQ1247" s="89" t="str">
        <f>+IF($AG1247=AQ$22,MONTH($D1247),"")</f>
        <v/>
      </c>
      <c r="AR1247" s="89" t="str">
        <f>+IF($AG1247=AR$22,MONTH($D1247),"")</f>
        <v/>
      </c>
      <c r="AS1247" s="89" t="str">
        <f>+IF($AG1247=AS$22,MONTH($D1247),"")</f>
        <v/>
      </c>
      <c r="AT1247" s="89" t="str">
        <f>+IF($AG1247=AT$22,MONTH($D1247),"")</f>
        <v/>
      </c>
      <c r="AU1247" s="89" t="str">
        <f>+IF($AG1247=AU$22,MONTH($D1247),"")</f>
        <v/>
      </c>
      <c r="AV1247" s="89" t="str">
        <f>+IF($AG1247=AV$22,MONTH($D1247),"")</f>
        <v/>
      </c>
      <c r="AW1247" s="86" t="str">
        <f>+IF($AG1247=AW$22,MONTH($D1247),"")</f>
        <v/>
      </c>
      <c r="AX1247" s="86" t="str">
        <f>+IF($AG1247=AX$22,MONTH($D1247),"")</f>
        <v/>
      </c>
      <c r="AY1247" s="89"/>
      <c r="AZ1247" s="89"/>
      <c r="BA1247" s="89"/>
      <c r="BB1247" s="89"/>
      <c r="BC1247" s="89"/>
      <c r="BD1247" s="89"/>
      <c r="BE1247" s="89"/>
      <c r="BF1247" s="89"/>
      <c r="BG1247" s="89"/>
      <c r="BH1247" s="89"/>
      <c r="BI1247" s="89"/>
      <c r="BJ1247" s="89"/>
      <c r="BK1247" s="89"/>
      <c r="BL1247" s="89"/>
      <c r="BM1247" s="89"/>
      <c r="BN1247" s="89"/>
      <c r="BO1247" s="89"/>
      <c r="BP1247" s="89"/>
    </row>
    <row r="1248" spans="1:68" s="56" customFormat="1" ht="27" hidden="1">
      <c r="A1248" s="204">
        <f>+IFERROR(VALUE(MID(AB1248,4,4)),"")</f>
        <v>276</v>
      </c>
      <c r="B1248" s="204">
        <f>VALUE(RIGHT(C1248,LEN(C1248)-2))</f>
        <v>1475</v>
      </c>
      <c r="C1248" s="74" t="s">
        <v>4740</v>
      </c>
      <c r="D1248" s="75">
        <v>44641</v>
      </c>
      <c r="E1248" s="70" t="s">
        <v>394</v>
      </c>
      <c r="F1248" s="70" t="s">
        <v>394</v>
      </c>
      <c r="G1248" s="68" t="s">
        <v>4265</v>
      </c>
      <c r="H1248" s="59" t="s">
        <v>4266</v>
      </c>
      <c r="I1248" s="69" t="s">
        <v>4741</v>
      </c>
      <c r="J1248" s="69"/>
      <c r="K1248" s="68" t="s">
        <v>45</v>
      </c>
      <c r="L1248" s="69" t="s">
        <v>120</v>
      </c>
      <c r="M1248" s="71" t="s">
        <v>141</v>
      </c>
      <c r="N1248" s="69" t="e" vm="1">
        <v>#VALUE!</v>
      </c>
      <c r="O1248" s="84">
        <v>44642</v>
      </c>
      <c r="P1248" s="72" t="s">
        <v>402</v>
      </c>
      <c r="Q1248" s="72" t="s">
        <v>623</v>
      </c>
      <c r="R1248" s="162"/>
      <c r="S1248" s="146" t="s">
        <v>4742</v>
      </c>
      <c r="T1248" s="68" t="s">
        <v>3</v>
      </c>
      <c r="U1248" s="87"/>
      <c r="V1248" s="80">
        <v>44745</v>
      </c>
      <c r="W1248" s="73">
        <v>1738</v>
      </c>
      <c r="X1248" s="73">
        <v>57.9</v>
      </c>
      <c r="Y1248" s="83">
        <f>IF(SUM(W1248:W1248)&gt;0,X1248/SUM(W1248:W1248)*1000000,"N/A")</f>
        <v>33314.15420023015</v>
      </c>
      <c r="Z1248" s="80"/>
      <c r="AA1248" s="80"/>
      <c r="AB1248" s="73" t="s">
        <v>4743</v>
      </c>
      <c r="AC1248" s="153"/>
      <c r="AD1248" s="331"/>
      <c r="AE1248" s="57"/>
      <c r="AF1248" s="88"/>
      <c r="AG1248" s="182">
        <f>YEAR(V1248)</f>
        <v>2022</v>
      </c>
      <c r="AH1248" s="86" t="str">
        <f>+IF(AE1248=$AJ$22,MONTH(T1248),"")</f>
        <v/>
      </c>
      <c r="AI1248" s="86" t="str">
        <f>+IF(AF1248=$AJ$22,MONTH(U1248),"")</f>
        <v/>
      </c>
      <c r="AJ1248" s="86" t="str">
        <f>+IF(AG1248=$AJ$22,MONTH(V1248),"")</f>
        <v/>
      </c>
      <c r="AK1248" s="86" t="str">
        <f>+IF(AG1248=$AK$22,MONTH(V1248),"")</f>
        <v/>
      </c>
      <c r="AL1248" s="86">
        <f>+IF(AG1248=$AL$22,MONTH(V1248),"")</f>
        <v>7</v>
      </c>
      <c r="AM1248" s="86" t="str">
        <f>+IF($AG1248=$AM$22,MONTH($D1248),"")</f>
        <v/>
      </c>
      <c r="AN1248" s="89" t="str">
        <f>+IF($AG1248=AN$22,MONTH($D1248),"")</f>
        <v/>
      </c>
      <c r="AO1248" s="89" t="str">
        <f>+IF($AG1248=AO$22,MONTH($D1248),"")</f>
        <v/>
      </c>
      <c r="AP1248" s="89" t="str">
        <f>+IF($AG1248=AP$22,MONTH($D1248),"")</f>
        <v/>
      </c>
      <c r="AQ1248" s="89" t="str">
        <f>+IF($AG1248=AQ$22,MONTH($D1248),"")</f>
        <v/>
      </c>
      <c r="AR1248" s="89" t="str">
        <f>+IF($AG1248=AR$22,MONTH($D1248),"")</f>
        <v/>
      </c>
      <c r="AS1248" s="89" t="str">
        <f>+IF($AG1248=AS$22,MONTH($D1248),"")</f>
        <v/>
      </c>
      <c r="AT1248" s="89" t="str">
        <f>+IF($AG1248=AT$22,MONTH($D1248),"")</f>
        <v/>
      </c>
      <c r="AU1248" s="89" t="str">
        <f>+IF($AG1248=AU$22,MONTH($D1248),"")</f>
        <v/>
      </c>
      <c r="AV1248" s="89" t="str">
        <f>+IF($AG1248=AV$22,MONTH($D1248),"")</f>
        <v/>
      </c>
      <c r="AW1248" s="86" t="str">
        <f>+IF($AG1248=AW$22,MONTH($D1248),"")</f>
        <v/>
      </c>
      <c r="AX1248" s="86" t="str">
        <f>+IF($AG1248=AX$22,MONTH($D1248),"")</f>
        <v/>
      </c>
      <c r="AY1248" s="89"/>
      <c r="AZ1248" s="89"/>
      <c r="BA1248" s="89"/>
      <c r="BB1248" s="89"/>
      <c r="BC1248" s="89"/>
      <c r="BD1248" s="89"/>
      <c r="BE1248" s="89"/>
      <c r="BF1248" s="89"/>
      <c r="BG1248" s="89"/>
      <c r="BH1248" s="89"/>
      <c r="BI1248" s="89"/>
      <c r="BJ1248" s="89"/>
      <c r="BK1248" s="89"/>
      <c r="BL1248" s="89"/>
      <c r="BM1248" s="89"/>
      <c r="BN1248" s="89"/>
      <c r="BO1248" s="89"/>
      <c r="BP1248" s="89"/>
    </row>
    <row r="1249" spans="1:68" s="56" customFormat="1" ht="33.75" hidden="1" customHeight="1">
      <c r="A1249" s="204">
        <f>+IFERROR(VALUE(MID(AB1249,4,4)),"")</f>
        <v>276</v>
      </c>
      <c r="B1249" s="204">
        <f>VALUE(RIGHT(C1249,LEN(C1249)-2))</f>
        <v>1475</v>
      </c>
      <c r="C1249" s="74" t="s">
        <v>4740</v>
      </c>
      <c r="D1249" s="75">
        <v>44641</v>
      </c>
      <c r="E1249" s="70" t="s">
        <v>394</v>
      </c>
      <c r="F1249" s="70" t="s">
        <v>394</v>
      </c>
      <c r="G1249" s="68" t="s">
        <v>4265</v>
      </c>
      <c r="H1249" s="59" t="s">
        <v>4266</v>
      </c>
      <c r="I1249" s="69" t="s">
        <v>4741</v>
      </c>
      <c r="J1249" s="69"/>
      <c r="K1249" s="68" t="s">
        <v>45</v>
      </c>
      <c r="L1249" s="69" t="s">
        <v>120</v>
      </c>
      <c r="M1249" s="71" t="s">
        <v>141</v>
      </c>
      <c r="N1249" s="69" t="e" vm="1">
        <v>#VALUE!</v>
      </c>
      <c r="O1249" s="84">
        <v>44642</v>
      </c>
      <c r="P1249" s="72" t="s">
        <v>402</v>
      </c>
      <c r="Q1249" s="72" t="s">
        <v>623</v>
      </c>
      <c r="R1249" s="162"/>
      <c r="S1249" s="146" t="s">
        <v>4742</v>
      </c>
      <c r="T1249" s="68" t="s">
        <v>3</v>
      </c>
      <c r="U1249" s="87"/>
      <c r="V1249" s="80">
        <v>44623</v>
      </c>
      <c r="W1249" s="73">
        <f>4003</f>
        <v>4003</v>
      </c>
      <c r="X1249" s="73">
        <f>140.6</f>
        <v>140.6</v>
      </c>
      <c r="Y1249" s="83">
        <f>IF(SUM(W1249:W1249)&gt;0,X1249/SUM(W1249:W1249)*1000000,"N/A")</f>
        <v>35123.657257057203</v>
      </c>
      <c r="Z1249" s="80"/>
      <c r="AA1249" s="80"/>
      <c r="AB1249" s="73" t="s">
        <v>4744</v>
      </c>
      <c r="AC1249" s="153"/>
      <c r="AD1249" s="331"/>
      <c r="AE1249" s="57"/>
      <c r="AF1249" s="88"/>
      <c r="AG1249" s="182">
        <f>YEAR(V1249)</f>
        <v>2022</v>
      </c>
      <c r="AH1249" s="86" t="str">
        <f>+IF(AE1249=$AJ$22,MONTH(T1249),"")</f>
        <v/>
      </c>
      <c r="AI1249" s="86" t="str">
        <f>+IF(AF1249=$AJ$22,MONTH(U1249),"")</f>
        <v/>
      </c>
      <c r="AJ1249" s="86" t="str">
        <f>+IF(AG1249=$AJ$22,MONTH(V1249),"")</f>
        <v/>
      </c>
      <c r="AK1249" s="86" t="str">
        <f>+IF(AG1249=$AK$22,MONTH(V1249),"")</f>
        <v/>
      </c>
      <c r="AL1249" s="86">
        <f>+IF(AG1249=$AL$22,MONTH(V1249),"")</f>
        <v>3</v>
      </c>
      <c r="AM1249" s="86" t="str">
        <f>+IF($AG1249=$AM$22,MONTH($D1249),"")</f>
        <v/>
      </c>
      <c r="AN1249" s="89" t="str">
        <f>+IF($AG1249=AN$22,MONTH($D1249),"")</f>
        <v/>
      </c>
      <c r="AO1249" s="89" t="str">
        <f>+IF($AG1249=AO$22,MONTH($D1249),"")</f>
        <v/>
      </c>
      <c r="AP1249" s="89" t="str">
        <f>+IF($AG1249=AP$22,MONTH($D1249),"")</f>
        <v/>
      </c>
      <c r="AQ1249" s="89" t="str">
        <f>+IF($AG1249=AQ$22,MONTH($D1249),"")</f>
        <v/>
      </c>
      <c r="AR1249" s="89" t="str">
        <f>+IF($AG1249=AR$22,MONTH($D1249),"")</f>
        <v/>
      </c>
      <c r="AS1249" s="89" t="str">
        <f>+IF($AG1249=AS$22,MONTH($D1249),"")</f>
        <v/>
      </c>
      <c r="AT1249" s="89" t="str">
        <f>+IF($AG1249=AT$22,MONTH($D1249),"")</f>
        <v/>
      </c>
      <c r="AU1249" s="89" t="str">
        <f>+IF($AG1249=AU$22,MONTH($D1249),"")</f>
        <v/>
      </c>
      <c r="AV1249" s="89" t="str">
        <f>+IF($AG1249=AV$22,MONTH($D1249),"")</f>
        <v/>
      </c>
      <c r="AW1249" s="86" t="str">
        <f>+IF($AG1249=AW$22,MONTH($D1249),"")</f>
        <v/>
      </c>
      <c r="AX1249" s="86" t="str">
        <f>+IF($AG1249=AX$22,MONTH($D1249),"")</f>
        <v/>
      </c>
      <c r="AY1249" s="89"/>
      <c r="AZ1249" s="89"/>
      <c r="BA1249" s="89"/>
      <c r="BB1249" s="89"/>
      <c r="BC1249" s="89"/>
      <c r="BD1249" s="89"/>
      <c r="BE1249" s="89"/>
      <c r="BF1249" s="89"/>
      <c r="BG1249" s="89"/>
      <c r="BH1249" s="89"/>
      <c r="BI1249" s="89"/>
      <c r="BJ1249" s="89"/>
      <c r="BK1249" s="89"/>
      <c r="BL1249" s="89"/>
      <c r="BM1249" s="89"/>
      <c r="BN1249" s="89"/>
      <c r="BO1249" s="89"/>
      <c r="BP1249" s="89"/>
    </row>
    <row r="1250" spans="1:68" s="56" customFormat="1" ht="38.25" hidden="1" customHeight="1">
      <c r="A1250" s="204">
        <f>+IFERROR(VALUE(MID(AB1250,4,4)),"")</f>
        <v>316</v>
      </c>
      <c r="B1250" s="204">
        <f>VALUE(RIGHT(C1250,LEN(C1250)-2))</f>
        <v>1474</v>
      </c>
      <c r="C1250" s="74" t="s">
        <v>4745</v>
      </c>
      <c r="D1250" s="75">
        <v>44635</v>
      </c>
      <c r="E1250" s="70" t="s">
        <v>939</v>
      </c>
      <c r="F1250" s="70" t="s">
        <v>940</v>
      </c>
      <c r="G1250" s="68" t="s">
        <v>4746</v>
      </c>
      <c r="H1250" s="59" t="s">
        <v>4747</v>
      </c>
      <c r="I1250" s="69" t="s">
        <v>4748</v>
      </c>
      <c r="J1250" s="69"/>
      <c r="K1250" s="68" t="s">
        <v>33</v>
      </c>
      <c r="L1250" s="69" t="s">
        <v>123</v>
      </c>
      <c r="M1250" s="71" t="s">
        <v>141</v>
      </c>
      <c r="N1250" s="69" t="e" vm="1">
        <v>#VALUE!</v>
      </c>
      <c r="O1250" s="84">
        <v>44669</v>
      </c>
      <c r="P1250" s="72" t="s">
        <v>274</v>
      </c>
      <c r="Q1250" s="72" t="s">
        <v>389</v>
      </c>
      <c r="R1250" s="162"/>
      <c r="S1250" s="146" t="s">
        <v>4749</v>
      </c>
      <c r="T1250" s="68" t="s">
        <v>3</v>
      </c>
      <c r="U1250" s="87"/>
      <c r="V1250" s="80">
        <v>44880</v>
      </c>
      <c r="W1250" s="73">
        <v>6840</v>
      </c>
      <c r="X1250" s="73">
        <f>10992*34300/1000000</f>
        <v>377.0256</v>
      </c>
      <c r="Y1250" s="83">
        <f>IF(SUM(W1250:W1250)&gt;0,X1250/SUM(W1250:W1250)*1000000,"N/A")</f>
        <v>55120.701754385962</v>
      </c>
      <c r="Z1250" s="80"/>
      <c r="AA1250" s="80"/>
      <c r="AB1250" s="73" t="s">
        <v>4750</v>
      </c>
      <c r="AC1250" s="153"/>
      <c r="AD1250" s="331"/>
      <c r="AE1250" s="57"/>
      <c r="AF1250" s="88"/>
      <c r="AG1250" s="182">
        <f>YEAR(D1250)</f>
        <v>2022</v>
      </c>
      <c r="AH1250" s="86" t="str">
        <f>+IF(AE1250=$AJ$22,MONTH(T1250),"")</f>
        <v/>
      </c>
      <c r="AI1250" s="86" t="str">
        <f>+IF(AF1250=$AJ$22,MONTH(U1250),"")</f>
        <v/>
      </c>
      <c r="AJ1250" s="86" t="str">
        <f>+IF(AG1250=$AJ$22,MONTH(V1250),"")</f>
        <v/>
      </c>
      <c r="AK1250" s="86" t="str">
        <f>+IF(AG1250=$AK$22,MONTH(V1250),"")</f>
        <v/>
      </c>
      <c r="AL1250" s="86">
        <f>+IF(AG1250=$AL$22,MONTH(V1250),"")</f>
        <v>11</v>
      </c>
      <c r="AM1250" s="86" t="str">
        <f>+IF($AG1250=$AM$22,MONTH($D1250),"")</f>
        <v/>
      </c>
      <c r="AN1250" s="89" t="str">
        <f>+IF($AG1250=AN$22,MONTH($D1250),"")</f>
        <v/>
      </c>
      <c r="AO1250" s="89" t="str">
        <f>+IF($AG1250=AO$22,MONTH($D1250),"")</f>
        <v/>
      </c>
      <c r="AP1250" s="89" t="str">
        <f>+IF($AG1250=AP$22,MONTH($D1250),"")</f>
        <v/>
      </c>
      <c r="AQ1250" s="89" t="str">
        <f>+IF($AG1250=AQ$22,MONTH($D1250),"")</f>
        <v/>
      </c>
      <c r="AR1250" s="89" t="str">
        <f>+IF($AG1250=AR$22,MONTH($D1250),"")</f>
        <v/>
      </c>
      <c r="AS1250" s="89" t="str">
        <f>+IF($AG1250=AS$22,MONTH($D1250),"")</f>
        <v/>
      </c>
      <c r="AT1250" s="89" t="str">
        <f>+IF($AG1250=AT$22,MONTH($D1250),"")</f>
        <v/>
      </c>
      <c r="AU1250" s="89" t="str">
        <f>+IF($AG1250=AU$22,MONTH($D1250),"")</f>
        <v/>
      </c>
      <c r="AV1250" s="89" t="str">
        <f>+IF($AG1250=AV$22,MONTH($D1250),"")</f>
        <v/>
      </c>
      <c r="AW1250" s="86" t="str">
        <f>+IF($AG1250=AW$22,MONTH($D1250),"")</f>
        <v/>
      </c>
      <c r="AX1250" s="86" t="str">
        <f>+IF($AG1250=AX$22,MONTH($D1250),"")</f>
        <v/>
      </c>
      <c r="AY1250" s="89"/>
      <c r="AZ1250" s="89"/>
      <c r="BA1250" s="89"/>
      <c r="BB1250" s="89"/>
      <c r="BC1250" s="89"/>
      <c r="BD1250" s="89"/>
      <c r="BE1250" s="89"/>
      <c r="BF1250" s="89"/>
      <c r="BG1250" s="89"/>
      <c r="BH1250" s="89"/>
      <c r="BI1250" s="89"/>
      <c r="BJ1250" s="89"/>
      <c r="BK1250" s="89"/>
      <c r="BL1250" s="89"/>
      <c r="BM1250" s="89"/>
      <c r="BN1250" s="89"/>
      <c r="BO1250" s="89"/>
      <c r="BP1250" s="89"/>
    </row>
    <row r="1251" spans="1:68" s="56" customFormat="1" ht="108" hidden="1">
      <c r="A1251" s="204" t="str">
        <f>+IFERROR(VALUE(MID(AB1251,4,4)),"")</f>
        <v/>
      </c>
      <c r="B1251" s="204">
        <f>VALUE(RIGHT(C1251,LEN(C1251)-2))</f>
        <v>1473</v>
      </c>
      <c r="C1251" s="74" t="s">
        <v>4751</v>
      </c>
      <c r="D1251" s="75">
        <v>44635</v>
      </c>
      <c r="E1251" s="70" t="s">
        <v>255</v>
      </c>
      <c r="F1251" s="70" t="s">
        <v>255</v>
      </c>
      <c r="G1251" s="68" t="s">
        <v>4523</v>
      </c>
      <c r="H1251" s="59" t="s">
        <v>4524</v>
      </c>
      <c r="I1251" s="69" t="s">
        <v>4752</v>
      </c>
      <c r="J1251" s="69"/>
      <c r="K1251" s="68" t="s">
        <v>212</v>
      </c>
      <c r="L1251" s="69" t="s">
        <v>123</v>
      </c>
      <c r="M1251" s="71" t="s">
        <v>141</v>
      </c>
      <c r="N1251" s="69" t="e" vm="1">
        <v>#VALUE!</v>
      </c>
      <c r="O1251" s="84">
        <v>44663</v>
      </c>
      <c r="P1251" s="72" t="s">
        <v>228</v>
      </c>
      <c r="Q1251" s="72" t="s">
        <v>316</v>
      </c>
      <c r="R1251" s="162"/>
      <c r="S1251" s="146" t="s">
        <v>4753</v>
      </c>
      <c r="T1251" s="68" t="s">
        <v>165</v>
      </c>
      <c r="U1251" s="87"/>
      <c r="V1251" s="80">
        <v>44753</v>
      </c>
      <c r="W1251" s="73">
        <v>1</v>
      </c>
      <c r="X1251" s="73"/>
      <c r="Y1251" s="83">
        <f>IF(SUM(W1251:W1251)&gt;0,X1251/SUM(W1251:W1251)*1000000,"N/A")</f>
        <v>0</v>
      </c>
      <c r="Z1251" s="80"/>
      <c r="AA1251" s="80"/>
      <c r="AB1251" s="73"/>
      <c r="AC1251" s="153"/>
      <c r="AD1251" s="331"/>
      <c r="AE1251" s="57"/>
      <c r="AF1251" s="88"/>
      <c r="AG1251" s="182">
        <f>YEAR(D1251)</f>
        <v>2022</v>
      </c>
      <c r="AH1251" s="86" t="str">
        <f>+IF(AE1251=$AJ$22,MONTH(T1251),"")</f>
        <v/>
      </c>
      <c r="AI1251" s="86" t="str">
        <f>+IF(AF1251=$AJ$22,MONTH(U1251),"")</f>
        <v/>
      </c>
      <c r="AJ1251" s="86" t="str">
        <f>+IF(AG1251=$AJ$22,MONTH(V1251),"")</f>
        <v/>
      </c>
      <c r="AK1251" s="86" t="str">
        <f>+IF(AG1251=$AK$22,MONTH(V1251),"")</f>
        <v/>
      </c>
      <c r="AL1251" s="86">
        <f>+IF(AG1251=$AL$22,MONTH(V1251),"")</f>
        <v>7</v>
      </c>
      <c r="AM1251" s="86" t="str">
        <f>+IF($AG1251=$AM$22,MONTH($D1251),"")</f>
        <v/>
      </c>
      <c r="AN1251" s="89" t="str">
        <f>+IF($AG1251=AN$22,MONTH($D1251),"")</f>
        <v/>
      </c>
      <c r="AO1251" s="89" t="str">
        <f>+IF($AG1251=AO$22,MONTH($D1251),"")</f>
        <v/>
      </c>
      <c r="AP1251" s="89" t="str">
        <f>+IF($AG1251=AP$22,MONTH($D1251),"")</f>
        <v/>
      </c>
      <c r="AQ1251" s="89" t="str">
        <f>+IF($AG1251=AQ$22,MONTH($D1251),"")</f>
        <v/>
      </c>
      <c r="AR1251" s="89" t="str">
        <f>+IF($AG1251=AR$22,MONTH($D1251),"")</f>
        <v/>
      </c>
      <c r="AS1251" s="89" t="str">
        <f>+IF($AG1251=AS$22,MONTH($D1251),"")</f>
        <v/>
      </c>
      <c r="AT1251" s="89" t="str">
        <f>+IF($AG1251=AT$22,MONTH($D1251),"")</f>
        <v/>
      </c>
      <c r="AU1251" s="89" t="str">
        <f>+IF($AG1251=AU$22,MONTH($D1251),"")</f>
        <v/>
      </c>
      <c r="AV1251" s="89" t="str">
        <f>+IF($AG1251=AV$22,MONTH($D1251),"")</f>
        <v/>
      </c>
      <c r="AW1251" s="86" t="str">
        <f>+IF($AG1251=AW$22,MONTH($D1251),"")</f>
        <v/>
      </c>
      <c r="AX1251" s="86" t="str">
        <f>+IF($AG1251=AX$22,MONTH($D1251),"")</f>
        <v/>
      </c>
      <c r="AY1251" s="89"/>
      <c r="AZ1251" s="89"/>
      <c r="BA1251" s="89"/>
      <c r="BB1251" s="89"/>
      <c r="BC1251" s="89"/>
      <c r="BD1251" s="89"/>
      <c r="BE1251" s="89"/>
      <c r="BF1251" s="89"/>
      <c r="BG1251" s="89"/>
      <c r="BH1251" s="89"/>
      <c r="BI1251" s="89"/>
      <c r="BJ1251" s="89"/>
      <c r="BK1251" s="89"/>
      <c r="BL1251" s="89"/>
      <c r="BM1251" s="89"/>
      <c r="BN1251" s="89"/>
      <c r="BO1251" s="89"/>
      <c r="BP1251" s="89"/>
    </row>
    <row r="1252" spans="1:68" s="56" customFormat="1" ht="13.5" hidden="1">
      <c r="A1252" s="204" t="str">
        <f>+IFERROR(VALUE(MID(AB1252,4,4)),"")</f>
        <v/>
      </c>
      <c r="B1252" s="204">
        <f>VALUE(RIGHT(C1252,LEN(C1252)-2))</f>
        <v>1472</v>
      </c>
      <c r="C1252" s="74" t="s">
        <v>4754</v>
      </c>
      <c r="D1252" s="75">
        <v>44624</v>
      </c>
      <c r="E1252" s="70" t="s">
        <v>53</v>
      </c>
      <c r="F1252" s="70" t="s">
        <v>630</v>
      </c>
      <c r="G1252" s="68"/>
      <c r="H1252" s="59"/>
      <c r="I1252" s="69" t="s">
        <v>4755</v>
      </c>
      <c r="J1252" s="69"/>
      <c r="K1252" s="68" t="s">
        <v>12</v>
      </c>
      <c r="L1252" s="69" t="s">
        <v>123</v>
      </c>
      <c r="M1252" s="71" t="s">
        <v>141</v>
      </c>
      <c r="N1252" s="69" t="e" vm="1">
        <v>#VALUE!</v>
      </c>
      <c r="O1252" s="84"/>
      <c r="P1252" s="72" t="s">
        <v>228</v>
      </c>
      <c r="Q1252" s="72" t="s">
        <v>644</v>
      </c>
      <c r="R1252" s="162"/>
      <c r="S1252" s="146"/>
      <c r="T1252" s="68" t="s">
        <v>155</v>
      </c>
      <c r="U1252" s="87"/>
      <c r="V1252" s="80">
        <v>44627</v>
      </c>
      <c r="W1252" s="73"/>
      <c r="X1252" s="73"/>
      <c r="Y1252" s="83" t="str">
        <f>IF(SUM(W1252:W1252)&gt;0,X1252/SUM(W1252:W1252)*1000000,"N/A")</f>
        <v>N/A</v>
      </c>
      <c r="Z1252" s="80"/>
      <c r="AA1252" s="80"/>
      <c r="AB1252" s="73"/>
      <c r="AC1252" s="153"/>
      <c r="AD1252" s="331"/>
      <c r="AE1252" s="57"/>
      <c r="AF1252" s="88"/>
      <c r="AG1252" s="182">
        <f>YEAR(D1252)</f>
        <v>2022</v>
      </c>
      <c r="AH1252" s="86" t="str">
        <f>+IF(AE1252=$AJ$22,MONTH(T1252),"")</f>
        <v/>
      </c>
      <c r="AI1252" s="86" t="str">
        <f>+IF(AF1252=$AJ$22,MONTH(U1252),"")</f>
        <v/>
      </c>
      <c r="AJ1252" s="86" t="str">
        <f>+IF(AG1252=$AJ$22,MONTH(V1252),"")</f>
        <v/>
      </c>
      <c r="AK1252" s="86" t="str">
        <f>+IF(AG1252=$AK$22,MONTH(V1252),"")</f>
        <v/>
      </c>
      <c r="AL1252" s="86">
        <f>+IF(AG1252=$AL$22,MONTH(V1252),"")</f>
        <v>3</v>
      </c>
      <c r="AM1252" s="86" t="str">
        <f>+IF($AG1252=$AM$22,MONTH($D1252),"")</f>
        <v/>
      </c>
      <c r="AN1252" s="89" t="str">
        <f>+IF($AG1252=AN$22,MONTH($D1252),"")</f>
        <v/>
      </c>
      <c r="AO1252" s="89" t="str">
        <f>+IF($AG1252=AO$22,MONTH($D1252),"")</f>
        <v/>
      </c>
      <c r="AP1252" s="89" t="str">
        <f>+IF($AG1252=AP$22,MONTH($D1252),"")</f>
        <v/>
      </c>
      <c r="AQ1252" s="89" t="str">
        <f>+IF($AG1252=AQ$22,MONTH($D1252),"")</f>
        <v/>
      </c>
      <c r="AR1252" s="89" t="str">
        <f>+IF($AG1252=AR$22,MONTH($D1252),"")</f>
        <v/>
      </c>
      <c r="AS1252" s="89" t="str">
        <f>+IF($AG1252=AS$22,MONTH($D1252),"")</f>
        <v/>
      </c>
      <c r="AT1252" s="89" t="str">
        <f>+IF($AG1252=AT$22,MONTH($D1252),"")</f>
        <v/>
      </c>
      <c r="AU1252" s="89" t="str">
        <f>+IF($AG1252=AU$22,MONTH($D1252),"")</f>
        <v/>
      </c>
      <c r="AV1252" s="89" t="str">
        <f>+IF($AG1252=AV$22,MONTH($D1252),"")</f>
        <v/>
      </c>
      <c r="AW1252" s="86" t="str">
        <f>+IF($AG1252=AW$22,MONTH($D1252),"")</f>
        <v/>
      </c>
      <c r="AX1252" s="86" t="str">
        <f>+IF($AG1252=AX$22,MONTH($D1252),"")</f>
        <v/>
      </c>
      <c r="AY1252" s="89"/>
      <c r="AZ1252" s="89"/>
      <c r="BA1252" s="89"/>
      <c r="BB1252" s="89"/>
      <c r="BC1252" s="89"/>
      <c r="BD1252" s="89"/>
      <c r="BE1252" s="89"/>
      <c r="BF1252" s="89"/>
      <c r="BG1252" s="89"/>
      <c r="BH1252" s="89"/>
      <c r="BI1252" s="89"/>
      <c r="BJ1252" s="89"/>
      <c r="BK1252" s="89"/>
      <c r="BL1252" s="89"/>
      <c r="BM1252" s="89"/>
      <c r="BN1252" s="89"/>
      <c r="BO1252" s="89"/>
      <c r="BP1252" s="89"/>
    </row>
    <row r="1253" spans="1:68" s="56" customFormat="1" ht="53.25" hidden="1">
      <c r="A1253" s="204" t="str">
        <f>+IFERROR(VALUE(MID(AB1253,4,4)),"")</f>
        <v/>
      </c>
      <c r="B1253" s="204">
        <f>VALUE(RIGHT(C1253,LEN(C1253)-2))</f>
        <v>1471</v>
      </c>
      <c r="C1253" s="74" t="s">
        <v>4756</v>
      </c>
      <c r="D1253" s="75">
        <v>44624</v>
      </c>
      <c r="E1253" s="70" t="s">
        <v>53</v>
      </c>
      <c r="F1253" s="70" t="s">
        <v>252</v>
      </c>
      <c r="G1253" s="68"/>
      <c r="H1253" s="59"/>
      <c r="I1253" s="69" t="s">
        <v>4757</v>
      </c>
      <c r="J1253" s="69"/>
      <c r="K1253" s="68" t="s">
        <v>944</v>
      </c>
      <c r="L1253" s="69" t="s">
        <v>123</v>
      </c>
      <c r="M1253" s="71" t="s">
        <v>141</v>
      </c>
      <c r="N1253" s="69" t="e" vm="1">
        <v>#VALUE!</v>
      </c>
      <c r="O1253" s="84">
        <v>44658</v>
      </c>
      <c r="P1253" s="72" t="s">
        <v>228</v>
      </c>
      <c r="Q1253" s="72" t="s">
        <v>229</v>
      </c>
      <c r="R1253" s="162"/>
      <c r="S1253" s="146" t="s">
        <v>4758</v>
      </c>
      <c r="T1253" s="68" t="s">
        <v>165</v>
      </c>
      <c r="U1253" s="87"/>
      <c r="V1253" s="80">
        <v>44720</v>
      </c>
      <c r="W1253" s="73">
        <v>8100</v>
      </c>
      <c r="X1253" s="73">
        <v>451</v>
      </c>
      <c r="Y1253" s="83">
        <f>IF(SUM(W1253:W1253)&gt;0,X1253/SUM(W1253:W1253)*1000000,"N/A")</f>
        <v>55679.01234567901</v>
      </c>
      <c r="Z1253" s="80"/>
      <c r="AA1253" s="80"/>
      <c r="AB1253" s="73"/>
      <c r="AC1253" s="153"/>
      <c r="AD1253" s="331"/>
      <c r="AE1253" s="57"/>
      <c r="AF1253" s="88"/>
      <c r="AG1253" s="182">
        <f>YEAR(D1253)</f>
        <v>2022</v>
      </c>
      <c r="AH1253" s="86" t="str">
        <f>+IF(AE1253=$AJ$22,MONTH(T1253),"")</f>
        <v/>
      </c>
      <c r="AI1253" s="86" t="str">
        <f>+IF(AF1253=$AJ$22,MONTH(U1253),"")</f>
        <v/>
      </c>
      <c r="AJ1253" s="86" t="str">
        <f>+IF(AG1253=$AJ$22,MONTH(V1253),"")</f>
        <v/>
      </c>
      <c r="AK1253" s="86" t="str">
        <f>+IF(AG1253=$AK$22,MONTH(V1253),"")</f>
        <v/>
      </c>
      <c r="AL1253" s="86">
        <f>+IF(AG1253=$AL$22,MONTH(V1253),"")</f>
        <v>6</v>
      </c>
      <c r="AM1253" s="86" t="str">
        <f>+IF($AG1253=$AM$22,MONTH($D1253),"")</f>
        <v/>
      </c>
      <c r="AN1253" s="89" t="str">
        <f>+IF($AG1253=AN$22,MONTH($D1253),"")</f>
        <v/>
      </c>
      <c r="AO1253" s="89" t="str">
        <f>+IF($AG1253=AO$22,MONTH($D1253),"")</f>
        <v/>
      </c>
      <c r="AP1253" s="89" t="str">
        <f>+IF($AG1253=AP$22,MONTH($D1253),"")</f>
        <v/>
      </c>
      <c r="AQ1253" s="89" t="str">
        <f>+IF($AG1253=AQ$22,MONTH($D1253),"")</f>
        <v/>
      </c>
      <c r="AR1253" s="89" t="str">
        <f>+IF($AG1253=AR$22,MONTH($D1253),"")</f>
        <v/>
      </c>
      <c r="AS1253" s="89" t="str">
        <f>+IF($AG1253=AS$22,MONTH($D1253),"")</f>
        <v/>
      </c>
      <c r="AT1253" s="89" t="str">
        <f>+IF($AG1253=AT$22,MONTH($D1253),"")</f>
        <v/>
      </c>
      <c r="AU1253" s="89" t="str">
        <f>+IF($AG1253=AU$22,MONTH($D1253),"")</f>
        <v/>
      </c>
      <c r="AV1253" s="89" t="str">
        <f>+IF($AG1253=AV$22,MONTH($D1253),"")</f>
        <v/>
      </c>
      <c r="AW1253" s="86" t="str">
        <f>+IF($AG1253=AW$22,MONTH($D1253),"")</f>
        <v/>
      </c>
      <c r="AX1253" s="86" t="str">
        <f>+IF($AG1253=AX$22,MONTH($D1253),"")</f>
        <v/>
      </c>
      <c r="AY1253" s="89"/>
      <c r="AZ1253" s="89"/>
      <c r="BA1253" s="89"/>
      <c r="BB1253" s="89"/>
      <c r="BC1253" s="89"/>
      <c r="BD1253" s="89"/>
      <c r="BE1253" s="89"/>
      <c r="BF1253" s="89"/>
      <c r="BG1253" s="89"/>
      <c r="BH1253" s="89"/>
      <c r="BI1253" s="89"/>
      <c r="BJ1253" s="89"/>
      <c r="BK1253" s="89"/>
      <c r="BL1253" s="89"/>
      <c r="BM1253" s="89"/>
      <c r="BN1253" s="89"/>
      <c r="BO1253" s="89"/>
      <c r="BP1253" s="89"/>
    </row>
    <row r="1254" spans="1:68" s="56" customFormat="1" ht="121.5" hidden="1">
      <c r="A1254" s="204">
        <f>+IFERROR(VALUE(MID(AB1254,4,4)),"")</f>
        <v>301</v>
      </c>
      <c r="B1254" s="204">
        <f>VALUE(RIGHT(C1254,LEN(C1254)-2))</f>
        <v>1470</v>
      </c>
      <c r="C1254" s="74" t="s">
        <v>4759</v>
      </c>
      <c r="D1254" s="75">
        <v>44624</v>
      </c>
      <c r="E1254" s="70" t="s">
        <v>4270</v>
      </c>
      <c r="F1254" s="70" t="s">
        <v>4271</v>
      </c>
      <c r="G1254" s="68" t="s">
        <v>4272</v>
      </c>
      <c r="H1254" s="59" t="s">
        <v>4273</v>
      </c>
      <c r="I1254" s="69" t="s">
        <v>4760</v>
      </c>
      <c r="J1254" s="69"/>
      <c r="K1254" s="95" t="s">
        <v>12</v>
      </c>
      <c r="L1254" s="69" t="s">
        <v>120</v>
      </c>
      <c r="M1254" s="71" t="s">
        <v>113</v>
      </c>
      <c r="N1254" s="69" t="e" vm="2">
        <v>#VALUE!</v>
      </c>
      <c r="O1254" s="84">
        <v>44627</v>
      </c>
      <c r="P1254" s="82" t="s">
        <v>483</v>
      </c>
      <c r="Q1254" s="82" t="s">
        <v>229</v>
      </c>
      <c r="R1254" s="69"/>
      <c r="S1254" s="146" t="s">
        <v>2491</v>
      </c>
      <c r="T1254" s="68" t="s">
        <v>165</v>
      </c>
      <c r="U1254" s="87"/>
      <c r="V1254" s="80">
        <v>44624</v>
      </c>
      <c r="W1254" s="73">
        <v>388</v>
      </c>
      <c r="X1254" s="73">
        <f>90800*159.52/1000000</f>
        <v>14.484416</v>
      </c>
      <c r="Y1254" s="83">
        <f>IF(SUM(W1254:W1254)&gt;0,X1254/SUM(W1254:W1254)*1000000,"N/A")</f>
        <v>37330.969072164946</v>
      </c>
      <c r="Z1254" s="80"/>
      <c r="AA1254" s="80"/>
      <c r="AB1254" s="73" t="s">
        <v>4761</v>
      </c>
      <c r="AC1254" s="153"/>
      <c r="AD1254" s="331"/>
      <c r="AE1254" s="57"/>
      <c r="AF1254" s="88" t="s">
        <v>4762</v>
      </c>
      <c r="AG1254" s="182">
        <f>YEAR(D1254)</f>
        <v>2022</v>
      </c>
      <c r="AH1254" s="86" t="str">
        <f>+IF(AE1254=$AJ$22,MONTH(T1254),"")</f>
        <v/>
      </c>
      <c r="AI1254" s="86" t="str">
        <f>+IF(AF1254=$AJ$22,MONTH(U1254),"")</f>
        <v/>
      </c>
      <c r="AJ1254" s="86" t="str">
        <f>+IF(AG1254=$AJ$22,MONTH(V1254),"")</f>
        <v/>
      </c>
      <c r="AK1254" s="86" t="str">
        <f>+IF(AG1254=$AK$22,MONTH(V1254),"")</f>
        <v/>
      </c>
      <c r="AL1254" s="86">
        <f>+IF(AG1254=$AL$22,MONTH(V1254),"")</f>
        <v>3</v>
      </c>
      <c r="AM1254" s="86" t="str">
        <f>+IF($AG1254=$AM$22,MONTH($D1254),"")</f>
        <v/>
      </c>
      <c r="AN1254" s="89" t="str">
        <f>+IF($AG1254=AN$22,MONTH($D1254),"")</f>
        <v/>
      </c>
      <c r="AO1254" s="89" t="str">
        <f>+IF($AG1254=AO$22,MONTH($D1254),"")</f>
        <v/>
      </c>
      <c r="AP1254" s="89" t="str">
        <f>+IF($AG1254=AP$22,MONTH($D1254),"")</f>
        <v/>
      </c>
      <c r="AQ1254" s="89" t="str">
        <f>+IF($AG1254=AQ$22,MONTH($D1254),"")</f>
        <v/>
      </c>
      <c r="AR1254" s="89" t="str">
        <f>+IF($AG1254=AR$22,MONTH($D1254),"")</f>
        <v/>
      </c>
      <c r="AS1254" s="89" t="str">
        <f>+IF($AG1254=AS$22,MONTH($D1254),"")</f>
        <v/>
      </c>
      <c r="AT1254" s="89" t="str">
        <f>+IF($AG1254=AT$22,MONTH($D1254),"")</f>
        <v/>
      </c>
      <c r="AU1254" s="89" t="str">
        <f>+IF($AG1254=AU$22,MONTH($D1254),"")</f>
        <v/>
      </c>
      <c r="AV1254" s="89" t="str">
        <f>+IF($AG1254=AV$22,MONTH($D1254),"")</f>
        <v/>
      </c>
      <c r="AW1254" s="86" t="str">
        <f>+IF($AG1254=AW$22,MONTH($D1254),"")</f>
        <v/>
      </c>
      <c r="AX1254" s="86" t="str">
        <f>+IF($AG1254=AX$22,MONTH($D1254),"")</f>
        <v/>
      </c>
      <c r="AY1254" s="89"/>
      <c r="AZ1254" s="89"/>
      <c r="BA1254" s="89"/>
      <c r="BB1254" s="89"/>
      <c r="BC1254" s="89"/>
      <c r="BD1254" s="89"/>
      <c r="BE1254" s="89"/>
      <c r="BF1254" s="89"/>
      <c r="BG1254" s="89"/>
      <c r="BH1254" s="89"/>
      <c r="BI1254" s="89"/>
      <c r="BJ1254" s="89"/>
      <c r="BK1254" s="89"/>
      <c r="BL1254" s="89"/>
      <c r="BM1254" s="89"/>
      <c r="BN1254" s="89"/>
      <c r="BO1254" s="89"/>
      <c r="BP1254" s="89"/>
    </row>
    <row r="1255" spans="1:68" s="56" customFormat="1" ht="27" hidden="1">
      <c r="A1255" s="204">
        <f>+IFERROR(VALUE(MID(AB1255,4,4)),"")</f>
        <v>265</v>
      </c>
      <c r="B1255" s="204">
        <f>VALUE(RIGHT(C1255,LEN(C1255)-2))</f>
        <v>1469</v>
      </c>
      <c r="C1255" s="74" t="s">
        <v>4763</v>
      </c>
      <c r="D1255" s="75">
        <v>44602</v>
      </c>
      <c r="E1255" s="70" t="s">
        <v>332</v>
      </c>
      <c r="F1255" s="70" t="s">
        <v>332</v>
      </c>
      <c r="G1255" s="68" t="s">
        <v>3818</v>
      </c>
      <c r="H1255" s="59" t="s">
        <v>3878</v>
      </c>
      <c r="I1255" s="69" t="s">
        <v>4764</v>
      </c>
      <c r="J1255" s="69"/>
      <c r="K1255" s="95" t="s">
        <v>13</v>
      </c>
      <c r="L1255" s="69" t="s">
        <v>129</v>
      </c>
      <c r="M1255" s="71" t="s">
        <v>141</v>
      </c>
      <c r="N1255" s="69" t="e" vm="1">
        <v>#VALUE!</v>
      </c>
      <c r="O1255" s="84">
        <v>44620</v>
      </c>
      <c r="P1255" s="82" t="s">
        <v>285</v>
      </c>
      <c r="Q1255" s="82" t="s">
        <v>1097</v>
      </c>
      <c r="R1255" s="69"/>
      <c r="S1255" s="146" t="s">
        <v>4765</v>
      </c>
      <c r="T1255" s="68" t="s">
        <v>3</v>
      </c>
      <c r="U1255" s="87"/>
      <c r="V1255" s="80">
        <v>44620</v>
      </c>
      <c r="W1255" s="73">
        <v>112</v>
      </c>
      <c r="X1255" s="73">
        <f>119*31500/1000000</f>
        <v>3.7484999999999999</v>
      </c>
      <c r="Y1255" s="83">
        <f>IF(SUM(W1255:W1255)&gt;0,X1255/SUM(W1255:W1255)*1000000,"N/A")</f>
        <v>33468.75</v>
      </c>
      <c r="Z1255" s="80"/>
      <c r="AA1255" s="80"/>
      <c r="AB1255" s="73" t="s">
        <v>4766</v>
      </c>
      <c r="AC1255" s="153"/>
      <c r="AD1255" s="331"/>
      <c r="AE1255" s="57"/>
      <c r="AF1255" s="88"/>
      <c r="AG1255" s="182">
        <f>YEAR(D1255)</f>
        <v>2022</v>
      </c>
      <c r="AH1255" s="86" t="str">
        <f>+IF(AE1255=$AJ$22,MONTH(T1255),"")</f>
        <v/>
      </c>
      <c r="AI1255" s="86" t="str">
        <f>+IF(AF1255=$AJ$22,MONTH(U1255),"")</f>
        <v/>
      </c>
      <c r="AJ1255" s="86" t="str">
        <f>+IF(AG1255=$AJ$22,MONTH(V1255),"")</f>
        <v/>
      </c>
      <c r="AK1255" s="86" t="str">
        <f>+IF(AG1255=$AK$22,MONTH(V1255),"")</f>
        <v/>
      </c>
      <c r="AL1255" s="86">
        <f>+IF(AG1255=$AL$22,MONTH(V1255),"")</f>
        <v>2</v>
      </c>
      <c r="AM1255" s="86" t="str">
        <f>+IF($AG1255=$AM$22,MONTH($D1255),"")</f>
        <v/>
      </c>
      <c r="AN1255" s="89" t="str">
        <f>+IF($AG1255=AN$22,MONTH($D1255),"")</f>
        <v/>
      </c>
      <c r="AO1255" s="89" t="str">
        <f>+IF($AG1255=AO$22,MONTH($D1255),"")</f>
        <v/>
      </c>
      <c r="AP1255" s="89" t="str">
        <f>+IF($AG1255=AP$22,MONTH($D1255),"")</f>
        <v/>
      </c>
      <c r="AQ1255" s="89" t="str">
        <f>+IF($AG1255=AQ$22,MONTH($D1255),"")</f>
        <v/>
      </c>
      <c r="AR1255" s="89" t="str">
        <f>+IF($AG1255=AR$22,MONTH($D1255),"")</f>
        <v/>
      </c>
      <c r="AS1255" s="89" t="str">
        <f>+IF($AG1255=AS$22,MONTH($D1255),"")</f>
        <v/>
      </c>
      <c r="AT1255" s="89" t="str">
        <f>+IF($AG1255=AT$22,MONTH($D1255),"")</f>
        <v/>
      </c>
      <c r="AU1255" s="89" t="str">
        <f>+IF($AG1255=AU$22,MONTH($D1255),"")</f>
        <v/>
      </c>
      <c r="AV1255" s="89" t="str">
        <f>+IF($AG1255=AV$22,MONTH($D1255),"")</f>
        <v/>
      </c>
      <c r="AW1255" s="86" t="str">
        <f>+IF($AG1255=AW$22,MONTH($D1255),"")</f>
        <v/>
      </c>
      <c r="AX1255" s="86" t="str">
        <f>+IF($AG1255=AX$22,MONTH($D1255),"")</f>
        <v/>
      </c>
      <c r="AY1255" s="89"/>
      <c r="AZ1255" s="89"/>
      <c r="BA1255" s="89"/>
      <c r="BB1255" s="89"/>
      <c r="BC1255" s="89"/>
      <c r="BD1255" s="89"/>
      <c r="BE1255" s="89"/>
      <c r="BF1255" s="89"/>
      <c r="BG1255" s="89"/>
      <c r="BH1255" s="89"/>
      <c r="BI1255" s="89"/>
      <c r="BJ1255" s="182"/>
      <c r="BK1255" s="182"/>
      <c r="BL1255" s="182"/>
      <c r="BM1255" s="182"/>
      <c r="BN1255" s="89"/>
      <c r="BO1255" s="89"/>
      <c r="BP1255" s="89"/>
    </row>
    <row r="1256" spans="1:68" s="51" customFormat="1" ht="27" hidden="1">
      <c r="A1256" s="204" t="str">
        <f>+IFERROR(VALUE(MID(AB1256,4,4)),"")</f>
        <v/>
      </c>
      <c r="B1256" s="204">
        <f>VALUE(RIGHT(C1256,LEN(C1256)-2))</f>
        <v>1468</v>
      </c>
      <c r="C1256" s="74" t="s">
        <v>4767</v>
      </c>
      <c r="D1256" s="75">
        <v>44594</v>
      </c>
      <c r="E1256" s="70" t="s">
        <v>2961</v>
      </c>
      <c r="F1256" s="70" t="s">
        <v>630</v>
      </c>
      <c r="G1256" s="68" t="s">
        <v>4768</v>
      </c>
      <c r="H1256" s="59"/>
      <c r="I1256" s="69" t="s">
        <v>4769</v>
      </c>
      <c r="J1256" s="69"/>
      <c r="K1256" s="68" t="s">
        <v>14</v>
      </c>
      <c r="L1256" s="69" t="s">
        <v>120</v>
      </c>
      <c r="M1256" s="71" t="s">
        <v>141</v>
      </c>
      <c r="N1256" s="69" t="e" vm="1">
        <v>#VALUE!</v>
      </c>
      <c r="O1256" s="84">
        <v>44617</v>
      </c>
      <c r="P1256" s="72" t="s">
        <v>4567</v>
      </c>
      <c r="Q1256" s="72" t="s">
        <v>259</v>
      </c>
      <c r="R1256" s="162"/>
      <c r="S1256" s="146" t="s">
        <v>4770</v>
      </c>
      <c r="T1256" s="68" t="s">
        <v>165</v>
      </c>
      <c r="U1256" s="87"/>
      <c r="V1256" s="80">
        <v>44837</v>
      </c>
      <c r="W1256" s="73">
        <v>835</v>
      </c>
      <c r="X1256" s="73">
        <f>1431*31500/1000000</f>
        <v>45.076500000000003</v>
      </c>
      <c r="Y1256" s="83">
        <f>IF(SUM(W1256:W1256)&gt;0,X1256/SUM(W1256:W1256)*1000000,"N/A")</f>
        <v>53983.832335329345</v>
      </c>
      <c r="Z1256" s="80"/>
      <c r="AA1256" s="80"/>
      <c r="AB1256" s="73"/>
      <c r="AC1256" s="153"/>
      <c r="AD1256" s="331"/>
      <c r="AE1256" s="57"/>
      <c r="AF1256" s="88"/>
      <c r="AG1256" s="182">
        <f>YEAR(D1256)</f>
        <v>2022</v>
      </c>
      <c r="AH1256" s="86" t="str">
        <f>+IF(AE1256=$AJ$22,MONTH(T1256),"")</f>
        <v/>
      </c>
      <c r="AI1256" s="86" t="str">
        <f>+IF(AF1256=$AJ$22,MONTH(U1256),"")</f>
        <v/>
      </c>
      <c r="AJ1256" s="86" t="str">
        <f>+IF(AG1256=$AJ$22,MONTH(V1256),"")</f>
        <v/>
      </c>
      <c r="AK1256" s="86" t="str">
        <f>+IF(AG1256=$AK$22,MONTH(V1256),"")</f>
        <v/>
      </c>
      <c r="AL1256" s="86">
        <f>+IF(AG1256=$AL$22,MONTH(V1256),"")</f>
        <v>10</v>
      </c>
      <c r="AM1256" s="86" t="str">
        <f>+IF($AG1256=$AM$22,MONTH($D1256),"")</f>
        <v/>
      </c>
      <c r="AN1256" s="89" t="str">
        <f>+IF($AG1256=AN$22,MONTH($D1256),"")</f>
        <v/>
      </c>
      <c r="AO1256" s="89" t="str">
        <f>+IF($AG1256=AO$22,MONTH($D1256),"")</f>
        <v/>
      </c>
      <c r="AP1256" s="89" t="str">
        <f>+IF($AG1256=AP$22,MONTH($D1256),"")</f>
        <v/>
      </c>
      <c r="AQ1256" s="89" t="str">
        <f>+IF($AG1256=AQ$22,MONTH($D1256),"")</f>
        <v/>
      </c>
      <c r="AR1256" s="89" t="str">
        <f>+IF($AG1256=AR$22,MONTH($D1256),"")</f>
        <v/>
      </c>
      <c r="AS1256" s="89" t="str">
        <f>+IF($AG1256=AS$22,MONTH($D1256),"")</f>
        <v/>
      </c>
      <c r="AT1256" s="89" t="str">
        <f>+IF($AG1256=AT$22,MONTH($D1256),"")</f>
        <v/>
      </c>
      <c r="AU1256" s="89" t="str">
        <f>+IF($AG1256=AU$22,MONTH($D1256),"")</f>
        <v/>
      </c>
      <c r="AV1256" s="89" t="str">
        <f>+IF($AG1256=AV$22,MONTH($D1256),"")</f>
        <v/>
      </c>
      <c r="AW1256" s="86" t="str">
        <f>+IF($AG1256=AW$22,MONTH($D1256),"")</f>
        <v/>
      </c>
      <c r="AX1256" s="86" t="str">
        <f>+IF($AG1256=AX$22,MONTH($D1256),"")</f>
        <v/>
      </c>
      <c r="AY1256" s="89"/>
      <c r="AZ1256" s="89"/>
      <c r="BA1256" s="89"/>
      <c r="BB1256" s="89"/>
      <c r="BC1256" s="89"/>
      <c r="BD1256" s="89"/>
      <c r="BE1256" s="89"/>
      <c r="BF1256" s="89"/>
      <c r="BG1256" s="89"/>
      <c r="BH1256" s="89"/>
      <c r="BI1256" s="89"/>
      <c r="BJ1256" s="89"/>
      <c r="BK1256" s="89"/>
      <c r="BL1256" s="89"/>
      <c r="BM1256" s="89"/>
      <c r="BN1256" s="182"/>
      <c r="BO1256" s="182"/>
      <c r="BP1256" s="182"/>
    </row>
    <row r="1257" spans="1:68" s="56" customFormat="1" ht="94.5" hidden="1">
      <c r="A1257" s="204" t="str">
        <f>+IFERROR(VALUE(MID(AB1257,4,4)),"")</f>
        <v/>
      </c>
      <c r="B1257" s="204">
        <f>VALUE(RIGHT(C1257,LEN(C1257)-2))</f>
        <v>1467</v>
      </c>
      <c r="C1257" s="74" t="s">
        <v>4771</v>
      </c>
      <c r="D1257" s="75">
        <v>44615</v>
      </c>
      <c r="E1257" s="70" t="s">
        <v>97</v>
      </c>
      <c r="F1257" s="70" t="s">
        <v>252</v>
      </c>
      <c r="G1257" s="68" t="s">
        <v>4043</v>
      </c>
      <c r="H1257" s="59" t="s">
        <v>4044</v>
      </c>
      <c r="I1257" s="69" t="s">
        <v>4772</v>
      </c>
      <c r="J1257" s="69"/>
      <c r="K1257" s="95" t="s">
        <v>18</v>
      </c>
      <c r="L1257" s="69" t="s">
        <v>120</v>
      </c>
      <c r="M1257" s="71" t="s">
        <v>141</v>
      </c>
      <c r="N1257" s="69" t="e" vm="1">
        <v>#VALUE!</v>
      </c>
      <c r="O1257" s="84">
        <v>44620</v>
      </c>
      <c r="P1257" s="82" t="s">
        <v>228</v>
      </c>
      <c r="Q1257" s="82" t="s">
        <v>316</v>
      </c>
      <c r="R1257" s="69"/>
      <c r="S1257" s="146" t="s">
        <v>4773</v>
      </c>
      <c r="T1257" s="68" t="s">
        <v>165</v>
      </c>
      <c r="U1257" s="87"/>
      <c r="V1257" s="80">
        <v>44886</v>
      </c>
      <c r="W1257" s="73">
        <v>355</v>
      </c>
      <c r="X1257" s="73">
        <v>20.7</v>
      </c>
      <c r="Y1257" s="83">
        <f>IF(SUM(W1257:W1257)&gt;0,X1257/SUM(W1257:W1257)*1000000,"N/A")</f>
        <v>58309.859154929574</v>
      </c>
      <c r="Z1257" s="80"/>
      <c r="AA1257" s="80"/>
      <c r="AB1257" s="73"/>
      <c r="AC1257" s="153"/>
      <c r="AD1257" s="331"/>
      <c r="AE1257" s="57"/>
      <c r="AF1257" s="88" t="s">
        <v>4287</v>
      </c>
      <c r="AG1257" s="182">
        <f>YEAR(D1257)</f>
        <v>2022</v>
      </c>
      <c r="AH1257" s="86" t="str">
        <f>+IF(AE1257=$AJ$22,MONTH(T1257),"")</f>
        <v/>
      </c>
      <c r="AI1257" s="86" t="str">
        <f>+IF(AF1257=$AJ$22,MONTH(U1257),"")</f>
        <v/>
      </c>
      <c r="AJ1257" s="86" t="str">
        <f>+IF(AG1257=$AJ$22,MONTH(V1257),"")</f>
        <v/>
      </c>
      <c r="AK1257" s="86" t="str">
        <f>+IF(AG1257=$AK$22,MONTH(V1257),"")</f>
        <v/>
      </c>
      <c r="AL1257" s="86">
        <f>+IF(AG1257=$AL$22,MONTH(V1257),"")</f>
        <v>11</v>
      </c>
      <c r="AM1257" s="86" t="str">
        <f>+IF($AG1257=$AM$22,MONTH($D1257),"")</f>
        <v/>
      </c>
      <c r="AN1257" s="89" t="str">
        <f>+IF($AG1257=AN$22,MONTH($D1257),"")</f>
        <v/>
      </c>
      <c r="AO1257" s="89" t="str">
        <f>+IF($AG1257=AO$22,MONTH($D1257),"")</f>
        <v/>
      </c>
      <c r="AP1257" s="89" t="str">
        <f>+IF($AG1257=AP$22,MONTH($D1257),"")</f>
        <v/>
      </c>
      <c r="AQ1257" s="89" t="str">
        <f>+IF($AG1257=AQ$22,MONTH($D1257),"")</f>
        <v/>
      </c>
      <c r="AR1257" s="89" t="str">
        <f>+IF($AG1257=AR$22,MONTH($D1257),"")</f>
        <v/>
      </c>
      <c r="AS1257" s="89" t="str">
        <f>+IF($AG1257=AS$22,MONTH($D1257),"")</f>
        <v/>
      </c>
      <c r="AT1257" s="89" t="str">
        <f>+IF($AG1257=AT$22,MONTH($D1257),"")</f>
        <v/>
      </c>
      <c r="AU1257" s="89" t="str">
        <f>+IF($AG1257=AU$22,MONTH($D1257),"")</f>
        <v/>
      </c>
      <c r="AV1257" s="89" t="str">
        <f>+IF($AG1257=AV$22,MONTH($D1257),"")</f>
        <v/>
      </c>
      <c r="AW1257" s="86" t="str">
        <f>+IF($AG1257=AW$22,MONTH($D1257),"")</f>
        <v/>
      </c>
      <c r="AX1257" s="86" t="str">
        <f>+IF($AG1257=AX$22,MONTH($D1257),"")</f>
        <v/>
      </c>
      <c r="AY1257" s="89"/>
      <c r="AZ1257" s="89"/>
      <c r="BA1257" s="89"/>
      <c r="BB1257" s="89"/>
      <c r="BC1257" s="89"/>
      <c r="BD1257" s="89"/>
      <c r="BE1257" s="89"/>
      <c r="BF1257" s="89"/>
      <c r="BG1257" s="89"/>
      <c r="BH1257" s="89"/>
      <c r="BI1257" s="89"/>
      <c r="BJ1257" s="89"/>
      <c r="BK1257" s="89"/>
      <c r="BL1257" s="89"/>
      <c r="BM1257" s="89"/>
      <c r="BN1257" s="89"/>
      <c r="BO1257" s="89"/>
      <c r="BP1257" s="89"/>
    </row>
    <row r="1258" spans="1:68" s="56" customFormat="1" ht="27" hidden="1">
      <c r="A1258" s="204">
        <f>+IFERROR(VALUE(MID(AB1258,4,4)),"")</f>
        <v>298</v>
      </c>
      <c r="B1258" s="204">
        <f>VALUE(RIGHT(C1258,LEN(C1258)-2))</f>
        <v>1466</v>
      </c>
      <c r="C1258" s="74" t="s">
        <v>4774</v>
      </c>
      <c r="D1258" s="75">
        <v>44615</v>
      </c>
      <c r="E1258" s="70" t="s">
        <v>97</v>
      </c>
      <c r="F1258" s="70" t="s">
        <v>252</v>
      </c>
      <c r="G1258" s="68" t="s">
        <v>4043</v>
      </c>
      <c r="H1258" s="59" t="s">
        <v>4044</v>
      </c>
      <c r="I1258" s="69" t="s">
        <v>4775</v>
      </c>
      <c r="J1258" s="69"/>
      <c r="K1258" s="95" t="s">
        <v>18</v>
      </c>
      <c r="L1258" s="69" t="s">
        <v>120</v>
      </c>
      <c r="M1258" s="71" t="s">
        <v>141</v>
      </c>
      <c r="N1258" s="69" t="e" vm="1">
        <v>#VALUE!</v>
      </c>
      <c r="O1258" s="84">
        <v>44620</v>
      </c>
      <c r="P1258" s="82" t="s">
        <v>228</v>
      </c>
      <c r="Q1258" s="82" t="s">
        <v>316</v>
      </c>
      <c r="R1258" s="69"/>
      <c r="S1258" s="146" t="s">
        <v>4776</v>
      </c>
      <c r="T1258" s="68" t="s">
        <v>3</v>
      </c>
      <c r="U1258" s="87"/>
      <c r="V1258" s="80">
        <v>44652</v>
      </c>
      <c r="W1258" s="73">
        <v>380</v>
      </c>
      <c r="X1258" s="73">
        <v>22.1</v>
      </c>
      <c r="Y1258" s="83">
        <f>IF(SUM(W1258:W1258)&gt;0,X1258/SUM(W1258:W1258)*1000000,"N/A")</f>
        <v>58157.894736842107</v>
      </c>
      <c r="Z1258" s="80"/>
      <c r="AA1258" s="80"/>
      <c r="AB1258" s="73" t="s">
        <v>4777</v>
      </c>
      <c r="AC1258" s="153"/>
      <c r="AD1258" s="331"/>
      <c r="AE1258" s="57"/>
      <c r="AF1258" s="88"/>
      <c r="AG1258" s="182">
        <f>YEAR(D1258)</f>
        <v>2022</v>
      </c>
      <c r="AH1258" s="86" t="str">
        <f>+IF(AE1258=$AJ$22,MONTH(T1258),"")</f>
        <v/>
      </c>
      <c r="AI1258" s="86" t="str">
        <f>+IF(AF1258=$AJ$22,MONTH(U1258),"")</f>
        <v/>
      </c>
      <c r="AJ1258" s="86" t="str">
        <f>+IF(AG1258=$AJ$22,MONTH(V1258),"")</f>
        <v/>
      </c>
      <c r="AK1258" s="86" t="str">
        <f>+IF(AG1258=$AK$22,MONTH(V1258),"")</f>
        <v/>
      </c>
      <c r="AL1258" s="86">
        <f>+IF(AG1258=$AL$22,MONTH(V1258),"")</f>
        <v>4</v>
      </c>
      <c r="AM1258" s="86" t="str">
        <f>+IF($AG1258=$AM$22,MONTH($D1258),"")</f>
        <v/>
      </c>
      <c r="AN1258" s="89" t="str">
        <f>+IF($AG1258=AN$22,MONTH($D1258),"")</f>
        <v/>
      </c>
      <c r="AO1258" s="89" t="str">
        <f>+IF($AG1258=AO$22,MONTH($D1258),"")</f>
        <v/>
      </c>
      <c r="AP1258" s="89" t="str">
        <f>+IF($AG1258=AP$22,MONTH($D1258),"")</f>
        <v/>
      </c>
      <c r="AQ1258" s="89" t="str">
        <f>+IF($AG1258=AQ$22,MONTH($D1258),"")</f>
        <v/>
      </c>
      <c r="AR1258" s="89" t="str">
        <f>+IF($AG1258=AR$22,MONTH($D1258),"")</f>
        <v/>
      </c>
      <c r="AS1258" s="89" t="str">
        <f>+IF($AG1258=AS$22,MONTH($D1258),"")</f>
        <v/>
      </c>
      <c r="AT1258" s="89" t="str">
        <f>+IF($AG1258=AT$22,MONTH($D1258),"")</f>
        <v/>
      </c>
      <c r="AU1258" s="89" t="str">
        <f>+IF($AG1258=AU$22,MONTH($D1258),"")</f>
        <v/>
      </c>
      <c r="AV1258" s="89" t="str">
        <f>+IF($AG1258=AV$22,MONTH($D1258),"")</f>
        <v/>
      </c>
      <c r="AW1258" s="86" t="str">
        <f>+IF($AG1258=AW$22,MONTH($D1258),"")</f>
        <v/>
      </c>
      <c r="AX1258" s="86" t="str">
        <f>+IF($AG1258=AX$22,MONTH($D1258),"")</f>
        <v/>
      </c>
      <c r="AY1258" s="89"/>
      <c r="AZ1258" s="89"/>
      <c r="BA1258" s="89"/>
      <c r="BB1258" s="89"/>
      <c r="BC1258" s="89"/>
      <c r="BD1258" s="89"/>
      <c r="BE1258" s="89"/>
      <c r="BF1258" s="89"/>
      <c r="BG1258" s="89"/>
      <c r="BH1258" s="89"/>
      <c r="BI1258" s="89"/>
      <c r="BJ1258" s="89"/>
      <c r="BK1258" s="89"/>
      <c r="BL1258" s="89"/>
      <c r="BM1258" s="89"/>
      <c r="BN1258" s="89"/>
      <c r="BO1258" s="89"/>
      <c r="BP1258" s="89"/>
    </row>
    <row r="1259" spans="1:68" s="56" customFormat="1" ht="53.25" hidden="1">
      <c r="A1259" s="204" t="str">
        <f>+IFERROR(VALUE(MID(AB1259,4,4)),"")</f>
        <v/>
      </c>
      <c r="B1259" s="204">
        <f>VALUE(RIGHT(C1259,LEN(C1259)-2))</f>
        <v>1465</v>
      </c>
      <c r="C1259" s="74" t="s">
        <v>4778</v>
      </c>
      <c r="D1259" s="75">
        <v>44614</v>
      </c>
      <c r="E1259" s="70" t="s">
        <v>53</v>
      </c>
      <c r="F1259" s="70" t="s">
        <v>630</v>
      </c>
      <c r="G1259" s="68" t="s">
        <v>210</v>
      </c>
      <c r="H1259" s="59"/>
      <c r="I1259" s="69" t="s">
        <v>4779</v>
      </c>
      <c r="J1259" s="69"/>
      <c r="K1259" s="68" t="s">
        <v>4780</v>
      </c>
      <c r="L1259" s="69" t="s">
        <v>123</v>
      </c>
      <c r="M1259" s="71" t="s">
        <v>141</v>
      </c>
      <c r="N1259" s="69" t="e" vm="1">
        <v>#VALUE!</v>
      </c>
      <c r="O1259" s="84">
        <v>44683</v>
      </c>
      <c r="P1259" s="72" t="s">
        <v>4567</v>
      </c>
      <c r="Q1259" s="72" t="s">
        <v>623</v>
      </c>
      <c r="R1259" s="162"/>
      <c r="S1259" s="146" t="s">
        <v>4781</v>
      </c>
      <c r="T1259" s="68" t="s">
        <v>165</v>
      </c>
      <c r="U1259" s="87"/>
      <c r="V1259" s="80">
        <v>44834</v>
      </c>
      <c r="W1259" s="73">
        <v>49052</v>
      </c>
      <c r="X1259" s="73">
        <v>2400</v>
      </c>
      <c r="Y1259" s="83">
        <f>IF(SUM(W1259:W1259)&gt;0,X1259/SUM(W1259:W1259)*1000000,"N/A")</f>
        <v>48927.668596591371</v>
      </c>
      <c r="Z1259" s="80"/>
      <c r="AA1259" s="80"/>
      <c r="AB1259" s="73"/>
      <c r="AC1259" s="153"/>
      <c r="AD1259" s="331"/>
      <c r="AE1259" s="57"/>
      <c r="AF1259" s="88"/>
      <c r="AG1259" s="182">
        <f>YEAR(D1259)</f>
        <v>2022</v>
      </c>
      <c r="AH1259" s="86" t="str">
        <f>+IF(AE1259=$AJ$22,MONTH(T1259),"")</f>
        <v/>
      </c>
      <c r="AI1259" s="86" t="str">
        <f>+IF(AF1259=$AJ$22,MONTH(U1259),"")</f>
        <v/>
      </c>
      <c r="AJ1259" s="86" t="str">
        <f>+IF(AG1259=$AJ$22,MONTH(V1259),"")</f>
        <v/>
      </c>
      <c r="AK1259" s="86" t="str">
        <f>+IF(AG1259=$AK$22,MONTH(V1259),"")</f>
        <v/>
      </c>
      <c r="AL1259" s="86">
        <f>+IF(AG1259=$AL$22,MONTH(V1259),"")</f>
        <v>9</v>
      </c>
      <c r="AM1259" s="86" t="str">
        <f>+IF($AG1259=$AM$22,MONTH($D1259),"")</f>
        <v/>
      </c>
      <c r="AN1259" s="89" t="str">
        <f>+IF($AG1259=AN$22,MONTH($D1259),"")</f>
        <v/>
      </c>
      <c r="AO1259" s="89" t="str">
        <f>+IF($AG1259=AO$22,MONTH($D1259),"")</f>
        <v/>
      </c>
      <c r="AP1259" s="89" t="str">
        <f>+IF($AG1259=AP$22,MONTH($D1259),"")</f>
        <v/>
      </c>
      <c r="AQ1259" s="89" t="str">
        <f>+IF($AG1259=AQ$22,MONTH($D1259),"")</f>
        <v/>
      </c>
      <c r="AR1259" s="89" t="str">
        <f>+IF($AG1259=AR$22,MONTH($D1259),"")</f>
        <v/>
      </c>
      <c r="AS1259" s="89" t="str">
        <f>+IF($AG1259=AS$22,MONTH($D1259),"")</f>
        <v/>
      </c>
      <c r="AT1259" s="89" t="str">
        <f>+IF($AG1259=AT$22,MONTH($D1259),"")</f>
        <v/>
      </c>
      <c r="AU1259" s="89" t="str">
        <f>+IF($AG1259=AU$22,MONTH($D1259),"")</f>
        <v/>
      </c>
      <c r="AV1259" s="89" t="str">
        <f>+IF($AG1259=AV$22,MONTH($D1259),"")</f>
        <v/>
      </c>
      <c r="AW1259" s="86" t="str">
        <f>+IF($AG1259=AW$22,MONTH($D1259),"")</f>
        <v/>
      </c>
      <c r="AX1259" s="86" t="str">
        <f>+IF($AG1259=AX$22,MONTH($D1259),"")</f>
        <v/>
      </c>
      <c r="AY1259" s="89"/>
      <c r="AZ1259" s="89"/>
      <c r="BA1259" s="89"/>
      <c r="BB1259" s="89"/>
      <c r="BC1259" s="89"/>
      <c r="BD1259" s="89"/>
      <c r="BE1259" s="89"/>
      <c r="BF1259" s="89"/>
      <c r="BG1259" s="89"/>
      <c r="BH1259" s="89"/>
      <c r="BI1259" s="89"/>
      <c r="BJ1259" s="89"/>
      <c r="BK1259" s="89"/>
      <c r="BL1259" s="89"/>
      <c r="BM1259" s="89"/>
      <c r="BN1259" s="89"/>
      <c r="BO1259" s="89"/>
      <c r="BP1259" s="89"/>
    </row>
    <row r="1260" spans="1:68" s="56" customFormat="1" ht="27" hidden="1">
      <c r="A1260" s="204" t="str">
        <f>+IFERROR(VALUE(MID(AB1260,4,4)),"")</f>
        <v/>
      </c>
      <c r="B1260" s="204">
        <f>VALUE(RIGHT(C1260,LEN(C1260)-2))</f>
        <v>1464</v>
      </c>
      <c r="C1260" s="74" t="s">
        <v>4782</v>
      </c>
      <c r="D1260" s="75">
        <v>44614</v>
      </c>
      <c r="E1260" s="70" t="s">
        <v>4270</v>
      </c>
      <c r="F1260" s="70" t="s">
        <v>4271</v>
      </c>
      <c r="G1260" s="68" t="s">
        <v>4272</v>
      </c>
      <c r="H1260" s="59" t="s">
        <v>4273</v>
      </c>
      <c r="I1260" s="69" t="s">
        <v>4783</v>
      </c>
      <c r="J1260" s="69"/>
      <c r="K1260" s="95" t="s">
        <v>3286</v>
      </c>
      <c r="L1260" s="69" t="s">
        <v>123</v>
      </c>
      <c r="M1260" s="71" t="s">
        <v>113</v>
      </c>
      <c r="N1260" s="69" t="e" vm="2">
        <v>#VALUE!</v>
      </c>
      <c r="O1260" s="84">
        <v>44617</v>
      </c>
      <c r="P1260" s="82" t="s">
        <v>483</v>
      </c>
      <c r="Q1260" s="82" t="s">
        <v>229</v>
      </c>
      <c r="R1260" s="69"/>
      <c r="S1260" s="146"/>
      <c r="T1260" s="68" t="s">
        <v>165</v>
      </c>
      <c r="U1260" s="87"/>
      <c r="V1260" s="80">
        <v>44614</v>
      </c>
      <c r="W1260" s="73">
        <v>700</v>
      </c>
      <c r="X1260" s="73">
        <v>21</v>
      </c>
      <c r="Y1260" s="83">
        <f>IF(SUM(W1260:W1260)&gt;0,X1260/SUM(W1260:W1260)*1000000,"N/A")</f>
        <v>30000</v>
      </c>
      <c r="Z1260" s="80"/>
      <c r="AA1260" s="80"/>
      <c r="AB1260" s="73"/>
      <c r="AC1260" s="153"/>
      <c r="AD1260" s="331"/>
      <c r="AE1260" s="57"/>
      <c r="AF1260" s="88"/>
      <c r="AG1260" s="182">
        <f>YEAR(D1260)</f>
        <v>2022</v>
      </c>
      <c r="AH1260" s="86" t="str">
        <f>+IF(AE1260=$AJ$22,MONTH(T1260),"")</f>
        <v/>
      </c>
      <c r="AI1260" s="86" t="str">
        <f>+IF(AF1260=$AJ$22,MONTH(U1260),"")</f>
        <v/>
      </c>
      <c r="AJ1260" s="86" t="str">
        <f>+IF(AG1260=$AJ$22,MONTH(V1260),"")</f>
        <v/>
      </c>
      <c r="AK1260" s="86" t="str">
        <f>+IF(AG1260=$AK$22,MONTH(V1260),"")</f>
        <v/>
      </c>
      <c r="AL1260" s="86">
        <f>+IF(AG1260=$AL$22,MONTH(V1260),"")</f>
        <v>2</v>
      </c>
      <c r="AM1260" s="86" t="str">
        <f>+IF($AG1260=$AM$22,MONTH($D1260),"")</f>
        <v/>
      </c>
      <c r="AN1260" s="89" t="str">
        <f>+IF($AG1260=AN$22,MONTH($D1260),"")</f>
        <v/>
      </c>
      <c r="AO1260" s="89" t="str">
        <f>+IF($AG1260=AO$22,MONTH($D1260),"")</f>
        <v/>
      </c>
      <c r="AP1260" s="89" t="str">
        <f>+IF($AG1260=AP$22,MONTH($D1260),"")</f>
        <v/>
      </c>
      <c r="AQ1260" s="89" t="str">
        <f>+IF($AG1260=AQ$22,MONTH($D1260),"")</f>
        <v/>
      </c>
      <c r="AR1260" s="89" t="str">
        <f>+IF($AG1260=AR$22,MONTH($D1260),"")</f>
        <v/>
      </c>
      <c r="AS1260" s="89" t="str">
        <f>+IF($AG1260=AS$22,MONTH($D1260),"")</f>
        <v/>
      </c>
      <c r="AT1260" s="89" t="str">
        <f>+IF($AG1260=AT$22,MONTH($D1260),"")</f>
        <v/>
      </c>
      <c r="AU1260" s="89" t="str">
        <f>+IF($AG1260=AU$22,MONTH($D1260),"")</f>
        <v/>
      </c>
      <c r="AV1260" s="89" t="str">
        <f>+IF($AG1260=AV$22,MONTH($D1260),"")</f>
        <v/>
      </c>
      <c r="AW1260" s="86" t="str">
        <f>+IF($AG1260=AW$22,MONTH($D1260),"")</f>
        <v/>
      </c>
      <c r="AX1260" s="86" t="str">
        <f>+IF($AG1260=AX$22,MONTH($D1260),"")</f>
        <v/>
      </c>
      <c r="AY1260" s="89"/>
      <c r="AZ1260" s="89"/>
      <c r="BA1260" s="89"/>
      <c r="BB1260" s="89"/>
      <c r="BC1260" s="89"/>
      <c r="BD1260" s="89"/>
      <c r="BE1260" s="89"/>
      <c r="BF1260" s="89"/>
      <c r="BG1260" s="89"/>
      <c r="BH1260" s="89"/>
      <c r="BI1260" s="89"/>
      <c r="BJ1260" s="89"/>
      <c r="BK1260" s="89"/>
      <c r="BL1260" s="89"/>
      <c r="BM1260" s="89"/>
      <c r="BN1260" s="89"/>
      <c r="BO1260" s="89"/>
      <c r="BP1260" s="89"/>
    </row>
    <row r="1261" spans="1:68" s="56" customFormat="1" ht="27" hidden="1">
      <c r="A1261" s="204">
        <f>+IFERROR(VALUE(MID(AB1261,4,4)),"")</f>
        <v>265</v>
      </c>
      <c r="B1261" s="204">
        <f>VALUE(RIGHT(C1261,LEN(C1261)-2))</f>
        <v>1463</v>
      </c>
      <c r="C1261" s="74" t="s">
        <v>4784</v>
      </c>
      <c r="D1261" s="75">
        <v>44614</v>
      </c>
      <c r="E1261" s="70" t="s">
        <v>332</v>
      </c>
      <c r="F1261" s="70" t="s">
        <v>332</v>
      </c>
      <c r="G1261" s="68"/>
      <c r="H1261" s="59"/>
      <c r="I1261" s="69" t="s">
        <v>4785</v>
      </c>
      <c r="J1261" s="69"/>
      <c r="K1261" s="68" t="s">
        <v>13</v>
      </c>
      <c r="L1261" s="69" t="s">
        <v>129</v>
      </c>
      <c r="M1261" s="71" t="s">
        <v>141</v>
      </c>
      <c r="N1261" s="69" t="e" vm="1">
        <v>#VALUE!</v>
      </c>
      <c r="O1261" s="84">
        <v>44615</v>
      </c>
      <c r="P1261" s="82" t="s">
        <v>285</v>
      </c>
      <c r="Q1261" s="82" t="s">
        <v>1097</v>
      </c>
      <c r="R1261" s="69"/>
      <c r="S1261" s="146"/>
      <c r="T1261" s="68" t="s">
        <v>3</v>
      </c>
      <c r="U1261" s="87"/>
      <c r="V1261" s="80">
        <v>44615</v>
      </c>
      <c r="W1261" s="73">
        <v>523</v>
      </c>
      <c r="X1261" s="73">
        <f>569*31500/1000000</f>
        <v>17.923500000000001</v>
      </c>
      <c r="Y1261" s="83">
        <f>IF(SUM(W1261:W1261)&gt;0,X1261/SUM(W1261:W1261)*1000000,"N/A")</f>
        <v>34270.554493307842</v>
      </c>
      <c r="Z1261" s="80"/>
      <c r="AA1261" s="80"/>
      <c r="AB1261" s="73" t="s">
        <v>4786</v>
      </c>
      <c r="AC1261" s="153"/>
      <c r="AD1261" s="331"/>
      <c r="AE1261" s="57"/>
      <c r="AF1261" s="88"/>
      <c r="AG1261" s="182">
        <f>YEAR(D1261)</f>
        <v>2022</v>
      </c>
      <c r="AH1261" s="86" t="str">
        <f>+IF(AE1261=$AJ$22,MONTH(T1261),"")</f>
        <v/>
      </c>
      <c r="AI1261" s="86" t="str">
        <f>+IF(AF1261=$AJ$22,MONTH(U1261),"")</f>
        <v/>
      </c>
      <c r="AJ1261" s="86" t="str">
        <f>+IF(AG1261=$AJ$22,MONTH(V1261),"")</f>
        <v/>
      </c>
      <c r="AK1261" s="86" t="str">
        <f>+IF(AG1261=$AK$22,MONTH(V1261),"")</f>
        <v/>
      </c>
      <c r="AL1261" s="86">
        <f>+IF(AG1261=$AL$22,MONTH(V1261),"")</f>
        <v>2</v>
      </c>
      <c r="AM1261" s="86" t="str">
        <f>+IF($AG1261=$AM$22,MONTH($D1261),"")</f>
        <v/>
      </c>
      <c r="AN1261" s="89" t="str">
        <f>+IF($AG1261=AN$22,MONTH($D1261),"")</f>
        <v/>
      </c>
      <c r="AO1261" s="89" t="str">
        <f>+IF($AG1261=AO$22,MONTH($D1261),"")</f>
        <v/>
      </c>
      <c r="AP1261" s="89" t="str">
        <f>+IF($AG1261=AP$22,MONTH($D1261),"")</f>
        <v/>
      </c>
      <c r="AQ1261" s="89" t="str">
        <f>+IF($AG1261=AQ$22,MONTH($D1261),"")</f>
        <v/>
      </c>
      <c r="AR1261" s="89" t="str">
        <f>+IF($AG1261=AR$22,MONTH($D1261),"")</f>
        <v/>
      </c>
      <c r="AS1261" s="89" t="str">
        <f>+IF($AG1261=AS$22,MONTH($D1261),"")</f>
        <v/>
      </c>
      <c r="AT1261" s="89" t="str">
        <f>+IF($AG1261=AT$22,MONTH($D1261),"")</f>
        <v/>
      </c>
      <c r="AU1261" s="89" t="str">
        <f>+IF($AG1261=AU$22,MONTH($D1261),"")</f>
        <v/>
      </c>
      <c r="AV1261" s="89" t="str">
        <f>+IF($AG1261=AV$22,MONTH($D1261),"")</f>
        <v/>
      </c>
      <c r="AW1261" s="86" t="str">
        <f>+IF($AG1261=AW$22,MONTH($D1261),"")</f>
        <v/>
      </c>
      <c r="AX1261" s="86" t="str">
        <f>+IF($AG1261=AX$22,MONTH($D1261),"")</f>
        <v/>
      </c>
      <c r="AY1261" s="89"/>
      <c r="AZ1261" s="89"/>
      <c r="BA1261" s="89"/>
      <c r="BB1261" s="89"/>
      <c r="BC1261" s="89"/>
      <c r="BD1261" s="89"/>
      <c r="BE1261" s="89"/>
      <c r="BF1261" s="89"/>
      <c r="BG1261" s="89"/>
      <c r="BH1261" s="89"/>
      <c r="BI1261" s="89"/>
      <c r="BJ1261" s="89"/>
      <c r="BK1261" s="89"/>
      <c r="BL1261" s="89"/>
      <c r="BM1261" s="89"/>
      <c r="BN1261" s="89"/>
      <c r="BO1261" s="89"/>
      <c r="BP1261" s="89"/>
    </row>
    <row r="1262" spans="1:68" s="56" customFormat="1" ht="13.5" hidden="1">
      <c r="A1262" s="204">
        <f>+IFERROR(VALUE(MID(AB1262,4,4)),"")</f>
        <v>292</v>
      </c>
      <c r="B1262" s="204">
        <f>VALUE(RIGHT(C1262,LEN(C1262)-2))</f>
        <v>1462</v>
      </c>
      <c r="C1262" s="74" t="s">
        <v>4787</v>
      </c>
      <c r="D1262" s="75">
        <v>44609</v>
      </c>
      <c r="E1262" s="70" t="s">
        <v>394</v>
      </c>
      <c r="F1262" s="70" t="s">
        <v>2269</v>
      </c>
      <c r="G1262" s="68" t="s">
        <v>2270</v>
      </c>
      <c r="H1262" s="59" t="s">
        <v>2271</v>
      </c>
      <c r="I1262" s="69" t="s">
        <v>4788</v>
      </c>
      <c r="J1262" s="69"/>
      <c r="K1262" s="95" t="s">
        <v>13</v>
      </c>
      <c r="L1262" s="69" t="s">
        <v>120</v>
      </c>
      <c r="M1262" s="71" t="s">
        <v>141</v>
      </c>
      <c r="N1262" s="69" t="e" vm="1">
        <v>#VALUE!</v>
      </c>
      <c r="O1262" s="84">
        <v>44614</v>
      </c>
      <c r="P1262" s="82" t="s">
        <v>402</v>
      </c>
      <c r="Q1262" s="82" t="s">
        <v>623</v>
      </c>
      <c r="R1262" s="69"/>
      <c r="S1262" s="146" t="s">
        <v>4789</v>
      </c>
      <c r="T1262" s="68" t="s">
        <v>3</v>
      </c>
      <c r="U1262" s="87"/>
      <c r="V1262" s="80">
        <v>44617</v>
      </c>
      <c r="W1262" s="73">
        <v>495</v>
      </c>
      <c r="X1262" s="73">
        <v>19.5</v>
      </c>
      <c r="Y1262" s="83">
        <f>IF(SUM(W1262:W1262)&gt;0,X1262/SUM(W1262:W1262)*1000000,"N/A")</f>
        <v>39393.939393939392</v>
      </c>
      <c r="Z1262" s="80"/>
      <c r="AA1262" s="80"/>
      <c r="AB1262" s="73" t="s">
        <v>4790</v>
      </c>
      <c r="AC1262" s="153"/>
      <c r="AD1262" s="331"/>
      <c r="AE1262" s="57"/>
      <c r="AF1262" s="88"/>
      <c r="AG1262" s="182">
        <f>YEAR(V1262)</f>
        <v>2022</v>
      </c>
      <c r="AH1262" s="86" t="str">
        <f>+IF(AE1262=$AJ$22,MONTH(T1262),"")</f>
        <v/>
      </c>
      <c r="AI1262" s="86" t="str">
        <f>+IF(AF1262=$AJ$22,MONTH(U1262),"")</f>
        <v/>
      </c>
      <c r="AJ1262" s="86" t="str">
        <f>+IF(AG1262=$AJ$22,MONTH(V1262),"")</f>
        <v/>
      </c>
      <c r="AK1262" s="86" t="str">
        <f>+IF(AG1262=$AK$22,MONTH(V1262),"")</f>
        <v/>
      </c>
      <c r="AL1262" s="86">
        <f>+IF(AG1262=$AL$22,MONTH(V1262),"")</f>
        <v>2</v>
      </c>
      <c r="AM1262" s="86" t="str">
        <f>+IF($AG1262=$AM$22,MONTH($D1262),"")</f>
        <v/>
      </c>
      <c r="AN1262" s="89" t="str">
        <f>+IF($AG1262=AN$22,MONTH($D1262),"")</f>
        <v/>
      </c>
      <c r="AO1262" s="89" t="str">
        <f>+IF($AG1262=AO$22,MONTH($D1262),"")</f>
        <v/>
      </c>
      <c r="AP1262" s="89" t="str">
        <f>+IF($AG1262=AP$22,MONTH($D1262),"")</f>
        <v/>
      </c>
      <c r="AQ1262" s="89" t="str">
        <f>+IF($AG1262=AQ$22,MONTH($D1262),"")</f>
        <v/>
      </c>
      <c r="AR1262" s="89" t="str">
        <f>+IF($AG1262=AR$22,MONTH($D1262),"")</f>
        <v/>
      </c>
      <c r="AS1262" s="89" t="str">
        <f>+IF($AG1262=AS$22,MONTH($D1262),"")</f>
        <v/>
      </c>
      <c r="AT1262" s="89" t="str">
        <f>+IF($AG1262=AT$22,MONTH($D1262),"")</f>
        <v/>
      </c>
      <c r="AU1262" s="89" t="str">
        <f>+IF($AG1262=AU$22,MONTH($D1262),"")</f>
        <v/>
      </c>
      <c r="AV1262" s="89" t="str">
        <f>+IF($AG1262=AV$22,MONTH($D1262),"")</f>
        <v/>
      </c>
      <c r="AW1262" s="86" t="str">
        <f>+IF($AG1262=AW$22,MONTH($D1262),"")</f>
        <v/>
      </c>
      <c r="AX1262" s="86" t="str">
        <f>+IF($AG1262=AX$22,MONTH($D1262),"")</f>
        <v/>
      </c>
      <c r="AY1262" s="89"/>
      <c r="AZ1262" s="89"/>
      <c r="BA1262" s="89"/>
      <c r="BB1262" s="89"/>
      <c r="BC1262" s="89"/>
      <c r="BD1262" s="89"/>
      <c r="BE1262" s="89"/>
      <c r="BF1262" s="89"/>
      <c r="BG1262" s="89"/>
      <c r="BH1262" s="89"/>
      <c r="BI1262" s="89"/>
      <c r="BJ1262" s="89"/>
      <c r="BK1262" s="89"/>
      <c r="BL1262" s="89"/>
      <c r="BM1262" s="89"/>
      <c r="BN1262" s="89"/>
      <c r="BO1262" s="89"/>
      <c r="BP1262" s="89"/>
    </row>
    <row r="1263" spans="1:68" s="56" customFormat="1" ht="13.5" hidden="1">
      <c r="A1263" s="204">
        <f>+IFERROR(VALUE(MID(AB1263,4,4)),"")</f>
        <v>293</v>
      </c>
      <c r="B1263" s="204">
        <f>VALUE(RIGHT(C1263,LEN(C1263)-2))</f>
        <v>1461</v>
      </c>
      <c r="C1263" s="74" t="s">
        <v>4791</v>
      </c>
      <c r="D1263" s="75">
        <v>44609</v>
      </c>
      <c r="E1263" s="70" t="s">
        <v>394</v>
      </c>
      <c r="F1263" s="70" t="s">
        <v>394</v>
      </c>
      <c r="G1263" s="68" t="s">
        <v>4108</v>
      </c>
      <c r="H1263" s="59" t="s">
        <v>4109</v>
      </c>
      <c r="I1263" s="69" t="s">
        <v>4792</v>
      </c>
      <c r="J1263" s="69"/>
      <c r="K1263" s="68" t="s">
        <v>13</v>
      </c>
      <c r="L1263" s="69" t="s">
        <v>120</v>
      </c>
      <c r="M1263" s="71" t="s">
        <v>141</v>
      </c>
      <c r="N1263" s="69" t="e" vm="1">
        <v>#VALUE!</v>
      </c>
      <c r="O1263" s="84">
        <v>44614</v>
      </c>
      <c r="P1263" s="72" t="s">
        <v>228</v>
      </c>
      <c r="Q1263" s="72" t="s">
        <v>1097</v>
      </c>
      <c r="R1263" s="162"/>
      <c r="S1263" s="146" t="s">
        <v>4793</v>
      </c>
      <c r="T1263" s="68" t="s">
        <v>3</v>
      </c>
      <c r="U1263" s="87"/>
      <c r="V1263" s="80">
        <v>44621</v>
      </c>
      <c r="W1263" s="73">
        <v>236</v>
      </c>
      <c r="X1263" s="73">
        <f>363*31663/1000000</f>
        <v>11.493669000000001</v>
      </c>
      <c r="Y1263" s="83">
        <f>IF(SUM(W1263:W1263)&gt;0,X1263/SUM(W1263:W1263)*1000000,"N/A")</f>
        <v>48701.987288135591</v>
      </c>
      <c r="Z1263" s="80"/>
      <c r="AA1263" s="80"/>
      <c r="AB1263" s="73" t="s">
        <v>4794</v>
      </c>
      <c r="AC1263" s="153"/>
      <c r="AD1263" s="331"/>
      <c r="AE1263" s="57"/>
      <c r="AF1263" s="88"/>
      <c r="AG1263" s="182">
        <f>YEAR(V1263)</f>
        <v>2022</v>
      </c>
      <c r="AH1263" s="86" t="str">
        <f>+IF(AE1263=$AJ$22,MONTH(T1263),"")</f>
        <v/>
      </c>
      <c r="AI1263" s="86" t="str">
        <f>+IF(AF1263=$AJ$22,MONTH(U1263),"")</f>
        <v/>
      </c>
      <c r="AJ1263" s="86" t="str">
        <f>+IF(AG1263=$AJ$22,MONTH(V1263),"")</f>
        <v/>
      </c>
      <c r="AK1263" s="86" t="str">
        <f>+IF(AG1263=$AK$22,MONTH(V1263),"")</f>
        <v/>
      </c>
      <c r="AL1263" s="86">
        <f>+IF(AG1263=$AL$22,MONTH(V1263),"")</f>
        <v>3</v>
      </c>
      <c r="AM1263" s="86" t="str">
        <f>+IF($AG1263=$AM$22,MONTH($D1263),"")</f>
        <v/>
      </c>
      <c r="AN1263" s="89" t="str">
        <f>+IF($AG1263=AN$22,MONTH($D1263),"")</f>
        <v/>
      </c>
      <c r="AO1263" s="89" t="str">
        <f>+IF($AG1263=AO$22,MONTH($D1263),"")</f>
        <v/>
      </c>
      <c r="AP1263" s="89" t="str">
        <f>+IF($AG1263=AP$22,MONTH($D1263),"")</f>
        <v/>
      </c>
      <c r="AQ1263" s="89" t="str">
        <f>+IF($AG1263=AQ$22,MONTH($D1263),"")</f>
        <v/>
      </c>
      <c r="AR1263" s="89" t="str">
        <f>+IF($AG1263=AR$22,MONTH($D1263),"")</f>
        <v/>
      </c>
      <c r="AS1263" s="89" t="str">
        <f>+IF($AG1263=AS$22,MONTH($D1263),"")</f>
        <v/>
      </c>
      <c r="AT1263" s="89" t="str">
        <f>+IF($AG1263=AT$22,MONTH($D1263),"")</f>
        <v/>
      </c>
      <c r="AU1263" s="89" t="str">
        <f>+IF($AG1263=AU$22,MONTH($D1263),"")</f>
        <v/>
      </c>
      <c r="AV1263" s="89" t="str">
        <f>+IF($AG1263=AV$22,MONTH($D1263),"")</f>
        <v/>
      </c>
      <c r="AW1263" s="86" t="str">
        <f>+IF($AG1263=AW$22,MONTH($D1263),"")</f>
        <v/>
      </c>
      <c r="AX1263" s="86" t="str">
        <f>+IF($AG1263=AX$22,MONTH($D1263),"")</f>
        <v/>
      </c>
      <c r="AY1263" s="89"/>
      <c r="AZ1263" s="89"/>
      <c r="BA1263" s="89"/>
      <c r="BB1263" s="89"/>
      <c r="BC1263" s="89"/>
      <c r="BD1263" s="89"/>
      <c r="BE1263" s="89"/>
      <c r="BF1263" s="89"/>
      <c r="BG1263" s="89"/>
      <c r="BH1263" s="89"/>
      <c r="BI1263" s="89"/>
      <c r="BJ1263" s="89"/>
      <c r="BK1263" s="89"/>
      <c r="BL1263" s="89"/>
      <c r="BM1263" s="89"/>
      <c r="BN1263" s="89"/>
      <c r="BO1263" s="89"/>
      <c r="BP1263" s="89"/>
    </row>
    <row r="1264" spans="1:68" s="56" customFormat="1" ht="31.5" hidden="1" customHeight="1">
      <c r="A1264" s="204" t="str">
        <f>+IFERROR(VALUE(MID(AB1264,4,4)),"")</f>
        <v/>
      </c>
      <c r="B1264" s="204">
        <f>VALUE(RIGHT(C1264,LEN(C1264)-2))</f>
        <v>1460</v>
      </c>
      <c r="C1264" s="74" t="s">
        <v>4795</v>
      </c>
      <c r="D1264" s="75">
        <v>44608</v>
      </c>
      <c r="E1264" s="70" t="s">
        <v>3759</v>
      </c>
      <c r="F1264" s="70" t="s">
        <v>4796</v>
      </c>
      <c r="G1264" s="68" t="s">
        <v>3310</v>
      </c>
      <c r="H1264" s="59" t="s">
        <v>4797</v>
      </c>
      <c r="I1264" s="69" t="s">
        <v>4798</v>
      </c>
      <c r="J1264" s="69"/>
      <c r="K1264" s="95" t="s">
        <v>3389</v>
      </c>
      <c r="L1264" s="69" t="s">
        <v>123</v>
      </c>
      <c r="M1264" s="71" t="s">
        <v>113</v>
      </c>
      <c r="N1264" s="69" t="e" vm="4">
        <v>#VALUE!</v>
      </c>
      <c r="O1264" s="84">
        <v>44691</v>
      </c>
      <c r="P1264" s="82" t="s">
        <v>1629</v>
      </c>
      <c r="Q1264" s="82" t="s">
        <v>259</v>
      </c>
      <c r="R1264" s="69"/>
      <c r="S1264" s="146"/>
      <c r="T1264" s="68" t="s">
        <v>155</v>
      </c>
      <c r="U1264" s="87"/>
      <c r="V1264" s="80">
        <v>44608</v>
      </c>
      <c r="W1264" s="73"/>
      <c r="X1264" s="73"/>
      <c r="Y1264" s="83" t="str">
        <f>IF(SUM(W1264:W1264)&gt;0,X1264/SUM(W1264:W1264)*1000000,"N/A")</f>
        <v>N/A</v>
      </c>
      <c r="Z1264" s="80"/>
      <c r="AA1264" s="80"/>
      <c r="AB1264" s="73"/>
      <c r="AC1264" s="153"/>
      <c r="AD1264" s="331"/>
      <c r="AE1264" s="57"/>
      <c r="AF1264" s="88"/>
      <c r="AG1264" s="182">
        <f>YEAR(D1264)</f>
        <v>2022</v>
      </c>
      <c r="AH1264" s="86" t="str">
        <f>+IF(AE1264=$AJ$22,MONTH(T1264),"")</f>
        <v/>
      </c>
      <c r="AI1264" s="86" t="str">
        <f>+IF(AF1264=$AJ$22,MONTH(U1264),"")</f>
        <v/>
      </c>
      <c r="AJ1264" s="86" t="str">
        <f>+IF(AG1264=$AJ$22,MONTH(V1264),"")</f>
        <v/>
      </c>
      <c r="AK1264" s="86" t="str">
        <f>+IF(AG1264=$AK$22,MONTH(V1264),"")</f>
        <v/>
      </c>
      <c r="AL1264" s="86">
        <f>+IF(AG1264=$AL$22,MONTH(V1264),"")</f>
        <v>2</v>
      </c>
      <c r="AM1264" s="86" t="str">
        <f>+IF($AG1264=$AM$22,MONTH($D1264),"")</f>
        <v/>
      </c>
      <c r="AN1264" s="89" t="str">
        <f>+IF($AG1264=AN$22,MONTH($D1264),"")</f>
        <v/>
      </c>
      <c r="AO1264" s="89" t="str">
        <f>+IF($AG1264=AO$22,MONTH($D1264),"")</f>
        <v/>
      </c>
      <c r="AP1264" s="89" t="str">
        <f>+IF($AG1264=AP$22,MONTH($D1264),"")</f>
        <v/>
      </c>
      <c r="AQ1264" s="89" t="str">
        <f>+IF($AG1264=AQ$22,MONTH($D1264),"")</f>
        <v/>
      </c>
      <c r="AR1264" s="89" t="str">
        <f>+IF($AG1264=AR$22,MONTH($D1264),"")</f>
        <v/>
      </c>
      <c r="AS1264" s="89" t="str">
        <f>+IF($AG1264=AS$22,MONTH($D1264),"")</f>
        <v/>
      </c>
      <c r="AT1264" s="89" t="str">
        <f>+IF($AG1264=AT$22,MONTH($D1264),"")</f>
        <v/>
      </c>
      <c r="AU1264" s="89" t="str">
        <f>+IF($AG1264=AU$22,MONTH($D1264),"")</f>
        <v/>
      </c>
      <c r="AV1264" s="89" t="str">
        <f>+IF($AG1264=AV$22,MONTH($D1264),"")</f>
        <v/>
      </c>
      <c r="AW1264" s="86" t="str">
        <f>+IF($AG1264=AW$22,MONTH($D1264),"")</f>
        <v/>
      </c>
      <c r="AX1264" s="86" t="str">
        <f>+IF($AG1264=AX$22,MONTH($D1264),"")</f>
        <v/>
      </c>
      <c r="AY1264" s="89"/>
      <c r="AZ1264" s="89"/>
      <c r="BA1264" s="89"/>
      <c r="BB1264" s="89"/>
      <c r="BC1264" s="89"/>
      <c r="BD1264" s="89"/>
      <c r="BE1264" s="89"/>
      <c r="BF1264" s="89"/>
      <c r="BG1264" s="89"/>
      <c r="BH1264" s="89"/>
      <c r="BI1264" s="89"/>
      <c r="BJ1264" s="89"/>
      <c r="BK1264" s="89"/>
      <c r="BL1264" s="89"/>
      <c r="BM1264" s="89"/>
      <c r="BN1264" s="89"/>
      <c r="BO1264" s="89"/>
      <c r="BP1264" s="89"/>
    </row>
    <row r="1265" spans="1:68" s="56" customFormat="1" ht="27" hidden="1">
      <c r="A1265" s="204">
        <f>+IFERROR(VALUE(MID(AB1265,4,4)),"")</f>
        <v>294</v>
      </c>
      <c r="B1265" s="204">
        <f>VALUE(RIGHT(C1265,LEN(C1265)-2))</f>
        <v>1459</v>
      </c>
      <c r="C1265" s="74" t="s">
        <v>4799</v>
      </c>
      <c r="D1265" s="75">
        <v>44608</v>
      </c>
      <c r="E1265" s="70" t="s">
        <v>394</v>
      </c>
      <c r="F1265" s="70" t="s">
        <v>2269</v>
      </c>
      <c r="G1265" s="68" t="s">
        <v>289</v>
      </c>
      <c r="H1265" s="59" t="s">
        <v>4800</v>
      </c>
      <c r="I1265" s="69" t="s">
        <v>4801</v>
      </c>
      <c r="J1265" s="69"/>
      <c r="K1265" s="68" t="s">
        <v>9</v>
      </c>
      <c r="L1265" s="69" t="s">
        <v>120</v>
      </c>
      <c r="M1265" s="71" t="s">
        <v>141</v>
      </c>
      <c r="N1265" s="69" t="e" vm="1">
        <v>#VALUE!</v>
      </c>
      <c r="O1265" s="84">
        <v>44613</v>
      </c>
      <c r="P1265" s="72" t="s">
        <v>4802</v>
      </c>
      <c r="Q1265" s="72" t="s">
        <v>1097</v>
      </c>
      <c r="R1265" s="162"/>
      <c r="S1265" s="146" t="s">
        <v>2491</v>
      </c>
      <c r="T1265" s="68" t="s">
        <v>3</v>
      </c>
      <c r="U1265" s="87"/>
      <c r="V1265" s="80">
        <v>44621</v>
      </c>
      <c r="W1265" s="73">
        <v>686</v>
      </c>
      <c r="X1265" s="73">
        <v>24.8</v>
      </c>
      <c r="Y1265" s="83">
        <f>IF(SUM(W1265:W1265)&gt;0,X1265/SUM(W1265:W1265)*1000000,"N/A")</f>
        <v>36151.603498542274</v>
      </c>
      <c r="Z1265" s="80"/>
      <c r="AA1265" s="80"/>
      <c r="AB1265" s="73" t="s">
        <v>4803</v>
      </c>
      <c r="AC1265" s="153"/>
      <c r="AD1265" s="331"/>
      <c r="AE1265" s="57"/>
      <c r="AF1265" s="88"/>
      <c r="AG1265" s="182">
        <f>YEAR(V1265)</f>
        <v>2022</v>
      </c>
      <c r="AH1265" s="86" t="str">
        <f>+IF(AE1265=$AJ$22,MONTH(T1265),"")</f>
        <v/>
      </c>
      <c r="AI1265" s="86" t="str">
        <f>+IF(AF1265=$AJ$22,MONTH(U1265),"")</f>
        <v/>
      </c>
      <c r="AJ1265" s="86" t="str">
        <f>+IF(AG1265=$AJ$22,MONTH(V1265),"")</f>
        <v/>
      </c>
      <c r="AK1265" s="86" t="str">
        <f>+IF(AG1265=$AK$22,MONTH(V1265),"")</f>
        <v/>
      </c>
      <c r="AL1265" s="86">
        <f>+IF(AG1265=$AL$22,MONTH(V1265),"")</f>
        <v>3</v>
      </c>
      <c r="AM1265" s="86" t="str">
        <f>+IF($AG1265=$AM$22,MONTH($D1265),"")</f>
        <v/>
      </c>
      <c r="AN1265" s="89" t="str">
        <f>+IF($AG1265=AN$22,MONTH($D1265),"")</f>
        <v/>
      </c>
      <c r="AO1265" s="89" t="str">
        <f>+IF($AG1265=AO$22,MONTH($D1265),"")</f>
        <v/>
      </c>
      <c r="AP1265" s="89" t="str">
        <f>+IF($AG1265=AP$22,MONTH($D1265),"")</f>
        <v/>
      </c>
      <c r="AQ1265" s="89" t="str">
        <f>+IF($AG1265=AQ$22,MONTH($D1265),"")</f>
        <v/>
      </c>
      <c r="AR1265" s="89" t="str">
        <f>+IF($AG1265=AR$22,MONTH($D1265),"")</f>
        <v/>
      </c>
      <c r="AS1265" s="89" t="str">
        <f>+IF($AG1265=AS$22,MONTH($D1265),"")</f>
        <v/>
      </c>
      <c r="AT1265" s="89" t="str">
        <f>+IF($AG1265=AT$22,MONTH($D1265),"")</f>
        <v/>
      </c>
      <c r="AU1265" s="89" t="str">
        <f>+IF($AG1265=AU$22,MONTH($D1265),"")</f>
        <v/>
      </c>
      <c r="AV1265" s="89" t="str">
        <f>+IF($AG1265=AV$22,MONTH($D1265),"")</f>
        <v/>
      </c>
      <c r="AW1265" s="86" t="str">
        <f>+IF($AG1265=AW$22,MONTH($D1265),"")</f>
        <v/>
      </c>
      <c r="AX1265" s="86" t="str">
        <f>+IF($AG1265=AX$22,MONTH($D1265),"")</f>
        <v/>
      </c>
      <c r="AY1265" s="89"/>
      <c r="AZ1265" s="89"/>
      <c r="BA1265" s="89"/>
      <c r="BB1265" s="89"/>
      <c r="BC1265" s="89"/>
      <c r="BD1265" s="89"/>
      <c r="BE1265" s="89"/>
      <c r="BF1265" s="89"/>
      <c r="BG1265" s="89"/>
      <c r="BH1265" s="89"/>
      <c r="BI1265" s="89"/>
      <c r="BJ1265" s="89"/>
      <c r="BK1265" s="89"/>
      <c r="BL1265" s="89"/>
      <c r="BM1265" s="89"/>
      <c r="BN1265" s="89"/>
      <c r="BO1265" s="89"/>
      <c r="BP1265" s="89"/>
    </row>
    <row r="1266" spans="1:68" s="56" customFormat="1" ht="27" hidden="1">
      <c r="A1266" s="204" t="str">
        <f>+IFERROR(VALUE(MID(AB1266,4,4)),"")</f>
        <v/>
      </c>
      <c r="B1266" s="204">
        <f>VALUE(RIGHT(C1266,LEN(C1266)-2))</f>
        <v>1458</v>
      </c>
      <c r="C1266" s="74" t="s">
        <v>4804</v>
      </c>
      <c r="D1266" s="75">
        <v>44607</v>
      </c>
      <c r="E1266" s="70" t="s">
        <v>4805</v>
      </c>
      <c r="F1266" s="70" t="s">
        <v>4805</v>
      </c>
      <c r="G1266" s="68" t="s">
        <v>4806</v>
      </c>
      <c r="H1266" s="59" t="s">
        <v>4807</v>
      </c>
      <c r="I1266" s="69" t="s">
        <v>4808</v>
      </c>
      <c r="J1266" s="69"/>
      <c r="K1266" s="95" t="s">
        <v>11</v>
      </c>
      <c r="L1266" s="69" t="s">
        <v>123</v>
      </c>
      <c r="M1266" s="71" t="s">
        <v>141</v>
      </c>
      <c r="N1266" s="69" t="e" vm="1">
        <v>#VALUE!</v>
      </c>
      <c r="O1266" s="84">
        <v>44655</v>
      </c>
      <c r="P1266" s="82" t="s">
        <v>4567</v>
      </c>
      <c r="Q1266" s="82" t="s">
        <v>259</v>
      </c>
      <c r="R1266" s="69"/>
      <c r="S1266" s="146"/>
      <c r="T1266" s="68" t="s">
        <v>165</v>
      </c>
      <c r="U1266" s="87"/>
      <c r="V1266" s="80">
        <v>44837</v>
      </c>
      <c r="W1266" s="73">
        <v>12655</v>
      </c>
      <c r="X1266" s="73">
        <f>17430*31700/1000000</f>
        <v>552.53099999999995</v>
      </c>
      <c r="Y1266" s="83">
        <f>IF(SUM(W1266:W1266)&gt;0,X1266/SUM(W1266:W1266)*1000000,"N/A")</f>
        <v>43661.082576056891</v>
      </c>
      <c r="Z1266" s="80"/>
      <c r="AA1266" s="80"/>
      <c r="AB1266" s="73"/>
      <c r="AC1266" s="153"/>
      <c r="AD1266" s="331"/>
      <c r="AE1266" s="57"/>
      <c r="AF1266" s="88"/>
      <c r="AG1266" s="182">
        <f>YEAR(D1266)</f>
        <v>2022</v>
      </c>
      <c r="AH1266" s="86" t="str">
        <f>+IF(AE1266=$AJ$22,MONTH(T1266),"")</f>
        <v/>
      </c>
      <c r="AI1266" s="86" t="str">
        <f>+IF(AF1266=$AJ$22,MONTH(U1266),"")</f>
        <v/>
      </c>
      <c r="AJ1266" s="86" t="str">
        <f>+IF(AG1266=$AJ$22,MONTH(V1266),"")</f>
        <v/>
      </c>
      <c r="AK1266" s="86" t="str">
        <f>+IF(AG1266=$AK$22,MONTH(V1266),"")</f>
        <v/>
      </c>
      <c r="AL1266" s="86">
        <f>+IF(AG1266=$AL$22,MONTH(V1266),"")</f>
        <v>10</v>
      </c>
      <c r="AM1266" s="86" t="str">
        <f>+IF($AG1266=$AM$22,MONTH($D1266),"")</f>
        <v/>
      </c>
      <c r="AN1266" s="89" t="str">
        <f>+IF($AG1266=AN$22,MONTH($D1266),"")</f>
        <v/>
      </c>
      <c r="AO1266" s="89" t="str">
        <f>+IF($AG1266=AO$22,MONTH($D1266),"")</f>
        <v/>
      </c>
      <c r="AP1266" s="89" t="str">
        <f>+IF($AG1266=AP$22,MONTH($D1266),"")</f>
        <v/>
      </c>
      <c r="AQ1266" s="89" t="str">
        <f>+IF($AG1266=AQ$22,MONTH($D1266),"")</f>
        <v/>
      </c>
      <c r="AR1266" s="89" t="str">
        <f>+IF($AG1266=AR$22,MONTH($D1266),"")</f>
        <v/>
      </c>
      <c r="AS1266" s="89" t="str">
        <f>+IF($AG1266=AS$22,MONTH($D1266),"")</f>
        <v/>
      </c>
      <c r="AT1266" s="89" t="str">
        <f>+IF($AG1266=AT$22,MONTH($D1266),"")</f>
        <v/>
      </c>
      <c r="AU1266" s="89" t="str">
        <f>+IF($AG1266=AU$22,MONTH($D1266),"")</f>
        <v/>
      </c>
      <c r="AV1266" s="89" t="str">
        <f>+IF($AG1266=AV$22,MONTH($D1266),"")</f>
        <v/>
      </c>
      <c r="AW1266" s="86" t="str">
        <f>+IF($AG1266=AW$22,MONTH($D1266),"")</f>
        <v/>
      </c>
      <c r="AX1266" s="86" t="str">
        <f>+IF($AG1266=AX$22,MONTH($D1266),"")</f>
        <v/>
      </c>
      <c r="AY1266" s="89"/>
      <c r="AZ1266" s="89"/>
      <c r="BA1266" s="89"/>
      <c r="BB1266" s="89"/>
      <c r="BC1266" s="89"/>
      <c r="BD1266" s="89"/>
      <c r="BE1266" s="89"/>
      <c r="BF1266" s="89"/>
      <c r="BG1266" s="89"/>
      <c r="BH1266" s="89"/>
      <c r="BI1266" s="89"/>
      <c r="BJ1266" s="89"/>
      <c r="BK1266" s="89"/>
      <c r="BL1266" s="89"/>
      <c r="BM1266" s="89"/>
      <c r="BN1266" s="89"/>
      <c r="BO1266" s="89"/>
      <c r="BP1266" s="89"/>
    </row>
    <row r="1267" spans="1:68" s="56" customFormat="1" ht="40.5" hidden="1">
      <c r="A1267" s="204" t="str">
        <f>+IFERROR(VALUE(MID(AB1267,4,4)),"")</f>
        <v/>
      </c>
      <c r="B1267" s="204">
        <f>VALUE(RIGHT(C1267,LEN(C1267)-2))</f>
        <v>1457</v>
      </c>
      <c r="C1267" s="74" t="s">
        <v>4809</v>
      </c>
      <c r="D1267" s="75">
        <v>44603</v>
      </c>
      <c r="E1267" s="70" t="s">
        <v>3759</v>
      </c>
      <c r="F1267" s="70" t="s">
        <v>1668</v>
      </c>
      <c r="G1267" s="68" t="s">
        <v>4810</v>
      </c>
      <c r="H1267" s="59" t="s">
        <v>4811</v>
      </c>
      <c r="I1267" s="69" t="s">
        <v>4812</v>
      </c>
      <c r="J1267" s="69"/>
      <c r="K1267" s="95" t="s">
        <v>18</v>
      </c>
      <c r="L1267" s="69" t="s">
        <v>120</v>
      </c>
      <c r="M1267" s="71" t="s">
        <v>113</v>
      </c>
      <c r="N1267" s="69" t="e" vm="4">
        <v>#VALUE!</v>
      </c>
      <c r="O1267" s="84">
        <v>44614</v>
      </c>
      <c r="P1267" s="82" t="s">
        <v>4567</v>
      </c>
      <c r="Q1267" s="82" t="s">
        <v>259</v>
      </c>
      <c r="R1267" s="69"/>
      <c r="S1267" s="146" t="s">
        <v>4813</v>
      </c>
      <c r="T1267" s="68" t="s">
        <v>165</v>
      </c>
      <c r="U1267" s="87"/>
      <c r="V1267" s="80">
        <v>44837</v>
      </c>
      <c r="W1267" s="73">
        <v>3500</v>
      </c>
      <c r="X1267" s="73">
        <v>224</v>
      </c>
      <c r="Y1267" s="83">
        <f>IF(SUM(W1267:W1267)&gt;0,X1267/SUM(W1267:W1267)*1000000,"N/A")</f>
        <v>64000</v>
      </c>
      <c r="Z1267" s="80"/>
      <c r="AA1267" s="80"/>
      <c r="AB1267" s="73"/>
      <c r="AC1267" s="153"/>
      <c r="AD1267" s="331"/>
      <c r="AE1267" s="57"/>
      <c r="AF1267" s="88"/>
      <c r="AG1267" s="182">
        <f>YEAR(D1267)</f>
        <v>2022</v>
      </c>
      <c r="AH1267" s="86" t="str">
        <f>+IF(AE1267=$AJ$22,MONTH(T1267),"")</f>
        <v/>
      </c>
      <c r="AI1267" s="86" t="str">
        <f>+IF(AF1267=$AJ$22,MONTH(U1267),"")</f>
        <v/>
      </c>
      <c r="AJ1267" s="86" t="str">
        <f>+IF(AG1267=$AJ$22,MONTH(V1267),"")</f>
        <v/>
      </c>
      <c r="AK1267" s="86" t="str">
        <f>+IF(AG1267=$AK$22,MONTH(V1267),"")</f>
        <v/>
      </c>
      <c r="AL1267" s="86">
        <f>+IF(AG1267=$AL$22,MONTH(V1267),"")</f>
        <v>10</v>
      </c>
      <c r="AM1267" s="86" t="str">
        <f>+IF($AG1267=$AM$22,MONTH($D1267),"")</f>
        <v/>
      </c>
      <c r="AN1267" s="89" t="str">
        <f>+IF($AG1267=AN$22,MONTH($D1267),"")</f>
        <v/>
      </c>
      <c r="AO1267" s="89" t="str">
        <f>+IF($AG1267=AO$22,MONTH($D1267),"")</f>
        <v/>
      </c>
      <c r="AP1267" s="89" t="str">
        <f>+IF($AG1267=AP$22,MONTH($D1267),"")</f>
        <v/>
      </c>
      <c r="AQ1267" s="89" t="str">
        <f>+IF($AG1267=AQ$22,MONTH($D1267),"")</f>
        <v/>
      </c>
      <c r="AR1267" s="89" t="str">
        <f>+IF($AG1267=AR$22,MONTH($D1267),"")</f>
        <v/>
      </c>
      <c r="AS1267" s="89" t="str">
        <f>+IF($AG1267=AS$22,MONTH($D1267),"")</f>
        <v/>
      </c>
      <c r="AT1267" s="89" t="str">
        <f>+IF($AG1267=AT$22,MONTH($D1267),"")</f>
        <v/>
      </c>
      <c r="AU1267" s="89" t="str">
        <f>+IF($AG1267=AU$22,MONTH($D1267),"")</f>
        <v/>
      </c>
      <c r="AV1267" s="89" t="str">
        <f>+IF($AG1267=AV$22,MONTH($D1267),"")</f>
        <v/>
      </c>
      <c r="AW1267" s="86" t="str">
        <f>+IF($AG1267=AW$22,MONTH($D1267),"")</f>
        <v/>
      </c>
      <c r="AX1267" s="86" t="str">
        <f>+IF($AG1267=AX$22,MONTH($D1267),"")</f>
        <v/>
      </c>
      <c r="AY1267" s="89"/>
      <c r="AZ1267" s="89"/>
      <c r="BA1267" s="89"/>
      <c r="BB1267" s="89"/>
      <c r="BC1267" s="89"/>
      <c r="BD1267" s="89"/>
      <c r="BE1267" s="89"/>
      <c r="BF1267" s="89"/>
      <c r="BG1267" s="89"/>
      <c r="BH1267" s="89"/>
      <c r="BI1267" s="89"/>
      <c r="BJ1267" s="89"/>
      <c r="BK1267" s="89"/>
      <c r="BL1267" s="89"/>
      <c r="BM1267" s="89"/>
      <c r="BN1267" s="89"/>
      <c r="BO1267" s="89"/>
      <c r="BP1267" s="89"/>
    </row>
    <row r="1268" spans="1:68" s="56" customFormat="1" ht="13.5" hidden="1">
      <c r="A1268" s="204">
        <f>+IFERROR(VALUE(MID(AB1268,4,4)),"")</f>
        <v>288</v>
      </c>
      <c r="B1268" s="204">
        <f>VALUE(RIGHT(C1268,LEN(C1268)-2))</f>
        <v>1456</v>
      </c>
      <c r="C1268" s="74" t="s">
        <v>4814</v>
      </c>
      <c r="D1268" s="75">
        <v>44603</v>
      </c>
      <c r="E1268" s="70" t="s">
        <v>394</v>
      </c>
      <c r="F1268" s="70" t="s">
        <v>394</v>
      </c>
      <c r="G1268" s="68" t="s">
        <v>4265</v>
      </c>
      <c r="H1268" s="111" t="s">
        <v>4266</v>
      </c>
      <c r="I1268" s="69" t="s">
        <v>4815</v>
      </c>
      <c r="J1268" s="69"/>
      <c r="K1268" s="95" t="s">
        <v>9</v>
      </c>
      <c r="L1268" s="69" t="s">
        <v>120</v>
      </c>
      <c r="M1268" s="71" t="s">
        <v>141</v>
      </c>
      <c r="N1268" s="69" t="e" vm="1">
        <v>#VALUE!</v>
      </c>
      <c r="O1268" s="84">
        <v>44606</v>
      </c>
      <c r="P1268" s="82" t="s">
        <v>285</v>
      </c>
      <c r="Q1268" s="82" t="s">
        <v>259</v>
      </c>
      <c r="R1268" s="69"/>
      <c r="S1268" s="146"/>
      <c r="T1268" s="68" t="s">
        <v>3</v>
      </c>
      <c r="U1268" s="90"/>
      <c r="V1268" s="80">
        <v>44607</v>
      </c>
      <c r="W1268" s="73"/>
      <c r="X1268" s="216"/>
      <c r="Y1268" s="83" t="str">
        <f>IF(SUM(W1268:W1268)&gt;0,X1268/SUM(W1268:W1268)*1000000,"N/A")</f>
        <v>N/A</v>
      </c>
      <c r="Z1268" s="80"/>
      <c r="AA1268" s="80"/>
      <c r="AB1268" s="73" t="s">
        <v>4816</v>
      </c>
      <c r="AC1268" s="217"/>
      <c r="AD1268" s="333"/>
      <c r="AE1268" s="112"/>
      <c r="AF1268" s="88"/>
      <c r="AG1268" s="182">
        <f>YEAR(D1268)</f>
        <v>2022</v>
      </c>
      <c r="AH1268" s="86" t="str">
        <f>+IF(AE1268=$AJ$22,MONTH(T1268),"")</f>
        <v/>
      </c>
      <c r="AI1268" s="86" t="str">
        <f>+IF(AF1268=$AJ$22,MONTH(U1268),"")</f>
        <v/>
      </c>
      <c r="AJ1268" s="86" t="str">
        <f>+IF(AG1268=$AJ$22,MONTH(V1268),"")</f>
        <v/>
      </c>
      <c r="AK1268" s="86" t="str">
        <f>+IF(AG1268=$AK$22,MONTH(V1268),"")</f>
        <v/>
      </c>
      <c r="AL1268" s="86">
        <f>+IF(AG1268=$AL$22,MONTH(V1268),"")</f>
        <v>2</v>
      </c>
      <c r="AM1268" s="86" t="str">
        <f>+IF($AG1268=$AM$22,MONTH($D1268),"")</f>
        <v/>
      </c>
      <c r="AN1268" s="89" t="str">
        <f>+IF($AG1268=AN$22,MONTH($D1268),"")</f>
        <v/>
      </c>
      <c r="AO1268" s="89" t="str">
        <f>+IF($AG1268=AO$22,MONTH($D1268),"")</f>
        <v/>
      </c>
      <c r="AP1268" s="89" t="str">
        <f>+IF($AG1268=AP$22,MONTH($D1268),"")</f>
        <v/>
      </c>
      <c r="AQ1268" s="89" t="str">
        <f>+IF($AG1268=AQ$22,MONTH($D1268),"")</f>
        <v/>
      </c>
      <c r="AR1268" s="89" t="str">
        <f>+IF($AG1268=AR$22,MONTH($D1268),"")</f>
        <v/>
      </c>
      <c r="AS1268" s="89" t="str">
        <f>+IF($AG1268=AS$22,MONTH($D1268),"")</f>
        <v/>
      </c>
      <c r="AT1268" s="89" t="str">
        <f>+IF($AG1268=AT$22,MONTH($D1268),"")</f>
        <v/>
      </c>
      <c r="AU1268" s="89" t="str">
        <f>+IF($AG1268=AU$22,MONTH($D1268),"")</f>
        <v/>
      </c>
      <c r="AV1268" s="89" t="str">
        <f>+IF($AG1268=AV$22,MONTH($D1268),"")</f>
        <v/>
      </c>
      <c r="AW1268" s="86" t="str">
        <f>+IF($AG1268=AW$22,MONTH($D1268),"")</f>
        <v/>
      </c>
      <c r="AX1268" s="86" t="str">
        <f>+IF($AG1268=AX$22,MONTH($D1268),"")</f>
        <v/>
      </c>
      <c r="AY1268" s="89"/>
      <c r="AZ1268" s="89"/>
      <c r="BA1268" s="89"/>
      <c r="BB1268" s="89"/>
      <c r="BC1268" s="89"/>
      <c r="BD1268" s="89"/>
      <c r="BE1268" s="89"/>
      <c r="BF1268" s="89"/>
      <c r="BG1268" s="89"/>
      <c r="BH1268" s="89"/>
      <c r="BI1268" s="89"/>
      <c r="BJ1268" s="89"/>
      <c r="BK1268" s="89"/>
      <c r="BL1268" s="89"/>
      <c r="BM1268" s="89"/>
      <c r="BN1268" s="89"/>
      <c r="BO1268" s="89"/>
      <c r="BP1268" s="89"/>
    </row>
    <row r="1269" spans="1:68" s="56" customFormat="1" ht="27" hidden="1">
      <c r="A1269" s="204" t="str">
        <f>+IFERROR(VALUE(MID(AB1269,4,4)),"")</f>
        <v/>
      </c>
      <c r="B1269" s="204">
        <f>VALUE(RIGHT(C1269,LEN(C1269)-2))</f>
        <v>1455</v>
      </c>
      <c r="C1269" s="74" t="s">
        <v>4817</v>
      </c>
      <c r="D1269" s="75">
        <v>44603</v>
      </c>
      <c r="E1269" s="70" t="s">
        <v>4818</v>
      </c>
      <c r="F1269" s="70" t="s">
        <v>4818</v>
      </c>
      <c r="G1269" s="68" t="s">
        <v>4175</v>
      </c>
      <c r="H1269" s="59" t="s">
        <v>4176</v>
      </c>
      <c r="I1269" s="69" t="s">
        <v>4819</v>
      </c>
      <c r="J1269" s="69"/>
      <c r="K1269" s="95" t="s">
        <v>3286</v>
      </c>
      <c r="L1269" s="69" t="s">
        <v>123</v>
      </c>
      <c r="M1269" s="71" t="s">
        <v>141</v>
      </c>
      <c r="N1269" s="69" t="e" vm="1">
        <v>#VALUE!</v>
      </c>
      <c r="O1269" s="84">
        <v>44624</v>
      </c>
      <c r="P1269" s="82" t="s">
        <v>402</v>
      </c>
      <c r="Q1269" s="82" t="s">
        <v>229</v>
      </c>
      <c r="R1269" s="69"/>
      <c r="S1269" s="146" t="s">
        <v>4820</v>
      </c>
      <c r="T1269" s="68" t="s">
        <v>155</v>
      </c>
      <c r="U1269" s="87"/>
      <c r="V1269" s="80">
        <v>44603</v>
      </c>
      <c r="W1269" s="73"/>
      <c r="X1269" s="73"/>
      <c r="Y1269" s="83" t="str">
        <f>IF(SUM(W1269:W1269)&gt;0,X1269/SUM(W1269:W1269)*1000000,"N/A")</f>
        <v>N/A</v>
      </c>
      <c r="Z1269" s="80"/>
      <c r="AA1269" s="80"/>
      <c r="AB1269" s="73"/>
      <c r="AC1269" s="153"/>
      <c r="AD1269" s="331"/>
      <c r="AE1269" s="57"/>
      <c r="AF1269" s="88"/>
      <c r="AG1269" s="182">
        <f>YEAR(D1269)</f>
        <v>2022</v>
      </c>
      <c r="AH1269" s="86" t="str">
        <f>+IF(AE1269=$AJ$22,MONTH(T1269),"")</f>
        <v/>
      </c>
      <c r="AI1269" s="86" t="str">
        <f>+IF(AF1269=$AJ$22,MONTH(U1269),"")</f>
        <v/>
      </c>
      <c r="AJ1269" s="86" t="str">
        <f>+IF(AG1269=$AJ$22,MONTH(V1269),"")</f>
        <v/>
      </c>
      <c r="AK1269" s="86" t="str">
        <f>+IF(AG1269=$AK$22,MONTH(V1269),"")</f>
        <v/>
      </c>
      <c r="AL1269" s="86">
        <f>+IF(AG1269=$AL$22,MONTH(V1269),"")</f>
        <v>2</v>
      </c>
      <c r="AM1269" s="86" t="str">
        <f>+IF($AG1269=$AM$22,MONTH($D1269),"")</f>
        <v/>
      </c>
      <c r="AN1269" s="89" t="str">
        <f>+IF($AG1269=AN$22,MONTH($D1269),"")</f>
        <v/>
      </c>
      <c r="AO1269" s="89" t="str">
        <f>+IF($AG1269=AO$22,MONTH($D1269),"")</f>
        <v/>
      </c>
      <c r="AP1269" s="89" t="str">
        <f>+IF($AG1269=AP$22,MONTH($D1269),"")</f>
        <v/>
      </c>
      <c r="AQ1269" s="89" t="str">
        <f>+IF($AG1269=AQ$22,MONTH($D1269),"")</f>
        <v/>
      </c>
      <c r="AR1269" s="89" t="str">
        <f>+IF($AG1269=AR$22,MONTH($D1269),"")</f>
        <v/>
      </c>
      <c r="AS1269" s="89" t="str">
        <f>+IF($AG1269=AS$22,MONTH($D1269),"")</f>
        <v/>
      </c>
      <c r="AT1269" s="89" t="str">
        <f>+IF($AG1269=AT$22,MONTH($D1269),"")</f>
        <v/>
      </c>
      <c r="AU1269" s="89" t="str">
        <f>+IF($AG1269=AU$22,MONTH($D1269),"")</f>
        <v/>
      </c>
      <c r="AV1269" s="89" t="str">
        <f>+IF($AG1269=AV$22,MONTH($D1269),"")</f>
        <v/>
      </c>
      <c r="AW1269" s="86" t="str">
        <f>+IF($AG1269=AW$22,MONTH($D1269),"")</f>
        <v/>
      </c>
      <c r="AX1269" s="86" t="str">
        <f>+IF($AG1269=AX$22,MONTH($D1269),"")</f>
        <v/>
      </c>
      <c r="AY1269" s="89"/>
      <c r="AZ1269" s="89"/>
      <c r="BA1269" s="89"/>
      <c r="BB1269" s="89"/>
      <c r="BC1269" s="89"/>
      <c r="BD1269" s="89"/>
      <c r="BE1269" s="89"/>
      <c r="BF1269" s="89"/>
      <c r="BG1269" s="89"/>
      <c r="BH1269" s="89"/>
      <c r="BI1269" s="89"/>
      <c r="BJ1269" s="89"/>
      <c r="BK1269" s="89"/>
      <c r="BL1269" s="89"/>
      <c r="BM1269" s="89"/>
      <c r="BN1269" s="89"/>
      <c r="BO1269" s="89"/>
      <c r="BP1269" s="89"/>
    </row>
    <row r="1270" spans="1:68" s="56" customFormat="1" ht="40.5" hidden="1">
      <c r="A1270" s="204" t="str">
        <f>+IFERROR(VALUE(MID(AB1270,4,4)),"")</f>
        <v/>
      </c>
      <c r="B1270" s="204">
        <f>VALUE(RIGHT(C1270,LEN(C1270)-2))</f>
        <v>1454</v>
      </c>
      <c r="C1270" s="74" t="s">
        <v>4821</v>
      </c>
      <c r="D1270" s="75">
        <v>44594</v>
      </c>
      <c r="E1270" s="70" t="s">
        <v>2961</v>
      </c>
      <c r="F1270" s="70" t="s">
        <v>3915</v>
      </c>
      <c r="G1270" s="68" t="s">
        <v>4822</v>
      </c>
      <c r="H1270" s="59" t="s">
        <v>4823</v>
      </c>
      <c r="I1270" s="69" t="s">
        <v>4824</v>
      </c>
      <c r="J1270" s="69"/>
      <c r="K1270" s="68" t="s">
        <v>45</v>
      </c>
      <c r="L1270" s="69" t="s">
        <v>120</v>
      </c>
      <c r="M1270" s="71" t="s">
        <v>141</v>
      </c>
      <c r="N1270" s="69" t="e" vm="1">
        <v>#VALUE!</v>
      </c>
      <c r="O1270" s="84">
        <v>44599</v>
      </c>
      <c r="P1270" s="72" t="s">
        <v>1629</v>
      </c>
      <c r="Q1270" s="72" t="s">
        <v>389</v>
      </c>
      <c r="R1270" s="162"/>
      <c r="S1270" s="146" t="s">
        <v>4825</v>
      </c>
      <c r="T1270" s="68" t="s">
        <v>165</v>
      </c>
      <c r="U1270" s="87"/>
      <c r="V1270" s="80">
        <v>44853</v>
      </c>
      <c r="W1270" s="73">
        <v>1000</v>
      </c>
      <c r="X1270" s="73"/>
      <c r="Y1270" s="83">
        <f>IF(SUM(W1270:W1270)&gt;0,X1270/SUM(W1270:W1270)*1000000,"N/A")</f>
        <v>0</v>
      </c>
      <c r="Z1270" s="80"/>
      <c r="AA1270" s="80"/>
      <c r="AB1270" s="73"/>
      <c r="AC1270" s="153"/>
      <c r="AD1270" s="331"/>
      <c r="AE1270" s="57"/>
      <c r="AF1270" s="88"/>
      <c r="AG1270" s="182">
        <f>YEAR(D1270)</f>
        <v>2022</v>
      </c>
      <c r="AH1270" s="86" t="str">
        <f>+IF(AE1270=$AJ$22,MONTH(T1270),"")</f>
        <v/>
      </c>
      <c r="AI1270" s="86" t="str">
        <f>+IF(AF1270=$AJ$22,MONTH(U1270),"")</f>
        <v/>
      </c>
      <c r="AJ1270" s="86" t="str">
        <f>+IF(AG1270=$AJ$22,MONTH(V1270),"")</f>
        <v/>
      </c>
      <c r="AK1270" s="86" t="str">
        <f>+IF(AG1270=$AK$22,MONTH(V1270),"")</f>
        <v/>
      </c>
      <c r="AL1270" s="86">
        <f>+IF(AG1270=$AL$22,MONTH(V1270),"")</f>
        <v>10</v>
      </c>
      <c r="AM1270" s="86" t="str">
        <f>+IF($AG1270=$AM$22,MONTH($D1270),"")</f>
        <v/>
      </c>
      <c r="AN1270" s="89" t="str">
        <f>+IF($AG1270=AN$22,MONTH($D1270),"")</f>
        <v/>
      </c>
      <c r="AO1270" s="89" t="str">
        <f>+IF($AG1270=AO$22,MONTH($D1270),"")</f>
        <v/>
      </c>
      <c r="AP1270" s="89" t="str">
        <f>+IF($AG1270=AP$22,MONTH($D1270),"")</f>
        <v/>
      </c>
      <c r="AQ1270" s="89" t="str">
        <f>+IF($AG1270=AQ$22,MONTH($D1270),"")</f>
        <v/>
      </c>
      <c r="AR1270" s="89" t="str">
        <f>+IF($AG1270=AR$22,MONTH($D1270),"")</f>
        <v/>
      </c>
      <c r="AS1270" s="89" t="str">
        <f>+IF($AG1270=AS$22,MONTH($D1270),"")</f>
        <v/>
      </c>
      <c r="AT1270" s="89" t="str">
        <f>+IF($AG1270=AT$22,MONTH($D1270),"")</f>
        <v/>
      </c>
      <c r="AU1270" s="89" t="str">
        <f>+IF($AG1270=AU$22,MONTH($D1270),"")</f>
        <v/>
      </c>
      <c r="AV1270" s="89" t="str">
        <f>+IF($AG1270=AV$22,MONTH($D1270),"")</f>
        <v/>
      </c>
      <c r="AW1270" s="86" t="str">
        <f>+IF($AG1270=AW$22,MONTH($D1270),"")</f>
        <v/>
      </c>
      <c r="AX1270" s="86" t="str">
        <f>+IF($AG1270=AX$22,MONTH($D1270),"")</f>
        <v/>
      </c>
      <c r="AY1270" s="89"/>
      <c r="AZ1270" s="89"/>
      <c r="BA1270" s="89"/>
      <c r="BB1270" s="89"/>
      <c r="BC1270" s="89"/>
      <c r="BD1270" s="89"/>
      <c r="BE1270" s="89"/>
      <c r="BF1270" s="89"/>
      <c r="BG1270" s="89"/>
      <c r="BH1270" s="89"/>
      <c r="BI1270" s="89"/>
      <c r="BJ1270" s="89"/>
      <c r="BK1270" s="89"/>
      <c r="BL1270" s="89"/>
      <c r="BM1270" s="89"/>
      <c r="BN1270" s="89"/>
      <c r="BO1270" s="89"/>
      <c r="BP1270" s="89"/>
    </row>
    <row r="1271" spans="1:68" s="56" customFormat="1" ht="40.5" hidden="1">
      <c r="A1271" s="204" t="str">
        <f>+IFERROR(VALUE(MID(AB1271,4,4)),"")</f>
        <v/>
      </c>
      <c r="B1271" s="204">
        <f>VALUE(RIGHT(C1271,LEN(C1271)-2))</f>
        <v>1453</v>
      </c>
      <c r="C1271" s="74" t="s">
        <v>4826</v>
      </c>
      <c r="D1271" s="75">
        <v>44594</v>
      </c>
      <c r="E1271" s="70" t="s">
        <v>4827</v>
      </c>
      <c r="F1271" s="70" t="s">
        <v>4827</v>
      </c>
      <c r="G1271" s="68" t="s">
        <v>3696</v>
      </c>
      <c r="H1271" s="59"/>
      <c r="I1271" s="69" t="s">
        <v>4828</v>
      </c>
      <c r="J1271" s="69"/>
      <c r="K1271" s="68" t="s">
        <v>9</v>
      </c>
      <c r="L1271" s="69" t="s">
        <v>120</v>
      </c>
      <c r="M1271" s="71" t="s">
        <v>113</v>
      </c>
      <c r="N1271" s="69" t="e" vm="7">
        <v>#VALUE!</v>
      </c>
      <c r="O1271" s="84">
        <v>44621</v>
      </c>
      <c r="P1271" s="72" t="s">
        <v>274</v>
      </c>
      <c r="Q1271" s="72" t="s">
        <v>623</v>
      </c>
      <c r="R1271" s="162"/>
      <c r="S1271" s="146" t="s">
        <v>4829</v>
      </c>
      <c r="T1271" s="68" t="s">
        <v>165</v>
      </c>
      <c r="U1271" s="87"/>
      <c r="V1271" s="80">
        <v>45057</v>
      </c>
      <c r="W1271" s="73">
        <v>1080</v>
      </c>
      <c r="X1271" s="73">
        <v>105</v>
      </c>
      <c r="Y1271" s="83">
        <f>IF(SUM(W1271:W1271)&gt;0,X1271/SUM(W1271:W1271)*1000000,"N/A")</f>
        <v>97222.222222222219</v>
      </c>
      <c r="Z1271" s="80"/>
      <c r="AA1271" s="80"/>
      <c r="AB1271" s="73"/>
      <c r="AC1271" s="153"/>
      <c r="AD1271" s="331"/>
      <c r="AE1271" s="57"/>
      <c r="AF1271" s="88" t="s">
        <v>4830</v>
      </c>
      <c r="AG1271" s="182">
        <f>YEAR(D1271)</f>
        <v>2022</v>
      </c>
      <c r="AH1271" s="86" t="str">
        <f>+IF(AE1271=$AJ$22,MONTH(T1271),"")</f>
        <v/>
      </c>
      <c r="AI1271" s="86" t="str">
        <f>+IF(AF1271=$AJ$22,MONTH(U1271),"")</f>
        <v/>
      </c>
      <c r="AJ1271" s="86" t="str">
        <f>+IF(AG1271=$AJ$22,MONTH(V1271),"")</f>
        <v/>
      </c>
      <c r="AK1271" s="86" t="str">
        <f>+IF(AG1271=$AK$22,MONTH(V1271),"")</f>
        <v/>
      </c>
      <c r="AL1271" s="86">
        <f>+IF(AG1271=$AL$22,MONTH(V1271),"")</f>
        <v>5</v>
      </c>
      <c r="AM1271" s="86" t="str">
        <f>+IF($AG1271=$AM$22,MONTH($D1271),"")</f>
        <v/>
      </c>
      <c r="AN1271" s="89" t="str">
        <f>+IF($AG1271=AN$22,MONTH($D1271),"")</f>
        <v/>
      </c>
      <c r="AO1271" s="89" t="str">
        <f>+IF($AG1271=AO$22,MONTH($D1271),"")</f>
        <v/>
      </c>
      <c r="AP1271" s="89" t="str">
        <f>+IF($AG1271=AP$22,MONTH($D1271),"")</f>
        <v/>
      </c>
      <c r="AQ1271" s="89" t="str">
        <f>+IF($AG1271=AQ$22,MONTH($D1271),"")</f>
        <v/>
      </c>
      <c r="AR1271" s="89" t="str">
        <f>+IF($AG1271=AR$22,MONTH($D1271),"")</f>
        <v/>
      </c>
      <c r="AS1271" s="89" t="str">
        <f>+IF($AG1271=AS$22,MONTH($D1271),"")</f>
        <v/>
      </c>
      <c r="AT1271" s="89" t="str">
        <f>+IF($AG1271=AT$22,MONTH($D1271),"")</f>
        <v/>
      </c>
      <c r="AU1271" s="89" t="str">
        <f>+IF($AG1271=AU$22,MONTH($D1271),"")</f>
        <v/>
      </c>
      <c r="AV1271" s="89" t="str">
        <f>+IF($AG1271=AV$22,MONTH($D1271),"")</f>
        <v/>
      </c>
      <c r="AW1271" s="86" t="str">
        <f>+IF($AG1271=AW$22,MONTH($D1271),"")</f>
        <v/>
      </c>
      <c r="AX1271" s="86" t="str">
        <f>+IF($AG1271=AX$22,MONTH($D1271),"")</f>
        <v/>
      </c>
      <c r="AY1271" s="89"/>
      <c r="AZ1271" s="89"/>
      <c r="BA1271" s="89"/>
      <c r="BB1271" s="89"/>
      <c r="BC1271" s="89"/>
      <c r="BD1271" s="89"/>
      <c r="BE1271" s="89"/>
      <c r="BF1271" s="89"/>
      <c r="BG1271" s="89"/>
      <c r="BH1271" s="89"/>
      <c r="BI1271" s="89"/>
      <c r="BJ1271" s="89"/>
      <c r="BK1271" s="89"/>
      <c r="BL1271" s="89"/>
      <c r="BM1271" s="89"/>
      <c r="BN1271" s="89"/>
      <c r="BO1271" s="89"/>
      <c r="BP1271" s="89"/>
    </row>
    <row r="1272" spans="1:68" s="56" customFormat="1" ht="13.5" hidden="1">
      <c r="A1272" s="204">
        <f>+IFERROR(VALUE(MID(AB1272,4,4)),"")</f>
        <v>291</v>
      </c>
      <c r="B1272" s="204">
        <f>VALUE(RIGHT(C1272,LEN(C1272)-2))</f>
        <v>1452</v>
      </c>
      <c r="C1272" s="74" t="s">
        <v>4831</v>
      </c>
      <c r="D1272" s="75">
        <v>44594</v>
      </c>
      <c r="E1272" s="70" t="s">
        <v>2961</v>
      </c>
      <c r="F1272" s="70" t="s">
        <v>630</v>
      </c>
      <c r="G1272" s="68" t="s">
        <v>4768</v>
      </c>
      <c r="H1272" s="59"/>
      <c r="I1272" s="69" t="s">
        <v>4832</v>
      </c>
      <c r="J1272" s="69"/>
      <c r="K1272" s="68" t="s">
        <v>14</v>
      </c>
      <c r="L1272" s="69" t="s">
        <v>120</v>
      </c>
      <c r="M1272" s="71" t="s">
        <v>141</v>
      </c>
      <c r="N1272" s="69" t="e" vm="1">
        <v>#VALUE!</v>
      </c>
      <c r="O1272" s="84">
        <v>44607</v>
      </c>
      <c r="P1272" s="72" t="s">
        <v>4567</v>
      </c>
      <c r="Q1272" s="72" t="s">
        <v>259</v>
      </c>
      <c r="R1272" s="162"/>
      <c r="S1272" s="146" t="s">
        <v>4833</v>
      </c>
      <c r="T1272" s="68" t="s">
        <v>3</v>
      </c>
      <c r="U1272" s="87"/>
      <c r="V1272" s="80">
        <v>44603</v>
      </c>
      <c r="W1272" s="73">
        <v>1117</v>
      </c>
      <c r="X1272" s="73">
        <f>1622*31500/1000000</f>
        <v>51.093000000000004</v>
      </c>
      <c r="Y1272" s="83">
        <f>IF(SUM(W1272:W1272)&gt;0,X1272/SUM(W1272:W1272)*1000000,"N/A")</f>
        <v>45741.271262309761</v>
      </c>
      <c r="Z1272" s="80"/>
      <c r="AA1272" s="80"/>
      <c r="AB1272" s="73" t="s">
        <v>4834</v>
      </c>
      <c r="AC1272" s="153"/>
      <c r="AD1272" s="331"/>
      <c r="AE1272" s="57"/>
      <c r="AF1272" s="88"/>
      <c r="AG1272" s="182">
        <f>YEAR(D1272)</f>
        <v>2022</v>
      </c>
      <c r="AH1272" s="86" t="str">
        <f>+IF(AE1272=$AJ$22,MONTH(T1272),"")</f>
        <v/>
      </c>
      <c r="AI1272" s="86" t="str">
        <f>+IF(AF1272=$AJ$22,MONTH(U1272),"")</f>
        <v/>
      </c>
      <c r="AJ1272" s="86" t="str">
        <f>+IF(AG1272=$AJ$22,MONTH(V1272),"")</f>
        <v/>
      </c>
      <c r="AK1272" s="86" t="str">
        <f>+IF(AG1272=$AK$22,MONTH(V1272),"")</f>
        <v/>
      </c>
      <c r="AL1272" s="86">
        <f>+IF(AG1272=$AL$22,MONTH(V1272),"")</f>
        <v>2</v>
      </c>
      <c r="AM1272" s="86" t="str">
        <f>+IF($AG1272=$AM$22,MONTH($D1272),"")</f>
        <v/>
      </c>
      <c r="AN1272" s="89" t="str">
        <f>+IF($AG1272=AN$22,MONTH($D1272),"")</f>
        <v/>
      </c>
      <c r="AO1272" s="89" t="str">
        <f>+IF($AG1272=AO$22,MONTH($D1272),"")</f>
        <v/>
      </c>
      <c r="AP1272" s="89" t="str">
        <f>+IF($AG1272=AP$22,MONTH($D1272),"")</f>
        <v/>
      </c>
      <c r="AQ1272" s="89" t="str">
        <f>+IF($AG1272=AQ$22,MONTH($D1272),"")</f>
        <v/>
      </c>
      <c r="AR1272" s="89" t="str">
        <f>+IF($AG1272=AR$22,MONTH($D1272),"")</f>
        <v/>
      </c>
      <c r="AS1272" s="89" t="str">
        <f>+IF($AG1272=AS$22,MONTH($D1272),"")</f>
        <v/>
      </c>
      <c r="AT1272" s="89" t="str">
        <f>+IF($AG1272=AT$22,MONTH($D1272),"")</f>
        <v/>
      </c>
      <c r="AU1272" s="89" t="str">
        <f>+IF($AG1272=AU$22,MONTH($D1272),"")</f>
        <v/>
      </c>
      <c r="AV1272" s="89" t="str">
        <f>+IF($AG1272=AV$22,MONTH($D1272),"")</f>
        <v/>
      </c>
      <c r="AW1272" s="86" t="str">
        <f>+IF($AG1272=AW$22,MONTH($D1272),"")</f>
        <v/>
      </c>
      <c r="AX1272" s="86" t="str">
        <f>+IF($AG1272=AX$22,MONTH($D1272),"")</f>
        <v/>
      </c>
      <c r="AY1272" s="89"/>
      <c r="AZ1272" s="89"/>
      <c r="BA1272" s="89"/>
      <c r="BB1272" s="89"/>
      <c r="BC1272" s="89"/>
      <c r="BD1272" s="89"/>
      <c r="BE1272" s="89"/>
      <c r="BF1272" s="89"/>
      <c r="BG1272" s="89"/>
      <c r="BH1272" s="89"/>
      <c r="BI1272" s="89"/>
      <c r="BJ1272" s="89"/>
      <c r="BK1272" s="89"/>
      <c r="BL1272" s="89"/>
      <c r="BM1272" s="89"/>
      <c r="BN1272" s="89"/>
      <c r="BO1272" s="89"/>
      <c r="BP1272" s="89"/>
    </row>
    <row r="1273" spans="1:68" s="56" customFormat="1" ht="24.75" hidden="1" customHeight="1">
      <c r="A1273" s="204">
        <f>+IFERROR(VALUE(MID(AB1273,4,4)),"")</f>
        <v>288</v>
      </c>
      <c r="B1273" s="204">
        <f>VALUE(RIGHT(C1273,LEN(C1273)-2))</f>
        <v>1451</v>
      </c>
      <c r="C1273" s="74" t="s">
        <v>4835</v>
      </c>
      <c r="D1273" s="75">
        <v>44592</v>
      </c>
      <c r="E1273" s="70" t="s">
        <v>4836</v>
      </c>
      <c r="F1273" s="70" t="s">
        <v>4836</v>
      </c>
      <c r="G1273" s="68" t="s">
        <v>4837</v>
      </c>
      <c r="H1273" s="59"/>
      <c r="I1273" s="69" t="s">
        <v>4838</v>
      </c>
      <c r="J1273" s="69"/>
      <c r="K1273" s="68" t="s">
        <v>13</v>
      </c>
      <c r="L1273" s="69" t="s">
        <v>120</v>
      </c>
      <c r="M1273" s="71" t="s">
        <v>141</v>
      </c>
      <c r="N1273" s="69" t="e" vm="1">
        <v>#VALUE!</v>
      </c>
      <c r="O1273" s="84">
        <v>44592</v>
      </c>
      <c r="P1273" s="72" t="s">
        <v>285</v>
      </c>
      <c r="Q1273" s="72" t="s">
        <v>259</v>
      </c>
      <c r="R1273" s="162"/>
      <c r="S1273" s="146" t="s">
        <v>2469</v>
      </c>
      <c r="T1273" s="68" t="s">
        <v>3</v>
      </c>
      <c r="U1273" s="87"/>
      <c r="V1273" s="80">
        <v>44599</v>
      </c>
      <c r="W1273" s="73">
        <v>396</v>
      </c>
      <c r="X1273" s="73">
        <v>14.8</v>
      </c>
      <c r="Y1273" s="83">
        <f>IF(SUM(W1273:W1273)&gt;0,X1273/SUM(W1273:W1273)*1000000,"N/A")</f>
        <v>37373.737373737378</v>
      </c>
      <c r="Z1273" s="80"/>
      <c r="AA1273" s="80"/>
      <c r="AB1273" s="73" t="s">
        <v>4839</v>
      </c>
      <c r="AC1273" s="153"/>
      <c r="AD1273" s="331"/>
      <c r="AE1273" s="57"/>
      <c r="AF1273" s="88"/>
      <c r="AG1273" s="182">
        <f>YEAR(D1273)</f>
        <v>2022</v>
      </c>
      <c r="AH1273" s="86" t="str">
        <f>+IF(AE1273=$AJ$22,MONTH(T1273),"")</f>
        <v/>
      </c>
      <c r="AI1273" s="86" t="str">
        <f>+IF(AF1273=$AJ$22,MONTH(U1273),"")</f>
        <v/>
      </c>
      <c r="AJ1273" s="86" t="str">
        <f>+IF(AG1273=$AJ$22,MONTH(V1273),"")</f>
        <v/>
      </c>
      <c r="AK1273" s="86" t="str">
        <f>+IF(AG1273=$AK$22,MONTH(V1273),"")</f>
        <v/>
      </c>
      <c r="AL1273" s="86">
        <f>+IF(AG1273=$AL$22,MONTH(V1273),"")</f>
        <v>2</v>
      </c>
      <c r="AM1273" s="86" t="str">
        <f>+IF($AG1273=$AM$22,MONTH($D1273),"")</f>
        <v/>
      </c>
      <c r="AN1273" s="89" t="str">
        <f>+IF($AG1273=AN$22,MONTH($D1273),"")</f>
        <v/>
      </c>
      <c r="AO1273" s="89" t="str">
        <f>+IF($AG1273=AO$22,MONTH($D1273),"")</f>
        <v/>
      </c>
      <c r="AP1273" s="89" t="str">
        <f>+IF($AG1273=AP$22,MONTH($D1273),"")</f>
        <v/>
      </c>
      <c r="AQ1273" s="89" t="str">
        <f>+IF($AG1273=AQ$22,MONTH($D1273),"")</f>
        <v/>
      </c>
      <c r="AR1273" s="89" t="str">
        <f>+IF($AG1273=AR$22,MONTH($D1273),"")</f>
        <v/>
      </c>
      <c r="AS1273" s="89" t="str">
        <f>+IF($AG1273=AS$22,MONTH($D1273),"")</f>
        <v/>
      </c>
      <c r="AT1273" s="89" t="str">
        <f>+IF($AG1273=AT$22,MONTH($D1273),"")</f>
        <v/>
      </c>
      <c r="AU1273" s="89" t="str">
        <f>+IF($AG1273=AU$22,MONTH($D1273),"")</f>
        <v/>
      </c>
      <c r="AV1273" s="89" t="str">
        <f>+IF($AG1273=AV$22,MONTH($D1273),"")</f>
        <v/>
      </c>
      <c r="AW1273" s="86" t="str">
        <f>+IF($AG1273=AW$22,MONTH($D1273),"")</f>
        <v/>
      </c>
      <c r="AX1273" s="86" t="str">
        <f>+IF($AG1273=AX$22,MONTH($D1273),"")</f>
        <v/>
      </c>
      <c r="AY1273" s="89"/>
      <c r="AZ1273" s="89"/>
      <c r="BA1273" s="89"/>
      <c r="BB1273" s="89"/>
      <c r="BC1273" s="89"/>
      <c r="BD1273" s="89"/>
      <c r="BE1273" s="89"/>
      <c r="BF1273" s="89"/>
      <c r="BG1273" s="89"/>
      <c r="BH1273" s="89"/>
      <c r="BI1273" s="89"/>
      <c r="BJ1273" s="89"/>
      <c r="BK1273" s="89"/>
      <c r="BL1273" s="89"/>
      <c r="BM1273" s="89"/>
      <c r="BN1273" s="89"/>
      <c r="BO1273" s="89"/>
      <c r="BP1273" s="89"/>
    </row>
    <row r="1274" spans="1:68" s="56" customFormat="1" ht="13.5" hidden="1">
      <c r="A1274" s="204" t="str">
        <f>+IFERROR(VALUE(MID(AB1274,4,4)),"")</f>
        <v/>
      </c>
      <c r="B1274" s="204">
        <f>VALUE(RIGHT(C1274,LEN(C1274)-2))</f>
        <v>1450</v>
      </c>
      <c r="C1274" s="74" t="s">
        <v>4840</v>
      </c>
      <c r="D1274" s="75">
        <v>44591</v>
      </c>
      <c r="E1274" s="70" t="s">
        <v>262</v>
      </c>
      <c r="F1274" s="70" t="s">
        <v>262</v>
      </c>
      <c r="G1274" s="68"/>
      <c r="H1274" s="59"/>
      <c r="I1274" s="69" t="s">
        <v>4841</v>
      </c>
      <c r="J1274" s="69"/>
      <c r="K1274" s="68" t="s">
        <v>212</v>
      </c>
      <c r="L1274" s="69" t="s">
        <v>123</v>
      </c>
      <c r="M1274" s="71" t="s">
        <v>141</v>
      </c>
      <c r="N1274" s="69" t="e" vm="1">
        <v>#VALUE!</v>
      </c>
      <c r="O1274" s="84">
        <v>44608</v>
      </c>
      <c r="P1274" s="72" t="s">
        <v>4567</v>
      </c>
      <c r="Q1274" s="72" t="s">
        <v>259</v>
      </c>
      <c r="R1274" s="162"/>
      <c r="S1274" s="146" t="s">
        <v>4209</v>
      </c>
      <c r="T1274" s="68" t="s">
        <v>165</v>
      </c>
      <c r="U1274" s="87"/>
      <c r="V1274" s="80">
        <v>44885</v>
      </c>
      <c r="W1274" s="73">
        <v>4698.5</v>
      </c>
      <c r="X1274" s="73">
        <f>771.9/4</f>
        <v>192.97499999999999</v>
      </c>
      <c r="Y1274" s="83">
        <f>IF(SUM(W1274:W1274)&gt;0,X1274/SUM(W1274:W1274)*1000000,"N/A")</f>
        <v>41071.618601681388</v>
      </c>
      <c r="Z1274" s="80"/>
      <c r="AA1274" s="80"/>
      <c r="AB1274" s="73"/>
      <c r="AC1274" s="153"/>
      <c r="AD1274" s="331"/>
      <c r="AE1274" s="57"/>
      <c r="AF1274" s="88"/>
      <c r="AG1274" s="182">
        <f>YEAR(D1274)</f>
        <v>2022</v>
      </c>
      <c r="AH1274" s="86" t="str">
        <f>+IF(AE1274=$AJ$22,MONTH(T1274),"")</f>
        <v/>
      </c>
      <c r="AI1274" s="86" t="str">
        <f>+IF(AF1274=$AJ$22,MONTH(U1274),"")</f>
        <v/>
      </c>
      <c r="AJ1274" s="86" t="str">
        <f>+IF(AG1274=$AJ$22,MONTH(V1274),"")</f>
        <v/>
      </c>
      <c r="AK1274" s="86" t="str">
        <f>+IF(AG1274=$AK$22,MONTH(V1274),"")</f>
        <v/>
      </c>
      <c r="AL1274" s="86">
        <f>+IF(AG1274=$AL$22,MONTH(V1274),"")</f>
        <v>11</v>
      </c>
      <c r="AM1274" s="86" t="str">
        <f>+IF($AG1274=$AM$22,MONTH($D1274),"")</f>
        <v/>
      </c>
      <c r="AN1274" s="89" t="str">
        <f>+IF($AG1274=AN$22,MONTH($D1274),"")</f>
        <v/>
      </c>
      <c r="AO1274" s="89" t="str">
        <f>+IF($AG1274=AO$22,MONTH($D1274),"")</f>
        <v/>
      </c>
      <c r="AP1274" s="89" t="str">
        <f>+IF($AG1274=AP$22,MONTH($D1274),"")</f>
        <v/>
      </c>
      <c r="AQ1274" s="89" t="str">
        <f>+IF($AG1274=AQ$22,MONTH($D1274),"")</f>
        <v/>
      </c>
      <c r="AR1274" s="89" t="str">
        <f>+IF($AG1274=AR$22,MONTH($D1274),"")</f>
        <v/>
      </c>
      <c r="AS1274" s="89" t="str">
        <f>+IF($AG1274=AS$22,MONTH($D1274),"")</f>
        <v/>
      </c>
      <c r="AT1274" s="89" t="str">
        <f>+IF($AG1274=AT$22,MONTH($D1274),"")</f>
        <v/>
      </c>
      <c r="AU1274" s="89" t="str">
        <f>+IF($AG1274=AU$22,MONTH($D1274),"")</f>
        <v/>
      </c>
      <c r="AV1274" s="89" t="str">
        <f>+IF($AG1274=AV$22,MONTH($D1274),"")</f>
        <v/>
      </c>
      <c r="AW1274" s="86" t="str">
        <f>+IF($AG1274=AW$22,MONTH($D1274),"")</f>
        <v/>
      </c>
      <c r="AX1274" s="86" t="str">
        <f>+IF($AG1274=AX$22,MONTH($D1274),"")</f>
        <v/>
      </c>
      <c r="AY1274" s="89"/>
      <c r="AZ1274" s="89"/>
      <c r="BA1274" s="89"/>
      <c r="BB1274" s="89"/>
      <c r="BC1274" s="89"/>
      <c r="BD1274" s="89"/>
      <c r="BE1274" s="89"/>
      <c r="BF1274" s="89"/>
      <c r="BG1274" s="89"/>
      <c r="BH1274" s="89"/>
      <c r="BI1274" s="89"/>
      <c r="BJ1274" s="89"/>
      <c r="BK1274" s="89"/>
      <c r="BL1274" s="89"/>
      <c r="BM1274" s="89"/>
      <c r="BN1274" s="89"/>
      <c r="BO1274" s="89"/>
      <c r="BP1274" s="89"/>
    </row>
    <row r="1275" spans="1:68" s="56" customFormat="1" ht="27" hidden="1">
      <c r="A1275" s="204">
        <f>+IFERROR(VALUE(MID(AB1275,4,4)),"")</f>
        <v>265</v>
      </c>
      <c r="B1275" s="204">
        <f>VALUE(RIGHT(C1275,LEN(C1275)-2))</f>
        <v>1449</v>
      </c>
      <c r="C1275" s="74" t="s">
        <v>4842</v>
      </c>
      <c r="D1275" s="75">
        <v>44589</v>
      </c>
      <c r="E1275" s="70" t="s">
        <v>332</v>
      </c>
      <c r="F1275" s="70" t="s">
        <v>332</v>
      </c>
      <c r="G1275" s="68" t="s">
        <v>3818</v>
      </c>
      <c r="H1275" s="59" t="s">
        <v>3878</v>
      </c>
      <c r="I1275" s="69" t="s">
        <v>4843</v>
      </c>
      <c r="J1275" s="69"/>
      <c r="K1275" s="68" t="s">
        <v>12</v>
      </c>
      <c r="L1275" s="69" t="s">
        <v>129</v>
      </c>
      <c r="M1275" s="71" t="s">
        <v>141</v>
      </c>
      <c r="N1275" s="69" t="e" vm="1">
        <v>#VALUE!</v>
      </c>
      <c r="O1275" s="84">
        <v>44503</v>
      </c>
      <c r="P1275" s="82" t="s">
        <v>285</v>
      </c>
      <c r="Q1275" s="82" t="s">
        <v>259</v>
      </c>
      <c r="R1275" s="69"/>
      <c r="S1275" s="146"/>
      <c r="T1275" s="68" t="s">
        <v>3</v>
      </c>
      <c r="U1275" s="87"/>
      <c r="V1275" s="80">
        <v>44603</v>
      </c>
      <c r="W1275" s="73">
        <v>620</v>
      </c>
      <c r="X1275" s="73">
        <f>670*30250/1000000</f>
        <v>20.267499999999998</v>
      </c>
      <c r="Y1275" s="83">
        <f>IF(SUM(W1275:W1275)&gt;0,X1275/SUM(W1275:W1275)*1000000,"N/A")</f>
        <v>32689.51612903225</v>
      </c>
      <c r="Z1275" s="80"/>
      <c r="AA1275" s="80"/>
      <c r="AB1275" s="73" t="s">
        <v>4844</v>
      </c>
      <c r="AC1275" s="153"/>
      <c r="AD1275" s="331"/>
      <c r="AE1275" s="57"/>
      <c r="AF1275" s="88"/>
      <c r="AG1275" s="182">
        <f>YEAR(D1275)</f>
        <v>2022</v>
      </c>
      <c r="AH1275" s="86" t="str">
        <f>+IF(AE1275=$AJ$22,MONTH(T1275),"")</f>
        <v/>
      </c>
      <c r="AI1275" s="86" t="str">
        <f>+IF(AF1275=$AJ$22,MONTH(U1275),"")</f>
        <v/>
      </c>
      <c r="AJ1275" s="86" t="str">
        <f>+IF(AG1275=$AJ$22,MONTH(V1275),"")</f>
        <v/>
      </c>
      <c r="AK1275" s="86" t="str">
        <f>+IF(AG1275=$AK$22,MONTH(V1275),"")</f>
        <v/>
      </c>
      <c r="AL1275" s="86">
        <f>+IF(AG1275=$AL$22,MONTH(V1275),"")</f>
        <v>2</v>
      </c>
      <c r="AM1275" s="86" t="str">
        <f>+IF($AG1275=$AM$22,MONTH($D1275),"")</f>
        <v/>
      </c>
      <c r="AN1275" s="89" t="str">
        <f>+IF($AG1275=AN$22,MONTH($D1275),"")</f>
        <v/>
      </c>
      <c r="AO1275" s="89" t="str">
        <f>+IF($AG1275=AO$22,MONTH($D1275),"")</f>
        <v/>
      </c>
      <c r="AP1275" s="89" t="str">
        <f>+IF($AG1275=AP$22,MONTH($D1275),"")</f>
        <v/>
      </c>
      <c r="AQ1275" s="89" t="str">
        <f>+IF($AG1275=AQ$22,MONTH($D1275),"")</f>
        <v/>
      </c>
      <c r="AR1275" s="89" t="str">
        <f>+IF($AG1275=AR$22,MONTH($D1275),"")</f>
        <v/>
      </c>
      <c r="AS1275" s="89" t="str">
        <f>+IF($AG1275=AS$22,MONTH($D1275),"")</f>
        <v/>
      </c>
      <c r="AT1275" s="89" t="str">
        <f>+IF($AG1275=AT$22,MONTH($D1275),"")</f>
        <v/>
      </c>
      <c r="AU1275" s="89" t="str">
        <f>+IF($AG1275=AU$22,MONTH($D1275),"")</f>
        <v/>
      </c>
      <c r="AV1275" s="89" t="str">
        <f>+IF($AG1275=AV$22,MONTH($D1275),"")</f>
        <v/>
      </c>
      <c r="AW1275" s="86" t="str">
        <f>+IF($AG1275=AW$22,MONTH($D1275),"")</f>
        <v/>
      </c>
      <c r="AX1275" s="86" t="str">
        <f>+IF($AG1275=AX$22,MONTH($D1275),"")</f>
        <v/>
      </c>
      <c r="AY1275" s="89"/>
      <c r="AZ1275" s="89"/>
      <c r="BA1275" s="89"/>
      <c r="BB1275" s="89"/>
      <c r="BC1275" s="89"/>
      <c r="BD1275" s="89"/>
      <c r="BE1275" s="89"/>
      <c r="BF1275" s="89"/>
      <c r="BG1275" s="89"/>
      <c r="BH1275" s="89"/>
      <c r="BI1275" s="89"/>
      <c r="BJ1275" s="89"/>
      <c r="BK1275" s="89"/>
      <c r="BL1275" s="89"/>
      <c r="BM1275" s="89"/>
      <c r="BN1275" s="89"/>
      <c r="BO1275" s="89"/>
      <c r="BP1275" s="89"/>
    </row>
    <row r="1276" spans="1:68" s="56" customFormat="1" ht="13.5" hidden="1">
      <c r="A1276" s="204" t="str">
        <f>+IFERROR(VALUE(MID(AB1276,4,4)),"")</f>
        <v/>
      </c>
      <c r="B1276" s="204">
        <f>VALUE(RIGHT(C1276,LEN(C1276)-2))</f>
        <v>1448</v>
      </c>
      <c r="C1276" s="74" t="s">
        <v>4845</v>
      </c>
      <c r="D1276" s="75">
        <v>44589</v>
      </c>
      <c r="E1276" s="70" t="s">
        <v>255</v>
      </c>
      <c r="F1276" s="70" t="s">
        <v>255</v>
      </c>
      <c r="G1276" s="68"/>
      <c r="H1276" s="59"/>
      <c r="I1276" s="69" t="s">
        <v>4846</v>
      </c>
      <c r="J1276" s="69"/>
      <c r="K1276" s="68" t="s">
        <v>13</v>
      </c>
      <c r="L1276" s="69" t="s">
        <v>123</v>
      </c>
      <c r="M1276" s="71" t="s">
        <v>141</v>
      </c>
      <c r="N1276" s="69" t="e" vm="1">
        <v>#VALUE!</v>
      </c>
      <c r="O1276" s="84">
        <v>44596</v>
      </c>
      <c r="P1276" s="72" t="s">
        <v>285</v>
      </c>
      <c r="Q1276" s="72" t="s">
        <v>259</v>
      </c>
      <c r="R1276" s="162"/>
      <c r="S1276" s="146" t="s">
        <v>4847</v>
      </c>
      <c r="T1276" s="68" t="s">
        <v>165</v>
      </c>
      <c r="U1276" s="87"/>
      <c r="V1276" s="80">
        <v>44599</v>
      </c>
      <c r="W1276" s="73">
        <v>5024</v>
      </c>
      <c r="X1276" s="73">
        <f>6123*31277/1000000</f>
        <v>191.50907100000001</v>
      </c>
      <c r="Y1276" s="83">
        <f>IF(SUM(W1276:W1276)&gt;0,X1276/SUM(W1276:W1276)*1000000,"N/A")</f>
        <v>38118.84375</v>
      </c>
      <c r="Z1276" s="80"/>
      <c r="AA1276" s="80"/>
      <c r="AB1276" s="73"/>
      <c r="AC1276" s="153"/>
      <c r="AD1276" s="331"/>
      <c r="AE1276" s="57"/>
      <c r="AF1276" s="88"/>
      <c r="AG1276" s="182">
        <f>YEAR(D1276)</f>
        <v>2022</v>
      </c>
      <c r="AH1276" s="86" t="str">
        <f>+IF(AE1276=$AJ$22,MONTH(T1276),"")</f>
        <v/>
      </c>
      <c r="AI1276" s="86" t="str">
        <f>+IF(AF1276=$AJ$22,MONTH(U1276),"")</f>
        <v/>
      </c>
      <c r="AJ1276" s="86" t="str">
        <f>+IF(AG1276=$AJ$22,MONTH(V1276),"")</f>
        <v/>
      </c>
      <c r="AK1276" s="86" t="str">
        <f>+IF(AG1276=$AK$22,MONTH(V1276),"")</f>
        <v/>
      </c>
      <c r="AL1276" s="86">
        <f>+IF(AG1276=$AL$22,MONTH(V1276),"")</f>
        <v>2</v>
      </c>
      <c r="AM1276" s="86" t="str">
        <f>+IF($AG1276=$AM$22,MONTH($D1276),"")</f>
        <v/>
      </c>
      <c r="AN1276" s="89" t="str">
        <f>+IF($AG1276=AN$22,MONTH($D1276),"")</f>
        <v/>
      </c>
      <c r="AO1276" s="89" t="str">
        <f>+IF($AG1276=AO$22,MONTH($D1276),"")</f>
        <v/>
      </c>
      <c r="AP1276" s="89" t="str">
        <f>+IF($AG1276=AP$22,MONTH($D1276),"")</f>
        <v/>
      </c>
      <c r="AQ1276" s="89" t="str">
        <f>+IF($AG1276=AQ$22,MONTH($D1276),"")</f>
        <v/>
      </c>
      <c r="AR1276" s="89" t="str">
        <f>+IF($AG1276=AR$22,MONTH($D1276),"")</f>
        <v/>
      </c>
      <c r="AS1276" s="89" t="str">
        <f>+IF($AG1276=AS$22,MONTH($D1276),"")</f>
        <v/>
      </c>
      <c r="AT1276" s="89" t="str">
        <f>+IF($AG1276=AT$22,MONTH($D1276),"")</f>
        <v/>
      </c>
      <c r="AU1276" s="89" t="str">
        <f>+IF($AG1276=AU$22,MONTH($D1276),"")</f>
        <v/>
      </c>
      <c r="AV1276" s="89" t="str">
        <f>+IF($AG1276=AV$22,MONTH($D1276),"")</f>
        <v/>
      </c>
      <c r="AW1276" s="86" t="str">
        <f>+IF($AG1276=AW$22,MONTH($D1276),"")</f>
        <v/>
      </c>
      <c r="AX1276" s="86" t="str">
        <f>+IF($AG1276=AX$22,MONTH($D1276),"")</f>
        <v/>
      </c>
      <c r="AY1276" s="89"/>
      <c r="AZ1276" s="89"/>
      <c r="BA1276" s="89"/>
      <c r="BB1276" s="89"/>
      <c r="BC1276" s="89"/>
      <c r="BD1276" s="89"/>
      <c r="BE1276" s="89"/>
      <c r="BF1276" s="89"/>
      <c r="BG1276" s="89"/>
      <c r="BH1276" s="89"/>
      <c r="BI1276" s="89"/>
      <c r="BJ1276" s="89"/>
      <c r="BK1276" s="89"/>
      <c r="BL1276" s="89"/>
      <c r="BM1276" s="89"/>
      <c r="BN1276" s="89"/>
      <c r="BO1276" s="89"/>
      <c r="BP1276" s="89"/>
    </row>
    <row r="1277" spans="1:68" s="56" customFormat="1" ht="27" hidden="1">
      <c r="A1277" s="204" t="str">
        <f>+IFERROR(VALUE(MID(AB1277,4,4)),"")</f>
        <v/>
      </c>
      <c r="B1277" s="204">
        <f>VALUE(RIGHT(C1277,LEN(C1277)-2))</f>
        <v>1447</v>
      </c>
      <c r="C1277" s="74" t="s">
        <v>4848</v>
      </c>
      <c r="D1277" s="75">
        <v>44586</v>
      </c>
      <c r="E1277" s="70" t="s">
        <v>4849</v>
      </c>
      <c r="F1277" s="70" t="s">
        <v>4849</v>
      </c>
      <c r="G1277" s="68"/>
      <c r="H1277" s="59"/>
      <c r="I1277" s="69" t="s">
        <v>4850</v>
      </c>
      <c r="J1277" s="69"/>
      <c r="K1277" s="68" t="s">
        <v>12</v>
      </c>
      <c r="L1277" s="69" t="s">
        <v>123</v>
      </c>
      <c r="M1277" s="71" t="s">
        <v>113</v>
      </c>
      <c r="N1277" s="69" t="e" vm="4">
        <v>#VALUE!</v>
      </c>
      <c r="O1277" s="84">
        <v>44629</v>
      </c>
      <c r="P1277" s="72" t="s">
        <v>1629</v>
      </c>
      <c r="Q1277" s="72" t="s">
        <v>623</v>
      </c>
      <c r="R1277" s="162"/>
      <c r="S1277" s="146" t="s">
        <v>4851</v>
      </c>
      <c r="T1277" s="68" t="s">
        <v>165</v>
      </c>
      <c r="U1277" s="87"/>
      <c r="V1277" s="80">
        <v>44867</v>
      </c>
      <c r="W1277" s="73">
        <v>1195</v>
      </c>
      <c r="X1277" s="73">
        <v>50</v>
      </c>
      <c r="Y1277" s="83">
        <f>IF(SUM(W1277:W1277)&gt;0,X1277/SUM(W1277:W1277)*1000000,"N/A")</f>
        <v>41841.004184100413</v>
      </c>
      <c r="Z1277" s="80"/>
      <c r="AA1277" s="80"/>
      <c r="AB1277" s="73"/>
      <c r="AC1277" s="153"/>
      <c r="AD1277" s="331"/>
      <c r="AE1277" s="57"/>
      <c r="AF1277" s="88"/>
      <c r="AG1277" s="182">
        <f>YEAR(D1277)</f>
        <v>2022</v>
      </c>
      <c r="AH1277" s="86" t="str">
        <f>+IF(AE1277=$AJ$22,MONTH(T1277),"")</f>
        <v/>
      </c>
      <c r="AI1277" s="86" t="str">
        <f>+IF(AF1277=$AJ$22,MONTH(U1277),"")</f>
        <v/>
      </c>
      <c r="AJ1277" s="86" t="str">
        <f>+IF(AG1277=$AJ$22,MONTH(V1277),"")</f>
        <v/>
      </c>
      <c r="AK1277" s="86" t="str">
        <f>+IF(AG1277=$AK$22,MONTH(V1277),"")</f>
        <v/>
      </c>
      <c r="AL1277" s="86">
        <f>+IF(AG1277=$AL$22,MONTH(V1277),"")</f>
        <v>11</v>
      </c>
      <c r="AM1277" s="86" t="str">
        <f>+IF($AG1277=$AM$22,MONTH($D1277),"")</f>
        <v/>
      </c>
      <c r="AN1277" s="89" t="str">
        <f>+IF($AG1277=AN$22,MONTH($D1277),"")</f>
        <v/>
      </c>
      <c r="AO1277" s="89" t="str">
        <f>+IF($AG1277=AO$22,MONTH($D1277),"")</f>
        <v/>
      </c>
      <c r="AP1277" s="89" t="str">
        <f>+IF($AG1277=AP$22,MONTH($D1277),"")</f>
        <v/>
      </c>
      <c r="AQ1277" s="89" t="str">
        <f>+IF($AG1277=AQ$22,MONTH($D1277),"")</f>
        <v/>
      </c>
      <c r="AR1277" s="89" t="str">
        <f>+IF($AG1277=AR$22,MONTH($D1277),"")</f>
        <v/>
      </c>
      <c r="AS1277" s="89" t="str">
        <f>+IF($AG1277=AS$22,MONTH($D1277),"")</f>
        <v/>
      </c>
      <c r="AT1277" s="89" t="str">
        <f>+IF($AG1277=AT$22,MONTH($D1277),"")</f>
        <v/>
      </c>
      <c r="AU1277" s="89" t="str">
        <f>+IF($AG1277=AU$22,MONTH($D1277),"")</f>
        <v/>
      </c>
      <c r="AV1277" s="89" t="str">
        <f>+IF($AG1277=AV$22,MONTH($D1277),"")</f>
        <v/>
      </c>
      <c r="AW1277" s="86" t="str">
        <f>+IF($AG1277=AW$22,MONTH($D1277),"")</f>
        <v/>
      </c>
      <c r="AX1277" s="86" t="str">
        <f>+IF($AG1277=AX$22,MONTH($D1277),"")</f>
        <v/>
      </c>
      <c r="AY1277" s="89"/>
      <c r="AZ1277" s="89"/>
      <c r="BA1277" s="89"/>
      <c r="BB1277" s="89"/>
      <c r="BC1277" s="89"/>
      <c r="BD1277" s="89"/>
      <c r="BE1277" s="89"/>
      <c r="BF1277" s="89"/>
      <c r="BG1277" s="89"/>
      <c r="BH1277" s="89"/>
      <c r="BI1277" s="89"/>
      <c r="BJ1277" s="89"/>
      <c r="BK1277" s="89"/>
      <c r="BL1277" s="89"/>
      <c r="BM1277" s="89"/>
      <c r="BN1277" s="89"/>
      <c r="BO1277" s="89"/>
      <c r="BP1277" s="89"/>
    </row>
    <row r="1278" spans="1:68" s="56" customFormat="1" ht="13.5" hidden="1">
      <c r="A1278" s="204" t="str">
        <f>+IFERROR(VALUE(MID(AB1278,4,4)),"")</f>
        <v/>
      </c>
      <c r="B1278" s="204">
        <f>VALUE(RIGHT(C1278,LEN(C1278)-2))</f>
        <v>1446</v>
      </c>
      <c r="C1278" s="74" t="s">
        <v>4852</v>
      </c>
      <c r="D1278" s="75">
        <v>44576</v>
      </c>
      <c r="E1278" s="70" t="s">
        <v>53</v>
      </c>
      <c r="F1278" s="70" t="s">
        <v>460</v>
      </c>
      <c r="G1278" s="68"/>
      <c r="H1278" s="59"/>
      <c r="I1278" s="69" t="s">
        <v>4208</v>
      </c>
      <c r="J1278" s="69"/>
      <c r="K1278" s="68" t="s">
        <v>212</v>
      </c>
      <c r="L1278" s="69" t="s">
        <v>123</v>
      </c>
      <c r="M1278" s="71" t="s">
        <v>141</v>
      </c>
      <c r="N1278" s="69" t="e" vm="1">
        <v>#VALUE!</v>
      </c>
      <c r="O1278" s="84">
        <v>44617</v>
      </c>
      <c r="P1278" s="72" t="s">
        <v>402</v>
      </c>
      <c r="Q1278" s="72" t="s">
        <v>405</v>
      </c>
      <c r="R1278" s="162"/>
      <c r="S1278" s="146"/>
      <c r="T1278" s="68" t="s">
        <v>155</v>
      </c>
      <c r="U1278" s="87"/>
      <c r="V1278" s="80">
        <v>44579</v>
      </c>
      <c r="W1278" s="73"/>
      <c r="X1278" s="73"/>
      <c r="Y1278" s="83" t="str">
        <f>IF(SUM(W1278:W1278)&gt;0,X1278/SUM(W1278:W1278)*1000000,"N/A")</f>
        <v>N/A</v>
      </c>
      <c r="Z1278" s="80"/>
      <c r="AA1278" s="80"/>
      <c r="AB1278" s="73"/>
      <c r="AC1278" s="153"/>
      <c r="AD1278" s="331"/>
      <c r="AE1278" s="57"/>
      <c r="AF1278" s="88"/>
      <c r="AG1278" s="182">
        <f>YEAR(D1278)</f>
        <v>2022</v>
      </c>
      <c r="AH1278" s="86" t="str">
        <f>+IF(AE1278=$AJ$22,MONTH(T1278),"")</f>
        <v/>
      </c>
      <c r="AI1278" s="86" t="str">
        <f>+IF(AF1278=$AJ$22,MONTH(U1278),"")</f>
        <v/>
      </c>
      <c r="AJ1278" s="86" t="str">
        <f>+IF(AG1278=$AJ$22,MONTH(V1278),"")</f>
        <v/>
      </c>
      <c r="AK1278" s="86" t="str">
        <f>+IF(AG1278=$AK$22,MONTH(V1278),"")</f>
        <v/>
      </c>
      <c r="AL1278" s="86">
        <f>+IF(AG1278=$AL$22,MONTH(V1278),"")</f>
        <v>1</v>
      </c>
      <c r="AM1278" s="86" t="str">
        <f>+IF($AG1278=$AM$22,MONTH($D1278),"")</f>
        <v/>
      </c>
      <c r="AN1278" s="89" t="str">
        <f>+IF($AG1278=AN$22,MONTH($D1278),"")</f>
        <v/>
      </c>
      <c r="AO1278" s="89" t="str">
        <f>+IF($AG1278=AO$22,MONTH($D1278),"")</f>
        <v/>
      </c>
      <c r="AP1278" s="89" t="str">
        <f>+IF($AG1278=AP$22,MONTH($D1278),"")</f>
        <v/>
      </c>
      <c r="AQ1278" s="89" t="str">
        <f>+IF($AG1278=AQ$22,MONTH($D1278),"")</f>
        <v/>
      </c>
      <c r="AR1278" s="89" t="str">
        <f>+IF($AG1278=AR$22,MONTH($D1278),"")</f>
        <v/>
      </c>
      <c r="AS1278" s="89" t="str">
        <f>+IF($AG1278=AS$22,MONTH($D1278),"")</f>
        <v/>
      </c>
      <c r="AT1278" s="89" t="str">
        <f>+IF($AG1278=AT$22,MONTH($D1278),"")</f>
        <v/>
      </c>
      <c r="AU1278" s="89" t="str">
        <f>+IF($AG1278=AU$22,MONTH($D1278),"")</f>
        <v/>
      </c>
      <c r="AV1278" s="89" t="str">
        <f>+IF($AG1278=AV$22,MONTH($D1278),"")</f>
        <v/>
      </c>
      <c r="AW1278" s="86" t="str">
        <f>+IF($AG1278=AW$22,MONTH($D1278),"")</f>
        <v/>
      </c>
      <c r="AX1278" s="86" t="str">
        <f>+IF($AG1278=AX$22,MONTH($D1278),"")</f>
        <v/>
      </c>
      <c r="AY1278" s="89"/>
      <c r="AZ1278" s="89"/>
      <c r="BA1278" s="89"/>
      <c r="BB1278" s="89"/>
      <c r="BC1278" s="89"/>
      <c r="BD1278" s="89"/>
      <c r="BE1278" s="89"/>
      <c r="BF1278" s="89"/>
      <c r="BG1278" s="89"/>
      <c r="BH1278" s="89"/>
      <c r="BI1278" s="89"/>
      <c r="BJ1278" s="89"/>
      <c r="BK1278" s="89"/>
      <c r="BL1278" s="89"/>
      <c r="BM1278" s="89"/>
      <c r="BN1278" s="89"/>
      <c r="BO1278" s="89"/>
      <c r="BP1278" s="89"/>
    </row>
    <row r="1279" spans="1:68" s="56" customFormat="1" ht="81" hidden="1">
      <c r="A1279" s="204" t="str">
        <f>+IFERROR(VALUE(MID(AB1279,4,4)),"")</f>
        <v/>
      </c>
      <c r="B1279" s="204">
        <f>VALUE(RIGHT(C1279,LEN(C1279)-2))</f>
        <v>1445</v>
      </c>
      <c r="C1279" s="74" t="s">
        <v>4853</v>
      </c>
      <c r="D1279" s="75">
        <v>44581</v>
      </c>
      <c r="E1279" s="70" t="s">
        <v>97</v>
      </c>
      <c r="F1279" s="70" t="s">
        <v>252</v>
      </c>
      <c r="G1279" s="68" t="s">
        <v>4043</v>
      </c>
      <c r="H1279" s="59" t="s">
        <v>4044</v>
      </c>
      <c r="I1279" s="69" t="s">
        <v>4854</v>
      </c>
      <c r="J1279" s="69"/>
      <c r="K1279" s="95" t="s">
        <v>18</v>
      </c>
      <c r="L1279" s="69" t="s">
        <v>120</v>
      </c>
      <c r="M1279" s="71" t="s">
        <v>141</v>
      </c>
      <c r="N1279" s="69" t="e" vm="1">
        <v>#VALUE!</v>
      </c>
      <c r="O1279" s="84">
        <v>44587</v>
      </c>
      <c r="P1279" s="82" t="s">
        <v>402</v>
      </c>
      <c r="Q1279" s="82" t="s">
        <v>623</v>
      </c>
      <c r="R1279" s="69"/>
      <c r="S1279" s="146" t="s">
        <v>4855</v>
      </c>
      <c r="T1279" s="68" t="s">
        <v>165</v>
      </c>
      <c r="U1279" s="87"/>
      <c r="V1279" s="80">
        <v>44886</v>
      </c>
      <c r="W1279" s="73">
        <v>910</v>
      </c>
      <c r="X1279" s="73">
        <v>54.6</v>
      </c>
      <c r="Y1279" s="83">
        <f>IF(SUM(W1279:W1279)&gt;0,X1279/SUM(W1279:W1279)*1000000,"N/A")</f>
        <v>60000.000000000007</v>
      </c>
      <c r="Z1279" s="80"/>
      <c r="AA1279" s="80"/>
      <c r="AB1279" s="73"/>
      <c r="AC1279" s="153"/>
      <c r="AD1279" s="331"/>
      <c r="AE1279" s="57"/>
      <c r="AF1279" s="88" t="s">
        <v>4287</v>
      </c>
      <c r="AG1279" s="182">
        <f>YEAR(D1279)</f>
        <v>2022</v>
      </c>
      <c r="AH1279" s="86" t="str">
        <f>+IF(AE1279=$AJ$22,MONTH(T1279),"")</f>
        <v/>
      </c>
      <c r="AI1279" s="86" t="str">
        <f>+IF(AF1279=$AJ$22,MONTH(U1279),"")</f>
        <v/>
      </c>
      <c r="AJ1279" s="86" t="str">
        <f>+IF(AG1279=$AJ$22,MONTH(V1279),"")</f>
        <v/>
      </c>
      <c r="AK1279" s="86" t="str">
        <f>+IF(AG1279=$AK$22,MONTH(V1279),"")</f>
        <v/>
      </c>
      <c r="AL1279" s="86">
        <f>+IF(AG1279=$AL$22,MONTH(V1279),"")</f>
        <v>11</v>
      </c>
      <c r="AM1279" s="86" t="str">
        <f>+IF($AG1279=$AM$22,MONTH($D1279),"")</f>
        <v/>
      </c>
      <c r="AN1279" s="89" t="str">
        <f>+IF($AG1279=AN$22,MONTH($D1279),"")</f>
        <v/>
      </c>
      <c r="AO1279" s="89" t="str">
        <f>+IF($AG1279=AO$22,MONTH($D1279),"")</f>
        <v/>
      </c>
      <c r="AP1279" s="89" t="str">
        <f>+IF($AG1279=AP$22,MONTH($D1279),"")</f>
        <v/>
      </c>
      <c r="AQ1279" s="89" t="str">
        <f>+IF($AG1279=AQ$22,MONTH($D1279),"")</f>
        <v/>
      </c>
      <c r="AR1279" s="89" t="str">
        <f>+IF($AG1279=AR$22,MONTH($D1279),"")</f>
        <v/>
      </c>
      <c r="AS1279" s="89" t="str">
        <f>+IF($AG1279=AS$22,MONTH($D1279),"")</f>
        <v/>
      </c>
      <c r="AT1279" s="89" t="str">
        <f>+IF($AG1279=AT$22,MONTH($D1279),"")</f>
        <v/>
      </c>
      <c r="AU1279" s="89" t="str">
        <f>+IF($AG1279=AU$22,MONTH($D1279),"")</f>
        <v/>
      </c>
      <c r="AV1279" s="89" t="str">
        <f>+IF($AG1279=AV$22,MONTH($D1279),"")</f>
        <v/>
      </c>
      <c r="AW1279" s="86" t="str">
        <f>+IF($AG1279=AW$22,MONTH($D1279),"")</f>
        <v/>
      </c>
      <c r="AX1279" s="86" t="str">
        <f>+IF($AG1279=AX$22,MONTH($D1279),"")</f>
        <v/>
      </c>
      <c r="AY1279" s="89"/>
      <c r="AZ1279" s="89"/>
      <c r="BA1279" s="89"/>
      <c r="BB1279" s="89"/>
      <c r="BC1279" s="89"/>
      <c r="BD1279" s="89"/>
      <c r="BE1279" s="89"/>
      <c r="BF1279" s="89"/>
      <c r="BG1279" s="89"/>
      <c r="BH1279" s="89"/>
      <c r="BI1279" s="89"/>
      <c r="BJ1279" s="89"/>
      <c r="BK1279" s="89"/>
      <c r="BL1279" s="89"/>
      <c r="BM1279" s="89"/>
      <c r="BN1279" s="89"/>
      <c r="BO1279" s="89"/>
      <c r="BP1279" s="89"/>
    </row>
    <row r="1280" spans="1:68" s="56" customFormat="1" ht="27" hidden="1">
      <c r="A1280" s="204">
        <f>+IFERROR(VALUE(MID(AB1280,4,4)),"")</f>
        <v>296</v>
      </c>
      <c r="B1280" s="204">
        <f>VALUE(RIGHT(C1280,LEN(C1280)-2))</f>
        <v>1444</v>
      </c>
      <c r="C1280" s="74" t="s">
        <v>4856</v>
      </c>
      <c r="D1280" s="75">
        <v>44580</v>
      </c>
      <c r="E1280" s="70" t="s">
        <v>479</v>
      </c>
      <c r="F1280" s="70" t="s">
        <v>479</v>
      </c>
      <c r="G1280" s="68"/>
      <c r="H1280" s="59"/>
      <c r="I1280" s="69" t="s">
        <v>4857</v>
      </c>
      <c r="J1280" s="69"/>
      <c r="K1280" s="95" t="s">
        <v>18</v>
      </c>
      <c r="L1280" s="69" t="s">
        <v>120</v>
      </c>
      <c r="M1280" s="71" t="s">
        <v>113</v>
      </c>
      <c r="N1280" s="69" t="e" vm="2">
        <v>#VALUE!</v>
      </c>
      <c r="O1280" s="84">
        <v>44586</v>
      </c>
      <c r="P1280" s="82" t="s">
        <v>483</v>
      </c>
      <c r="Q1280" s="82" t="s">
        <v>837</v>
      </c>
      <c r="R1280" s="69"/>
      <c r="S1280" s="146" t="s">
        <v>4858</v>
      </c>
      <c r="T1280" s="68" t="s">
        <v>3</v>
      </c>
      <c r="U1280" s="87"/>
      <c r="V1280" s="80">
        <v>44661</v>
      </c>
      <c r="W1280" s="73">
        <v>3520</v>
      </c>
      <c r="X1280" s="73">
        <v>115</v>
      </c>
      <c r="Y1280" s="83">
        <f>IF(SUM(W1280:W1280)&gt;0,X1280/SUM(W1280:W1280)*1000000,"N/A")</f>
        <v>32670.454545454544</v>
      </c>
      <c r="Z1280" s="80"/>
      <c r="AA1280" s="80"/>
      <c r="AB1280" s="73" t="s">
        <v>4859</v>
      </c>
      <c r="AC1280" s="153"/>
      <c r="AD1280" s="331"/>
      <c r="AE1280" s="57"/>
      <c r="AF1280" s="88"/>
      <c r="AG1280" s="182">
        <f>YEAR(V1280)</f>
        <v>2022</v>
      </c>
      <c r="AH1280" s="86" t="str">
        <f>+IF(AE1280=$AJ$22,MONTH(T1280),"")</f>
        <v/>
      </c>
      <c r="AI1280" s="86" t="str">
        <f>+IF(AF1280=$AJ$22,MONTH(U1280),"")</f>
        <v/>
      </c>
      <c r="AJ1280" s="86" t="str">
        <f>+IF(AG1280=$AJ$22,MONTH(V1280),"")</f>
        <v/>
      </c>
      <c r="AK1280" s="86" t="str">
        <f>+IF(AG1280=$AK$22,MONTH(V1280),"")</f>
        <v/>
      </c>
      <c r="AL1280" s="86">
        <f>+IF(AG1280=$AL$22,MONTH(V1280),"")</f>
        <v>4</v>
      </c>
      <c r="AM1280" s="86" t="str">
        <f>+IF($AG1280=$AM$22,MONTH($D1280),"")</f>
        <v/>
      </c>
      <c r="AN1280" s="89" t="str">
        <f>+IF($AG1280=AN$22,MONTH($D1280),"")</f>
        <v/>
      </c>
      <c r="AO1280" s="89" t="str">
        <f>+IF($AG1280=AO$22,MONTH($D1280),"")</f>
        <v/>
      </c>
      <c r="AP1280" s="89" t="str">
        <f>+IF($AG1280=AP$22,MONTH($D1280),"")</f>
        <v/>
      </c>
      <c r="AQ1280" s="89" t="str">
        <f>+IF($AG1280=AQ$22,MONTH($D1280),"")</f>
        <v/>
      </c>
      <c r="AR1280" s="89" t="str">
        <f>+IF($AG1280=AR$22,MONTH($D1280),"")</f>
        <v/>
      </c>
      <c r="AS1280" s="89" t="str">
        <f>+IF($AG1280=AS$22,MONTH($D1280),"")</f>
        <v/>
      </c>
      <c r="AT1280" s="89" t="str">
        <f>+IF($AG1280=AT$22,MONTH($D1280),"")</f>
        <v/>
      </c>
      <c r="AU1280" s="89" t="str">
        <f>+IF($AG1280=AU$22,MONTH($D1280),"")</f>
        <v/>
      </c>
      <c r="AV1280" s="89" t="str">
        <f>+IF($AG1280=AV$22,MONTH($D1280),"")</f>
        <v/>
      </c>
      <c r="AW1280" s="86" t="str">
        <f>+IF($AG1280=AW$22,MONTH($D1280),"")</f>
        <v/>
      </c>
      <c r="AX1280" s="86" t="str">
        <f>+IF($AG1280=AX$22,MONTH($D1280),"")</f>
        <v/>
      </c>
      <c r="AY1280" s="89"/>
      <c r="AZ1280" s="89"/>
      <c r="BA1280" s="89"/>
      <c r="BB1280" s="89"/>
      <c r="BC1280" s="89"/>
      <c r="BD1280" s="89"/>
      <c r="BE1280" s="89"/>
      <c r="BF1280" s="89"/>
      <c r="BG1280" s="89"/>
      <c r="BH1280" s="89"/>
      <c r="BI1280" s="89"/>
      <c r="BJ1280" s="89"/>
      <c r="BK1280" s="89"/>
      <c r="BL1280" s="89"/>
      <c r="BM1280" s="89"/>
      <c r="BN1280" s="89"/>
      <c r="BO1280" s="89"/>
      <c r="BP1280" s="89"/>
    </row>
    <row r="1281" spans="1:68" s="56" customFormat="1" ht="27" hidden="1">
      <c r="A1281" s="204">
        <f>+IFERROR(VALUE(MID(AB1281,4,4)),"")</f>
        <v>295</v>
      </c>
      <c r="B1281" s="204">
        <f>VALUE(RIGHT(C1281,LEN(C1281)-2))</f>
        <v>1443</v>
      </c>
      <c r="C1281" s="74" t="s">
        <v>4860</v>
      </c>
      <c r="D1281" s="75">
        <v>44580</v>
      </c>
      <c r="E1281" s="70" t="s">
        <v>479</v>
      </c>
      <c r="F1281" s="70" t="s">
        <v>479</v>
      </c>
      <c r="G1281" s="68"/>
      <c r="H1281" s="59"/>
      <c r="I1281" s="69" t="s">
        <v>4861</v>
      </c>
      <c r="J1281" s="69"/>
      <c r="K1281" s="95" t="s">
        <v>18</v>
      </c>
      <c r="L1281" s="69" t="s">
        <v>120</v>
      </c>
      <c r="M1281" s="71" t="s">
        <v>113</v>
      </c>
      <c r="N1281" s="69" t="e" vm="2">
        <v>#VALUE!</v>
      </c>
      <c r="O1281" s="84">
        <v>44586</v>
      </c>
      <c r="P1281" s="82" t="s">
        <v>483</v>
      </c>
      <c r="Q1281" s="82" t="s">
        <v>837</v>
      </c>
      <c r="R1281" s="69"/>
      <c r="S1281" s="146" t="s">
        <v>4847</v>
      </c>
      <c r="T1281" s="68" t="s">
        <v>3</v>
      </c>
      <c r="U1281" s="87"/>
      <c r="V1281" s="80">
        <v>44661</v>
      </c>
      <c r="W1281" s="73">
        <v>5437</v>
      </c>
      <c r="X1281" s="73">
        <v>176</v>
      </c>
      <c r="Y1281" s="83">
        <f>IF(SUM(W1281:W1281)&gt;0,X1281/SUM(W1281:W1281)*1000000,"N/A")</f>
        <v>32370.792716571639</v>
      </c>
      <c r="Z1281" s="80"/>
      <c r="AA1281" s="80"/>
      <c r="AB1281" s="73" t="s">
        <v>4862</v>
      </c>
      <c r="AC1281" s="153"/>
      <c r="AD1281" s="331"/>
      <c r="AE1281" s="57"/>
      <c r="AF1281" s="88"/>
      <c r="AG1281" s="182">
        <f>YEAR(V1281)</f>
        <v>2022</v>
      </c>
      <c r="AH1281" s="86" t="str">
        <f>+IF(AE1281=$AJ$22,MONTH(T1281),"")</f>
        <v/>
      </c>
      <c r="AI1281" s="86" t="str">
        <f>+IF(AF1281=$AJ$22,MONTH(U1281),"")</f>
        <v/>
      </c>
      <c r="AJ1281" s="86" t="str">
        <f>+IF(AG1281=$AJ$22,MONTH(V1281),"")</f>
        <v/>
      </c>
      <c r="AK1281" s="86" t="str">
        <f>+IF(AG1281=$AK$22,MONTH(V1281),"")</f>
        <v/>
      </c>
      <c r="AL1281" s="86">
        <f>+IF(AG1281=$AL$22,MONTH(V1281),"")</f>
        <v>4</v>
      </c>
      <c r="AM1281" s="86" t="str">
        <f>+IF($AG1281=$AM$22,MONTH($D1281),"")</f>
        <v/>
      </c>
      <c r="AN1281" s="89" t="str">
        <f>+IF($AG1281=AN$22,MONTH($D1281),"")</f>
        <v/>
      </c>
      <c r="AO1281" s="89" t="str">
        <f>+IF($AG1281=AO$22,MONTH($D1281),"")</f>
        <v/>
      </c>
      <c r="AP1281" s="89" t="str">
        <f>+IF($AG1281=AP$22,MONTH($D1281),"")</f>
        <v/>
      </c>
      <c r="AQ1281" s="89" t="str">
        <f>+IF($AG1281=AQ$22,MONTH($D1281),"")</f>
        <v/>
      </c>
      <c r="AR1281" s="89" t="str">
        <f>+IF($AG1281=AR$22,MONTH($D1281),"")</f>
        <v/>
      </c>
      <c r="AS1281" s="89" t="str">
        <f>+IF($AG1281=AS$22,MONTH($D1281),"")</f>
        <v/>
      </c>
      <c r="AT1281" s="89" t="str">
        <f>+IF($AG1281=AT$22,MONTH($D1281),"")</f>
        <v/>
      </c>
      <c r="AU1281" s="89" t="str">
        <f>+IF($AG1281=AU$22,MONTH($D1281),"")</f>
        <v/>
      </c>
      <c r="AV1281" s="89" t="str">
        <f>+IF($AG1281=AV$22,MONTH($D1281),"")</f>
        <v/>
      </c>
      <c r="AW1281" s="86" t="str">
        <f>+IF($AG1281=AW$22,MONTH($D1281),"")</f>
        <v/>
      </c>
      <c r="AX1281" s="86" t="str">
        <f>+IF($AG1281=AX$22,MONTH($D1281),"")</f>
        <v/>
      </c>
      <c r="AY1281" s="89"/>
      <c r="AZ1281" s="89"/>
      <c r="BA1281" s="89"/>
      <c r="BB1281" s="89"/>
      <c r="BC1281" s="89"/>
      <c r="BD1281" s="89"/>
      <c r="BE1281" s="89"/>
      <c r="BF1281" s="89"/>
      <c r="BG1281" s="89"/>
      <c r="BH1281" s="89"/>
      <c r="BI1281" s="89"/>
      <c r="BJ1281" s="89"/>
      <c r="BK1281" s="89"/>
      <c r="BL1281" s="89"/>
      <c r="BM1281" s="89"/>
      <c r="BN1281" s="89"/>
      <c r="BO1281" s="89"/>
      <c r="BP1281" s="89"/>
    </row>
    <row r="1282" spans="1:68" s="56" customFormat="1" ht="108" hidden="1">
      <c r="A1282" s="204" t="str">
        <f>+IFERROR(VALUE(MID(AB1282,4,4)),"")</f>
        <v/>
      </c>
      <c r="B1282" s="204">
        <f>VALUE(RIGHT(C1282,LEN(C1282)-2))</f>
        <v>1442</v>
      </c>
      <c r="C1282" s="74" t="s">
        <v>4863</v>
      </c>
      <c r="D1282" s="75">
        <v>44571</v>
      </c>
      <c r="E1282" s="70" t="s">
        <v>53</v>
      </c>
      <c r="F1282" s="70" t="s">
        <v>313</v>
      </c>
      <c r="G1282" s="68"/>
      <c r="H1282" s="59"/>
      <c r="I1282" s="69" t="s">
        <v>4208</v>
      </c>
      <c r="J1282" s="69"/>
      <c r="K1282" s="68" t="s">
        <v>212</v>
      </c>
      <c r="L1282" s="69" t="s">
        <v>123</v>
      </c>
      <c r="M1282" s="71" t="s">
        <v>141</v>
      </c>
      <c r="N1282" s="69" t="e" vm="1">
        <v>#VALUE!</v>
      </c>
      <c r="O1282" s="84">
        <v>44634</v>
      </c>
      <c r="P1282" s="72" t="s">
        <v>228</v>
      </c>
      <c r="Q1282" s="72" t="s">
        <v>405</v>
      </c>
      <c r="R1282" s="162"/>
      <c r="S1282" s="146" t="s">
        <v>4864</v>
      </c>
      <c r="T1282" s="68" t="s">
        <v>155</v>
      </c>
      <c r="U1282" s="87"/>
      <c r="V1282" s="80">
        <v>44579</v>
      </c>
      <c r="W1282" s="73"/>
      <c r="X1282" s="73"/>
      <c r="Y1282" s="83" t="str">
        <f>IF(SUM(W1282:W1282)&gt;0,X1282/SUM(W1282:W1282)*1000000,"N/A")</f>
        <v>N/A</v>
      </c>
      <c r="Z1282" s="80"/>
      <c r="AA1282" s="80"/>
      <c r="AB1282" s="73"/>
      <c r="AC1282" s="153"/>
      <c r="AD1282" s="331"/>
      <c r="AE1282" s="57"/>
      <c r="AF1282" s="88"/>
      <c r="AG1282" s="182">
        <f>YEAR(D1282)</f>
        <v>2022</v>
      </c>
      <c r="AH1282" s="86" t="str">
        <f>+IF(AE1282=$AJ$22,MONTH(T1282),"")</f>
        <v/>
      </c>
      <c r="AI1282" s="86" t="str">
        <f>+IF(AF1282=$AJ$22,MONTH(U1282),"")</f>
        <v/>
      </c>
      <c r="AJ1282" s="86" t="str">
        <f>+IF(AG1282=$AJ$22,MONTH(V1282),"")</f>
        <v/>
      </c>
      <c r="AK1282" s="86" t="str">
        <f>+IF(AG1282=$AK$22,MONTH(V1282),"")</f>
        <v/>
      </c>
      <c r="AL1282" s="86">
        <f>+IF(AG1282=$AL$22,MONTH(V1282),"")</f>
        <v>1</v>
      </c>
      <c r="AM1282" s="86" t="str">
        <f>+IF($AG1282=$AM$22,MONTH($D1282),"")</f>
        <v/>
      </c>
      <c r="AN1282" s="89" t="str">
        <f>+IF($AG1282=AN$22,MONTH($D1282),"")</f>
        <v/>
      </c>
      <c r="AO1282" s="89" t="str">
        <f>+IF($AG1282=AO$22,MONTH($D1282),"")</f>
        <v/>
      </c>
      <c r="AP1282" s="89" t="str">
        <f>+IF($AG1282=AP$22,MONTH($D1282),"")</f>
        <v/>
      </c>
      <c r="AQ1282" s="89" t="str">
        <f>+IF($AG1282=AQ$22,MONTH($D1282),"")</f>
        <v/>
      </c>
      <c r="AR1282" s="89" t="str">
        <f>+IF($AG1282=AR$22,MONTH($D1282),"")</f>
        <v/>
      </c>
      <c r="AS1282" s="89" t="str">
        <f>+IF($AG1282=AS$22,MONTH($D1282),"")</f>
        <v/>
      </c>
      <c r="AT1282" s="89" t="str">
        <f>+IF($AG1282=AT$22,MONTH($D1282),"")</f>
        <v/>
      </c>
      <c r="AU1282" s="89" t="str">
        <f>+IF($AG1282=AU$22,MONTH($D1282),"")</f>
        <v/>
      </c>
      <c r="AV1282" s="89" t="str">
        <f>+IF($AG1282=AV$22,MONTH($D1282),"")</f>
        <v/>
      </c>
      <c r="AW1282" s="86" t="str">
        <f>+IF($AG1282=AW$22,MONTH($D1282),"")</f>
        <v/>
      </c>
      <c r="AX1282" s="86" t="str">
        <f>+IF($AG1282=AX$22,MONTH($D1282),"")</f>
        <v/>
      </c>
      <c r="AY1282" s="89"/>
      <c r="AZ1282" s="89"/>
      <c r="BA1282" s="89"/>
      <c r="BB1282" s="89"/>
      <c r="BC1282" s="89"/>
      <c r="BD1282" s="89"/>
      <c r="BE1282" s="89"/>
      <c r="BF1282" s="89"/>
      <c r="BG1282" s="89"/>
      <c r="BH1282" s="89"/>
      <c r="BI1282" s="89"/>
      <c r="BJ1282" s="89"/>
      <c r="BK1282" s="89"/>
      <c r="BL1282" s="89"/>
      <c r="BM1282" s="89"/>
      <c r="BN1282" s="89"/>
      <c r="BO1282" s="89"/>
      <c r="BP1282" s="89"/>
    </row>
    <row r="1283" spans="1:68" s="56" customFormat="1" ht="67.5" hidden="1">
      <c r="A1283" s="204">
        <f>+IFERROR(VALUE(MID(AB1283,4,4)),"")</f>
        <v>256</v>
      </c>
      <c r="B1283" s="204">
        <f>VALUE(RIGHT(C1283,LEN(C1283)-2))</f>
        <v>1441</v>
      </c>
      <c r="C1283" s="74" t="s">
        <v>4865</v>
      </c>
      <c r="D1283" s="75">
        <v>44571</v>
      </c>
      <c r="E1283" s="70" t="s">
        <v>255</v>
      </c>
      <c r="F1283" s="70" t="s">
        <v>255</v>
      </c>
      <c r="G1283" s="68" t="s">
        <v>1389</v>
      </c>
      <c r="H1283" s="59" t="s">
        <v>4866</v>
      </c>
      <c r="I1283" s="69" t="s">
        <v>4867</v>
      </c>
      <c r="J1283" s="69"/>
      <c r="K1283" s="68" t="s">
        <v>275</v>
      </c>
      <c r="L1283" s="69" t="s">
        <v>120</v>
      </c>
      <c r="M1283" s="71" t="s">
        <v>141</v>
      </c>
      <c r="N1283" s="69" t="e" vm="1">
        <v>#VALUE!</v>
      </c>
      <c r="O1283" s="84">
        <v>44581</v>
      </c>
      <c r="P1283" s="72" t="s">
        <v>4173</v>
      </c>
      <c r="Q1283" s="72" t="s">
        <v>316</v>
      </c>
      <c r="R1283" s="162"/>
      <c r="S1283" s="146" t="s">
        <v>4868</v>
      </c>
      <c r="T1283" s="68" t="s">
        <v>3</v>
      </c>
      <c r="U1283" s="87"/>
      <c r="V1283" s="80">
        <v>44586</v>
      </c>
      <c r="W1283" s="73">
        <v>1300</v>
      </c>
      <c r="X1283" s="73">
        <f>1924*31100/1000000</f>
        <v>59.836399999999998</v>
      </c>
      <c r="Y1283" s="83">
        <f>IF(SUM(W1283:W1283)&gt;0,X1283/SUM(W1283:W1283)*1000000,"N/A")</f>
        <v>46028</v>
      </c>
      <c r="Z1283" s="80"/>
      <c r="AA1283" s="80"/>
      <c r="AB1283" s="73" t="s">
        <v>4869</v>
      </c>
      <c r="AC1283" s="153"/>
      <c r="AD1283" s="331"/>
      <c r="AE1283" s="57"/>
      <c r="AF1283" s="88"/>
      <c r="AG1283" s="182">
        <f>YEAR(V1283)</f>
        <v>2022</v>
      </c>
      <c r="AH1283" s="86" t="str">
        <f>+IF(AE1283=$AJ$22,MONTH(T1283),"")</f>
        <v/>
      </c>
      <c r="AI1283" s="86" t="str">
        <f>+IF(AF1283=$AJ$22,MONTH(U1283),"")</f>
        <v/>
      </c>
      <c r="AJ1283" s="86" t="str">
        <f>+IF(AG1283=$AJ$22,MONTH(V1283),"")</f>
        <v/>
      </c>
      <c r="AK1283" s="86" t="str">
        <f>+IF(AG1283=$AK$22,MONTH(V1283),"")</f>
        <v/>
      </c>
      <c r="AL1283" s="86">
        <f>+IF(AG1283=$AL$22,MONTH(V1283),"")</f>
        <v>1</v>
      </c>
      <c r="AM1283" s="86" t="str">
        <f>+IF($AG1283=$AM$22,MONTH($D1283),"")</f>
        <v/>
      </c>
      <c r="AN1283" s="89" t="str">
        <f>+IF($AG1283=AN$22,MONTH($D1283),"")</f>
        <v/>
      </c>
      <c r="AO1283" s="89" t="str">
        <f>+IF($AG1283=AO$22,MONTH($D1283),"")</f>
        <v/>
      </c>
      <c r="AP1283" s="89" t="str">
        <f>+IF($AG1283=AP$22,MONTH($D1283),"")</f>
        <v/>
      </c>
      <c r="AQ1283" s="89" t="str">
        <f>+IF($AG1283=AQ$22,MONTH($D1283),"")</f>
        <v/>
      </c>
      <c r="AR1283" s="89" t="str">
        <f>+IF($AG1283=AR$22,MONTH($D1283),"")</f>
        <v/>
      </c>
      <c r="AS1283" s="89" t="str">
        <f>+IF($AG1283=AS$22,MONTH($D1283),"")</f>
        <v/>
      </c>
      <c r="AT1283" s="89" t="str">
        <f>+IF($AG1283=AT$22,MONTH($D1283),"")</f>
        <v/>
      </c>
      <c r="AU1283" s="89" t="str">
        <f>+IF($AG1283=AU$22,MONTH($D1283),"")</f>
        <v/>
      </c>
      <c r="AV1283" s="89" t="str">
        <f>+IF($AG1283=AV$22,MONTH($D1283),"")</f>
        <v/>
      </c>
      <c r="AW1283" s="86" t="str">
        <f>+IF($AG1283=AW$22,MONTH($D1283),"")</f>
        <v/>
      </c>
      <c r="AX1283" s="86" t="str">
        <f>+IF($AG1283=AX$22,MONTH($D1283),"")</f>
        <v/>
      </c>
      <c r="AY1283" s="89"/>
      <c r="AZ1283" s="89"/>
      <c r="BA1283" s="89"/>
      <c r="BB1283" s="89"/>
      <c r="BC1283" s="89"/>
      <c r="BD1283" s="89"/>
      <c r="BE1283" s="89"/>
      <c r="BF1283" s="89"/>
      <c r="BG1283" s="89"/>
      <c r="BH1283" s="89"/>
      <c r="BI1283" s="89"/>
      <c r="BJ1283" s="89"/>
      <c r="BK1283" s="89"/>
      <c r="BL1283" s="89"/>
      <c r="BM1283" s="89"/>
      <c r="BN1283" s="89"/>
      <c r="BO1283" s="89"/>
      <c r="BP1283" s="89"/>
    </row>
    <row r="1284" spans="1:68" s="56" customFormat="1" ht="67.5" hidden="1">
      <c r="A1284" s="204" t="str">
        <f>+IFERROR(VALUE(MID(AB1284,4,4)),"")</f>
        <v/>
      </c>
      <c r="B1284" s="204">
        <f>VALUE(RIGHT(C1284,LEN(C1284)-2))</f>
        <v>1440</v>
      </c>
      <c r="C1284" s="74" t="s">
        <v>4870</v>
      </c>
      <c r="D1284" s="75">
        <v>44573</v>
      </c>
      <c r="E1284" s="70" t="s">
        <v>332</v>
      </c>
      <c r="F1284" s="70" t="s">
        <v>332</v>
      </c>
      <c r="G1284" s="68" t="s">
        <v>3818</v>
      </c>
      <c r="H1284" s="59" t="s">
        <v>3878</v>
      </c>
      <c r="I1284" s="69" t="s">
        <v>4871</v>
      </c>
      <c r="J1284" s="69"/>
      <c r="K1284" s="95" t="s">
        <v>13</v>
      </c>
      <c r="L1284" s="69" t="s">
        <v>129</v>
      </c>
      <c r="M1284" s="71" t="s">
        <v>141</v>
      </c>
      <c r="N1284" s="69" t="e" vm="1">
        <v>#VALUE!</v>
      </c>
      <c r="O1284" s="84">
        <v>44575</v>
      </c>
      <c r="P1284" s="82" t="s">
        <v>285</v>
      </c>
      <c r="Q1284" s="82" t="s">
        <v>259</v>
      </c>
      <c r="R1284" s="69"/>
      <c r="S1284" s="146" t="s">
        <v>4872</v>
      </c>
      <c r="T1284" s="68" t="s">
        <v>165</v>
      </c>
      <c r="U1284" s="87"/>
      <c r="V1284" s="80">
        <v>44575</v>
      </c>
      <c r="W1284" s="73">
        <v>970</v>
      </c>
      <c r="X1284" s="73">
        <f>1033*31120/1000000</f>
        <v>32.14696</v>
      </c>
      <c r="Y1284" s="83">
        <f>IF(SUM(W1284:W1284)&gt;0,X1284/SUM(W1284:W1284)*1000000,"N/A")</f>
        <v>33141.195876288657</v>
      </c>
      <c r="Z1284" s="80"/>
      <c r="AA1284" s="80"/>
      <c r="AB1284" s="73"/>
      <c r="AC1284" s="153"/>
      <c r="AD1284" s="331"/>
      <c r="AE1284" s="57"/>
      <c r="AF1284" s="88"/>
      <c r="AG1284" s="182">
        <f>YEAR(D1284)</f>
        <v>2022</v>
      </c>
      <c r="AH1284" s="86" t="str">
        <f>+IF(AE1284=$AJ$22,MONTH(T1284),"")</f>
        <v/>
      </c>
      <c r="AI1284" s="86" t="str">
        <f>+IF(AF1284=$AJ$22,MONTH(U1284),"")</f>
        <v/>
      </c>
      <c r="AJ1284" s="86" t="str">
        <f>+IF(AG1284=$AJ$22,MONTH(V1284),"")</f>
        <v/>
      </c>
      <c r="AK1284" s="86" t="str">
        <f>+IF(AG1284=$AK$22,MONTH(V1284),"")</f>
        <v/>
      </c>
      <c r="AL1284" s="86">
        <f>+IF(AG1284=$AL$22,MONTH(V1284),"")</f>
        <v>1</v>
      </c>
      <c r="AM1284" s="86" t="str">
        <f>+IF($AG1284=$AM$22,MONTH($D1284),"")</f>
        <v/>
      </c>
      <c r="AN1284" s="89" t="str">
        <f>+IF($AG1284=AN$22,MONTH($D1284),"")</f>
        <v/>
      </c>
      <c r="AO1284" s="89" t="str">
        <f>+IF($AG1284=AO$22,MONTH($D1284),"")</f>
        <v/>
      </c>
      <c r="AP1284" s="89" t="str">
        <f>+IF($AG1284=AP$22,MONTH($D1284),"")</f>
        <v/>
      </c>
      <c r="AQ1284" s="89" t="str">
        <f>+IF($AG1284=AQ$22,MONTH($D1284),"")</f>
        <v/>
      </c>
      <c r="AR1284" s="89" t="str">
        <f>+IF($AG1284=AR$22,MONTH($D1284),"")</f>
        <v/>
      </c>
      <c r="AS1284" s="89" t="str">
        <f>+IF($AG1284=AS$22,MONTH($D1284),"")</f>
        <v/>
      </c>
      <c r="AT1284" s="89" t="str">
        <f>+IF($AG1284=AT$22,MONTH($D1284),"")</f>
        <v/>
      </c>
      <c r="AU1284" s="89" t="str">
        <f>+IF($AG1284=AU$22,MONTH($D1284),"")</f>
        <v/>
      </c>
      <c r="AV1284" s="89" t="str">
        <f>+IF($AG1284=AV$22,MONTH($D1284),"")</f>
        <v/>
      </c>
      <c r="AW1284" s="86" t="str">
        <f>+IF($AG1284=AW$22,MONTH($D1284),"")</f>
        <v/>
      </c>
      <c r="AX1284" s="86" t="str">
        <f>+IF($AG1284=AX$22,MONTH($D1284),"")</f>
        <v/>
      </c>
      <c r="AY1284" s="89"/>
      <c r="AZ1284" s="89"/>
      <c r="BA1284" s="89"/>
      <c r="BB1284" s="89"/>
      <c r="BC1284" s="89"/>
      <c r="BD1284" s="89"/>
      <c r="BE1284" s="89"/>
      <c r="BF1284" s="89"/>
      <c r="BG1284" s="89"/>
      <c r="BH1284" s="89"/>
      <c r="BI1284" s="89"/>
      <c r="BJ1284" s="89"/>
      <c r="BK1284" s="89"/>
      <c r="BL1284" s="89"/>
      <c r="BM1284" s="89"/>
      <c r="BN1284" s="89"/>
      <c r="BO1284" s="89"/>
      <c r="BP1284" s="89"/>
    </row>
    <row r="1285" spans="1:68" s="56" customFormat="1" ht="27" hidden="1">
      <c r="A1285" s="204" t="str">
        <f>+IFERROR(VALUE(MID(AB1285,4,4)),"")</f>
        <v/>
      </c>
      <c r="B1285" s="204">
        <f>VALUE(RIGHT(C1285,LEN(C1285)-2))</f>
        <v>1439</v>
      </c>
      <c r="C1285" s="74" t="s">
        <v>4873</v>
      </c>
      <c r="D1285" s="75">
        <v>44566</v>
      </c>
      <c r="E1285" s="70" t="s">
        <v>53</v>
      </c>
      <c r="F1285" s="70" t="s">
        <v>252</v>
      </c>
      <c r="G1285" s="68" t="s">
        <v>4716</v>
      </c>
      <c r="H1285" s="59" t="s">
        <v>4717</v>
      </c>
      <c r="I1285" s="69" t="s">
        <v>4874</v>
      </c>
      <c r="J1285" s="69"/>
      <c r="K1285" s="95" t="s">
        <v>12</v>
      </c>
      <c r="L1285" s="69" t="s">
        <v>120</v>
      </c>
      <c r="M1285" s="71" t="s">
        <v>141</v>
      </c>
      <c r="N1285" s="69" t="e" vm="1">
        <v>#VALUE!</v>
      </c>
      <c r="O1285" s="84">
        <v>44574</v>
      </c>
      <c r="P1285" s="82" t="s">
        <v>274</v>
      </c>
      <c r="Q1285" s="82" t="s">
        <v>837</v>
      </c>
      <c r="R1285" s="69"/>
      <c r="S1285" s="146" t="s">
        <v>4875</v>
      </c>
      <c r="T1285" s="68" t="s">
        <v>155</v>
      </c>
      <c r="U1285" s="87"/>
      <c r="V1285" s="80">
        <v>44580</v>
      </c>
      <c r="W1285" s="73"/>
      <c r="X1285" s="73"/>
      <c r="Y1285" s="83" t="str">
        <f>IF(SUM(W1285:W1285)&gt;0,X1285/SUM(W1285:W1285)*1000000,"N/A")</f>
        <v>N/A</v>
      </c>
      <c r="Z1285" s="80"/>
      <c r="AA1285" s="80"/>
      <c r="AB1285" s="73"/>
      <c r="AC1285" s="153"/>
      <c r="AD1285" s="331"/>
      <c r="AE1285" s="57"/>
      <c r="AF1285" s="88"/>
      <c r="AG1285" s="182">
        <f>YEAR(D1285)</f>
        <v>2022</v>
      </c>
      <c r="AH1285" s="86" t="str">
        <f>+IF(AE1285=$AJ$22,MONTH(T1285),"")</f>
        <v/>
      </c>
      <c r="AI1285" s="86" t="str">
        <f>+IF(AF1285=$AJ$22,MONTH(U1285),"")</f>
        <v/>
      </c>
      <c r="AJ1285" s="86" t="str">
        <f>+IF(AG1285=$AJ$22,MONTH(V1285),"")</f>
        <v/>
      </c>
      <c r="AK1285" s="86" t="str">
        <f>+IF(AG1285=$AK$22,MONTH(V1285),"")</f>
        <v/>
      </c>
      <c r="AL1285" s="86">
        <f>+IF(AG1285=$AL$22,MONTH(V1285),"")</f>
        <v>1</v>
      </c>
      <c r="AM1285" s="86" t="str">
        <f>+IF($AG1285=$AM$22,MONTH($D1285),"")</f>
        <v/>
      </c>
      <c r="AN1285" s="89" t="str">
        <f>+IF($AG1285=AN$22,MONTH($D1285),"")</f>
        <v/>
      </c>
      <c r="AO1285" s="89" t="str">
        <f>+IF($AG1285=AO$22,MONTH($D1285),"")</f>
        <v/>
      </c>
      <c r="AP1285" s="89" t="str">
        <f>+IF($AG1285=AP$22,MONTH($D1285),"")</f>
        <v/>
      </c>
      <c r="AQ1285" s="89" t="str">
        <f>+IF($AG1285=AQ$22,MONTH($D1285),"")</f>
        <v/>
      </c>
      <c r="AR1285" s="89" t="str">
        <f>+IF($AG1285=AR$22,MONTH($D1285),"")</f>
        <v/>
      </c>
      <c r="AS1285" s="89" t="str">
        <f>+IF($AG1285=AS$22,MONTH($D1285),"")</f>
        <v/>
      </c>
      <c r="AT1285" s="89" t="str">
        <f>+IF($AG1285=AT$22,MONTH($D1285),"")</f>
        <v/>
      </c>
      <c r="AU1285" s="89" t="str">
        <f>+IF($AG1285=AU$22,MONTH($D1285),"")</f>
        <v/>
      </c>
      <c r="AV1285" s="89" t="str">
        <f>+IF($AG1285=AV$22,MONTH($D1285),"")</f>
        <v/>
      </c>
      <c r="AW1285" s="86" t="str">
        <f>+IF($AG1285=AW$22,MONTH($D1285),"")</f>
        <v/>
      </c>
      <c r="AX1285" s="86" t="str">
        <f>+IF($AG1285=AX$22,MONTH($D1285),"")</f>
        <v/>
      </c>
      <c r="AY1285" s="89"/>
      <c r="AZ1285" s="89"/>
      <c r="BA1285" s="89"/>
      <c r="BB1285" s="89"/>
      <c r="BC1285" s="89"/>
      <c r="BD1285" s="89"/>
      <c r="BE1285" s="89"/>
      <c r="BF1285" s="89"/>
      <c r="BG1285" s="89"/>
      <c r="BH1285" s="89"/>
      <c r="BI1285" s="89"/>
      <c r="BJ1285" s="89"/>
      <c r="BK1285" s="89"/>
      <c r="BL1285" s="89"/>
      <c r="BM1285" s="89"/>
      <c r="BN1285" s="89"/>
      <c r="BO1285" s="89"/>
      <c r="BP1285" s="89"/>
    </row>
    <row r="1286" spans="1:68" s="56" customFormat="1" ht="36.75" hidden="1" customHeight="1">
      <c r="A1286" s="204" t="str">
        <f>+IFERROR(VALUE(MID(AB1286,4,4)),"")</f>
        <v/>
      </c>
      <c r="B1286" s="204">
        <f>VALUE(RIGHT(C1286,LEN(C1286)-2))</f>
        <v>1438</v>
      </c>
      <c r="C1286" s="74" t="s">
        <v>4876</v>
      </c>
      <c r="D1286" s="75">
        <v>44566</v>
      </c>
      <c r="E1286" s="70" t="s">
        <v>53</v>
      </c>
      <c r="F1286" s="70" t="s">
        <v>252</v>
      </c>
      <c r="G1286" s="68" t="s">
        <v>4716</v>
      </c>
      <c r="H1286" s="59" t="s">
        <v>4717</v>
      </c>
      <c r="I1286" s="69" t="s">
        <v>4877</v>
      </c>
      <c r="J1286" s="69"/>
      <c r="K1286" s="95" t="s">
        <v>13</v>
      </c>
      <c r="L1286" s="69" t="s">
        <v>120</v>
      </c>
      <c r="M1286" s="71" t="s">
        <v>141</v>
      </c>
      <c r="N1286" s="69" t="e" vm="1">
        <v>#VALUE!</v>
      </c>
      <c r="O1286" s="84">
        <v>44574</v>
      </c>
      <c r="P1286" s="82" t="s">
        <v>274</v>
      </c>
      <c r="Q1286" s="82" t="s">
        <v>837</v>
      </c>
      <c r="R1286" s="69"/>
      <c r="S1286" s="146" t="s">
        <v>4875</v>
      </c>
      <c r="T1286" s="68" t="s">
        <v>155</v>
      </c>
      <c r="U1286" s="87"/>
      <c r="V1286" s="80">
        <v>44580</v>
      </c>
      <c r="W1286" s="73"/>
      <c r="X1286" s="73"/>
      <c r="Y1286" s="83" t="str">
        <f>IF(SUM(W1286:W1286)&gt;0,X1286/SUM(W1286:W1286)*1000000,"N/A")</f>
        <v>N/A</v>
      </c>
      <c r="Z1286" s="80"/>
      <c r="AA1286" s="80"/>
      <c r="AB1286" s="73"/>
      <c r="AC1286" s="153"/>
      <c r="AD1286" s="331"/>
      <c r="AE1286" s="57"/>
      <c r="AF1286" s="88"/>
      <c r="AG1286" s="182">
        <f>YEAR(D1286)</f>
        <v>2022</v>
      </c>
      <c r="AH1286" s="86" t="str">
        <f>+IF(AE1286=$AJ$22,MONTH(T1286),"")</f>
        <v/>
      </c>
      <c r="AI1286" s="86" t="str">
        <f>+IF(AF1286=$AJ$22,MONTH(U1286),"")</f>
        <v/>
      </c>
      <c r="AJ1286" s="86" t="str">
        <f>+IF(AG1286=$AJ$22,MONTH(V1286),"")</f>
        <v/>
      </c>
      <c r="AK1286" s="86" t="str">
        <f>+IF(AG1286=$AK$22,MONTH(V1286),"")</f>
        <v/>
      </c>
      <c r="AL1286" s="86">
        <f>+IF(AG1286=$AL$22,MONTH(V1286),"")</f>
        <v>1</v>
      </c>
      <c r="AM1286" s="86" t="str">
        <f>+IF($AG1286=$AM$22,MONTH($D1286),"")</f>
        <v/>
      </c>
      <c r="AN1286" s="89" t="str">
        <f>+IF($AG1286=AN$22,MONTH($D1286),"")</f>
        <v/>
      </c>
      <c r="AO1286" s="89" t="str">
        <f>+IF($AG1286=AO$22,MONTH($D1286),"")</f>
        <v/>
      </c>
      <c r="AP1286" s="89" t="str">
        <f>+IF($AG1286=AP$22,MONTH($D1286),"")</f>
        <v/>
      </c>
      <c r="AQ1286" s="89" t="str">
        <f>+IF($AG1286=AQ$22,MONTH($D1286),"")</f>
        <v/>
      </c>
      <c r="AR1286" s="89" t="str">
        <f>+IF($AG1286=AR$22,MONTH($D1286),"")</f>
        <v/>
      </c>
      <c r="AS1286" s="89" t="str">
        <f>+IF($AG1286=AS$22,MONTH($D1286),"")</f>
        <v/>
      </c>
      <c r="AT1286" s="89" t="str">
        <f>+IF($AG1286=AT$22,MONTH($D1286),"")</f>
        <v/>
      </c>
      <c r="AU1286" s="89" t="str">
        <f>+IF($AG1286=AU$22,MONTH($D1286),"")</f>
        <v/>
      </c>
      <c r="AV1286" s="89" t="str">
        <f>+IF($AG1286=AV$22,MONTH($D1286),"")</f>
        <v/>
      </c>
      <c r="AW1286" s="86" t="str">
        <f>+IF($AG1286=AW$22,MONTH($D1286),"")</f>
        <v/>
      </c>
      <c r="AX1286" s="86" t="str">
        <f>+IF($AG1286=AX$22,MONTH($D1286),"")</f>
        <v/>
      </c>
      <c r="AY1286" s="89"/>
      <c r="AZ1286" s="89"/>
      <c r="BA1286" s="89"/>
      <c r="BB1286" s="89"/>
      <c r="BC1286" s="89"/>
      <c r="BD1286" s="89"/>
      <c r="BE1286" s="89"/>
      <c r="BF1286" s="89"/>
      <c r="BG1286" s="89"/>
      <c r="BH1286" s="89"/>
      <c r="BI1286" s="89"/>
      <c r="BJ1286" s="89"/>
      <c r="BK1286" s="89"/>
      <c r="BL1286" s="89"/>
      <c r="BM1286" s="89"/>
      <c r="BN1286" s="89"/>
      <c r="BO1286" s="89"/>
      <c r="BP1286" s="89"/>
    </row>
    <row r="1287" spans="1:68" s="56" customFormat="1" ht="27" hidden="1">
      <c r="A1287" s="204" t="str">
        <f>+IFERROR(VALUE(MID(AB1287,4,4)),"")</f>
        <v/>
      </c>
      <c r="B1287" s="204">
        <f>VALUE(RIGHT(C1287,LEN(C1287)-2))</f>
        <v>1437</v>
      </c>
      <c r="C1287" s="74" t="s">
        <v>4878</v>
      </c>
      <c r="D1287" s="75">
        <v>44566</v>
      </c>
      <c r="E1287" s="70" t="s">
        <v>53</v>
      </c>
      <c r="F1287" s="70" t="s">
        <v>252</v>
      </c>
      <c r="G1287" s="68" t="s">
        <v>4716</v>
      </c>
      <c r="H1287" s="59" t="s">
        <v>4717</v>
      </c>
      <c r="I1287" s="69" t="s">
        <v>4879</v>
      </c>
      <c r="J1287" s="69"/>
      <c r="K1287" s="95" t="s">
        <v>12</v>
      </c>
      <c r="L1287" s="69" t="s">
        <v>120</v>
      </c>
      <c r="M1287" s="71" t="s">
        <v>141</v>
      </c>
      <c r="N1287" s="69" t="e" vm="1">
        <v>#VALUE!</v>
      </c>
      <c r="O1287" s="84">
        <v>44574</v>
      </c>
      <c r="P1287" s="82" t="s">
        <v>274</v>
      </c>
      <c r="Q1287" s="82" t="s">
        <v>837</v>
      </c>
      <c r="R1287" s="69"/>
      <c r="S1287" s="146" t="s">
        <v>4875</v>
      </c>
      <c r="T1287" s="68" t="s">
        <v>155</v>
      </c>
      <c r="U1287" s="87"/>
      <c r="V1287" s="80">
        <v>44580</v>
      </c>
      <c r="W1287" s="73"/>
      <c r="X1287" s="73"/>
      <c r="Y1287" s="83" t="str">
        <f>IF(SUM(W1287:W1287)&gt;0,X1287/SUM(W1287:W1287)*1000000,"N/A")</f>
        <v>N/A</v>
      </c>
      <c r="Z1287" s="80"/>
      <c r="AA1287" s="80"/>
      <c r="AB1287" s="73"/>
      <c r="AC1287" s="153"/>
      <c r="AD1287" s="331"/>
      <c r="AE1287" s="57"/>
      <c r="AF1287" s="88"/>
      <c r="AG1287" s="182">
        <f>YEAR(D1287)</f>
        <v>2022</v>
      </c>
      <c r="AH1287" s="86" t="str">
        <f>+IF(AE1287=$AJ$22,MONTH(T1287),"")</f>
        <v/>
      </c>
      <c r="AI1287" s="86" t="str">
        <f>+IF(AF1287=$AJ$22,MONTH(U1287),"")</f>
        <v/>
      </c>
      <c r="AJ1287" s="86" t="str">
        <f>+IF(AG1287=$AJ$22,MONTH(V1287),"")</f>
        <v/>
      </c>
      <c r="AK1287" s="86" t="str">
        <f>+IF(AG1287=$AK$22,MONTH(V1287),"")</f>
        <v/>
      </c>
      <c r="AL1287" s="86">
        <f>+IF(AG1287=$AL$22,MONTH(V1287),"")</f>
        <v>1</v>
      </c>
      <c r="AM1287" s="86" t="str">
        <f>+IF($AG1287=$AM$22,MONTH($D1287),"")</f>
        <v/>
      </c>
      <c r="AN1287" s="89" t="str">
        <f>+IF($AG1287=AN$22,MONTH($D1287),"")</f>
        <v/>
      </c>
      <c r="AO1287" s="89" t="str">
        <f>+IF($AG1287=AO$22,MONTH($D1287),"")</f>
        <v/>
      </c>
      <c r="AP1287" s="89" t="str">
        <f>+IF($AG1287=AP$22,MONTH($D1287),"")</f>
        <v/>
      </c>
      <c r="AQ1287" s="89" t="str">
        <f>+IF($AG1287=AQ$22,MONTH($D1287),"")</f>
        <v/>
      </c>
      <c r="AR1287" s="89" t="str">
        <f>+IF($AG1287=AR$22,MONTH($D1287),"")</f>
        <v/>
      </c>
      <c r="AS1287" s="89" t="str">
        <f>+IF($AG1287=AS$22,MONTH($D1287),"")</f>
        <v/>
      </c>
      <c r="AT1287" s="89" t="str">
        <f>+IF($AG1287=AT$22,MONTH($D1287),"")</f>
        <v/>
      </c>
      <c r="AU1287" s="89" t="str">
        <f>+IF($AG1287=AU$22,MONTH($D1287),"")</f>
        <v/>
      </c>
      <c r="AV1287" s="89" t="str">
        <f>+IF($AG1287=AV$22,MONTH($D1287),"")</f>
        <v/>
      </c>
      <c r="AW1287" s="86" t="str">
        <f>+IF($AG1287=AW$22,MONTH($D1287),"")</f>
        <v/>
      </c>
      <c r="AX1287" s="86" t="str">
        <f>+IF($AG1287=AX$22,MONTH($D1287),"")</f>
        <v/>
      </c>
      <c r="AY1287" s="89"/>
      <c r="AZ1287" s="89"/>
      <c r="BA1287" s="89"/>
      <c r="BB1287" s="89"/>
      <c r="BC1287" s="89"/>
      <c r="BD1287" s="89"/>
      <c r="BE1287" s="89"/>
      <c r="BF1287" s="89"/>
      <c r="BG1287" s="89"/>
      <c r="BH1287" s="89"/>
      <c r="BI1287" s="89"/>
      <c r="BJ1287" s="89"/>
      <c r="BK1287" s="89"/>
      <c r="BL1287" s="89"/>
      <c r="BM1287" s="89"/>
      <c r="BN1287" s="89"/>
      <c r="BO1287" s="89"/>
      <c r="BP1287" s="89"/>
    </row>
    <row r="1288" spans="1:68" s="56" customFormat="1" ht="121.5" hidden="1">
      <c r="A1288" s="204" t="str">
        <f>+IFERROR(VALUE(MID(AB1288,4,4)),"")</f>
        <v/>
      </c>
      <c r="B1288" s="204">
        <f>VALUE(RIGHT(C1288,LEN(C1288)-2))</f>
        <v>1436</v>
      </c>
      <c r="C1288" s="74" t="s">
        <v>4880</v>
      </c>
      <c r="D1288" s="75">
        <v>44568</v>
      </c>
      <c r="E1288" s="70" t="s">
        <v>97</v>
      </c>
      <c r="F1288" s="70" t="s">
        <v>4881</v>
      </c>
      <c r="G1288" s="68" t="s">
        <v>4175</v>
      </c>
      <c r="H1288" s="59" t="s">
        <v>4176</v>
      </c>
      <c r="I1288" s="69" t="s">
        <v>4882</v>
      </c>
      <c r="J1288" s="69"/>
      <c r="K1288" s="95" t="s">
        <v>4883</v>
      </c>
      <c r="L1288" s="69" t="s">
        <v>123</v>
      </c>
      <c r="M1288" s="71" t="s">
        <v>141</v>
      </c>
      <c r="N1288" s="69" t="e" vm="1">
        <v>#VALUE!</v>
      </c>
      <c r="O1288" s="84">
        <v>44576</v>
      </c>
      <c r="P1288" s="82" t="s">
        <v>402</v>
      </c>
      <c r="Q1288" s="82" t="s">
        <v>229</v>
      </c>
      <c r="R1288" s="69"/>
      <c r="S1288" s="146" t="s">
        <v>4884</v>
      </c>
      <c r="T1288" s="68" t="s">
        <v>155</v>
      </c>
      <c r="U1288" s="87"/>
      <c r="V1288" s="80">
        <v>44571</v>
      </c>
      <c r="W1288" s="73"/>
      <c r="X1288" s="73"/>
      <c r="Y1288" s="83" t="str">
        <f>IF(SUM(W1288:W1288)&gt;0,X1288/SUM(W1288:W1288)*1000000,"N/A")</f>
        <v>N/A</v>
      </c>
      <c r="Z1288" s="80"/>
      <c r="AA1288" s="80"/>
      <c r="AB1288" s="73"/>
      <c r="AC1288" s="153"/>
      <c r="AD1288" s="331"/>
      <c r="AE1288" s="57"/>
      <c r="AF1288" s="88"/>
      <c r="AG1288" s="182">
        <f>YEAR(D1288)</f>
        <v>2022</v>
      </c>
      <c r="AH1288" s="86" t="str">
        <f>+IF(AE1288=$AJ$22,MONTH(T1288),"")</f>
        <v/>
      </c>
      <c r="AI1288" s="86" t="str">
        <f>+IF(AF1288=$AJ$22,MONTH(U1288),"")</f>
        <v/>
      </c>
      <c r="AJ1288" s="86" t="str">
        <f>+IF(AG1288=$AJ$22,MONTH(V1288),"")</f>
        <v/>
      </c>
      <c r="AK1288" s="86" t="str">
        <f>+IF(AG1288=$AK$22,MONTH(V1288),"")</f>
        <v/>
      </c>
      <c r="AL1288" s="86">
        <f>+IF(AG1288=$AL$22,MONTH(V1288),"")</f>
        <v>1</v>
      </c>
      <c r="AM1288" s="86" t="str">
        <f>+IF($AG1288=$AM$22,MONTH($D1288),"")</f>
        <v/>
      </c>
      <c r="AN1288" s="89" t="str">
        <f>+IF($AG1288=AN$22,MONTH($D1288),"")</f>
        <v/>
      </c>
      <c r="AO1288" s="89" t="str">
        <f>+IF($AG1288=AO$22,MONTH($D1288),"")</f>
        <v/>
      </c>
      <c r="AP1288" s="89" t="str">
        <f>+IF($AG1288=AP$22,MONTH($D1288),"")</f>
        <v/>
      </c>
      <c r="AQ1288" s="89" t="str">
        <f>+IF($AG1288=AQ$22,MONTH($D1288),"")</f>
        <v/>
      </c>
      <c r="AR1288" s="89" t="str">
        <f>+IF($AG1288=AR$22,MONTH($D1288),"")</f>
        <v/>
      </c>
      <c r="AS1288" s="89" t="str">
        <f>+IF($AG1288=AS$22,MONTH($D1288),"")</f>
        <v/>
      </c>
      <c r="AT1288" s="89" t="str">
        <f>+IF($AG1288=AT$22,MONTH($D1288),"")</f>
        <v/>
      </c>
      <c r="AU1288" s="89" t="str">
        <f>+IF($AG1288=AU$22,MONTH($D1288),"")</f>
        <v/>
      </c>
      <c r="AV1288" s="89" t="str">
        <f>+IF($AG1288=AV$22,MONTH($D1288),"")</f>
        <v/>
      </c>
      <c r="AW1288" s="86" t="str">
        <f>+IF($AG1288=AW$22,MONTH($D1288),"")</f>
        <v/>
      </c>
      <c r="AX1288" s="86" t="str">
        <f>+IF($AG1288=AX$22,MONTH($D1288),"")</f>
        <v/>
      </c>
      <c r="AY1288" s="89"/>
      <c r="AZ1288" s="89"/>
      <c r="BA1288" s="89"/>
      <c r="BB1288" s="89"/>
      <c r="BC1288" s="89"/>
      <c r="BD1288" s="89"/>
      <c r="BE1288" s="89"/>
      <c r="BF1288" s="89"/>
      <c r="BG1288" s="89"/>
      <c r="BH1288" s="89"/>
      <c r="BI1288" s="89"/>
      <c r="BJ1288" s="89"/>
      <c r="BK1288" s="89"/>
      <c r="BL1288" s="89"/>
      <c r="BM1288" s="89"/>
      <c r="BN1288" s="89"/>
      <c r="BO1288" s="89"/>
      <c r="BP1288" s="89"/>
    </row>
    <row r="1289" spans="1:68" s="56" customFormat="1" ht="27" hidden="1">
      <c r="A1289" s="204">
        <f>+IFERROR(VALUE(MID(AB1289,4,4)),"")</f>
        <v>289</v>
      </c>
      <c r="B1289" s="204">
        <f>VALUE(RIGHT(C1289,LEN(C1289)-2))</f>
        <v>1435</v>
      </c>
      <c r="C1289" s="74" t="s">
        <v>4885</v>
      </c>
      <c r="D1289" s="75">
        <v>44566</v>
      </c>
      <c r="E1289" s="70" t="s">
        <v>479</v>
      </c>
      <c r="F1289" s="70" t="s">
        <v>479</v>
      </c>
      <c r="G1289" s="68" t="s">
        <v>1580</v>
      </c>
      <c r="H1289" s="59" t="s">
        <v>2899</v>
      </c>
      <c r="I1289" s="69" t="s">
        <v>4886</v>
      </c>
      <c r="J1289" s="69"/>
      <c r="K1289" s="95" t="s">
        <v>9</v>
      </c>
      <c r="L1289" s="69" t="s">
        <v>129</v>
      </c>
      <c r="M1289" s="71" t="s">
        <v>113</v>
      </c>
      <c r="N1289" s="69" t="e" vm="2">
        <v>#VALUE!</v>
      </c>
      <c r="O1289" s="84">
        <v>44572</v>
      </c>
      <c r="P1289" s="82" t="s">
        <v>483</v>
      </c>
      <c r="Q1289" s="82" t="s">
        <v>837</v>
      </c>
      <c r="R1289" s="69"/>
      <c r="S1289" s="146" t="s">
        <v>4130</v>
      </c>
      <c r="T1289" s="68" t="s">
        <v>3</v>
      </c>
      <c r="U1289" s="87"/>
      <c r="V1289" s="80">
        <v>44606</v>
      </c>
      <c r="W1289" s="73">
        <v>953</v>
      </c>
      <c r="X1289" s="73">
        <f>238162*147.5/1000000</f>
        <v>35.128895</v>
      </c>
      <c r="Y1289" s="83">
        <f>IF(SUM(W1289:W1289)&gt;0,X1289/SUM(W1289:W1289)*1000000,"N/A")</f>
        <v>36861.379853095488</v>
      </c>
      <c r="Z1289" s="80"/>
      <c r="AA1289" s="80"/>
      <c r="AB1289" s="73" t="s">
        <v>4887</v>
      </c>
      <c r="AC1289" s="153"/>
      <c r="AD1289" s="331"/>
      <c r="AE1289" s="57"/>
      <c r="AF1289" s="88"/>
      <c r="AG1289" s="182">
        <f>YEAR(D1289)</f>
        <v>2022</v>
      </c>
      <c r="AH1289" s="86" t="str">
        <f>+IF(AE1289=$AJ$22,MONTH(T1289),"")</f>
        <v/>
      </c>
      <c r="AI1289" s="86" t="str">
        <f>+IF(AF1289=$AJ$22,MONTH(U1289),"")</f>
        <v/>
      </c>
      <c r="AJ1289" s="86" t="str">
        <f>+IF(AG1289=$AJ$22,MONTH(V1289),"")</f>
        <v/>
      </c>
      <c r="AK1289" s="86" t="str">
        <f>+IF(AG1289=$AK$22,MONTH(V1289),"")</f>
        <v/>
      </c>
      <c r="AL1289" s="86">
        <f>+IF(AG1289=$AL$22,MONTH(V1289),"")</f>
        <v>2</v>
      </c>
      <c r="AM1289" s="86" t="str">
        <f>+IF($AG1289=$AM$22,MONTH($D1289),"")</f>
        <v/>
      </c>
      <c r="AN1289" s="89" t="str">
        <f>+IF($AG1289=AN$22,MONTH($D1289),"")</f>
        <v/>
      </c>
      <c r="AO1289" s="89" t="str">
        <f>+IF($AG1289=AO$22,MONTH($D1289),"")</f>
        <v/>
      </c>
      <c r="AP1289" s="89" t="str">
        <f>+IF($AG1289=AP$22,MONTH($D1289),"")</f>
        <v/>
      </c>
      <c r="AQ1289" s="89" t="str">
        <f>+IF($AG1289=AQ$22,MONTH($D1289),"")</f>
        <v/>
      </c>
      <c r="AR1289" s="89" t="str">
        <f>+IF($AG1289=AR$22,MONTH($D1289),"")</f>
        <v/>
      </c>
      <c r="AS1289" s="89" t="str">
        <f>+IF($AG1289=AS$22,MONTH($D1289),"")</f>
        <v/>
      </c>
      <c r="AT1289" s="89" t="str">
        <f>+IF($AG1289=AT$22,MONTH($D1289),"")</f>
        <v/>
      </c>
      <c r="AU1289" s="89" t="str">
        <f>+IF($AG1289=AU$22,MONTH($D1289),"")</f>
        <v/>
      </c>
      <c r="AV1289" s="89" t="str">
        <f>+IF($AG1289=AV$22,MONTH($D1289),"")</f>
        <v/>
      </c>
      <c r="AW1289" s="86" t="str">
        <f>+IF($AG1289=AW$22,MONTH($D1289),"")</f>
        <v/>
      </c>
      <c r="AX1289" s="86" t="str">
        <f>+IF($AG1289=AX$22,MONTH($D1289),"")</f>
        <v/>
      </c>
      <c r="AY1289" s="89"/>
      <c r="AZ1289" s="89"/>
      <c r="BA1289" s="89"/>
      <c r="BB1289" s="89"/>
      <c r="BC1289" s="89"/>
      <c r="BD1289" s="89"/>
      <c r="BE1289" s="89"/>
      <c r="BF1289" s="89"/>
      <c r="BG1289" s="89"/>
      <c r="BH1289" s="89"/>
      <c r="BI1289" s="89"/>
      <c r="BJ1289" s="89"/>
      <c r="BK1289" s="89"/>
      <c r="BL1289" s="89"/>
      <c r="BM1289" s="89"/>
      <c r="BN1289" s="89"/>
      <c r="BO1289" s="89"/>
      <c r="BP1289" s="89"/>
    </row>
    <row r="1290" spans="1:68" s="56" customFormat="1" ht="40.5" hidden="1">
      <c r="A1290" s="204">
        <f>+IFERROR(VALUE(MID(AB1290,4,4)),"")</f>
        <v>280</v>
      </c>
      <c r="B1290" s="204">
        <f>VALUE(RIGHT(C1290,LEN(C1290)-2))</f>
        <v>1434</v>
      </c>
      <c r="C1290" s="74" t="s">
        <v>4888</v>
      </c>
      <c r="D1290" s="75">
        <v>44566</v>
      </c>
      <c r="E1290" s="70" t="s">
        <v>53</v>
      </c>
      <c r="F1290" s="70" t="s">
        <v>252</v>
      </c>
      <c r="G1290" s="68" t="s">
        <v>4716</v>
      </c>
      <c r="H1290" s="59" t="s">
        <v>4717</v>
      </c>
      <c r="I1290" s="69" t="s">
        <v>4889</v>
      </c>
      <c r="J1290" s="69"/>
      <c r="K1290" s="95" t="s">
        <v>12</v>
      </c>
      <c r="L1290" s="69" t="s">
        <v>120</v>
      </c>
      <c r="M1290" s="71" t="s">
        <v>141</v>
      </c>
      <c r="N1290" s="69" t="e" vm="1">
        <v>#VALUE!</v>
      </c>
      <c r="O1290" s="84">
        <v>44574</v>
      </c>
      <c r="P1290" s="82" t="s">
        <v>274</v>
      </c>
      <c r="Q1290" s="82" t="s">
        <v>229</v>
      </c>
      <c r="R1290" s="69"/>
      <c r="S1290" s="146" t="s">
        <v>4890</v>
      </c>
      <c r="T1290" s="68" t="s">
        <v>3</v>
      </c>
      <c r="U1290" s="87"/>
      <c r="V1290" s="80">
        <v>44635</v>
      </c>
      <c r="W1290" s="73">
        <v>2673</v>
      </c>
      <c r="X1290" s="73">
        <v>86.134</v>
      </c>
      <c r="Y1290" s="83">
        <f>IF(SUM(W1290:W1290)&gt;0,X1290/SUM(W1290:W1290)*1000000,"N/A")</f>
        <v>32223.718668163114</v>
      </c>
      <c r="Z1290" s="80"/>
      <c r="AA1290" s="80"/>
      <c r="AB1290" s="73" t="s">
        <v>4891</v>
      </c>
      <c r="AC1290" s="153"/>
      <c r="AD1290" s="331"/>
      <c r="AE1290" s="57"/>
      <c r="AF1290" s="88"/>
      <c r="AG1290" s="182">
        <f>YEAR(V1290)</f>
        <v>2022</v>
      </c>
      <c r="AH1290" s="86" t="str">
        <f>+IF(AE1290=$AJ$22,MONTH(T1290),"")</f>
        <v/>
      </c>
      <c r="AI1290" s="86" t="str">
        <f>+IF(AF1290=$AJ$22,MONTH(U1290),"")</f>
        <v/>
      </c>
      <c r="AJ1290" s="86" t="str">
        <f>+IF(AG1290=$AJ$22,MONTH(V1290),"")</f>
        <v/>
      </c>
      <c r="AK1290" s="86" t="str">
        <f>+IF(AG1290=$AK$22,MONTH(V1290),"")</f>
        <v/>
      </c>
      <c r="AL1290" s="86">
        <f>+IF(AG1290=$AL$22,MONTH(V1290),"")</f>
        <v>3</v>
      </c>
      <c r="AM1290" s="86" t="str">
        <f>+IF($AG1290=$AM$22,MONTH($D1290),"")</f>
        <v/>
      </c>
      <c r="AN1290" s="89" t="str">
        <f>+IF($AG1290=AN$22,MONTH($D1290),"")</f>
        <v/>
      </c>
      <c r="AO1290" s="89" t="str">
        <f>+IF($AG1290=AO$22,MONTH($D1290),"")</f>
        <v/>
      </c>
      <c r="AP1290" s="89" t="str">
        <f>+IF($AG1290=AP$22,MONTH($D1290),"")</f>
        <v/>
      </c>
      <c r="AQ1290" s="89" t="str">
        <f>+IF($AG1290=AQ$22,MONTH($D1290),"")</f>
        <v/>
      </c>
      <c r="AR1290" s="89" t="str">
        <f>+IF($AG1290=AR$22,MONTH($D1290),"")</f>
        <v/>
      </c>
      <c r="AS1290" s="89" t="str">
        <f>+IF($AG1290=AS$22,MONTH($D1290),"")</f>
        <v/>
      </c>
      <c r="AT1290" s="89" t="str">
        <f>+IF($AG1290=AT$22,MONTH($D1290),"")</f>
        <v/>
      </c>
      <c r="AU1290" s="89" t="str">
        <f>+IF($AG1290=AU$22,MONTH($D1290),"")</f>
        <v/>
      </c>
      <c r="AV1290" s="89" t="str">
        <f>+IF($AG1290=AV$22,MONTH($D1290),"")</f>
        <v/>
      </c>
      <c r="AW1290" s="86" t="str">
        <f>+IF($AG1290=AW$22,MONTH($D1290),"")</f>
        <v/>
      </c>
      <c r="AX1290" s="86" t="str">
        <f>+IF($AG1290=AX$22,MONTH($D1290),"")</f>
        <v/>
      </c>
      <c r="AY1290" s="89"/>
      <c r="AZ1290" s="89"/>
      <c r="BA1290" s="89"/>
      <c r="BB1290" s="89"/>
      <c r="BC1290" s="89"/>
      <c r="BD1290" s="89"/>
      <c r="BE1290" s="89"/>
      <c r="BF1290" s="89"/>
      <c r="BG1290" s="89"/>
      <c r="BH1290" s="89"/>
      <c r="BI1290" s="89"/>
      <c r="BJ1290" s="89"/>
      <c r="BK1290" s="89"/>
      <c r="BL1290" s="89"/>
      <c r="BM1290" s="89"/>
      <c r="BN1290" s="89"/>
      <c r="BO1290" s="89"/>
      <c r="BP1290" s="89"/>
    </row>
    <row r="1291" spans="1:68" s="56" customFormat="1" ht="67.5" hidden="1">
      <c r="A1291" s="204" t="str">
        <f>+IFERROR(VALUE(MID(AB1291,4,4)),"")</f>
        <v/>
      </c>
      <c r="B1291" s="204">
        <f>VALUE(RIGHT(C1291,LEN(C1291)-2))</f>
        <v>1433</v>
      </c>
      <c r="C1291" s="74" t="s">
        <v>4892</v>
      </c>
      <c r="D1291" s="75">
        <v>44564</v>
      </c>
      <c r="E1291" s="70" t="s">
        <v>53</v>
      </c>
      <c r="F1291" s="70" t="s">
        <v>313</v>
      </c>
      <c r="G1291" s="68" t="s">
        <v>3860</v>
      </c>
      <c r="H1291" s="59" t="s">
        <v>256</v>
      </c>
      <c r="I1291" s="69" t="s">
        <v>4893</v>
      </c>
      <c r="J1291" s="69"/>
      <c r="K1291" s="95" t="s">
        <v>42</v>
      </c>
      <c r="L1291" s="69" t="s">
        <v>123</v>
      </c>
      <c r="M1291" s="71" t="s">
        <v>141</v>
      </c>
      <c r="N1291" s="69" t="e" vm="1">
        <v>#VALUE!</v>
      </c>
      <c r="O1291" s="84">
        <v>44614</v>
      </c>
      <c r="P1291" s="82" t="s">
        <v>402</v>
      </c>
      <c r="Q1291" s="82" t="s">
        <v>1097</v>
      </c>
      <c r="R1291" s="69"/>
      <c r="S1291" s="146" t="s">
        <v>4894</v>
      </c>
      <c r="T1291" s="68" t="s">
        <v>155</v>
      </c>
      <c r="U1291" s="87"/>
      <c r="V1291" s="80">
        <v>44606</v>
      </c>
      <c r="W1291" s="73"/>
      <c r="X1291" s="73"/>
      <c r="Y1291" s="83" t="str">
        <f>IF(SUM(W1291:W1291)&gt;0,X1291/SUM(W1291:W1291)*1000000,"N/A")</f>
        <v>N/A</v>
      </c>
      <c r="Z1291" s="80"/>
      <c r="AA1291" s="80"/>
      <c r="AB1291" s="73"/>
      <c r="AC1291" s="153"/>
      <c r="AD1291" s="331"/>
      <c r="AE1291" s="57"/>
      <c r="AF1291" s="88"/>
      <c r="AG1291" s="182">
        <f>YEAR(D1291)</f>
        <v>2022</v>
      </c>
      <c r="AH1291" s="86" t="str">
        <f>+IF(AE1291=$AJ$22,MONTH(T1291),"")</f>
        <v/>
      </c>
      <c r="AI1291" s="86" t="str">
        <f>+IF(AF1291=$AJ$22,MONTH(U1291),"")</f>
        <v/>
      </c>
      <c r="AJ1291" s="86" t="str">
        <f>+IF(AG1291=$AJ$22,MONTH(V1291),"")</f>
        <v/>
      </c>
      <c r="AK1291" s="86" t="str">
        <f>+IF(AG1291=$AK$22,MONTH(V1291),"")</f>
        <v/>
      </c>
      <c r="AL1291" s="86">
        <f>+IF(AG1291=$AL$22,MONTH(V1291),"")</f>
        <v>2</v>
      </c>
      <c r="AM1291" s="86" t="str">
        <f>+IF($AG1291=$AM$22,MONTH($D1291),"")</f>
        <v/>
      </c>
      <c r="AN1291" s="89" t="str">
        <f>+IF($AG1291=AN$22,MONTH($D1291),"")</f>
        <v/>
      </c>
      <c r="AO1291" s="89" t="str">
        <f>+IF($AG1291=AO$22,MONTH($D1291),"")</f>
        <v/>
      </c>
      <c r="AP1291" s="89" t="str">
        <f>+IF($AG1291=AP$22,MONTH($D1291),"")</f>
        <v/>
      </c>
      <c r="AQ1291" s="89" t="str">
        <f>+IF($AG1291=AQ$22,MONTH($D1291),"")</f>
        <v/>
      </c>
      <c r="AR1291" s="89" t="str">
        <f>+IF($AG1291=AR$22,MONTH($D1291),"")</f>
        <v/>
      </c>
      <c r="AS1291" s="89" t="str">
        <f>+IF($AG1291=AS$22,MONTH($D1291),"")</f>
        <v/>
      </c>
      <c r="AT1291" s="89" t="str">
        <f>+IF($AG1291=AT$22,MONTH($D1291),"")</f>
        <v/>
      </c>
      <c r="AU1291" s="89" t="str">
        <f>+IF($AG1291=AU$22,MONTH($D1291),"")</f>
        <v/>
      </c>
      <c r="AV1291" s="89" t="str">
        <f>+IF($AG1291=AV$22,MONTH($D1291),"")</f>
        <v/>
      </c>
      <c r="AW1291" s="86" t="str">
        <f>+IF($AG1291=AW$22,MONTH($D1291),"")</f>
        <v/>
      </c>
      <c r="AX1291" s="86" t="str">
        <f>+IF($AG1291=AX$22,MONTH($D1291),"")</f>
        <v/>
      </c>
      <c r="AY1291" s="89"/>
      <c r="AZ1291" s="89"/>
      <c r="BA1291" s="89"/>
      <c r="BB1291" s="89"/>
      <c r="BC1291" s="89"/>
      <c r="BD1291" s="89"/>
      <c r="BE1291" s="89"/>
      <c r="BF1291" s="89"/>
      <c r="BG1291" s="89"/>
      <c r="BH1291" s="89"/>
      <c r="BI1291" s="89"/>
      <c r="BJ1291" s="89"/>
      <c r="BK1291" s="89"/>
      <c r="BL1291" s="89"/>
      <c r="BM1291" s="89"/>
      <c r="BN1291" s="89"/>
      <c r="BO1291" s="89"/>
      <c r="BP1291" s="89"/>
    </row>
    <row r="1292" spans="1:68" s="56" customFormat="1" ht="27" hidden="1">
      <c r="A1292" s="204">
        <f>+IFERROR(VALUE(MID(AB1292,4,4)),"")</f>
        <v>290</v>
      </c>
      <c r="B1292" s="204">
        <f>VALUE(RIGHT(C1292,LEN(C1292)-2))</f>
        <v>1432</v>
      </c>
      <c r="C1292" s="74" t="s">
        <v>4895</v>
      </c>
      <c r="D1292" s="75">
        <v>44552</v>
      </c>
      <c r="E1292" s="70" t="s">
        <v>3282</v>
      </c>
      <c r="F1292" s="70" t="s">
        <v>3520</v>
      </c>
      <c r="G1292" s="68" t="s">
        <v>3283</v>
      </c>
      <c r="H1292" s="59" t="s">
        <v>3284</v>
      </c>
      <c r="I1292" s="69" t="s">
        <v>4896</v>
      </c>
      <c r="J1292" s="69"/>
      <c r="K1292" s="95" t="s">
        <v>11</v>
      </c>
      <c r="L1292" s="69" t="s">
        <v>123</v>
      </c>
      <c r="M1292" s="71" t="s">
        <v>113</v>
      </c>
      <c r="N1292" s="69" t="e" vm="9">
        <v>#VALUE!</v>
      </c>
      <c r="O1292" s="84">
        <v>44586</v>
      </c>
      <c r="P1292" s="82" t="s">
        <v>4897</v>
      </c>
      <c r="Q1292" s="82" t="s">
        <v>316</v>
      </c>
      <c r="R1292" s="69"/>
      <c r="S1292" s="146" t="s">
        <v>4898</v>
      </c>
      <c r="T1292" s="68" t="s">
        <v>3</v>
      </c>
      <c r="U1292" s="87"/>
      <c r="V1292" s="80">
        <v>44564</v>
      </c>
      <c r="W1292" s="73">
        <v>4000</v>
      </c>
      <c r="X1292" s="73">
        <v>99.6</v>
      </c>
      <c r="Y1292" s="83">
        <f>IF(SUM(W1292:W1292)&gt;0,X1292/SUM(W1292:W1292)*1000000,"N/A")</f>
        <v>24900</v>
      </c>
      <c r="Z1292" s="80"/>
      <c r="AA1292" s="80"/>
      <c r="AB1292" s="73" t="s">
        <v>4366</v>
      </c>
      <c r="AC1292" s="153"/>
      <c r="AD1292" s="331"/>
      <c r="AE1292" s="57"/>
      <c r="AF1292" s="88"/>
      <c r="AG1292" s="182">
        <f>YEAR(V1292)</f>
        <v>2022</v>
      </c>
      <c r="AH1292" s="86" t="str">
        <f>+IF(AE1292=$AJ$22,MONTH(T1292),"")</f>
        <v/>
      </c>
      <c r="AI1292" s="86" t="str">
        <f>+IF(AF1292=$AJ$22,MONTH(U1292),"")</f>
        <v/>
      </c>
      <c r="AJ1292" s="86" t="str">
        <f>+IF(AG1292=$AJ$22,MONTH(V1292),"")</f>
        <v/>
      </c>
      <c r="AK1292" s="86" t="str">
        <f>+IF(AG1292=$AK$22,MONTH(V1292),"")</f>
        <v/>
      </c>
      <c r="AL1292" s="86">
        <f>+IF(AG1292=$AL$22,MONTH(V1292),"")</f>
        <v>1</v>
      </c>
      <c r="AM1292" s="86" t="str">
        <f>+IF($AG1292=$AM$22,MONTH($D1292),"")</f>
        <v/>
      </c>
      <c r="AN1292" s="89" t="str">
        <f>+IF($AG1292=AN$22,MONTH($D1292),"")</f>
        <v/>
      </c>
      <c r="AO1292" s="89" t="str">
        <f>+IF($AG1292=AO$22,MONTH($D1292),"")</f>
        <v/>
      </c>
      <c r="AP1292" s="89" t="str">
        <f>+IF($AG1292=AP$22,MONTH($D1292),"")</f>
        <v/>
      </c>
      <c r="AQ1292" s="89" t="str">
        <f>+IF($AG1292=AQ$22,MONTH($D1292),"")</f>
        <v/>
      </c>
      <c r="AR1292" s="89" t="str">
        <f>+IF($AG1292=AR$22,MONTH($D1292),"")</f>
        <v/>
      </c>
      <c r="AS1292" s="89" t="str">
        <f>+IF($AG1292=AS$22,MONTH($D1292),"")</f>
        <v/>
      </c>
      <c r="AT1292" s="89" t="str">
        <f>+IF($AG1292=AT$22,MONTH($D1292),"")</f>
        <v/>
      </c>
      <c r="AU1292" s="89" t="str">
        <f>+IF($AG1292=AU$22,MONTH($D1292),"")</f>
        <v/>
      </c>
      <c r="AV1292" s="89" t="str">
        <f>+IF($AG1292=AV$22,MONTH($D1292),"")</f>
        <v/>
      </c>
      <c r="AW1292" s="86" t="str">
        <f>+IF($AG1292=AW$22,MONTH($D1292),"")</f>
        <v/>
      </c>
      <c r="AX1292" s="86" t="str">
        <f>+IF($AG1292=AX$22,MONTH($D1292),"")</f>
        <v/>
      </c>
      <c r="AY1292" s="89"/>
      <c r="AZ1292" s="89"/>
      <c r="BA1292" s="89"/>
      <c r="BB1292" s="89"/>
      <c r="BC1292" s="89"/>
      <c r="BD1292" s="89"/>
      <c r="BE1292" s="89"/>
      <c r="BF1292" s="89"/>
      <c r="BG1292" s="89"/>
      <c r="BH1292" s="89"/>
      <c r="BI1292" s="89"/>
      <c r="BJ1292" s="89"/>
      <c r="BK1292" s="89"/>
      <c r="BL1292" s="89"/>
      <c r="BM1292" s="89"/>
      <c r="BN1292" s="89"/>
      <c r="BO1292" s="89"/>
      <c r="BP1292" s="89"/>
    </row>
    <row r="1293" spans="1:68" s="56" customFormat="1" ht="94.5" hidden="1">
      <c r="A1293" s="204" t="str">
        <f>+IFERROR(VALUE(MID(AB1293,4,4)),"")</f>
        <v/>
      </c>
      <c r="B1293" s="204">
        <f>VALUE(RIGHT(C1293,LEN(C1293)-2))</f>
        <v>1431</v>
      </c>
      <c r="C1293" s="74" t="s">
        <v>4899</v>
      </c>
      <c r="D1293" s="75">
        <v>44559</v>
      </c>
      <c r="E1293" s="70" t="s">
        <v>97</v>
      </c>
      <c r="F1293" s="70" t="s">
        <v>460</v>
      </c>
      <c r="G1293" s="68" t="s">
        <v>4043</v>
      </c>
      <c r="H1293" s="59" t="s">
        <v>4044</v>
      </c>
      <c r="I1293" s="69" t="s">
        <v>4378</v>
      </c>
      <c r="J1293" s="69"/>
      <c r="K1293" s="95" t="s">
        <v>275</v>
      </c>
      <c r="L1293" s="69" t="s">
        <v>120</v>
      </c>
      <c r="M1293" s="71" t="s">
        <v>141</v>
      </c>
      <c r="N1293" s="69" t="e" vm="1">
        <v>#VALUE!</v>
      </c>
      <c r="O1293" s="84">
        <v>44567</v>
      </c>
      <c r="P1293" s="82" t="s">
        <v>402</v>
      </c>
      <c r="Q1293" s="82" t="s">
        <v>623</v>
      </c>
      <c r="R1293" s="69"/>
      <c r="S1293" s="146" t="s">
        <v>4900</v>
      </c>
      <c r="T1293" s="68" t="s">
        <v>165</v>
      </c>
      <c r="U1293" s="87"/>
      <c r="V1293" s="80">
        <v>44886</v>
      </c>
      <c r="W1293" s="73">
        <v>285</v>
      </c>
      <c r="X1293" s="73">
        <v>20.6</v>
      </c>
      <c r="Y1293" s="83">
        <f>IF(SUM(W1293:W1293)&gt;0,X1293/SUM(W1293:W1293)*1000000,"N/A")</f>
        <v>72280.701754385969</v>
      </c>
      <c r="Z1293" s="80"/>
      <c r="AA1293" s="80"/>
      <c r="AB1293" s="73"/>
      <c r="AC1293" s="153"/>
      <c r="AD1293" s="331"/>
      <c r="AE1293" s="57"/>
      <c r="AF1293" s="88"/>
      <c r="AG1293" s="182">
        <f>YEAR(D1293)</f>
        <v>2021</v>
      </c>
      <c r="AH1293" s="86" t="str">
        <f>+IF(AE1293=$AJ$22,MONTH(T1293),"")</f>
        <v/>
      </c>
      <c r="AI1293" s="86" t="str">
        <f>+IF(AF1293=$AJ$22,MONTH(U1293),"")</f>
        <v/>
      </c>
      <c r="AJ1293" s="86" t="str">
        <f>+IF(AG1293=$AJ$22,MONTH(V1293),"")</f>
        <v/>
      </c>
      <c r="AK1293" s="86" t="str">
        <f>+IF(AG1293=$AK$22,MONTH(V1293),"")</f>
        <v/>
      </c>
      <c r="AL1293" s="86" t="str">
        <f>+IF(AG1293=$AL$22,MONTH(V1293),"")</f>
        <v/>
      </c>
      <c r="AM1293" s="86">
        <f>+IF($AG1293=$AM$22,MONTH($D1293),"")</f>
        <v>12</v>
      </c>
      <c r="AN1293" s="89" t="str">
        <f>+IF($AG1293=AN$22,MONTH($D1293),"")</f>
        <v/>
      </c>
      <c r="AO1293" s="89" t="str">
        <f>+IF($AG1293=AO$22,MONTH($D1293),"")</f>
        <v/>
      </c>
      <c r="AP1293" s="89" t="str">
        <f>+IF($AG1293=AP$22,MONTH($D1293),"")</f>
        <v/>
      </c>
      <c r="AQ1293" s="89" t="str">
        <f>+IF($AG1293=AQ$22,MONTH($D1293),"")</f>
        <v/>
      </c>
      <c r="AR1293" s="89" t="str">
        <f>+IF($AG1293=AR$22,MONTH($D1293),"")</f>
        <v/>
      </c>
      <c r="AS1293" s="89" t="str">
        <f>+IF($AG1293=AS$22,MONTH($D1293),"")</f>
        <v/>
      </c>
      <c r="AT1293" s="89" t="str">
        <f>+IF($AG1293=AT$22,MONTH($D1293),"")</f>
        <v/>
      </c>
      <c r="AU1293" s="89" t="str">
        <f>+IF($AG1293=AU$22,MONTH($D1293),"")</f>
        <v/>
      </c>
      <c r="AV1293" s="89" t="str">
        <f>+IF($AG1293=AV$22,MONTH($D1293),"")</f>
        <v/>
      </c>
      <c r="AW1293" s="86" t="str">
        <f>+IF($AG1293=AW$22,MONTH($D1293),"")</f>
        <v/>
      </c>
      <c r="AX1293" s="86" t="str">
        <f>+IF($AG1293=AX$22,MONTH($D1293),"")</f>
        <v/>
      </c>
      <c r="AY1293" s="89"/>
      <c r="AZ1293" s="89"/>
      <c r="BA1293" s="89"/>
      <c r="BB1293" s="89"/>
      <c r="BC1293" s="89"/>
      <c r="BD1293" s="89"/>
      <c r="BE1293" s="89"/>
      <c r="BF1293" s="89"/>
      <c r="BG1293" s="89"/>
      <c r="BH1293" s="89"/>
      <c r="BI1293" s="89"/>
      <c r="BJ1293" s="89"/>
      <c r="BK1293" s="89"/>
      <c r="BL1293" s="89"/>
      <c r="BM1293" s="89"/>
      <c r="BN1293" s="89"/>
      <c r="BO1293" s="89"/>
      <c r="BP1293" s="89"/>
    </row>
    <row r="1294" spans="1:68" s="56" customFormat="1" ht="13.5" hidden="1">
      <c r="A1294" s="204" t="str">
        <f>+IFERROR(VALUE(MID(AB1294,4,4)),"")</f>
        <v/>
      </c>
      <c r="B1294" s="204">
        <f>VALUE(RIGHT(C1294,LEN(C1294)-2))</f>
        <v>1430</v>
      </c>
      <c r="C1294" s="74" t="s">
        <v>4901</v>
      </c>
      <c r="D1294" s="75">
        <v>44563</v>
      </c>
      <c r="E1294" s="70" t="s">
        <v>3685</v>
      </c>
      <c r="F1294" s="70" t="s">
        <v>3685</v>
      </c>
      <c r="G1294" s="68" t="s">
        <v>3687</v>
      </c>
      <c r="H1294" s="59" t="s">
        <v>3688</v>
      </c>
      <c r="I1294" s="69" t="s">
        <v>4902</v>
      </c>
      <c r="J1294" s="69"/>
      <c r="K1294" s="95" t="s">
        <v>4903</v>
      </c>
      <c r="L1294" s="69" t="s">
        <v>120</v>
      </c>
      <c r="M1294" s="71" t="s">
        <v>141</v>
      </c>
      <c r="N1294" s="69" t="e" vm="1">
        <v>#VALUE!</v>
      </c>
      <c r="O1294" s="84">
        <v>44580</v>
      </c>
      <c r="P1294" s="82" t="s">
        <v>402</v>
      </c>
      <c r="Q1294" s="82" t="s">
        <v>229</v>
      </c>
      <c r="R1294" s="69"/>
      <c r="S1294" s="146" t="s">
        <v>4904</v>
      </c>
      <c r="T1294" s="68" t="s">
        <v>165</v>
      </c>
      <c r="U1294" s="87"/>
      <c r="V1294" s="80">
        <v>44606</v>
      </c>
      <c r="W1294" s="73">
        <v>1060</v>
      </c>
      <c r="X1294" s="73">
        <f>1621*32150/1000000</f>
        <v>52.11515</v>
      </c>
      <c r="Y1294" s="83">
        <f>IF(SUM(W1294:W1294)&gt;0,X1294/SUM(W1294:W1294)*1000000,"N/A")</f>
        <v>49165.235849056604</v>
      </c>
      <c r="Z1294" s="80"/>
      <c r="AA1294" s="80"/>
      <c r="AB1294" s="73"/>
      <c r="AC1294" s="153"/>
      <c r="AD1294" s="331"/>
      <c r="AE1294" s="57"/>
      <c r="AF1294" s="88"/>
      <c r="AG1294" s="182">
        <f>YEAR(D1294)</f>
        <v>2022</v>
      </c>
      <c r="AH1294" s="86" t="str">
        <f>+IF(AE1294=$AJ$22,MONTH(T1294),"")</f>
        <v/>
      </c>
      <c r="AI1294" s="86" t="str">
        <f>+IF(AF1294=$AJ$22,MONTH(U1294),"")</f>
        <v/>
      </c>
      <c r="AJ1294" s="86" t="str">
        <f>+IF(AG1294=$AJ$22,MONTH(V1294),"")</f>
        <v/>
      </c>
      <c r="AK1294" s="86" t="str">
        <f>+IF(AG1294=$AK$22,MONTH(V1294),"")</f>
        <v/>
      </c>
      <c r="AL1294" s="86">
        <f>+IF(AG1294=$AL$22,MONTH(V1294),"")</f>
        <v>2</v>
      </c>
      <c r="AM1294" s="86" t="str">
        <f>+IF($AG1294=$AM$22,MONTH($D1294),"")</f>
        <v/>
      </c>
      <c r="AN1294" s="89" t="str">
        <f>+IF($AG1294=AN$22,MONTH($D1294),"")</f>
        <v/>
      </c>
      <c r="AO1294" s="89" t="str">
        <f>+IF($AG1294=AO$22,MONTH($D1294),"")</f>
        <v/>
      </c>
      <c r="AP1294" s="89" t="str">
        <f>+IF($AG1294=AP$22,MONTH($D1294),"")</f>
        <v/>
      </c>
      <c r="AQ1294" s="89" t="str">
        <f>+IF($AG1294=AQ$22,MONTH($D1294),"")</f>
        <v/>
      </c>
      <c r="AR1294" s="89" t="str">
        <f>+IF($AG1294=AR$22,MONTH($D1294),"")</f>
        <v/>
      </c>
      <c r="AS1294" s="89" t="str">
        <f>+IF($AG1294=AS$22,MONTH($D1294),"")</f>
        <v/>
      </c>
      <c r="AT1294" s="89" t="str">
        <f>+IF($AG1294=AT$22,MONTH($D1294),"")</f>
        <v/>
      </c>
      <c r="AU1294" s="89" t="str">
        <f>+IF($AG1294=AU$22,MONTH($D1294),"")</f>
        <v/>
      </c>
      <c r="AV1294" s="89" t="str">
        <f>+IF($AG1294=AV$22,MONTH($D1294),"")</f>
        <v/>
      </c>
      <c r="AW1294" s="86" t="str">
        <f>+IF($AG1294=AW$22,MONTH($D1294),"")</f>
        <v/>
      </c>
      <c r="AX1294" s="86" t="str">
        <f>+IF($AG1294=AX$22,MONTH($D1294),"")</f>
        <v/>
      </c>
      <c r="AY1294" s="89"/>
      <c r="AZ1294" s="89"/>
      <c r="BA1294" s="89"/>
      <c r="BB1294" s="89"/>
      <c r="BC1294" s="89"/>
      <c r="BD1294" s="89"/>
      <c r="BE1294" s="89"/>
      <c r="BF1294" s="89"/>
      <c r="BG1294" s="89"/>
      <c r="BH1294" s="89"/>
      <c r="BI1294" s="89"/>
      <c r="BJ1294" s="89"/>
      <c r="BK1294" s="89"/>
      <c r="BL1294" s="89"/>
      <c r="BM1294" s="89"/>
      <c r="BN1294" s="89"/>
      <c r="BO1294" s="89"/>
      <c r="BP1294" s="89"/>
    </row>
    <row r="1295" spans="1:68" s="56" customFormat="1" ht="27" hidden="1">
      <c r="A1295" s="204">
        <f>+IFERROR(VALUE(MID(AB1295,4,4)),"")</f>
        <v>274</v>
      </c>
      <c r="B1295" s="204">
        <f>VALUE(RIGHT(C1295,LEN(C1295)-2))</f>
        <v>1429</v>
      </c>
      <c r="C1295" s="74" t="s">
        <v>4905</v>
      </c>
      <c r="D1295" s="75">
        <v>44552</v>
      </c>
      <c r="E1295" s="70" t="s">
        <v>1054</v>
      </c>
      <c r="F1295" s="70" t="s">
        <v>252</v>
      </c>
      <c r="G1295" s="68"/>
      <c r="H1295" s="59"/>
      <c r="I1295" s="69" t="s">
        <v>4906</v>
      </c>
      <c r="J1295" s="69"/>
      <c r="K1295" s="95" t="s">
        <v>13</v>
      </c>
      <c r="L1295" s="69" t="s">
        <v>129</v>
      </c>
      <c r="M1295" s="71" t="s">
        <v>141</v>
      </c>
      <c r="N1295" s="69" t="e" vm="1">
        <v>#VALUE!</v>
      </c>
      <c r="O1295" s="84">
        <v>44552</v>
      </c>
      <c r="P1295" s="82" t="s">
        <v>4567</v>
      </c>
      <c r="Q1295" s="82" t="s">
        <v>623</v>
      </c>
      <c r="R1295" s="69"/>
      <c r="S1295" s="146"/>
      <c r="T1295" s="68" t="s">
        <v>3</v>
      </c>
      <c r="U1295" s="87"/>
      <c r="V1295" s="80">
        <v>44552</v>
      </c>
      <c r="W1295" s="73">
        <v>195</v>
      </c>
      <c r="X1295" s="73">
        <v>8</v>
      </c>
      <c r="Y1295" s="83">
        <f>IF(SUM(W1295:W1295)&gt;0,X1295/SUM(W1295:W1295)*1000000,"N/A")</f>
        <v>41025.641025641024</v>
      </c>
      <c r="Z1295" s="80"/>
      <c r="AA1295" s="80"/>
      <c r="AB1295" s="73" t="s">
        <v>4907</v>
      </c>
      <c r="AC1295" s="153"/>
      <c r="AD1295" s="331"/>
      <c r="AE1295" s="57"/>
      <c r="AF1295" s="88"/>
      <c r="AG1295" s="182">
        <f>YEAR(D1295)</f>
        <v>2021</v>
      </c>
      <c r="AH1295" s="86" t="str">
        <f>+IF(AE1295=$AJ$22,MONTH(T1295),"")</f>
        <v/>
      </c>
      <c r="AI1295" s="86" t="str">
        <f>+IF(AF1295=$AJ$22,MONTH(U1295),"")</f>
        <v/>
      </c>
      <c r="AJ1295" s="86" t="str">
        <f>+IF(AG1295=$AJ$22,MONTH(V1295),"")</f>
        <v/>
      </c>
      <c r="AK1295" s="86" t="str">
        <f>+IF(AG1295=$AK$22,MONTH(V1295),"")</f>
        <v/>
      </c>
      <c r="AL1295" s="86" t="str">
        <f>+IF(AG1295=$AL$22,MONTH(V1295),"")</f>
        <v/>
      </c>
      <c r="AM1295" s="86">
        <f>+IF($AG1295=$AM$22,MONTH($D1295),"")</f>
        <v>12</v>
      </c>
      <c r="AN1295" s="89" t="str">
        <f>+IF($AG1295=AN$22,MONTH($D1295),"")</f>
        <v/>
      </c>
      <c r="AO1295" s="89" t="str">
        <f>+IF($AG1295=AO$22,MONTH($D1295),"")</f>
        <v/>
      </c>
      <c r="AP1295" s="89" t="str">
        <f>+IF($AG1295=AP$22,MONTH($D1295),"")</f>
        <v/>
      </c>
      <c r="AQ1295" s="89" t="str">
        <f>+IF($AG1295=AQ$22,MONTH($D1295),"")</f>
        <v/>
      </c>
      <c r="AR1295" s="89" t="str">
        <f>+IF($AG1295=AR$22,MONTH($D1295),"")</f>
        <v/>
      </c>
      <c r="AS1295" s="89" t="str">
        <f>+IF($AG1295=AS$22,MONTH($D1295),"")</f>
        <v/>
      </c>
      <c r="AT1295" s="89" t="str">
        <f>+IF($AG1295=AT$22,MONTH($D1295),"")</f>
        <v/>
      </c>
      <c r="AU1295" s="89" t="str">
        <f>+IF($AG1295=AU$22,MONTH($D1295),"")</f>
        <v/>
      </c>
      <c r="AV1295" s="89" t="str">
        <f>+IF($AG1295=AV$22,MONTH($D1295),"")</f>
        <v/>
      </c>
      <c r="AW1295" s="86" t="str">
        <f>+IF($AG1295=AW$22,MONTH($D1295),"")</f>
        <v/>
      </c>
      <c r="AX1295" s="86" t="str">
        <f>+IF($AG1295=AX$22,MONTH($D1295),"")</f>
        <v/>
      </c>
      <c r="AY1295" s="89"/>
      <c r="AZ1295" s="89"/>
      <c r="BA1295" s="89"/>
      <c r="BB1295" s="89"/>
      <c r="BC1295" s="89"/>
      <c r="BD1295" s="89"/>
      <c r="BE1295" s="89"/>
      <c r="BF1295" s="89"/>
      <c r="BG1295" s="89"/>
      <c r="BH1295" s="89"/>
      <c r="BI1295" s="89"/>
      <c r="BJ1295" s="89"/>
      <c r="BK1295" s="89"/>
      <c r="BL1295" s="89"/>
      <c r="BM1295" s="89"/>
      <c r="BN1295" s="89"/>
      <c r="BO1295" s="89"/>
      <c r="BP1295" s="89"/>
    </row>
    <row r="1296" spans="1:68" s="56" customFormat="1" ht="27" hidden="1">
      <c r="A1296" s="204" t="str">
        <f>+IFERROR(VALUE(MID(AB1296,4,4)),"")</f>
        <v/>
      </c>
      <c r="B1296" s="204">
        <f>VALUE(RIGHT(C1296,LEN(C1296)-2))</f>
        <v>1428</v>
      </c>
      <c r="C1296" s="74" t="s">
        <v>4908</v>
      </c>
      <c r="D1296" s="75">
        <v>44552</v>
      </c>
      <c r="E1296" s="70" t="s">
        <v>332</v>
      </c>
      <c r="F1296" s="70" t="s">
        <v>332</v>
      </c>
      <c r="G1296" s="68" t="s">
        <v>3818</v>
      </c>
      <c r="H1296" s="59" t="s">
        <v>3878</v>
      </c>
      <c r="I1296" s="69" t="s">
        <v>4909</v>
      </c>
      <c r="J1296" s="69"/>
      <c r="K1296" s="95" t="s">
        <v>13</v>
      </c>
      <c r="L1296" s="69" t="s">
        <v>129</v>
      </c>
      <c r="M1296" s="71" t="s">
        <v>141</v>
      </c>
      <c r="N1296" s="69" t="e" vm="1">
        <v>#VALUE!</v>
      </c>
      <c r="O1296" s="84">
        <v>44564</v>
      </c>
      <c r="P1296" s="82" t="s">
        <v>402</v>
      </c>
      <c r="Q1296" s="82" t="s">
        <v>623</v>
      </c>
      <c r="R1296" s="69"/>
      <c r="S1296" s="146" t="s">
        <v>4910</v>
      </c>
      <c r="T1296" s="68" t="s">
        <v>155</v>
      </c>
      <c r="U1296" s="87"/>
      <c r="V1296" s="80">
        <v>44552</v>
      </c>
      <c r="W1296" s="73"/>
      <c r="X1296" s="73"/>
      <c r="Y1296" s="83" t="str">
        <f>IF(SUM(W1296:W1296)&gt;0,X1296/SUM(W1296:W1296)*1000000,"N/A")</f>
        <v>N/A</v>
      </c>
      <c r="Z1296" s="80"/>
      <c r="AA1296" s="80"/>
      <c r="AB1296" s="73"/>
      <c r="AC1296" s="153"/>
      <c r="AD1296" s="331"/>
      <c r="AE1296" s="57"/>
      <c r="AF1296" s="88"/>
      <c r="AG1296" s="182">
        <f>YEAR(D1296)</f>
        <v>2021</v>
      </c>
      <c r="AH1296" s="86" t="str">
        <f>+IF(AE1296=$AJ$22,MONTH(T1296),"")</f>
        <v/>
      </c>
      <c r="AI1296" s="86" t="str">
        <f>+IF(AF1296=$AJ$22,MONTH(U1296),"")</f>
        <v/>
      </c>
      <c r="AJ1296" s="86" t="str">
        <f>+IF(AG1296=$AJ$22,MONTH(V1296),"")</f>
        <v/>
      </c>
      <c r="AK1296" s="86" t="str">
        <f>+IF(AG1296=$AK$22,MONTH(V1296),"")</f>
        <v/>
      </c>
      <c r="AL1296" s="86" t="str">
        <f>+IF(AG1296=$AL$22,MONTH(V1296),"")</f>
        <v/>
      </c>
      <c r="AM1296" s="86">
        <f>+IF($AG1296=$AM$22,MONTH($D1296),"")</f>
        <v>12</v>
      </c>
      <c r="AN1296" s="89" t="str">
        <f>+IF($AG1296=AN$22,MONTH($D1296),"")</f>
        <v/>
      </c>
      <c r="AO1296" s="89" t="str">
        <f>+IF($AG1296=AO$22,MONTH($D1296),"")</f>
        <v/>
      </c>
      <c r="AP1296" s="89" t="str">
        <f>+IF($AG1296=AP$22,MONTH($D1296),"")</f>
        <v/>
      </c>
      <c r="AQ1296" s="89" t="str">
        <f>+IF($AG1296=AQ$22,MONTH($D1296),"")</f>
        <v/>
      </c>
      <c r="AR1296" s="89" t="str">
        <f>+IF($AG1296=AR$22,MONTH($D1296),"")</f>
        <v/>
      </c>
      <c r="AS1296" s="89" t="str">
        <f>+IF($AG1296=AS$22,MONTH($D1296),"")</f>
        <v/>
      </c>
      <c r="AT1296" s="89" t="str">
        <f>+IF($AG1296=AT$22,MONTH($D1296),"")</f>
        <v/>
      </c>
      <c r="AU1296" s="89" t="str">
        <f>+IF($AG1296=AU$22,MONTH($D1296),"")</f>
        <v/>
      </c>
      <c r="AV1296" s="89" t="str">
        <f>+IF($AG1296=AV$22,MONTH($D1296),"")</f>
        <v/>
      </c>
      <c r="AW1296" s="86" t="str">
        <f>+IF($AG1296=AW$22,MONTH($D1296),"")</f>
        <v/>
      </c>
      <c r="AX1296" s="86" t="str">
        <f>+IF($AG1296=AX$22,MONTH($D1296),"")</f>
        <v/>
      </c>
      <c r="AY1296" s="182"/>
      <c r="AZ1296" s="182"/>
      <c r="BA1296" s="182"/>
      <c r="BB1296" s="182"/>
      <c r="BC1296" s="182"/>
      <c r="BD1296" s="182"/>
      <c r="BE1296" s="182"/>
      <c r="BF1296" s="182"/>
      <c r="BG1296" s="182"/>
      <c r="BH1296" s="182"/>
      <c r="BI1296" s="182"/>
      <c r="BJ1296" s="89"/>
      <c r="BK1296" s="89"/>
      <c r="BL1296" s="89"/>
      <c r="BM1296" s="89"/>
      <c r="BN1296" s="89"/>
      <c r="BO1296" s="89"/>
      <c r="BP1296" s="89"/>
    </row>
    <row r="1297" spans="1:68" s="56" customFormat="1" ht="27" hidden="1">
      <c r="A1297" s="204" t="str">
        <f>+IFERROR(VALUE(MID(AB1297,4,4)),"")</f>
        <v/>
      </c>
      <c r="B1297" s="204">
        <f>VALUE(RIGHT(C1297,LEN(C1297)-2))</f>
        <v>1427</v>
      </c>
      <c r="C1297" s="74" t="s">
        <v>4911</v>
      </c>
      <c r="D1297" s="75">
        <v>44551</v>
      </c>
      <c r="E1297" s="70" t="s">
        <v>3685</v>
      </c>
      <c r="F1297" s="70" t="s">
        <v>3685</v>
      </c>
      <c r="G1297" s="68" t="s">
        <v>4912</v>
      </c>
      <c r="H1297" s="59" t="s">
        <v>4913</v>
      </c>
      <c r="I1297" s="69" t="s">
        <v>4914</v>
      </c>
      <c r="J1297" s="69"/>
      <c r="K1297" s="95" t="s">
        <v>13</v>
      </c>
      <c r="L1297" s="69" t="s">
        <v>120</v>
      </c>
      <c r="M1297" s="71" t="s">
        <v>141</v>
      </c>
      <c r="N1297" s="69" t="e" vm="1">
        <v>#VALUE!</v>
      </c>
      <c r="O1297" s="84">
        <v>44578</v>
      </c>
      <c r="P1297" s="82" t="s">
        <v>402</v>
      </c>
      <c r="Q1297" s="82" t="s">
        <v>229</v>
      </c>
      <c r="R1297" s="69"/>
      <c r="S1297" s="146" t="s">
        <v>4360</v>
      </c>
      <c r="T1297" s="68" t="s">
        <v>165</v>
      </c>
      <c r="U1297" s="87"/>
      <c r="V1297" s="80">
        <v>44686</v>
      </c>
      <c r="W1297" s="73">
        <v>5765</v>
      </c>
      <c r="X1297" s="73">
        <f>6840*31150/1000000</f>
        <v>213.066</v>
      </c>
      <c r="Y1297" s="83">
        <f>IF(SUM(W1297:W1297)&gt;0,X1297/SUM(W1297:W1297)*1000000,"N/A")</f>
        <v>36958.542931483091</v>
      </c>
      <c r="Z1297" s="80"/>
      <c r="AA1297" s="80"/>
      <c r="AB1297" s="73"/>
      <c r="AC1297" s="153"/>
      <c r="AD1297" s="331"/>
      <c r="AE1297" s="57"/>
      <c r="AF1297" s="88"/>
      <c r="AG1297" s="182">
        <f>YEAR(D1297)</f>
        <v>2021</v>
      </c>
      <c r="AH1297" s="86" t="str">
        <f>+IF(AE1297=$AJ$22,MONTH(T1297),"")</f>
        <v/>
      </c>
      <c r="AI1297" s="86" t="str">
        <f>+IF(AF1297=$AJ$22,MONTH(U1297),"")</f>
        <v/>
      </c>
      <c r="AJ1297" s="86" t="str">
        <f>+IF(AG1297=$AJ$22,MONTH(V1297),"")</f>
        <v/>
      </c>
      <c r="AK1297" s="86" t="str">
        <f>+IF(AG1297=$AK$22,MONTH(V1297),"")</f>
        <v/>
      </c>
      <c r="AL1297" s="86" t="str">
        <f>+IF(AG1297=$AL$22,MONTH(V1297),"")</f>
        <v/>
      </c>
      <c r="AM1297" s="86">
        <f>+IF($AG1297=$AM$22,MONTH($D1297),"")</f>
        <v>12</v>
      </c>
      <c r="AN1297" s="89" t="str">
        <f>+IF($AG1297=AN$22,MONTH($D1297),"")</f>
        <v/>
      </c>
      <c r="AO1297" s="89" t="str">
        <f>+IF($AG1297=AO$22,MONTH($D1297),"")</f>
        <v/>
      </c>
      <c r="AP1297" s="89" t="str">
        <f>+IF($AG1297=AP$22,MONTH($D1297),"")</f>
        <v/>
      </c>
      <c r="AQ1297" s="89" t="str">
        <f>+IF($AG1297=AQ$22,MONTH($D1297),"")</f>
        <v/>
      </c>
      <c r="AR1297" s="89" t="str">
        <f>+IF($AG1297=AR$22,MONTH($D1297),"")</f>
        <v/>
      </c>
      <c r="AS1297" s="89" t="str">
        <f>+IF($AG1297=AS$22,MONTH($D1297),"")</f>
        <v/>
      </c>
      <c r="AT1297" s="89" t="str">
        <f>+IF($AG1297=AT$22,MONTH($D1297),"")</f>
        <v/>
      </c>
      <c r="AU1297" s="89" t="str">
        <f>+IF($AG1297=AU$22,MONTH($D1297),"")</f>
        <v/>
      </c>
      <c r="AV1297" s="89" t="str">
        <f>+IF($AG1297=AV$22,MONTH($D1297),"")</f>
        <v/>
      </c>
      <c r="AW1297" s="86" t="str">
        <f>+IF($AG1297=AW$22,MONTH($D1297),"")</f>
        <v/>
      </c>
      <c r="AX1297" s="86" t="str">
        <f>+IF($AG1297=AX$22,MONTH($D1297),"")</f>
        <v/>
      </c>
      <c r="AY1297" s="89"/>
      <c r="AZ1297" s="89"/>
      <c r="BA1297" s="89"/>
      <c r="BB1297" s="89"/>
      <c r="BC1297" s="89"/>
      <c r="BD1297" s="89"/>
      <c r="BE1297" s="89"/>
      <c r="BF1297" s="89"/>
      <c r="BG1297" s="89"/>
      <c r="BH1297" s="89"/>
      <c r="BI1297" s="89"/>
      <c r="BJ1297" s="89"/>
      <c r="BK1297" s="89"/>
      <c r="BL1297" s="89"/>
      <c r="BM1297" s="89"/>
      <c r="BN1297" s="89"/>
      <c r="BO1297" s="89"/>
      <c r="BP1297" s="89"/>
    </row>
    <row r="1298" spans="1:68" s="56" customFormat="1" ht="53.25" hidden="1">
      <c r="A1298" s="204" t="str">
        <f>+IFERROR(VALUE(MID(AB1298,4,4)),"")</f>
        <v/>
      </c>
      <c r="B1298" s="204">
        <f>VALUE(RIGHT(C1298,LEN(C1298)-2))</f>
        <v>1426</v>
      </c>
      <c r="C1298" s="74" t="s">
        <v>4915</v>
      </c>
      <c r="D1298" s="75">
        <v>44540</v>
      </c>
      <c r="E1298" s="70" t="s">
        <v>53</v>
      </c>
      <c r="F1298" s="70" t="s">
        <v>1279</v>
      </c>
      <c r="G1298" s="68" t="s">
        <v>4916</v>
      </c>
      <c r="H1298" s="59"/>
      <c r="I1298" s="69" t="s">
        <v>4917</v>
      </c>
      <c r="J1298" s="69"/>
      <c r="K1298" s="95" t="s">
        <v>12</v>
      </c>
      <c r="L1298" s="69" t="s">
        <v>123</v>
      </c>
      <c r="M1298" s="71" t="s">
        <v>141</v>
      </c>
      <c r="N1298" s="69" t="e" vm="1">
        <v>#VALUE!</v>
      </c>
      <c r="O1298" s="84">
        <v>44572</v>
      </c>
      <c r="P1298" s="82" t="s">
        <v>4918</v>
      </c>
      <c r="Q1298" s="82" t="s">
        <v>229</v>
      </c>
      <c r="R1298" s="69"/>
      <c r="S1298" s="146" t="s">
        <v>4919</v>
      </c>
      <c r="T1298" s="68" t="s">
        <v>155</v>
      </c>
      <c r="U1298" s="87"/>
      <c r="V1298" s="80">
        <v>44543</v>
      </c>
      <c r="W1298" s="73"/>
      <c r="X1298" s="73"/>
      <c r="Y1298" s="83" t="str">
        <f>IF(SUM(W1298:W1298)&gt;0,X1298/SUM(W1298:W1298)*1000000,"N/A")</f>
        <v>N/A</v>
      </c>
      <c r="Z1298" s="80"/>
      <c r="AA1298" s="80"/>
      <c r="AB1298" s="73"/>
      <c r="AC1298" s="153"/>
      <c r="AD1298" s="331"/>
      <c r="AE1298" s="57"/>
      <c r="AF1298" s="88"/>
      <c r="AG1298" s="182">
        <f>YEAR(D1298)</f>
        <v>2021</v>
      </c>
      <c r="AH1298" s="86" t="str">
        <f>+IF(AE1298=$AJ$22,MONTH(T1298),"")</f>
        <v/>
      </c>
      <c r="AI1298" s="86" t="str">
        <f>+IF(AF1298=$AJ$22,MONTH(U1298),"")</f>
        <v/>
      </c>
      <c r="AJ1298" s="86" t="str">
        <f>+IF(AG1298=$AJ$22,MONTH(V1298),"")</f>
        <v/>
      </c>
      <c r="AK1298" s="86" t="str">
        <f>+IF(AG1298=$AK$22,MONTH(V1298),"")</f>
        <v/>
      </c>
      <c r="AL1298" s="86" t="str">
        <f>+IF(AG1298=$AL$22,MONTH(V1298),"")</f>
        <v/>
      </c>
      <c r="AM1298" s="86">
        <f>+IF($AG1298=$AM$22,MONTH($D1298),"")</f>
        <v>12</v>
      </c>
      <c r="AN1298" s="89" t="str">
        <f>+IF($AG1298=AN$22,MONTH($D1298),"")</f>
        <v/>
      </c>
      <c r="AO1298" s="89" t="str">
        <f>+IF($AG1298=AO$22,MONTH($D1298),"")</f>
        <v/>
      </c>
      <c r="AP1298" s="89" t="str">
        <f>+IF($AG1298=AP$22,MONTH($D1298),"")</f>
        <v/>
      </c>
      <c r="AQ1298" s="89" t="str">
        <f>+IF($AG1298=AQ$22,MONTH($D1298),"")</f>
        <v/>
      </c>
      <c r="AR1298" s="89" t="str">
        <f>+IF($AG1298=AR$22,MONTH($D1298),"")</f>
        <v/>
      </c>
      <c r="AS1298" s="89" t="str">
        <f>+IF($AG1298=AS$22,MONTH($D1298),"")</f>
        <v/>
      </c>
      <c r="AT1298" s="89" t="str">
        <f>+IF($AG1298=AT$22,MONTH($D1298),"")</f>
        <v/>
      </c>
      <c r="AU1298" s="89" t="str">
        <f>+IF($AG1298=AU$22,MONTH($D1298),"")</f>
        <v/>
      </c>
      <c r="AV1298" s="89" t="str">
        <f>+IF($AG1298=AV$22,MONTH($D1298),"")</f>
        <v/>
      </c>
      <c r="AW1298" s="86" t="str">
        <f>+IF($AG1298=AW$22,MONTH($D1298),"")</f>
        <v/>
      </c>
      <c r="AX1298" s="86" t="str">
        <f>+IF($AG1298=AX$22,MONTH($D1298),"")</f>
        <v/>
      </c>
      <c r="AY1298" s="89"/>
      <c r="AZ1298" s="89"/>
      <c r="BA1298" s="89"/>
      <c r="BB1298" s="89"/>
      <c r="BC1298" s="89"/>
      <c r="BD1298" s="89"/>
      <c r="BE1298" s="89"/>
      <c r="BF1298" s="89"/>
      <c r="BG1298" s="89"/>
      <c r="BH1298" s="89"/>
      <c r="BI1298" s="89"/>
      <c r="BJ1298" s="89"/>
      <c r="BK1298" s="89"/>
      <c r="BL1298" s="89"/>
      <c r="BM1298" s="89"/>
      <c r="BN1298" s="89"/>
      <c r="BO1298" s="89"/>
      <c r="BP1298" s="89"/>
    </row>
    <row r="1299" spans="1:68" s="56" customFormat="1" ht="27" hidden="1">
      <c r="A1299" s="204" t="str">
        <f>+IFERROR(VALUE(MID(AB1299,4,4)),"")</f>
        <v/>
      </c>
      <c r="B1299" s="204">
        <f>VALUE(RIGHT(C1299,LEN(C1299)-2))</f>
        <v>1425</v>
      </c>
      <c r="C1299" s="74" t="s">
        <v>4920</v>
      </c>
      <c r="D1299" s="75">
        <v>44540</v>
      </c>
      <c r="E1299" s="70" t="s">
        <v>1321</v>
      </c>
      <c r="F1299" s="70" t="s">
        <v>313</v>
      </c>
      <c r="G1299" s="68" t="s">
        <v>1322</v>
      </c>
      <c r="H1299" s="59" t="s">
        <v>1323</v>
      </c>
      <c r="I1299" s="69" t="s">
        <v>4921</v>
      </c>
      <c r="J1299" s="69"/>
      <c r="K1299" s="68" t="s">
        <v>4922</v>
      </c>
      <c r="L1299" s="69" t="s">
        <v>123</v>
      </c>
      <c r="M1299" s="71" t="s">
        <v>141</v>
      </c>
      <c r="N1299" s="69" t="e" vm="1">
        <v>#VALUE!</v>
      </c>
      <c r="O1299" s="84">
        <v>44602</v>
      </c>
      <c r="P1299" s="72" t="s">
        <v>402</v>
      </c>
      <c r="Q1299" s="72" t="s">
        <v>623</v>
      </c>
      <c r="R1299" s="162"/>
      <c r="S1299" s="146" t="s">
        <v>4923</v>
      </c>
      <c r="T1299" s="68" t="s">
        <v>165</v>
      </c>
      <c r="U1299" s="87"/>
      <c r="V1299" s="80">
        <v>44607</v>
      </c>
      <c r="W1299" s="73">
        <v>16200</v>
      </c>
      <c r="X1299" s="73">
        <v>780</v>
      </c>
      <c r="Y1299" s="83">
        <f>IF(SUM(W1299:W1299)&gt;0,X1299/SUM(W1299:W1299)*1000000,"N/A")</f>
        <v>48148.148148148146</v>
      </c>
      <c r="Z1299" s="80"/>
      <c r="AA1299" s="80"/>
      <c r="AB1299" s="73"/>
      <c r="AC1299" s="153"/>
      <c r="AD1299" s="331"/>
      <c r="AE1299" s="57"/>
      <c r="AF1299" s="88"/>
      <c r="AG1299" s="182">
        <f>YEAR(D1299)</f>
        <v>2021</v>
      </c>
      <c r="AH1299" s="86" t="str">
        <f>+IF(AE1299=$AJ$22,MONTH(T1299),"")</f>
        <v/>
      </c>
      <c r="AI1299" s="86" t="str">
        <f>+IF(AF1299=$AJ$22,MONTH(U1299),"")</f>
        <v/>
      </c>
      <c r="AJ1299" s="86" t="str">
        <f>+IF(AG1299=$AJ$22,MONTH(V1299),"")</f>
        <v/>
      </c>
      <c r="AK1299" s="86" t="str">
        <f>+IF(AG1299=$AK$22,MONTH(V1299),"")</f>
        <v/>
      </c>
      <c r="AL1299" s="86" t="str">
        <f>+IF(AG1299=$AL$22,MONTH(V1299),"")</f>
        <v/>
      </c>
      <c r="AM1299" s="86">
        <f>+IF($AG1299=$AM$22,MONTH($D1299),"")</f>
        <v>12</v>
      </c>
      <c r="AN1299" s="89" t="str">
        <f>+IF($AG1299=AN$22,MONTH($D1299),"")</f>
        <v/>
      </c>
      <c r="AO1299" s="89" t="str">
        <f>+IF($AG1299=AO$22,MONTH($D1299),"")</f>
        <v/>
      </c>
      <c r="AP1299" s="89" t="str">
        <f>+IF($AG1299=AP$22,MONTH($D1299),"")</f>
        <v/>
      </c>
      <c r="AQ1299" s="89" t="str">
        <f>+IF($AG1299=AQ$22,MONTH($D1299),"")</f>
        <v/>
      </c>
      <c r="AR1299" s="89" t="str">
        <f>+IF($AG1299=AR$22,MONTH($D1299),"")</f>
        <v/>
      </c>
      <c r="AS1299" s="89" t="str">
        <f>+IF($AG1299=AS$22,MONTH($D1299),"")</f>
        <v/>
      </c>
      <c r="AT1299" s="89" t="str">
        <f>+IF($AG1299=AT$22,MONTH($D1299),"")</f>
        <v/>
      </c>
      <c r="AU1299" s="89" t="str">
        <f>+IF($AG1299=AU$22,MONTH($D1299),"")</f>
        <v/>
      </c>
      <c r="AV1299" s="89" t="str">
        <f>+IF($AG1299=AV$22,MONTH($D1299),"")</f>
        <v/>
      </c>
      <c r="AW1299" s="86" t="str">
        <f>+IF($AG1299=AW$22,MONTH($D1299),"")</f>
        <v/>
      </c>
      <c r="AX1299" s="86" t="str">
        <f>+IF($AG1299=AX$22,MONTH($D1299),"")</f>
        <v/>
      </c>
      <c r="AY1299" s="89"/>
      <c r="AZ1299" s="89"/>
      <c r="BA1299" s="89"/>
      <c r="BB1299" s="89"/>
      <c r="BC1299" s="89"/>
      <c r="BD1299" s="89"/>
      <c r="BE1299" s="89"/>
      <c r="BF1299" s="89"/>
      <c r="BG1299" s="89"/>
      <c r="BH1299" s="89"/>
      <c r="BI1299" s="89"/>
      <c r="BJ1299" s="89"/>
      <c r="BK1299" s="89"/>
      <c r="BL1299" s="89"/>
      <c r="BM1299" s="89"/>
      <c r="BN1299" s="89"/>
      <c r="BO1299" s="89"/>
      <c r="BP1299" s="89"/>
    </row>
    <row r="1300" spans="1:68" s="56" customFormat="1" ht="40.5" hidden="1">
      <c r="A1300" s="204" t="str">
        <f>+IFERROR(VALUE(MID(AB1300,4,4)),"")</f>
        <v/>
      </c>
      <c r="B1300" s="204">
        <f>VALUE(RIGHT(C1300,LEN(C1300)-2))</f>
        <v>1424</v>
      </c>
      <c r="C1300" s="74" t="s">
        <v>4924</v>
      </c>
      <c r="D1300" s="75">
        <v>44539</v>
      </c>
      <c r="E1300" s="70" t="s">
        <v>4925</v>
      </c>
      <c r="F1300" s="70" t="s">
        <v>4926</v>
      </c>
      <c r="G1300" s="68" t="s">
        <v>4927</v>
      </c>
      <c r="H1300" s="59" t="s">
        <v>4928</v>
      </c>
      <c r="I1300" s="69" t="s">
        <v>4929</v>
      </c>
      <c r="J1300" s="69"/>
      <c r="K1300" s="68" t="s">
        <v>9</v>
      </c>
      <c r="L1300" s="69" t="s">
        <v>120</v>
      </c>
      <c r="M1300" s="71" t="s">
        <v>141</v>
      </c>
      <c r="N1300" s="69" t="e" vm="1">
        <v>#VALUE!</v>
      </c>
      <c r="O1300" s="84">
        <v>44550</v>
      </c>
      <c r="P1300" s="72" t="s">
        <v>402</v>
      </c>
      <c r="Q1300" s="72" t="s">
        <v>623</v>
      </c>
      <c r="R1300" s="162"/>
      <c r="S1300" s="146" t="s">
        <v>4930</v>
      </c>
      <c r="T1300" s="68" t="s">
        <v>155</v>
      </c>
      <c r="U1300" s="87">
        <v>0</v>
      </c>
      <c r="V1300" s="80">
        <v>44580</v>
      </c>
      <c r="W1300" s="73"/>
      <c r="X1300" s="73"/>
      <c r="Y1300" s="83" t="str">
        <f>IF(SUM(W1300:W1300)&gt;0,X1300/SUM(W1300:W1300)*1000000,"N/A")</f>
        <v>N/A</v>
      </c>
      <c r="Z1300" s="80"/>
      <c r="AA1300" s="80"/>
      <c r="AB1300" s="73"/>
      <c r="AC1300" s="153"/>
      <c r="AD1300" s="331"/>
      <c r="AE1300" s="57"/>
      <c r="AF1300" s="88"/>
      <c r="AG1300" s="182">
        <f>YEAR(D1300)</f>
        <v>2021</v>
      </c>
      <c r="AH1300" s="86" t="str">
        <f>+IF(AE1300=$AJ$22,MONTH(T1300),"")</f>
        <v/>
      </c>
      <c r="AI1300" s="86" t="str">
        <f>+IF(AF1300=$AJ$22,MONTH(U1300),"")</f>
        <v/>
      </c>
      <c r="AJ1300" s="86" t="str">
        <f>+IF(AG1300=$AJ$22,MONTH(V1300),"")</f>
        <v/>
      </c>
      <c r="AK1300" s="86" t="str">
        <f>+IF(AG1300=$AK$22,MONTH(V1300),"")</f>
        <v/>
      </c>
      <c r="AL1300" s="86" t="str">
        <f>+IF(AG1300=$AL$22,MONTH(V1300),"")</f>
        <v/>
      </c>
      <c r="AM1300" s="86">
        <f>+IF($AG1300=$AM$22,MONTH($D1300),"")</f>
        <v>12</v>
      </c>
      <c r="AN1300" s="89" t="str">
        <f>+IF($AG1300=AN$22,MONTH($D1300),"")</f>
        <v/>
      </c>
      <c r="AO1300" s="89" t="str">
        <f>+IF($AG1300=AO$22,MONTH($D1300),"")</f>
        <v/>
      </c>
      <c r="AP1300" s="89" t="str">
        <f>+IF($AG1300=AP$22,MONTH($D1300),"")</f>
        <v/>
      </c>
      <c r="AQ1300" s="89" t="str">
        <f>+IF($AG1300=AQ$22,MONTH($D1300),"")</f>
        <v/>
      </c>
      <c r="AR1300" s="89" t="str">
        <f>+IF($AG1300=AR$22,MONTH($D1300),"")</f>
        <v/>
      </c>
      <c r="AS1300" s="89" t="str">
        <f>+IF($AG1300=AS$22,MONTH($D1300),"")</f>
        <v/>
      </c>
      <c r="AT1300" s="89" t="str">
        <f>+IF($AG1300=AT$22,MONTH($D1300),"")</f>
        <v/>
      </c>
      <c r="AU1300" s="89" t="str">
        <f>+IF($AG1300=AU$22,MONTH($D1300),"")</f>
        <v/>
      </c>
      <c r="AV1300" s="89" t="str">
        <f>+IF($AG1300=AV$22,MONTH($D1300),"")</f>
        <v/>
      </c>
      <c r="AW1300" s="86" t="str">
        <f>+IF($AG1300=AW$22,MONTH($D1300),"")</f>
        <v/>
      </c>
      <c r="AX1300" s="86" t="str">
        <f>+IF($AG1300=AX$22,MONTH($D1300),"")</f>
        <v/>
      </c>
      <c r="AY1300" s="89"/>
      <c r="AZ1300" s="89"/>
      <c r="BA1300" s="89"/>
      <c r="BB1300" s="89"/>
      <c r="BC1300" s="89"/>
      <c r="BD1300" s="89"/>
      <c r="BE1300" s="89"/>
      <c r="BF1300" s="89"/>
      <c r="BG1300" s="89"/>
      <c r="BH1300" s="89"/>
      <c r="BI1300" s="89"/>
      <c r="BJ1300" s="89"/>
      <c r="BK1300" s="89"/>
      <c r="BL1300" s="89"/>
      <c r="BM1300" s="89"/>
      <c r="BN1300" s="89"/>
      <c r="BO1300" s="89"/>
      <c r="BP1300" s="89"/>
    </row>
    <row r="1301" spans="1:68" s="56" customFormat="1" ht="81" hidden="1">
      <c r="A1301" s="204" t="str">
        <f>+IFERROR(VALUE(MID(AB1301,4,4)),"")</f>
        <v/>
      </c>
      <c r="B1301" s="204">
        <f>VALUE(RIGHT(C1301,LEN(C1301)-2))</f>
        <v>1423</v>
      </c>
      <c r="C1301" s="74" t="s">
        <v>4931</v>
      </c>
      <c r="D1301" s="75">
        <v>44539</v>
      </c>
      <c r="E1301" s="70" t="s">
        <v>262</v>
      </c>
      <c r="F1301" s="70" t="s">
        <v>270</v>
      </c>
      <c r="G1301" s="68" t="s">
        <v>4932</v>
      </c>
      <c r="H1301" s="59"/>
      <c r="I1301" s="69" t="s">
        <v>4933</v>
      </c>
      <c r="J1301" s="69"/>
      <c r="K1301" s="68" t="s">
        <v>212</v>
      </c>
      <c r="L1301" s="69" t="s">
        <v>123</v>
      </c>
      <c r="M1301" s="71" t="s">
        <v>141</v>
      </c>
      <c r="N1301" s="69" t="e" vm="1">
        <v>#VALUE!</v>
      </c>
      <c r="O1301" s="84" t="s">
        <v>213</v>
      </c>
      <c r="P1301" s="72" t="s">
        <v>402</v>
      </c>
      <c r="Q1301" s="72" t="s">
        <v>623</v>
      </c>
      <c r="R1301" s="162"/>
      <c r="S1301" s="146" t="s">
        <v>4934</v>
      </c>
      <c r="T1301" s="68" t="s">
        <v>155</v>
      </c>
      <c r="U1301" s="87">
        <v>0</v>
      </c>
      <c r="V1301" s="80">
        <v>44606</v>
      </c>
      <c r="W1301" s="73"/>
      <c r="X1301" s="73"/>
      <c r="Y1301" s="83" t="str">
        <f>IF(SUM(W1301:W1301)&gt;0,X1301/SUM(W1301:W1301)*1000000,"N/A")</f>
        <v>N/A</v>
      </c>
      <c r="Z1301" s="80"/>
      <c r="AA1301" s="80"/>
      <c r="AB1301" s="73"/>
      <c r="AC1301" s="153"/>
      <c r="AD1301" s="331"/>
      <c r="AE1301" s="57"/>
      <c r="AF1301" s="88"/>
      <c r="AG1301" s="182">
        <f>YEAR(D1301)</f>
        <v>2021</v>
      </c>
      <c r="AH1301" s="86" t="str">
        <f>+IF(AE1301=$AJ$22,MONTH(T1301),"")</f>
        <v/>
      </c>
      <c r="AI1301" s="86" t="str">
        <f>+IF(AF1301=$AJ$22,MONTH(U1301),"")</f>
        <v/>
      </c>
      <c r="AJ1301" s="86" t="str">
        <f>+IF(AG1301=$AJ$22,MONTH(V1301),"")</f>
        <v/>
      </c>
      <c r="AK1301" s="86" t="str">
        <f>+IF(AG1301=$AK$22,MONTH(V1301),"")</f>
        <v/>
      </c>
      <c r="AL1301" s="86" t="str">
        <f>+IF(AG1301=$AL$22,MONTH(V1301),"")</f>
        <v/>
      </c>
      <c r="AM1301" s="86">
        <f>+IF($AG1301=$AM$22,MONTH($D1301),"")</f>
        <v>12</v>
      </c>
      <c r="AN1301" s="89" t="str">
        <f>+IF($AG1301=AN$22,MONTH($D1301),"")</f>
        <v/>
      </c>
      <c r="AO1301" s="89" t="str">
        <f>+IF($AG1301=AO$22,MONTH($D1301),"")</f>
        <v/>
      </c>
      <c r="AP1301" s="89" t="str">
        <f>+IF($AG1301=AP$22,MONTH($D1301),"")</f>
        <v/>
      </c>
      <c r="AQ1301" s="89" t="str">
        <f>+IF($AG1301=AQ$22,MONTH($D1301),"")</f>
        <v/>
      </c>
      <c r="AR1301" s="89" t="str">
        <f>+IF($AG1301=AR$22,MONTH($D1301),"")</f>
        <v/>
      </c>
      <c r="AS1301" s="89" t="str">
        <f>+IF($AG1301=AS$22,MONTH($D1301),"")</f>
        <v/>
      </c>
      <c r="AT1301" s="89" t="str">
        <f>+IF($AG1301=AT$22,MONTH($D1301),"")</f>
        <v/>
      </c>
      <c r="AU1301" s="89" t="str">
        <f>+IF($AG1301=AU$22,MONTH($D1301),"")</f>
        <v/>
      </c>
      <c r="AV1301" s="89" t="str">
        <f>+IF($AG1301=AV$22,MONTH($D1301),"")</f>
        <v/>
      </c>
      <c r="AW1301" s="86" t="str">
        <f>+IF($AG1301=AW$22,MONTH($D1301),"")</f>
        <v/>
      </c>
      <c r="AX1301" s="86" t="str">
        <f>+IF($AG1301=AX$22,MONTH($D1301),"")</f>
        <v/>
      </c>
      <c r="AY1301" s="89"/>
      <c r="AZ1301" s="89"/>
      <c r="BA1301" s="89"/>
      <c r="BB1301" s="89"/>
      <c r="BC1301" s="89"/>
      <c r="BD1301" s="89"/>
      <c r="BE1301" s="89"/>
      <c r="BF1301" s="89"/>
      <c r="BG1301" s="89"/>
      <c r="BH1301" s="89"/>
      <c r="BI1301" s="89"/>
      <c r="BJ1301" s="89"/>
      <c r="BK1301" s="89"/>
      <c r="BL1301" s="89"/>
      <c r="BM1301" s="89"/>
      <c r="BN1301" s="89"/>
      <c r="BO1301" s="89"/>
      <c r="BP1301" s="89"/>
    </row>
    <row r="1302" spans="1:68" s="56" customFormat="1" ht="121.5" hidden="1">
      <c r="A1302" s="204" t="str">
        <f>+IFERROR(VALUE(MID(AB1302,4,4)),"")</f>
        <v/>
      </c>
      <c r="B1302" s="204">
        <f>VALUE(RIGHT(C1302,LEN(C1302)-2))</f>
        <v>1422</v>
      </c>
      <c r="C1302" s="74" t="s">
        <v>4935</v>
      </c>
      <c r="D1302" s="75">
        <v>44539</v>
      </c>
      <c r="E1302" s="70" t="s">
        <v>4936</v>
      </c>
      <c r="F1302" s="70" t="s">
        <v>354</v>
      </c>
      <c r="G1302" s="68" t="s">
        <v>4937</v>
      </c>
      <c r="H1302" s="59" t="s">
        <v>4938</v>
      </c>
      <c r="I1302" s="69" t="s">
        <v>4939</v>
      </c>
      <c r="J1302" s="69"/>
      <c r="K1302" s="95" t="s">
        <v>9</v>
      </c>
      <c r="L1302" s="69" t="s">
        <v>120</v>
      </c>
      <c r="M1302" s="71" t="s">
        <v>141</v>
      </c>
      <c r="N1302" s="69" t="e" vm="1">
        <v>#VALUE!</v>
      </c>
      <c r="O1302" s="84" t="s">
        <v>213</v>
      </c>
      <c r="P1302" s="82" t="s">
        <v>402</v>
      </c>
      <c r="Q1302" s="82" t="s">
        <v>623</v>
      </c>
      <c r="R1302" s="69"/>
      <c r="S1302" s="146" t="s">
        <v>4940</v>
      </c>
      <c r="T1302" s="68" t="s">
        <v>155</v>
      </c>
      <c r="U1302" s="87"/>
      <c r="V1302" s="80">
        <v>44539</v>
      </c>
      <c r="W1302" s="73"/>
      <c r="X1302" s="73"/>
      <c r="Y1302" s="83" t="str">
        <f>IF(SUM(W1302:W1302)&gt;0,X1302/SUM(W1302:W1302)*1000000,"N/A")</f>
        <v>N/A</v>
      </c>
      <c r="Z1302" s="80"/>
      <c r="AA1302" s="80"/>
      <c r="AB1302" s="73"/>
      <c r="AC1302" s="153"/>
      <c r="AD1302" s="331"/>
      <c r="AE1302" s="57"/>
      <c r="AF1302" s="88"/>
      <c r="AG1302" s="182">
        <f>YEAR(D1302)</f>
        <v>2021</v>
      </c>
      <c r="AH1302" s="86" t="str">
        <f>+IF(AE1302=$AJ$22,MONTH(T1302),"")</f>
        <v/>
      </c>
      <c r="AI1302" s="86" t="str">
        <f>+IF(AF1302=$AJ$22,MONTH(U1302),"")</f>
        <v/>
      </c>
      <c r="AJ1302" s="86" t="str">
        <f>+IF(AG1302=$AJ$22,MONTH(V1302),"")</f>
        <v/>
      </c>
      <c r="AK1302" s="86" t="str">
        <f>+IF(AG1302=$AK$22,MONTH(V1302),"")</f>
        <v/>
      </c>
      <c r="AL1302" s="86" t="str">
        <f>+IF(AG1302=$AL$22,MONTH(V1302),"")</f>
        <v/>
      </c>
      <c r="AM1302" s="86">
        <f>+IF($AG1302=$AM$22,MONTH($D1302),"")</f>
        <v>12</v>
      </c>
      <c r="AN1302" s="89" t="str">
        <f>+IF($AG1302=AN$22,MONTH($D1302),"")</f>
        <v/>
      </c>
      <c r="AO1302" s="89" t="str">
        <f>+IF($AG1302=AO$22,MONTH($D1302),"")</f>
        <v/>
      </c>
      <c r="AP1302" s="89" t="str">
        <f>+IF($AG1302=AP$22,MONTH($D1302),"")</f>
        <v/>
      </c>
      <c r="AQ1302" s="89" t="str">
        <f>+IF($AG1302=AQ$22,MONTH($D1302),"")</f>
        <v/>
      </c>
      <c r="AR1302" s="89" t="str">
        <f>+IF($AG1302=AR$22,MONTH($D1302),"")</f>
        <v/>
      </c>
      <c r="AS1302" s="89" t="str">
        <f>+IF($AG1302=AS$22,MONTH($D1302),"")</f>
        <v/>
      </c>
      <c r="AT1302" s="89" t="str">
        <f>+IF($AG1302=AT$22,MONTH($D1302),"")</f>
        <v/>
      </c>
      <c r="AU1302" s="89" t="str">
        <f>+IF($AG1302=AU$22,MONTH($D1302),"")</f>
        <v/>
      </c>
      <c r="AV1302" s="89" t="str">
        <f>+IF($AG1302=AV$22,MONTH($D1302),"")</f>
        <v/>
      </c>
      <c r="AW1302" s="86" t="str">
        <f>+IF($AG1302=AW$22,MONTH($D1302),"")</f>
        <v/>
      </c>
      <c r="AX1302" s="86" t="str">
        <f>+IF($AG1302=AX$22,MONTH($D1302),"")</f>
        <v/>
      </c>
      <c r="AY1302" s="89"/>
      <c r="AZ1302" s="89"/>
      <c r="BA1302" s="89"/>
      <c r="BB1302" s="89"/>
      <c r="BC1302" s="89"/>
      <c r="BD1302" s="89"/>
      <c r="BE1302" s="89"/>
      <c r="BF1302" s="89"/>
      <c r="BG1302" s="89"/>
      <c r="BH1302" s="89"/>
      <c r="BI1302" s="89"/>
      <c r="BJ1302" s="89"/>
      <c r="BK1302" s="89"/>
      <c r="BL1302" s="89"/>
      <c r="BM1302" s="89"/>
      <c r="BN1302" s="89"/>
      <c r="BO1302" s="89"/>
      <c r="BP1302" s="89"/>
    </row>
    <row r="1303" spans="1:68" s="56" customFormat="1" ht="40.5" hidden="1">
      <c r="A1303" s="204" t="str">
        <f>+IFERROR(VALUE(MID(AB1303,4,4)),"")</f>
        <v/>
      </c>
      <c r="B1303" s="204">
        <f>VALUE(RIGHT(C1303,LEN(C1303)-2))</f>
        <v>1421</v>
      </c>
      <c r="C1303" s="74" t="s">
        <v>4941</v>
      </c>
      <c r="D1303" s="75">
        <v>44537</v>
      </c>
      <c r="E1303" s="70" t="s">
        <v>4942</v>
      </c>
      <c r="F1303" s="70" t="s">
        <v>4942</v>
      </c>
      <c r="G1303" s="68" t="s">
        <v>4943</v>
      </c>
      <c r="H1303" s="59"/>
      <c r="I1303" s="69" t="s">
        <v>4944</v>
      </c>
      <c r="J1303" s="69"/>
      <c r="K1303" s="95" t="s">
        <v>11</v>
      </c>
      <c r="L1303" s="69" t="s">
        <v>120</v>
      </c>
      <c r="M1303" s="71" t="s">
        <v>141</v>
      </c>
      <c r="N1303" s="69" t="e" vm="1">
        <v>#VALUE!</v>
      </c>
      <c r="O1303" s="84">
        <v>44540</v>
      </c>
      <c r="P1303" s="82" t="s">
        <v>402</v>
      </c>
      <c r="Q1303" s="82" t="s">
        <v>259</v>
      </c>
      <c r="R1303" s="69"/>
      <c r="S1303" s="146" t="s">
        <v>4945</v>
      </c>
      <c r="T1303" s="68" t="s">
        <v>165</v>
      </c>
      <c r="U1303" s="87"/>
      <c r="V1303" s="80">
        <v>44580</v>
      </c>
      <c r="W1303" s="73">
        <v>126</v>
      </c>
      <c r="X1303" s="73">
        <f>126*28300/1000000</f>
        <v>3.5657999999999999</v>
      </c>
      <c r="Y1303" s="83">
        <f>IF(SUM(W1303:W1303)&gt;0,X1303/SUM(W1303:W1303)*1000000,"N/A")</f>
        <v>28300</v>
      </c>
      <c r="Z1303" s="80"/>
      <c r="AA1303" s="80"/>
      <c r="AB1303" s="73"/>
      <c r="AC1303" s="153"/>
      <c r="AD1303" s="331"/>
      <c r="AE1303" s="57"/>
      <c r="AF1303" s="88"/>
      <c r="AG1303" s="182">
        <f>YEAR(D1303)</f>
        <v>2021</v>
      </c>
      <c r="AH1303" s="86" t="str">
        <f>+IF(AE1303=$AJ$22,MONTH(T1303),"")</f>
        <v/>
      </c>
      <c r="AI1303" s="86" t="str">
        <f>+IF(AF1303=$AJ$22,MONTH(U1303),"")</f>
        <v/>
      </c>
      <c r="AJ1303" s="86" t="str">
        <f>+IF(AG1303=$AJ$22,MONTH(V1303),"")</f>
        <v/>
      </c>
      <c r="AK1303" s="86" t="str">
        <f>+IF(AG1303=$AK$22,MONTH(V1303),"")</f>
        <v/>
      </c>
      <c r="AL1303" s="86" t="str">
        <f>+IF(AG1303=$AL$22,MONTH(V1303),"")</f>
        <v/>
      </c>
      <c r="AM1303" s="86">
        <f>+IF($AG1303=$AM$22,MONTH($D1303),"")</f>
        <v>12</v>
      </c>
      <c r="AN1303" s="89" t="str">
        <f>+IF($AG1303=AN$22,MONTH($D1303),"")</f>
        <v/>
      </c>
      <c r="AO1303" s="89" t="str">
        <f>+IF($AG1303=AO$22,MONTH($D1303),"")</f>
        <v/>
      </c>
      <c r="AP1303" s="89" t="str">
        <f>+IF($AG1303=AP$22,MONTH($D1303),"")</f>
        <v/>
      </c>
      <c r="AQ1303" s="89" t="str">
        <f>+IF($AG1303=AQ$22,MONTH($D1303),"")</f>
        <v/>
      </c>
      <c r="AR1303" s="89" t="str">
        <f>+IF($AG1303=AR$22,MONTH($D1303),"")</f>
        <v/>
      </c>
      <c r="AS1303" s="89" t="str">
        <f>+IF($AG1303=AS$22,MONTH($D1303),"")</f>
        <v/>
      </c>
      <c r="AT1303" s="89" t="str">
        <f>+IF($AG1303=AT$22,MONTH($D1303),"")</f>
        <v/>
      </c>
      <c r="AU1303" s="89" t="str">
        <f>+IF($AG1303=AU$22,MONTH($D1303),"")</f>
        <v/>
      </c>
      <c r="AV1303" s="89" t="str">
        <f>+IF($AG1303=AV$22,MONTH($D1303),"")</f>
        <v/>
      </c>
      <c r="AW1303" s="86" t="str">
        <f>+IF($AG1303=AW$22,MONTH($D1303),"")</f>
        <v/>
      </c>
      <c r="AX1303" s="86" t="str">
        <f>+IF($AG1303=AX$22,MONTH($D1303),"")</f>
        <v/>
      </c>
      <c r="AY1303" s="89"/>
      <c r="AZ1303" s="89"/>
      <c r="BA1303" s="89"/>
      <c r="BB1303" s="89"/>
      <c r="BC1303" s="89"/>
      <c r="BD1303" s="89"/>
      <c r="BE1303" s="89"/>
      <c r="BF1303" s="89"/>
      <c r="BG1303" s="89"/>
      <c r="BH1303" s="89"/>
      <c r="BI1303" s="89"/>
      <c r="BJ1303" s="89"/>
      <c r="BK1303" s="89"/>
      <c r="BL1303" s="89"/>
      <c r="BM1303" s="89"/>
      <c r="BN1303" s="89"/>
      <c r="BO1303" s="89"/>
      <c r="BP1303" s="89"/>
    </row>
    <row r="1304" spans="1:68" s="56" customFormat="1" ht="13.5" hidden="1">
      <c r="A1304" s="204" t="str">
        <f>+IFERROR(VALUE(MID(AB1304,4,4)),"")</f>
        <v/>
      </c>
      <c r="B1304" s="204">
        <f>VALUE(RIGHT(C1304,LEN(C1304)-2))</f>
        <v>1420</v>
      </c>
      <c r="C1304" s="74" t="s">
        <v>4946</v>
      </c>
      <c r="D1304" s="75">
        <v>44531</v>
      </c>
      <c r="E1304" s="70" t="s">
        <v>479</v>
      </c>
      <c r="F1304" s="70" t="s">
        <v>479</v>
      </c>
      <c r="G1304" s="68"/>
      <c r="H1304" s="59"/>
      <c r="I1304" s="69" t="s">
        <v>4947</v>
      </c>
      <c r="J1304" s="69"/>
      <c r="K1304" s="95" t="s">
        <v>18</v>
      </c>
      <c r="L1304" s="69" t="s">
        <v>129</v>
      </c>
      <c r="M1304" s="71" t="s">
        <v>113</v>
      </c>
      <c r="N1304" s="69" t="e" vm="2">
        <v>#VALUE!</v>
      </c>
      <c r="O1304" s="84">
        <v>44537</v>
      </c>
      <c r="P1304" s="82" t="s">
        <v>483</v>
      </c>
      <c r="Q1304" s="82" t="s">
        <v>623</v>
      </c>
      <c r="R1304" s="69"/>
      <c r="S1304" s="146" t="s">
        <v>2491</v>
      </c>
      <c r="T1304" s="68" t="s">
        <v>165</v>
      </c>
      <c r="U1304" s="87"/>
      <c r="V1304" s="80">
        <v>44533</v>
      </c>
      <c r="W1304" s="73">
        <v>605</v>
      </c>
      <c r="X1304" s="73">
        <v>21.2</v>
      </c>
      <c r="Y1304" s="83">
        <f>IF(SUM(W1304:W1304)&gt;0,X1304/SUM(W1304:W1304)*1000000,"N/A")</f>
        <v>35041.322314049583</v>
      </c>
      <c r="Z1304" s="80"/>
      <c r="AA1304" s="80"/>
      <c r="AB1304" s="73"/>
      <c r="AC1304" s="153"/>
      <c r="AD1304" s="331"/>
      <c r="AE1304" s="57"/>
      <c r="AF1304" s="88"/>
      <c r="AG1304" s="182">
        <f>YEAR(D1304)</f>
        <v>2021</v>
      </c>
      <c r="AH1304" s="86" t="str">
        <f>+IF(AE1304=$AJ$22,MONTH(T1304),"")</f>
        <v/>
      </c>
      <c r="AI1304" s="86" t="str">
        <f>+IF(AF1304=$AJ$22,MONTH(U1304),"")</f>
        <v/>
      </c>
      <c r="AJ1304" s="86" t="str">
        <f>+IF(AG1304=$AJ$22,MONTH(V1304),"")</f>
        <v/>
      </c>
      <c r="AK1304" s="86" t="str">
        <f>+IF(AG1304=$AK$22,MONTH(V1304),"")</f>
        <v/>
      </c>
      <c r="AL1304" s="86" t="str">
        <f>+IF(AG1304=$AL$22,MONTH(V1304),"")</f>
        <v/>
      </c>
      <c r="AM1304" s="86">
        <f>+IF($AG1304=$AM$22,MONTH($D1304),"")</f>
        <v>12</v>
      </c>
      <c r="AN1304" s="89" t="str">
        <f>+IF($AG1304=AN$22,MONTH($D1304),"")</f>
        <v/>
      </c>
      <c r="AO1304" s="89" t="str">
        <f>+IF($AG1304=AO$22,MONTH($D1304),"")</f>
        <v/>
      </c>
      <c r="AP1304" s="89" t="str">
        <f>+IF($AG1304=AP$22,MONTH($D1304),"")</f>
        <v/>
      </c>
      <c r="AQ1304" s="89" t="str">
        <f>+IF($AG1304=AQ$22,MONTH($D1304),"")</f>
        <v/>
      </c>
      <c r="AR1304" s="89" t="str">
        <f>+IF($AG1304=AR$22,MONTH($D1304),"")</f>
        <v/>
      </c>
      <c r="AS1304" s="89" t="str">
        <f>+IF($AG1304=AS$22,MONTH($D1304),"")</f>
        <v/>
      </c>
      <c r="AT1304" s="89" t="str">
        <f>+IF($AG1304=AT$22,MONTH($D1304),"")</f>
        <v/>
      </c>
      <c r="AU1304" s="89" t="str">
        <f>+IF($AG1304=AU$22,MONTH($D1304),"")</f>
        <v/>
      </c>
      <c r="AV1304" s="89" t="str">
        <f>+IF($AG1304=AV$22,MONTH($D1304),"")</f>
        <v/>
      </c>
      <c r="AW1304" s="86" t="str">
        <f>+IF($AG1304=AW$22,MONTH($D1304),"")</f>
        <v/>
      </c>
      <c r="AX1304" s="86" t="str">
        <f>+IF($AG1304=AX$22,MONTH($D1304),"")</f>
        <v/>
      </c>
      <c r="AY1304" s="89"/>
      <c r="AZ1304" s="89"/>
      <c r="BA1304" s="89"/>
      <c r="BB1304" s="89"/>
      <c r="BC1304" s="89"/>
      <c r="BD1304" s="89"/>
      <c r="BE1304" s="89"/>
      <c r="BF1304" s="89"/>
      <c r="BG1304" s="89"/>
      <c r="BH1304" s="89"/>
      <c r="BI1304" s="89"/>
      <c r="BJ1304" s="89"/>
      <c r="BK1304" s="89"/>
      <c r="BL1304" s="89"/>
      <c r="BM1304" s="89"/>
      <c r="BN1304" s="89"/>
      <c r="BO1304" s="89"/>
      <c r="BP1304" s="89"/>
    </row>
    <row r="1305" spans="1:68" s="56" customFormat="1" ht="81" hidden="1">
      <c r="A1305" s="204" t="str">
        <f>+IFERROR(VALUE(MID(AB1305,4,4)),"")</f>
        <v/>
      </c>
      <c r="B1305" s="204">
        <f>VALUE(RIGHT(C1305,LEN(C1305)-2))</f>
        <v>1419</v>
      </c>
      <c r="C1305" s="74" t="s">
        <v>4948</v>
      </c>
      <c r="D1305" s="75">
        <v>44525</v>
      </c>
      <c r="E1305" s="70" t="s">
        <v>97</v>
      </c>
      <c r="F1305" s="70" t="s">
        <v>252</v>
      </c>
      <c r="G1305" s="68" t="s">
        <v>4043</v>
      </c>
      <c r="H1305" s="59" t="s">
        <v>4044</v>
      </c>
      <c r="I1305" s="69" t="s">
        <v>4949</v>
      </c>
      <c r="J1305" s="69"/>
      <c r="K1305" s="95" t="s">
        <v>18</v>
      </c>
      <c r="L1305" s="69" t="s">
        <v>120</v>
      </c>
      <c r="M1305" s="71" t="s">
        <v>141</v>
      </c>
      <c r="N1305" s="69" t="e" vm="1">
        <v>#VALUE!</v>
      </c>
      <c r="O1305" s="84">
        <v>44571</v>
      </c>
      <c r="P1305" s="82" t="s">
        <v>402</v>
      </c>
      <c r="Q1305" s="82" t="s">
        <v>623</v>
      </c>
      <c r="R1305" s="69"/>
      <c r="S1305" s="146" t="s">
        <v>4950</v>
      </c>
      <c r="T1305" s="68" t="s">
        <v>165</v>
      </c>
      <c r="U1305" s="87"/>
      <c r="V1305" s="80">
        <v>44886</v>
      </c>
      <c r="W1305" s="73">
        <v>515</v>
      </c>
      <c r="X1305" s="73">
        <v>29.75</v>
      </c>
      <c r="Y1305" s="83">
        <f>IF(SUM(W1305:W1305)&gt;0,X1305/SUM(W1305:W1305)*1000000,"N/A")</f>
        <v>57766.99029126214</v>
      </c>
      <c r="Z1305" s="80"/>
      <c r="AA1305" s="80"/>
      <c r="AB1305" s="73"/>
      <c r="AC1305" s="153"/>
      <c r="AD1305" s="331"/>
      <c r="AE1305" s="57"/>
      <c r="AF1305" s="88"/>
      <c r="AG1305" s="182">
        <f>YEAR(D1305)</f>
        <v>2021</v>
      </c>
      <c r="AH1305" s="86" t="str">
        <f>+IF(AE1305=$AJ$22,MONTH(T1305),"")</f>
        <v/>
      </c>
      <c r="AI1305" s="86" t="str">
        <f>+IF(AF1305=$AJ$22,MONTH(U1305),"")</f>
        <v/>
      </c>
      <c r="AJ1305" s="86" t="str">
        <f>+IF(AG1305=$AJ$22,MONTH(V1305),"")</f>
        <v/>
      </c>
      <c r="AK1305" s="86" t="str">
        <f>+IF(AG1305=$AK$22,MONTH(V1305),"")</f>
        <v/>
      </c>
      <c r="AL1305" s="86" t="str">
        <f>+IF(AG1305=$AL$22,MONTH(V1305),"")</f>
        <v/>
      </c>
      <c r="AM1305" s="86">
        <f>+IF($AG1305=$AM$22,MONTH($D1305),"")</f>
        <v>11</v>
      </c>
      <c r="AN1305" s="89" t="str">
        <f>+IF($AG1305=AN$22,MONTH($D1305),"")</f>
        <v/>
      </c>
      <c r="AO1305" s="89" t="str">
        <f>+IF($AG1305=AO$22,MONTH($D1305),"")</f>
        <v/>
      </c>
      <c r="AP1305" s="89" t="str">
        <f>+IF($AG1305=AP$22,MONTH($D1305),"")</f>
        <v/>
      </c>
      <c r="AQ1305" s="89" t="str">
        <f>+IF($AG1305=AQ$22,MONTH($D1305),"")</f>
        <v/>
      </c>
      <c r="AR1305" s="89" t="str">
        <f>+IF($AG1305=AR$22,MONTH($D1305),"")</f>
        <v/>
      </c>
      <c r="AS1305" s="89" t="str">
        <f>+IF($AG1305=AS$22,MONTH($D1305),"")</f>
        <v/>
      </c>
      <c r="AT1305" s="89" t="str">
        <f>+IF($AG1305=AT$22,MONTH($D1305),"")</f>
        <v/>
      </c>
      <c r="AU1305" s="89" t="str">
        <f>+IF($AG1305=AU$22,MONTH($D1305),"")</f>
        <v/>
      </c>
      <c r="AV1305" s="89" t="str">
        <f>+IF($AG1305=AV$22,MONTH($D1305),"")</f>
        <v/>
      </c>
      <c r="AW1305" s="86" t="str">
        <f>+IF($AG1305=AW$22,MONTH($D1305),"")</f>
        <v/>
      </c>
      <c r="AX1305" s="86" t="str">
        <f>+IF($AG1305=AX$22,MONTH($D1305),"")</f>
        <v/>
      </c>
      <c r="AY1305" s="89"/>
      <c r="AZ1305" s="89"/>
      <c r="BA1305" s="89"/>
      <c r="BB1305" s="89"/>
      <c r="BC1305" s="89"/>
      <c r="BD1305" s="89"/>
      <c r="BE1305" s="89"/>
      <c r="BF1305" s="89"/>
      <c r="BG1305" s="89"/>
      <c r="BH1305" s="89"/>
      <c r="BI1305" s="89"/>
      <c r="BJ1305" s="89"/>
      <c r="BK1305" s="89"/>
      <c r="BL1305" s="89"/>
      <c r="BM1305" s="89"/>
      <c r="BN1305" s="89"/>
      <c r="BO1305" s="89"/>
      <c r="BP1305" s="89"/>
    </row>
    <row r="1306" spans="1:68" s="56" customFormat="1" ht="53.25" hidden="1">
      <c r="A1306" s="204" t="str">
        <f>+IFERROR(VALUE(MID(AB1306,4,4)),"")</f>
        <v/>
      </c>
      <c r="B1306" s="204">
        <f>VALUE(RIGHT(C1306,LEN(C1306)-2))</f>
        <v>1418</v>
      </c>
      <c r="C1306" s="74" t="s">
        <v>4951</v>
      </c>
      <c r="D1306" s="75">
        <v>44530</v>
      </c>
      <c r="E1306" s="70" t="s">
        <v>96</v>
      </c>
      <c r="F1306" s="70" t="s">
        <v>96</v>
      </c>
      <c r="G1306" s="68" t="s">
        <v>4952</v>
      </c>
      <c r="H1306" s="59" t="s">
        <v>4953</v>
      </c>
      <c r="I1306" s="69" t="s">
        <v>4954</v>
      </c>
      <c r="J1306" s="69"/>
      <c r="K1306" s="95" t="s">
        <v>13</v>
      </c>
      <c r="L1306" s="69" t="s">
        <v>123</v>
      </c>
      <c r="M1306" s="71" t="s">
        <v>141</v>
      </c>
      <c r="N1306" s="69" t="e" vm="1">
        <v>#VALUE!</v>
      </c>
      <c r="O1306" s="84">
        <v>44649</v>
      </c>
      <c r="P1306" s="82" t="s">
        <v>4897</v>
      </c>
      <c r="Q1306" s="82" t="s">
        <v>316</v>
      </c>
      <c r="R1306" s="69"/>
      <c r="S1306" s="146" t="s">
        <v>4955</v>
      </c>
      <c r="T1306" s="68" t="s">
        <v>165</v>
      </c>
      <c r="U1306" s="87"/>
      <c r="V1306" s="80">
        <v>44864</v>
      </c>
      <c r="W1306" s="73">
        <v>5086</v>
      </c>
      <c r="X1306" s="73">
        <f>6672*31500/1000000</f>
        <v>210.16800000000001</v>
      </c>
      <c r="Y1306" s="83">
        <f>IF(SUM(W1306:W1306)&gt;0,X1306/SUM(W1306:W1306)*1000000,"N/A")</f>
        <v>41322.84703106567</v>
      </c>
      <c r="Z1306" s="80"/>
      <c r="AA1306" s="80"/>
      <c r="AB1306" s="73"/>
      <c r="AC1306" s="153"/>
      <c r="AD1306" s="331"/>
      <c r="AE1306" s="57"/>
      <c r="AF1306" s="88"/>
      <c r="AG1306" s="182">
        <f>YEAR(D1306)</f>
        <v>2021</v>
      </c>
      <c r="AH1306" s="86" t="str">
        <f>+IF(AE1306=$AJ$22,MONTH(T1306),"")</f>
        <v/>
      </c>
      <c r="AI1306" s="86" t="str">
        <f>+IF(AF1306=$AJ$22,MONTH(U1306),"")</f>
        <v/>
      </c>
      <c r="AJ1306" s="86" t="str">
        <f>+IF(AG1306=$AJ$22,MONTH(V1306),"")</f>
        <v/>
      </c>
      <c r="AK1306" s="86" t="str">
        <f>+IF(AG1306=$AK$22,MONTH(V1306),"")</f>
        <v/>
      </c>
      <c r="AL1306" s="86" t="str">
        <f>+IF(AG1306=$AL$22,MONTH(V1306),"")</f>
        <v/>
      </c>
      <c r="AM1306" s="86">
        <f>+IF($AG1306=$AM$22,MONTH($D1306),"")</f>
        <v>11</v>
      </c>
      <c r="AN1306" s="89" t="str">
        <f>+IF($AG1306=AN$22,MONTH($D1306),"")</f>
        <v/>
      </c>
      <c r="AO1306" s="89" t="str">
        <f>+IF($AG1306=AO$22,MONTH($D1306),"")</f>
        <v/>
      </c>
      <c r="AP1306" s="89" t="str">
        <f>+IF($AG1306=AP$22,MONTH($D1306),"")</f>
        <v/>
      </c>
      <c r="AQ1306" s="89" t="str">
        <f>+IF($AG1306=AQ$22,MONTH($D1306),"")</f>
        <v/>
      </c>
      <c r="AR1306" s="89" t="str">
        <f>+IF($AG1306=AR$22,MONTH($D1306),"")</f>
        <v/>
      </c>
      <c r="AS1306" s="89" t="str">
        <f>+IF($AG1306=AS$22,MONTH($D1306),"")</f>
        <v/>
      </c>
      <c r="AT1306" s="89" t="str">
        <f>+IF($AG1306=AT$22,MONTH($D1306),"")</f>
        <v/>
      </c>
      <c r="AU1306" s="89" t="str">
        <f>+IF($AG1306=AU$22,MONTH($D1306),"")</f>
        <v/>
      </c>
      <c r="AV1306" s="89" t="str">
        <f>+IF($AG1306=AV$22,MONTH($D1306),"")</f>
        <v/>
      </c>
      <c r="AW1306" s="86" t="str">
        <f>+IF($AG1306=AW$22,MONTH($D1306),"")</f>
        <v/>
      </c>
      <c r="AX1306" s="86" t="str">
        <f>+IF($AG1306=AX$22,MONTH($D1306),"")</f>
        <v/>
      </c>
      <c r="AY1306" s="89"/>
      <c r="AZ1306" s="89"/>
      <c r="BA1306" s="89"/>
      <c r="BB1306" s="89"/>
      <c r="BC1306" s="89"/>
      <c r="BD1306" s="89"/>
      <c r="BE1306" s="89"/>
      <c r="BF1306" s="89"/>
      <c r="BG1306" s="89"/>
      <c r="BH1306" s="89"/>
      <c r="BI1306" s="89"/>
      <c r="BJ1306" s="89"/>
      <c r="BK1306" s="89"/>
      <c r="BL1306" s="89"/>
      <c r="BM1306" s="89"/>
      <c r="BN1306" s="89"/>
      <c r="BO1306" s="89"/>
      <c r="BP1306" s="89"/>
    </row>
    <row r="1307" spans="1:68" s="56" customFormat="1" ht="67.5" hidden="1">
      <c r="A1307" s="204" t="str">
        <f>+IFERROR(VALUE(MID(AB1307,4,4)),"")</f>
        <v/>
      </c>
      <c r="B1307" s="204">
        <f>VALUE(RIGHT(C1307,LEN(C1307)-2))</f>
        <v>1417</v>
      </c>
      <c r="C1307" s="74" t="s">
        <v>4956</v>
      </c>
      <c r="D1307" s="75">
        <v>44524</v>
      </c>
      <c r="E1307" s="70" t="s">
        <v>332</v>
      </c>
      <c r="F1307" s="70" t="s">
        <v>332</v>
      </c>
      <c r="G1307" s="68" t="s">
        <v>4957</v>
      </c>
      <c r="H1307" s="59" t="s">
        <v>4533</v>
      </c>
      <c r="I1307" s="69" t="s">
        <v>4958</v>
      </c>
      <c r="J1307" s="69"/>
      <c r="K1307" s="95" t="s">
        <v>9</v>
      </c>
      <c r="L1307" s="69" t="s">
        <v>129</v>
      </c>
      <c r="M1307" s="71" t="s">
        <v>141</v>
      </c>
      <c r="N1307" s="69" t="e" vm="1">
        <v>#VALUE!</v>
      </c>
      <c r="O1307" s="84">
        <v>44532</v>
      </c>
      <c r="P1307" s="82" t="s">
        <v>666</v>
      </c>
      <c r="Q1307" s="82" t="s">
        <v>644</v>
      </c>
      <c r="R1307" s="69"/>
      <c r="S1307" s="146" t="s">
        <v>4959</v>
      </c>
      <c r="T1307" s="68" t="s">
        <v>165</v>
      </c>
      <c r="U1307" s="87">
        <v>0</v>
      </c>
      <c r="V1307" s="80">
        <v>44965</v>
      </c>
      <c r="W1307" s="73">
        <v>253</v>
      </c>
      <c r="X1307" s="73">
        <f>310*30400/1000000</f>
        <v>9.4239999999999995</v>
      </c>
      <c r="Y1307" s="83">
        <f>IF(SUM(W1307:W1307)&gt;0,X1307/SUM(W1307:W1307)*1000000,"N/A")</f>
        <v>37249.011857707505</v>
      </c>
      <c r="Z1307" s="80"/>
      <c r="AA1307" s="80"/>
      <c r="AB1307" s="73"/>
      <c r="AC1307" s="153"/>
      <c r="AD1307" s="331"/>
      <c r="AE1307" s="57"/>
      <c r="AF1307" s="88"/>
      <c r="AG1307" s="182">
        <f>YEAR(D1307)</f>
        <v>2021</v>
      </c>
      <c r="AH1307" s="86" t="str">
        <f>+IF(AE1307=$AJ$22,MONTH(T1307),"")</f>
        <v/>
      </c>
      <c r="AI1307" s="86" t="str">
        <f>+IF(AF1307=$AJ$22,MONTH(U1307),"")</f>
        <v/>
      </c>
      <c r="AJ1307" s="86" t="str">
        <f>+IF(AG1307=$AJ$22,MONTH(V1307),"")</f>
        <v/>
      </c>
      <c r="AK1307" s="86" t="str">
        <f>+IF(AG1307=$AK$22,MONTH(V1307),"")</f>
        <v/>
      </c>
      <c r="AL1307" s="86" t="str">
        <f>+IF(AG1307=$AL$22,MONTH(V1307),"")</f>
        <v/>
      </c>
      <c r="AM1307" s="86">
        <f>+IF($AG1307=$AM$22,MONTH($D1307),"")</f>
        <v>11</v>
      </c>
      <c r="AN1307" s="89" t="str">
        <f>+IF($AG1307=AN$22,MONTH($D1307),"")</f>
        <v/>
      </c>
      <c r="AO1307" s="89" t="str">
        <f>+IF($AG1307=AO$22,MONTH($D1307),"")</f>
        <v/>
      </c>
      <c r="AP1307" s="89" t="str">
        <f>+IF($AG1307=AP$22,MONTH($D1307),"")</f>
        <v/>
      </c>
      <c r="AQ1307" s="89" t="str">
        <f>+IF($AG1307=AQ$22,MONTH($D1307),"")</f>
        <v/>
      </c>
      <c r="AR1307" s="89" t="str">
        <f>+IF($AG1307=AR$22,MONTH($D1307),"")</f>
        <v/>
      </c>
      <c r="AS1307" s="89" t="str">
        <f>+IF($AG1307=AS$22,MONTH($D1307),"")</f>
        <v/>
      </c>
      <c r="AT1307" s="89" t="str">
        <f>+IF($AG1307=AT$22,MONTH($D1307),"")</f>
        <v/>
      </c>
      <c r="AU1307" s="89" t="str">
        <f>+IF($AG1307=AU$22,MONTH($D1307),"")</f>
        <v/>
      </c>
      <c r="AV1307" s="89" t="str">
        <f>+IF($AG1307=AV$22,MONTH($D1307),"")</f>
        <v/>
      </c>
      <c r="AW1307" s="86" t="str">
        <f>+IF($AG1307=AW$22,MONTH($D1307),"")</f>
        <v/>
      </c>
      <c r="AX1307" s="86" t="str">
        <f>+IF($AG1307=AX$22,MONTH($D1307),"")</f>
        <v/>
      </c>
      <c r="AY1307" s="89"/>
      <c r="AZ1307" s="89"/>
      <c r="BA1307" s="89"/>
      <c r="BB1307" s="89"/>
      <c r="BC1307" s="89"/>
      <c r="BD1307" s="89"/>
      <c r="BE1307" s="89"/>
      <c r="BF1307" s="89"/>
      <c r="BG1307" s="89"/>
      <c r="BH1307" s="89"/>
      <c r="BI1307" s="89"/>
      <c r="BJ1307" s="89"/>
      <c r="BK1307" s="89"/>
      <c r="BL1307" s="89"/>
      <c r="BM1307" s="89"/>
      <c r="BN1307" s="89"/>
      <c r="BO1307" s="89"/>
      <c r="BP1307" s="89"/>
    </row>
    <row r="1308" spans="1:68" s="56" customFormat="1" ht="27" hidden="1">
      <c r="A1308" s="204">
        <f>+IFERROR(VALUE(MID(AB1308,4,4)),"")</f>
        <v>265</v>
      </c>
      <c r="B1308" s="204">
        <f>VALUE(RIGHT(C1308,LEN(C1308)-2))</f>
        <v>1416</v>
      </c>
      <c r="C1308" s="74" t="s">
        <v>4960</v>
      </c>
      <c r="D1308" s="75">
        <v>44523</v>
      </c>
      <c r="E1308" s="70" t="s">
        <v>332</v>
      </c>
      <c r="F1308" s="70" t="s">
        <v>332</v>
      </c>
      <c r="G1308" s="68" t="s">
        <v>3818</v>
      </c>
      <c r="H1308" s="59" t="s">
        <v>3878</v>
      </c>
      <c r="I1308" s="69" t="s">
        <v>4961</v>
      </c>
      <c r="J1308" s="69"/>
      <c r="K1308" s="95" t="s">
        <v>13</v>
      </c>
      <c r="L1308" s="69" t="s">
        <v>129</v>
      </c>
      <c r="M1308" s="71" t="s">
        <v>141</v>
      </c>
      <c r="N1308" s="69" t="e" vm="1">
        <v>#VALUE!</v>
      </c>
      <c r="O1308" s="84">
        <v>44524</v>
      </c>
      <c r="P1308" s="82" t="s">
        <v>402</v>
      </c>
      <c r="Q1308" s="82" t="s">
        <v>1097</v>
      </c>
      <c r="R1308" s="69"/>
      <c r="S1308" s="146" t="s">
        <v>2509</v>
      </c>
      <c r="T1308" s="68" t="s">
        <v>3</v>
      </c>
      <c r="U1308" s="87"/>
      <c r="V1308" s="80">
        <v>44523</v>
      </c>
      <c r="W1308" s="73">
        <v>598</v>
      </c>
      <c r="X1308" s="73">
        <f>570*30800/1000000</f>
        <v>17.556000000000001</v>
      </c>
      <c r="Y1308" s="83">
        <f>IF(SUM(W1308:W1308)&gt;0,X1308/SUM(W1308:W1308)*1000000,"N/A")</f>
        <v>29357.859531772578</v>
      </c>
      <c r="Z1308" s="80"/>
      <c r="AA1308" s="80"/>
      <c r="AB1308" s="73" t="s">
        <v>4332</v>
      </c>
      <c r="AC1308" s="153"/>
      <c r="AD1308" s="331"/>
      <c r="AE1308" s="57"/>
      <c r="AF1308" s="88"/>
      <c r="AG1308" s="182">
        <f>YEAR(D1308)</f>
        <v>2021</v>
      </c>
      <c r="AH1308" s="86" t="str">
        <f>+IF(AE1308=$AJ$22,MONTH(T1308),"")</f>
        <v/>
      </c>
      <c r="AI1308" s="86" t="str">
        <f>+IF(AF1308=$AJ$22,MONTH(U1308),"")</f>
        <v/>
      </c>
      <c r="AJ1308" s="86" t="str">
        <f>+IF(AG1308=$AJ$22,MONTH(V1308),"")</f>
        <v/>
      </c>
      <c r="AK1308" s="86" t="str">
        <f>+IF(AG1308=$AK$22,MONTH(V1308),"")</f>
        <v/>
      </c>
      <c r="AL1308" s="86" t="str">
        <f>+IF(AG1308=$AL$22,MONTH(V1308),"")</f>
        <v/>
      </c>
      <c r="AM1308" s="86">
        <f>+IF($AG1308=$AM$22,MONTH($D1308),"")</f>
        <v>11</v>
      </c>
      <c r="AN1308" s="89" t="str">
        <f>+IF($AG1308=AN$22,MONTH($D1308),"")</f>
        <v/>
      </c>
      <c r="AO1308" s="89" t="str">
        <f>+IF($AG1308=AO$22,MONTH($D1308),"")</f>
        <v/>
      </c>
      <c r="AP1308" s="89" t="str">
        <f>+IF($AG1308=AP$22,MONTH($D1308),"")</f>
        <v/>
      </c>
      <c r="AQ1308" s="89" t="str">
        <f>+IF($AG1308=AQ$22,MONTH($D1308),"")</f>
        <v/>
      </c>
      <c r="AR1308" s="89" t="str">
        <f>+IF($AG1308=AR$22,MONTH($D1308),"")</f>
        <v/>
      </c>
      <c r="AS1308" s="89" t="str">
        <f>+IF($AG1308=AS$22,MONTH($D1308),"")</f>
        <v/>
      </c>
      <c r="AT1308" s="89" t="str">
        <f>+IF($AG1308=AT$22,MONTH($D1308),"")</f>
        <v/>
      </c>
      <c r="AU1308" s="89" t="str">
        <f>+IF($AG1308=AU$22,MONTH($D1308),"")</f>
        <v/>
      </c>
      <c r="AV1308" s="89" t="str">
        <f>+IF($AG1308=AV$22,MONTH($D1308),"")</f>
        <v/>
      </c>
      <c r="AW1308" s="86" t="str">
        <f>+IF($AG1308=AW$22,MONTH($D1308),"")</f>
        <v/>
      </c>
      <c r="AX1308" s="86" t="str">
        <f>+IF($AG1308=AX$22,MONTH($D1308),"")</f>
        <v/>
      </c>
      <c r="AY1308" s="89"/>
      <c r="AZ1308" s="89"/>
      <c r="BA1308" s="89"/>
      <c r="BB1308" s="89"/>
      <c r="BC1308" s="89"/>
      <c r="BD1308" s="89"/>
      <c r="BE1308" s="89"/>
      <c r="BF1308" s="89"/>
      <c r="BG1308" s="89"/>
      <c r="BH1308" s="89"/>
      <c r="BI1308" s="89"/>
      <c r="BJ1308" s="89"/>
      <c r="BK1308" s="89"/>
      <c r="BL1308" s="89"/>
      <c r="BM1308" s="89"/>
      <c r="BN1308" s="89"/>
      <c r="BO1308" s="89"/>
      <c r="BP1308" s="89"/>
    </row>
    <row r="1309" spans="1:68" s="56" customFormat="1" ht="27" hidden="1">
      <c r="A1309" s="204">
        <f>+IFERROR(VALUE(MID(AB1309,4,4)),"")</f>
        <v>289</v>
      </c>
      <c r="B1309" s="204">
        <f>VALUE(RIGHT(C1309,LEN(C1309)-2))</f>
        <v>1415</v>
      </c>
      <c r="C1309" s="74" t="s">
        <v>4962</v>
      </c>
      <c r="D1309" s="75">
        <v>44523</v>
      </c>
      <c r="E1309" s="70" t="s">
        <v>479</v>
      </c>
      <c r="F1309" s="70" t="s">
        <v>479</v>
      </c>
      <c r="G1309" s="68"/>
      <c r="H1309" s="59"/>
      <c r="I1309" s="69" t="s">
        <v>4963</v>
      </c>
      <c r="J1309" s="69"/>
      <c r="K1309" s="95" t="s">
        <v>9</v>
      </c>
      <c r="L1309" s="69" t="s">
        <v>129</v>
      </c>
      <c r="M1309" s="71" t="s">
        <v>113</v>
      </c>
      <c r="N1309" s="69" t="e" vm="2">
        <v>#VALUE!</v>
      </c>
      <c r="O1309" s="84">
        <v>44523</v>
      </c>
      <c r="P1309" s="82" t="s">
        <v>483</v>
      </c>
      <c r="Q1309" s="82" t="s">
        <v>229</v>
      </c>
      <c r="R1309" s="69"/>
      <c r="S1309" s="146"/>
      <c r="T1309" s="68" t="s">
        <v>3</v>
      </c>
      <c r="U1309" s="87"/>
      <c r="V1309" s="80">
        <v>44523</v>
      </c>
      <c r="W1309" s="73">
        <v>211</v>
      </c>
      <c r="X1309" s="73">
        <f>42860*147.5/1000000</f>
        <v>6.3218500000000004</v>
      </c>
      <c r="Y1309" s="83">
        <f>IF(SUM(W1309:W1309)&gt;0,X1309/SUM(W1309:W1309)*1000000,"N/A")</f>
        <v>29961.374407582942</v>
      </c>
      <c r="Z1309" s="80"/>
      <c r="AA1309" s="80"/>
      <c r="AB1309" s="73" t="s">
        <v>4964</v>
      </c>
      <c r="AC1309" s="153"/>
      <c r="AD1309" s="331"/>
      <c r="AE1309" s="57"/>
      <c r="AF1309" s="88"/>
      <c r="AG1309" s="182">
        <f>YEAR(D1309)</f>
        <v>2021</v>
      </c>
      <c r="AH1309" s="86" t="str">
        <f>+IF(AE1309=$AJ$22,MONTH(T1309),"")</f>
        <v/>
      </c>
      <c r="AI1309" s="86" t="str">
        <f>+IF(AF1309=$AJ$22,MONTH(U1309),"")</f>
        <v/>
      </c>
      <c r="AJ1309" s="86" t="str">
        <f>+IF(AG1309=$AJ$22,MONTH(V1309),"")</f>
        <v/>
      </c>
      <c r="AK1309" s="86" t="str">
        <f>+IF(AG1309=$AK$22,MONTH(V1309),"")</f>
        <v/>
      </c>
      <c r="AL1309" s="86" t="str">
        <f>+IF(AG1309=$AL$22,MONTH(V1309),"")</f>
        <v/>
      </c>
      <c r="AM1309" s="86">
        <f>+IF($AG1309=$AM$22,MONTH($D1309),"")</f>
        <v>11</v>
      </c>
      <c r="AN1309" s="89" t="str">
        <f>+IF($AG1309=AN$22,MONTH($D1309),"")</f>
        <v/>
      </c>
      <c r="AO1309" s="89" t="str">
        <f>+IF($AG1309=AO$22,MONTH($D1309),"")</f>
        <v/>
      </c>
      <c r="AP1309" s="89" t="str">
        <f>+IF($AG1309=AP$22,MONTH($D1309),"")</f>
        <v/>
      </c>
      <c r="AQ1309" s="89" t="str">
        <f>+IF($AG1309=AQ$22,MONTH($D1309),"")</f>
        <v/>
      </c>
      <c r="AR1309" s="89" t="str">
        <f>+IF($AG1309=AR$22,MONTH($D1309),"")</f>
        <v/>
      </c>
      <c r="AS1309" s="89" t="str">
        <f>+IF($AG1309=AS$22,MONTH($D1309),"")</f>
        <v/>
      </c>
      <c r="AT1309" s="89" t="str">
        <f>+IF($AG1309=AT$22,MONTH($D1309),"")</f>
        <v/>
      </c>
      <c r="AU1309" s="89" t="str">
        <f>+IF($AG1309=AU$22,MONTH($D1309),"")</f>
        <v/>
      </c>
      <c r="AV1309" s="89" t="str">
        <f>+IF($AG1309=AV$22,MONTH($D1309),"")</f>
        <v/>
      </c>
      <c r="AW1309" s="86" t="str">
        <f>+IF($AG1309=AW$22,MONTH($D1309),"")</f>
        <v/>
      </c>
      <c r="AX1309" s="86" t="str">
        <f>+IF($AG1309=AX$22,MONTH($D1309),"")</f>
        <v/>
      </c>
      <c r="AY1309" s="89"/>
      <c r="AZ1309" s="89"/>
      <c r="BA1309" s="89"/>
      <c r="BB1309" s="89"/>
      <c r="BC1309" s="89"/>
      <c r="BD1309" s="89"/>
      <c r="BE1309" s="89"/>
      <c r="BF1309" s="89"/>
      <c r="BG1309" s="89"/>
      <c r="BH1309" s="89"/>
      <c r="BI1309" s="89"/>
      <c r="BJ1309" s="89"/>
      <c r="BK1309" s="89"/>
      <c r="BL1309" s="89"/>
      <c r="BM1309" s="89"/>
      <c r="BN1309" s="89"/>
      <c r="BO1309" s="89"/>
      <c r="BP1309" s="89"/>
    </row>
    <row r="1310" spans="1:68" s="56" customFormat="1" ht="13.5" hidden="1">
      <c r="A1310" s="204">
        <f>+IFERROR(VALUE(MID(AB1310,4,4)),"")</f>
        <v>288</v>
      </c>
      <c r="B1310" s="204">
        <f>VALUE(RIGHT(C1310,LEN(C1310)-2))</f>
        <v>1414</v>
      </c>
      <c r="C1310" s="74" t="s">
        <v>4965</v>
      </c>
      <c r="D1310" s="75">
        <v>44522</v>
      </c>
      <c r="E1310" s="70" t="s">
        <v>4836</v>
      </c>
      <c r="F1310" s="70" t="s">
        <v>4836</v>
      </c>
      <c r="G1310" s="68" t="s">
        <v>4837</v>
      </c>
      <c r="H1310" s="59" t="s">
        <v>3878</v>
      </c>
      <c r="I1310" s="69" t="s">
        <v>4966</v>
      </c>
      <c r="J1310" s="69"/>
      <c r="K1310" s="95" t="s">
        <v>9</v>
      </c>
      <c r="L1310" s="69" t="s">
        <v>120</v>
      </c>
      <c r="M1310" s="71" t="s">
        <v>141</v>
      </c>
      <c r="N1310" s="69" t="e" vm="1">
        <v>#VALUE!</v>
      </c>
      <c r="O1310" s="84">
        <v>44522</v>
      </c>
      <c r="P1310" s="82" t="s">
        <v>4567</v>
      </c>
      <c r="Q1310" s="82" t="s">
        <v>259</v>
      </c>
      <c r="R1310" s="69"/>
      <c r="S1310" s="146"/>
      <c r="T1310" s="68" t="s">
        <v>3</v>
      </c>
      <c r="U1310" s="87"/>
      <c r="V1310" s="80">
        <v>44522</v>
      </c>
      <c r="W1310" s="73">
        <v>215</v>
      </c>
      <c r="X1310" s="73">
        <f>281*30100/1000000</f>
        <v>8.4581</v>
      </c>
      <c r="Y1310" s="83">
        <f>IF(SUM(W1310:W1310)&gt;0,X1310/SUM(W1310:W1310)*1000000,"N/A")</f>
        <v>39340</v>
      </c>
      <c r="Z1310" s="80"/>
      <c r="AA1310" s="80"/>
      <c r="AB1310" s="73" t="s">
        <v>4816</v>
      </c>
      <c r="AC1310" s="153"/>
      <c r="AD1310" s="331"/>
      <c r="AE1310" s="57"/>
      <c r="AF1310" s="88"/>
      <c r="AG1310" s="182">
        <f>YEAR(D1310)</f>
        <v>2021</v>
      </c>
      <c r="AH1310" s="86" t="str">
        <f>+IF(AE1310=$AJ$22,MONTH(T1310),"")</f>
        <v/>
      </c>
      <c r="AI1310" s="86" t="str">
        <f>+IF(AF1310=$AJ$22,MONTH(U1310),"")</f>
        <v/>
      </c>
      <c r="AJ1310" s="86" t="str">
        <f>+IF(AG1310=$AJ$22,MONTH(V1310),"")</f>
        <v/>
      </c>
      <c r="AK1310" s="86" t="str">
        <f>+IF(AG1310=$AK$22,MONTH(V1310),"")</f>
        <v/>
      </c>
      <c r="AL1310" s="86" t="str">
        <f>+IF(AG1310=$AL$22,MONTH(V1310),"")</f>
        <v/>
      </c>
      <c r="AM1310" s="86">
        <f>+IF($AG1310=$AM$22,MONTH($D1310),"")</f>
        <v>11</v>
      </c>
      <c r="AN1310" s="89" t="str">
        <f>+IF($AG1310=AN$22,MONTH($D1310),"")</f>
        <v/>
      </c>
      <c r="AO1310" s="89" t="str">
        <f>+IF($AG1310=AO$22,MONTH($D1310),"")</f>
        <v/>
      </c>
      <c r="AP1310" s="89" t="str">
        <f>+IF($AG1310=AP$22,MONTH($D1310),"")</f>
        <v/>
      </c>
      <c r="AQ1310" s="89" t="str">
        <f>+IF($AG1310=AQ$22,MONTH($D1310),"")</f>
        <v/>
      </c>
      <c r="AR1310" s="89" t="str">
        <f>+IF($AG1310=AR$22,MONTH($D1310),"")</f>
        <v/>
      </c>
      <c r="AS1310" s="89" t="str">
        <f>+IF($AG1310=AS$22,MONTH($D1310),"")</f>
        <v/>
      </c>
      <c r="AT1310" s="89" t="str">
        <f>+IF($AG1310=AT$22,MONTH($D1310),"")</f>
        <v/>
      </c>
      <c r="AU1310" s="89" t="str">
        <f>+IF($AG1310=AU$22,MONTH($D1310),"")</f>
        <v/>
      </c>
      <c r="AV1310" s="89" t="str">
        <f>+IF($AG1310=AV$22,MONTH($D1310),"")</f>
        <v/>
      </c>
      <c r="AW1310" s="86" t="str">
        <f>+IF($AG1310=AW$22,MONTH($D1310),"")</f>
        <v/>
      </c>
      <c r="AX1310" s="86" t="str">
        <f>+IF($AG1310=AX$22,MONTH($D1310),"")</f>
        <v/>
      </c>
      <c r="AY1310" s="89"/>
      <c r="AZ1310" s="89"/>
      <c r="BA1310" s="89"/>
      <c r="BB1310" s="89"/>
      <c r="BC1310" s="89"/>
      <c r="BD1310" s="89"/>
      <c r="BE1310" s="89"/>
      <c r="BF1310" s="89"/>
      <c r="BG1310" s="89"/>
      <c r="BH1310" s="89"/>
      <c r="BI1310" s="89"/>
      <c r="BJ1310" s="89"/>
      <c r="BK1310" s="89"/>
      <c r="BL1310" s="89"/>
      <c r="BM1310" s="89"/>
      <c r="BN1310" s="89"/>
      <c r="BO1310" s="89"/>
      <c r="BP1310" s="89"/>
    </row>
    <row r="1311" spans="1:68" s="56" customFormat="1" ht="67.5" hidden="1">
      <c r="A1311" s="204" t="str">
        <f>+IFERROR(VALUE(MID(AB1311,4,4)),"")</f>
        <v/>
      </c>
      <c r="B1311" s="204">
        <f>VALUE(RIGHT(C1311,LEN(C1311)-2))</f>
        <v>1413</v>
      </c>
      <c r="C1311" s="74" t="s">
        <v>4967</v>
      </c>
      <c r="D1311" s="75">
        <v>44518</v>
      </c>
      <c r="E1311" s="70" t="s">
        <v>394</v>
      </c>
      <c r="F1311" s="70" t="s">
        <v>2269</v>
      </c>
      <c r="G1311" s="68" t="s">
        <v>2270</v>
      </c>
      <c r="H1311" s="59" t="s">
        <v>2271</v>
      </c>
      <c r="I1311" s="69" t="s">
        <v>4968</v>
      </c>
      <c r="J1311" s="69"/>
      <c r="K1311" s="95" t="s">
        <v>9</v>
      </c>
      <c r="L1311" s="69" t="s">
        <v>129</v>
      </c>
      <c r="M1311" s="71" t="s">
        <v>141</v>
      </c>
      <c r="N1311" s="69" t="e" vm="1">
        <v>#VALUE!</v>
      </c>
      <c r="O1311" s="84">
        <v>44519</v>
      </c>
      <c r="P1311" s="82" t="s">
        <v>4567</v>
      </c>
      <c r="Q1311" s="82" t="s">
        <v>623</v>
      </c>
      <c r="R1311" s="69"/>
      <c r="S1311" s="146" t="s">
        <v>4557</v>
      </c>
      <c r="T1311" s="68" t="s">
        <v>165</v>
      </c>
      <c r="U1311" s="87"/>
      <c r="V1311" s="80">
        <v>44561</v>
      </c>
      <c r="W1311" s="73">
        <v>220</v>
      </c>
      <c r="X1311" s="73">
        <f>288*30100/1000000</f>
        <v>8.6687999999999992</v>
      </c>
      <c r="Y1311" s="83">
        <f>IF(SUM(W1311:W1311)&gt;0,X1311/SUM(W1311:W1311)*1000000,"N/A")</f>
        <v>39403.63636363636</v>
      </c>
      <c r="Z1311" s="80"/>
      <c r="AA1311" s="80"/>
      <c r="AB1311" s="73"/>
      <c r="AC1311" s="153"/>
      <c r="AD1311" s="331"/>
      <c r="AE1311" s="57"/>
      <c r="AF1311" s="88"/>
      <c r="AG1311" s="182">
        <f>YEAR(D1311)</f>
        <v>2021</v>
      </c>
      <c r="AH1311" s="86" t="str">
        <f>+IF(AE1311=$AJ$22,MONTH(T1311),"")</f>
        <v/>
      </c>
      <c r="AI1311" s="86" t="str">
        <f>+IF(AF1311=$AJ$22,MONTH(U1311),"")</f>
        <v/>
      </c>
      <c r="AJ1311" s="86" t="str">
        <f>+IF(AG1311=$AJ$22,MONTH(V1311),"")</f>
        <v/>
      </c>
      <c r="AK1311" s="86" t="str">
        <f>+IF(AG1311=$AK$22,MONTH(V1311),"")</f>
        <v/>
      </c>
      <c r="AL1311" s="86" t="str">
        <f>+IF(AG1311=$AL$22,MONTH(V1311),"")</f>
        <v/>
      </c>
      <c r="AM1311" s="86">
        <f>+IF($AG1311=$AM$22,MONTH($D1311),"")</f>
        <v>11</v>
      </c>
      <c r="AN1311" s="89" t="str">
        <f>+IF($AG1311=AN$22,MONTH($D1311),"")</f>
        <v/>
      </c>
      <c r="AO1311" s="89" t="str">
        <f>+IF($AG1311=AO$22,MONTH($D1311),"")</f>
        <v/>
      </c>
      <c r="AP1311" s="89" t="str">
        <f>+IF($AG1311=AP$22,MONTH($D1311),"")</f>
        <v/>
      </c>
      <c r="AQ1311" s="89" t="str">
        <f>+IF($AG1311=AQ$22,MONTH($D1311),"")</f>
        <v/>
      </c>
      <c r="AR1311" s="89" t="str">
        <f>+IF($AG1311=AR$22,MONTH($D1311),"")</f>
        <v/>
      </c>
      <c r="AS1311" s="89" t="str">
        <f>+IF($AG1311=AS$22,MONTH($D1311),"")</f>
        <v/>
      </c>
      <c r="AT1311" s="89" t="str">
        <f>+IF($AG1311=AT$22,MONTH($D1311),"")</f>
        <v/>
      </c>
      <c r="AU1311" s="89" t="str">
        <f>+IF($AG1311=AU$22,MONTH($D1311),"")</f>
        <v/>
      </c>
      <c r="AV1311" s="89" t="str">
        <f>+IF($AG1311=AV$22,MONTH($D1311),"")</f>
        <v/>
      </c>
      <c r="AW1311" s="86" t="str">
        <f>+IF($AG1311=AW$22,MONTH($D1311),"")</f>
        <v/>
      </c>
      <c r="AX1311" s="86" t="str">
        <f>+IF($AG1311=AX$22,MONTH($D1311),"")</f>
        <v/>
      </c>
      <c r="AY1311" s="89"/>
      <c r="AZ1311" s="89"/>
      <c r="BA1311" s="89"/>
      <c r="BB1311" s="89"/>
      <c r="BC1311" s="89"/>
      <c r="BD1311" s="89"/>
      <c r="BE1311" s="89"/>
      <c r="BF1311" s="89"/>
      <c r="BG1311" s="89"/>
      <c r="BH1311" s="89"/>
      <c r="BI1311" s="89"/>
      <c r="BJ1311" s="89"/>
      <c r="BK1311" s="89"/>
      <c r="BL1311" s="89"/>
      <c r="BM1311" s="89"/>
      <c r="BN1311" s="89"/>
      <c r="BO1311" s="89"/>
      <c r="BP1311" s="89"/>
    </row>
    <row r="1312" spans="1:68" s="56" customFormat="1" ht="81" hidden="1">
      <c r="A1312" s="204" t="str">
        <f>+IFERROR(VALUE(MID(AB1312,4,4)),"")</f>
        <v/>
      </c>
      <c r="B1312" s="204">
        <f>VALUE(RIGHT(C1312,LEN(C1312)-2))</f>
        <v>1412</v>
      </c>
      <c r="C1312" s="74" t="s">
        <v>4969</v>
      </c>
      <c r="D1312" s="75">
        <v>44473</v>
      </c>
      <c r="E1312" s="70" t="s">
        <v>53</v>
      </c>
      <c r="F1312" s="70" t="s">
        <v>313</v>
      </c>
      <c r="G1312" s="68"/>
      <c r="H1312" s="59"/>
      <c r="I1312" s="69" t="s">
        <v>4970</v>
      </c>
      <c r="J1312" s="69"/>
      <c r="K1312" s="95" t="s">
        <v>9</v>
      </c>
      <c r="L1312" s="69" t="s">
        <v>123</v>
      </c>
      <c r="M1312" s="71" t="s">
        <v>141</v>
      </c>
      <c r="N1312" s="69" t="e" vm="1">
        <v>#VALUE!</v>
      </c>
      <c r="O1312" s="84">
        <v>44525</v>
      </c>
      <c r="P1312" s="82" t="s">
        <v>134</v>
      </c>
      <c r="Q1312" s="82" t="s">
        <v>259</v>
      </c>
      <c r="R1312" s="69"/>
      <c r="S1312" s="146" t="s">
        <v>4971</v>
      </c>
      <c r="T1312" s="68" t="s">
        <v>155</v>
      </c>
      <c r="U1312" s="87"/>
      <c r="V1312" s="80">
        <v>44518</v>
      </c>
      <c r="W1312" s="73"/>
      <c r="X1312" s="73"/>
      <c r="Y1312" s="83" t="str">
        <f>IF(SUM(W1312:W1312)&gt;0,X1312/SUM(W1312:W1312)*1000000,"N/A")</f>
        <v>N/A</v>
      </c>
      <c r="Z1312" s="80"/>
      <c r="AA1312" s="80"/>
      <c r="AB1312" s="73"/>
      <c r="AC1312" s="153"/>
      <c r="AD1312" s="331"/>
      <c r="AE1312" s="57"/>
      <c r="AF1312" s="88"/>
      <c r="AG1312" s="182">
        <f>YEAR(D1312)</f>
        <v>2021</v>
      </c>
      <c r="AH1312" s="86" t="str">
        <f>+IF(AE1312=$AJ$22,MONTH(T1312),"")</f>
        <v/>
      </c>
      <c r="AI1312" s="86" t="str">
        <f>+IF(AF1312=$AJ$22,MONTH(U1312),"")</f>
        <v/>
      </c>
      <c r="AJ1312" s="86" t="str">
        <f>+IF(AG1312=$AJ$22,MONTH(V1312),"")</f>
        <v/>
      </c>
      <c r="AK1312" s="86" t="str">
        <f>+IF(AG1312=$AK$22,MONTH(V1312),"")</f>
        <v/>
      </c>
      <c r="AL1312" s="86" t="str">
        <f>+IF(AG1312=$AL$22,MONTH(V1312),"")</f>
        <v/>
      </c>
      <c r="AM1312" s="86">
        <f>+IF($AG1312=$AM$22,MONTH($D1312),"")</f>
        <v>10</v>
      </c>
      <c r="AN1312" s="89" t="str">
        <f>+IF($AG1312=AN$22,MONTH($D1312),"")</f>
        <v/>
      </c>
      <c r="AO1312" s="89" t="str">
        <f>+IF($AG1312=AO$22,MONTH($D1312),"")</f>
        <v/>
      </c>
      <c r="AP1312" s="89" t="str">
        <f>+IF($AG1312=AP$22,MONTH($D1312),"")</f>
        <v/>
      </c>
      <c r="AQ1312" s="89" t="str">
        <f>+IF($AG1312=AQ$22,MONTH($D1312),"")</f>
        <v/>
      </c>
      <c r="AR1312" s="89" t="str">
        <f>+IF($AG1312=AR$22,MONTH($D1312),"")</f>
        <v/>
      </c>
      <c r="AS1312" s="89" t="str">
        <f>+IF($AG1312=AS$22,MONTH($D1312),"")</f>
        <v/>
      </c>
      <c r="AT1312" s="89" t="str">
        <f>+IF($AG1312=AT$22,MONTH($D1312),"")</f>
        <v/>
      </c>
      <c r="AU1312" s="89" t="str">
        <f>+IF($AG1312=AU$22,MONTH($D1312),"")</f>
        <v/>
      </c>
      <c r="AV1312" s="89" t="str">
        <f>+IF($AG1312=AV$22,MONTH($D1312),"")</f>
        <v/>
      </c>
      <c r="AW1312" s="86" t="str">
        <f>+IF($AG1312=AW$22,MONTH($D1312),"")</f>
        <v/>
      </c>
      <c r="AX1312" s="86" t="str">
        <f>+IF($AG1312=AX$22,MONTH($D1312),"")</f>
        <v/>
      </c>
      <c r="AY1312" s="89"/>
      <c r="AZ1312" s="89"/>
      <c r="BA1312" s="89"/>
      <c r="BB1312" s="89"/>
      <c r="BC1312" s="89"/>
      <c r="BD1312" s="89"/>
      <c r="BE1312" s="89"/>
      <c r="BF1312" s="89"/>
      <c r="BG1312" s="89"/>
      <c r="BH1312" s="89"/>
      <c r="BI1312" s="89"/>
      <c r="BJ1312" s="89"/>
      <c r="BK1312" s="89"/>
      <c r="BL1312" s="89"/>
      <c r="BM1312" s="89"/>
      <c r="BN1312" s="89"/>
      <c r="BO1312" s="89"/>
      <c r="BP1312" s="89"/>
    </row>
    <row r="1313" spans="1:68" s="56" customFormat="1" ht="40.5" hidden="1">
      <c r="A1313" s="204" t="str">
        <f>+IFERROR(VALUE(MID(AB1313,4,4)),"")</f>
        <v/>
      </c>
      <c r="B1313" s="204">
        <f>VALUE(RIGHT(C1313,LEN(C1313)-2))</f>
        <v>1411</v>
      </c>
      <c r="C1313" s="74" t="s">
        <v>4972</v>
      </c>
      <c r="D1313" s="75">
        <v>44511</v>
      </c>
      <c r="E1313" s="70" t="s">
        <v>3759</v>
      </c>
      <c r="F1313" s="70" t="s">
        <v>51</v>
      </c>
      <c r="G1313" s="68"/>
      <c r="H1313" s="59"/>
      <c r="I1313" s="69" t="s">
        <v>4973</v>
      </c>
      <c r="J1313" s="69"/>
      <c r="K1313" s="95" t="s">
        <v>3389</v>
      </c>
      <c r="L1313" s="69" t="s">
        <v>123</v>
      </c>
      <c r="M1313" s="71" t="s">
        <v>141</v>
      </c>
      <c r="N1313" s="69" t="e" vm="1">
        <v>#VALUE!</v>
      </c>
      <c r="O1313" s="84">
        <v>44591</v>
      </c>
      <c r="P1313" s="82" t="s">
        <v>4897</v>
      </c>
      <c r="Q1313" s="82" t="s">
        <v>229</v>
      </c>
      <c r="R1313" s="69"/>
      <c r="S1313" s="146" t="s">
        <v>4974</v>
      </c>
      <c r="T1313" s="68" t="s">
        <v>155</v>
      </c>
      <c r="U1313" s="87"/>
      <c r="V1313" s="80">
        <v>44515</v>
      </c>
      <c r="W1313" s="73"/>
      <c r="X1313" s="73"/>
      <c r="Y1313" s="83" t="str">
        <f>IF(SUM(W1313:W1313)&gt;0,X1313/SUM(W1313:W1313)*1000000,"N/A")</f>
        <v>N/A</v>
      </c>
      <c r="Z1313" s="80"/>
      <c r="AA1313" s="80"/>
      <c r="AB1313" s="73"/>
      <c r="AC1313" s="153"/>
      <c r="AD1313" s="331"/>
      <c r="AE1313" s="57"/>
      <c r="AF1313" s="88"/>
      <c r="AG1313" s="182">
        <f>YEAR(D1313)</f>
        <v>2021</v>
      </c>
      <c r="AH1313" s="86" t="str">
        <f>+IF(AE1313=$AJ$22,MONTH(T1313),"")</f>
        <v/>
      </c>
      <c r="AI1313" s="86" t="str">
        <f>+IF(AF1313=$AJ$22,MONTH(U1313),"")</f>
        <v/>
      </c>
      <c r="AJ1313" s="86" t="str">
        <f>+IF(AG1313=$AJ$22,MONTH(V1313),"")</f>
        <v/>
      </c>
      <c r="AK1313" s="86" t="str">
        <f>+IF(AG1313=$AK$22,MONTH(V1313),"")</f>
        <v/>
      </c>
      <c r="AL1313" s="86" t="str">
        <f>+IF(AG1313=$AL$22,MONTH(V1313),"")</f>
        <v/>
      </c>
      <c r="AM1313" s="86">
        <f>+IF($AG1313=$AM$22,MONTH($D1313),"")</f>
        <v>11</v>
      </c>
      <c r="AN1313" s="89" t="str">
        <f>+IF($AG1313=AN$22,MONTH($D1313),"")</f>
        <v/>
      </c>
      <c r="AO1313" s="89" t="str">
        <f>+IF($AG1313=AO$22,MONTH($D1313),"")</f>
        <v/>
      </c>
      <c r="AP1313" s="89" t="str">
        <f>+IF($AG1313=AP$22,MONTH($D1313),"")</f>
        <v/>
      </c>
      <c r="AQ1313" s="89" t="str">
        <f>+IF($AG1313=AQ$22,MONTH($D1313),"")</f>
        <v/>
      </c>
      <c r="AR1313" s="89" t="str">
        <f>+IF($AG1313=AR$22,MONTH($D1313),"")</f>
        <v/>
      </c>
      <c r="AS1313" s="89" t="str">
        <f>+IF($AG1313=AS$22,MONTH($D1313),"")</f>
        <v/>
      </c>
      <c r="AT1313" s="89" t="str">
        <f>+IF($AG1313=AT$22,MONTH($D1313),"")</f>
        <v/>
      </c>
      <c r="AU1313" s="89" t="str">
        <f>+IF($AG1313=AU$22,MONTH($D1313),"")</f>
        <v/>
      </c>
      <c r="AV1313" s="89" t="str">
        <f>+IF($AG1313=AV$22,MONTH($D1313),"")</f>
        <v/>
      </c>
      <c r="AW1313" s="86" t="str">
        <f>+IF($AG1313=AW$22,MONTH($D1313),"")</f>
        <v/>
      </c>
      <c r="AX1313" s="86" t="str">
        <f>+IF($AG1313=AX$22,MONTH($D1313),"")</f>
        <v/>
      </c>
      <c r="AY1313" s="89"/>
      <c r="AZ1313" s="89"/>
      <c r="BA1313" s="89"/>
      <c r="BB1313" s="89"/>
      <c r="BC1313" s="89"/>
      <c r="BD1313" s="89"/>
      <c r="BE1313" s="89"/>
      <c r="BF1313" s="89"/>
      <c r="BG1313" s="89"/>
      <c r="BH1313" s="89"/>
      <c r="BI1313" s="89"/>
      <c r="BJ1313" s="89"/>
      <c r="BK1313" s="89"/>
      <c r="BL1313" s="89"/>
      <c r="BM1313" s="89"/>
      <c r="BN1313" s="89"/>
      <c r="BO1313" s="89"/>
      <c r="BP1313" s="89"/>
    </row>
    <row r="1314" spans="1:68" s="56" customFormat="1" ht="40.5" hidden="1">
      <c r="A1314" s="204" t="str">
        <f>+IFERROR(VALUE(MID(AB1314,4,4)),"")</f>
        <v/>
      </c>
      <c r="B1314" s="204">
        <f>VALUE(RIGHT(C1314,LEN(C1314)-2))</f>
        <v>1410</v>
      </c>
      <c r="C1314" s="74" t="s">
        <v>4975</v>
      </c>
      <c r="D1314" s="75">
        <v>44515</v>
      </c>
      <c r="E1314" s="70" t="s">
        <v>4584</v>
      </c>
      <c r="F1314" s="70" t="s">
        <v>4584</v>
      </c>
      <c r="G1314" s="68" t="s">
        <v>364</v>
      </c>
      <c r="H1314" s="59" t="s">
        <v>4976</v>
      </c>
      <c r="I1314" s="69" t="s">
        <v>4977</v>
      </c>
      <c r="J1314" s="69"/>
      <c r="K1314" s="95" t="s">
        <v>9</v>
      </c>
      <c r="L1314" s="69" t="s">
        <v>120</v>
      </c>
      <c r="M1314" s="71" t="s">
        <v>141</v>
      </c>
      <c r="N1314" s="69" t="e" vm="1">
        <v>#VALUE!</v>
      </c>
      <c r="O1314" s="84">
        <v>44515</v>
      </c>
      <c r="P1314" s="82" t="s">
        <v>402</v>
      </c>
      <c r="Q1314" s="82" t="s">
        <v>259</v>
      </c>
      <c r="R1314" s="69"/>
      <c r="S1314" s="146" t="s">
        <v>4978</v>
      </c>
      <c r="T1314" s="68" t="s">
        <v>165</v>
      </c>
      <c r="U1314" s="87">
        <v>0</v>
      </c>
      <c r="V1314" s="80">
        <v>44965</v>
      </c>
      <c r="W1314" s="73">
        <v>517</v>
      </c>
      <c r="X1314" s="73">
        <f>620*30100/1000000</f>
        <v>18.661999999999999</v>
      </c>
      <c r="Y1314" s="83">
        <f>IF(SUM(W1314:W1314)&gt;0,X1314/SUM(W1314:W1314)*1000000,"N/A")</f>
        <v>36096.711798839453</v>
      </c>
      <c r="Z1314" s="80"/>
      <c r="AA1314" s="80"/>
      <c r="AB1314" s="73"/>
      <c r="AC1314" s="153"/>
      <c r="AD1314" s="331"/>
      <c r="AE1314" s="57"/>
      <c r="AF1314" s="88"/>
      <c r="AG1314" s="182">
        <f>YEAR(D1314)</f>
        <v>2021</v>
      </c>
      <c r="AH1314" s="86" t="str">
        <f>+IF(AE1314=$AJ$22,MONTH(T1314),"")</f>
        <v/>
      </c>
      <c r="AI1314" s="86" t="str">
        <f>+IF(AF1314=$AJ$22,MONTH(U1314),"")</f>
        <v/>
      </c>
      <c r="AJ1314" s="86" t="str">
        <f>+IF(AG1314=$AJ$22,MONTH(V1314),"")</f>
        <v/>
      </c>
      <c r="AK1314" s="86" t="str">
        <f>+IF(AG1314=$AK$22,MONTH(V1314),"")</f>
        <v/>
      </c>
      <c r="AL1314" s="86" t="str">
        <f>+IF(AG1314=$AL$22,MONTH(V1314),"")</f>
        <v/>
      </c>
      <c r="AM1314" s="86">
        <f>+IF($AG1314=$AM$22,MONTH($D1314),"")</f>
        <v>11</v>
      </c>
      <c r="AN1314" s="89" t="str">
        <f>+IF($AG1314=AN$22,MONTH($D1314),"")</f>
        <v/>
      </c>
      <c r="AO1314" s="89" t="str">
        <f>+IF($AG1314=AO$22,MONTH($D1314),"")</f>
        <v/>
      </c>
      <c r="AP1314" s="89" t="str">
        <f>+IF($AG1314=AP$22,MONTH($D1314),"")</f>
        <v/>
      </c>
      <c r="AQ1314" s="89" t="str">
        <f>+IF($AG1314=AQ$22,MONTH($D1314),"")</f>
        <v/>
      </c>
      <c r="AR1314" s="89" t="str">
        <f>+IF($AG1314=AR$22,MONTH($D1314),"")</f>
        <v/>
      </c>
      <c r="AS1314" s="89" t="str">
        <f>+IF($AG1314=AS$22,MONTH($D1314),"")</f>
        <v/>
      </c>
      <c r="AT1314" s="89" t="str">
        <f>+IF($AG1314=AT$22,MONTH($D1314),"")</f>
        <v/>
      </c>
      <c r="AU1314" s="89" t="str">
        <f>+IF($AG1314=AU$22,MONTH($D1314),"")</f>
        <v/>
      </c>
      <c r="AV1314" s="89" t="str">
        <f>+IF($AG1314=AV$22,MONTH($D1314),"")</f>
        <v/>
      </c>
      <c r="AW1314" s="86" t="str">
        <f>+IF($AG1314=AW$22,MONTH($D1314),"")</f>
        <v/>
      </c>
      <c r="AX1314" s="86" t="str">
        <f>+IF($AG1314=AX$22,MONTH($D1314),"")</f>
        <v/>
      </c>
      <c r="AY1314" s="89"/>
      <c r="AZ1314" s="89"/>
      <c r="BA1314" s="89"/>
      <c r="BB1314" s="89"/>
      <c r="BC1314" s="89"/>
      <c r="BD1314" s="89"/>
      <c r="BE1314" s="89"/>
      <c r="BF1314" s="89"/>
      <c r="BG1314" s="89"/>
      <c r="BH1314" s="89"/>
      <c r="BI1314" s="89"/>
      <c r="BJ1314" s="89"/>
      <c r="BK1314" s="89"/>
      <c r="BL1314" s="89"/>
      <c r="BM1314" s="89"/>
      <c r="BN1314" s="89"/>
      <c r="BO1314" s="89"/>
      <c r="BP1314" s="89"/>
    </row>
    <row r="1315" spans="1:68" s="56" customFormat="1" ht="27" hidden="1">
      <c r="A1315" s="204" t="str">
        <f>+IFERROR(VALUE(MID(AB1315,4,4)),"")</f>
        <v/>
      </c>
      <c r="B1315" s="204">
        <f>VALUE(RIGHT(C1315,LEN(C1315)-2))</f>
        <v>1409</v>
      </c>
      <c r="C1315" s="74" t="s">
        <v>4979</v>
      </c>
      <c r="D1315" s="75">
        <v>44510</v>
      </c>
      <c r="E1315" s="70" t="s">
        <v>4836</v>
      </c>
      <c r="F1315" s="70" t="s">
        <v>4836</v>
      </c>
      <c r="G1315" s="68" t="s">
        <v>4980</v>
      </c>
      <c r="H1315" s="59" t="s">
        <v>4981</v>
      </c>
      <c r="I1315" s="69" t="s">
        <v>4982</v>
      </c>
      <c r="J1315" s="69"/>
      <c r="K1315" s="95" t="s">
        <v>9</v>
      </c>
      <c r="L1315" s="69" t="s">
        <v>120</v>
      </c>
      <c r="M1315" s="71" t="s">
        <v>141</v>
      </c>
      <c r="N1315" s="69" t="e" vm="1">
        <v>#VALUE!</v>
      </c>
      <c r="O1315" s="84">
        <v>44512</v>
      </c>
      <c r="P1315" s="82" t="s">
        <v>285</v>
      </c>
      <c r="Q1315" s="82" t="s">
        <v>316</v>
      </c>
      <c r="R1315" s="69"/>
      <c r="S1315" s="146" t="s">
        <v>4983</v>
      </c>
      <c r="T1315" s="68" t="s">
        <v>155</v>
      </c>
      <c r="U1315" s="87"/>
      <c r="V1315" s="80">
        <v>44510</v>
      </c>
      <c r="W1315" s="73"/>
      <c r="X1315" s="73"/>
      <c r="Y1315" s="83" t="str">
        <f>IF(SUM(W1315:W1315)&gt;0,X1315/SUM(W1315:W1315)*1000000,"N/A")</f>
        <v>N/A</v>
      </c>
      <c r="Z1315" s="80"/>
      <c r="AA1315" s="80"/>
      <c r="AB1315" s="73"/>
      <c r="AC1315" s="153"/>
      <c r="AD1315" s="331"/>
      <c r="AE1315" s="57"/>
      <c r="AF1315" s="88"/>
      <c r="AG1315" s="182">
        <f>YEAR(D1315)</f>
        <v>2021</v>
      </c>
      <c r="AH1315" s="86" t="str">
        <f>+IF(AE1315=$AJ$22,MONTH(T1315),"")</f>
        <v/>
      </c>
      <c r="AI1315" s="86" t="str">
        <f>+IF(AF1315=$AJ$22,MONTH(U1315),"")</f>
        <v/>
      </c>
      <c r="AJ1315" s="86" t="str">
        <f>+IF(AG1315=$AJ$22,MONTH(V1315),"")</f>
        <v/>
      </c>
      <c r="AK1315" s="86" t="str">
        <f>+IF(AG1315=$AK$22,MONTH(V1315),"")</f>
        <v/>
      </c>
      <c r="AL1315" s="86" t="str">
        <f>+IF(AG1315=$AL$22,MONTH(V1315),"")</f>
        <v/>
      </c>
      <c r="AM1315" s="86">
        <f>+IF($AG1315=$AM$22,MONTH($D1315),"")</f>
        <v>11</v>
      </c>
      <c r="AN1315" s="89" t="str">
        <f>+IF($AG1315=AN$22,MONTH($D1315),"")</f>
        <v/>
      </c>
      <c r="AO1315" s="89" t="str">
        <f>+IF($AG1315=AO$22,MONTH($D1315),"")</f>
        <v/>
      </c>
      <c r="AP1315" s="89" t="str">
        <f>+IF($AG1315=AP$22,MONTH($D1315),"")</f>
        <v/>
      </c>
      <c r="AQ1315" s="89" t="str">
        <f>+IF($AG1315=AQ$22,MONTH($D1315),"")</f>
        <v/>
      </c>
      <c r="AR1315" s="89" t="str">
        <f>+IF($AG1315=AR$22,MONTH($D1315),"")</f>
        <v/>
      </c>
      <c r="AS1315" s="89" t="str">
        <f>+IF($AG1315=AS$22,MONTH($D1315),"")</f>
        <v/>
      </c>
      <c r="AT1315" s="89" t="str">
        <f>+IF($AG1315=AT$22,MONTH($D1315),"")</f>
        <v/>
      </c>
      <c r="AU1315" s="89" t="str">
        <f>+IF($AG1315=AU$22,MONTH($D1315),"")</f>
        <v/>
      </c>
      <c r="AV1315" s="89" t="str">
        <f>+IF($AG1315=AV$22,MONTH($D1315),"")</f>
        <v/>
      </c>
      <c r="AW1315" s="86" t="str">
        <f>+IF($AG1315=AW$22,MONTH($D1315),"")</f>
        <v/>
      </c>
      <c r="AX1315" s="86" t="str">
        <f>+IF($AG1315=AX$22,MONTH($D1315),"")</f>
        <v/>
      </c>
      <c r="AY1315" s="89"/>
      <c r="AZ1315" s="89"/>
      <c r="BA1315" s="89"/>
      <c r="BB1315" s="89"/>
      <c r="BC1315" s="89"/>
      <c r="BD1315" s="89"/>
      <c r="BE1315" s="89"/>
      <c r="BF1315" s="89"/>
      <c r="BG1315" s="89"/>
      <c r="BH1315" s="89"/>
      <c r="BI1315" s="89"/>
      <c r="BJ1315" s="89"/>
      <c r="BK1315" s="89"/>
      <c r="BL1315" s="89"/>
      <c r="BM1315" s="89"/>
      <c r="BN1315" s="89"/>
      <c r="BO1315" s="89"/>
      <c r="BP1315" s="89"/>
    </row>
    <row r="1316" spans="1:68" s="56" customFormat="1" ht="27" hidden="1">
      <c r="A1316" s="204">
        <f>+IFERROR(VALUE(MID(AB1316,4,4)),"")</f>
        <v>265</v>
      </c>
      <c r="B1316" s="204">
        <f>VALUE(RIGHT(C1316,LEN(C1316)-2))</f>
        <v>1408</v>
      </c>
      <c r="C1316" s="74" t="s">
        <v>4984</v>
      </c>
      <c r="D1316" s="75">
        <v>44510</v>
      </c>
      <c r="E1316" s="70" t="s">
        <v>332</v>
      </c>
      <c r="F1316" s="70" t="s">
        <v>332</v>
      </c>
      <c r="G1316" s="68" t="s">
        <v>3818</v>
      </c>
      <c r="H1316" s="59" t="s">
        <v>3878</v>
      </c>
      <c r="I1316" s="69" t="s">
        <v>4985</v>
      </c>
      <c r="J1316" s="69"/>
      <c r="K1316" s="95" t="s">
        <v>12</v>
      </c>
      <c r="L1316" s="69" t="s">
        <v>129</v>
      </c>
      <c r="M1316" s="71" t="s">
        <v>141</v>
      </c>
      <c r="N1316" s="69" t="e" vm="1">
        <v>#VALUE!</v>
      </c>
      <c r="O1316" s="84">
        <v>44533</v>
      </c>
      <c r="P1316" s="82" t="s">
        <v>4897</v>
      </c>
      <c r="Q1316" s="82" t="s">
        <v>316</v>
      </c>
      <c r="R1316" s="69"/>
      <c r="S1316" s="146" t="s">
        <v>4986</v>
      </c>
      <c r="T1316" s="68" t="s">
        <v>3</v>
      </c>
      <c r="U1316" s="87"/>
      <c r="V1316" s="80">
        <v>44533</v>
      </c>
      <c r="W1316" s="73">
        <v>1677</v>
      </c>
      <c r="X1316" s="73">
        <f>1462*31120/1000000</f>
        <v>45.497439999999997</v>
      </c>
      <c r="Y1316" s="83">
        <f>IF(SUM(W1316:W1316)&gt;0,X1316/SUM(W1316:W1316)*1000000,"N/A")</f>
        <v>27130.256410256407</v>
      </c>
      <c r="Z1316" s="80"/>
      <c r="AA1316" s="80"/>
      <c r="AB1316" s="73" t="s">
        <v>4987</v>
      </c>
      <c r="AC1316" s="153"/>
      <c r="AD1316" s="331"/>
      <c r="AE1316" s="57"/>
      <c r="AF1316" s="88"/>
      <c r="AG1316" s="182">
        <f>YEAR(D1316)</f>
        <v>2021</v>
      </c>
      <c r="AH1316" s="86" t="str">
        <f>+IF(AE1316=$AJ$22,MONTH(T1316),"")</f>
        <v/>
      </c>
      <c r="AI1316" s="86" t="str">
        <f>+IF(AF1316=$AJ$22,MONTH(U1316),"")</f>
        <v/>
      </c>
      <c r="AJ1316" s="86" t="str">
        <f>+IF(AG1316=$AJ$22,MONTH(V1316),"")</f>
        <v/>
      </c>
      <c r="AK1316" s="86" t="str">
        <f>+IF(AG1316=$AK$22,MONTH(V1316),"")</f>
        <v/>
      </c>
      <c r="AL1316" s="86" t="str">
        <f>+IF(AG1316=$AL$22,MONTH(V1316),"")</f>
        <v/>
      </c>
      <c r="AM1316" s="86">
        <f>+IF($AG1316=$AM$22,MONTH($D1316),"")</f>
        <v>11</v>
      </c>
      <c r="AN1316" s="89" t="str">
        <f>+IF($AG1316=AN$22,MONTH($D1316),"")</f>
        <v/>
      </c>
      <c r="AO1316" s="89" t="str">
        <f>+IF($AG1316=AO$22,MONTH($D1316),"")</f>
        <v/>
      </c>
      <c r="AP1316" s="89" t="str">
        <f>+IF($AG1316=AP$22,MONTH($D1316),"")</f>
        <v/>
      </c>
      <c r="AQ1316" s="89" t="str">
        <f>+IF($AG1316=AQ$22,MONTH($D1316),"")</f>
        <v/>
      </c>
      <c r="AR1316" s="89" t="str">
        <f>+IF($AG1316=AR$22,MONTH($D1316),"")</f>
        <v/>
      </c>
      <c r="AS1316" s="89" t="str">
        <f>+IF($AG1316=AS$22,MONTH($D1316),"")</f>
        <v/>
      </c>
      <c r="AT1316" s="89" t="str">
        <f>+IF($AG1316=AT$22,MONTH($D1316),"")</f>
        <v/>
      </c>
      <c r="AU1316" s="89" t="str">
        <f>+IF($AG1316=AU$22,MONTH($D1316),"")</f>
        <v/>
      </c>
      <c r="AV1316" s="89" t="str">
        <f>+IF($AG1316=AV$22,MONTH($D1316),"")</f>
        <v/>
      </c>
      <c r="AW1316" s="86" t="str">
        <f>+IF($AG1316=AW$22,MONTH($D1316),"")</f>
        <v/>
      </c>
      <c r="AX1316" s="86" t="str">
        <f>+IF($AG1316=AX$22,MONTH($D1316),"")</f>
        <v/>
      </c>
      <c r="AY1316" s="89"/>
      <c r="AZ1316" s="89"/>
      <c r="BA1316" s="89"/>
      <c r="BB1316" s="89"/>
      <c r="BC1316" s="89"/>
      <c r="BD1316" s="89"/>
      <c r="BE1316" s="89"/>
      <c r="BF1316" s="89"/>
      <c r="BG1316" s="89"/>
      <c r="BH1316" s="89"/>
      <c r="BI1316" s="89"/>
      <c r="BJ1316" s="89"/>
      <c r="BK1316" s="89"/>
      <c r="BL1316" s="89"/>
      <c r="BM1316" s="89"/>
      <c r="BN1316" s="89"/>
      <c r="BO1316" s="89"/>
      <c r="BP1316" s="89"/>
    </row>
    <row r="1317" spans="1:68" s="56" customFormat="1" ht="81" hidden="1">
      <c r="A1317" s="204" t="str">
        <f>+IFERROR(VALUE(MID(AB1317,4,4)),"")</f>
        <v/>
      </c>
      <c r="B1317" s="204">
        <f>VALUE(RIGHT(C1317,LEN(C1317)-2))</f>
        <v>1407</v>
      </c>
      <c r="C1317" s="74" t="s">
        <v>4988</v>
      </c>
      <c r="D1317" s="75">
        <v>44505</v>
      </c>
      <c r="E1317" s="70" t="s">
        <v>53</v>
      </c>
      <c r="F1317" s="70" t="s">
        <v>630</v>
      </c>
      <c r="G1317" s="68"/>
      <c r="H1317" s="59"/>
      <c r="I1317" s="69" t="s">
        <v>4989</v>
      </c>
      <c r="J1317" s="69"/>
      <c r="K1317" s="95" t="s">
        <v>13</v>
      </c>
      <c r="L1317" s="69" t="s">
        <v>123</v>
      </c>
      <c r="M1317" s="71" t="s">
        <v>141</v>
      </c>
      <c r="N1317" s="69" t="e" vm="1">
        <v>#VALUE!</v>
      </c>
      <c r="O1317" s="84">
        <v>44557</v>
      </c>
      <c r="P1317" s="82" t="s">
        <v>4897</v>
      </c>
      <c r="Q1317" s="82" t="s">
        <v>316</v>
      </c>
      <c r="R1317" s="69"/>
      <c r="S1317" s="146" t="s">
        <v>4990</v>
      </c>
      <c r="T1317" s="68" t="s">
        <v>165</v>
      </c>
      <c r="U1317" s="87"/>
      <c r="V1317" s="80">
        <v>44571</v>
      </c>
      <c r="W1317" s="73">
        <v>11941</v>
      </c>
      <c r="X1317" s="73">
        <v>487</v>
      </c>
      <c r="Y1317" s="83">
        <f>IF(SUM(W1317:W1317)&gt;0,X1317/SUM(W1317:W1317)*1000000,"N/A")</f>
        <v>40783.853948580523</v>
      </c>
      <c r="Z1317" s="80"/>
      <c r="AA1317" s="80"/>
      <c r="AB1317" s="73"/>
      <c r="AC1317" s="153"/>
      <c r="AD1317" s="331"/>
      <c r="AE1317" s="57"/>
      <c r="AF1317" s="88"/>
      <c r="AG1317" s="182">
        <f>YEAR(D1317)</f>
        <v>2021</v>
      </c>
      <c r="AH1317" s="86" t="str">
        <f>+IF(AE1317=$AJ$22,MONTH(T1317),"")</f>
        <v/>
      </c>
      <c r="AI1317" s="86" t="str">
        <f>+IF(AF1317=$AJ$22,MONTH(U1317),"")</f>
        <v/>
      </c>
      <c r="AJ1317" s="86" t="str">
        <f>+IF(AG1317=$AJ$22,MONTH(V1317),"")</f>
        <v/>
      </c>
      <c r="AK1317" s="86" t="str">
        <f>+IF(AG1317=$AK$22,MONTH(V1317),"")</f>
        <v/>
      </c>
      <c r="AL1317" s="86" t="str">
        <f>+IF(AG1317=$AL$22,MONTH(V1317),"")</f>
        <v/>
      </c>
      <c r="AM1317" s="86">
        <f>+IF($AG1317=$AM$22,MONTH($D1317),"")</f>
        <v>11</v>
      </c>
      <c r="AN1317" s="89" t="str">
        <f>+IF($AG1317=AN$22,MONTH($D1317),"")</f>
        <v/>
      </c>
      <c r="AO1317" s="89" t="str">
        <f>+IF($AG1317=AO$22,MONTH($D1317),"")</f>
        <v/>
      </c>
      <c r="AP1317" s="89" t="str">
        <f>+IF($AG1317=AP$22,MONTH($D1317),"")</f>
        <v/>
      </c>
      <c r="AQ1317" s="89" t="str">
        <f>+IF($AG1317=AQ$22,MONTH($D1317),"")</f>
        <v/>
      </c>
      <c r="AR1317" s="89" t="str">
        <f>+IF($AG1317=AR$22,MONTH($D1317),"")</f>
        <v/>
      </c>
      <c r="AS1317" s="89" t="str">
        <f>+IF($AG1317=AS$22,MONTH($D1317),"")</f>
        <v/>
      </c>
      <c r="AT1317" s="89" t="str">
        <f>+IF($AG1317=AT$22,MONTH($D1317),"")</f>
        <v/>
      </c>
      <c r="AU1317" s="89" t="str">
        <f>+IF($AG1317=AU$22,MONTH($D1317),"")</f>
        <v/>
      </c>
      <c r="AV1317" s="89" t="str">
        <f>+IF($AG1317=AV$22,MONTH($D1317),"")</f>
        <v/>
      </c>
      <c r="AW1317" s="86" t="str">
        <f>+IF($AG1317=AW$22,MONTH($D1317),"")</f>
        <v/>
      </c>
      <c r="AX1317" s="86" t="str">
        <f>+IF($AG1317=AX$22,MONTH($D1317),"")</f>
        <v/>
      </c>
      <c r="AY1317" s="89"/>
      <c r="AZ1317" s="89"/>
      <c r="BA1317" s="89"/>
      <c r="BB1317" s="89"/>
      <c r="BC1317" s="89"/>
      <c r="BD1317" s="89"/>
      <c r="BE1317" s="89"/>
      <c r="BF1317" s="89"/>
      <c r="BG1317" s="89"/>
      <c r="BH1317" s="89"/>
      <c r="BI1317" s="89"/>
      <c r="BJ1317" s="89"/>
      <c r="BK1317" s="89"/>
      <c r="BL1317" s="89"/>
      <c r="BM1317" s="89"/>
      <c r="BN1317" s="89"/>
      <c r="BO1317" s="89"/>
      <c r="BP1317" s="89"/>
    </row>
    <row r="1318" spans="1:68" s="56" customFormat="1" ht="27" hidden="1">
      <c r="A1318" s="204" t="str">
        <f>+IFERROR(VALUE(MID(AB1318,4,4)),"")</f>
        <v/>
      </c>
      <c r="B1318" s="204">
        <f>VALUE(RIGHT(C1318,LEN(C1318)-2))</f>
        <v>1406</v>
      </c>
      <c r="C1318" s="74" t="s">
        <v>4991</v>
      </c>
      <c r="D1318" s="75">
        <v>44504</v>
      </c>
      <c r="E1318" s="70" t="s">
        <v>4992</v>
      </c>
      <c r="F1318" s="70" t="s">
        <v>4992</v>
      </c>
      <c r="G1318" s="68" t="s">
        <v>4993</v>
      </c>
      <c r="H1318" s="59" t="s">
        <v>4994</v>
      </c>
      <c r="I1318" s="69" t="s">
        <v>4995</v>
      </c>
      <c r="J1318" s="69"/>
      <c r="K1318" s="95" t="s">
        <v>11</v>
      </c>
      <c r="L1318" s="69" t="s">
        <v>123</v>
      </c>
      <c r="M1318" s="71" t="s">
        <v>141</v>
      </c>
      <c r="N1318" s="69" t="e" vm="1">
        <v>#VALUE!</v>
      </c>
      <c r="O1318" s="84">
        <v>44522</v>
      </c>
      <c r="P1318" s="72" t="s">
        <v>4996</v>
      </c>
      <c r="Q1318" s="72" t="s">
        <v>229</v>
      </c>
      <c r="R1318" s="162"/>
      <c r="S1318" s="146" t="s">
        <v>2402</v>
      </c>
      <c r="T1318" s="68" t="s">
        <v>165</v>
      </c>
      <c r="U1318" s="87"/>
      <c r="V1318" s="80">
        <v>44656</v>
      </c>
      <c r="W1318" s="73">
        <v>3701</v>
      </c>
      <c r="X1318" s="73">
        <f>4551*30100/1000000</f>
        <v>136.98509999999999</v>
      </c>
      <c r="Y1318" s="83">
        <f>IF(SUM(W1318:W1318)&gt;0,X1318/SUM(W1318:W1318)*1000000,"N/A")</f>
        <v>37012.996487435827</v>
      </c>
      <c r="Z1318" s="80"/>
      <c r="AA1318" s="80"/>
      <c r="AB1318" s="73"/>
      <c r="AC1318" s="153"/>
      <c r="AD1318" s="331"/>
      <c r="AE1318" s="57"/>
      <c r="AF1318" s="88"/>
      <c r="AG1318" s="182">
        <f>YEAR(V1318)</f>
        <v>2022</v>
      </c>
      <c r="AH1318" s="86" t="str">
        <f>+IF(AE1318=$AJ$22,MONTH(T1318),"")</f>
        <v/>
      </c>
      <c r="AI1318" s="86" t="str">
        <f>+IF(AF1318=$AJ$22,MONTH(U1318),"")</f>
        <v/>
      </c>
      <c r="AJ1318" s="86" t="str">
        <f>+IF(AG1318=$AJ$22,MONTH(V1318),"")</f>
        <v/>
      </c>
      <c r="AK1318" s="86" t="str">
        <f>+IF(AG1318=$AK$22,MONTH(V1318),"")</f>
        <v/>
      </c>
      <c r="AL1318" s="86">
        <f>+IF(AG1318=$AL$22,MONTH(V1318),"")</f>
        <v>4</v>
      </c>
      <c r="AM1318" s="86" t="str">
        <f>+IF($AG1318=$AM$22,MONTH($D1318),"")</f>
        <v/>
      </c>
      <c r="AN1318" s="89" t="str">
        <f>+IF($AG1318=AN$22,MONTH($D1318),"")</f>
        <v/>
      </c>
      <c r="AO1318" s="89" t="str">
        <f>+IF($AG1318=AO$22,MONTH($D1318),"")</f>
        <v/>
      </c>
      <c r="AP1318" s="89" t="str">
        <f>+IF($AG1318=AP$22,MONTH($D1318),"")</f>
        <v/>
      </c>
      <c r="AQ1318" s="89" t="str">
        <f>+IF($AG1318=AQ$22,MONTH($D1318),"")</f>
        <v/>
      </c>
      <c r="AR1318" s="89" t="str">
        <f>+IF($AG1318=AR$22,MONTH($D1318),"")</f>
        <v/>
      </c>
      <c r="AS1318" s="89" t="str">
        <f>+IF($AG1318=AS$22,MONTH($D1318),"")</f>
        <v/>
      </c>
      <c r="AT1318" s="89" t="str">
        <f>+IF($AG1318=AT$22,MONTH($D1318),"")</f>
        <v/>
      </c>
      <c r="AU1318" s="89" t="str">
        <f>+IF($AG1318=AU$22,MONTH($D1318),"")</f>
        <v/>
      </c>
      <c r="AV1318" s="89" t="str">
        <f>+IF($AG1318=AV$22,MONTH($D1318),"")</f>
        <v/>
      </c>
      <c r="AW1318" s="86" t="str">
        <f>+IF($AG1318=AW$22,MONTH($D1318),"")</f>
        <v/>
      </c>
      <c r="AX1318" s="86" t="str">
        <f>+IF($AG1318=AX$22,MONTH($D1318),"")</f>
        <v/>
      </c>
      <c r="AY1318" s="89"/>
      <c r="AZ1318" s="89"/>
      <c r="BA1318" s="89"/>
      <c r="BB1318" s="89"/>
      <c r="BC1318" s="89"/>
      <c r="BD1318" s="89"/>
      <c r="BE1318" s="89"/>
      <c r="BF1318" s="89"/>
      <c r="BG1318" s="89"/>
      <c r="BH1318" s="89"/>
      <c r="BI1318" s="89"/>
      <c r="BJ1318" s="89"/>
      <c r="BK1318" s="89"/>
      <c r="BL1318" s="89"/>
      <c r="BM1318" s="89"/>
      <c r="BN1318" s="89"/>
      <c r="BO1318" s="89"/>
      <c r="BP1318" s="89"/>
    </row>
    <row r="1319" spans="1:68" s="56" customFormat="1" ht="27" hidden="1">
      <c r="A1319" s="204">
        <f>+IFERROR(VALUE(MID(AB1319,4,4)),"")</f>
        <v>271</v>
      </c>
      <c r="B1319" s="204">
        <f>VALUE(RIGHT(C1319,LEN(C1319)-2))</f>
        <v>1405</v>
      </c>
      <c r="C1319" s="74" t="s">
        <v>4997</v>
      </c>
      <c r="D1319" s="75">
        <v>44504</v>
      </c>
      <c r="E1319" s="70" t="s">
        <v>277</v>
      </c>
      <c r="F1319" s="70" t="s">
        <v>277</v>
      </c>
      <c r="G1319" s="68" t="s">
        <v>1350</v>
      </c>
      <c r="H1319" s="59" t="s">
        <v>4327</v>
      </c>
      <c r="I1319" s="69" t="s">
        <v>4998</v>
      </c>
      <c r="J1319" s="69"/>
      <c r="K1319" s="95" t="s">
        <v>9</v>
      </c>
      <c r="L1319" s="69" t="s">
        <v>129</v>
      </c>
      <c r="M1319" s="71" t="s">
        <v>141</v>
      </c>
      <c r="N1319" s="69" t="e" vm="1">
        <v>#VALUE!</v>
      </c>
      <c r="O1319" s="84">
        <v>44508</v>
      </c>
      <c r="P1319" s="72" t="s">
        <v>402</v>
      </c>
      <c r="Q1319" s="72" t="s">
        <v>623</v>
      </c>
      <c r="R1319" s="162"/>
      <c r="S1319" s="146"/>
      <c r="T1319" s="68" t="s">
        <v>3</v>
      </c>
      <c r="U1319" s="87"/>
      <c r="V1319" s="80">
        <v>44508</v>
      </c>
      <c r="W1319" s="73">
        <v>257</v>
      </c>
      <c r="X1319" s="73">
        <v>8</v>
      </c>
      <c r="Y1319" s="83">
        <f>IF(SUM(W1319:W1319)&gt;0,X1319/SUM(W1319:W1319)*1000000,"N/A")</f>
        <v>31128.404669260701</v>
      </c>
      <c r="Z1319" s="80"/>
      <c r="AA1319" s="80"/>
      <c r="AB1319" s="73" t="s">
        <v>4999</v>
      </c>
      <c r="AC1319" s="153"/>
      <c r="AD1319" s="331"/>
      <c r="AE1319" s="57"/>
      <c r="AF1319" s="88"/>
      <c r="AG1319" s="182">
        <f>YEAR(D1319)</f>
        <v>2021</v>
      </c>
      <c r="AH1319" s="86" t="str">
        <f>+IF(AE1319=$AJ$22,MONTH(T1319),"")</f>
        <v/>
      </c>
      <c r="AI1319" s="86" t="str">
        <f>+IF(AF1319=$AJ$22,MONTH(U1319),"")</f>
        <v/>
      </c>
      <c r="AJ1319" s="86" t="str">
        <f>+IF(AG1319=$AJ$22,MONTH(V1319),"")</f>
        <v/>
      </c>
      <c r="AK1319" s="86" t="str">
        <f>+IF(AG1319=$AK$22,MONTH(V1319),"")</f>
        <v/>
      </c>
      <c r="AL1319" s="86" t="str">
        <f>+IF(AG1319=$AL$22,MONTH(V1319),"")</f>
        <v/>
      </c>
      <c r="AM1319" s="86">
        <f>+IF($AG1319=$AM$22,MONTH($D1319),"")</f>
        <v>11</v>
      </c>
      <c r="AN1319" s="89" t="str">
        <f>+IF($AG1319=AN$22,MONTH($D1319),"")</f>
        <v/>
      </c>
      <c r="AO1319" s="89" t="str">
        <f>+IF($AG1319=AO$22,MONTH($D1319),"")</f>
        <v/>
      </c>
      <c r="AP1319" s="89" t="str">
        <f>+IF($AG1319=AP$22,MONTH($D1319),"")</f>
        <v/>
      </c>
      <c r="AQ1319" s="89" t="str">
        <f>+IF($AG1319=AQ$22,MONTH($D1319),"")</f>
        <v/>
      </c>
      <c r="AR1319" s="89" t="str">
        <f>+IF($AG1319=AR$22,MONTH($D1319),"")</f>
        <v/>
      </c>
      <c r="AS1319" s="89" t="str">
        <f>+IF($AG1319=AS$22,MONTH($D1319),"")</f>
        <v/>
      </c>
      <c r="AT1319" s="89" t="str">
        <f>+IF($AG1319=AT$22,MONTH($D1319),"")</f>
        <v/>
      </c>
      <c r="AU1319" s="89" t="str">
        <f>+IF($AG1319=AU$22,MONTH($D1319),"")</f>
        <v/>
      </c>
      <c r="AV1319" s="89" t="str">
        <f>+IF($AG1319=AV$22,MONTH($D1319),"")</f>
        <v/>
      </c>
      <c r="AW1319" s="86" t="str">
        <f>+IF($AG1319=AW$22,MONTH($D1319),"")</f>
        <v/>
      </c>
      <c r="AX1319" s="86" t="str">
        <f>+IF($AG1319=AX$22,MONTH($D1319),"")</f>
        <v/>
      </c>
      <c r="AY1319" s="89"/>
      <c r="AZ1319" s="89"/>
      <c r="BA1319" s="89"/>
      <c r="BB1319" s="89"/>
      <c r="BC1319" s="89"/>
      <c r="BD1319" s="89"/>
      <c r="BE1319" s="89"/>
      <c r="BF1319" s="89"/>
      <c r="BG1319" s="89"/>
      <c r="BH1319" s="89"/>
      <c r="BI1319" s="89"/>
      <c r="BJ1319" s="89"/>
      <c r="BK1319" s="89"/>
      <c r="BL1319" s="89"/>
      <c r="BM1319" s="89"/>
      <c r="BN1319" s="89"/>
      <c r="BO1319" s="89"/>
      <c r="BP1319" s="89"/>
    </row>
    <row r="1320" spans="1:68" s="56" customFormat="1" ht="13.5" hidden="1">
      <c r="A1320" s="204">
        <f>+IFERROR(VALUE(MID(AB1320,4,4)),"")</f>
        <v>285</v>
      </c>
      <c r="B1320" s="204">
        <f>VALUE(RIGHT(C1320,LEN(C1320)-2))</f>
        <v>1404</v>
      </c>
      <c r="C1320" s="74" t="s">
        <v>5000</v>
      </c>
      <c r="D1320" s="75">
        <v>44504</v>
      </c>
      <c r="E1320" s="70" t="s">
        <v>394</v>
      </c>
      <c r="F1320" s="70" t="s">
        <v>394</v>
      </c>
      <c r="G1320" s="68" t="s">
        <v>5001</v>
      </c>
      <c r="H1320" s="59" t="s">
        <v>5002</v>
      </c>
      <c r="I1320" s="69" t="s">
        <v>5003</v>
      </c>
      <c r="J1320" s="69"/>
      <c r="K1320" s="68" t="s">
        <v>12</v>
      </c>
      <c r="L1320" s="69" t="s">
        <v>120</v>
      </c>
      <c r="M1320" s="71" t="s">
        <v>141</v>
      </c>
      <c r="N1320" s="69" t="e" vm="1">
        <v>#VALUE!</v>
      </c>
      <c r="O1320" s="84">
        <v>44488</v>
      </c>
      <c r="P1320" s="72" t="s">
        <v>2852</v>
      </c>
      <c r="Q1320" s="72" t="s">
        <v>623</v>
      </c>
      <c r="R1320" s="162"/>
      <c r="S1320" s="146" t="s">
        <v>2491</v>
      </c>
      <c r="T1320" s="68" t="s">
        <v>3</v>
      </c>
      <c r="U1320" s="87"/>
      <c r="V1320" s="80">
        <v>44505</v>
      </c>
      <c r="W1320" s="73">
        <v>747</v>
      </c>
      <c r="X1320" s="73">
        <f>1104*30400/1000000</f>
        <v>33.561599999999999</v>
      </c>
      <c r="Y1320" s="83">
        <f>IF(SUM(W1320:W1320)&gt;0,X1320/SUM(W1320:W1320)*1000000,"N/A")</f>
        <v>44928.514056224893</v>
      </c>
      <c r="Z1320" s="80"/>
      <c r="AA1320" s="80"/>
      <c r="AB1320" s="73" t="s">
        <v>5004</v>
      </c>
      <c r="AC1320" s="153"/>
      <c r="AD1320" s="331"/>
      <c r="AE1320" s="57"/>
      <c r="AF1320" s="88"/>
      <c r="AG1320" s="182">
        <f>YEAR(D1320)</f>
        <v>2021</v>
      </c>
      <c r="AH1320" s="86" t="str">
        <f>+IF(AE1320=$AJ$22,MONTH(T1320),"")</f>
        <v/>
      </c>
      <c r="AI1320" s="86" t="str">
        <f>+IF(AF1320=$AJ$22,MONTH(U1320),"")</f>
        <v/>
      </c>
      <c r="AJ1320" s="86" t="str">
        <f>+IF(AG1320=$AJ$22,MONTH(V1320),"")</f>
        <v/>
      </c>
      <c r="AK1320" s="86" t="str">
        <f>+IF(AG1320=$AK$22,MONTH(V1320),"")</f>
        <v/>
      </c>
      <c r="AL1320" s="86" t="str">
        <f>+IF(AG1320=$AL$22,MONTH(V1320),"")</f>
        <v/>
      </c>
      <c r="AM1320" s="86">
        <f>+IF($AG1320=$AM$22,MONTH($D1320),"")</f>
        <v>11</v>
      </c>
      <c r="AN1320" s="89" t="str">
        <f>+IF($AG1320=AN$22,MONTH($D1320),"")</f>
        <v/>
      </c>
      <c r="AO1320" s="89" t="str">
        <f>+IF($AG1320=AO$22,MONTH($D1320),"")</f>
        <v/>
      </c>
      <c r="AP1320" s="89" t="str">
        <f>+IF($AG1320=AP$22,MONTH($D1320),"")</f>
        <v/>
      </c>
      <c r="AQ1320" s="89" t="str">
        <f>+IF($AG1320=AQ$22,MONTH($D1320),"")</f>
        <v/>
      </c>
      <c r="AR1320" s="89" t="str">
        <f>+IF($AG1320=AR$22,MONTH($D1320),"")</f>
        <v/>
      </c>
      <c r="AS1320" s="89" t="str">
        <f>+IF($AG1320=AS$22,MONTH($D1320),"")</f>
        <v/>
      </c>
      <c r="AT1320" s="89" t="str">
        <f>+IF($AG1320=AT$22,MONTH($D1320),"")</f>
        <v/>
      </c>
      <c r="AU1320" s="89" t="str">
        <f>+IF($AG1320=AU$22,MONTH($D1320),"")</f>
        <v/>
      </c>
      <c r="AV1320" s="89" t="str">
        <f>+IF($AG1320=AV$22,MONTH($D1320),"")</f>
        <v/>
      </c>
      <c r="AW1320" s="86" t="str">
        <f>+IF($AG1320=AW$22,MONTH($D1320),"")</f>
        <v/>
      </c>
      <c r="AX1320" s="86" t="str">
        <f>+IF($AG1320=AX$22,MONTH($D1320),"")</f>
        <v/>
      </c>
      <c r="AY1320" s="89"/>
      <c r="AZ1320" s="89"/>
      <c r="BA1320" s="89"/>
      <c r="BB1320" s="89"/>
      <c r="BC1320" s="89"/>
      <c r="BD1320" s="89"/>
      <c r="BE1320" s="89"/>
      <c r="BF1320" s="89"/>
      <c r="BG1320" s="89"/>
      <c r="BH1320" s="89"/>
      <c r="BI1320" s="89"/>
      <c r="BJ1320" s="89"/>
      <c r="BK1320" s="89"/>
      <c r="BL1320" s="89"/>
      <c r="BM1320" s="89"/>
      <c r="BN1320" s="89"/>
      <c r="BO1320" s="89"/>
      <c r="BP1320" s="89"/>
    </row>
    <row r="1321" spans="1:68" s="56" customFormat="1" ht="27" hidden="1">
      <c r="A1321" s="204">
        <f>+IFERROR(VALUE(MID(AB1321,4,4)),"")</f>
        <v>286</v>
      </c>
      <c r="B1321" s="204">
        <f>VALUE(RIGHT(C1321,LEN(C1321)-2))</f>
        <v>1403</v>
      </c>
      <c r="C1321" s="74" t="s">
        <v>5005</v>
      </c>
      <c r="D1321" s="75">
        <v>44504</v>
      </c>
      <c r="E1321" s="70" t="s">
        <v>4299</v>
      </c>
      <c r="F1321" s="70" t="s">
        <v>2065</v>
      </c>
      <c r="G1321" s="68" t="s">
        <v>4300</v>
      </c>
      <c r="H1321" s="59" t="s">
        <v>4301</v>
      </c>
      <c r="I1321" s="69" t="s">
        <v>5006</v>
      </c>
      <c r="J1321" s="69"/>
      <c r="K1321" s="95" t="s">
        <v>9</v>
      </c>
      <c r="L1321" s="69" t="s">
        <v>120</v>
      </c>
      <c r="M1321" s="71" t="s">
        <v>141</v>
      </c>
      <c r="N1321" s="69" t="e" vm="1">
        <v>#VALUE!</v>
      </c>
      <c r="O1321" s="84">
        <v>44511</v>
      </c>
      <c r="P1321" s="82" t="s">
        <v>666</v>
      </c>
      <c r="Q1321" s="82" t="s">
        <v>1097</v>
      </c>
      <c r="R1321" s="69"/>
      <c r="S1321" s="146" t="s">
        <v>2491</v>
      </c>
      <c r="T1321" s="68" t="s">
        <v>3</v>
      </c>
      <c r="U1321" s="87"/>
      <c r="V1321" s="80">
        <v>44511</v>
      </c>
      <c r="W1321" s="73">
        <v>1115</v>
      </c>
      <c r="X1321" s="73">
        <f>1800*30100/1000000</f>
        <v>54.18</v>
      </c>
      <c r="Y1321" s="83">
        <f>IF(SUM(W1321:W1321)&gt;0,X1321/SUM(W1321:W1321)*1000000,"N/A")</f>
        <v>48591.928251121077</v>
      </c>
      <c r="Z1321" s="80"/>
      <c r="AA1321" s="80"/>
      <c r="AB1321" s="73" t="s">
        <v>5007</v>
      </c>
      <c r="AC1321" s="153"/>
      <c r="AD1321" s="331"/>
      <c r="AE1321" s="57"/>
      <c r="AF1321" s="88"/>
      <c r="AG1321" s="182">
        <f>YEAR(D1321)</f>
        <v>2021</v>
      </c>
      <c r="AH1321" s="86" t="str">
        <f>+IF(AE1321=$AJ$22,MONTH(T1321),"")</f>
        <v/>
      </c>
      <c r="AI1321" s="86" t="str">
        <f>+IF(AF1321=$AJ$22,MONTH(U1321),"")</f>
        <v/>
      </c>
      <c r="AJ1321" s="86" t="str">
        <f>+IF(AG1321=$AJ$22,MONTH(V1321),"")</f>
        <v/>
      </c>
      <c r="AK1321" s="86" t="str">
        <f>+IF(AG1321=$AK$22,MONTH(V1321),"")</f>
        <v/>
      </c>
      <c r="AL1321" s="86" t="str">
        <f>+IF(AG1321=$AL$22,MONTH(V1321),"")</f>
        <v/>
      </c>
      <c r="AM1321" s="86">
        <f>+IF($AG1321=$AM$22,MONTH($D1321),"")</f>
        <v>11</v>
      </c>
      <c r="AN1321" s="89" t="str">
        <f>+IF($AG1321=AN$22,MONTH($D1321),"")</f>
        <v/>
      </c>
      <c r="AO1321" s="89" t="str">
        <f>+IF($AG1321=AO$22,MONTH($D1321),"")</f>
        <v/>
      </c>
      <c r="AP1321" s="89" t="str">
        <f>+IF($AG1321=AP$22,MONTH($D1321),"")</f>
        <v/>
      </c>
      <c r="AQ1321" s="89" t="str">
        <f>+IF($AG1321=AQ$22,MONTH($D1321),"")</f>
        <v/>
      </c>
      <c r="AR1321" s="89" t="str">
        <f>+IF($AG1321=AR$22,MONTH($D1321),"")</f>
        <v/>
      </c>
      <c r="AS1321" s="89" t="str">
        <f>+IF($AG1321=AS$22,MONTH($D1321),"")</f>
        <v/>
      </c>
      <c r="AT1321" s="89" t="str">
        <f>+IF($AG1321=AT$22,MONTH($D1321),"")</f>
        <v/>
      </c>
      <c r="AU1321" s="89" t="str">
        <f>+IF($AG1321=AU$22,MONTH($D1321),"")</f>
        <v/>
      </c>
      <c r="AV1321" s="89" t="str">
        <f>+IF($AG1321=AV$22,MONTH($D1321),"")</f>
        <v/>
      </c>
      <c r="AW1321" s="86" t="str">
        <f>+IF($AG1321=AW$22,MONTH($D1321),"")</f>
        <v/>
      </c>
      <c r="AX1321" s="86" t="str">
        <f>+IF($AG1321=AX$22,MONTH($D1321),"")</f>
        <v/>
      </c>
      <c r="AY1321" s="89"/>
      <c r="AZ1321" s="89"/>
      <c r="BA1321" s="89"/>
      <c r="BB1321" s="89"/>
      <c r="BC1321" s="89"/>
      <c r="BD1321" s="89"/>
      <c r="BE1321" s="89"/>
      <c r="BF1321" s="89"/>
      <c r="BG1321" s="89"/>
      <c r="BH1321" s="89"/>
      <c r="BI1321" s="89"/>
      <c r="BJ1321" s="89"/>
      <c r="BK1321" s="89"/>
      <c r="BL1321" s="89"/>
      <c r="BM1321" s="89"/>
      <c r="BN1321" s="89"/>
      <c r="BO1321" s="89"/>
      <c r="BP1321" s="89"/>
    </row>
    <row r="1322" spans="1:68" s="56" customFormat="1" ht="67.5" hidden="1">
      <c r="A1322" s="204" t="str">
        <f>+IFERROR(VALUE(MID(AB1322,4,4)),"")</f>
        <v/>
      </c>
      <c r="B1322" s="204">
        <f>VALUE(RIGHT(C1322,LEN(C1322)-2))</f>
        <v>1402</v>
      </c>
      <c r="C1322" s="74" t="s">
        <v>5008</v>
      </c>
      <c r="D1322" s="75">
        <v>44504</v>
      </c>
      <c r="E1322" s="70" t="s">
        <v>97</v>
      </c>
      <c r="F1322" s="70" t="s">
        <v>252</v>
      </c>
      <c r="G1322" s="68" t="s">
        <v>4043</v>
      </c>
      <c r="H1322" s="59" t="s">
        <v>4044</v>
      </c>
      <c r="I1322" s="69" t="s">
        <v>5009</v>
      </c>
      <c r="J1322" s="69"/>
      <c r="K1322" s="95" t="s">
        <v>18</v>
      </c>
      <c r="L1322" s="69" t="s">
        <v>120</v>
      </c>
      <c r="M1322" s="71" t="s">
        <v>141</v>
      </c>
      <c r="N1322" s="69" t="e" vm="1">
        <v>#VALUE!</v>
      </c>
      <c r="O1322" s="84">
        <v>44511</v>
      </c>
      <c r="P1322" s="82" t="s">
        <v>402</v>
      </c>
      <c r="Q1322" s="82" t="s">
        <v>1097</v>
      </c>
      <c r="R1322" s="69"/>
      <c r="S1322" s="146" t="s">
        <v>5010</v>
      </c>
      <c r="T1322" s="68" t="s">
        <v>168</v>
      </c>
      <c r="U1322" s="87"/>
      <c r="V1322" s="80">
        <v>44886</v>
      </c>
      <c r="W1322" s="73">
        <v>355</v>
      </c>
      <c r="X1322" s="73">
        <v>19</v>
      </c>
      <c r="Y1322" s="83">
        <f>IF(SUM(W1322:W1322)&gt;0,X1322/SUM(W1322:W1322)*1000000,"N/A")</f>
        <v>53521.126760563377</v>
      </c>
      <c r="Z1322" s="80"/>
      <c r="AA1322" s="80"/>
      <c r="AB1322" s="73"/>
      <c r="AC1322" s="153"/>
      <c r="AD1322" s="331"/>
      <c r="AE1322" s="57"/>
      <c r="AF1322" s="88"/>
      <c r="AG1322" s="182">
        <f>YEAR(D1322)</f>
        <v>2021</v>
      </c>
      <c r="AH1322" s="86" t="str">
        <f>+IF(AE1322=$AJ$22,MONTH(T1322),"")</f>
        <v/>
      </c>
      <c r="AI1322" s="86" t="str">
        <f>+IF(AF1322=$AJ$22,MONTH(U1322),"")</f>
        <v/>
      </c>
      <c r="AJ1322" s="86" t="str">
        <f>+IF(AG1322=$AJ$22,MONTH(V1322),"")</f>
        <v/>
      </c>
      <c r="AK1322" s="86" t="str">
        <f>+IF(AG1322=$AK$22,MONTH(V1322),"")</f>
        <v/>
      </c>
      <c r="AL1322" s="86" t="str">
        <f>+IF(AG1322=$AL$22,MONTH(V1322),"")</f>
        <v/>
      </c>
      <c r="AM1322" s="86">
        <f>+IF($AG1322=$AM$22,MONTH($D1322),"")</f>
        <v>11</v>
      </c>
      <c r="AN1322" s="89" t="str">
        <f>+IF($AG1322=AN$22,MONTH($D1322),"")</f>
        <v/>
      </c>
      <c r="AO1322" s="89" t="str">
        <f>+IF($AG1322=AO$22,MONTH($D1322),"")</f>
        <v/>
      </c>
      <c r="AP1322" s="89" t="str">
        <f>+IF($AG1322=AP$22,MONTH($D1322),"")</f>
        <v/>
      </c>
      <c r="AQ1322" s="89" t="str">
        <f>+IF($AG1322=AQ$22,MONTH($D1322),"")</f>
        <v/>
      </c>
      <c r="AR1322" s="89" t="str">
        <f>+IF($AG1322=AR$22,MONTH($D1322),"")</f>
        <v/>
      </c>
      <c r="AS1322" s="89" t="str">
        <f>+IF($AG1322=AS$22,MONTH($D1322),"")</f>
        <v/>
      </c>
      <c r="AT1322" s="89" t="str">
        <f>+IF($AG1322=AT$22,MONTH($D1322),"")</f>
        <v/>
      </c>
      <c r="AU1322" s="89" t="str">
        <f>+IF($AG1322=AU$22,MONTH($D1322),"")</f>
        <v/>
      </c>
      <c r="AV1322" s="89" t="str">
        <f>+IF($AG1322=AV$22,MONTH($D1322),"")</f>
        <v/>
      </c>
      <c r="AW1322" s="86" t="str">
        <f>+IF($AG1322=AW$22,MONTH($D1322),"")</f>
        <v/>
      </c>
      <c r="AX1322" s="86" t="str">
        <f>+IF($AG1322=AX$22,MONTH($D1322),"")</f>
        <v/>
      </c>
      <c r="AY1322" s="89"/>
      <c r="AZ1322" s="89"/>
      <c r="BA1322" s="89"/>
      <c r="BB1322" s="89"/>
      <c r="BC1322" s="89"/>
      <c r="BD1322" s="89"/>
      <c r="BE1322" s="89"/>
      <c r="BF1322" s="89"/>
      <c r="BG1322" s="89"/>
      <c r="BH1322" s="89"/>
      <c r="BI1322" s="89"/>
      <c r="BJ1322" s="89"/>
      <c r="BK1322" s="89"/>
      <c r="BL1322" s="89"/>
      <c r="BM1322" s="89"/>
      <c r="BN1322" s="89"/>
      <c r="BO1322" s="89"/>
      <c r="BP1322" s="89"/>
    </row>
    <row r="1323" spans="1:68" s="56" customFormat="1" ht="27" hidden="1">
      <c r="A1323" s="204" t="str">
        <f>+IFERROR(VALUE(MID(AB1323,4,4)),"")</f>
        <v/>
      </c>
      <c r="B1323" s="204">
        <f>VALUE(RIGHT(C1323,LEN(C1323)-2))</f>
        <v>1401</v>
      </c>
      <c r="C1323" s="74" t="s">
        <v>5011</v>
      </c>
      <c r="D1323" s="75">
        <v>44504</v>
      </c>
      <c r="E1323" s="70" t="s">
        <v>394</v>
      </c>
      <c r="F1323" s="70" t="s">
        <v>394</v>
      </c>
      <c r="G1323" s="68" t="s">
        <v>4192</v>
      </c>
      <c r="H1323" s="111" t="s">
        <v>4193</v>
      </c>
      <c r="I1323" s="69" t="s">
        <v>5012</v>
      </c>
      <c r="J1323" s="69"/>
      <c r="K1323" s="95" t="s">
        <v>13</v>
      </c>
      <c r="L1323" s="69" t="s">
        <v>120</v>
      </c>
      <c r="M1323" s="71" t="s">
        <v>141</v>
      </c>
      <c r="N1323" s="69" t="e" vm="1">
        <v>#VALUE!</v>
      </c>
      <c r="O1323" s="84">
        <v>44505</v>
      </c>
      <c r="P1323" s="82" t="s">
        <v>2852</v>
      </c>
      <c r="Q1323" s="82" t="s">
        <v>644</v>
      </c>
      <c r="R1323" s="69"/>
      <c r="S1323" s="146" t="s">
        <v>2509</v>
      </c>
      <c r="T1323" s="68" t="s">
        <v>165</v>
      </c>
      <c r="U1323" s="87">
        <v>0</v>
      </c>
      <c r="V1323" s="80">
        <v>44965</v>
      </c>
      <c r="W1323" s="73">
        <v>415</v>
      </c>
      <c r="X1323" s="216">
        <f>642*30100/1000000</f>
        <v>19.324200000000001</v>
      </c>
      <c r="Y1323" s="83">
        <f>IF(SUM(W1323:W1323)&gt;0,X1323/SUM(W1323:W1323)*1000000,"N/A")</f>
        <v>46564.337349397589</v>
      </c>
      <c r="Z1323" s="80"/>
      <c r="AA1323" s="80"/>
      <c r="AB1323" s="73"/>
      <c r="AC1323" s="217"/>
      <c r="AD1323" s="333"/>
      <c r="AE1323" s="112"/>
      <c r="AF1323" s="88"/>
      <c r="AG1323" s="182">
        <f>YEAR(D1323)</f>
        <v>2021</v>
      </c>
      <c r="AH1323" s="86" t="str">
        <f>+IF(AE1323=$AJ$22,MONTH(T1323),"")</f>
        <v/>
      </c>
      <c r="AI1323" s="86" t="str">
        <f>+IF(AF1323=$AJ$22,MONTH(U1323),"")</f>
        <v/>
      </c>
      <c r="AJ1323" s="86" t="str">
        <f>+IF(AG1323=$AJ$22,MONTH(V1323),"")</f>
        <v/>
      </c>
      <c r="AK1323" s="86" t="str">
        <f>+IF(AG1323=$AK$22,MONTH(V1323),"")</f>
        <v/>
      </c>
      <c r="AL1323" s="86" t="str">
        <f>+IF(AG1323=$AL$22,MONTH(V1323),"")</f>
        <v/>
      </c>
      <c r="AM1323" s="86">
        <f>+IF($AG1323=$AM$22,MONTH($D1323),"")</f>
        <v>11</v>
      </c>
      <c r="AN1323" s="89" t="str">
        <f>+IF($AG1323=AN$22,MONTH($D1323),"")</f>
        <v/>
      </c>
      <c r="AO1323" s="89" t="str">
        <f>+IF($AG1323=AO$22,MONTH($D1323),"")</f>
        <v/>
      </c>
      <c r="AP1323" s="89" t="str">
        <f>+IF($AG1323=AP$22,MONTH($D1323),"")</f>
        <v/>
      </c>
      <c r="AQ1323" s="89" t="str">
        <f>+IF($AG1323=AQ$22,MONTH($D1323),"")</f>
        <v/>
      </c>
      <c r="AR1323" s="89" t="str">
        <f>+IF($AG1323=AR$22,MONTH($D1323),"")</f>
        <v/>
      </c>
      <c r="AS1323" s="89" t="str">
        <f>+IF($AG1323=AS$22,MONTH($D1323),"")</f>
        <v/>
      </c>
      <c r="AT1323" s="89" t="str">
        <f>+IF($AG1323=AT$22,MONTH($D1323),"")</f>
        <v/>
      </c>
      <c r="AU1323" s="89" t="str">
        <f>+IF($AG1323=AU$22,MONTH($D1323),"")</f>
        <v/>
      </c>
      <c r="AV1323" s="89" t="str">
        <f>+IF($AG1323=AV$22,MONTH($D1323),"")</f>
        <v/>
      </c>
      <c r="AW1323" s="86" t="str">
        <f>+IF($AG1323=AW$22,MONTH($D1323),"")</f>
        <v/>
      </c>
      <c r="AX1323" s="86" t="str">
        <f>+IF($AG1323=AX$22,MONTH($D1323),"")</f>
        <v/>
      </c>
      <c r="AY1323" s="89"/>
      <c r="AZ1323" s="89"/>
      <c r="BA1323" s="89"/>
      <c r="BB1323" s="89"/>
      <c r="BC1323" s="89"/>
      <c r="BD1323" s="89"/>
      <c r="BE1323" s="89"/>
      <c r="BF1323" s="89"/>
      <c r="BG1323" s="89"/>
      <c r="BH1323" s="89"/>
      <c r="BI1323" s="89"/>
      <c r="BJ1323" s="89"/>
      <c r="BK1323" s="89"/>
      <c r="BL1323" s="89"/>
      <c r="BM1323" s="89"/>
      <c r="BN1323" s="89"/>
      <c r="BO1323" s="89"/>
      <c r="BP1323" s="89"/>
    </row>
    <row r="1324" spans="1:68" s="56" customFormat="1" ht="81" hidden="1">
      <c r="A1324" s="204" t="str">
        <f>+IFERROR(VALUE(MID(AB1324,4,4)),"")</f>
        <v/>
      </c>
      <c r="B1324" s="204">
        <f>VALUE(RIGHT(C1324,LEN(C1324)-2))</f>
        <v>1400</v>
      </c>
      <c r="C1324" s="74" t="s">
        <v>5013</v>
      </c>
      <c r="D1324" s="75">
        <v>44497</v>
      </c>
      <c r="E1324" s="70" t="s">
        <v>97</v>
      </c>
      <c r="F1324" s="70" t="s">
        <v>252</v>
      </c>
      <c r="G1324" s="68" t="s">
        <v>4043</v>
      </c>
      <c r="H1324" s="59" t="s">
        <v>4044</v>
      </c>
      <c r="I1324" s="69" t="s">
        <v>5014</v>
      </c>
      <c r="J1324" s="69"/>
      <c r="K1324" s="95" t="s">
        <v>18</v>
      </c>
      <c r="L1324" s="69" t="s">
        <v>120</v>
      </c>
      <c r="M1324" s="71" t="s">
        <v>141</v>
      </c>
      <c r="N1324" s="69" t="e" vm="1">
        <v>#VALUE!</v>
      </c>
      <c r="O1324" s="84">
        <v>44505</v>
      </c>
      <c r="P1324" s="82" t="s">
        <v>402</v>
      </c>
      <c r="Q1324" s="82" t="s">
        <v>229</v>
      </c>
      <c r="R1324" s="69"/>
      <c r="S1324" s="146" t="s">
        <v>5015</v>
      </c>
      <c r="T1324" s="68" t="s">
        <v>165</v>
      </c>
      <c r="U1324" s="87"/>
      <c r="V1324" s="80">
        <v>44886</v>
      </c>
      <c r="W1324" s="73">
        <v>1039</v>
      </c>
      <c r="X1324" s="73">
        <v>66</v>
      </c>
      <c r="Y1324" s="83">
        <f>IF(SUM(W1324:W1324)&gt;0,X1324/SUM(W1324:W1324)*1000000,"N/A")</f>
        <v>63522.617901828686</v>
      </c>
      <c r="Z1324" s="80"/>
      <c r="AA1324" s="80"/>
      <c r="AB1324" s="73"/>
      <c r="AC1324" s="153"/>
      <c r="AD1324" s="331"/>
      <c r="AE1324" s="57"/>
      <c r="AF1324" s="88"/>
      <c r="AG1324" s="182">
        <f>YEAR(D1324)</f>
        <v>2021</v>
      </c>
      <c r="AH1324" s="86" t="str">
        <f>+IF(AE1324=$AJ$22,MONTH(T1324),"")</f>
        <v/>
      </c>
      <c r="AI1324" s="86" t="str">
        <f>+IF(AF1324=$AJ$22,MONTH(U1324),"")</f>
        <v/>
      </c>
      <c r="AJ1324" s="86" t="str">
        <f>+IF(AG1324=$AJ$22,MONTH(V1324),"")</f>
        <v/>
      </c>
      <c r="AK1324" s="86" t="str">
        <f>+IF(AG1324=$AK$22,MONTH(V1324),"")</f>
        <v/>
      </c>
      <c r="AL1324" s="86" t="str">
        <f>+IF(AG1324=$AL$22,MONTH(V1324),"")</f>
        <v/>
      </c>
      <c r="AM1324" s="86">
        <f>+IF($AG1324=$AM$22,MONTH($D1324),"")</f>
        <v>10</v>
      </c>
      <c r="AN1324" s="89" t="str">
        <f>+IF($AG1324=AN$22,MONTH($D1324),"")</f>
        <v/>
      </c>
      <c r="AO1324" s="89" t="str">
        <f>+IF($AG1324=AO$22,MONTH($D1324),"")</f>
        <v/>
      </c>
      <c r="AP1324" s="89" t="str">
        <f>+IF($AG1324=AP$22,MONTH($D1324),"")</f>
        <v/>
      </c>
      <c r="AQ1324" s="89" t="str">
        <f>+IF($AG1324=AQ$22,MONTH($D1324),"")</f>
        <v/>
      </c>
      <c r="AR1324" s="89" t="str">
        <f>+IF($AG1324=AR$22,MONTH($D1324),"")</f>
        <v/>
      </c>
      <c r="AS1324" s="89" t="str">
        <f>+IF($AG1324=AS$22,MONTH($D1324),"")</f>
        <v/>
      </c>
      <c r="AT1324" s="89" t="str">
        <f>+IF($AG1324=AT$22,MONTH($D1324),"")</f>
        <v/>
      </c>
      <c r="AU1324" s="89" t="str">
        <f>+IF($AG1324=AU$22,MONTH($D1324),"")</f>
        <v/>
      </c>
      <c r="AV1324" s="89" t="str">
        <f>+IF($AG1324=AV$22,MONTH($D1324),"")</f>
        <v/>
      </c>
      <c r="AW1324" s="86" t="str">
        <f>+IF($AG1324=AW$22,MONTH($D1324),"")</f>
        <v/>
      </c>
      <c r="AX1324" s="86" t="str">
        <f>+IF($AG1324=AX$22,MONTH($D1324),"")</f>
        <v/>
      </c>
      <c r="AY1324" s="89"/>
      <c r="AZ1324" s="89"/>
      <c r="BA1324" s="89"/>
      <c r="BB1324" s="89"/>
      <c r="BC1324" s="89"/>
      <c r="BD1324" s="89"/>
      <c r="BE1324" s="89"/>
      <c r="BF1324" s="89"/>
      <c r="BG1324" s="89"/>
      <c r="BH1324" s="89"/>
      <c r="BI1324" s="89"/>
      <c r="BJ1324" s="89"/>
      <c r="BK1324" s="89"/>
      <c r="BL1324" s="89"/>
      <c r="BM1324" s="89"/>
      <c r="BN1324" s="89"/>
      <c r="BO1324" s="89"/>
      <c r="BP1324" s="89"/>
    </row>
    <row r="1325" spans="1:68" s="56" customFormat="1" ht="40.5" hidden="1">
      <c r="A1325" s="204" t="str">
        <f>+IFERROR(VALUE(MID(AB1325,4,4)),"")</f>
        <v/>
      </c>
      <c r="B1325" s="204">
        <f>VALUE(RIGHT(C1325,LEN(C1325)-2))</f>
        <v>1399</v>
      </c>
      <c r="C1325" s="74" t="s">
        <v>5016</v>
      </c>
      <c r="D1325" s="75">
        <v>44497</v>
      </c>
      <c r="E1325" s="70" t="s">
        <v>332</v>
      </c>
      <c r="F1325" s="70" t="s">
        <v>332</v>
      </c>
      <c r="G1325" s="68" t="s">
        <v>3818</v>
      </c>
      <c r="H1325" s="59" t="s">
        <v>3878</v>
      </c>
      <c r="I1325" s="69" t="s">
        <v>5017</v>
      </c>
      <c r="J1325" s="69"/>
      <c r="K1325" s="95" t="s">
        <v>13</v>
      </c>
      <c r="L1325" s="69" t="s">
        <v>129</v>
      </c>
      <c r="M1325" s="71" t="s">
        <v>141</v>
      </c>
      <c r="N1325" s="69" t="e" vm="1">
        <v>#VALUE!</v>
      </c>
      <c r="O1325" s="84">
        <v>44503</v>
      </c>
      <c r="P1325" s="82" t="s">
        <v>5018</v>
      </c>
      <c r="Q1325" s="82" t="s">
        <v>259</v>
      </c>
      <c r="R1325" s="69"/>
      <c r="S1325" s="146" t="s">
        <v>5019</v>
      </c>
      <c r="T1325" s="68" t="s">
        <v>155</v>
      </c>
      <c r="U1325" s="87"/>
      <c r="V1325" s="80">
        <v>44497</v>
      </c>
      <c r="W1325" s="73"/>
      <c r="X1325" s="73"/>
      <c r="Y1325" s="83" t="str">
        <f>IF(SUM(W1325:W1325)&gt;0,X1325/SUM(W1325:W1325)*1000000,"N/A")</f>
        <v>N/A</v>
      </c>
      <c r="Z1325" s="80"/>
      <c r="AA1325" s="80"/>
      <c r="AB1325" s="73"/>
      <c r="AC1325" s="153"/>
      <c r="AD1325" s="331"/>
      <c r="AE1325" s="57"/>
      <c r="AF1325" s="88"/>
      <c r="AG1325" s="182">
        <f>YEAR(D1325)</f>
        <v>2021</v>
      </c>
      <c r="AH1325" s="86" t="str">
        <f>+IF(AE1325=$AJ$22,MONTH(T1325),"")</f>
        <v/>
      </c>
      <c r="AI1325" s="86" t="str">
        <f>+IF(AF1325=$AJ$22,MONTH(U1325),"")</f>
        <v/>
      </c>
      <c r="AJ1325" s="86" t="str">
        <f>+IF(AG1325=$AJ$22,MONTH(V1325),"")</f>
        <v/>
      </c>
      <c r="AK1325" s="86" t="str">
        <f>+IF(AG1325=$AK$22,MONTH(V1325),"")</f>
        <v/>
      </c>
      <c r="AL1325" s="86" t="str">
        <f>+IF(AG1325=$AL$22,MONTH(V1325),"")</f>
        <v/>
      </c>
      <c r="AM1325" s="86">
        <f>+IF($AG1325=$AM$22,MONTH($D1325),"")</f>
        <v>10</v>
      </c>
      <c r="AN1325" s="89" t="str">
        <f>+IF($AG1325=AN$22,MONTH($D1325),"")</f>
        <v/>
      </c>
      <c r="AO1325" s="89" t="str">
        <f>+IF($AG1325=AO$22,MONTH($D1325),"")</f>
        <v/>
      </c>
      <c r="AP1325" s="89" t="str">
        <f>+IF($AG1325=AP$22,MONTH($D1325),"")</f>
        <v/>
      </c>
      <c r="AQ1325" s="89" t="str">
        <f>+IF($AG1325=AQ$22,MONTH($D1325),"")</f>
        <v/>
      </c>
      <c r="AR1325" s="89" t="str">
        <f>+IF($AG1325=AR$22,MONTH($D1325),"")</f>
        <v/>
      </c>
      <c r="AS1325" s="89" t="str">
        <f>+IF($AG1325=AS$22,MONTH($D1325),"")</f>
        <v/>
      </c>
      <c r="AT1325" s="89" t="str">
        <f>+IF($AG1325=AT$22,MONTH($D1325),"")</f>
        <v/>
      </c>
      <c r="AU1325" s="89" t="str">
        <f>+IF($AG1325=AU$22,MONTH($D1325),"")</f>
        <v/>
      </c>
      <c r="AV1325" s="89" t="str">
        <f>+IF($AG1325=AV$22,MONTH($D1325),"")</f>
        <v/>
      </c>
      <c r="AW1325" s="86" t="str">
        <f>+IF($AG1325=AW$22,MONTH($D1325),"")</f>
        <v/>
      </c>
      <c r="AX1325" s="86" t="str">
        <f>+IF($AG1325=AX$22,MONTH($D1325),"")</f>
        <v/>
      </c>
      <c r="AY1325" s="89"/>
      <c r="AZ1325" s="89"/>
      <c r="BA1325" s="89"/>
      <c r="BB1325" s="89"/>
      <c r="BC1325" s="89"/>
      <c r="BD1325" s="89"/>
      <c r="BE1325" s="89"/>
      <c r="BF1325" s="89"/>
      <c r="BG1325" s="89"/>
      <c r="BH1325" s="89"/>
      <c r="BI1325" s="89"/>
      <c r="BJ1325" s="89"/>
      <c r="BK1325" s="89"/>
      <c r="BL1325" s="89"/>
      <c r="BM1325" s="89"/>
      <c r="BN1325" s="89"/>
      <c r="BO1325" s="89"/>
      <c r="BP1325" s="89"/>
    </row>
    <row r="1326" spans="1:68" s="56" customFormat="1" ht="27" hidden="1">
      <c r="A1326" s="204" t="str">
        <f>+IFERROR(VALUE(MID(AB1326,4,4)),"")</f>
        <v/>
      </c>
      <c r="B1326" s="204">
        <f>VALUE(RIGHT(C1326,LEN(C1326)-2))</f>
        <v>1398</v>
      </c>
      <c r="C1326" s="74" t="s">
        <v>5020</v>
      </c>
      <c r="D1326" s="75">
        <v>44497</v>
      </c>
      <c r="E1326" s="70" t="s">
        <v>332</v>
      </c>
      <c r="F1326" s="70" t="s">
        <v>332</v>
      </c>
      <c r="G1326" s="68" t="s">
        <v>3818</v>
      </c>
      <c r="H1326" s="59" t="s">
        <v>3878</v>
      </c>
      <c r="I1326" s="69" t="s">
        <v>5021</v>
      </c>
      <c r="J1326" s="69"/>
      <c r="K1326" s="95" t="s">
        <v>13</v>
      </c>
      <c r="L1326" s="69" t="s">
        <v>129</v>
      </c>
      <c r="M1326" s="71" t="s">
        <v>141</v>
      </c>
      <c r="N1326" s="69" t="e" vm="1">
        <v>#VALUE!</v>
      </c>
      <c r="O1326" s="84">
        <v>44503</v>
      </c>
      <c r="P1326" s="82" t="s">
        <v>5018</v>
      </c>
      <c r="Q1326" s="82" t="s">
        <v>259</v>
      </c>
      <c r="R1326" s="69"/>
      <c r="S1326" s="146" t="s">
        <v>2476</v>
      </c>
      <c r="T1326" s="68" t="s">
        <v>165</v>
      </c>
      <c r="U1326" s="87"/>
      <c r="V1326" s="80">
        <v>44497</v>
      </c>
      <c r="W1326" s="73">
        <v>2239</v>
      </c>
      <c r="X1326" s="73">
        <f>1976*31000/1000000</f>
        <v>61.256</v>
      </c>
      <c r="Y1326" s="83">
        <f>IF(SUM(W1326:W1326)&gt;0,X1326/SUM(W1326:W1326)*1000000,"N/A")</f>
        <v>27358.642251004912</v>
      </c>
      <c r="Z1326" s="80"/>
      <c r="AA1326" s="80"/>
      <c r="AB1326" s="73"/>
      <c r="AC1326" s="153"/>
      <c r="AD1326" s="331"/>
      <c r="AE1326" s="57"/>
      <c r="AF1326" s="88"/>
      <c r="AG1326" s="182">
        <f>YEAR(D1326)</f>
        <v>2021</v>
      </c>
      <c r="AH1326" s="86" t="str">
        <f>+IF(AE1326=$AJ$22,MONTH(T1326),"")</f>
        <v/>
      </c>
      <c r="AI1326" s="86" t="str">
        <f>+IF(AF1326=$AJ$22,MONTH(U1326),"")</f>
        <v/>
      </c>
      <c r="AJ1326" s="86" t="str">
        <f>+IF(AG1326=$AJ$22,MONTH(V1326),"")</f>
        <v/>
      </c>
      <c r="AK1326" s="86" t="str">
        <f>+IF(AG1326=$AK$22,MONTH(V1326),"")</f>
        <v/>
      </c>
      <c r="AL1326" s="86" t="str">
        <f>+IF(AG1326=$AL$22,MONTH(V1326),"")</f>
        <v/>
      </c>
      <c r="AM1326" s="86">
        <f>+IF($AG1326=$AM$22,MONTH($D1326),"")</f>
        <v>10</v>
      </c>
      <c r="AN1326" s="89" t="str">
        <f>+IF($AG1326=AN$22,MONTH($D1326),"")</f>
        <v/>
      </c>
      <c r="AO1326" s="89" t="str">
        <f>+IF($AG1326=AO$22,MONTH($D1326),"")</f>
        <v/>
      </c>
      <c r="AP1326" s="89" t="str">
        <f>+IF($AG1326=AP$22,MONTH($D1326),"")</f>
        <v/>
      </c>
      <c r="AQ1326" s="89" t="str">
        <f>+IF($AG1326=AQ$22,MONTH($D1326),"")</f>
        <v/>
      </c>
      <c r="AR1326" s="89" t="str">
        <f>+IF($AG1326=AR$22,MONTH($D1326),"")</f>
        <v/>
      </c>
      <c r="AS1326" s="89" t="str">
        <f>+IF($AG1326=AS$22,MONTH($D1326),"")</f>
        <v/>
      </c>
      <c r="AT1326" s="89" t="str">
        <f>+IF($AG1326=AT$22,MONTH($D1326),"")</f>
        <v/>
      </c>
      <c r="AU1326" s="89" t="str">
        <f>+IF($AG1326=AU$22,MONTH($D1326),"")</f>
        <v/>
      </c>
      <c r="AV1326" s="89" t="str">
        <f>+IF($AG1326=AV$22,MONTH($D1326),"")</f>
        <v/>
      </c>
      <c r="AW1326" s="86" t="str">
        <f>+IF($AG1326=AW$22,MONTH($D1326),"")</f>
        <v/>
      </c>
      <c r="AX1326" s="86" t="str">
        <f>+IF($AG1326=AX$22,MONTH($D1326),"")</f>
        <v/>
      </c>
      <c r="AY1326" s="89"/>
      <c r="AZ1326" s="89"/>
      <c r="BA1326" s="89"/>
      <c r="BB1326" s="89"/>
      <c r="BC1326" s="89"/>
      <c r="BD1326" s="89"/>
      <c r="BE1326" s="89"/>
      <c r="BF1326" s="89"/>
      <c r="BG1326" s="89"/>
      <c r="BH1326" s="89"/>
      <c r="BI1326" s="89"/>
      <c r="BJ1326" s="89"/>
      <c r="BK1326" s="89"/>
      <c r="BL1326" s="89"/>
      <c r="BM1326" s="89"/>
      <c r="BN1326" s="89"/>
      <c r="BO1326" s="89"/>
      <c r="BP1326" s="89"/>
    </row>
    <row r="1327" spans="1:68" s="56" customFormat="1" ht="27" hidden="1">
      <c r="A1327" s="204" t="str">
        <f>+IFERROR(VALUE(MID(AB1327,4,4)),"")</f>
        <v/>
      </c>
      <c r="B1327" s="204">
        <f>VALUE(RIGHT(C1327,LEN(C1327)-2))</f>
        <v>1397</v>
      </c>
      <c r="C1327" s="74" t="s">
        <v>5022</v>
      </c>
      <c r="D1327" s="75">
        <v>44497</v>
      </c>
      <c r="E1327" s="70" t="s">
        <v>332</v>
      </c>
      <c r="F1327" s="70" t="s">
        <v>332</v>
      </c>
      <c r="G1327" s="68" t="s">
        <v>3818</v>
      </c>
      <c r="H1327" s="59" t="s">
        <v>3878</v>
      </c>
      <c r="I1327" s="69" t="s">
        <v>5023</v>
      </c>
      <c r="J1327" s="69"/>
      <c r="K1327" s="95" t="s">
        <v>13</v>
      </c>
      <c r="L1327" s="69" t="s">
        <v>129</v>
      </c>
      <c r="M1327" s="71" t="s">
        <v>141</v>
      </c>
      <c r="N1327" s="69" t="e" vm="1">
        <v>#VALUE!</v>
      </c>
      <c r="O1327" s="84">
        <v>44503</v>
      </c>
      <c r="P1327" s="82" t="s">
        <v>5018</v>
      </c>
      <c r="Q1327" s="82" t="s">
        <v>316</v>
      </c>
      <c r="R1327" s="69"/>
      <c r="S1327" s="146" t="s">
        <v>2632</v>
      </c>
      <c r="T1327" s="68" t="s">
        <v>165</v>
      </c>
      <c r="U1327" s="87">
        <v>0</v>
      </c>
      <c r="V1327" s="80">
        <v>44965</v>
      </c>
      <c r="W1327" s="73">
        <v>749</v>
      </c>
      <c r="X1327" s="73">
        <f>740*30405/1000000</f>
        <v>22.499700000000001</v>
      </c>
      <c r="Y1327" s="83">
        <f>IF(SUM(W1327:W1327)&gt;0,X1327/SUM(W1327:W1327)*1000000,"N/A")</f>
        <v>30039.652870493992</v>
      </c>
      <c r="Z1327" s="80"/>
      <c r="AA1327" s="80"/>
      <c r="AB1327" s="73"/>
      <c r="AC1327" s="153"/>
      <c r="AD1327" s="331"/>
      <c r="AE1327" s="57"/>
      <c r="AF1327" s="88"/>
      <c r="AG1327" s="182">
        <f>YEAR(D1327)</f>
        <v>2021</v>
      </c>
      <c r="AH1327" s="86" t="str">
        <f>+IF(AE1327=$AJ$22,MONTH(T1327),"")</f>
        <v/>
      </c>
      <c r="AI1327" s="86" t="str">
        <f>+IF(AF1327=$AJ$22,MONTH(U1327),"")</f>
        <v/>
      </c>
      <c r="AJ1327" s="86" t="str">
        <f>+IF(AG1327=$AJ$22,MONTH(V1327),"")</f>
        <v/>
      </c>
      <c r="AK1327" s="86" t="str">
        <f>+IF(AG1327=$AK$22,MONTH(V1327),"")</f>
        <v/>
      </c>
      <c r="AL1327" s="86" t="str">
        <f>+IF(AG1327=$AL$22,MONTH(V1327),"")</f>
        <v/>
      </c>
      <c r="AM1327" s="86">
        <f>+IF($AG1327=$AM$22,MONTH($D1327),"")</f>
        <v>10</v>
      </c>
      <c r="AN1327" s="89" t="str">
        <f>+IF($AG1327=AN$22,MONTH($D1327),"")</f>
        <v/>
      </c>
      <c r="AO1327" s="89" t="str">
        <f>+IF($AG1327=AO$22,MONTH($D1327),"")</f>
        <v/>
      </c>
      <c r="AP1327" s="89" t="str">
        <f>+IF($AG1327=AP$22,MONTH($D1327),"")</f>
        <v/>
      </c>
      <c r="AQ1327" s="89" t="str">
        <f>+IF($AG1327=AQ$22,MONTH($D1327),"")</f>
        <v/>
      </c>
      <c r="AR1327" s="89" t="str">
        <f>+IF($AG1327=AR$22,MONTH($D1327),"")</f>
        <v/>
      </c>
      <c r="AS1327" s="89" t="str">
        <f>+IF($AG1327=AS$22,MONTH($D1327),"")</f>
        <v/>
      </c>
      <c r="AT1327" s="89" t="str">
        <f>+IF($AG1327=AT$22,MONTH($D1327),"")</f>
        <v/>
      </c>
      <c r="AU1327" s="89" t="str">
        <f>+IF($AG1327=AU$22,MONTH($D1327),"")</f>
        <v/>
      </c>
      <c r="AV1327" s="89" t="str">
        <f>+IF($AG1327=AV$22,MONTH($D1327),"")</f>
        <v/>
      </c>
      <c r="AW1327" s="86" t="str">
        <f>+IF($AG1327=AW$22,MONTH($D1327),"")</f>
        <v/>
      </c>
      <c r="AX1327" s="86" t="str">
        <f>+IF($AG1327=AX$22,MONTH($D1327),"")</f>
        <v/>
      </c>
      <c r="AY1327" s="89"/>
      <c r="AZ1327" s="89"/>
      <c r="BA1327" s="89"/>
      <c r="BB1327" s="89"/>
      <c r="BC1327" s="89"/>
      <c r="BD1327" s="89"/>
      <c r="BE1327" s="89"/>
      <c r="BF1327" s="89"/>
      <c r="BG1327" s="89"/>
      <c r="BH1327" s="89"/>
      <c r="BI1327" s="89"/>
      <c r="BJ1327" s="89"/>
      <c r="BK1327" s="89"/>
      <c r="BL1327" s="89"/>
      <c r="BM1327" s="89"/>
      <c r="BN1327" s="89"/>
      <c r="BO1327" s="89"/>
      <c r="BP1327" s="89"/>
    </row>
    <row r="1328" spans="1:68" s="56" customFormat="1" ht="67.5" hidden="1">
      <c r="A1328" s="204" t="str">
        <f>+IFERROR(VALUE(MID(AB1328,4,4)),"")</f>
        <v/>
      </c>
      <c r="B1328" s="204">
        <f>VALUE(RIGHT(C1328,LEN(C1328)-2))</f>
        <v>1396</v>
      </c>
      <c r="C1328" s="74" t="s">
        <v>5024</v>
      </c>
      <c r="D1328" s="75">
        <v>44497</v>
      </c>
      <c r="E1328" s="70" t="s">
        <v>5025</v>
      </c>
      <c r="F1328" s="70" t="s">
        <v>460</v>
      </c>
      <c r="G1328" s="68" t="s">
        <v>5026</v>
      </c>
      <c r="H1328" s="59" t="s">
        <v>5027</v>
      </c>
      <c r="I1328" s="69" t="s">
        <v>5028</v>
      </c>
      <c r="J1328" s="69"/>
      <c r="K1328" s="95" t="s">
        <v>944</v>
      </c>
      <c r="L1328" s="69" t="s">
        <v>123</v>
      </c>
      <c r="M1328" s="71" t="s">
        <v>141</v>
      </c>
      <c r="N1328" s="69" t="e" vm="1">
        <v>#VALUE!</v>
      </c>
      <c r="O1328" s="84">
        <v>44503</v>
      </c>
      <c r="P1328" s="82" t="s">
        <v>4567</v>
      </c>
      <c r="Q1328" s="82" t="s">
        <v>259</v>
      </c>
      <c r="R1328" s="69"/>
      <c r="S1328" s="146" t="s">
        <v>5029</v>
      </c>
      <c r="T1328" s="68" t="s">
        <v>165</v>
      </c>
      <c r="U1328" s="87"/>
      <c r="V1328" s="80">
        <v>44580</v>
      </c>
      <c r="W1328" s="73">
        <v>500</v>
      </c>
      <c r="X1328" s="73"/>
      <c r="Y1328" s="83">
        <f>IF(SUM(W1328:W1328)&gt;0,X1328/SUM(W1328:W1328)*1000000,"N/A")</f>
        <v>0</v>
      </c>
      <c r="Z1328" s="80"/>
      <c r="AA1328" s="80"/>
      <c r="AB1328" s="73"/>
      <c r="AC1328" s="153"/>
      <c r="AD1328" s="331"/>
      <c r="AE1328" s="57"/>
      <c r="AF1328" s="88"/>
      <c r="AG1328" s="182">
        <f>YEAR(D1328)</f>
        <v>2021</v>
      </c>
      <c r="AH1328" s="86" t="str">
        <f>+IF(AE1328=$AJ$22,MONTH(T1328),"")</f>
        <v/>
      </c>
      <c r="AI1328" s="86" t="str">
        <f>+IF(AF1328=$AJ$22,MONTH(U1328),"")</f>
        <v/>
      </c>
      <c r="AJ1328" s="86" t="str">
        <f>+IF(AG1328=$AJ$22,MONTH(V1328),"")</f>
        <v/>
      </c>
      <c r="AK1328" s="86" t="str">
        <f>+IF(AG1328=$AK$22,MONTH(V1328),"")</f>
        <v/>
      </c>
      <c r="AL1328" s="86" t="str">
        <f>+IF(AG1328=$AL$22,MONTH(V1328),"")</f>
        <v/>
      </c>
      <c r="AM1328" s="86">
        <f>+IF($AG1328=$AM$22,MONTH($D1328),"")</f>
        <v>10</v>
      </c>
      <c r="AN1328" s="89" t="str">
        <f>+IF($AG1328=AN$22,MONTH($D1328),"")</f>
        <v/>
      </c>
      <c r="AO1328" s="89" t="str">
        <f>+IF($AG1328=AO$22,MONTH($D1328),"")</f>
        <v/>
      </c>
      <c r="AP1328" s="89" t="str">
        <f>+IF($AG1328=AP$22,MONTH($D1328),"")</f>
        <v/>
      </c>
      <c r="AQ1328" s="89" t="str">
        <f>+IF($AG1328=AQ$22,MONTH($D1328),"")</f>
        <v/>
      </c>
      <c r="AR1328" s="89" t="str">
        <f>+IF($AG1328=AR$22,MONTH($D1328),"")</f>
        <v/>
      </c>
      <c r="AS1328" s="89" t="str">
        <f>+IF($AG1328=AS$22,MONTH($D1328),"")</f>
        <v/>
      </c>
      <c r="AT1328" s="89" t="str">
        <f>+IF($AG1328=AT$22,MONTH($D1328),"")</f>
        <v/>
      </c>
      <c r="AU1328" s="89" t="str">
        <f>+IF($AG1328=AU$22,MONTH($D1328),"")</f>
        <v/>
      </c>
      <c r="AV1328" s="89" t="str">
        <f>+IF($AG1328=AV$22,MONTH($D1328),"")</f>
        <v/>
      </c>
      <c r="AW1328" s="86" t="str">
        <f>+IF($AG1328=AW$22,MONTH($D1328),"")</f>
        <v/>
      </c>
      <c r="AX1328" s="86" t="str">
        <f>+IF($AG1328=AX$22,MONTH($D1328),"")</f>
        <v/>
      </c>
      <c r="AY1328" s="89"/>
      <c r="AZ1328" s="89"/>
      <c r="BA1328" s="89"/>
      <c r="BB1328" s="89"/>
      <c r="BC1328" s="89"/>
      <c r="BD1328" s="89"/>
      <c r="BE1328" s="89"/>
      <c r="BF1328" s="89"/>
      <c r="BG1328" s="89"/>
      <c r="BH1328" s="89"/>
      <c r="BI1328" s="89"/>
      <c r="BJ1328" s="89"/>
      <c r="BK1328" s="89"/>
      <c r="BL1328" s="89"/>
      <c r="BM1328" s="89"/>
      <c r="BN1328" s="89"/>
      <c r="BO1328" s="89"/>
      <c r="BP1328" s="89"/>
    </row>
    <row r="1329" spans="1:68" s="56" customFormat="1" ht="27" hidden="1">
      <c r="A1329" s="204">
        <f>+IFERROR(VALUE(MID(AB1329,4,4)),"")</f>
        <v>265</v>
      </c>
      <c r="B1329" s="204">
        <f>VALUE(RIGHT(C1329,LEN(C1329)-2))</f>
        <v>1395</v>
      </c>
      <c r="C1329" s="74" t="s">
        <v>5030</v>
      </c>
      <c r="D1329" s="75">
        <v>44497</v>
      </c>
      <c r="E1329" s="70" t="s">
        <v>332</v>
      </c>
      <c r="F1329" s="70" t="s">
        <v>332</v>
      </c>
      <c r="G1329" s="68" t="s">
        <v>3818</v>
      </c>
      <c r="H1329" s="59" t="s">
        <v>3878</v>
      </c>
      <c r="I1329" s="69" t="s">
        <v>5031</v>
      </c>
      <c r="J1329" s="69"/>
      <c r="K1329" s="95" t="s">
        <v>13</v>
      </c>
      <c r="L1329" s="69" t="s">
        <v>129</v>
      </c>
      <c r="M1329" s="71" t="s">
        <v>141</v>
      </c>
      <c r="N1329" s="69" t="e" vm="1">
        <v>#VALUE!</v>
      </c>
      <c r="O1329" s="84">
        <v>44498</v>
      </c>
      <c r="P1329" s="82" t="s">
        <v>228</v>
      </c>
      <c r="Q1329" s="82" t="s">
        <v>1097</v>
      </c>
      <c r="R1329" s="69"/>
      <c r="S1329" s="146"/>
      <c r="T1329" s="68" t="s">
        <v>3</v>
      </c>
      <c r="U1329" s="87"/>
      <c r="V1329" s="80">
        <v>44497</v>
      </c>
      <c r="W1329" s="73">
        <v>28</v>
      </c>
      <c r="X1329" s="73">
        <f>26*30100/1000000</f>
        <v>0.78259999999999996</v>
      </c>
      <c r="Y1329" s="83">
        <f>IF(SUM(W1329:W1329)&gt;0,X1329/SUM(W1329:W1329)*1000000,"N/A")</f>
        <v>27950</v>
      </c>
      <c r="Z1329" s="80"/>
      <c r="AA1329" s="80"/>
      <c r="AB1329" s="73" t="s">
        <v>4723</v>
      </c>
      <c r="AC1329" s="153"/>
      <c r="AD1329" s="331"/>
      <c r="AE1329" s="57"/>
      <c r="AF1329" s="88"/>
      <c r="AG1329" s="182">
        <f>YEAR(D1329)</f>
        <v>2021</v>
      </c>
      <c r="AH1329" s="86" t="str">
        <f>+IF(AE1329=$AJ$22,MONTH(T1329),"")</f>
        <v/>
      </c>
      <c r="AI1329" s="86" t="str">
        <f>+IF(AF1329=$AJ$22,MONTH(U1329),"")</f>
        <v/>
      </c>
      <c r="AJ1329" s="86" t="str">
        <f>+IF(AG1329=$AJ$22,MONTH(V1329),"")</f>
        <v/>
      </c>
      <c r="AK1329" s="86" t="str">
        <f>+IF(AG1329=$AK$22,MONTH(V1329),"")</f>
        <v/>
      </c>
      <c r="AL1329" s="86" t="str">
        <f>+IF(AG1329=$AL$22,MONTH(V1329),"")</f>
        <v/>
      </c>
      <c r="AM1329" s="86">
        <f>+IF($AG1329=$AM$22,MONTH($D1329),"")</f>
        <v>10</v>
      </c>
      <c r="AN1329" s="89" t="str">
        <f>+IF($AG1329=AN$22,MONTH($D1329),"")</f>
        <v/>
      </c>
      <c r="AO1329" s="89" t="str">
        <f>+IF($AG1329=AO$22,MONTH($D1329),"")</f>
        <v/>
      </c>
      <c r="AP1329" s="89" t="str">
        <f>+IF($AG1329=AP$22,MONTH($D1329),"")</f>
        <v/>
      </c>
      <c r="AQ1329" s="89" t="str">
        <f>+IF($AG1329=AQ$22,MONTH($D1329),"")</f>
        <v/>
      </c>
      <c r="AR1329" s="89" t="str">
        <f>+IF($AG1329=AR$22,MONTH($D1329),"")</f>
        <v/>
      </c>
      <c r="AS1329" s="89" t="str">
        <f>+IF($AG1329=AS$22,MONTH($D1329),"")</f>
        <v/>
      </c>
      <c r="AT1329" s="89" t="str">
        <f>+IF($AG1329=AT$22,MONTH($D1329),"")</f>
        <v/>
      </c>
      <c r="AU1329" s="89" t="str">
        <f>+IF($AG1329=AU$22,MONTH($D1329),"")</f>
        <v/>
      </c>
      <c r="AV1329" s="89" t="str">
        <f>+IF($AG1329=AV$22,MONTH($D1329),"")</f>
        <v/>
      </c>
      <c r="AW1329" s="86" t="str">
        <f>+IF($AG1329=AW$22,MONTH($D1329),"")</f>
        <v/>
      </c>
      <c r="AX1329" s="86" t="str">
        <f>+IF($AG1329=AX$22,MONTH($D1329),"")</f>
        <v/>
      </c>
      <c r="AY1329" s="89"/>
      <c r="AZ1329" s="89"/>
      <c r="BA1329" s="89"/>
      <c r="BB1329" s="89"/>
      <c r="BC1329" s="89"/>
      <c r="BD1329" s="89"/>
      <c r="BE1329" s="89"/>
      <c r="BF1329" s="89"/>
      <c r="BG1329" s="89"/>
      <c r="BH1329" s="89"/>
      <c r="BI1329" s="89"/>
      <c r="BJ1329" s="89"/>
      <c r="BK1329" s="89"/>
      <c r="BL1329" s="89"/>
      <c r="BM1329" s="89"/>
      <c r="BN1329" s="89"/>
      <c r="BO1329" s="89"/>
      <c r="BP1329" s="89"/>
    </row>
    <row r="1330" spans="1:68" s="56" customFormat="1" ht="27" hidden="1">
      <c r="A1330" s="204">
        <f>+IFERROR(VALUE(MID(AB1330,4,4)),"")</f>
        <v>265</v>
      </c>
      <c r="B1330" s="204">
        <f>VALUE(RIGHT(C1330,LEN(C1330)-2))</f>
        <v>1394</v>
      </c>
      <c r="C1330" s="74" t="s">
        <v>5032</v>
      </c>
      <c r="D1330" s="75">
        <v>44495</v>
      </c>
      <c r="E1330" s="70" t="s">
        <v>332</v>
      </c>
      <c r="F1330" s="70" t="s">
        <v>332</v>
      </c>
      <c r="G1330" s="68" t="s">
        <v>4323</v>
      </c>
      <c r="H1330" s="59" t="s">
        <v>3819</v>
      </c>
      <c r="I1330" s="69" t="s">
        <v>5033</v>
      </c>
      <c r="J1330" s="69"/>
      <c r="K1330" s="95" t="s">
        <v>13</v>
      </c>
      <c r="L1330" s="69" t="s">
        <v>129</v>
      </c>
      <c r="M1330" s="71" t="s">
        <v>141</v>
      </c>
      <c r="N1330" s="69" t="e" vm="1">
        <v>#VALUE!</v>
      </c>
      <c r="O1330" s="84">
        <v>44498</v>
      </c>
      <c r="P1330" s="82" t="s">
        <v>4567</v>
      </c>
      <c r="Q1330" s="82" t="s">
        <v>623</v>
      </c>
      <c r="R1330" s="69"/>
      <c r="S1330" s="146" t="s">
        <v>5034</v>
      </c>
      <c r="T1330" s="68" t="s">
        <v>3</v>
      </c>
      <c r="U1330" s="87"/>
      <c r="V1330" s="80">
        <v>44497</v>
      </c>
      <c r="W1330" s="73">
        <v>240</v>
      </c>
      <c r="X1330" s="73">
        <f>301*30400/1000000</f>
        <v>9.1503999999999994</v>
      </c>
      <c r="Y1330" s="83">
        <f>IF(SUM(W1330:W1330)&gt;0,X1330/SUM(W1330:W1330)*1000000,"N/A")</f>
        <v>38126.666666666664</v>
      </c>
      <c r="Z1330" s="80"/>
      <c r="AA1330" s="80"/>
      <c r="AB1330" s="73" t="s">
        <v>5035</v>
      </c>
      <c r="AC1330" s="153"/>
      <c r="AD1330" s="331"/>
      <c r="AE1330" s="57"/>
      <c r="AF1330" s="88"/>
      <c r="AG1330" s="182">
        <f>YEAR(D1330)</f>
        <v>2021</v>
      </c>
      <c r="AH1330" s="86" t="str">
        <f>+IF(AE1330=$AJ$22,MONTH(T1330),"")</f>
        <v/>
      </c>
      <c r="AI1330" s="86" t="str">
        <f>+IF(AF1330=$AJ$22,MONTH(U1330),"")</f>
        <v/>
      </c>
      <c r="AJ1330" s="86" t="str">
        <f>+IF(AG1330=$AJ$22,MONTH(V1330),"")</f>
        <v/>
      </c>
      <c r="AK1330" s="86" t="str">
        <f>+IF(AG1330=$AK$22,MONTH(V1330),"")</f>
        <v/>
      </c>
      <c r="AL1330" s="86" t="str">
        <f>+IF(AG1330=$AL$22,MONTH(V1330),"")</f>
        <v/>
      </c>
      <c r="AM1330" s="86">
        <f>+IF($AG1330=$AM$22,MONTH($D1330),"")</f>
        <v>10</v>
      </c>
      <c r="AN1330" s="89" t="str">
        <f>+IF($AG1330=AN$22,MONTH($D1330),"")</f>
        <v/>
      </c>
      <c r="AO1330" s="89" t="str">
        <f>+IF($AG1330=AO$22,MONTH($D1330),"")</f>
        <v/>
      </c>
      <c r="AP1330" s="89" t="str">
        <f>+IF($AG1330=AP$22,MONTH($D1330),"")</f>
        <v/>
      </c>
      <c r="AQ1330" s="89" t="str">
        <f>+IF($AG1330=AQ$22,MONTH($D1330),"")</f>
        <v/>
      </c>
      <c r="AR1330" s="89" t="str">
        <f>+IF($AG1330=AR$22,MONTH($D1330),"")</f>
        <v/>
      </c>
      <c r="AS1330" s="89" t="str">
        <f>+IF($AG1330=AS$22,MONTH($D1330),"")</f>
        <v/>
      </c>
      <c r="AT1330" s="89" t="str">
        <f>+IF($AG1330=AT$22,MONTH($D1330),"")</f>
        <v/>
      </c>
      <c r="AU1330" s="89" t="str">
        <f>+IF($AG1330=AU$22,MONTH($D1330),"")</f>
        <v/>
      </c>
      <c r="AV1330" s="89" t="str">
        <f>+IF($AG1330=AV$22,MONTH($D1330),"")</f>
        <v/>
      </c>
      <c r="AW1330" s="86" t="str">
        <f>+IF($AG1330=AW$22,MONTH($D1330),"")</f>
        <v/>
      </c>
      <c r="AX1330" s="86" t="str">
        <f>+IF($AG1330=AX$22,MONTH($D1330),"")</f>
        <v/>
      </c>
      <c r="AY1330" s="89"/>
      <c r="AZ1330" s="89"/>
      <c r="BA1330" s="89"/>
      <c r="BB1330" s="89"/>
      <c r="BC1330" s="89"/>
      <c r="BD1330" s="89"/>
      <c r="BE1330" s="89"/>
      <c r="BF1330" s="89"/>
      <c r="BG1330" s="89"/>
      <c r="BH1330" s="89"/>
      <c r="BI1330" s="89"/>
      <c r="BJ1330" s="89"/>
      <c r="BK1330" s="89"/>
      <c r="BL1330" s="89"/>
      <c r="BM1330" s="89"/>
      <c r="BN1330" s="89"/>
      <c r="BO1330" s="89"/>
      <c r="BP1330" s="89"/>
    </row>
    <row r="1331" spans="1:68" s="56" customFormat="1" ht="121.5" hidden="1">
      <c r="A1331" s="204" t="str">
        <f>+IFERROR(VALUE(MID(AB1331,4,4)),"")</f>
        <v/>
      </c>
      <c r="B1331" s="204">
        <f>VALUE(RIGHT(C1331,LEN(C1331)-2))</f>
        <v>1393</v>
      </c>
      <c r="C1331" s="74" t="s">
        <v>5036</v>
      </c>
      <c r="D1331" s="75">
        <v>44474</v>
      </c>
      <c r="E1331" s="70" t="s">
        <v>53</v>
      </c>
      <c r="F1331" s="70" t="s">
        <v>460</v>
      </c>
      <c r="G1331" s="68" t="s">
        <v>5037</v>
      </c>
      <c r="H1331" s="111" t="s">
        <v>256</v>
      </c>
      <c r="I1331" s="69" t="s">
        <v>5038</v>
      </c>
      <c r="J1331" s="69"/>
      <c r="K1331" s="95" t="s">
        <v>9</v>
      </c>
      <c r="L1331" s="69" t="s">
        <v>123</v>
      </c>
      <c r="M1331" s="71" t="s">
        <v>141</v>
      </c>
      <c r="N1331" s="69" t="e" vm="1">
        <v>#VALUE!</v>
      </c>
      <c r="O1331" s="84">
        <v>44519</v>
      </c>
      <c r="P1331" s="82" t="s">
        <v>4897</v>
      </c>
      <c r="Q1331" s="82" t="s">
        <v>405</v>
      </c>
      <c r="R1331" s="69"/>
      <c r="S1331" s="146" t="s">
        <v>5039</v>
      </c>
      <c r="T1331" s="68" t="s">
        <v>155</v>
      </c>
      <c r="U1331" s="90"/>
      <c r="V1331" s="80">
        <v>44494</v>
      </c>
      <c r="W1331" s="73"/>
      <c r="X1331" s="73"/>
      <c r="Y1331" s="83" t="str">
        <f>IF(SUM(W1331:W1331)&gt;0,X1331/SUM(W1331:W1331)*1000000,"N/A")</f>
        <v>N/A</v>
      </c>
      <c r="Z1331" s="80"/>
      <c r="AA1331" s="80"/>
      <c r="AB1331" s="73"/>
      <c r="AC1331" s="217"/>
      <c r="AD1331" s="333"/>
      <c r="AE1331" s="112"/>
      <c r="AF1331" s="88"/>
      <c r="AG1331" s="182">
        <f>YEAR(D1331)</f>
        <v>2021</v>
      </c>
      <c r="AH1331" s="86" t="str">
        <f>+IF(AE1331=$AJ$22,MONTH(T1331),"")</f>
        <v/>
      </c>
      <c r="AI1331" s="86" t="str">
        <f>+IF(AF1331=$AJ$22,MONTH(U1331),"")</f>
        <v/>
      </c>
      <c r="AJ1331" s="86" t="str">
        <f>+IF(AG1331=$AJ$22,MONTH(V1331),"")</f>
        <v/>
      </c>
      <c r="AK1331" s="86" t="str">
        <f>+IF(AG1331=$AK$22,MONTH(V1331),"")</f>
        <v/>
      </c>
      <c r="AL1331" s="86" t="str">
        <f>+IF(AG1331=$AL$22,MONTH(V1331),"")</f>
        <v/>
      </c>
      <c r="AM1331" s="86">
        <f>+IF($AG1331=$AM$22,MONTH($D1331),"")</f>
        <v>10</v>
      </c>
      <c r="AN1331" s="89" t="str">
        <f>+IF($AG1331=AN$22,MONTH($D1331),"")</f>
        <v/>
      </c>
      <c r="AO1331" s="89" t="str">
        <f>+IF($AG1331=AO$22,MONTH($D1331),"")</f>
        <v/>
      </c>
      <c r="AP1331" s="89" t="str">
        <f>+IF($AG1331=AP$22,MONTH($D1331),"")</f>
        <v/>
      </c>
      <c r="AQ1331" s="89" t="str">
        <f>+IF($AG1331=AQ$22,MONTH($D1331),"")</f>
        <v/>
      </c>
      <c r="AR1331" s="89" t="str">
        <f>+IF($AG1331=AR$22,MONTH($D1331),"")</f>
        <v/>
      </c>
      <c r="AS1331" s="89" t="str">
        <f>+IF($AG1331=AS$22,MONTH($D1331),"")</f>
        <v/>
      </c>
      <c r="AT1331" s="89" t="str">
        <f>+IF($AG1331=AT$22,MONTH($D1331),"")</f>
        <v/>
      </c>
      <c r="AU1331" s="89" t="str">
        <f>+IF($AG1331=AU$22,MONTH($D1331),"")</f>
        <v/>
      </c>
      <c r="AV1331" s="89" t="str">
        <f>+IF($AG1331=AV$22,MONTH($D1331),"")</f>
        <v/>
      </c>
      <c r="AW1331" s="86" t="str">
        <f>+IF($AG1331=AW$22,MONTH($D1331),"")</f>
        <v/>
      </c>
      <c r="AX1331" s="86" t="str">
        <f>+IF($AG1331=AX$22,MONTH($D1331),"")</f>
        <v/>
      </c>
      <c r="AY1331" s="89"/>
      <c r="AZ1331" s="89"/>
      <c r="BA1331" s="89"/>
      <c r="BB1331" s="89"/>
      <c r="BC1331" s="89"/>
      <c r="BD1331" s="89"/>
      <c r="BE1331" s="89"/>
      <c r="BF1331" s="89"/>
      <c r="BG1331" s="89"/>
      <c r="BH1331" s="89"/>
      <c r="BI1331" s="89"/>
      <c r="BJ1331" s="89"/>
      <c r="BK1331" s="89"/>
      <c r="BL1331" s="89"/>
      <c r="BM1331" s="89"/>
      <c r="BN1331" s="89"/>
      <c r="BO1331" s="89"/>
      <c r="BP1331" s="89"/>
    </row>
    <row r="1332" spans="1:68" s="56" customFormat="1" ht="53.25" hidden="1">
      <c r="A1332" s="204" t="str">
        <f>+IFERROR(VALUE(MID(AB1332,4,4)),"")</f>
        <v/>
      </c>
      <c r="B1332" s="204">
        <f>VALUE(RIGHT(C1332,LEN(C1332)-2))</f>
        <v>1392</v>
      </c>
      <c r="C1332" s="74" t="s">
        <v>5040</v>
      </c>
      <c r="D1332" s="75">
        <v>44494</v>
      </c>
      <c r="E1332" s="70" t="s">
        <v>5025</v>
      </c>
      <c r="F1332" s="70" t="s">
        <v>354</v>
      </c>
      <c r="G1332" s="68" t="s">
        <v>5041</v>
      </c>
      <c r="H1332" s="111" t="s">
        <v>5042</v>
      </c>
      <c r="I1332" s="69" t="s">
        <v>5043</v>
      </c>
      <c r="J1332" s="69"/>
      <c r="K1332" s="95" t="s">
        <v>275</v>
      </c>
      <c r="L1332" s="69" t="s">
        <v>123</v>
      </c>
      <c r="M1332" s="71" t="s">
        <v>141</v>
      </c>
      <c r="N1332" s="69" t="e" vm="1">
        <v>#VALUE!</v>
      </c>
      <c r="O1332" s="84">
        <v>44494</v>
      </c>
      <c r="P1332" s="82" t="s">
        <v>4567</v>
      </c>
      <c r="Q1332" s="82" t="s">
        <v>229</v>
      </c>
      <c r="R1332" s="69"/>
      <c r="S1332" s="146" t="s">
        <v>5044</v>
      </c>
      <c r="T1332" s="68" t="s">
        <v>165</v>
      </c>
      <c r="U1332" s="90"/>
      <c r="V1332" s="80">
        <v>44494</v>
      </c>
      <c r="W1332" s="73">
        <v>10000</v>
      </c>
      <c r="X1332" s="73">
        <v>313</v>
      </c>
      <c r="Y1332" s="83">
        <f>IF(SUM(W1332:W1332)&gt;0,X1332/SUM(W1332:W1332)*1000000,"N/A")</f>
        <v>31300</v>
      </c>
      <c r="Z1332" s="80"/>
      <c r="AA1332" s="80"/>
      <c r="AB1332" s="73"/>
      <c r="AC1332" s="217"/>
      <c r="AD1332" s="333"/>
      <c r="AE1332" s="112"/>
      <c r="AF1332" s="88"/>
      <c r="AG1332" s="182">
        <f>YEAR(D1332)</f>
        <v>2021</v>
      </c>
      <c r="AH1332" s="86" t="str">
        <f>+IF(AE1332=$AJ$22,MONTH(T1332),"")</f>
        <v/>
      </c>
      <c r="AI1332" s="86" t="str">
        <f>+IF(AF1332=$AJ$22,MONTH(U1332),"")</f>
        <v/>
      </c>
      <c r="AJ1332" s="86" t="str">
        <f>+IF(AG1332=$AJ$22,MONTH(V1332),"")</f>
        <v/>
      </c>
      <c r="AK1332" s="86" t="str">
        <f>+IF(AG1332=$AK$22,MONTH(V1332),"")</f>
        <v/>
      </c>
      <c r="AL1332" s="86" t="str">
        <f>+IF(AG1332=$AL$22,MONTH(V1332),"")</f>
        <v/>
      </c>
      <c r="AM1332" s="86">
        <f>+IF($AG1332=$AM$22,MONTH($D1332),"")</f>
        <v>10</v>
      </c>
      <c r="AN1332" s="89" t="str">
        <f>+IF($AG1332=AN$22,MONTH($D1332),"")</f>
        <v/>
      </c>
      <c r="AO1332" s="89" t="str">
        <f>+IF($AG1332=AO$22,MONTH($D1332),"")</f>
        <v/>
      </c>
      <c r="AP1332" s="89" t="str">
        <f>+IF($AG1332=AP$22,MONTH($D1332),"")</f>
        <v/>
      </c>
      <c r="AQ1332" s="89" t="str">
        <f>+IF($AG1332=AQ$22,MONTH($D1332),"")</f>
        <v/>
      </c>
      <c r="AR1332" s="89" t="str">
        <f>+IF($AG1332=AR$22,MONTH($D1332),"")</f>
        <v/>
      </c>
      <c r="AS1332" s="89" t="str">
        <f>+IF($AG1332=AS$22,MONTH($D1332),"")</f>
        <v/>
      </c>
      <c r="AT1332" s="89" t="str">
        <f>+IF($AG1332=AT$22,MONTH($D1332),"")</f>
        <v/>
      </c>
      <c r="AU1332" s="89" t="str">
        <f>+IF($AG1332=AU$22,MONTH($D1332),"")</f>
        <v/>
      </c>
      <c r="AV1332" s="89" t="str">
        <f>+IF($AG1332=AV$22,MONTH($D1332),"")</f>
        <v/>
      </c>
      <c r="AW1332" s="86" t="str">
        <f>+IF($AG1332=AW$22,MONTH($D1332),"")</f>
        <v/>
      </c>
      <c r="AX1332" s="86" t="str">
        <f>+IF($AG1332=AX$22,MONTH($D1332),"")</f>
        <v/>
      </c>
      <c r="AY1332" s="89"/>
      <c r="AZ1332" s="89"/>
      <c r="BA1332" s="89"/>
      <c r="BB1332" s="89"/>
      <c r="BC1332" s="89"/>
      <c r="BD1332" s="89"/>
      <c r="BE1332" s="89"/>
      <c r="BF1332" s="89"/>
      <c r="BG1332" s="89"/>
      <c r="BH1332" s="89"/>
      <c r="BI1332" s="89"/>
      <c r="BJ1332" s="89"/>
      <c r="BK1332" s="89"/>
      <c r="BL1332" s="89"/>
      <c r="BM1332" s="89"/>
      <c r="BN1332" s="89"/>
      <c r="BO1332" s="89"/>
      <c r="BP1332" s="89"/>
    </row>
    <row r="1333" spans="1:68" s="56" customFormat="1" ht="13.5" hidden="1">
      <c r="A1333" s="204" t="str">
        <f>+IFERROR(VALUE(MID(AB1333,4,4)),"")</f>
        <v/>
      </c>
      <c r="B1333" s="204">
        <f>VALUE(RIGHT(C1333,LEN(C1333)-2))</f>
        <v>1391</v>
      </c>
      <c r="C1333" s="74" t="s">
        <v>5045</v>
      </c>
      <c r="D1333" s="75">
        <v>44488</v>
      </c>
      <c r="E1333" s="70" t="s">
        <v>479</v>
      </c>
      <c r="F1333" s="70" t="s">
        <v>479</v>
      </c>
      <c r="G1333" s="68"/>
      <c r="H1333" s="59"/>
      <c r="I1333" s="69" t="s">
        <v>5046</v>
      </c>
      <c r="J1333" s="69"/>
      <c r="K1333" s="68" t="s">
        <v>30</v>
      </c>
      <c r="L1333" s="69" t="s">
        <v>123</v>
      </c>
      <c r="M1333" s="71" t="s">
        <v>113</v>
      </c>
      <c r="N1333" s="69" t="e" vm="2">
        <v>#VALUE!</v>
      </c>
      <c r="O1333" s="84">
        <v>44498</v>
      </c>
      <c r="P1333" s="72" t="s">
        <v>483</v>
      </c>
      <c r="Q1333" s="72" t="s">
        <v>229</v>
      </c>
      <c r="R1333" s="162"/>
      <c r="S1333" s="146" t="s">
        <v>2632</v>
      </c>
      <c r="T1333" s="68" t="s">
        <v>165</v>
      </c>
      <c r="U1333" s="87"/>
      <c r="V1333" s="80">
        <v>44498</v>
      </c>
      <c r="W1333" s="73">
        <v>771</v>
      </c>
      <c r="X1333" s="73">
        <f>151785*144.17/1000000</f>
        <v>21.882843449999999</v>
      </c>
      <c r="Y1333" s="83">
        <f>IF(SUM(W1333:W1333)&gt;0,X1333/SUM(W1333:W1333)*1000000,"N/A")</f>
        <v>28382.416926070036</v>
      </c>
      <c r="Z1333" s="80"/>
      <c r="AA1333" s="80"/>
      <c r="AB1333" s="73"/>
      <c r="AC1333" s="153"/>
      <c r="AD1333" s="331"/>
      <c r="AE1333" s="57"/>
      <c r="AF1333" s="88"/>
      <c r="AG1333" s="182">
        <f>YEAR(D1333)</f>
        <v>2021</v>
      </c>
      <c r="AH1333" s="86" t="str">
        <f>+IF(AE1333=$AJ$22,MONTH(T1333),"")</f>
        <v/>
      </c>
      <c r="AI1333" s="86" t="str">
        <f>+IF(AF1333=$AJ$22,MONTH(U1333),"")</f>
        <v/>
      </c>
      <c r="AJ1333" s="86" t="str">
        <f>+IF(AG1333=$AJ$22,MONTH(V1333),"")</f>
        <v/>
      </c>
      <c r="AK1333" s="86" t="str">
        <f>+IF(AG1333=$AK$22,MONTH(V1333),"")</f>
        <v/>
      </c>
      <c r="AL1333" s="86" t="str">
        <f>+IF(AG1333=$AL$22,MONTH(V1333),"")</f>
        <v/>
      </c>
      <c r="AM1333" s="86">
        <f>+IF($AG1333=$AM$22,MONTH($D1333),"")</f>
        <v>10</v>
      </c>
      <c r="AN1333" s="89" t="str">
        <f>+IF($AG1333=AN$22,MONTH($D1333),"")</f>
        <v/>
      </c>
      <c r="AO1333" s="89" t="str">
        <f>+IF($AG1333=AO$22,MONTH($D1333),"")</f>
        <v/>
      </c>
      <c r="AP1333" s="89" t="str">
        <f>+IF($AG1333=AP$22,MONTH($D1333),"")</f>
        <v/>
      </c>
      <c r="AQ1333" s="89" t="str">
        <f>+IF($AG1333=AQ$22,MONTH($D1333),"")</f>
        <v/>
      </c>
      <c r="AR1333" s="89" t="str">
        <f>+IF($AG1333=AR$22,MONTH($D1333),"")</f>
        <v/>
      </c>
      <c r="AS1333" s="89" t="str">
        <f>+IF($AG1333=AS$22,MONTH($D1333),"")</f>
        <v/>
      </c>
      <c r="AT1333" s="89" t="str">
        <f>+IF($AG1333=AT$22,MONTH($D1333),"")</f>
        <v/>
      </c>
      <c r="AU1333" s="89" t="str">
        <f>+IF($AG1333=AU$22,MONTH($D1333),"")</f>
        <v/>
      </c>
      <c r="AV1333" s="89" t="str">
        <f>+IF($AG1333=AV$22,MONTH($D1333),"")</f>
        <v/>
      </c>
      <c r="AW1333" s="86" t="str">
        <f>+IF($AG1333=AW$22,MONTH($D1333),"")</f>
        <v/>
      </c>
      <c r="AX1333" s="86" t="str">
        <f>+IF($AG1333=AX$22,MONTH($D1333),"")</f>
        <v/>
      </c>
      <c r="AY1333" s="89"/>
      <c r="AZ1333" s="89"/>
      <c r="BA1333" s="89"/>
      <c r="BB1333" s="89"/>
      <c r="BC1333" s="89"/>
      <c r="BD1333" s="89"/>
      <c r="BE1333" s="89"/>
      <c r="BF1333" s="89"/>
      <c r="BG1333" s="89"/>
      <c r="BH1333" s="89"/>
      <c r="BI1333" s="89"/>
      <c r="BJ1333" s="89"/>
      <c r="BK1333" s="89"/>
      <c r="BL1333" s="89"/>
      <c r="BM1333" s="89"/>
      <c r="BN1333" s="89"/>
      <c r="BO1333" s="89"/>
      <c r="BP1333" s="89"/>
    </row>
    <row r="1334" spans="1:68" s="56" customFormat="1" ht="27" hidden="1">
      <c r="A1334" s="204">
        <f>+IFERROR(VALUE(MID(AB1334,4,4)),"")</f>
        <v>284</v>
      </c>
      <c r="B1334" s="204">
        <f>VALUE(RIGHT(C1334,LEN(C1334)-2))</f>
        <v>1390</v>
      </c>
      <c r="C1334" s="74" t="s">
        <v>5047</v>
      </c>
      <c r="D1334" s="75">
        <v>44487</v>
      </c>
      <c r="E1334" s="70" t="s">
        <v>394</v>
      </c>
      <c r="F1334" s="70" t="s">
        <v>394</v>
      </c>
      <c r="G1334" s="68" t="s">
        <v>5001</v>
      </c>
      <c r="H1334" s="59" t="s">
        <v>5002</v>
      </c>
      <c r="I1334" s="69" t="s">
        <v>5048</v>
      </c>
      <c r="J1334" s="69"/>
      <c r="K1334" s="68" t="s">
        <v>12</v>
      </c>
      <c r="L1334" s="69" t="s">
        <v>120</v>
      </c>
      <c r="M1334" s="71" t="s">
        <v>141</v>
      </c>
      <c r="N1334" s="69" t="e" vm="1">
        <v>#VALUE!</v>
      </c>
      <c r="O1334" s="84">
        <v>44504</v>
      </c>
      <c r="P1334" s="72" t="s">
        <v>5049</v>
      </c>
      <c r="Q1334" s="72" t="s">
        <v>1097</v>
      </c>
      <c r="R1334" s="162"/>
      <c r="S1334" s="146" t="s">
        <v>5050</v>
      </c>
      <c r="T1334" s="68" t="s">
        <v>3</v>
      </c>
      <c r="U1334" s="87"/>
      <c r="V1334" s="80">
        <v>44529</v>
      </c>
      <c r="W1334" s="73">
        <v>724</v>
      </c>
      <c r="X1334" s="73">
        <f>1150*30439.04/1000000</f>
        <v>35.004896000000002</v>
      </c>
      <c r="Y1334" s="83">
        <f>IF(SUM(W1334:W1334)&gt;0,X1334/SUM(W1334:W1334)*1000000,"N/A")</f>
        <v>48349.303867403316</v>
      </c>
      <c r="Z1334" s="80"/>
      <c r="AA1334" s="80"/>
      <c r="AB1334" s="73" t="s">
        <v>5051</v>
      </c>
      <c r="AC1334" s="153"/>
      <c r="AD1334" s="331"/>
      <c r="AE1334" s="57"/>
      <c r="AF1334" s="88"/>
      <c r="AG1334" s="182">
        <f>YEAR(D1334)</f>
        <v>2021</v>
      </c>
      <c r="AH1334" s="86" t="str">
        <f>+IF(AE1334=$AJ$22,MONTH(T1334),"")</f>
        <v/>
      </c>
      <c r="AI1334" s="86" t="str">
        <f>+IF(AF1334=$AJ$22,MONTH(U1334),"")</f>
        <v/>
      </c>
      <c r="AJ1334" s="86" t="str">
        <f>+IF(AG1334=$AJ$22,MONTH(V1334),"")</f>
        <v/>
      </c>
      <c r="AK1334" s="86" t="str">
        <f>+IF(AG1334=$AK$22,MONTH(V1334),"")</f>
        <v/>
      </c>
      <c r="AL1334" s="86" t="str">
        <f>+IF(AG1334=$AL$22,MONTH(V1334),"")</f>
        <v/>
      </c>
      <c r="AM1334" s="86">
        <f>+IF($AG1334=$AM$22,MONTH($D1334),"")</f>
        <v>10</v>
      </c>
      <c r="AN1334" s="89" t="str">
        <f>+IF($AG1334=AN$22,MONTH($D1334),"")</f>
        <v/>
      </c>
      <c r="AO1334" s="89" t="str">
        <f>+IF($AG1334=AO$22,MONTH($D1334),"")</f>
        <v/>
      </c>
      <c r="AP1334" s="89" t="str">
        <f>+IF($AG1334=AP$22,MONTH($D1334),"")</f>
        <v/>
      </c>
      <c r="AQ1334" s="89" t="str">
        <f>+IF($AG1334=AQ$22,MONTH($D1334),"")</f>
        <v/>
      </c>
      <c r="AR1334" s="89" t="str">
        <f>+IF($AG1334=AR$22,MONTH($D1334),"")</f>
        <v/>
      </c>
      <c r="AS1334" s="89" t="str">
        <f>+IF($AG1334=AS$22,MONTH($D1334),"")</f>
        <v/>
      </c>
      <c r="AT1334" s="89" t="str">
        <f>+IF($AG1334=AT$22,MONTH($D1334),"")</f>
        <v/>
      </c>
      <c r="AU1334" s="89" t="str">
        <f>+IF($AG1334=AU$22,MONTH($D1334),"")</f>
        <v/>
      </c>
      <c r="AV1334" s="89" t="str">
        <f>+IF($AG1334=AV$22,MONTH($D1334),"")</f>
        <v/>
      </c>
      <c r="AW1334" s="86" t="str">
        <f>+IF($AG1334=AW$22,MONTH($D1334),"")</f>
        <v/>
      </c>
      <c r="AX1334" s="86" t="str">
        <f>+IF($AG1334=AX$22,MONTH($D1334),"")</f>
        <v/>
      </c>
      <c r="AY1334" s="89"/>
      <c r="AZ1334" s="89"/>
      <c r="BA1334" s="89"/>
      <c r="BB1334" s="89"/>
      <c r="BC1334" s="89"/>
      <c r="BD1334" s="89"/>
      <c r="BE1334" s="89"/>
      <c r="BF1334" s="89"/>
      <c r="BG1334" s="89"/>
      <c r="BH1334" s="89"/>
      <c r="BI1334" s="89"/>
      <c r="BJ1334" s="89"/>
      <c r="BK1334" s="89"/>
      <c r="BL1334" s="89"/>
      <c r="BM1334" s="89"/>
      <c r="BN1334" s="89"/>
      <c r="BO1334" s="89"/>
      <c r="BP1334" s="89"/>
    </row>
    <row r="1335" spans="1:68" s="56" customFormat="1" ht="45" hidden="1" customHeight="1">
      <c r="A1335" s="204" t="str">
        <f>+IFERROR(VALUE(MID(AB1335,4,4)),"")</f>
        <v/>
      </c>
      <c r="B1335" s="204">
        <f>VALUE(RIGHT(C1335,LEN(C1335)-2))</f>
        <v>1389</v>
      </c>
      <c r="C1335" s="74" t="s">
        <v>5052</v>
      </c>
      <c r="D1335" s="75">
        <v>44487</v>
      </c>
      <c r="E1335" s="70" t="s">
        <v>3741</v>
      </c>
      <c r="F1335" s="70" t="s">
        <v>4596</v>
      </c>
      <c r="G1335" s="68" t="s">
        <v>3743</v>
      </c>
      <c r="H1335" s="59" t="s">
        <v>5053</v>
      </c>
      <c r="I1335" s="69" t="s">
        <v>5054</v>
      </c>
      <c r="J1335" s="69"/>
      <c r="K1335" s="95" t="s">
        <v>3286</v>
      </c>
      <c r="L1335" s="69" t="s">
        <v>123</v>
      </c>
      <c r="M1335" s="71" t="s">
        <v>113</v>
      </c>
      <c r="N1335" s="69" t="e" vm="2">
        <v>#VALUE!</v>
      </c>
      <c r="O1335" s="84">
        <v>44488</v>
      </c>
      <c r="P1335" s="82" t="s">
        <v>483</v>
      </c>
      <c r="Q1335" s="82" t="s">
        <v>229</v>
      </c>
      <c r="R1335" s="69"/>
      <c r="S1335" s="146" t="s">
        <v>2487</v>
      </c>
      <c r="T1335" s="68" t="s">
        <v>165</v>
      </c>
      <c r="U1335" s="87"/>
      <c r="V1335" s="80">
        <v>44487</v>
      </c>
      <c r="W1335" s="73">
        <v>21056</v>
      </c>
      <c r="X1335" s="73">
        <v>695.2</v>
      </c>
      <c r="Y1335" s="83">
        <f>IF(SUM(W1335:W1335)&gt;0,X1335/SUM(W1335:W1335)*1000000,"N/A")</f>
        <v>33016.717325227961</v>
      </c>
      <c r="Z1335" s="80"/>
      <c r="AA1335" s="80"/>
      <c r="AB1335" s="73"/>
      <c r="AC1335" s="153"/>
      <c r="AD1335" s="331"/>
      <c r="AE1335" s="57"/>
      <c r="AF1335" s="88"/>
      <c r="AG1335" s="182">
        <f>YEAR(D1335)</f>
        <v>2021</v>
      </c>
      <c r="AH1335" s="86" t="str">
        <f>+IF(AE1335=$AJ$22,MONTH(T1335),"")</f>
        <v/>
      </c>
      <c r="AI1335" s="86" t="str">
        <f>+IF(AF1335=$AJ$22,MONTH(U1335),"")</f>
        <v/>
      </c>
      <c r="AJ1335" s="86" t="str">
        <f>+IF(AG1335=$AJ$22,MONTH(V1335),"")</f>
        <v/>
      </c>
      <c r="AK1335" s="86" t="str">
        <f>+IF(AG1335=$AK$22,MONTH(V1335),"")</f>
        <v/>
      </c>
      <c r="AL1335" s="86" t="str">
        <f>+IF(AG1335=$AL$22,MONTH(V1335),"")</f>
        <v/>
      </c>
      <c r="AM1335" s="86">
        <f>+IF($AG1335=$AM$22,MONTH($D1335),"")</f>
        <v>10</v>
      </c>
      <c r="AN1335" s="89" t="str">
        <f>+IF($AG1335=AN$22,MONTH($D1335),"")</f>
        <v/>
      </c>
      <c r="AO1335" s="89" t="str">
        <f>+IF($AG1335=AO$22,MONTH($D1335),"")</f>
        <v/>
      </c>
      <c r="AP1335" s="89" t="str">
        <f>+IF($AG1335=AP$22,MONTH($D1335),"")</f>
        <v/>
      </c>
      <c r="AQ1335" s="89" t="str">
        <f>+IF($AG1335=AQ$22,MONTH($D1335),"")</f>
        <v/>
      </c>
      <c r="AR1335" s="89" t="str">
        <f>+IF($AG1335=AR$22,MONTH($D1335),"")</f>
        <v/>
      </c>
      <c r="AS1335" s="89" t="str">
        <f>+IF($AG1335=AS$22,MONTH($D1335),"")</f>
        <v/>
      </c>
      <c r="AT1335" s="89" t="str">
        <f>+IF($AG1335=AT$22,MONTH($D1335),"")</f>
        <v/>
      </c>
      <c r="AU1335" s="89" t="str">
        <f>+IF($AG1335=AU$22,MONTH($D1335),"")</f>
        <v/>
      </c>
      <c r="AV1335" s="89" t="str">
        <f>+IF($AG1335=AV$22,MONTH($D1335),"")</f>
        <v/>
      </c>
      <c r="AW1335" s="86" t="str">
        <f>+IF($AG1335=AW$22,MONTH($D1335),"")</f>
        <v/>
      </c>
      <c r="AX1335" s="86" t="str">
        <f>+IF($AG1335=AX$22,MONTH($D1335),"")</f>
        <v/>
      </c>
      <c r="AY1335" s="89"/>
      <c r="AZ1335" s="89"/>
      <c r="BA1335" s="89"/>
      <c r="BB1335" s="89"/>
      <c r="BC1335" s="89"/>
      <c r="BD1335" s="89"/>
      <c r="BE1335" s="89"/>
      <c r="BF1335" s="89"/>
      <c r="BG1335" s="89"/>
      <c r="BH1335" s="89"/>
      <c r="BI1335" s="89"/>
      <c r="BJ1335" s="89"/>
      <c r="BK1335" s="89"/>
      <c r="BL1335" s="89"/>
      <c r="BM1335" s="89"/>
      <c r="BN1335" s="89"/>
      <c r="BO1335" s="89"/>
      <c r="BP1335" s="89"/>
    </row>
    <row r="1336" spans="1:68" s="56" customFormat="1" ht="27" hidden="1">
      <c r="A1336" s="204" t="str">
        <f>+IFERROR(VALUE(MID(AB1336,4,4)),"")</f>
        <v/>
      </c>
      <c r="B1336" s="204">
        <f>VALUE(RIGHT(C1336,LEN(C1336)-2))</f>
        <v>1388</v>
      </c>
      <c r="C1336" s="74" t="s">
        <v>5055</v>
      </c>
      <c r="D1336" s="75">
        <v>44469</v>
      </c>
      <c r="E1336" s="70" t="s">
        <v>53</v>
      </c>
      <c r="F1336" s="70" t="s">
        <v>313</v>
      </c>
      <c r="G1336" s="68" t="s">
        <v>5056</v>
      </c>
      <c r="H1336" s="59" t="s">
        <v>5057</v>
      </c>
      <c r="I1336" s="69" t="s">
        <v>5058</v>
      </c>
      <c r="J1336" s="69"/>
      <c r="K1336" s="68" t="s">
        <v>4922</v>
      </c>
      <c r="L1336" s="69" t="s">
        <v>123</v>
      </c>
      <c r="M1336" s="71" t="s">
        <v>141</v>
      </c>
      <c r="N1336" s="69" t="e" vm="1">
        <v>#VALUE!</v>
      </c>
      <c r="O1336" s="84">
        <v>44488</v>
      </c>
      <c r="P1336" s="72" t="s">
        <v>228</v>
      </c>
      <c r="Q1336" s="72" t="s">
        <v>623</v>
      </c>
      <c r="R1336" s="162"/>
      <c r="S1336" s="146" t="s">
        <v>838</v>
      </c>
      <c r="T1336" s="68" t="s">
        <v>165</v>
      </c>
      <c r="U1336" s="87"/>
      <c r="V1336" s="80">
        <v>44494</v>
      </c>
      <c r="W1336" s="73">
        <v>1</v>
      </c>
      <c r="X1336" s="73"/>
      <c r="Y1336" s="83">
        <f>IF(SUM(W1336:W1336)&gt;0,X1336/SUM(W1336:W1336)*1000000,"N/A")</f>
        <v>0</v>
      </c>
      <c r="Z1336" s="80"/>
      <c r="AA1336" s="80"/>
      <c r="AB1336" s="73"/>
      <c r="AC1336" s="153"/>
      <c r="AD1336" s="331"/>
      <c r="AE1336" s="57"/>
      <c r="AF1336" s="88"/>
      <c r="AG1336" s="182">
        <f>YEAR(D1336)</f>
        <v>2021</v>
      </c>
      <c r="AH1336" s="86" t="str">
        <f>+IF(AE1336=$AJ$22,MONTH(T1336),"")</f>
        <v/>
      </c>
      <c r="AI1336" s="86" t="str">
        <f>+IF(AF1336=$AJ$22,MONTH(U1336),"")</f>
        <v/>
      </c>
      <c r="AJ1336" s="86" t="str">
        <f>+IF(AG1336=$AJ$22,MONTH(V1336),"")</f>
        <v/>
      </c>
      <c r="AK1336" s="86" t="str">
        <f>+IF(AG1336=$AK$22,MONTH(V1336),"")</f>
        <v/>
      </c>
      <c r="AL1336" s="86" t="str">
        <f>+IF(AG1336=$AL$22,MONTH(V1336),"")</f>
        <v/>
      </c>
      <c r="AM1336" s="86">
        <f>+IF($AG1336=$AM$22,MONTH($D1336),"")</f>
        <v>9</v>
      </c>
      <c r="AN1336" s="89" t="str">
        <f>+IF($AG1336=AN$22,MONTH($D1336),"")</f>
        <v/>
      </c>
      <c r="AO1336" s="89" t="str">
        <f>+IF($AG1336=AO$22,MONTH($D1336),"")</f>
        <v/>
      </c>
      <c r="AP1336" s="89" t="str">
        <f>+IF($AG1336=AP$22,MONTH($D1336),"")</f>
        <v/>
      </c>
      <c r="AQ1336" s="89" t="str">
        <f>+IF($AG1336=AQ$22,MONTH($D1336),"")</f>
        <v/>
      </c>
      <c r="AR1336" s="89" t="str">
        <f>+IF($AG1336=AR$22,MONTH($D1336),"")</f>
        <v/>
      </c>
      <c r="AS1336" s="89" t="str">
        <f>+IF($AG1336=AS$22,MONTH($D1336),"")</f>
        <v/>
      </c>
      <c r="AT1336" s="89" t="str">
        <f>+IF($AG1336=AT$22,MONTH($D1336),"")</f>
        <v/>
      </c>
      <c r="AU1336" s="89" t="str">
        <f>+IF($AG1336=AU$22,MONTH($D1336),"")</f>
        <v/>
      </c>
      <c r="AV1336" s="89" t="str">
        <f>+IF($AG1336=AV$22,MONTH($D1336),"")</f>
        <v/>
      </c>
      <c r="AW1336" s="86" t="str">
        <f>+IF($AG1336=AW$22,MONTH($D1336),"")</f>
        <v/>
      </c>
      <c r="AX1336" s="86" t="str">
        <f>+IF($AG1336=AX$22,MONTH($D1336),"")</f>
        <v/>
      </c>
      <c r="AY1336" s="89"/>
      <c r="AZ1336" s="89"/>
      <c r="BA1336" s="89"/>
      <c r="BB1336" s="89"/>
      <c r="BC1336" s="89"/>
      <c r="BD1336" s="89"/>
      <c r="BE1336" s="89"/>
      <c r="BF1336" s="89"/>
      <c r="BG1336" s="89"/>
      <c r="BH1336" s="89"/>
      <c r="BI1336" s="89"/>
      <c r="BJ1336" s="89"/>
      <c r="BK1336" s="89"/>
      <c r="BL1336" s="89"/>
      <c r="BM1336" s="89"/>
      <c r="BN1336" s="89"/>
      <c r="BO1336" s="89"/>
      <c r="BP1336" s="89"/>
    </row>
    <row r="1337" spans="1:68" s="56" customFormat="1" ht="13.5" hidden="1">
      <c r="A1337" s="204">
        <f>+IFERROR(VALUE(MID(AB1337,4,4)),"")</f>
        <v>282</v>
      </c>
      <c r="B1337" s="204">
        <f>VALUE(RIGHT(C1337,LEN(C1337)-2))</f>
        <v>1387</v>
      </c>
      <c r="C1337" s="74" t="s">
        <v>5059</v>
      </c>
      <c r="D1337" s="75">
        <v>44481</v>
      </c>
      <c r="E1337" s="70" t="s">
        <v>394</v>
      </c>
      <c r="F1337" s="70" t="s">
        <v>394</v>
      </c>
      <c r="G1337" s="68" t="s">
        <v>4192</v>
      </c>
      <c r="H1337" s="111" t="s">
        <v>4193</v>
      </c>
      <c r="I1337" s="69" t="s">
        <v>5060</v>
      </c>
      <c r="J1337" s="69"/>
      <c r="K1337" s="95" t="s">
        <v>9</v>
      </c>
      <c r="L1337" s="69" t="s">
        <v>120</v>
      </c>
      <c r="M1337" s="71" t="s">
        <v>141</v>
      </c>
      <c r="N1337" s="69" t="e" vm="1">
        <v>#VALUE!</v>
      </c>
      <c r="O1337" s="84">
        <v>44483</v>
      </c>
      <c r="P1337" s="82" t="s">
        <v>402</v>
      </c>
      <c r="Q1337" s="82" t="s">
        <v>644</v>
      </c>
      <c r="R1337" s="69"/>
      <c r="S1337" s="146"/>
      <c r="T1337" s="68" t="s">
        <v>3</v>
      </c>
      <c r="U1337" s="90"/>
      <c r="V1337" s="80">
        <v>44487</v>
      </c>
      <c r="W1337" s="73">
        <v>40</v>
      </c>
      <c r="X1337" s="216">
        <v>1.8631</v>
      </c>
      <c r="Y1337" s="83">
        <f>IF(SUM(W1337:W1337)&gt;0,X1337/SUM(W1337:W1337)*1000000,"N/A")</f>
        <v>46577.5</v>
      </c>
      <c r="Z1337" s="80"/>
      <c r="AA1337" s="80"/>
      <c r="AB1337" s="73" t="s">
        <v>5061</v>
      </c>
      <c r="AC1337" s="217"/>
      <c r="AD1337" s="333"/>
      <c r="AE1337" s="112"/>
      <c r="AF1337" s="88"/>
      <c r="AG1337" s="182">
        <f>YEAR(D1337)</f>
        <v>2021</v>
      </c>
      <c r="AH1337" s="86" t="str">
        <f>+IF(AE1337=$AJ$22,MONTH(T1337),"")</f>
        <v/>
      </c>
      <c r="AI1337" s="86" t="str">
        <f>+IF(AF1337=$AJ$22,MONTH(U1337),"")</f>
        <v/>
      </c>
      <c r="AJ1337" s="86" t="str">
        <f>+IF(AG1337=$AJ$22,MONTH(V1337),"")</f>
        <v/>
      </c>
      <c r="AK1337" s="86" t="str">
        <f>+IF(AG1337=$AK$22,MONTH(V1337),"")</f>
        <v/>
      </c>
      <c r="AL1337" s="86" t="str">
        <f>+IF(AG1337=$AL$22,MONTH(V1337),"")</f>
        <v/>
      </c>
      <c r="AM1337" s="86">
        <f>+IF($AG1337=$AM$22,MONTH($D1337),"")</f>
        <v>10</v>
      </c>
      <c r="AN1337" s="89" t="str">
        <f>+IF($AG1337=AN$22,MONTH($D1337),"")</f>
        <v/>
      </c>
      <c r="AO1337" s="89" t="str">
        <f>+IF($AG1337=AO$22,MONTH($D1337),"")</f>
        <v/>
      </c>
      <c r="AP1337" s="89" t="str">
        <f>+IF($AG1337=AP$22,MONTH($D1337),"")</f>
        <v/>
      </c>
      <c r="AQ1337" s="89" t="str">
        <f>+IF($AG1337=AQ$22,MONTH($D1337),"")</f>
        <v/>
      </c>
      <c r="AR1337" s="89" t="str">
        <f>+IF($AG1337=AR$22,MONTH($D1337),"")</f>
        <v/>
      </c>
      <c r="AS1337" s="89" t="str">
        <f>+IF($AG1337=AS$22,MONTH($D1337),"")</f>
        <v/>
      </c>
      <c r="AT1337" s="89" t="str">
        <f>+IF($AG1337=AT$22,MONTH($D1337),"")</f>
        <v/>
      </c>
      <c r="AU1337" s="89" t="str">
        <f>+IF($AG1337=AU$22,MONTH($D1337),"")</f>
        <v/>
      </c>
      <c r="AV1337" s="89" t="str">
        <f>+IF($AG1337=AV$22,MONTH($D1337),"")</f>
        <v/>
      </c>
      <c r="AW1337" s="86" t="str">
        <f>+IF($AG1337=AW$22,MONTH($D1337),"")</f>
        <v/>
      </c>
      <c r="AX1337" s="86" t="str">
        <f>+IF($AG1337=AX$22,MONTH($D1337),"")</f>
        <v/>
      </c>
      <c r="AY1337" s="89"/>
      <c r="AZ1337" s="89"/>
      <c r="BA1337" s="89"/>
      <c r="BB1337" s="89"/>
      <c r="BC1337" s="89"/>
      <c r="BD1337" s="89"/>
      <c r="BE1337" s="89"/>
      <c r="BF1337" s="89"/>
      <c r="BG1337" s="89"/>
      <c r="BH1337" s="89"/>
      <c r="BI1337" s="89"/>
      <c r="BJ1337" s="89"/>
      <c r="BK1337" s="89"/>
      <c r="BL1337" s="89"/>
      <c r="BM1337" s="89"/>
      <c r="BN1337" s="89"/>
      <c r="BO1337" s="89"/>
      <c r="BP1337" s="89"/>
    </row>
    <row r="1338" spans="1:68" s="56" customFormat="1" ht="53.25" hidden="1">
      <c r="A1338" s="204" t="str">
        <f>+IFERROR(VALUE(MID(AB1338,4,4)),"")</f>
        <v/>
      </c>
      <c r="B1338" s="204">
        <f>VALUE(RIGHT(C1338,LEN(C1338)-2))</f>
        <v>1386</v>
      </c>
      <c r="C1338" s="74" t="s">
        <v>5062</v>
      </c>
      <c r="D1338" s="75">
        <v>44476</v>
      </c>
      <c r="E1338" s="70" t="s">
        <v>5025</v>
      </c>
      <c r="F1338" s="70" t="s">
        <v>354</v>
      </c>
      <c r="G1338" s="68" t="s">
        <v>5041</v>
      </c>
      <c r="H1338" s="111" t="s">
        <v>5042</v>
      </c>
      <c r="I1338" s="69" t="s">
        <v>5063</v>
      </c>
      <c r="J1338" s="69"/>
      <c r="K1338" s="95" t="s">
        <v>13</v>
      </c>
      <c r="L1338" s="69" t="s">
        <v>123</v>
      </c>
      <c r="M1338" s="71" t="s">
        <v>141</v>
      </c>
      <c r="N1338" s="69" t="e" vm="1">
        <v>#VALUE!</v>
      </c>
      <c r="O1338" s="84">
        <v>44480</v>
      </c>
      <c r="P1338" s="82" t="s">
        <v>4567</v>
      </c>
      <c r="Q1338" s="82" t="s">
        <v>229</v>
      </c>
      <c r="R1338" s="69"/>
      <c r="S1338" s="146" t="s">
        <v>5044</v>
      </c>
      <c r="T1338" s="68" t="s">
        <v>165</v>
      </c>
      <c r="U1338" s="90">
        <v>0.01</v>
      </c>
      <c r="V1338" s="80">
        <v>44481</v>
      </c>
      <c r="W1338" s="73">
        <v>1000</v>
      </c>
      <c r="X1338" s="73"/>
      <c r="Y1338" s="83">
        <f>IF(SUM(W1338:W1338)&gt;0,X1338/SUM(W1338:W1338)*1000000,"N/A")</f>
        <v>0</v>
      </c>
      <c r="Z1338" s="80"/>
      <c r="AA1338" s="80"/>
      <c r="AB1338" s="73"/>
      <c r="AC1338" s="217"/>
      <c r="AD1338" s="333"/>
      <c r="AE1338" s="112"/>
      <c r="AF1338" s="88"/>
      <c r="AG1338" s="182">
        <f>YEAR(D1338)</f>
        <v>2021</v>
      </c>
      <c r="AH1338" s="86" t="str">
        <f>+IF(AE1338=$AJ$22,MONTH(T1338),"")</f>
        <v/>
      </c>
      <c r="AI1338" s="86" t="str">
        <f>+IF(AF1338=$AJ$22,MONTH(U1338),"")</f>
        <v/>
      </c>
      <c r="AJ1338" s="86" t="str">
        <f>+IF(AG1338=$AJ$22,MONTH(V1338),"")</f>
        <v/>
      </c>
      <c r="AK1338" s="86" t="str">
        <f>+IF(AG1338=$AK$22,MONTH(V1338),"")</f>
        <v/>
      </c>
      <c r="AL1338" s="86" t="str">
        <f>+IF(AG1338=$AL$22,MONTH(V1338),"")</f>
        <v/>
      </c>
      <c r="AM1338" s="86">
        <f>+IF($AG1338=$AM$22,MONTH($D1338),"")</f>
        <v>10</v>
      </c>
      <c r="AN1338" s="89" t="str">
        <f>+IF($AG1338=AN$22,MONTH($D1338),"")</f>
        <v/>
      </c>
      <c r="AO1338" s="89" t="str">
        <f>+IF($AG1338=AO$22,MONTH($D1338),"")</f>
        <v/>
      </c>
      <c r="AP1338" s="89" t="str">
        <f>+IF($AG1338=AP$22,MONTH($D1338),"")</f>
        <v/>
      </c>
      <c r="AQ1338" s="89" t="str">
        <f>+IF($AG1338=AQ$22,MONTH($D1338),"")</f>
        <v/>
      </c>
      <c r="AR1338" s="89" t="str">
        <f>+IF($AG1338=AR$22,MONTH($D1338),"")</f>
        <v/>
      </c>
      <c r="AS1338" s="89" t="str">
        <f>+IF($AG1338=AS$22,MONTH($D1338),"")</f>
        <v/>
      </c>
      <c r="AT1338" s="89" t="str">
        <f>+IF($AG1338=AT$22,MONTH($D1338),"")</f>
        <v/>
      </c>
      <c r="AU1338" s="89" t="str">
        <f>+IF($AG1338=AU$22,MONTH($D1338),"")</f>
        <v/>
      </c>
      <c r="AV1338" s="89" t="str">
        <f>+IF($AG1338=AV$22,MONTH($D1338),"")</f>
        <v/>
      </c>
      <c r="AW1338" s="86" t="str">
        <f>+IF($AG1338=AW$22,MONTH($D1338),"")</f>
        <v/>
      </c>
      <c r="AX1338" s="86" t="str">
        <f>+IF($AG1338=AX$22,MONTH($D1338),"")</f>
        <v/>
      </c>
      <c r="AY1338" s="89"/>
      <c r="AZ1338" s="89"/>
      <c r="BA1338" s="89"/>
      <c r="BB1338" s="89"/>
      <c r="BC1338" s="89"/>
      <c r="BD1338" s="89"/>
      <c r="BE1338" s="89"/>
      <c r="BF1338" s="89"/>
      <c r="BG1338" s="89"/>
      <c r="BH1338" s="89"/>
      <c r="BI1338" s="89"/>
      <c r="BJ1338" s="89"/>
      <c r="BK1338" s="89"/>
      <c r="BL1338" s="89"/>
      <c r="BM1338" s="89"/>
      <c r="BN1338" s="89"/>
      <c r="BO1338" s="89"/>
      <c r="BP1338" s="89"/>
    </row>
    <row r="1339" spans="1:68" s="56" customFormat="1" ht="13.5" hidden="1">
      <c r="A1339" s="204" t="str">
        <f>+IFERROR(VALUE(MID(AB1339,4,4)),"")</f>
        <v/>
      </c>
      <c r="B1339" s="204">
        <f>VALUE(RIGHT(C1339,LEN(C1339)-2))</f>
        <v>1385</v>
      </c>
      <c r="C1339" s="74" t="s">
        <v>5064</v>
      </c>
      <c r="D1339" s="75">
        <v>44474</v>
      </c>
      <c r="E1339" s="70" t="s">
        <v>53</v>
      </c>
      <c r="F1339" s="70" t="s">
        <v>252</v>
      </c>
      <c r="G1339" s="68" t="s">
        <v>5065</v>
      </c>
      <c r="H1339" s="111"/>
      <c r="I1339" s="69" t="s">
        <v>5066</v>
      </c>
      <c r="J1339" s="69"/>
      <c r="K1339" s="95" t="s">
        <v>11</v>
      </c>
      <c r="L1339" s="69" t="s">
        <v>123</v>
      </c>
      <c r="M1339" s="71" t="s">
        <v>141</v>
      </c>
      <c r="N1339" s="69" t="e" vm="1">
        <v>#VALUE!</v>
      </c>
      <c r="O1339" s="84">
        <v>44526</v>
      </c>
      <c r="P1339" s="82" t="s">
        <v>402</v>
      </c>
      <c r="Q1339" s="82" t="s">
        <v>623</v>
      </c>
      <c r="R1339" s="69"/>
      <c r="S1339" s="146"/>
      <c r="T1339" s="68" t="s">
        <v>155</v>
      </c>
      <c r="U1339" s="90"/>
      <c r="V1339" s="80">
        <v>44476</v>
      </c>
      <c r="W1339" s="73"/>
      <c r="X1339" s="73"/>
      <c r="Y1339" s="83" t="str">
        <f>IF(SUM(W1339:W1339)&gt;0,X1339/SUM(W1339:W1339)*1000000,"N/A")</f>
        <v>N/A</v>
      </c>
      <c r="Z1339" s="80"/>
      <c r="AA1339" s="80"/>
      <c r="AB1339" s="73"/>
      <c r="AC1339" s="217"/>
      <c r="AD1339" s="333"/>
      <c r="AE1339" s="112"/>
      <c r="AF1339" s="88"/>
      <c r="AG1339" s="182">
        <f>YEAR(D1339)</f>
        <v>2021</v>
      </c>
      <c r="AH1339" s="86" t="str">
        <f>+IF(AE1339=$AJ$22,MONTH(T1339),"")</f>
        <v/>
      </c>
      <c r="AI1339" s="86" t="str">
        <f>+IF(AF1339=$AJ$22,MONTH(U1339),"")</f>
        <v/>
      </c>
      <c r="AJ1339" s="86" t="str">
        <f>+IF(AG1339=$AJ$22,MONTH(V1339),"")</f>
        <v/>
      </c>
      <c r="AK1339" s="86" t="str">
        <f>+IF(AG1339=$AK$22,MONTH(V1339),"")</f>
        <v/>
      </c>
      <c r="AL1339" s="86" t="str">
        <f>+IF(AG1339=$AL$22,MONTH(V1339),"")</f>
        <v/>
      </c>
      <c r="AM1339" s="86">
        <f>+IF($AG1339=$AM$22,MONTH($D1339),"")</f>
        <v>10</v>
      </c>
      <c r="AN1339" s="89" t="str">
        <f>+IF($AG1339=AN$22,MONTH($D1339),"")</f>
        <v/>
      </c>
      <c r="AO1339" s="89" t="str">
        <f>+IF($AG1339=AO$22,MONTH($D1339),"")</f>
        <v/>
      </c>
      <c r="AP1339" s="89" t="str">
        <f>+IF($AG1339=AP$22,MONTH($D1339),"")</f>
        <v/>
      </c>
      <c r="AQ1339" s="89" t="str">
        <f>+IF($AG1339=AQ$22,MONTH($D1339),"")</f>
        <v/>
      </c>
      <c r="AR1339" s="89" t="str">
        <f>+IF($AG1339=AR$22,MONTH($D1339),"")</f>
        <v/>
      </c>
      <c r="AS1339" s="89" t="str">
        <f>+IF($AG1339=AS$22,MONTH($D1339),"")</f>
        <v/>
      </c>
      <c r="AT1339" s="89" t="str">
        <f>+IF($AG1339=AT$22,MONTH($D1339),"")</f>
        <v/>
      </c>
      <c r="AU1339" s="89" t="str">
        <f>+IF($AG1339=AU$22,MONTH($D1339),"")</f>
        <v/>
      </c>
      <c r="AV1339" s="89" t="str">
        <f>+IF($AG1339=AV$22,MONTH($D1339),"")</f>
        <v/>
      </c>
      <c r="AW1339" s="86" t="str">
        <f>+IF($AG1339=AW$22,MONTH($D1339),"")</f>
        <v/>
      </c>
      <c r="AX1339" s="86" t="str">
        <f>+IF($AG1339=AX$22,MONTH($D1339),"")</f>
        <v/>
      </c>
      <c r="AY1339" s="89"/>
      <c r="AZ1339" s="89"/>
      <c r="BA1339" s="89"/>
      <c r="BB1339" s="89"/>
      <c r="BC1339" s="89"/>
      <c r="BD1339" s="89"/>
      <c r="BE1339" s="89"/>
      <c r="BF1339" s="89"/>
      <c r="BG1339" s="89"/>
      <c r="BH1339" s="89"/>
      <c r="BI1339" s="89"/>
      <c r="BJ1339" s="89"/>
      <c r="BK1339" s="89"/>
      <c r="BL1339" s="89"/>
      <c r="BM1339" s="89"/>
      <c r="BN1339" s="89"/>
      <c r="BO1339" s="89"/>
      <c r="BP1339" s="89"/>
    </row>
    <row r="1340" spans="1:68" s="56" customFormat="1" ht="13.5" hidden="1">
      <c r="A1340" s="204" t="str">
        <f>+IFERROR(VALUE(MID(AB1340,4,4)),"")</f>
        <v/>
      </c>
      <c r="B1340" s="204">
        <f>VALUE(RIGHT(C1340,LEN(C1340)-2))</f>
        <v>1384</v>
      </c>
      <c r="C1340" s="74" t="s">
        <v>5067</v>
      </c>
      <c r="D1340" s="75">
        <v>44474</v>
      </c>
      <c r="E1340" s="70" t="s">
        <v>53</v>
      </c>
      <c r="F1340" s="70" t="s">
        <v>252</v>
      </c>
      <c r="G1340" s="68" t="s">
        <v>5068</v>
      </c>
      <c r="H1340" s="111"/>
      <c r="I1340" s="69" t="s">
        <v>5069</v>
      </c>
      <c r="J1340" s="69"/>
      <c r="K1340" s="95" t="s">
        <v>12</v>
      </c>
      <c r="L1340" s="69" t="s">
        <v>123</v>
      </c>
      <c r="M1340" s="71" t="s">
        <v>141</v>
      </c>
      <c r="N1340" s="69" t="e" vm="1">
        <v>#VALUE!</v>
      </c>
      <c r="O1340" s="84">
        <v>44512</v>
      </c>
      <c r="P1340" s="82" t="s">
        <v>228</v>
      </c>
      <c r="Q1340" s="82" t="s">
        <v>229</v>
      </c>
      <c r="R1340" s="69"/>
      <c r="S1340" s="146" t="s">
        <v>5070</v>
      </c>
      <c r="T1340" s="68" t="s">
        <v>165</v>
      </c>
      <c r="U1340" s="87">
        <v>0</v>
      </c>
      <c r="V1340" s="80">
        <v>44965</v>
      </c>
      <c r="W1340" s="73">
        <v>5679</v>
      </c>
      <c r="X1340" s="73">
        <v>213</v>
      </c>
      <c r="Y1340" s="83">
        <f>IF(SUM(W1340:W1340)&gt;0,X1340/SUM(W1340:W1340)*1000000,"N/A")</f>
        <v>37506.603275224508</v>
      </c>
      <c r="Z1340" s="80"/>
      <c r="AA1340" s="80"/>
      <c r="AB1340" s="73"/>
      <c r="AC1340" s="217"/>
      <c r="AD1340" s="333"/>
      <c r="AE1340" s="112"/>
      <c r="AF1340" s="88"/>
      <c r="AG1340" s="182">
        <f>YEAR(D1340)</f>
        <v>2021</v>
      </c>
      <c r="AH1340" s="86" t="str">
        <f>+IF(AE1340=$AJ$22,MONTH(T1340),"")</f>
        <v/>
      </c>
      <c r="AI1340" s="86" t="str">
        <f>+IF(AF1340=$AJ$22,MONTH(U1340),"")</f>
        <v/>
      </c>
      <c r="AJ1340" s="86" t="str">
        <f>+IF(AG1340=$AJ$22,MONTH(V1340),"")</f>
        <v/>
      </c>
      <c r="AK1340" s="86" t="str">
        <f>+IF(AG1340=$AK$22,MONTH(V1340),"")</f>
        <v/>
      </c>
      <c r="AL1340" s="86" t="str">
        <f>+IF(AG1340=$AL$22,MONTH(V1340),"")</f>
        <v/>
      </c>
      <c r="AM1340" s="86">
        <f>+IF($AG1340=$AM$22,MONTH($D1340),"")</f>
        <v>10</v>
      </c>
      <c r="AN1340" s="89" t="str">
        <f>+IF($AG1340=AN$22,MONTH($D1340),"")</f>
        <v/>
      </c>
      <c r="AO1340" s="89" t="str">
        <f>+IF($AG1340=AO$22,MONTH($D1340),"")</f>
        <v/>
      </c>
      <c r="AP1340" s="89" t="str">
        <f>+IF($AG1340=AP$22,MONTH($D1340),"")</f>
        <v/>
      </c>
      <c r="AQ1340" s="89" t="str">
        <f>+IF($AG1340=AQ$22,MONTH($D1340),"")</f>
        <v/>
      </c>
      <c r="AR1340" s="89" t="str">
        <f>+IF($AG1340=AR$22,MONTH($D1340),"")</f>
        <v/>
      </c>
      <c r="AS1340" s="89" t="str">
        <f>+IF($AG1340=AS$22,MONTH($D1340),"")</f>
        <v/>
      </c>
      <c r="AT1340" s="89" t="str">
        <f>+IF($AG1340=AT$22,MONTH($D1340),"")</f>
        <v/>
      </c>
      <c r="AU1340" s="89" t="str">
        <f>+IF($AG1340=AU$22,MONTH($D1340),"")</f>
        <v/>
      </c>
      <c r="AV1340" s="89" t="str">
        <f>+IF($AG1340=AV$22,MONTH($D1340),"")</f>
        <v/>
      </c>
      <c r="AW1340" s="86" t="str">
        <f>+IF($AG1340=AW$22,MONTH($D1340),"")</f>
        <v/>
      </c>
      <c r="AX1340" s="86" t="str">
        <f>+IF($AG1340=AX$22,MONTH($D1340),"")</f>
        <v/>
      </c>
      <c r="AY1340" s="89"/>
      <c r="AZ1340" s="89"/>
      <c r="BA1340" s="89"/>
      <c r="BB1340" s="89"/>
      <c r="BC1340" s="89"/>
      <c r="BD1340" s="89"/>
      <c r="BE1340" s="89"/>
      <c r="BF1340" s="89"/>
      <c r="BG1340" s="89"/>
      <c r="BH1340" s="89"/>
      <c r="BI1340" s="89"/>
      <c r="BJ1340" s="89"/>
      <c r="BK1340" s="89"/>
      <c r="BL1340" s="89"/>
      <c r="BM1340" s="89"/>
      <c r="BN1340" s="89"/>
      <c r="BO1340" s="89"/>
      <c r="BP1340" s="89"/>
    </row>
    <row r="1341" spans="1:68" s="56" customFormat="1" ht="27" hidden="1">
      <c r="A1341" s="204">
        <f>+IFERROR(VALUE(MID(AB1341,4,4)),"")</f>
        <v>271</v>
      </c>
      <c r="B1341" s="204">
        <f>VALUE(RIGHT(C1341,LEN(C1341)-2))</f>
        <v>1383</v>
      </c>
      <c r="C1341" s="74" t="s">
        <v>5071</v>
      </c>
      <c r="D1341" s="75">
        <v>44470</v>
      </c>
      <c r="E1341" s="70" t="s">
        <v>277</v>
      </c>
      <c r="F1341" s="70" t="s">
        <v>277</v>
      </c>
      <c r="G1341" s="68" t="s">
        <v>1350</v>
      </c>
      <c r="H1341" s="59" t="s">
        <v>4327</v>
      </c>
      <c r="I1341" s="69" t="s">
        <v>5072</v>
      </c>
      <c r="J1341" s="69"/>
      <c r="K1341" s="95" t="s">
        <v>9</v>
      </c>
      <c r="L1341" s="69" t="s">
        <v>129</v>
      </c>
      <c r="M1341" s="71" t="s">
        <v>141</v>
      </c>
      <c r="N1341" s="69" t="e" vm="1">
        <v>#VALUE!</v>
      </c>
      <c r="O1341" s="84">
        <v>44477</v>
      </c>
      <c r="P1341" s="72" t="s">
        <v>402</v>
      </c>
      <c r="Q1341" s="72" t="s">
        <v>623</v>
      </c>
      <c r="R1341" s="162"/>
      <c r="S1341" s="146" t="s">
        <v>5073</v>
      </c>
      <c r="T1341" s="68" t="s">
        <v>3</v>
      </c>
      <c r="U1341" s="87"/>
      <c r="V1341" s="80">
        <v>44475</v>
      </c>
      <c r="W1341" s="73">
        <v>1089</v>
      </c>
      <c r="X1341" s="73">
        <v>40</v>
      </c>
      <c r="Y1341" s="83">
        <f>IF(SUM(W1341:W1341)&gt;0,X1341/SUM(W1341:W1341)*1000000,"N/A")</f>
        <v>36730.945821854912</v>
      </c>
      <c r="Z1341" s="80"/>
      <c r="AA1341" s="80"/>
      <c r="AB1341" s="73" t="s">
        <v>5074</v>
      </c>
      <c r="AC1341" s="153"/>
      <c r="AD1341" s="331"/>
      <c r="AE1341" s="57"/>
      <c r="AF1341" s="88"/>
      <c r="AG1341" s="182">
        <f>YEAR(D1341)</f>
        <v>2021</v>
      </c>
      <c r="AH1341" s="86" t="str">
        <f>+IF(AE1341=$AJ$22,MONTH(T1341),"")</f>
        <v/>
      </c>
      <c r="AI1341" s="86" t="str">
        <f>+IF(AF1341=$AJ$22,MONTH(U1341),"")</f>
        <v/>
      </c>
      <c r="AJ1341" s="86" t="str">
        <f>+IF(AG1341=$AJ$22,MONTH(V1341),"")</f>
        <v/>
      </c>
      <c r="AK1341" s="86" t="str">
        <f>+IF(AG1341=$AK$22,MONTH(V1341),"")</f>
        <v/>
      </c>
      <c r="AL1341" s="86" t="str">
        <f>+IF(AG1341=$AL$22,MONTH(V1341),"")</f>
        <v/>
      </c>
      <c r="AM1341" s="86">
        <f>+IF($AG1341=$AM$22,MONTH($D1341),"")</f>
        <v>10</v>
      </c>
      <c r="AN1341" s="89" t="str">
        <f>+IF($AG1341=AN$22,MONTH($D1341),"")</f>
        <v/>
      </c>
      <c r="AO1341" s="89" t="str">
        <f>+IF($AG1341=AO$22,MONTH($D1341),"")</f>
        <v/>
      </c>
      <c r="AP1341" s="89" t="str">
        <f>+IF($AG1341=AP$22,MONTH($D1341),"")</f>
        <v/>
      </c>
      <c r="AQ1341" s="89" t="str">
        <f>+IF($AG1341=AQ$22,MONTH($D1341),"")</f>
        <v/>
      </c>
      <c r="AR1341" s="89" t="str">
        <f>+IF($AG1341=AR$22,MONTH($D1341),"")</f>
        <v/>
      </c>
      <c r="AS1341" s="89" t="str">
        <f>+IF($AG1341=AS$22,MONTH($D1341),"")</f>
        <v/>
      </c>
      <c r="AT1341" s="89" t="str">
        <f>+IF($AG1341=AT$22,MONTH($D1341),"")</f>
        <v/>
      </c>
      <c r="AU1341" s="89" t="str">
        <f>+IF($AG1341=AU$22,MONTH($D1341),"")</f>
        <v/>
      </c>
      <c r="AV1341" s="89" t="str">
        <f>+IF($AG1341=AV$22,MONTH($D1341),"")</f>
        <v/>
      </c>
      <c r="AW1341" s="86" t="str">
        <f>+IF($AG1341=AW$22,MONTH($D1341),"")</f>
        <v/>
      </c>
      <c r="AX1341" s="86" t="str">
        <f>+IF($AG1341=AX$22,MONTH($D1341),"")</f>
        <v/>
      </c>
      <c r="AY1341" s="89"/>
      <c r="AZ1341" s="89"/>
      <c r="BA1341" s="89"/>
      <c r="BB1341" s="89"/>
      <c r="BC1341" s="89"/>
      <c r="BD1341" s="89"/>
      <c r="BE1341" s="89"/>
      <c r="BF1341" s="89"/>
      <c r="BG1341" s="89"/>
      <c r="BH1341" s="89"/>
      <c r="BI1341" s="89"/>
      <c r="BJ1341" s="89"/>
      <c r="BK1341" s="89"/>
      <c r="BL1341" s="89"/>
      <c r="BM1341" s="89"/>
      <c r="BN1341" s="89"/>
      <c r="BO1341" s="89"/>
      <c r="BP1341" s="89"/>
    </row>
    <row r="1342" spans="1:68" s="56" customFormat="1" ht="108" hidden="1">
      <c r="A1342" s="204" t="str">
        <f>+IFERROR(VALUE(MID(AB1342,4,4)),"")</f>
        <v/>
      </c>
      <c r="B1342" s="204">
        <f>VALUE(RIGHT(C1342,LEN(C1342)-2))</f>
        <v>1382</v>
      </c>
      <c r="C1342" s="74" t="s">
        <v>5075</v>
      </c>
      <c r="D1342" s="75">
        <v>44473</v>
      </c>
      <c r="E1342" s="70" t="s">
        <v>53</v>
      </c>
      <c r="F1342" s="70" t="s">
        <v>252</v>
      </c>
      <c r="G1342" s="68" t="s">
        <v>5076</v>
      </c>
      <c r="H1342" s="59"/>
      <c r="I1342" s="69" t="s">
        <v>5077</v>
      </c>
      <c r="J1342" s="69"/>
      <c r="K1342" s="95" t="s">
        <v>9</v>
      </c>
      <c r="L1342" s="69" t="s">
        <v>123</v>
      </c>
      <c r="M1342" s="71" t="s">
        <v>141</v>
      </c>
      <c r="N1342" s="69" t="e" vm="1">
        <v>#VALUE!</v>
      </c>
      <c r="O1342" s="84">
        <v>44461</v>
      </c>
      <c r="P1342" s="72" t="s">
        <v>213</v>
      </c>
      <c r="Q1342" s="72" t="s">
        <v>259</v>
      </c>
      <c r="R1342" s="162"/>
      <c r="S1342" s="146" t="s">
        <v>5078</v>
      </c>
      <c r="T1342" s="68" t="s">
        <v>155</v>
      </c>
      <c r="U1342" s="87"/>
      <c r="V1342" s="80">
        <v>44475</v>
      </c>
      <c r="W1342" s="73"/>
      <c r="X1342" s="73"/>
      <c r="Y1342" s="83" t="str">
        <f>IF(SUM(W1342:W1342)&gt;0,X1342/SUM(W1342:W1342)*1000000,"N/A")</f>
        <v>N/A</v>
      </c>
      <c r="Z1342" s="80"/>
      <c r="AA1342" s="80"/>
      <c r="AB1342" s="73"/>
      <c r="AC1342" s="153"/>
      <c r="AD1342" s="331"/>
      <c r="AE1342" s="57"/>
      <c r="AF1342" s="88"/>
      <c r="AG1342" s="182">
        <f>YEAR(D1342)</f>
        <v>2021</v>
      </c>
      <c r="AH1342" s="86" t="str">
        <f>+IF(AE1342=$AJ$22,MONTH(T1342),"")</f>
        <v/>
      </c>
      <c r="AI1342" s="86" t="str">
        <f>+IF(AF1342=$AJ$22,MONTH(U1342),"")</f>
        <v/>
      </c>
      <c r="AJ1342" s="86" t="str">
        <f>+IF(AG1342=$AJ$22,MONTH(V1342),"")</f>
        <v/>
      </c>
      <c r="AK1342" s="86" t="str">
        <f>+IF(AG1342=$AK$22,MONTH(V1342),"")</f>
        <v/>
      </c>
      <c r="AL1342" s="86" t="str">
        <f>+IF(AG1342=$AL$22,MONTH(V1342),"")</f>
        <v/>
      </c>
      <c r="AM1342" s="86">
        <f>+IF($AG1342=$AM$22,MONTH($D1342),"")</f>
        <v>10</v>
      </c>
      <c r="AN1342" s="89" t="str">
        <f>+IF($AG1342=AN$22,MONTH($D1342),"")</f>
        <v/>
      </c>
      <c r="AO1342" s="89" t="str">
        <f>+IF($AG1342=AO$22,MONTH($D1342),"")</f>
        <v/>
      </c>
      <c r="AP1342" s="89" t="str">
        <f>+IF($AG1342=AP$22,MONTH($D1342),"")</f>
        <v/>
      </c>
      <c r="AQ1342" s="89" t="str">
        <f>+IF($AG1342=AQ$22,MONTH($D1342),"")</f>
        <v/>
      </c>
      <c r="AR1342" s="89" t="str">
        <f>+IF($AG1342=AR$22,MONTH($D1342),"")</f>
        <v/>
      </c>
      <c r="AS1342" s="89" t="str">
        <f>+IF($AG1342=AS$22,MONTH($D1342),"")</f>
        <v/>
      </c>
      <c r="AT1342" s="89" t="str">
        <f>+IF($AG1342=AT$22,MONTH($D1342),"")</f>
        <v/>
      </c>
      <c r="AU1342" s="89" t="str">
        <f>+IF($AG1342=AU$22,MONTH($D1342),"")</f>
        <v/>
      </c>
      <c r="AV1342" s="89" t="str">
        <f>+IF($AG1342=AV$22,MONTH($D1342),"")</f>
        <v/>
      </c>
      <c r="AW1342" s="86"/>
      <c r="AX1342" s="86"/>
      <c r="AY1342" s="89"/>
      <c r="AZ1342" s="89"/>
      <c r="BA1342" s="89"/>
      <c r="BB1342" s="89"/>
      <c r="BC1342" s="89"/>
      <c r="BD1342" s="89"/>
      <c r="BE1342" s="89"/>
      <c r="BF1342" s="89"/>
      <c r="BG1342" s="89"/>
      <c r="BH1342" s="89"/>
      <c r="BI1342" s="89"/>
      <c r="BJ1342" s="89"/>
      <c r="BK1342" s="89"/>
      <c r="BL1342" s="89"/>
      <c r="BM1342" s="89"/>
      <c r="BN1342" s="89"/>
      <c r="BO1342" s="89"/>
      <c r="BP1342" s="89"/>
    </row>
    <row r="1343" spans="1:68" s="56" customFormat="1" ht="27" hidden="1">
      <c r="A1343" s="204" t="str">
        <f>+IFERROR(VALUE(MID(AB1343,4,4)),"")</f>
        <v/>
      </c>
      <c r="B1343" s="204">
        <f>VALUE(RIGHT(C1343,LEN(C1343)-2))</f>
        <v>1381</v>
      </c>
      <c r="C1343" s="74" t="s">
        <v>5079</v>
      </c>
      <c r="D1343" s="75">
        <v>44463</v>
      </c>
      <c r="E1343" s="70" t="s">
        <v>3685</v>
      </c>
      <c r="F1343" s="70" t="s">
        <v>306</v>
      </c>
      <c r="G1343" s="68" t="s">
        <v>5080</v>
      </c>
      <c r="H1343" s="59" t="s">
        <v>5081</v>
      </c>
      <c r="I1343" s="69" t="s">
        <v>5082</v>
      </c>
      <c r="J1343" s="69"/>
      <c r="K1343" s="95" t="s">
        <v>13</v>
      </c>
      <c r="L1343" s="69" t="s">
        <v>120</v>
      </c>
      <c r="M1343" s="71" t="s">
        <v>141</v>
      </c>
      <c r="N1343" s="69" t="e" vm="1">
        <v>#VALUE!</v>
      </c>
      <c r="O1343" s="84">
        <v>44460</v>
      </c>
      <c r="P1343" s="82" t="s">
        <v>4567</v>
      </c>
      <c r="Q1343" s="82" t="s">
        <v>229</v>
      </c>
      <c r="R1343" s="69"/>
      <c r="S1343" s="146" t="s">
        <v>4360</v>
      </c>
      <c r="T1343" s="68" t="s">
        <v>165</v>
      </c>
      <c r="U1343" s="87"/>
      <c r="V1343" s="80">
        <v>44488</v>
      </c>
      <c r="W1343" s="73">
        <v>2700</v>
      </c>
      <c r="X1343" s="73">
        <f>3989*31200/1000000</f>
        <v>124.4568</v>
      </c>
      <c r="Y1343" s="83">
        <f>IF(SUM(W1343:W1343)&gt;0,X1343/SUM(W1343:W1343)*1000000,"N/A")</f>
        <v>46095.111111111117</v>
      </c>
      <c r="Z1343" s="80"/>
      <c r="AA1343" s="80"/>
      <c r="AB1343" s="73"/>
      <c r="AC1343" s="153"/>
      <c r="AD1343" s="331"/>
      <c r="AE1343" s="57"/>
      <c r="AF1343" s="88" t="s">
        <v>5083</v>
      </c>
      <c r="AG1343" s="182">
        <f>YEAR(D1343)</f>
        <v>2021</v>
      </c>
      <c r="AH1343" s="86" t="str">
        <f>+IF(AE1343=$AJ$22,MONTH(T1343),"")</f>
        <v/>
      </c>
      <c r="AI1343" s="86" t="str">
        <f>+IF(AF1343=$AJ$22,MONTH(U1343),"")</f>
        <v/>
      </c>
      <c r="AJ1343" s="86" t="str">
        <f>+IF(AG1343=$AJ$22,MONTH(V1343),"")</f>
        <v/>
      </c>
      <c r="AK1343" s="86" t="str">
        <f>+IF(AG1343=$AK$22,MONTH(V1343),"")</f>
        <v/>
      </c>
      <c r="AL1343" s="86" t="str">
        <f>+IF(AG1343=$AL$22,MONTH(V1343),"")</f>
        <v/>
      </c>
      <c r="AM1343" s="86">
        <f>+IF($AG1343=$AM$22,MONTH($D1343),"")</f>
        <v>9</v>
      </c>
      <c r="AN1343" s="89" t="str">
        <f>+IF($AG1343=AN$22,MONTH($D1343),"")</f>
        <v/>
      </c>
      <c r="AO1343" s="89" t="str">
        <f>+IF($AG1343=AO$22,MONTH($D1343),"")</f>
        <v/>
      </c>
      <c r="AP1343" s="89" t="str">
        <f>+IF($AG1343=AP$22,MONTH($D1343),"")</f>
        <v/>
      </c>
      <c r="AQ1343" s="89" t="str">
        <f>+IF($AG1343=AQ$22,MONTH($D1343),"")</f>
        <v/>
      </c>
      <c r="AR1343" s="89" t="str">
        <f>+IF($AG1343=AR$22,MONTH($D1343),"")</f>
        <v/>
      </c>
      <c r="AS1343" s="89" t="str">
        <f>+IF($AG1343=AS$22,MONTH($D1343),"")</f>
        <v/>
      </c>
      <c r="AT1343" s="89" t="str">
        <f>+IF($AG1343=AT$22,MONTH($D1343),"")</f>
        <v/>
      </c>
      <c r="AU1343" s="89" t="str">
        <f>+IF($AG1343=AU$22,MONTH($D1343),"")</f>
        <v/>
      </c>
      <c r="AV1343" s="89" t="str">
        <f>+IF($AG1343=AV$22,MONTH($D1343),"")</f>
        <v/>
      </c>
      <c r="AW1343" s="86" t="str">
        <f>+IF($AG1343=AW$22,MONTH($D1343),"")</f>
        <v/>
      </c>
      <c r="AX1343" s="86" t="str">
        <f>+IF($AG1343=AX$22,MONTH($D1343),"")</f>
        <v/>
      </c>
      <c r="AY1343" s="89"/>
      <c r="AZ1343" s="89"/>
      <c r="BA1343" s="89"/>
      <c r="BB1343" s="89"/>
      <c r="BC1343" s="89"/>
      <c r="BD1343" s="89"/>
      <c r="BE1343" s="89"/>
      <c r="BF1343" s="89"/>
      <c r="BG1343" s="89"/>
      <c r="BH1343" s="89"/>
      <c r="BI1343" s="89"/>
      <c r="BJ1343" s="89"/>
      <c r="BK1343" s="89"/>
      <c r="BL1343" s="89"/>
      <c r="BM1343" s="89"/>
      <c r="BN1343" s="89"/>
      <c r="BO1343" s="89"/>
      <c r="BP1343" s="89"/>
    </row>
    <row r="1344" spans="1:68" s="56" customFormat="1" ht="27" hidden="1">
      <c r="A1344" s="204">
        <f>+IFERROR(VALUE(MID(AB1344,4,4)),"")</f>
        <v>265</v>
      </c>
      <c r="B1344" s="204">
        <f>VALUE(RIGHT(C1344,LEN(C1344)-2))</f>
        <v>1380</v>
      </c>
      <c r="C1344" s="74" t="s">
        <v>5084</v>
      </c>
      <c r="D1344" s="75">
        <v>44462</v>
      </c>
      <c r="E1344" s="70" t="s">
        <v>332</v>
      </c>
      <c r="F1344" s="70" t="s">
        <v>332</v>
      </c>
      <c r="G1344" s="68" t="s">
        <v>3818</v>
      </c>
      <c r="H1344" s="59" t="s">
        <v>3878</v>
      </c>
      <c r="I1344" s="69" t="s">
        <v>5085</v>
      </c>
      <c r="J1344" s="69"/>
      <c r="K1344" s="95" t="s">
        <v>13</v>
      </c>
      <c r="L1344" s="69" t="s">
        <v>129</v>
      </c>
      <c r="M1344" s="71" t="s">
        <v>141</v>
      </c>
      <c r="N1344" s="69" t="e" vm="1">
        <v>#VALUE!</v>
      </c>
      <c r="O1344" s="84">
        <v>44460</v>
      </c>
      <c r="P1344" s="82" t="s">
        <v>666</v>
      </c>
      <c r="Q1344" s="82" t="s">
        <v>1097</v>
      </c>
      <c r="R1344" s="69"/>
      <c r="S1344" s="146" t="s">
        <v>4765</v>
      </c>
      <c r="T1344" s="68" t="s">
        <v>3</v>
      </c>
      <c r="U1344" s="87"/>
      <c r="V1344" s="80">
        <v>44462</v>
      </c>
      <c r="W1344" s="73">
        <v>1787</v>
      </c>
      <c r="X1344" s="73">
        <f>1800*30064/1000000</f>
        <v>54.115200000000002</v>
      </c>
      <c r="Y1344" s="83">
        <f>IF(SUM(W1344:W1344)&gt;0,X1344/SUM(W1344:W1344)*1000000,"N/A")</f>
        <v>30282.708449916063</v>
      </c>
      <c r="Z1344" s="80"/>
      <c r="AA1344" s="80"/>
      <c r="AB1344" s="73" t="s">
        <v>4766</v>
      </c>
      <c r="AC1344" s="153"/>
      <c r="AD1344" s="331"/>
      <c r="AE1344" s="57"/>
      <c r="AF1344" s="88"/>
      <c r="AG1344" s="182">
        <f>YEAR(D1344)</f>
        <v>2021</v>
      </c>
      <c r="AH1344" s="86" t="str">
        <f>+IF(AE1344=$AJ$22,MONTH(T1344),"")</f>
        <v/>
      </c>
      <c r="AI1344" s="86" t="str">
        <f>+IF(AF1344=$AJ$22,MONTH(U1344),"")</f>
        <v/>
      </c>
      <c r="AJ1344" s="86" t="str">
        <f>+IF(AG1344=$AJ$22,MONTH(V1344),"")</f>
        <v/>
      </c>
      <c r="AK1344" s="86" t="str">
        <f>+IF(AG1344=$AK$22,MONTH(V1344),"")</f>
        <v/>
      </c>
      <c r="AL1344" s="86" t="str">
        <f>+IF(AG1344=$AL$22,MONTH(V1344),"")</f>
        <v/>
      </c>
      <c r="AM1344" s="86">
        <f>+IF($AG1344=$AM$22,MONTH($D1344),"")</f>
        <v>9</v>
      </c>
      <c r="AN1344" s="89" t="str">
        <f>+IF($AG1344=AN$22,MONTH($D1344),"")</f>
        <v/>
      </c>
      <c r="AO1344" s="89" t="str">
        <f>+IF($AG1344=AO$22,MONTH($D1344),"")</f>
        <v/>
      </c>
      <c r="AP1344" s="89" t="str">
        <f>+IF($AG1344=AP$22,MONTH($D1344),"")</f>
        <v/>
      </c>
      <c r="AQ1344" s="89" t="str">
        <f>+IF($AG1344=AQ$22,MONTH($D1344),"")</f>
        <v/>
      </c>
      <c r="AR1344" s="89" t="str">
        <f>+IF($AG1344=AR$22,MONTH($D1344),"")</f>
        <v/>
      </c>
      <c r="AS1344" s="89" t="str">
        <f>+IF($AG1344=AS$22,MONTH($D1344),"")</f>
        <v/>
      </c>
      <c r="AT1344" s="89" t="str">
        <f>+IF($AG1344=AT$22,MONTH($D1344),"")</f>
        <v/>
      </c>
      <c r="AU1344" s="89" t="str">
        <f>+IF($AG1344=AU$22,MONTH($D1344),"")</f>
        <v/>
      </c>
      <c r="AV1344" s="89" t="str">
        <f>+IF($AG1344=AV$22,MONTH($D1344),"")</f>
        <v/>
      </c>
      <c r="AW1344" s="86" t="str">
        <f>+IF($AG1344=AW$22,MONTH($D1344),"")</f>
        <v/>
      </c>
      <c r="AX1344" s="86" t="str">
        <f>+IF($AG1344=AX$22,MONTH($D1344),"")</f>
        <v/>
      </c>
      <c r="AY1344" s="89"/>
      <c r="AZ1344" s="89"/>
      <c r="BA1344" s="89"/>
      <c r="BB1344" s="89"/>
      <c r="BC1344" s="89"/>
      <c r="BD1344" s="89"/>
      <c r="BE1344" s="89"/>
      <c r="BF1344" s="89"/>
      <c r="BG1344" s="89"/>
      <c r="BH1344" s="89"/>
      <c r="BI1344" s="89"/>
      <c r="BJ1344" s="89"/>
      <c r="BK1344" s="89"/>
      <c r="BL1344" s="89"/>
      <c r="BM1344" s="89"/>
      <c r="BN1344" s="89"/>
      <c r="BO1344" s="89"/>
      <c r="BP1344" s="89"/>
    </row>
    <row r="1345" spans="1:68" s="56" customFormat="1" ht="27" hidden="1">
      <c r="A1345" s="204" t="str">
        <f>+IFERROR(VALUE(MID(AB1345,4,4)),"")</f>
        <v/>
      </c>
      <c r="B1345" s="204">
        <f>VALUE(RIGHT(C1345,LEN(C1345)-2))</f>
        <v>1379</v>
      </c>
      <c r="C1345" s="74" t="s">
        <v>5086</v>
      </c>
      <c r="D1345" s="75">
        <v>44460</v>
      </c>
      <c r="E1345" s="70" t="s">
        <v>479</v>
      </c>
      <c r="F1345" s="70" t="s">
        <v>479</v>
      </c>
      <c r="G1345" s="68" t="s">
        <v>3886</v>
      </c>
      <c r="H1345" s="59" t="s">
        <v>4261</v>
      </c>
      <c r="I1345" s="69" t="s">
        <v>5087</v>
      </c>
      <c r="J1345" s="69"/>
      <c r="K1345" s="95" t="s">
        <v>13</v>
      </c>
      <c r="L1345" s="69" t="s">
        <v>123</v>
      </c>
      <c r="M1345" s="71" t="s">
        <v>113</v>
      </c>
      <c r="N1345" s="69" t="e" vm="2">
        <v>#VALUE!</v>
      </c>
      <c r="O1345" s="84">
        <v>44460</v>
      </c>
      <c r="P1345" s="82" t="s">
        <v>483</v>
      </c>
      <c r="Q1345" s="82" t="s">
        <v>1097</v>
      </c>
      <c r="R1345" s="69"/>
      <c r="S1345" s="146" t="s">
        <v>5088</v>
      </c>
      <c r="T1345" s="68" t="s">
        <v>165</v>
      </c>
      <c r="U1345" s="87"/>
      <c r="V1345" s="80">
        <v>44460</v>
      </c>
      <c r="W1345" s="73">
        <v>638</v>
      </c>
      <c r="X1345" s="73">
        <v>17.7</v>
      </c>
      <c r="Y1345" s="83">
        <f>IF(SUM(W1345:W1345)&gt;0,X1345/SUM(W1345:W1345)*1000000,"N/A")</f>
        <v>27742.946708463947</v>
      </c>
      <c r="Z1345" s="80"/>
      <c r="AA1345" s="80"/>
      <c r="AB1345" s="73"/>
      <c r="AC1345" s="153"/>
      <c r="AD1345" s="331"/>
      <c r="AE1345" s="57"/>
      <c r="AF1345" s="88"/>
      <c r="AG1345" s="182">
        <f>YEAR(D1345)</f>
        <v>2021</v>
      </c>
      <c r="AH1345" s="86" t="str">
        <f>+IF(AE1345=$AJ$22,MONTH(T1345),"")</f>
        <v/>
      </c>
      <c r="AI1345" s="86" t="str">
        <f>+IF(AF1345=$AJ$22,MONTH(U1345),"")</f>
        <v/>
      </c>
      <c r="AJ1345" s="86" t="str">
        <f>+IF(AG1345=$AJ$22,MONTH(V1345),"")</f>
        <v/>
      </c>
      <c r="AK1345" s="86" t="str">
        <f>+IF(AG1345=$AK$22,MONTH(V1345),"")</f>
        <v/>
      </c>
      <c r="AL1345" s="86" t="str">
        <f>+IF(AG1345=$AL$22,MONTH(V1345),"")</f>
        <v/>
      </c>
      <c r="AM1345" s="86">
        <f>+IF($AG1345=$AM$22,MONTH($D1345),"")</f>
        <v>9</v>
      </c>
      <c r="AN1345" s="89" t="str">
        <f>+IF($AG1345=AN$22,MONTH($D1345),"")</f>
        <v/>
      </c>
      <c r="AO1345" s="89" t="str">
        <f>+IF($AG1345=AO$22,MONTH($D1345),"")</f>
        <v/>
      </c>
      <c r="AP1345" s="89" t="str">
        <f>+IF($AG1345=AP$22,MONTH($D1345),"")</f>
        <v/>
      </c>
      <c r="AQ1345" s="89" t="str">
        <f>+IF($AG1345=AQ$22,MONTH($D1345),"")</f>
        <v/>
      </c>
      <c r="AR1345" s="89" t="str">
        <f>+IF($AG1345=AR$22,MONTH($D1345),"")</f>
        <v/>
      </c>
      <c r="AS1345" s="89" t="str">
        <f>+IF($AG1345=AS$22,MONTH($D1345),"")</f>
        <v/>
      </c>
      <c r="AT1345" s="89" t="str">
        <f>+IF($AG1345=AT$22,MONTH($D1345),"")</f>
        <v/>
      </c>
      <c r="AU1345" s="89" t="str">
        <f>+IF($AG1345=AU$22,MONTH($D1345),"")</f>
        <v/>
      </c>
      <c r="AV1345" s="89" t="str">
        <f>+IF($AG1345=AV$22,MONTH($D1345),"")</f>
        <v/>
      </c>
      <c r="AW1345" s="86" t="str">
        <f>+IF($AG1345=AW$22,MONTH($D1345),"")</f>
        <v/>
      </c>
      <c r="AX1345" s="86" t="str">
        <f>+IF($AG1345=AX$22,MONTH($D1345),"")</f>
        <v/>
      </c>
      <c r="AY1345" s="89"/>
      <c r="AZ1345" s="89"/>
      <c r="BA1345" s="89"/>
      <c r="BB1345" s="89"/>
      <c r="BC1345" s="89"/>
      <c r="BD1345" s="89"/>
      <c r="BE1345" s="89"/>
      <c r="BF1345" s="89"/>
      <c r="BG1345" s="89"/>
      <c r="BH1345" s="89"/>
      <c r="BI1345" s="89"/>
      <c r="BJ1345" s="89"/>
      <c r="BK1345" s="89"/>
      <c r="BL1345" s="89"/>
      <c r="BM1345" s="89"/>
      <c r="BN1345" s="89"/>
      <c r="BO1345" s="89"/>
      <c r="BP1345" s="89"/>
    </row>
    <row r="1346" spans="1:68" s="56" customFormat="1" ht="67.5" hidden="1">
      <c r="A1346" s="204" t="str">
        <f>+IFERROR(VALUE(MID(AB1346,4,4)),"")</f>
        <v/>
      </c>
      <c r="B1346" s="204">
        <f>VALUE(RIGHT(C1346,LEN(C1346)-2))</f>
        <v>1378</v>
      </c>
      <c r="C1346" s="74" t="s">
        <v>5089</v>
      </c>
      <c r="D1346" s="75">
        <v>44460</v>
      </c>
      <c r="E1346" s="70" t="s">
        <v>394</v>
      </c>
      <c r="F1346" s="70" t="s">
        <v>394</v>
      </c>
      <c r="G1346" s="68"/>
      <c r="H1346" s="59"/>
      <c r="I1346" s="69" t="s">
        <v>5090</v>
      </c>
      <c r="J1346" s="69"/>
      <c r="K1346" s="95" t="s">
        <v>2725</v>
      </c>
      <c r="L1346" s="69" t="s">
        <v>120</v>
      </c>
      <c r="M1346" s="71" t="s">
        <v>141</v>
      </c>
      <c r="N1346" s="69" t="e" vm="1">
        <v>#VALUE!</v>
      </c>
      <c r="O1346" s="84">
        <v>44460</v>
      </c>
      <c r="P1346" s="82" t="s">
        <v>4567</v>
      </c>
      <c r="Q1346" s="82" t="s">
        <v>623</v>
      </c>
      <c r="R1346" s="69"/>
      <c r="S1346" s="146" t="s">
        <v>5091</v>
      </c>
      <c r="T1346" s="68" t="s">
        <v>165</v>
      </c>
      <c r="U1346" s="87">
        <v>0</v>
      </c>
      <c r="V1346" s="80">
        <v>44965</v>
      </c>
      <c r="W1346" s="73">
        <v>7540</v>
      </c>
      <c r="X1346" s="73">
        <v>305.5</v>
      </c>
      <c r="Y1346" s="83">
        <f>IF(SUM(W1346:W1346)&gt;0,X1346/SUM(W1346:W1346)*1000000,"N/A")</f>
        <v>40517.241379310341</v>
      </c>
      <c r="Z1346" s="80"/>
      <c r="AA1346" s="80"/>
      <c r="AB1346" s="73"/>
      <c r="AC1346" s="153"/>
      <c r="AD1346" s="331"/>
      <c r="AE1346" s="57"/>
      <c r="AF1346" s="88" t="s">
        <v>5083</v>
      </c>
      <c r="AG1346" s="182">
        <f>YEAR(D1346)</f>
        <v>2021</v>
      </c>
      <c r="AH1346" s="86" t="str">
        <f>+IF(AE1346=$AJ$22,MONTH(T1346),"")</f>
        <v/>
      </c>
      <c r="AI1346" s="86" t="str">
        <f>+IF(AF1346=$AJ$22,MONTH(U1346),"")</f>
        <v/>
      </c>
      <c r="AJ1346" s="86" t="str">
        <f>+IF(AG1346=$AJ$22,MONTH(V1346),"")</f>
        <v/>
      </c>
      <c r="AK1346" s="86" t="str">
        <f>+IF(AG1346=$AK$22,MONTH(V1346),"")</f>
        <v/>
      </c>
      <c r="AL1346" s="86" t="str">
        <f>+IF(AG1346=$AL$22,MONTH(V1346),"")</f>
        <v/>
      </c>
      <c r="AM1346" s="86">
        <f>+IF($AG1346=$AM$22,MONTH($D1346),"")</f>
        <v>9</v>
      </c>
      <c r="AN1346" s="89" t="str">
        <f>+IF($AG1346=AN$22,MONTH($D1346),"")</f>
        <v/>
      </c>
      <c r="AO1346" s="89" t="str">
        <f>+IF($AG1346=AO$22,MONTH($D1346),"")</f>
        <v/>
      </c>
      <c r="AP1346" s="89" t="str">
        <f>+IF($AG1346=AP$22,MONTH($D1346),"")</f>
        <v/>
      </c>
      <c r="AQ1346" s="89" t="str">
        <f>+IF($AG1346=AQ$22,MONTH($D1346),"")</f>
        <v/>
      </c>
      <c r="AR1346" s="89" t="str">
        <f>+IF($AG1346=AR$22,MONTH($D1346),"")</f>
        <v/>
      </c>
      <c r="AS1346" s="89" t="str">
        <f>+IF($AG1346=AS$22,MONTH($D1346),"")</f>
        <v/>
      </c>
      <c r="AT1346" s="89" t="str">
        <f>+IF($AG1346=AT$22,MONTH($D1346),"")</f>
        <v/>
      </c>
      <c r="AU1346" s="89" t="str">
        <f>+IF($AG1346=AU$22,MONTH($D1346),"")</f>
        <v/>
      </c>
      <c r="AV1346" s="89" t="str">
        <f>+IF($AG1346=AV$22,MONTH($D1346),"")</f>
        <v/>
      </c>
      <c r="AW1346" s="86" t="str">
        <f>+IF($AG1346=AW$22,MONTH($D1346),"")</f>
        <v/>
      </c>
      <c r="AX1346" s="86" t="str">
        <f>+IF($AG1346=AX$22,MONTH($D1346),"")</f>
        <v/>
      </c>
      <c r="AY1346" s="89"/>
      <c r="AZ1346" s="89"/>
      <c r="BA1346" s="89"/>
      <c r="BB1346" s="89"/>
      <c r="BC1346" s="89"/>
      <c r="BD1346" s="89"/>
      <c r="BE1346" s="89"/>
      <c r="BF1346" s="89"/>
      <c r="BG1346" s="89"/>
      <c r="BH1346" s="89"/>
      <c r="BI1346" s="89"/>
      <c r="BJ1346" s="89"/>
      <c r="BK1346" s="89"/>
      <c r="BL1346" s="89"/>
      <c r="BM1346" s="89"/>
      <c r="BN1346" s="89"/>
      <c r="BO1346" s="89"/>
      <c r="BP1346" s="89"/>
    </row>
    <row r="1347" spans="1:68" s="56" customFormat="1" ht="27" hidden="1">
      <c r="A1347" s="204" t="str">
        <f>+IFERROR(VALUE(MID(AB1347,4,4)),"")</f>
        <v/>
      </c>
      <c r="B1347" s="204">
        <f>VALUE(RIGHT(C1347,LEN(C1347)-2))</f>
        <v>1377</v>
      </c>
      <c r="C1347" s="74" t="s">
        <v>5092</v>
      </c>
      <c r="D1347" s="75">
        <v>44455</v>
      </c>
      <c r="E1347" s="70" t="s">
        <v>479</v>
      </c>
      <c r="F1347" s="70" t="s">
        <v>479</v>
      </c>
      <c r="G1347" s="68" t="s">
        <v>5093</v>
      </c>
      <c r="H1347" s="59" t="s">
        <v>4356</v>
      </c>
      <c r="I1347" s="69" t="s">
        <v>5094</v>
      </c>
      <c r="J1347" s="69"/>
      <c r="K1347" s="95" t="s">
        <v>29</v>
      </c>
      <c r="L1347" s="69" t="s">
        <v>123</v>
      </c>
      <c r="M1347" s="71" t="s">
        <v>113</v>
      </c>
      <c r="N1347" s="69" t="e" vm="2">
        <v>#VALUE!</v>
      </c>
      <c r="O1347" s="84">
        <v>44459</v>
      </c>
      <c r="P1347" s="82" t="s">
        <v>483</v>
      </c>
      <c r="Q1347" s="82" t="s">
        <v>1097</v>
      </c>
      <c r="R1347" s="69"/>
      <c r="S1347" s="146" t="s">
        <v>5095</v>
      </c>
      <c r="T1347" s="68" t="s">
        <v>165</v>
      </c>
      <c r="U1347" s="87"/>
      <c r="V1347" s="80">
        <v>44459</v>
      </c>
      <c r="W1347" s="73">
        <v>11329</v>
      </c>
      <c r="X1347" s="73">
        <v>291</v>
      </c>
      <c r="Y1347" s="83">
        <f>IF(SUM(W1347:W1347)&gt;0,X1347/SUM(W1347:W1347)*1000000,"N/A")</f>
        <v>25686.291817459616</v>
      </c>
      <c r="Z1347" s="80"/>
      <c r="AA1347" s="80"/>
      <c r="AB1347" s="73"/>
      <c r="AC1347" s="153"/>
      <c r="AD1347" s="331"/>
      <c r="AE1347" s="57"/>
      <c r="AF1347" s="88"/>
      <c r="AG1347" s="182">
        <f>YEAR(D1347)</f>
        <v>2021</v>
      </c>
      <c r="AH1347" s="86" t="str">
        <f>+IF(AE1347=$AJ$22,MONTH(T1347),"")</f>
        <v/>
      </c>
      <c r="AI1347" s="86" t="str">
        <f>+IF(AF1347=$AJ$22,MONTH(U1347),"")</f>
        <v/>
      </c>
      <c r="AJ1347" s="86" t="str">
        <f>+IF(AG1347=$AJ$22,MONTH(V1347),"")</f>
        <v/>
      </c>
      <c r="AK1347" s="86" t="str">
        <f>+IF(AG1347=$AK$22,MONTH(V1347),"")</f>
        <v/>
      </c>
      <c r="AL1347" s="86" t="str">
        <f>+IF(AG1347=$AL$22,MONTH(V1347),"")</f>
        <v/>
      </c>
      <c r="AM1347" s="86">
        <f>+IF($AG1347=$AM$22,MONTH($D1347),"")</f>
        <v>9</v>
      </c>
      <c r="AN1347" s="89" t="str">
        <f>+IF($AG1347=AN$22,MONTH($D1347),"")</f>
        <v/>
      </c>
      <c r="AO1347" s="89" t="str">
        <f>+IF($AG1347=AO$22,MONTH($D1347),"")</f>
        <v/>
      </c>
      <c r="AP1347" s="89" t="str">
        <f>+IF($AG1347=AP$22,MONTH($D1347),"")</f>
        <v/>
      </c>
      <c r="AQ1347" s="89" t="str">
        <f>+IF($AG1347=AQ$22,MONTH($D1347),"")</f>
        <v/>
      </c>
      <c r="AR1347" s="89" t="str">
        <f>+IF($AG1347=AR$22,MONTH($D1347),"")</f>
        <v/>
      </c>
      <c r="AS1347" s="89" t="str">
        <f>+IF($AG1347=AS$22,MONTH($D1347),"")</f>
        <v/>
      </c>
      <c r="AT1347" s="89" t="str">
        <f>+IF($AG1347=AT$22,MONTH($D1347),"")</f>
        <v/>
      </c>
      <c r="AU1347" s="89" t="str">
        <f>+IF($AG1347=AU$22,MONTH($D1347),"")</f>
        <v/>
      </c>
      <c r="AV1347" s="89" t="str">
        <f>+IF($AG1347=AV$22,MONTH($D1347),"")</f>
        <v/>
      </c>
      <c r="AW1347" s="86" t="str">
        <f>+IF($AG1347=AW$22,MONTH($D1347),"")</f>
        <v/>
      </c>
      <c r="AX1347" s="86" t="str">
        <f>+IF($AG1347=AX$22,MONTH($D1347),"")</f>
        <v/>
      </c>
      <c r="AY1347" s="89"/>
      <c r="AZ1347" s="89"/>
      <c r="BA1347" s="89"/>
      <c r="BB1347" s="89"/>
      <c r="BC1347" s="89"/>
      <c r="BD1347" s="89"/>
      <c r="BE1347" s="89"/>
      <c r="BF1347" s="89"/>
      <c r="BG1347" s="89"/>
      <c r="BH1347" s="89"/>
      <c r="BI1347" s="89"/>
      <c r="BJ1347" s="89"/>
      <c r="BK1347" s="89"/>
      <c r="BL1347" s="89"/>
      <c r="BM1347" s="89"/>
      <c r="BN1347" s="89"/>
      <c r="BO1347" s="89"/>
      <c r="BP1347" s="89"/>
    </row>
    <row r="1348" spans="1:68" s="56" customFormat="1" ht="27" hidden="1">
      <c r="A1348" s="204" t="str">
        <f>+IFERROR(VALUE(MID(AB1348,4,4)),"")</f>
        <v/>
      </c>
      <c r="B1348" s="204">
        <f>VALUE(RIGHT(C1348,LEN(C1348)-2))</f>
        <v>1376</v>
      </c>
      <c r="C1348" s="74" t="s">
        <v>5096</v>
      </c>
      <c r="D1348" s="75">
        <v>44455</v>
      </c>
      <c r="E1348" s="70" t="s">
        <v>479</v>
      </c>
      <c r="F1348" s="70" t="s">
        <v>479</v>
      </c>
      <c r="G1348" s="68" t="s">
        <v>5093</v>
      </c>
      <c r="H1348" s="59" t="s">
        <v>4356</v>
      </c>
      <c r="I1348" s="69" t="s">
        <v>5097</v>
      </c>
      <c r="J1348" s="69"/>
      <c r="K1348" s="95" t="s">
        <v>29</v>
      </c>
      <c r="L1348" s="69" t="s">
        <v>123</v>
      </c>
      <c r="M1348" s="71" t="s">
        <v>113</v>
      </c>
      <c r="N1348" s="69" t="e" vm="2">
        <v>#VALUE!</v>
      </c>
      <c r="O1348" s="84">
        <v>44459</v>
      </c>
      <c r="P1348" s="82" t="s">
        <v>483</v>
      </c>
      <c r="Q1348" s="82" t="s">
        <v>1097</v>
      </c>
      <c r="R1348" s="69"/>
      <c r="S1348" s="146" t="s">
        <v>5095</v>
      </c>
      <c r="T1348" s="68" t="s">
        <v>165</v>
      </c>
      <c r="U1348" s="87"/>
      <c r="V1348" s="80">
        <v>44459</v>
      </c>
      <c r="W1348" s="73">
        <v>11329</v>
      </c>
      <c r="X1348" s="73">
        <v>291</v>
      </c>
      <c r="Y1348" s="83">
        <f>IF(SUM(W1348:W1348)&gt;0,X1348/SUM(W1348:W1348)*1000000,"N/A")</f>
        <v>25686.291817459616</v>
      </c>
      <c r="Z1348" s="80"/>
      <c r="AA1348" s="80"/>
      <c r="AB1348" s="73"/>
      <c r="AC1348" s="153"/>
      <c r="AD1348" s="331"/>
      <c r="AE1348" s="57"/>
      <c r="AF1348" s="88"/>
      <c r="AG1348" s="182">
        <f>YEAR(D1348)</f>
        <v>2021</v>
      </c>
      <c r="AH1348" s="86" t="str">
        <f>+IF(AE1348=$AJ$22,MONTH(T1348),"")</f>
        <v/>
      </c>
      <c r="AI1348" s="86" t="str">
        <f>+IF(AF1348=$AJ$22,MONTH(U1348),"")</f>
        <v/>
      </c>
      <c r="AJ1348" s="86" t="str">
        <f>+IF(AG1348=$AJ$22,MONTH(V1348),"")</f>
        <v/>
      </c>
      <c r="AK1348" s="86" t="str">
        <f>+IF(AG1348=$AK$22,MONTH(V1348),"")</f>
        <v/>
      </c>
      <c r="AL1348" s="86" t="str">
        <f>+IF(AG1348=$AL$22,MONTH(V1348),"")</f>
        <v/>
      </c>
      <c r="AM1348" s="86">
        <f>+IF($AG1348=$AM$22,MONTH($D1348),"")</f>
        <v>9</v>
      </c>
      <c r="AN1348" s="89" t="str">
        <f>+IF($AG1348=AN$22,MONTH($D1348),"")</f>
        <v/>
      </c>
      <c r="AO1348" s="89" t="str">
        <f>+IF($AG1348=AO$22,MONTH($D1348),"")</f>
        <v/>
      </c>
      <c r="AP1348" s="89" t="str">
        <f>+IF($AG1348=AP$22,MONTH($D1348),"")</f>
        <v/>
      </c>
      <c r="AQ1348" s="89" t="str">
        <f>+IF($AG1348=AQ$22,MONTH($D1348),"")</f>
        <v/>
      </c>
      <c r="AR1348" s="89" t="str">
        <f>+IF($AG1348=AR$22,MONTH($D1348),"")</f>
        <v/>
      </c>
      <c r="AS1348" s="89" t="str">
        <f>+IF($AG1348=AS$22,MONTH($D1348),"")</f>
        <v/>
      </c>
      <c r="AT1348" s="89" t="str">
        <f>+IF($AG1348=AT$22,MONTH($D1348),"")</f>
        <v/>
      </c>
      <c r="AU1348" s="89" t="str">
        <f>+IF($AG1348=AU$22,MONTH($D1348),"")</f>
        <v/>
      </c>
      <c r="AV1348" s="89" t="str">
        <f>+IF($AG1348=AV$22,MONTH($D1348),"")</f>
        <v/>
      </c>
      <c r="AW1348" s="86" t="str">
        <f>+IF($AG1348=AW$22,MONTH($D1348),"")</f>
        <v/>
      </c>
      <c r="AX1348" s="86" t="str">
        <f>+IF($AG1348=AX$22,MONTH($D1348),"")</f>
        <v/>
      </c>
      <c r="AY1348" s="89"/>
      <c r="AZ1348" s="89"/>
      <c r="BA1348" s="89"/>
      <c r="BB1348" s="89"/>
      <c r="BC1348" s="89"/>
      <c r="BD1348" s="89"/>
      <c r="BE1348" s="89"/>
      <c r="BF1348" s="89"/>
      <c r="BG1348" s="89"/>
      <c r="BH1348" s="89"/>
      <c r="BI1348" s="89"/>
      <c r="BJ1348" s="89"/>
      <c r="BK1348" s="89"/>
      <c r="BL1348" s="89"/>
      <c r="BM1348" s="89"/>
      <c r="BN1348" s="89"/>
      <c r="BO1348" s="89"/>
      <c r="BP1348" s="89"/>
    </row>
    <row r="1349" spans="1:68" s="56" customFormat="1" ht="121.5" hidden="1">
      <c r="A1349" s="204" t="str">
        <f>+IFERROR(VALUE(MID(AB1349,4,4)),"")</f>
        <v/>
      </c>
      <c r="B1349" s="204">
        <f>VALUE(RIGHT(C1349,LEN(C1349)-2))</f>
        <v>1375</v>
      </c>
      <c r="C1349" s="74" t="s">
        <v>5098</v>
      </c>
      <c r="D1349" s="75">
        <v>44447</v>
      </c>
      <c r="E1349" s="70" t="s">
        <v>53</v>
      </c>
      <c r="F1349" s="70" t="s">
        <v>313</v>
      </c>
      <c r="G1349" s="68" t="s">
        <v>3722</v>
      </c>
      <c r="H1349" s="59" t="s">
        <v>256</v>
      </c>
      <c r="I1349" s="69" t="s">
        <v>5099</v>
      </c>
      <c r="J1349" s="69"/>
      <c r="K1349" s="95" t="s">
        <v>13</v>
      </c>
      <c r="L1349" s="69" t="s">
        <v>123</v>
      </c>
      <c r="M1349" s="71" t="s">
        <v>141</v>
      </c>
      <c r="N1349" s="69" t="e" vm="1">
        <v>#VALUE!</v>
      </c>
      <c r="O1349" s="84">
        <v>44486</v>
      </c>
      <c r="P1349" s="82" t="s">
        <v>228</v>
      </c>
      <c r="Q1349" s="82" t="s">
        <v>229</v>
      </c>
      <c r="R1349" s="69"/>
      <c r="S1349" s="146" t="s">
        <v>5100</v>
      </c>
      <c r="T1349" s="68" t="s">
        <v>165</v>
      </c>
      <c r="U1349" s="87"/>
      <c r="V1349" s="80">
        <v>44519</v>
      </c>
      <c r="W1349" s="73">
        <v>25188</v>
      </c>
      <c r="X1349" s="73">
        <v>780</v>
      </c>
      <c r="Y1349" s="83">
        <f>IF(SUM(W1349:W1349)&gt;0,X1349/SUM(W1349:W1349)*1000000,"N/A")</f>
        <v>30967.127203430206</v>
      </c>
      <c r="Z1349" s="80"/>
      <c r="AA1349" s="80"/>
      <c r="AB1349" s="73"/>
      <c r="AC1349" s="153"/>
      <c r="AD1349" s="331"/>
      <c r="AE1349" s="57"/>
      <c r="AF1349" s="88"/>
      <c r="AG1349" s="182">
        <f>YEAR(D1349)</f>
        <v>2021</v>
      </c>
      <c r="AH1349" s="86" t="str">
        <f>+IF(AE1349=$AJ$22,MONTH(T1349),"")</f>
        <v/>
      </c>
      <c r="AI1349" s="86" t="str">
        <f>+IF(AF1349=$AJ$22,MONTH(U1349),"")</f>
        <v/>
      </c>
      <c r="AJ1349" s="86" t="str">
        <f>+IF(AG1349=$AJ$22,MONTH(V1349),"")</f>
        <v/>
      </c>
      <c r="AK1349" s="86" t="str">
        <f>+IF(AG1349=$AK$22,MONTH(V1349),"")</f>
        <v/>
      </c>
      <c r="AL1349" s="86" t="str">
        <f>+IF(AG1349=$AL$22,MONTH(V1349),"")</f>
        <v/>
      </c>
      <c r="AM1349" s="86">
        <f>+IF($AG1349=$AM$22,MONTH($D1349),"")</f>
        <v>9</v>
      </c>
      <c r="AN1349" s="89" t="str">
        <f>+IF($AG1349=AN$22,MONTH($D1349),"")</f>
        <v/>
      </c>
      <c r="AO1349" s="89" t="str">
        <f>+IF($AG1349=AO$22,MONTH($D1349),"")</f>
        <v/>
      </c>
      <c r="AP1349" s="89" t="str">
        <f>+IF($AG1349=AP$22,MONTH($D1349),"")</f>
        <v/>
      </c>
      <c r="AQ1349" s="89" t="str">
        <f>+IF($AG1349=AQ$22,MONTH($D1349),"")</f>
        <v/>
      </c>
      <c r="AR1349" s="89" t="str">
        <f>+IF($AG1349=AR$22,MONTH($D1349),"")</f>
        <v/>
      </c>
      <c r="AS1349" s="89" t="str">
        <f>+IF($AG1349=AS$22,MONTH($D1349),"")</f>
        <v/>
      </c>
      <c r="AT1349" s="89" t="str">
        <f>+IF($AG1349=AT$22,MONTH($D1349),"")</f>
        <v/>
      </c>
      <c r="AU1349" s="89" t="str">
        <f>+IF($AG1349=AU$22,MONTH($D1349),"")</f>
        <v/>
      </c>
      <c r="AV1349" s="89" t="str">
        <f>+IF($AG1349=AV$22,MONTH($D1349),"")</f>
        <v/>
      </c>
      <c r="AW1349" s="86" t="str">
        <f>+IF($AG1349=AW$22,MONTH($D1349),"")</f>
        <v/>
      </c>
      <c r="AX1349" s="86" t="str">
        <f>+IF($AG1349=AX$22,MONTH($D1349),"")</f>
        <v/>
      </c>
      <c r="AY1349" s="89"/>
      <c r="AZ1349" s="89"/>
      <c r="BA1349" s="89"/>
      <c r="BB1349" s="89"/>
      <c r="BC1349" s="89"/>
      <c r="BD1349" s="89"/>
      <c r="BE1349" s="89"/>
      <c r="BF1349" s="89"/>
      <c r="BG1349" s="89"/>
      <c r="BH1349" s="89"/>
      <c r="BI1349" s="89"/>
      <c r="BJ1349" s="89"/>
      <c r="BK1349" s="89"/>
      <c r="BL1349" s="89"/>
      <c r="BM1349" s="89"/>
      <c r="BN1349" s="89"/>
      <c r="BO1349" s="89"/>
      <c r="BP1349" s="89"/>
    </row>
    <row r="1350" spans="1:68" s="56" customFormat="1" ht="13.5" hidden="1">
      <c r="A1350" s="204" t="str">
        <f>+IFERROR(VALUE(MID(AB1350,4,4)),"")</f>
        <v/>
      </c>
      <c r="B1350" s="204">
        <f>VALUE(RIGHT(C1350,LEN(C1350)-2))</f>
        <v>1374</v>
      </c>
      <c r="C1350" s="74" t="s">
        <v>5101</v>
      </c>
      <c r="D1350" s="75">
        <v>44446</v>
      </c>
      <c r="E1350" s="70" t="s">
        <v>53</v>
      </c>
      <c r="F1350" s="70" t="s">
        <v>1279</v>
      </c>
      <c r="G1350" s="68" t="s">
        <v>4916</v>
      </c>
      <c r="H1350" s="59" t="s">
        <v>256</v>
      </c>
      <c r="I1350" s="69" t="s">
        <v>5102</v>
      </c>
      <c r="J1350" s="69"/>
      <c r="K1350" s="68" t="s">
        <v>212</v>
      </c>
      <c r="L1350" s="69" t="s">
        <v>123</v>
      </c>
      <c r="M1350" s="71" t="s">
        <v>141</v>
      </c>
      <c r="N1350" s="69" t="e" vm="1">
        <v>#VALUE!</v>
      </c>
      <c r="O1350" s="84">
        <v>44483</v>
      </c>
      <c r="P1350" s="82" t="s">
        <v>213</v>
      </c>
      <c r="Q1350" s="82" t="s">
        <v>652</v>
      </c>
      <c r="R1350" s="69"/>
      <c r="S1350" s="146"/>
      <c r="T1350" s="68" t="s">
        <v>155</v>
      </c>
      <c r="U1350" s="87"/>
      <c r="V1350" s="80">
        <v>44446</v>
      </c>
      <c r="W1350" s="73"/>
      <c r="X1350" s="73"/>
      <c r="Y1350" s="83" t="str">
        <f>IF(SUM(W1350:W1350)&gt;0,X1350/SUM(W1350:W1350)*1000000,"N/A")</f>
        <v>N/A</v>
      </c>
      <c r="Z1350" s="80"/>
      <c r="AA1350" s="80"/>
      <c r="AB1350" s="73"/>
      <c r="AC1350" s="153"/>
      <c r="AD1350" s="331"/>
      <c r="AE1350" s="57"/>
      <c r="AF1350" s="88"/>
      <c r="AG1350" s="182">
        <f>YEAR(D1350)</f>
        <v>2021</v>
      </c>
      <c r="AH1350" s="86" t="str">
        <f>+IF(AE1350=$AJ$22,MONTH(T1350),"")</f>
        <v/>
      </c>
      <c r="AI1350" s="86" t="str">
        <f>+IF(AF1350=$AJ$22,MONTH(U1350),"")</f>
        <v/>
      </c>
      <c r="AJ1350" s="86" t="str">
        <f>+IF(AG1350=$AJ$22,MONTH(V1350),"")</f>
        <v/>
      </c>
      <c r="AK1350" s="86" t="str">
        <f>+IF(AG1350=$AK$22,MONTH(V1350),"")</f>
        <v/>
      </c>
      <c r="AL1350" s="86" t="str">
        <f>+IF(AG1350=$AL$22,MONTH(V1350),"")</f>
        <v/>
      </c>
      <c r="AM1350" s="86">
        <f>+IF($AG1350=$AM$22,MONTH($D1350),"")</f>
        <v>9</v>
      </c>
      <c r="AN1350" s="89" t="str">
        <f>+IF($AG1350=AN$22,MONTH($D1350),"")</f>
        <v/>
      </c>
      <c r="AO1350" s="89" t="str">
        <f>+IF($AG1350=AO$22,MONTH($D1350),"")</f>
        <v/>
      </c>
      <c r="AP1350" s="89" t="str">
        <f>+IF($AG1350=AP$22,MONTH($D1350),"")</f>
        <v/>
      </c>
      <c r="AQ1350" s="89" t="str">
        <f>+IF($AG1350=AQ$22,MONTH($D1350),"")</f>
        <v/>
      </c>
      <c r="AR1350" s="89" t="str">
        <f>+IF($AG1350=AR$22,MONTH($D1350),"")</f>
        <v/>
      </c>
      <c r="AS1350" s="89" t="str">
        <f>+IF($AG1350=AS$22,MONTH($D1350),"")</f>
        <v/>
      </c>
      <c r="AT1350" s="89" t="str">
        <f>+IF($AG1350=AT$22,MONTH($D1350),"")</f>
        <v/>
      </c>
      <c r="AU1350" s="89" t="str">
        <f>+IF($AG1350=AU$22,MONTH($D1350),"")</f>
        <v/>
      </c>
      <c r="AV1350" s="89" t="str">
        <f>+IF($AG1350=AV$22,MONTH($D1350),"")</f>
        <v/>
      </c>
      <c r="AW1350" s="86" t="str">
        <f>+IF($AG1350=AW$22,MONTH($D1350),"")</f>
        <v/>
      </c>
      <c r="AX1350" s="86" t="str">
        <f>+IF($AG1350=AX$22,MONTH($D1350),"")</f>
        <v/>
      </c>
      <c r="AY1350" s="89"/>
      <c r="AZ1350" s="89"/>
      <c r="BA1350" s="89"/>
      <c r="BB1350" s="89"/>
      <c r="BC1350" s="89"/>
      <c r="BD1350" s="89"/>
      <c r="BE1350" s="89"/>
      <c r="BF1350" s="89"/>
      <c r="BG1350" s="89"/>
      <c r="BH1350" s="89"/>
      <c r="BI1350" s="89"/>
      <c r="BJ1350" s="89"/>
      <c r="BK1350" s="89"/>
      <c r="BL1350" s="89"/>
      <c r="BM1350" s="89"/>
      <c r="BN1350" s="89"/>
      <c r="BO1350" s="89"/>
      <c r="BP1350" s="89"/>
    </row>
    <row r="1351" spans="1:68" s="56" customFormat="1" ht="27" hidden="1">
      <c r="A1351" s="204" t="str">
        <f>+IFERROR(VALUE(MID(AB1351,4,4)),"")</f>
        <v/>
      </c>
      <c r="B1351" s="204">
        <f>VALUE(RIGHT(C1351,LEN(C1351)-2))</f>
        <v>1373</v>
      </c>
      <c r="C1351" s="74" t="s">
        <v>5103</v>
      </c>
      <c r="D1351" s="75">
        <v>44446</v>
      </c>
      <c r="E1351" s="70" t="s">
        <v>5104</v>
      </c>
      <c r="F1351" s="70" t="s">
        <v>930</v>
      </c>
      <c r="G1351" s="68" t="s">
        <v>5105</v>
      </c>
      <c r="H1351" s="59" t="s">
        <v>5106</v>
      </c>
      <c r="I1351" s="69" t="s">
        <v>5107</v>
      </c>
      <c r="J1351" s="69"/>
      <c r="K1351" s="95" t="s">
        <v>401</v>
      </c>
      <c r="L1351" s="69" t="s">
        <v>120</v>
      </c>
      <c r="M1351" s="71" t="s">
        <v>141</v>
      </c>
      <c r="N1351" s="69" t="e" vm="1">
        <v>#VALUE!</v>
      </c>
      <c r="O1351" s="84" t="s">
        <v>213</v>
      </c>
      <c r="P1351" s="82" t="s">
        <v>213</v>
      </c>
      <c r="Q1351" s="82" t="s">
        <v>1097</v>
      </c>
      <c r="R1351" s="69"/>
      <c r="S1351" s="146"/>
      <c r="T1351" s="68" t="s">
        <v>155</v>
      </c>
      <c r="U1351" s="87"/>
      <c r="V1351" s="80">
        <v>44446</v>
      </c>
      <c r="W1351" s="73"/>
      <c r="X1351" s="73"/>
      <c r="Y1351" s="83" t="str">
        <f>IF(SUM(W1351:W1351)&gt;0,X1351/SUM(W1351:W1351)*1000000,"N/A")</f>
        <v>N/A</v>
      </c>
      <c r="Z1351" s="80"/>
      <c r="AA1351" s="80"/>
      <c r="AB1351" s="73"/>
      <c r="AC1351" s="153"/>
      <c r="AD1351" s="331"/>
      <c r="AE1351" s="57"/>
      <c r="AF1351" s="88"/>
      <c r="AG1351" s="182">
        <f>YEAR(D1351)</f>
        <v>2021</v>
      </c>
      <c r="AH1351" s="86" t="str">
        <f>+IF(AE1351=$AJ$22,MONTH(T1351),"")</f>
        <v/>
      </c>
      <c r="AI1351" s="86" t="str">
        <f>+IF(AF1351=$AJ$22,MONTH(U1351),"")</f>
        <v/>
      </c>
      <c r="AJ1351" s="86" t="str">
        <f>+IF(AG1351=$AJ$22,MONTH(V1351),"")</f>
        <v/>
      </c>
      <c r="AK1351" s="86" t="str">
        <f>+IF(AG1351=$AK$22,MONTH(V1351),"")</f>
        <v/>
      </c>
      <c r="AL1351" s="86" t="str">
        <f>+IF(AG1351=$AL$22,MONTH(V1351),"")</f>
        <v/>
      </c>
      <c r="AM1351" s="86">
        <f>+IF($AG1351=$AM$22,MONTH($D1351),"")</f>
        <v>9</v>
      </c>
      <c r="AN1351" s="89" t="str">
        <f>+IF($AG1351=AN$22,MONTH($D1351),"")</f>
        <v/>
      </c>
      <c r="AO1351" s="89" t="str">
        <f>+IF($AG1351=AO$22,MONTH($D1351),"")</f>
        <v/>
      </c>
      <c r="AP1351" s="89" t="str">
        <f>+IF($AG1351=AP$22,MONTH($D1351),"")</f>
        <v/>
      </c>
      <c r="AQ1351" s="89" t="str">
        <f>+IF($AG1351=AQ$22,MONTH($D1351),"")</f>
        <v/>
      </c>
      <c r="AR1351" s="89" t="str">
        <f>+IF($AG1351=AR$22,MONTH($D1351),"")</f>
        <v/>
      </c>
      <c r="AS1351" s="89" t="str">
        <f>+IF($AG1351=AS$22,MONTH($D1351),"")</f>
        <v/>
      </c>
      <c r="AT1351" s="89" t="str">
        <f>+IF($AG1351=AT$22,MONTH($D1351),"")</f>
        <v/>
      </c>
      <c r="AU1351" s="89" t="str">
        <f>+IF($AG1351=AU$22,MONTH($D1351),"")</f>
        <v/>
      </c>
      <c r="AV1351" s="89" t="str">
        <f>+IF($AG1351=AV$22,MONTH($D1351),"")</f>
        <v/>
      </c>
      <c r="AW1351" s="86" t="str">
        <f>+IF($AG1351=AW$22,MONTH($D1351),"")</f>
        <v/>
      </c>
      <c r="AX1351" s="86" t="str">
        <f>+IF($AG1351=AX$22,MONTH($D1351),"")</f>
        <v/>
      </c>
      <c r="AY1351" s="89"/>
      <c r="AZ1351" s="89"/>
      <c r="BA1351" s="89"/>
      <c r="BB1351" s="89"/>
      <c r="BC1351" s="89"/>
      <c r="BD1351" s="89"/>
      <c r="BE1351" s="89"/>
      <c r="BF1351" s="89"/>
      <c r="BG1351" s="89"/>
      <c r="BH1351" s="89"/>
      <c r="BI1351" s="89"/>
      <c r="BJ1351" s="89"/>
      <c r="BK1351" s="89"/>
      <c r="BL1351" s="89"/>
      <c r="BM1351" s="89"/>
      <c r="BN1351" s="89"/>
      <c r="BO1351" s="89"/>
      <c r="BP1351" s="89"/>
    </row>
    <row r="1352" spans="1:68" s="56" customFormat="1" ht="27" hidden="1">
      <c r="A1352" s="204" t="str">
        <f>+IFERROR(VALUE(MID(AB1352,4,4)),"")</f>
        <v/>
      </c>
      <c r="B1352" s="204">
        <f>VALUE(RIGHT(C1352,LEN(C1352)-2))</f>
        <v>1372</v>
      </c>
      <c r="C1352" s="74" t="s">
        <v>5108</v>
      </c>
      <c r="D1352" s="75">
        <v>44445</v>
      </c>
      <c r="E1352" s="70" t="s">
        <v>848</v>
      </c>
      <c r="F1352" s="70" t="s">
        <v>848</v>
      </c>
      <c r="G1352" s="68" t="s">
        <v>5109</v>
      </c>
      <c r="H1352" s="59" t="s">
        <v>5110</v>
      </c>
      <c r="I1352" s="69" t="s">
        <v>5111</v>
      </c>
      <c r="J1352" s="69"/>
      <c r="K1352" s="95" t="s">
        <v>42</v>
      </c>
      <c r="L1352" s="69" t="s">
        <v>123</v>
      </c>
      <c r="M1352" s="71" t="s">
        <v>141</v>
      </c>
      <c r="N1352" s="69" t="e" vm="1">
        <v>#VALUE!</v>
      </c>
      <c r="O1352" s="84">
        <v>44814</v>
      </c>
      <c r="P1352" s="82" t="s">
        <v>228</v>
      </c>
      <c r="Q1352" s="82" t="s">
        <v>405</v>
      </c>
      <c r="R1352" s="69"/>
      <c r="S1352" s="146" t="s">
        <v>5112</v>
      </c>
      <c r="T1352" s="68" t="s">
        <v>3</v>
      </c>
      <c r="U1352" s="87"/>
      <c r="V1352" s="80">
        <v>44691</v>
      </c>
      <c r="W1352" s="73" t="str">
        <f>+IF(K1352="PRE","N/A","")</f>
        <v/>
      </c>
      <c r="X1352" s="214"/>
      <c r="Y1352" s="83" t="str">
        <f>IF(SUM(W1352:W1352)&gt;0,X1352/SUM(W1352:W1352)*1000000,"N/A")</f>
        <v>N/A</v>
      </c>
      <c r="Z1352" s="80"/>
      <c r="AA1352" s="80"/>
      <c r="AB1352" s="73" t="s">
        <v>134</v>
      </c>
      <c r="AC1352" s="153"/>
      <c r="AD1352" s="331"/>
      <c r="AE1352" s="57"/>
      <c r="AF1352" s="88"/>
      <c r="AG1352" s="182">
        <f>YEAR(V1352)</f>
        <v>2022</v>
      </c>
      <c r="AH1352" s="86" t="str">
        <f>+IF(AE1352=$AJ$22,MONTH(T1352),"")</f>
        <v/>
      </c>
      <c r="AI1352" s="86" t="str">
        <f>+IF(AF1352=$AJ$22,MONTH(U1352),"")</f>
        <v/>
      </c>
      <c r="AJ1352" s="86" t="str">
        <f>+IF(AG1352=$AJ$22,MONTH(V1352),"")</f>
        <v/>
      </c>
      <c r="AK1352" s="86" t="str">
        <f>+IF(AG1352=$AK$22,MONTH(V1352),"")</f>
        <v/>
      </c>
      <c r="AL1352" s="86">
        <f>+IF(AG1352=$AL$22,MONTH(V1352),"")</f>
        <v>5</v>
      </c>
      <c r="AM1352" s="86" t="str">
        <f>+IF($AG1352=$AM$22,MONTH($V1352),"")</f>
        <v/>
      </c>
      <c r="AN1352" s="89" t="str">
        <f>+IF($AG1352=AN$22,MONTH($D1352),"")</f>
        <v/>
      </c>
      <c r="AO1352" s="89" t="str">
        <f>+IF($AG1352=AO$22,MONTH($D1352),"")</f>
        <v/>
      </c>
      <c r="AP1352" s="89" t="str">
        <f>+IF($AG1352=AP$22,MONTH($D1352),"")</f>
        <v/>
      </c>
      <c r="AQ1352" s="89" t="str">
        <f>+IF($AG1352=AQ$22,MONTH($D1352),"")</f>
        <v/>
      </c>
      <c r="AR1352" s="89" t="str">
        <f>+IF($AG1352=AR$22,MONTH($D1352),"")</f>
        <v/>
      </c>
      <c r="AS1352" s="89" t="str">
        <f>+IF($AG1352=AS$22,MONTH($D1352),"")</f>
        <v/>
      </c>
      <c r="AT1352" s="89" t="str">
        <f>+IF($AG1352=AT$22,MONTH($D1352),"")</f>
        <v/>
      </c>
      <c r="AU1352" s="89" t="str">
        <f>+IF($AG1352=AU$22,MONTH($D1352),"")</f>
        <v/>
      </c>
      <c r="AV1352" s="89" t="str">
        <f>+IF($AG1352=AV$22,MONTH($D1352),"")</f>
        <v/>
      </c>
      <c r="AW1352" s="86" t="str">
        <f>+IF($AG1352=AW$22,MONTH($D1352),"")</f>
        <v/>
      </c>
      <c r="AX1352" s="86" t="str">
        <f>+IF($AG1352=AX$22,MONTH($D1352),"")</f>
        <v/>
      </c>
      <c r="AY1352" s="89"/>
      <c r="AZ1352" s="89"/>
      <c r="BA1352" s="89"/>
      <c r="BB1352" s="89"/>
      <c r="BC1352" s="89"/>
      <c r="BD1352" s="89"/>
      <c r="BE1352" s="89"/>
      <c r="BF1352" s="89"/>
      <c r="BG1352" s="89"/>
      <c r="BH1352" s="89"/>
      <c r="BI1352" s="89"/>
      <c r="BJ1352" s="89"/>
      <c r="BK1352" s="89"/>
      <c r="BL1352" s="89"/>
      <c r="BM1352" s="89"/>
      <c r="BN1352" s="89"/>
      <c r="BO1352" s="89"/>
      <c r="BP1352" s="89"/>
    </row>
    <row r="1353" spans="1:68" s="56" customFormat="1" ht="13.5" hidden="1">
      <c r="A1353" s="204" t="str">
        <f>+IFERROR(VALUE(MID(AB1353,4,4)),"")</f>
        <v/>
      </c>
      <c r="B1353" s="204">
        <f>VALUE(RIGHT(C1353,LEN(C1353)-2))</f>
        <v>1371</v>
      </c>
      <c r="C1353" s="74" t="s">
        <v>5113</v>
      </c>
      <c r="D1353" s="75">
        <v>44445</v>
      </c>
      <c r="E1353" s="70" t="s">
        <v>3685</v>
      </c>
      <c r="F1353" s="70" t="s">
        <v>3686</v>
      </c>
      <c r="G1353" s="68" t="s">
        <v>3687</v>
      </c>
      <c r="H1353" s="59" t="s">
        <v>3688</v>
      </c>
      <c r="I1353" s="69" t="s">
        <v>3689</v>
      </c>
      <c r="J1353" s="69"/>
      <c r="K1353" s="95" t="s">
        <v>13</v>
      </c>
      <c r="L1353" s="69" t="s">
        <v>123</v>
      </c>
      <c r="M1353" s="71" t="s">
        <v>141</v>
      </c>
      <c r="N1353" s="69" t="e" vm="1">
        <v>#VALUE!</v>
      </c>
      <c r="O1353" s="84">
        <v>44448</v>
      </c>
      <c r="P1353" s="82" t="s">
        <v>4567</v>
      </c>
      <c r="Q1353" s="82" t="s">
        <v>229</v>
      </c>
      <c r="R1353" s="69"/>
      <c r="S1353" s="146" t="s">
        <v>5114</v>
      </c>
      <c r="T1353" s="68" t="s">
        <v>168</v>
      </c>
      <c r="U1353" s="87">
        <v>0</v>
      </c>
      <c r="V1353" s="80">
        <v>44965</v>
      </c>
      <c r="W1353" s="73">
        <v>8612</v>
      </c>
      <c r="X1353" s="73">
        <f>9752*30040/1000000</f>
        <v>292.95008000000001</v>
      </c>
      <c r="Y1353" s="83">
        <f>IF(SUM(W1353:W1353)&gt;0,X1353/SUM(W1353:W1353)*1000000,"N/A")</f>
        <v>34016.497909893173</v>
      </c>
      <c r="Z1353" s="80"/>
      <c r="AA1353" s="80"/>
      <c r="AB1353" s="73"/>
      <c r="AC1353" s="153"/>
      <c r="AD1353" s="331"/>
      <c r="AE1353" s="57"/>
      <c r="AF1353" s="88"/>
      <c r="AG1353" s="182">
        <f>YEAR(D1353)</f>
        <v>2021</v>
      </c>
      <c r="AH1353" s="86" t="str">
        <f>+IF(AE1353=$AJ$22,MONTH(T1353),"")</f>
        <v/>
      </c>
      <c r="AI1353" s="86" t="str">
        <f>+IF(AF1353=$AJ$22,MONTH(U1353),"")</f>
        <v/>
      </c>
      <c r="AJ1353" s="86" t="str">
        <f>+IF(AG1353=$AJ$22,MONTH(V1353),"")</f>
        <v/>
      </c>
      <c r="AK1353" s="86" t="str">
        <f>+IF(AG1353=$AK$22,MONTH(V1353),"")</f>
        <v/>
      </c>
      <c r="AL1353" s="86" t="str">
        <f>+IF(AG1353=$AL$22,MONTH(V1353),"")</f>
        <v/>
      </c>
      <c r="AM1353" s="86">
        <f>+IF($AG1353=$AM$22,MONTH($D1353),"")</f>
        <v>9</v>
      </c>
      <c r="AN1353" s="89" t="str">
        <f>+IF($AG1353=AN$22,MONTH($D1353),"")</f>
        <v/>
      </c>
      <c r="AO1353" s="89" t="str">
        <f>+IF($AG1353=AO$22,MONTH($D1353),"")</f>
        <v/>
      </c>
      <c r="AP1353" s="89" t="str">
        <f>+IF($AG1353=AP$22,MONTH($D1353),"")</f>
        <v/>
      </c>
      <c r="AQ1353" s="89" t="str">
        <f>+IF($AG1353=AQ$22,MONTH($D1353),"")</f>
        <v/>
      </c>
      <c r="AR1353" s="89" t="str">
        <f>+IF($AG1353=AR$22,MONTH($D1353),"")</f>
        <v/>
      </c>
      <c r="AS1353" s="89" t="str">
        <f>+IF($AG1353=AS$22,MONTH($D1353),"")</f>
        <v/>
      </c>
      <c r="AT1353" s="89" t="str">
        <f>+IF($AG1353=AT$22,MONTH($D1353),"")</f>
        <v/>
      </c>
      <c r="AU1353" s="89" t="str">
        <f>+IF($AG1353=AU$22,MONTH($D1353),"")</f>
        <v/>
      </c>
      <c r="AV1353" s="89" t="str">
        <f>+IF($AG1353=AV$22,MONTH($D1353),"")</f>
        <v/>
      </c>
      <c r="AW1353" s="86" t="str">
        <f>+IF($AG1353=AW$22,MONTH($D1353),"")</f>
        <v/>
      </c>
      <c r="AX1353" s="86" t="str">
        <f>+IF($AG1353=AX$22,MONTH($D1353),"")</f>
        <v/>
      </c>
      <c r="AY1353" s="89"/>
      <c r="AZ1353" s="89"/>
      <c r="BA1353" s="89"/>
      <c r="BB1353" s="89"/>
      <c r="BC1353" s="89"/>
      <c r="BD1353" s="89"/>
      <c r="BE1353" s="89"/>
      <c r="BF1353" s="89"/>
      <c r="BG1353" s="89"/>
      <c r="BH1353" s="89"/>
      <c r="BI1353" s="89"/>
      <c r="BJ1353" s="89"/>
      <c r="BK1353" s="89"/>
      <c r="BL1353" s="89"/>
      <c r="BM1353" s="89"/>
      <c r="BN1353" s="89"/>
      <c r="BO1353" s="89"/>
      <c r="BP1353" s="89"/>
    </row>
    <row r="1354" spans="1:68" s="56" customFormat="1" ht="40.5" hidden="1">
      <c r="A1354" s="204" t="str">
        <f>+IFERROR(VALUE(MID(AB1354,4,4)),"")</f>
        <v/>
      </c>
      <c r="B1354" s="204">
        <f>VALUE(RIGHT(C1354,LEN(C1354)-2))</f>
        <v>1370</v>
      </c>
      <c r="C1354" s="74" t="s">
        <v>5115</v>
      </c>
      <c r="D1354" s="75">
        <v>44441</v>
      </c>
      <c r="E1354" s="70" t="s">
        <v>53</v>
      </c>
      <c r="F1354" s="70" t="s">
        <v>1379</v>
      </c>
      <c r="G1354" s="68"/>
      <c r="H1354" s="59"/>
      <c r="I1354" s="69" t="s">
        <v>5116</v>
      </c>
      <c r="J1354" s="69"/>
      <c r="K1354" s="95" t="s">
        <v>9</v>
      </c>
      <c r="L1354" s="69" t="s">
        <v>123</v>
      </c>
      <c r="M1354" s="71" t="s">
        <v>141</v>
      </c>
      <c r="N1354" s="69" t="e" vm="1">
        <v>#VALUE!</v>
      </c>
      <c r="O1354" s="84">
        <v>44469</v>
      </c>
      <c r="P1354" s="82" t="s">
        <v>4567</v>
      </c>
      <c r="Q1354" s="82" t="s">
        <v>405</v>
      </c>
      <c r="R1354" s="69"/>
      <c r="S1354" s="146" t="s">
        <v>5117</v>
      </c>
      <c r="T1354" s="68" t="s">
        <v>155</v>
      </c>
      <c r="U1354" s="87"/>
      <c r="V1354" s="80">
        <v>44441</v>
      </c>
      <c r="W1354" s="73"/>
      <c r="X1354" s="73"/>
      <c r="Y1354" s="83" t="str">
        <f>IF(SUM(W1354:W1354)&gt;0,X1354/SUM(W1354:W1354)*1000000,"N/A")</f>
        <v>N/A</v>
      </c>
      <c r="Z1354" s="80"/>
      <c r="AA1354" s="80"/>
      <c r="AB1354" s="73"/>
      <c r="AC1354" s="153"/>
      <c r="AD1354" s="331"/>
      <c r="AE1354" s="57"/>
      <c r="AF1354" s="88"/>
      <c r="AG1354" s="182">
        <f>YEAR(D1354)</f>
        <v>2021</v>
      </c>
      <c r="AH1354" s="86" t="str">
        <f>+IF(AE1354=$AJ$22,MONTH(T1354),"")</f>
        <v/>
      </c>
      <c r="AI1354" s="86" t="str">
        <f>+IF(AF1354=$AJ$22,MONTH(U1354),"")</f>
        <v/>
      </c>
      <c r="AJ1354" s="86" t="str">
        <f>+IF(AG1354=$AJ$22,MONTH(V1354),"")</f>
        <v/>
      </c>
      <c r="AK1354" s="86" t="str">
        <f>+IF(AG1354=$AK$22,MONTH(V1354),"")</f>
        <v/>
      </c>
      <c r="AL1354" s="86" t="str">
        <f>+IF(AG1354=$AL$22,MONTH(V1354),"")</f>
        <v/>
      </c>
      <c r="AM1354" s="86">
        <f>+IF($AG1354=$AM$22,MONTH($D1354),"")</f>
        <v>9</v>
      </c>
      <c r="AN1354" s="89" t="str">
        <f>+IF($AG1354=AN$22,MONTH($D1354),"")</f>
        <v/>
      </c>
      <c r="AO1354" s="89" t="str">
        <f>+IF($AG1354=AO$22,MONTH($D1354),"")</f>
        <v/>
      </c>
      <c r="AP1354" s="89" t="str">
        <f>+IF($AG1354=AP$22,MONTH($D1354),"")</f>
        <v/>
      </c>
      <c r="AQ1354" s="89" t="str">
        <f>+IF($AG1354=AQ$22,MONTH($D1354),"")</f>
        <v/>
      </c>
      <c r="AR1354" s="89" t="str">
        <f>+IF($AG1354=AR$22,MONTH($D1354),"")</f>
        <v/>
      </c>
      <c r="AS1354" s="89" t="str">
        <f>+IF($AG1354=AS$22,MONTH($D1354),"")</f>
        <v/>
      </c>
      <c r="AT1354" s="89" t="str">
        <f>+IF($AG1354=AT$22,MONTH($D1354),"")</f>
        <v/>
      </c>
      <c r="AU1354" s="89" t="str">
        <f>+IF($AG1354=AU$22,MONTH($D1354),"")</f>
        <v/>
      </c>
      <c r="AV1354" s="89" t="str">
        <f>+IF($AG1354=AV$22,MONTH($D1354),"")</f>
        <v/>
      </c>
      <c r="AW1354" s="86" t="str">
        <f>+IF($AG1354=AW$22,MONTH($D1354),"")</f>
        <v/>
      </c>
      <c r="AX1354" s="86" t="str">
        <f>+IF($AG1354=AX$22,MONTH($D1354),"")</f>
        <v/>
      </c>
      <c r="AY1354" s="89"/>
      <c r="AZ1354" s="89"/>
      <c r="BA1354" s="89"/>
      <c r="BB1354" s="89"/>
      <c r="BC1354" s="89"/>
      <c r="BD1354" s="89"/>
      <c r="BE1354" s="89"/>
      <c r="BF1354" s="89"/>
      <c r="BG1354" s="89"/>
      <c r="BH1354" s="89"/>
      <c r="BI1354" s="89"/>
      <c r="BJ1354" s="89"/>
      <c r="BK1354" s="89"/>
      <c r="BL1354" s="89"/>
      <c r="BM1354" s="89"/>
      <c r="BN1354" s="89"/>
      <c r="BO1354" s="89"/>
      <c r="BP1354" s="89"/>
    </row>
    <row r="1355" spans="1:68" s="56" customFormat="1" ht="53.25" hidden="1">
      <c r="A1355" s="204" t="str">
        <f>+IFERROR(VALUE(MID(AB1355,4,4)),"")</f>
        <v/>
      </c>
      <c r="B1355" s="204">
        <f>VALUE(RIGHT(C1355,LEN(C1355)-2))</f>
        <v>1369</v>
      </c>
      <c r="C1355" s="74" t="s">
        <v>5118</v>
      </c>
      <c r="D1355" s="75">
        <v>44441</v>
      </c>
      <c r="E1355" s="70" t="s">
        <v>4827</v>
      </c>
      <c r="F1355" s="70" t="s">
        <v>4827</v>
      </c>
      <c r="G1355" s="68" t="s">
        <v>5119</v>
      </c>
      <c r="H1355" s="59" t="s">
        <v>5120</v>
      </c>
      <c r="I1355" s="69" t="s">
        <v>5121</v>
      </c>
      <c r="J1355" s="69"/>
      <c r="K1355" s="95" t="s">
        <v>13</v>
      </c>
      <c r="L1355" s="69" t="s">
        <v>120</v>
      </c>
      <c r="M1355" s="71" t="s">
        <v>141</v>
      </c>
      <c r="N1355" s="69" t="e" vm="1">
        <v>#VALUE!</v>
      </c>
      <c r="O1355" s="84">
        <v>44441</v>
      </c>
      <c r="P1355" s="82" t="s">
        <v>4567</v>
      </c>
      <c r="Q1355" s="82" t="s">
        <v>623</v>
      </c>
      <c r="R1355" s="69"/>
      <c r="S1355" s="146" t="s">
        <v>5122</v>
      </c>
      <c r="T1355" s="68" t="s">
        <v>165</v>
      </c>
      <c r="U1355" s="87">
        <v>0.05</v>
      </c>
      <c r="V1355" s="80">
        <v>44452</v>
      </c>
      <c r="W1355" s="73">
        <v>40000</v>
      </c>
      <c r="X1355" s="73">
        <v>1200</v>
      </c>
      <c r="Y1355" s="83">
        <f>IF(SUM(W1355:W1355)&gt;0,X1355/SUM(W1355:W1355)*1000000,"N/A")</f>
        <v>30000</v>
      </c>
      <c r="Z1355" s="80"/>
      <c r="AA1355" s="80"/>
      <c r="AB1355" s="73"/>
      <c r="AC1355" s="153"/>
      <c r="AD1355" s="331"/>
      <c r="AE1355" s="57"/>
      <c r="AF1355" s="88"/>
      <c r="AG1355" s="182">
        <f>YEAR(D1355)</f>
        <v>2021</v>
      </c>
      <c r="AH1355" s="86" t="str">
        <f>+IF(AE1355=$AJ$22,MONTH(T1355),"")</f>
        <v/>
      </c>
      <c r="AI1355" s="86" t="str">
        <f>+IF(AF1355=$AJ$22,MONTH(U1355),"")</f>
        <v/>
      </c>
      <c r="AJ1355" s="86" t="str">
        <f>+IF(AG1355=$AJ$22,MONTH(V1355),"")</f>
        <v/>
      </c>
      <c r="AK1355" s="86" t="str">
        <f>+IF(AG1355=$AK$22,MONTH(V1355),"")</f>
        <v/>
      </c>
      <c r="AL1355" s="86" t="str">
        <f>+IF(AG1355=$AL$22,MONTH(V1355),"")</f>
        <v/>
      </c>
      <c r="AM1355" s="86">
        <f>+IF($AG1355=$AM$22,MONTH($D1355),"")</f>
        <v>9</v>
      </c>
      <c r="AN1355" s="89" t="str">
        <f>+IF($AG1355=AN$22,MONTH($D1355),"")</f>
        <v/>
      </c>
      <c r="AO1355" s="89" t="str">
        <f>+IF($AG1355=AO$22,MONTH($D1355),"")</f>
        <v/>
      </c>
      <c r="AP1355" s="89" t="str">
        <f>+IF($AG1355=AP$22,MONTH($D1355),"")</f>
        <v/>
      </c>
      <c r="AQ1355" s="89" t="str">
        <f>+IF($AG1355=AQ$22,MONTH($D1355),"")</f>
        <v/>
      </c>
      <c r="AR1355" s="89" t="str">
        <f>+IF($AG1355=AR$22,MONTH($D1355),"")</f>
        <v/>
      </c>
      <c r="AS1355" s="89" t="str">
        <f>+IF($AG1355=AS$22,MONTH($D1355),"")</f>
        <v/>
      </c>
      <c r="AT1355" s="89" t="str">
        <f>+IF($AG1355=AT$22,MONTH($D1355),"")</f>
        <v/>
      </c>
      <c r="AU1355" s="89" t="str">
        <f>+IF($AG1355=AU$22,MONTH($D1355),"")</f>
        <v/>
      </c>
      <c r="AV1355" s="89" t="str">
        <f>+IF($AG1355=AV$22,MONTH($D1355),"")</f>
        <v/>
      </c>
      <c r="AW1355" s="86" t="str">
        <f>+IF($AG1355=AW$22,MONTH($D1355),"")</f>
        <v/>
      </c>
      <c r="AX1355" s="86" t="str">
        <f>+IF($AG1355=AX$22,MONTH($D1355),"")</f>
        <v/>
      </c>
      <c r="AY1355" s="89"/>
      <c r="AZ1355" s="89"/>
      <c r="BA1355" s="89"/>
      <c r="BB1355" s="89"/>
      <c r="BC1355" s="89"/>
      <c r="BD1355" s="89"/>
      <c r="BE1355" s="89"/>
      <c r="BF1355" s="89"/>
      <c r="BG1355" s="89"/>
      <c r="BH1355" s="89"/>
      <c r="BI1355" s="89"/>
      <c r="BJ1355" s="89"/>
      <c r="BK1355" s="89"/>
      <c r="BL1355" s="89"/>
      <c r="BM1355" s="89"/>
      <c r="BN1355" s="89"/>
      <c r="BO1355" s="89"/>
      <c r="BP1355" s="89"/>
    </row>
    <row r="1356" spans="1:68" s="56" customFormat="1" ht="40.5" hidden="1">
      <c r="A1356" s="204">
        <f>+IFERROR(VALUE(MID(AB1356,4,4)),"")</f>
        <v>283</v>
      </c>
      <c r="B1356" s="204">
        <f>VALUE(RIGHT(C1356,LEN(C1356)-2))</f>
        <v>1368</v>
      </c>
      <c r="C1356" s="74" t="s">
        <v>5123</v>
      </c>
      <c r="D1356" s="75">
        <v>44439</v>
      </c>
      <c r="E1356" s="70" t="s">
        <v>5124</v>
      </c>
      <c r="F1356" s="70" t="s">
        <v>5124</v>
      </c>
      <c r="G1356" s="68" t="s">
        <v>4943</v>
      </c>
      <c r="H1356" s="59"/>
      <c r="I1356" s="69" t="s">
        <v>5125</v>
      </c>
      <c r="J1356" s="69"/>
      <c r="K1356" s="95" t="s">
        <v>11</v>
      </c>
      <c r="L1356" s="69" t="s">
        <v>120</v>
      </c>
      <c r="M1356" s="71" t="s">
        <v>141</v>
      </c>
      <c r="N1356" s="69" t="e" vm="1">
        <v>#VALUE!</v>
      </c>
      <c r="O1356" s="84">
        <v>44439</v>
      </c>
      <c r="P1356" s="82" t="s">
        <v>402</v>
      </c>
      <c r="Q1356" s="82" t="s">
        <v>259</v>
      </c>
      <c r="R1356" s="69"/>
      <c r="S1356" s="146" t="s">
        <v>5126</v>
      </c>
      <c r="T1356" s="68" t="s">
        <v>3</v>
      </c>
      <c r="U1356" s="87"/>
      <c r="V1356" s="80">
        <v>44481</v>
      </c>
      <c r="W1356" s="73">
        <v>126</v>
      </c>
      <c r="X1356" s="73">
        <v>3.7805556600000001</v>
      </c>
      <c r="Y1356" s="83">
        <f>IF(SUM(W1356:W1356)&gt;0,X1356/SUM(W1356:W1356)*1000000,"N/A")</f>
        <v>30004.410000000003</v>
      </c>
      <c r="Z1356" s="80"/>
      <c r="AA1356" s="80"/>
      <c r="AB1356" s="73" t="s">
        <v>5127</v>
      </c>
      <c r="AC1356" s="153"/>
      <c r="AD1356" s="331"/>
      <c r="AE1356" s="57"/>
      <c r="AF1356" s="88"/>
      <c r="AG1356" s="182">
        <f>YEAR(D1356)</f>
        <v>2021</v>
      </c>
      <c r="AH1356" s="86" t="str">
        <f>+IF(AE1356=$AJ$22,MONTH(T1356),"")</f>
        <v/>
      </c>
      <c r="AI1356" s="86" t="str">
        <f>+IF(AF1356=$AJ$22,MONTH(U1356),"")</f>
        <v/>
      </c>
      <c r="AJ1356" s="86" t="str">
        <f>+IF(AG1356=$AJ$22,MONTH(V1356),"")</f>
        <v/>
      </c>
      <c r="AK1356" s="86" t="str">
        <f>+IF(AG1356=$AK$22,MONTH(V1356),"")</f>
        <v/>
      </c>
      <c r="AL1356" s="86" t="str">
        <f>+IF(AG1356=$AL$22,MONTH(V1356),"")</f>
        <v/>
      </c>
      <c r="AM1356" s="86">
        <f>+IF($AG1356=$AM$22,MONTH($D1356),"")</f>
        <v>8</v>
      </c>
      <c r="AN1356" s="89" t="str">
        <f>+IF($AG1356=AN$22,MONTH($D1356),"")</f>
        <v/>
      </c>
      <c r="AO1356" s="89" t="str">
        <f>+IF($AG1356=AO$22,MONTH($D1356),"")</f>
        <v/>
      </c>
      <c r="AP1356" s="89" t="str">
        <f>+IF($AG1356=AP$22,MONTH($D1356),"")</f>
        <v/>
      </c>
      <c r="AQ1356" s="89" t="str">
        <f>+IF($AG1356=AQ$22,MONTH($D1356),"")</f>
        <v/>
      </c>
      <c r="AR1356" s="89" t="str">
        <f>+IF($AG1356=AR$22,MONTH($D1356),"")</f>
        <v/>
      </c>
      <c r="AS1356" s="89" t="str">
        <f>+IF($AG1356=AS$22,MONTH($D1356),"")</f>
        <v/>
      </c>
      <c r="AT1356" s="89" t="str">
        <f>+IF($AG1356=AT$22,MONTH($D1356),"")</f>
        <v/>
      </c>
      <c r="AU1356" s="89" t="str">
        <f>+IF($AG1356=AU$22,MONTH($D1356),"")</f>
        <v/>
      </c>
      <c r="AV1356" s="89" t="str">
        <f>+IF($AG1356=AV$22,MONTH($D1356),"")</f>
        <v/>
      </c>
      <c r="AW1356" s="86" t="str">
        <f>+IF($AG1356=AW$22,MONTH($D1356),"")</f>
        <v/>
      </c>
      <c r="AX1356" s="86" t="str">
        <f>+IF($AG1356=AX$22,MONTH($D1356),"")</f>
        <v/>
      </c>
      <c r="AY1356" s="89"/>
      <c r="AZ1356" s="89"/>
      <c r="BA1356" s="89"/>
      <c r="BB1356" s="89"/>
      <c r="BC1356" s="89"/>
      <c r="BD1356" s="89"/>
      <c r="BE1356" s="89"/>
      <c r="BF1356" s="89"/>
      <c r="BG1356" s="89"/>
      <c r="BH1356" s="89"/>
      <c r="BI1356" s="89"/>
      <c r="BJ1356" s="89"/>
      <c r="BK1356" s="89"/>
      <c r="BL1356" s="89"/>
      <c r="BM1356" s="89"/>
      <c r="BN1356" s="89"/>
      <c r="BO1356" s="89"/>
      <c r="BP1356" s="89"/>
    </row>
    <row r="1357" spans="1:68" s="56" customFormat="1" ht="27" hidden="1">
      <c r="A1357" s="204">
        <f>+IFERROR(VALUE(MID(AB1357,4,4)),"")</f>
        <v>278</v>
      </c>
      <c r="B1357" s="204">
        <f>VALUE(RIGHT(C1357,LEN(C1357)-2))</f>
        <v>1367</v>
      </c>
      <c r="C1357" s="74" t="s">
        <v>5128</v>
      </c>
      <c r="D1357" s="75">
        <v>44439</v>
      </c>
      <c r="E1357" s="70" t="s">
        <v>394</v>
      </c>
      <c r="F1357" s="70" t="s">
        <v>5129</v>
      </c>
      <c r="G1357" s="68" t="s">
        <v>5130</v>
      </c>
      <c r="H1357" s="59" t="s">
        <v>5131</v>
      </c>
      <c r="I1357" s="69" t="s">
        <v>5132</v>
      </c>
      <c r="J1357" s="69"/>
      <c r="K1357" s="95" t="s">
        <v>18</v>
      </c>
      <c r="L1357" s="69" t="s">
        <v>120</v>
      </c>
      <c r="M1357" s="71" t="s">
        <v>113</v>
      </c>
      <c r="N1357" s="69" t="e" vm="4">
        <v>#VALUE!</v>
      </c>
      <c r="O1357" s="84">
        <v>44439</v>
      </c>
      <c r="P1357" s="82" t="s">
        <v>274</v>
      </c>
      <c r="Q1357" s="82" t="s">
        <v>623</v>
      </c>
      <c r="R1357" s="69"/>
      <c r="S1357" s="146" t="s">
        <v>5133</v>
      </c>
      <c r="T1357" s="68" t="s">
        <v>3</v>
      </c>
      <c r="U1357" s="87"/>
      <c r="V1357" s="80">
        <v>44446</v>
      </c>
      <c r="W1357" s="73">
        <v>143</v>
      </c>
      <c r="X1357" s="73">
        <v>7.9</v>
      </c>
      <c r="Y1357" s="83">
        <f>IF(SUM(W1357:W1357)&gt;0,X1357/SUM(W1357:W1357)*1000000,"N/A")</f>
        <v>55244.755244755252</v>
      </c>
      <c r="Z1357" s="80"/>
      <c r="AA1357" s="80"/>
      <c r="AB1357" s="73" t="s">
        <v>5134</v>
      </c>
      <c r="AC1357" s="153"/>
      <c r="AD1357" s="331"/>
      <c r="AE1357" s="57"/>
      <c r="AF1357" s="88"/>
      <c r="AG1357" s="182">
        <f>YEAR(D1357)</f>
        <v>2021</v>
      </c>
      <c r="AH1357" s="86" t="str">
        <f>+IF(AE1357=$AJ$22,MONTH(T1357),"")</f>
        <v/>
      </c>
      <c r="AI1357" s="86" t="str">
        <f>+IF(AF1357=$AJ$22,MONTH(U1357),"")</f>
        <v/>
      </c>
      <c r="AJ1357" s="86" t="str">
        <f>+IF(AG1357=$AJ$22,MONTH(V1357),"")</f>
        <v/>
      </c>
      <c r="AK1357" s="86" t="str">
        <f>+IF(AG1357=$AK$22,MONTH(V1357),"")</f>
        <v/>
      </c>
      <c r="AL1357" s="86" t="str">
        <f>+IF(AG1357=$AL$22,MONTH(V1357),"")</f>
        <v/>
      </c>
      <c r="AM1357" s="86">
        <f>+IF($AG1357=$AM$22,MONTH($D1357),"")</f>
        <v>8</v>
      </c>
      <c r="AN1357" s="89" t="str">
        <f>+IF($AG1357=AN$22,MONTH($D1357),"")</f>
        <v/>
      </c>
      <c r="AO1357" s="89" t="str">
        <f>+IF($AG1357=AO$22,MONTH($D1357),"")</f>
        <v/>
      </c>
      <c r="AP1357" s="89" t="str">
        <f>+IF($AG1357=AP$22,MONTH($D1357),"")</f>
        <v/>
      </c>
      <c r="AQ1357" s="89" t="str">
        <f>+IF($AG1357=AQ$22,MONTH($D1357),"")</f>
        <v/>
      </c>
      <c r="AR1357" s="89" t="str">
        <f>+IF($AG1357=AR$22,MONTH($D1357),"")</f>
        <v/>
      </c>
      <c r="AS1357" s="89" t="str">
        <f>+IF($AG1357=AS$22,MONTH($D1357),"")</f>
        <v/>
      </c>
      <c r="AT1357" s="89" t="str">
        <f>+IF($AG1357=AT$22,MONTH($D1357),"")</f>
        <v/>
      </c>
      <c r="AU1357" s="89" t="str">
        <f>+IF($AG1357=AU$22,MONTH($D1357),"")</f>
        <v/>
      </c>
      <c r="AV1357" s="89" t="str">
        <f>+IF($AG1357=AV$22,MONTH($D1357),"")</f>
        <v/>
      </c>
      <c r="AW1357" s="86" t="str">
        <f>+IF($AG1357=AW$22,MONTH($D1357),"")</f>
        <v/>
      </c>
      <c r="AX1357" s="86" t="str">
        <f>+IF($AG1357=AX$22,MONTH($D1357),"")</f>
        <v/>
      </c>
      <c r="AY1357" s="89"/>
      <c r="AZ1357" s="89"/>
      <c r="BA1357" s="89"/>
      <c r="BB1357" s="89"/>
      <c r="BC1357" s="89"/>
      <c r="BD1357" s="89"/>
      <c r="BE1357" s="89"/>
      <c r="BF1357" s="89"/>
      <c r="BG1357" s="89"/>
      <c r="BH1357" s="89"/>
      <c r="BI1357" s="89"/>
      <c r="BJ1357" s="89"/>
      <c r="BK1357" s="89"/>
      <c r="BL1357" s="89"/>
      <c r="BM1357" s="89"/>
      <c r="BN1357" s="89"/>
      <c r="BO1357" s="89"/>
      <c r="BP1357" s="89"/>
    </row>
    <row r="1358" spans="1:68" s="56" customFormat="1" ht="81" hidden="1">
      <c r="A1358" s="204" t="str">
        <f>+IFERROR(VALUE(MID(AB1358,4,4)),"")</f>
        <v/>
      </c>
      <c r="B1358" s="204">
        <f>VALUE(RIGHT(C1358,LEN(C1358)-2))</f>
        <v>1366</v>
      </c>
      <c r="C1358" s="74" t="s">
        <v>5135</v>
      </c>
      <c r="D1358" s="75">
        <v>44432</v>
      </c>
      <c r="E1358" s="70" t="s">
        <v>394</v>
      </c>
      <c r="F1358" s="70" t="s">
        <v>2269</v>
      </c>
      <c r="G1358" s="68" t="s">
        <v>2270</v>
      </c>
      <c r="H1358" s="59" t="s">
        <v>2271</v>
      </c>
      <c r="I1358" s="69" t="s">
        <v>5136</v>
      </c>
      <c r="J1358" s="69"/>
      <c r="K1358" s="95" t="s">
        <v>11</v>
      </c>
      <c r="L1358" s="69" t="s">
        <v>120</v>
      </c>
      <c r="M1358" s="71" t="s">
        <v>141</v>
      </c>
      <c r="N1358" s="69" t="e" vm="1">
        <v>#VALUE!</v>
      </c>
      <c r="O1358" s="84">
        <v>44438</v>
      </c>
      <c r="P1358" s="82" t="s">
        <v>5137</v>
      </c>
      <c r="Q1358" s="82" t="s">
        <v>623</v>
      </c>
      <c r="R1358" s="69"/>
      <c r="S1358" s="146" t="s">
        <v>5138</v>
      </c>
      <c r="T1358" s="68" t="s">
        <v>165</v>
      </c>
      <c r="U1358" s="87"/>
      <c r="V1358" s="80">
        <v>44523</v>
      </c>
      <c r="W1358" s="73">
        <v>705</v>
      </c>
      <c r="X1358" s="73">
        <v>27.6</v>
      </c>
      <c r="Y1358" s="83">
        <f>IF(SUM(W1358:W1358)&gt;0,X1358/SUM(W1358:W1358)*1000000,"N/A")</f>
        <v>39148.936170212772</v>
      </c>
      <c r="Z1358" s="80"/>
      <c r="AA1358" s="80"/>
      <c r="AB1358" s="73"/>
      <c r="AC1358" s="153"/>
      <c r="AD1358" s="331"/>
      <c r="AE1358" s="57"/>
      <c r="AF1358" s="88"/>
      <c r="AG1358" s="182">
        <f>YEAR(D1358)</f>
        <v>2021</v>
      </c>
      <c r="AH1358" s="86" t="str">
        <f>+IF(AE1358=$AJ$22,MONTH(T1358),"")</f>
        <v/>
      </c>
      <c r="AI1358" s="86" t="str">
        <f>+IF(AF1358=$AJ$22,MONTH(U1358),"")</f>
        <v/>
      </c>
      <c r="AJ1358" s="86" t="str">
        <f>+IF(AG1358=$AJ$22,MONTH(V1358),"")</f>
        <v/>
      </c>
      <c r="AK1358" s="86" t="str">
        <f>+IF(AG1358=$AK$22,MONTH(V1358),"")</f>
        <v/>
      </c>
      <c r="AL1358" s="86" t="str">
        <f>+IF(AG1358=$AL$22,MONTH(V1358),"")</f>
        <v/>
      </c>
      <c r="AM1358" s="86">
        <f>+IF($AG1358=$AM$22,MONTH($D1358),"")</f>
        <v>8</v>
      </c>
      <c r="AN1358" s="89" t="str">
        <f>+IF($AG1358=AN$22,MONTH($D1358),"")</f>
        <v/>
      </c>
      <c r="AO1358" s="89" t="str">
        <f>+IF($AG1358=AO$22,MONTH($D1358),"")</f>
        <v/>
      </c>
      <c r="AP1358" s="89" t="str">
        <f>+IF($AG1358=AP$22,MONTH($D1358),"")</f>
        <v/>
      </c>
      <c r="AQ1358" s="89" t="str">
        <f>+IF($AG1358=AQ$22,MONTH($D1358),"")</f>
        <v/>
      </c>
      <c r="AR1358" s="89" t="str">
        <f>+IF($AG1358=AR$22,MONTH($D1358),"")</f>
        <v/>
      </c>
      <c r="AS1358" s="89" t="str">
        <f>+IF($AG1358=AS$22,MONTH($D1358),"")</f>
        <v/>
      </c>
      <c r="AT1358" s="89" t="str">
        <f>+IF($AG1358=AT$22,MONTH($D1358),"")</f>
        <v/>
      </c>
      <c r="AU1358" s="89" t="str">
        <f>+IF($AG1358=AU$22,MONTH($D1358),"")</f>
        <v/>
      </c>
      <c r="AV1358" s="89" t="str">
        <f>+IF($AG1358=AV$22,MONTH($D1358),"")</f>
        <v/>
      </c>
      <c r="AW1358" s="86" t="str">
        <f>+IF($AG1358=AW$22,MONTH($D1358),"")</f>
        <v/>
      </c>
      <c r="AX1358" s="86" t="str">
        <f>+IF($AG1358=AX$22,MONTH($D1358),"")</f>
        <v/>
      </c>
      <c r="AY1358" s="89"/>
      <c r="AZ1358" s="89"/>
      <c r="BA1358" s="89"/>
      <c r="BB1358" s="89"/>
      <c r="BC1358" s="89"/>
      <c r="BD1358" s="89"/>
      <c r="BE1358" s="89"/>
      <c r="BF1358" s="89"/>
      <c r="BG1358" s="89"/>
      <c r="BH1358" s="89"/>
      <c r="BI1358" s="89"/>
      <c r="BJ1358" s="89"/>
      <c r="BK1358" s="89"/>
      <c r="BL1358" s="89"/>
      <c r="BM1358" s="89"/>
      <c r="BN1358" s="89"/>
      <c r="BO1358" s="89"/>
      <c r="BP1358" s="89"/>
    </row>
    <row r="1359" spans="1:68" s="56" customFormat="1" ht="108" hidden="1">
      <c r="A1359" s="204" t="str">
        <f>+IFERROR(VALUE(MID(AB1359,4,4)),"")</f>
        <v/>
      </c>
      <c r="B1359" s="204">
        <f>VALUE(RIGHT(C1359,LEN(C1359)-2))</f>
        <v>1365</v>
      </c>
      <c r="C1359" s="74" t="s">
        <v>5139</v>
      </c>
      <c r="D1359" s="75">
        <v>44432</v>
      </c>
      <c r="E1359" s="70" t="s">
        <v>3253</v>
      </c>
      <c r="F1359" s="70" t="s">
        <v>3253</v>
      </c>
      <c r="G1359" s="68" t="s">
        <v>5140</v>
      </c>
      <c r="H1359" s="59" t="s">
        <v>5141</v>
      </c>
      <c r="I1359" s="69" t="s">
        <v>5142</v>
      </c>
      <c r="J1359" s="69"/>
      <c r="K1359" s="68" t="s">
        <v>212</v>
      </c>
      <c r="L1359" s="69" t="s">
        <v>123</v>
      </c>
      <c r="M1359" s="71" t="s">
        <v>141</v>
      </c>
      <c r="N1359" s="69" t="e" vm="1">
        <v>#VALUE!</v>
      </c>
      <c r="O1359" s="84">
        <v>44468</v>
      </c>
      <c r="P1359" s="82" t="s">
        <v>228</v>
      </c>
      <c r="Q1359" s="82" t="s">
        <v>644</v>
      </c>
      <c r="R1359" s="69"/>
      <c r="S1359" s="146" t="s">
        <v>5143</v>
      </c>
      <c r="T1359" s="68" t="s">
        <v>165</v>
      </c>
      <c r="U1359" s="87"/>
      <c r="V1359" s="80">
        <v>44468</v>
      </c>
      <c r="W1359" s="73">
        <v>15871</v>
      </c>
      <c r="X1359" s="73">
        <v>528.6387108112001</v>
      </c>
      <c r="Y1359" s="83">
        <f>IF(SUM(W1359:W1359)&gt;0,X1359/SUM(W1359:W1359)*1000000,"N/A")</f>
        <v>33308.468956663106</v>
      </c>
      <c r="Z1359" s="80"/>
      <c r="AA1359" s="80"/>
      <c r="AB1359" s="73"/>
      <c r="AC1359" s="153"/>
      <c r="AD1359" s="331"/>
      <c r="AE1359" s="57"/>
      <c r="AF1359" s="88"/>
      <c r="AG1359" s="182">
        <f>YEAR(D1359)</f>
        <v>2021</v>
      </c>
      <c r="AH1359" s="86" t="str">
        <f>+IF(AE1359=$AJ$22,MONTH(T1359),"")</f>
        <v/>
      </c>
      <c r="AI1359" s="86" t="str">
        <f>+IF(AF1359=$AJ$22,MONTH(U1359),"")</f>
        <v/>
      </c>
      <c r="AJ1359" s="86" t="str">
        <f>+IF(AG1359=$AJ$22,MONTH(V1359),"")</f>
        <v/>
      </c>
      <c r="AK1359" s="86" t="str">
        <f>+IF(AG1359=$AK$22,MONTH(V1359),"")</f>
        <v/>
      </c>
      <c r="AL1359" s="86" t="str">
        <f>+IF(AG1359=$AL$22,MONTH(V1359),"")</f>
        <v/>
      </c>
      <c r="AM1359" s="86">
        <f>+IF($AG1359=$AM$22,MONTH($D1359),"")</f>
        <v>8</v>
      </c>
      <c r="AN1359" s="89" t="str">
        <f>+IF($AG1359=AN$22,MONTH($D1359),"")</f>
        <v/>
      </c>
      <c r="AO1359" s="89" t="str">
        <f>+IF($AG1359=AO$22,MONTH($D1359),"")</f>
        <v/>
      </c>
      <c r="AP1359" s="89" t="str">
        <f>+IF($AG1359=AP$22,MONTH($D1359),"")</f>
        <v/>
      </c>
      <c r="AQ1359" s="89" t="str">
        <f>+IF($AG1359=AQ$22,MONTH($D1359),"")</f>
        <v/>
      </c>
      <c r="AR1359" s="89" t="str">
        <f>+IF($AG1359=AR$22,MONTH($D1359),"")</f>
        <v/>
      </c>
      <c r="AS1359" s="89" t="str">
        <f>+IF($AG1359=AS$22,MONTH($D1359),"")</f>
        <v/>
      </c>
      <c r="AT1359" s="89" t="str">
        <f>+IF($AG1359=AT$22,MONTH($D1359),"")</f>
        <v/>
      </c>
      <c r="AU1359" s="89" t="str">
        <f>+IF($AG1359=AU$22,MONTH($D1359),"")</f>
        <v/>
      </c>
      <c r="AV1359" s="89" t="str">
        <f>+IF($AG1359=AV$22,MONTH($D1359),"")</f>
        <v/>
      </c>
      <c r="AW1359" s="86" t="str">
        <f>+IF($AG1359=AW$22,MONTH($D1359),"")</f>
        <v/>
      </c>
      <c r="AX1359" s="86" t="str">
        <f>+IF($AG1359=AX$22,MONTH($D1359),"")</f>
        <v/>
      </c>
      <c r="AY1359" s="89"/>
      <c r="AZ1359" s="89"/>
      <c r="BA1359" s="89"/>
      <c r="BB1359" s="89"/>
      <c r="BC1359" s="89"/>
      <c r="BD1359" s="89"/>
      <c r="BE1359" s="89"/>
      <c r="BF1359" s="89"/>
      <c r="BG1359" s="89"/>
      <c r="BH1359" s="89"/>
      <c r="BI1359" s="89"/>
      <c r="BJ1359" s="89"/>
      <c r="BK1359" s="89"/>
      <c r="BL1359" s="89"/>
      <c r="BM1359" s="89"/>
      <c r="BN1359" s="89"/>
      <c r="BO1359" s="89"/>
      <c r="BP1359" s="89"/>
    </row>
    <row r="1360" spans="1:68" s="56" customFormat="1" ht="27" hidden="1">
      <c r="A1360" s="204" t="str">
        <f>+IFERROR(VALUE(MID(AB1360,4,4)),"")</f>
        <v/>
      </c>
      <c r="B1360" s="204">
        <f>VALUE(RIGHT(C1360,LEN(C1360)-2))</f>
        <v>1364</v>
      </c>
      <c r="C1360" s="74" t="s">
        <v>5144</v>
      </c>
      <c r="D1360" s="75">
        <v>44431</v>
      </c>
      <c r="E1360" s="70" t="s">
        <v>394</v>
      </c>
      <c r="F1360" s="70" t="s">
        <v>2269</v>
      </c>
      <c r="G1360" s="68" t="s">
        <v>3778</v>
      </c>
      <c r="H1360" s="59" t="s">
        <v>3779</v>
      </c>
      <c r="I1360" s="69" t="s">
        <v>5145</v>
      </c>
      <c r="J1360" s="69"/>
      <c r="K1360" s="95" t="s">
        <v>9</v>
      </c>
      <c r="L1360" s="69" t="s">
        <v>129</v>
      </c>
      <c r="M1360" s="71" t="s">
        <v>141</v>
      </c>
      <c r="N1360" s="69" t="e" vm="1">
        <v>#VALUE!</v>
      </c>
      <c r="O1360" s="84">
        <v>44435</v>
      </c>
      <c r="P1360" s="72" t="s">
        <v>4567</v>
      </c>
      <c r="Q1360" s="72" t="s">
        <v>259</v>
      </c>
      <c r="R1360" s="162"/>
      <c r="S1360" s="146" t="s">
        <v>2525</v>
      </c>
      <c r="T1360" s="68" t="s">
        <v>165</v>
      </c>
      <c r="U1360" s="87">
        <v>0</v>
      </c>
      <c r="V1360" s="80">
        <v>44965</v>
      </c>
      <c r="W1360" s="73">
        <v>170</v>
      </c>
      <c r="X1360" s="73">
        <v>6.6</v>
      </c>
      <c r="Y1360" s="83">
        <f>IF(SUM(W1360:W1360)&gt;0,X1360/SUM(W1360:W1360)*1000000,"N/A")</f>
        <v>38823.529411764699</v>
      </c>
      <c r="Z1360" s="80"/>
      <c r="AA1360" s="80"/>
      <c r="AB1360" s="73"/>
      <c r="AC1360" s="153"/>
      <c r="AD1360" s="331"/>
      <c r="AE1360" s="57"/>
      <c r="AF1360" s="88"/>
      <c r="AG1360" s="182">
        <f>YEAR(D1360)</f>
        <v>2021</v>
      </c>
      <c r="AH1360" s="86" t="str">
        <f>+IF(AE1360=$AJ$22,MONTH(T1360),"")</f>
        <v/>
      </c>
      <c r="AI1360" s="86" t="str">
        <f>+IF(AF1360=$AJ$22,MONTH(U1360),"")</f>
        <v/>
      </c>
      <c r="AJ1360" s="86" t="str">
        <f>+IF(AG1360=$AJ$22,MONTH(V1360),"")</f>
        <v/>
      </c>
      <c r="AK1360" s="86" t="str">
        <f>+IF(AG1360=$AK$22,MONTH(V1360),"")</f>
        <v/>
      </c>
      <c r="AL1360" s="86" t="str">
        <f>+IF(AG1360=$AL$22,MONTH(V1360),"")</f>
        <v/>
      </c>
      <c r="AM1360" s="86">
        <f>+IF($AG1360=$AM$22,MONTH($D1360),"")</f>
        <v>8</v>
      </c>
      <c r="AN1360" s="89" t="str">
        <f>+IF($AG1360=AN$22,MONTH($D1360),"")</f>
        <v/>
      </c>
      <c r="AO1360" s="89" t="str">
        <f>+IF($AG1360=AO$22,MONTH($D1360),"")</f>
        <v/>
      </c>
      <c r="AP1360" s="89" t="str">
        <f>+IF($AG1360=AP$22,MONTH($D1360),"")</f>
        <v/>
      </c>
      <c r="AQ1360" s="89" t="str">
        <f>+IF($AG1360=AQ$22,MONTH($D1360),"")</f>
        <v/>
      </c>
      <c r="AR1360" s="89" t="str">
        <f>+IF($AG1360=AR$22,MONTH($D1360),"")</f>
        <v/>
      </c>
      <c r="AS1360" s="89" t="str">
        <f>+IF($AG1360=AS$22,MONTH($D1360),"")</f>
        <v/>
      </c>
      <c r="AT1360" s="89" t="str">
        <f>+IF($AG1360=AT$22,MONTH($D1360),"")</f>
        <v/>
      </c>
      <c r="AU1360" s="89" t="str">
        <f>+IF($AG1360=AU$22,MONTH($D1360),"")</f>
        <v/>
      </c>
      <c r="AV1360" s="89" t="str">
        <f>+IF($AG1360=AV$22,MONTH($D1360),"")</f>
        <v/>
      </c>
      <c r="AW1360" s="86" t="str">
        <f>+IF($AG1360=AW$22,MONTH($D1360),"")</f>
        <v/>
      </c>
      <c r="AX1360" s="86" t="str">
        <f>+IF($AG1360=AX$22,MONTH($D1360),"")</f>
        <v/>
      </c>
      <c r="AY1360" s="89"/>
      <c r="AZ1360" s="89"/>
      <c r="BA1360" s="89"/>
      <c r="BB1360" s="89"/>
      <c r="BC1360" s="89"/>
      <c r="BD1360" s="89"/>
      <c r="BE1360" s="89"/>
      <c r="BF1360" s="89"/>
      <c r="BG1360" s="89"/>
      <c r="BH1360" s="89"/>
      <c r="BI1360" s="89"/>
      <c r="BJ1360" s="89"/>
      <c r="BK1360" s="89"/>
      <c r="BL1360" s="89"/>
      <c r="BM1360" s="89"/>
      <c r="BN1360" s="89"/>
      <c r="BO1360" s="89"/>
      <c r="BP1360" s="89"/>
    </row>
    <row r="1361" spans="1:68" s="56" customFormat="1" ht="13.5" hidden="1">
      <c r="A1361" s="204">
        <f>+IFERROR(VALUE(MID(AB1361,4,4)),"")</f>
        <v>281</v>
      </c>
      <c r="B1361" s="204">
        <f>VALUE(RIGHT(C1361,LEN(C1361)-2))</f>
        <v>1363</v>
      </c>
      <c r="C1361" s="74" t="s">
        <v>5146</v>
      </c>
      <c r="D1361" s="75">
        <v>44431</v>
      </c>
      <c r="E1361" s="70" t="s">
        <v>394</v>
      </c>
      <c r="F1361" s="70" t="s">
        <v>2269</v>
      </c>
      <c r="G1361" s="68" t="s">
        <v>3778</v>
      </c>
      <c r="H1361" s="59" t="s">
        <v>3779</v>
      </c>
      <c r="I1361" s="69" t="s">
        <v>5147</v>
      </c>
      <c r="J1361" s="69"/>
      <c r="K1361" s="95" t="s">
        <v>9</v>
      </c>
      <c r="L1361" s="69" t="s">
        <v>120</v>
      </c>
      <c r="M1361" s="71" t="s">
        <v>141</v>
      </c>
      <c r="N1361" s="69" t="e" vm="1">
        <v>#VALUE!</v>
      </c>
      <c r="O1361" s="84">
        <v>44435</v>
      </c>
      <c r="P1361" s="72" t="s">
        <v>4567</v>
      </c>
      <c r="Q1361" s="72" t="s">
        <v>259</v>
      </c>
      <c r="R1361" s="162"/>
      <c r="S1361" s="146" t="s">
        <v>5148</v>
      </c>
      <c r="T1361" s="68" t="s">
        <v>3</v>
      </c>
      <c r="U1361" s="87"/>
      <c r="V1361" s="80">
        <v>44481</v>
      </c>
      <c r="W1361" s="73">
        <v>145</v>
      </c>
      <c r="X1361" s="73">
        <v>5.6</v>
      </c>
      <c r="Y1361" s="83">
        <f>IF(SUM(W1361:W1361)&gt;0,X1361/SUM(W1361:W1361)*1000000,"N/A")</f>
        <v>38620.689655172406</v>
      </c>
      <c r="Z1361" s="80"/>
      <c r="AA1361" s="80"/>
      <c r="AB1361" s="73" t="s">
        <v>5149</v>
      </c>
      <c r="AC1361" s="153"/>
      <c r="AD1361" s="331"/>
      <c r="AE1361" s="57"/>
      <c r="AF1361" s="88"/>
      <c r="AG1361" s="182">
        <f>YEAR(D1361)</f>
        <v>2021</v>
      </c>
      <c r="AH1361" s="86" t="str">
        <f>+IF(AE1361=$AJ$22,MONTH(T1361),"")</f>
        <v/>
      </c>
      <c r="AI1361" s="86" t="str">
        <f>+IF(AF1361=$AJ$22,MONTH(U1361),"")</f>
        <v/>
      </c>
      <c r="AJ1361" s="86" t="str">
        <f>+IF(AG1361=$AJ$22,MONTH(V1361),"")</f>
        <v/>
      </c>
      <c r="AK1361" s="86" t="str">
        <f>+IF(AG1361=$AK$22,MONTH(V1361),"")</f>
        <v/>
      </c>
      <c r="AL1361" s="86" t="str">
        <f>+IF(AG1361=$AL$22,MONTH(V1361),"")</f>
        <v/>
      </c>
      <c r="AM1361" s="86">
        <f>+IF($AG1361=$AM$22,MONTH($D1361),"")</f>
        <v>8</v>
      </c>
      <c r="AN1361" s="89" t="str">
        <f>+IF($AG1361=AN$22,MONTH($D1361),"")</f>
        <v/>
      </c>
      <c r="AO1361" s="89" t="str">
        <f>+IF($AG1361=AO$22,MONTH($D1361),"")</f>
        <v/>
      </c>
      <c r="AP1361" s="89" t="str">
        <f>+IF($AG1361=AP$22,MONTH($D1361),"")</f>
        <v/>
      </c>
      <c r="AQ1361" s="89" t="str">
        <f>+IF($AG1361=AQ$22,MONTH($D1361),"")</f>
        <v/>
      </c>
      <c r="AR1361" s="89" t="str">
        <f>+IF($AG1361=AR$22,MONTH($D1361),"")</f>
        <v/>
      </c>
      <c r="AS1361" s="89" t="str">
        <f>+IF($AG1361=AS$22,MONTH($D1361),"")</f>
        <v/>
      </c>
      <c r="AT1361" s="89" t="str">
        <f>+IF($AG1361=AT$22,MONTH($D1361),"")</f>
        <v/>
      </c>
      <c r="AU1361" s="89" t="str">
        <f>+IF($AG1361=AU$22,MONTH($D1361),"")</f>
        <v/>
      </c>
      <c r="AV1361" s="89" t="str">
        <f>+IF($AG1361=AV$22,MONTH($D1361),"")</f>
        <v/>
      </c>
      <c r="AW1361" s="86" t="str">
        <f>+IF($AG1361=AW$22,MONTH($D1361),"")</f>
        <v/>
      </c>
      <c r="AX1361" s="86" t="str">
        <f>+IF($AG1361=AX$22,MONTH($D1361),"")</f>
        <v/>
      </c>
      <c r="AY1361" s="89"/>
      <c r="AZ1361" s="89"/>
      <c r="BA1361" s="89"/>
      <c r="BB1361" s="89"/>
      <c r="BC1361" s="89"/>
      <c r="BD1361" s="89"/>
      <c r="BE1361" s="89"/>
      <c r="BF1361" s="89"/>
      <c r="BG1361" s="89"/>
      <c r="BH1361" s="89"/>
      <c r="BI1361" s="89"/>
      <c r="BJ1361" s="89"/>
      <c r="BK1361" s="89"/>
      <c r="BL1361" s="89"/>
      <c r="BM1361" s="89"/>
      <c r="BN1361" s="89"/>
      <c r="BO1361" s="89"/>
      <c r="BP1361" s="89"/>
    </row>
    <row r="1362" spans="1:68" s="56" customFormat="1" ht="27" hidden="1">
      <c r="A1362" s="204" t="str">
        <f>+IFERROR(VALUE(MID(AB1362,4,4)),"")</f>
        <v/>
      </c>
      <c r="B1362" s="204">
        <f>VALUE(RIGHT(C1362,LEN(C1362)-2))</f>
        <v>1362</v>
      </c>
      <c r="C1362" s="74" t="s">
        <v>5150</v>
      </c>
      <c r="D1362" s="75">
        <v>44431</v>
      </c>
      <c r="E1362" s="70" t="s">
        <v>4827</v>
      </c>
      <c r="F1362" s="70" t="s">
        <v>4827</v>
      </c>
      <c r="G1362" s="68" t="s">
        <v>5119</v>
      </c>
      <c r="H1362" s="59" t="s">
        <v>5120</v>
      </c>
      <c r="I1362" s="69" t="s">
        <v>5151</v>
      </c>
      <c r="J1362" s="69"/>
      <c r="K1362" s="95" t="s">
        <v>31</v>
      </c>
      <c r="L1362" s="69" t="s">
        <v>120</v>
      </c>
      <c r="M1362" s="71" t="s">
        <v>141</v>
      </c>
      <c r="N1362" s="69" t="e" vm="1">
        <v>#VALUE!</v>
      </c>
      <c r="O1362" s="84" t="s">
        <v>213</v>
      </c>
      <c r="P1362" s="72" t="s">
        <v>4567</v>
      </c>
      <c r="Q1362" s="72" t="s">
        <v>623</v>
      </c>
      <c r="R1362" s="162"/>
      <c r="S1362" s="146"/>
      <c r="T1362" s="68" t="s">
        <v>155</v>
      </c>
      <c r="U1362" s="87"/>
      <c r="V1362" s="80">
        <v>44432</v>
      </c>
      <c r="W1362" s="73"/>
      <c r="X1362" s="73"/>
      <c r="Y1362" s="83" t="str">
        <f>IF(SUM(W1362:W1362)&gt;0,X1362/SUM(W1362:W1362)*1000000,"N/A")</f>
        <v>N/A</v>
      </c>
      <c r="Z1362" s="80"/>
      <c r="AA1362" s="80"/>
      <c r="AB1362" s="73"/>
      <c r="AC1362" s="153"/>
      <c r="AD1362" s="331"/>
      <c r="AE1362" s="57"/>
      <c r="AF1362" s="88"/>
      <c r="AG1362" s="182">
        <f>YEAR(D1362)</f>
        <v>2021</v>
      </c>
      <c r="AH1362" s="86" t="str">
        <f>+IF(AE1362=$AJ$22,MONTH(T1362),"")</f>
        <v/>
      </c>
      <c r="AI1362" s="86" t="str">
        <f>+IF(AF1362=$AJ$22,MONTH(U1362),"")</f>
        <v/>
      </c>
      <c r="AJ1362" s="86" t="str">
        <f>+IF(AG1362=$AJ$22,MONTH(V1362),"")</f>
        <v/>
      </c>
      <c r="AK1362" s="86" t="str">
        <f>+IF(AG1362=$AK$22,MONTH(V1362),"")</f>
        <v/>
      </c>
      <c r="AL1362" s="86" t="str">
        <f>+IF(AG1362=$AL$22,MONTH(V1362),"")</f>
        <v/>
      </c>
      <c r="AM1362" s="86">
        <f>+IF($AG1362=$AM$22,MONTH($D1362),"")</f>
        <v>8</v>
      </c>
      <c r="AN1362" s="89" t="str">
        <f>+IF($AG1362=AN$22,MONTH($D1362),"")</f>
        <v/>
      </c>
      <c r="AO1362" s="89" t="str">
        <f>+IF($AG1362=AO$22,MONTH($D1362),"")</f>
        <v/>
      </c>
      <c r="AP1362" s="89" t="str">
        <f>+IF($AG1362=AP$22,MONTH($D1362),"")</f>
        <v/>
      </c>
      <c r="AQ1362" s="89" t="str">
        <f>+IF($AG1362=AQ$22,MONTH($D1362),"")</f>
        <v/>
      </c>
      <c r="AR1362" s="89" t="str">
        <f>+IF($AG1362=AR$22,MONTH($D1362),"")</f>
        <v/>
      </c>
      <c r="AS1362" s="89" t="str">
        <f>+IF($AG1362=AS$22,MONTH($D1362),"")</f>
        <v/>
      </c>
      <c r="AT1362" s="89" t="str">
        <f>+IF($AG1362=AT$22,MONTH($D1362),"")</f>
        <v/>
      </c>
      <c r="AU1362" s="89" t="str">
        <f>+IF($AG1362=AU$22,MONTH($D1362),"")</f>
        <v/>
      </c>
      <c r="AV1362" s="89" t="str">
        <f>+IF($AG1362=AV$22,MONTH($D1362),"")</f>
        <v/>
      </c>
      <c r="AW1362" s="86" t="str">
        <f>+IF($AG1362=AW$22,MONTH($D1362),"")</f>
        <v/>
      </c>
      <c r="AX1362" s="86" t="str">
        <f>+IF($AG1362=AX$22,MONTH($D1362),"")</f>
        <v/>
      </c>
      <c r="AY1362" s="89"/>
      <c r="AZ1362" s="89"/>
      <c r="BA1362" s="89"/>
      <c r="BB1362" s="89"/>
      <c r="BC1362" s="89"/>
      <c r="BD1362" s="89"/>
      <c r="BE1362" s="89"/>
      <c r="BF1362" s="89"/>
      <c r="BG1362" s="89"/>
      <c r="BH1362" s="89"/>
      <c r="BI1362" s="89"/>
      <c r="BJ1362" s="89"/>
      <c r="BK1362" s="89"/>
      <c r="BL1362" s="89"/>
      <c r="BM1362" s="89"/>
      <c r="BN1362" s="89"/>
      <c r="BO1362" s="89"/>
      <c r="BP1362" s="89"/>
    </row>
    <row r="1363" spans="1:68" s="56" customFormat="1" ht="81" hidden="1">
      <c r="A1363" s="204" t="str">
        <f>+IFERROR(VALUE(MID(AB1363,4,4)),"")</f>
        <v/>
      </c>
      <c r="B1363" s="204">
        <f>VALUE(RIGHT(C1363,LEN(C1363)-2))</f>
        <v>1361</v>
      </c>
      <c r="C1363" s="74" t="s">
        <v>5152</v>
      </c>
      <c r="D1363" s="75">
        <v>44423</v>
      </c>
      <c r="E1363" s="70" t="s">
        <v>53</v>
      </c>
      <c r="F1363" s="70" t="s">
        <v>252</v>
      </c>
      <c r="G1363" s="68" t="s">
        <v>5153</v>
      </c>
      <c r="H1363" s="59" t="s">
        <v>5154</v>
      </c>
      <c r="I1363" s="69" t="s">
        <v>5155</v>
      </c>
      <c r="J1363" s="69"/>
      <c r="K1363" s="95" t="s">
        <v>11</v>
      </c>
      <c r="L1363" s="69" t="s">
        <v>123</v>
      </c>
      <c r="M1363" s="71" t="s">
        <v>141</v>
      </c>
      <c r="N1363" s="69" t="e" vm="1">
        <v>#VALUE!</v>
      </c>
      <c r="O1363" s="84">
        <v>44461</v>
      </c>
      <c r="P1363" s="72" t="s">
        <v>134</v>
      </c>
      <c r="Q1363" s="72" t="s">
        <v>623</v>
      </c>
      <c r="R1363" s="162"/>
      <c r="S1363" s="146" t="s">
        <v>5156</v>
      </c>
      <c r="T1363" s="68" t="s">
        <v>155</v>
      </c>
      <c r="U1363" s="87"/>
      <c r="V1363" s="80">
        <v>44431</v>
      </c>
      <c r="W1363" s="73"/>
      <c r="X1363" s="73"/>
      <c r="Y1363" s="83" t="str">
        <f>IF(SUM(W1363:W1363)&gt;0,X1363/SUM(W1363:W1363)*1000000,"N/A")</f>
        <v>N/A</v>
      </c>
      <c r="Z1363" s="80"/>
      <c r="AA1363" s="80"/>
      <c r="AB1363" s="73"/>
      <c r="AC1363" s="153"/>
      <c r="AD1363" s="331"/>
      <c r="AE1363" s="57"/>
      <c r="AF1363" s="88"/>
      <c r="AG1363" s="182">
        <f>YEAR(D1363)</f>
        <v>2021</v>
      </c>
      <c r="AH1363" s="86" t="str">
        <f>+IF(AE1363=$AJ$22,MONTH(T1363),"")</f>
        <v/>
      </c>
      <c r="AI1363" s="86" t="str">
        <f>+IF(AF1363=$AJ$22,MONTH(U1363),"")</f>
        <v/>
      </c>
      <c r="AJ1363" s="86" t="str">
        <f>+IF(AG1363=$AJ$22,MONTH(V1363),"")</f>
        <v/>
      </c>
      <c r="AK1363" s="86" t="str">
        <f>+IF(AG1363=$AK$22,MONTH(V1363),"")</f>
        <v/>
      </c>
      <c r="AL1363" s="86" t="str">
        <f>+IF(AG1363=$AL$22,MONTH(V1363),"")</f>
        <v/>
      </c>
      <c r="AM1363" s="86">
        <f>+IF($AG1363=$AM$22,MONTH($D1363),"")</f>
        <v>8</v>
      </c>
      <c r="AN1363" s="89" t="str">
        <f>+IF($AG1363=AN$22,MONTH($D1363),"")</f>
        <v/>
      </c>
      <c r="AO1363" s="89" t="str">
        <f>+IF($AG1363=AO$22,MONTH($D1363),"")</f>
        <v/>
      </c>
      <c r="AP1363" s="89" t="str">
        <f>+IF($AG1363=AP$22,MONTH($D1363),"")</f>
        <v/>
      </c>
      <c r="AQ1363" s="89" t="str">
        <f>+IF($AG1363=AQ$22,MONTH($D1363),"")</f>
        <v/>
      </c>
      <c r="AR1363" s="89" t="str">
        <f>+IF($AG1363=AR$22,MONTH($D1363),"")</f>
        <v/>
      </c>
      <c r="AS1363" s="89" t="str">
        <f>+IF($AG1363=AS$22,MONTH($D1363),"")</f>
        <v/>
      </c>
      <c r="AT1363" s="89" t="str">
        <f>+IF($AG1363=AT$22,MONTH($D1363),"")</f>
        <v/>
      </c>
      <c r="AU1363" s="89" t="str">
        <f>+IF($AG1363=AU$22,MONTH($D1363),"")</f>
        <v/>
      </c>
      <c r="AV1363" s="89" t="str">
        <f>+IF($AG1363=AV$22,MONTH($D1363),"")</f>
        <v/>
      </c>
      <c r="AW1363" s="86" t="str">
        <f>+IF($AG1363=AW$22,MONTH($D1363),"")</f>
        <v/>
      </c>
      <c r="AX1363" s="86" t="str">
        <f>+IF($AG1363=AX$22,MONTH($D1363),"")</f>
        <v/>
      </c>
      <c r="AY1363" s="89"/>
      <c r="AZ1363" s="89"/>
      <c r="BA1363" s="89"/>
      <c r="BB1363" s="89"/>
      <c r="BC1363" s="89"/>
      <c r="BD1363" s="89"/>
      <c r="BE1363" s="89"/>
      <c r="BF1363" s="89"/>
      <c r="BG1363" s="89"/>
      <c r="BH1363" s="89"/>
      <c r="BI1363" s="89"/>
      <c r="BJ1363" s="89"/>
      <c r="BK1363" s="89"/>
      <c r="BL1363" s="89"/>
      <c r="BM1363" s="89"/>
      <c r="BN1363" s="89"/>
      <c r="BO1363" s="89"/>
      <c r="BP1363" s="89"/>
    </row>
    <row r="1364" spans="1:68" s="56" customFormat="1" ht="174.75" hidden="1">
      <c r="A1364" s="204" t="str">
        <f>+IFERROR(VALUE(MID(AB1364,4,4)),"")</f>
        <v/>
      </c>
      <c r="B1364" s="204">
        <f>VALUE(RIGHT(C1364,LEN(C1364)-2))</f>
        <v>1360</v>
      </c>
      <c r="C1364" s="74" t="s">
        <v>5157</v>
      </c>
      <c r="D1364" s="75">
        <v>44423</v>
      </c>
      <c r="E1364" s="70" t="s">
        <v>53</v>
      </c>
      <c r="F1364" s="70" t="s">
        <v>252</v>
      </c>
      <c r="G1364" s="68" t="s">
        <v>5153</v>
      </c>
      <c r="H1364" s="59" t="s">
        <v>5154</v>
      </c>
      <c r="I1364" s="69" t="s">
        <v>5158</v>
      </c>
      <c r="J1364" s="69"/>
      <c r="K1364" s="95" t="s">
        <v>14</v>
      </c>
      <c r="L1364" s="69" t="s">
        <v>123</v>
      </c>
      <c r="M1364" s="71" t="s">
        <v>141</v>
      </c>
      <c r="N1364" s="69" t="e" vm="1">
        <v>#VALUE!</v>
      </c>
      <c r="O1364" s="84">
        <v>44461</v>
      </c>
      <c r="P1364" s="72" t="s">
        <v>228</v>
      </c>
      <c r="Q1364" s="72" t="s">
        <v>259</v>
      </c>
      <c r="R1364" s="162"/>
      <c r="S1364" s="146" t="s">
        <v>5159</v>
      </c>
      <c r="T1364" s="68" t="s">
        <v>155</v>
      </c>
      <c r="U1364" s="87"/>
      <c r="V1364" s="80">
        <v>44431</v>
      </c>
      <c r="W1364" s="73"/>
      <c r="X1364" s="73"/>
      <c r="Y1364" s="83" t="str">
        <f>IF(SUM(W1364:W1364)&gt;0,X1364/SUM(W1364:W1364)*1000000,"N/A")</f>
        <v>N/A</v>
      </c>
      <c r="Z1364" s="80"/>
      <c r="AA1364" s="80"/>
      <c r="AB1364" s="73"/>
      <c r="AC1364" s="153"/>
      <c r="AD1364" s="331"/>
      <c r="AE1364" s="57"/>
      <c r="AF1364" s="88"/>
      <c r="AG1364" s="182">
        <f>YEAR(D1364)</f>
        <v>2021</v>
      </c>
      <c r="AH1364" s="86" t="str">
        <f>+IF(AE1364=$AJ$22,MONTH(T1364),"")</f>
        <v/>
      </c>
      <c r="AI1364" s="86" t="str">
        <f>+IF(AF1364=$AJ$22,MONTH(U1364),"")</f>
        <v/>
      </c>
      <c r="AJ1364" s="86" t="str">
        <f>+IF(AG1364=$AJ$22,MONTH(V1364),"")</f>
        <v/>
      </c>
      <c r="AK1364" s="86" t="str">
        <f>+IF(AG1364=$AK$22,MONTH(V1364),"")</f>
        <v/>
      </c>
      <c r="AL1364" s="86" t="str">
        <f>+IF(AG1364=$AL$22,MONTH(V1364),"")</f>
        <v/>
      </c>
      <c r="AM1364" s="86">
        <f>+IF($AG1364=$AM$22,MONTH($D1364),"")</f>
        <v>8</v>
      </c>
      <c r="AN1364" s="89" t="str">
        <f>+IF($AG1364=AN$22,MONTH($D1364),"")</f>
        <v/>
      </c>
      <c r="AO1364" s="89" t="str">
        <f>+IF($AG1364=AO$22,MONTH($D1364),"")</f>
        <v/>
      </c>
      <c r="AP1364" s="89" t="str">
        <f>+IF($AG1364=AP$22,MONTH($D1364),"")</f>
        <v/>
      </c>
      <c r="AQ1364" s="89" t="str">
        <f>+IF($AG1364=AQ$22,MONTH($D1364),"")</f>
        <v/>
      </c>
      <c r="AR1364" s="89" t="str">
        <f>+IF($AG1364=AR$22,MONTH($D1364),"")</f>
        <v/>
      </c>
      <c r="AS1364" s="89" t="str">
        <f>+IF($AG1364=AS$22,MONTH($D1364),"")</f>
        <v/>
      </c>
      <c r="AT1364" s="89" t="str">
        <f>+IF($AG1364=AT$22,MONTH($D1364),"")</f>
        <v/>
      </c>
      <c r="AU1364" s="89" t="str">
        <f>+IF($AG1364=AU$22,MONTH($D1364),"")</f>
        <v/>
      </c>
      <c r="AV1364" s="89" t="str">
        <f>+IF($AG1364=AV$22,MONTH($D1364),"")</f>
        <v/>
      </c>
      <c r="AW1364" s="86" t="str">
        <f>+IF($AG1364=AW$22,MONTH($D1364),"")</f>
        <v/>
      </c>
      <c r="AX1364" s="86" t="str">
        <f>+IF($AG1364=AX$22,MONTH($D1364),"")</f>
        <v/>
      </c>
      <c r="AY1364" s="89"/>
      <c r="AZ1364" s="89"/>
      <c r="BA1364" s="89"/>
      <c r="BB1364" s="89"/>
      <c r="BC1364" s="89"/>
      <c r="BD1364" s="89"/>
      <c r="BE1364" s="89"/>
      <c r="BF1364" s="89"/>
      <c r="BG1364" s="89"/>
      <c r="BH1364" s="89"/>
      <c r="BI1364" s="89"/>
      <c r="BJ1364" s="89"/>
      <c r="BK1364" s="89"/>
      <c r="BL1364" s="89"/>
      <c r="BM1364" s="89"/>
      <c r="BN1364" s="89"/>
      <c r="BO1364" s="89"/>
      <c r="BP1364" s="89"/>
    </row>
    <row r="1365" spans="1:68" s="56" customFormat="1" ht="27" hidden="1">
      <c r="A1365" s="204" t="str">
        <f>+IFERROR(VALUE(MID(AB1365,4,4)),"")</f>
        <v/>
      </c>
      <c r="B1365" s="204">
        <f>VALUE(RIGHT(C1365,LEN(C1365)-2))</f>
        <v>1359</v>
      </c>
      <c r="C1365" s="74" t="s">
        <v>5160</v>
      </c>
      <c r="D1365" s="75">
        <v>44423</v>
      </c>
      <c r="E1365" s="70" t="s">
        <v>394</v>
      </c>
      <c r="F1365" s="70" t="s">
        <v>394</v>
      </c>
      <c r="G1365" s="68" t="s">
        <v>5161</v>
      </c>
      <c r="H1365" s="59" t="s">
        <v>5162</v>
      </c>
      <c r="I1365" s="69" t="s">
        <v>5163</v>
      </c>
      <c r="J1365" s="69"/>
      <c r="K1365" s="95" t="s">
        <v>11</v>
      </c>
      <c r="L1365" s="69" t="s">
        <v>123</v>
      </c>
      <c r="M1365" s="71" t="s">
        <v>141</v>
      </c>
      <c r="N1365" s="69" t="e" vm="1">
        <v>#VALUE!</v>
      </c>
      <c r="O1365" s="84">
        <v>44455</v>
      </c>
      <c r="P1365" s="72" t="s">
        <v>285</v>
      </c>
      <c r="Q1365" s="72" t="s">
        <v>259</v>
      </c>
      <c r="R1365" s="162"/>
      <c r="S1365" s="146" t="s">
        <v>5164</v>
      </c>
      <c r="T1365" s="68" t="s">
        <v>165</v>
      </c>
      <c r="U1365" s="87"/>
      <c r="V1365" s="80">
        <v>44431</v>
      </c>
      <c r="W1365" s="73">
        <v>1653</v>
      </c>
      <c r="X1365" s="73">
        <v>66</v>
      </c>
      <c r="Y1365" s="83">
        <f>IF(SUM(W1365:W1365)&gt;0,X1365/SUM(W1365:W1365)*1000000,"N/A")</f>
        <v>39927.404718693288</v>
      </c>
      <c r="Z1365" s="80"/>
      <c r="AA1365" s="80"/>
      <c r="AB1365" s="73"/>
      <c r="AC1365" s="153"/>
      <c r="AD1365" s="331"/>
      <c r="AE1365" s="57"/>
      <c r="AF1365" s="88"/>
      <c r="AG1365" s="182">
        <f>YEAR(D1365)</f>
        <v>2021</v>
      </c>
      <c r="AH1365" s="86" t="str">
        <f>+IF(AE1365=$AJ$22,MONTH(T1365),"")</f>
        <v/>
      </c>
      <c r="AI1365" s="86" t="str">
        <f>+IF(AF1365=$AJ$22,MONTH(U1365),"")</f>
        <v/>
      </c>
      <c r="AJ1365" s="86" t="str">
        <f>+IF(AG1365=$AJ$22,MONTH(V1365),"")</f>
        <v/>
      </c>
      <c r="AK1365" s="86" t="str">
        <f>+IF(AG1365=$AK$22,MONTH(V1365),"")</f>
        <v/>
      </c>
      <c r="AL1365" s="86" t="str">
        <f>+IF(AG1365=$AL$22,MONTH(V1365),"")</f>
        <v/>
      </c>
      <c r="AM1365" s="86">
        <f>+IF($AG1365=$AM$22,MONTH($D1365),"")</f>
        <v>8</v>
      </c>
      <c r="AN1365" s="89" t="str">
        <f>+IF($AG1365=AN$22,MONTH($D1365),"")</f>
        <v/>
      </c>
      <c r="AO1365" s="89" t="str">
        <f>+IF($AG1365=AO$22,MONTH($D1365),"")</f>
        <v/>
      </c>
      <c r="AP1365" s="89" t="str">
        <f>+IF($AG1365=AP$22,MONTH($D1365),"")</f>
        <v/>
      </c>
      <c r="AQ1365" s="89" t="str">
        <f>+IF($AG1365=AQ$22,MONTH($D1365),"")</f>
        <v/>
      </c>
      <c r="AR1365" s="89" t="str">
        <f>+IF($AG1365=AR$22,MONTH($D1365),"")</f>
        <v/>
      </c>
      <c r="AS1365" s="89" t="str">
        <f>+IF($AG1365=AS$22,MONTH($D1365),"")</f>
        <v/>
      </c>
      <c r="AT1365" s="89" t="str">
        <f>+IF($AG1365=AT$22,MONTH($D1365),"")</f>
        <v/>
      </c>
      <c r="AU1365" s="89" t="str">
        <f>+IF($AG1365=AU$22,MONTH($D1365),"")</f>
        <v/>
      </c>
      <c r="AV1365" s="89" t="str">
        <f>+IF($AG1365=AV$22,MONTH($D1365),"")</f>
        <v/>
      </c>
      <c r="AW1365" s="86" t="str">
        <f>+IF($AG1365=AW$22,MONTH($D1365),"")</f>
        <v/>
      </c>
      <c r="AX1365" s="86" t="str">
        <f>+IF($AG1365=AX$22,MONTH($D1365),"")</f>
        <v/>
      </c>
      <c r="AY1365" s="89"/>
      <c r="AZ1365" s="89"/>
      <c r="BA1365" s="89"/>
      <c r="BB1365" s="89"/>
      <c r="BC1365" s="89"/>
      <c r="BD1365" s="89"/>
      <c r="BE1365" s="89"/>
      <c r="BF1365" s="89"/>
      <c r="BG1365" s="89"/>
      <c r="BH1365" s="89"/>
      <c r="BI1365" s="89"/>
      <c r="BJ1365" s="89"/>
      <c r="BK1365" s="89"/>
      <c r="BL1365" s="89"/>
      <c r="BM1365" s="89"/>
      <c r="BN1365" s="89"/>
      <c r="BO1365" s="89"/>
      <c r="BP1365" s="89"/>
    </row>
    <row r="1366" spans="1:68" s="56" customFormat="1" ht="81" hidden="1">
      <c r="A1366" s="204" t="str">
        <f>+IFERROR(VALUE(MID(AB1366,4,4)),"")</f>
        <v/>
      </c>
      <c r="B1366" s="204">
        <f>VALUE(RIGHT(C1366,LEN(C1366)-2))</f>
        <v>1358</v>
      </c>
      <c r="C1366" s="74" t="s">
        <v>5165</v>
      </c>
      <c r="D1366" s="75">
        <v>44423</v>
      </c>
      <c r="E1366" s="70" t="s">
        <v>67</v>
      </c>
      <c r="F1366" s="70" t="s">
        <v>67</v>
      </c>
      <c r="G1366" s="68" t="s">
        <v>5166</v>
      </c>
      <c r="H1366" s="59" t="s">
        <v>5167</v>
      </c>
      <c r="I1366" s="69" t="s">
        <v>5168</v>
      </c>
      <c r="J1366" s="69"/>
      <c r="K1366" s="95" t="s">
        <v>11</v>
      </c>
      <c r="L1366" s="69" t="s">
        <v>123</v>
      </c>
      <c r="M1366" s="71" t="s">
        <v>141</v>
      </c>
      <c r="N1366" s="69" t="e" vm="1">
        <v>#VALUE!</v>
      </c>
      <c r="O1366" s="84">
        <v>44463</v>
      </c>
      <c r="P1366" s="72" t="s">
        <v>134</v>
      </c>
      <c r="Q1366" s="72" t="s">
        <v>623</v>
      </c>
      <c r="R1366" s="162"/>
      <c r="S1366" s="146" t="s">
        <v>5156</v>
      </c>
      <c r="T1366" s="68" t="s">
        <v>155</v>
      </c>
      <c r="U1366" s="87"/>
      <c r="V1366" s="80">
        <v>44431</v>
      </c>
      <c r="W1366" s="73"/>
      <c r="X1366" s="73"/>
      <c r="Y1366" s="83" t="str">
        <f>IF(SUM(W1366:W1366)&gt;0,X1366/SUM(W1366:W1366)*1000000,"N/A")</f>
        <v>N/A</v>
      </c>
      <c r="Z1366" s="80"/>
      <c r="AA1366" s="80"/>
      <c r="AB1366" s="73"/>
      <c r="AC1366" s="153"/>
      <c r="AD1366" s="331"/>
      <c r="AE1366" s="57"/>
      <c r="AF1366" s="88"/>
      <c r="AG1366" s="182">
        <f>YEAR(D1366)</f>
        <v>2021</v>
      </c>
      <c r="AH1366" s="86" t="str">
        <f>+IF(AE1366=$AJ$22,MONTH(T1366),"")</f>
        <v/>
      </c>
      <c r="AI1366" s="86" t="str">
        <f>+IF(AF1366=$AJ$22,MONTH(U1366),"")</f>
        <v/>
      </c>
      <c r="AJ1366" s="86" t="str">
        <f>+IF(AG1366=$AJ$22,MONTH(V1366),"")</f>
        <v/>
      </c>
      <c r="AK1366" s="86" t="str">
        <f>+IF(AG1366=$AK$22,MONTH(V1366),"")</f>
        <v/>
      </c>
      <c r="AL1366" s="86" t="str">
        <f>+IF(AG1366=$AL$22,MONTH(V1366),"")</f>
        <v/>
      </c>
      <c r="AM1366" s="86">
        <f>+IF($AG1366=$AM$22,MONTH($D1366),"")</f>
        <v>8</v>
      </c>
      <c r="AN1366" s="89" t="str">
        <f>+IF($AG1366=AN$22,MONTH($D1366),"")</f>
        <v/>
      </c>
      <c r="AO1366" s="89" t="str">
        <f>+IF($AG1366=AO$22,MONTH($D1366),"")</f>
        <v/>
      </c>
      <c r="AP1366" s="89" t="str">
        <f>+IF($AG1366=AP$22,MONTH($D1366),"")</f>
        <v/>
      </c>
      <c r="AQ1366" s="89" t="str">
        <f>+IF($AG1366=AQ$22,MONTH($D1366),"")</f>
        <v/>
      </c>
      <c r="AR1366" s="89" t="str">
        <f>+IF($AG1366=AR$22,MONTH($D1366),"")</f>
        <v/>
      </c>
      <c r="AS1366" s="89" t="str">
        <f>+IF($AG1366=AS$22,MONTH($D1366),"")</f>
        <v/>
      </c>
      <c r="AT1366" s="89" t="str">
        <f>+IF($AG1366=AT$22,MONTH($D1366),"")</f>
        <v/>
      </c>
      <c r="AU1366" s="89" t="str">
        <f>+IF($AG1366=AU$22,MONTH($D1366),"")</f>
        <v/>
      </c>
      <c r="AV1366" s="89" t="str">
        <f>+IF($AG1366=AV$22,MONTH($D1366),"")</f>
        <v/>
      </c>
      <c r="AW1366" s="86" t="str">
        <f>+IF($AG1366=AW$22,MONTH($D1366),"")</f>
        <v/>
      </c>
      <c r="AX1366" s="86" t="str">
        <f>+IF($AG1366=AX$22,MONTH($D1366),"")</f>
        <v/>
      </c>
      <c r="AY1366" s="89"/>
      <c r="AZ1366" s="89"/>
      <c r="BA1366" s="89"/>
      <c r="BB1366" s="89"/>
      <c r="BC1366" s="89"/>
      <c r="BD1366" s="89"/>
      <c r="BE1366" s="89"/>
      <c r="BF1366" s="89"/>
      <c r="BG1366" s="89"/>
      <c r="BH1366" s="89"/>
      <c r="BI1366" s="89"/>
      <c r="BJ1366" s="89"/>
      <c r="BK1366" s="89"/>
      <c r="BL1366" s="89"/>
      <c r="BM1366" s="89"/>
      <c r="BN1366" s="89"/>
      <c r="BO1366" s="89"/>
      <c r="BP1366" s="89"/>
    </row>
    <row r="1367" spans="1:68" s="56" customFormat="1" ht="94.5" hidden="1">
      <c r="A1367" s="204" t="str">
        <f>+IFERROR(VALUE(MID(AB1367,4,4)),"")</f>
        <v/>
      </c>
      <c r="B1367" s="204">
        <f>VALUE(RIGHT(C1367,LEN(C1367)-2))</f>
        <v>1357</v>
      </c>
      <c r="C1367" s="74" t="s">
        <v>5169</v>
      </c>
      <c r="D1367" s="75">
        <v>44421</v>
      </c>
      <c r="E1367" s="70" t="s">
        <v>53</v>
      </c>
      <c r="F1367" s="70" t="s">
        <v>252</v>
      </c>
      <c r="G1367" s="68" t="s">
        <v>5065</v>
      </c>
      <c r="H1367" s="59" t="s">
        <v>5170</v>
      </c>
      <c r="I1367" s="69" t="s">
        <v>5171</v>
      </c>
      <c r="J1367" s="69"/>
      <c r="K1367" s="95" t="s">
        <v>11</v>
      </c>
      <c r="L1367" s="69" t="s">
        <v>123</v>
      </c>
      <c r="M1367" s="71" t="s">
        <v>141</v>
      </c>
      <c r="N1367" s="69" t="e" vm="1">
        <v>#VALUE!</v>
      </c>
      <c r="O1367" s="84">
        <v>44461</v>
      </c>
      <c r="P1367" s="72" t="s">
        <v>402</v>
      </c>
      <c r="Q1367" s="72" t="s">
        <v>623</v>
      </c>
      <c r="R1367" s="162"/>
      <c r="S1367" s="146" t="s">
        <v>5172</v>
      </c>
      <c r="T1367" s="68" t="s">
        <v>155</v>
      </c>
      <c r="U1367" s="87"/>
      <c r="V1367" s="80">
        <v>44424</v>
      </c>
      <c r="W1367" s="73"/>
      <c r="X1367" s="73"/>
      <c r="Y1367" s="83" t="str">
        <f>IF(SUM(W1367:W1367)&gt;0,X1367/SUM(W1367:W1367)*1000000,"N/A")</f>
        <v>N/A</v>
      </c>
      <c r="Z1367" s="80"/>
      <c r="AA1367" s="80"/>
      <c r="AB1367" s="73"/>
      <c r="AC1367" s="153"/>
      <c r="AD1367" s="331"/>
      <c r="AE1367" s="57"/>
      <c r="AF1367" s="88"/>
      <c r="AG1367" s="182">
        <f>YEAR(D1367)</f>
        <v>2021</v>
      </c>
      <c r="AH1367" s="86" t="str">
        <f>+IF(AE1367=$AJ$22,MONTH(T1367),"")</f>
        <v/>
      </c>
      <c r="AI1367" s="86" t="str">
        <f>+IF(AF1367=$AJ$22,MONTH(U1367),"")</f>
        <v/>
      </c>
      <c r="AJ1367" s="86" t="str">
        <f>+IF(AG1367=$AJ$22,MONTH(V1367),"")</f>
        <v/>
      </c>
      <c r="AK1367" s="86" t="str">
        <f>+IF(AG1367=$AK$22,MONTH(V1367),"")</f>
        <v/>
      </c>
      <c r="AL1367" s="86" t="str">
        <f>+IF(AG1367=$AL$22,MONTH(V1367),"")</f>
        <v/>
      </c>
      <c r="AM1367" s="86">
        <f>+IF($AG1367=$AM$22,MONTH($D1367),"")</f>
        <v>8</v>
      </c>
      <c r="AN1367" s="89" t="str">
        <f>+IF($AG1367=AN$22,MONTH($D1367),"")</f>
        <v/>
      </c>
      <c r="AO1367" s="89" t="str">
        <f>+IF($AG1367=AO$22,MONTH($D1367),"")</f>
        <v/>
      </c>
      <c r="AP1367" s="89" t="str">
        <f>+IF($AG1367=AP$22,MONTH($D1367),"")</f>
        <v/>
      </c>
      <c r="AQ1367" s="89" t="str">
        <f>+IF($AG1367=AQ$22,MONTH($D1367),"")</f>
        <v/>
      </c>
      <c r="AR1367" s="89" t="str">
        <f>+IF($AG1367=AR$22,MONTH($D1367),"")</f>
        <v/>
      </c>
      <c r="AS1367" s="89" t="str">
        <f>+IF($AG1367=AS$22,MONTH($D1367),"")</f>
        <v/>
      </c>
      <c r="AT1367" s="89" t="str">
        <f>+IF($AG1367=AT$22,MONTH($D1367),"")</f>
        <v/>
      </c>
      <c r="AU1367" s="89" t="str">
        <f>+IF($AG1367=AU$22,MONTH($D1367),"")</f>
        <v/>
      </c>
      <c r="AV1367" s="89" t="str">
        <f>+IF($AG1367=AV$22,MONTH($D1367),"")</f>
        <v/>
      </c>
      <c r="AW1367" s="86" t="str">
        <f>+IF($AG1367=AW$22,MONTH($D1367),"")</f>
        <v/>
      </c>
      <c r="AX1367" s="86" t="str">
        <f>+IF($AG1367=AX$22,MONTH($D1367),"")</f>
        <v/>
      </c>
      <c r="AY1367" s="89"/>
      <c r="AZ1367" s="89"/>
      <c r="BA1367" s="89"/>
      <c r="BB1367" s="89"/>
      <c r="BC1367" s="89"/>
      <c r="BD1367" s="89"/>
      <c r="BE1367" s="89"/>
      <c r="BF1367" s="89"/>
      <c r="BG1367" s="89"/>
      <c r="BH1367" s="89"/>
      <c r="BI1367" s="89"/>
      <c r="BJ1367" s="89"/>
      <c r="BK1367" s="89"/>
      <c r="BL1367" s="89"/>
      <c r="BM1367" s="89"/>
      <c r="BN1367" s="89"/>
      <c r="BO1367" s="89"/>
      <c r="BP1367" s="89"/>
    </row>
    <row r="1368" spans="1:68" s="56" customFormat="1" ht="67.5" hidden="1">
      <c r="A1368" s="204" t="str">
        <f>+IFERROR(VALUE(MID(AB1368,4,4)),"")</f>
        <v/>
      </c>
      <c r="B1368" s="204">
        <f>VALUE(RIGHT(C1368,LEN(C1368)-2))</f>
        <v>1356</v>
      </c>
      <c r="C1368" s="74" t="s">
        <v>5173</v>
      </c>
      <c r="D1368" s="75">
        <v>44391</v>
      </c>
      <c r="E1368" s="70" t="s">
        <v>53</v>
      </c>
      <c r="F1368" s="70" t="s">
        <v>460</v>
      </c>
      <c r="G1368" s="68" t="s">
        <v>5174</v>
      </c>
      <c r="H1368" s="59" t="s">
        <v>256</v>
      </c>
      <c r="I1368" s="69" t="s">
        <v>5175</v>
      </c>
      <c r="J1368" s="69"/>
      <c r="K1368" s="95" t="s">
        <v>9</v>
      </c>
      <c r="L1368" s="69" t="s">
        <v>123</v>
      </c>
      <c r="M1368" s="71" t="s">
        <v>141</v>
      </c>
      <c r="N1368" s="69" t="e" vm="1">
        <v>#VALUE!</v>
      </c>
      <c r="O1368" s="84"/>
      <c r="P1368" s="72" t="s">
        <v>228</v>
      </c>
      <c r="Q1368" s="72" t="s">
        <v>259</v>
      </c>
      <c r="R1368" s="162"/>
      <c r="S1368" s="146" t="s">
        <v>5176</v>
      </c>
      <c r="T1368" s="68" t="s">
        <v>155</v>
      </c>
      <c r="U1368" s="87"/>
      <c r="V1368" s="80">
        <v>44424</v>
      </c>
      <c r="W1368" s="73"/>
      <c r="X1368" s="73"/>
      <c r="Y1368" s="83" t="str">
        <f>IF(SUM(W1368:W1368)&gt;0,X1368/SUM(W1368:W1368)*1000000,"N/A")</f>
        <v>N/A</v>
      </c>
      <c r="Z1368" s="80"/>
      <c r="AA1368" s="80"/>
      <c r="AB1368" s="73"/>
      <c r="AC1368" s="153"/>
      <c r="AD1368" s="331"/>
      <c r="AE1368" s="57"/>
      <c r="AF1368" s="88"/>
      <c r="AG1368" s="182">
        <f>YEAR(D1368)</f>
        <v>2021</v>
      </c>
      <c r="AH1368" s="86" t="str">
        <f>+IF(AE1368=$AJ$22,MONTH(T1368),"")</f>
        <v/>
      </c>
      <c r="AI1368" s="86" t="str">
        <f>+IF(AF1368=$AJ$22,MONTH(U1368),"")</f>
        <v/>
      </c>
      <c r="AJ1368" s="86" t="str">
        <f>+IF(AG1368=$AJ$22,MONTH(V1368),"")</f>
        <v/>
      </c>
      <c r="AK1368" s="86" t="str">
        <f>+IF(AG1368=$AK$22,MONTH(V1368),"")</f>
        <v/>
      </c>
      <c r="AL1368" s="86" t="str">
        <f>+IF(AG1368=$AL$22,MONTH(V1368),"")</f>
        <v/>
      </c>
      <c r="AM1368" s="86">
        <f>+IF($AG1368=$AM$22,MONTH($D1368),"")</f>
        <v>7</v>
      </c>
      <c r="AN1368" s="89" t="str">
        <f>+IF($AG1368=AN$22,MONTH($D1368),"")</f>
        <v/>
      </c>
      <c r="AO1368" s="89" t="str">
        <f>+IF($AG1368=AO$22,MONTH($D1368),"")</f>
        <v/>
      </c>
      <c r="AP1368" s="89" t="str">
        <f>+IF($AG1368=AP$22,MONTH($D1368),"")</f>
        <v/>
      </c>
      <c r="AQ1368" s="89" t="str">
        <f>+IF($AG1368=AQ$22,MONTH($D1368),"")</f>
        <v/>
      </c>
      <c r="AR1368" s="89" t="str">
        <f>+IF($AG1368=AR$22,MONTH($D1368),"")</f>
        <v/>
      </c>
      <c r="AS1368" s="89" t="str">
        <f>+IF($AG1368=AS$22,MONTH($D1368),"")</f>
        <v/>
      </c>
      <c r="AT1368" s="89" t="str">
        <f>+IF($AG1368=AT$22,MONTH($D1368),"")</f>
        <v/>
      </c>
      <c r="AU1368" s="89" t="str">
        <f>+IF($AG1368=AU$22,MONTH($D1368),"")</f>
        <v/>
      </c>
      <c r="AV1368" s="89" t="str">
        <f>+IF($AG1368=AV$22,MONTH($D1368),"")</f>
        <v/>
      </c>
      <c r="AW1368" s="86" t="str">
        <f>+IF($AG1368=AW$22,MONTH($D1368),"")</f>
        <v/>
      </c>
      <c r="AX1368" s="86" t="str">
        <f>+IF($AG1368=AX$22,MONTH($D1368),"")</f>
        <v/>
      </c>
      <c r="AY1368" s="89"/>
      <c r="AZ1368" s="89"/>
      <c r="BA1368" s="89"/>
      <c r="BB1368" s="89"/>
      <c r="BC1368" s="89"/>
      <c r="BD1368" s="89"/>
      <c r="BE1368" s="89"/>
      <c r="BF1368" s="89"/>
      <c r="BG1368" s="89"/>
      <c r="BH1368" s="89"/>
      <c r="BI1368" s="89"/>
      <c r="BJ1368" s="89"/>
      <c r="BK1368" s="89"/>
      <c r="BL1368" s="89"/>
      <c r="BM1368" s="89"/>
      <c r="BN1368" s="89"/>
      <c r="BO1368" s="89"/>
      <c r="BP1368" s="89"/>
    </row>
    <row r="1369" spans="1:68" s="56" customFormat="1" ht="148.5" hidden="1">
      <c r="A1369" s="204" t="str">
        <f>+IFERROR(VALUE(MID(AB1369,4,4)),"")</f>
        <v/>
      </c>
      <c r="B1369" s="204">
        <f>VALUE(RIGHT(C1369,LEN(C1369)-2))</f>
        <v>1355</v>
      </c>
      <c r="C1369" s="74" t="s">
        <v>5177</v>
      </c>
      <c r="D1369" s="75">
        <v>44420</v>
      </c>
      <c r="E1369" s="70" t="s">
        <v>53</v>
      </c>
      <c r="F1369" s="70" t="s">
        <v>252</v>
      </c>
      <c r="G1369" s="68" t="s">
        <v>5178</v>
      </c>
      <c r="H1369" s="59" t="s">
        <v>256</v>
      </c>
      <c r="I1369" s="69" t="s">
        <v>5179</v>
      </c>
      <c r="J1369" s="69"/>
      <c r="K1369" s="95" t="s">
        <v>1841</v>
      </c>
      <c r="L1369" s="69" t="s">
        <v>123</v>
      </c>
      <c r="M1369" s="71" t="s">
        <v>141</v>
      </c>
      <c r="N1369" s="69" t="e" vm="1">
        <v>#VALUE!</v>
      </c>
      <c r="O1369" s="84">
        <v>44455</v>
      </c>
      <c r="P1369" s="72" t="s">
        <v>2852</v>
      </c>
      <c r="Q1369" s="72" t="s">
        <v>1097</v>
      </c>
      <c r="R1369" s="162"/>
      <c r="S1369" s="146" t="s">
        <v>5180</v>
      </c>
      <c r="T1369" s="68" t="s">
        <v>165</v>
      </c>
      <c r="U1369" s="87"/>
      <c r="V1369" s="80">
        <v>44419</v>
      </c>
      <c r="W1369" s="73">
        <v>464</v>
      </c>
      <c r="X1369" s="73">
        <v>20.5</v>
      </c>
      <c r="Y1369" s="83">
        <f>IF(SUM(W1369:W1369)&gt;0,X1369/SUM(W1369:W1369)*1000000,"N/A")</f>
        <v>44181.034482758616</v>
      </c>
      <c r="Z1369" s="80"/>
      <c r="AA1369" s="80"/>
      <c r="AB1369" s="73"/>
      <c r="AC1369" s="153"/>
      <c r="AD1369" s="331"/>
      <c r="AE1369" s="57"/>
      <c r="AF1369" s="88"/>
      <c r="AG1369" s="182">
        <f>YEAR(D1369)</f>
        <v>2021</v>
      </c>
      <c r="AH1369" s="86" t="str">
        <f>+IF(AE1369=$AJ$22,MONTH(T1369),"")</f>
        <v/>
      </c>
      <c r="AI1369" s="86" t="str">
        <f>+IF(AF1369=$AJ$22,MONTH(U1369),"")</f>
        <v/>
      </c>
      <c r="AJ1369" s="86" t="str">
        <f>+IF(AG1369=$AJ$22,MONTH(V1369),"")</f>
        <v/>
      </c>
      <c r="AK1369" s="86" t="str">
        <f>+IF(AG1369=$AK$22,MONTH(V1369),"")</f>
        <v/>
      </c>
      <c r="AL1369" s="86" t="str">
        <f>+IF(AG1369=$AL$22,MONTH(V1369),"")</f>
        <v/>
      </c>
      <c r="AM1369" s="86">
        <f>+IF($AG1369=$AM$22,MONTH($D1369),"")</f>
        <v>8</v>
      </c>
      <c r="AN1369" s="89" t="str">
        <f>+IF($AG1369=AN$22,MONTH($D1369),"")</f>
        <v/>
      </c>
      <c r="AO1369" s="89" t="str">
        <f>+IF($AG1369=AO$22,MONTH($D1369),"")</f>
        <v/>
      </c>
      <c r="AP1369" s="89" t="str">
        <f>+IF($AG1369=AP$22,MONTH($D1369),"")</f>
        <v/>
      </c>
      <c r="AQ1369" s="89" t="str">
        <f>+IF($AG1369=AQ$22,MONTH($D1369),"")</f>
        <v/>
      </c>
      <c r="AR1369" s="89" t="str">
        <f>+IF($AG1369=AR$22,MONTH($D1369),"")</f>
        <v/>
      </c>
      <c r="AS1369" s="89" t="str">
        <f>+IF($AG1369=AS$22,MONTH($D1369),"")</f>
        <v/>
      </c>
      <c r="AT1369" s="89" t="str">
        <f>+IF($AG1369=AT$22,MONTH($D1369),"")</f>
        <v/>
      </c>
      <c r="AU1369" s="89" t="str">
        <f>+IF($AG1369=AU$22,MONTH($D1369),"")</f>
        <v/>
      </c>
      <c r="AV1369" s="89" t="str">
        <f>+IF($AG1369=AV$22,MONTH($D1369),"")</f>
        <v/>
      </c>
      <c r="AW1369" s="86" t="str">
        <f>+IF($AG1369=AW$22,MONTH($D1369),"")</f>
        <v/>
      </c>
      <c r="AX1369" s="86" t="str">
        <f>+IF($AG1369=AX$22,MONTH($D1369),"")</f>
        <v/>
      </c>
      <c r="AY1369" s="89"/>
      <c r="AZ1369" s="89"/>
      <c r="BA1369" s="89"/>
      <c r="BB1369" s="89"/>
      <c r="BC1369" s="89"/>
      <c r="BD1369" s="89"/>
      <c r="BE1369" s="89"/>
      <c r="BF1369" s="89"/>
      <c r="BG1369" s="89"/>
      <c r="BH1369" s="89"/>
      <c r="BI1369" s="89"/>
      <c r="BJ1369" s="89"/>
      <c r="BK1369" s="89"/>
      <c r="BL1369" s="89"/>
      <c r="BM1369" s="89"/>
      <c r="BN1369" s="89"/>
      <c r="BO1369" s="89"/>
      <c r="BP1369" s="89"/>
    </row>
    <row r="1370" spans="1:68" s="56" customFormat="1" ht="13.5" hidden="1">
      <c r="A1370" s="204">
        <f>+IFERROR(VALUE(MID(AB1370,4,4)),"")</f>
        <v>279</v>
      </c>
      <c r="B1370" s="204">
        <f>VALUE(RIGHT(C1370,LEN(C1370)-2))</f>
        <v>1354</v>
      </c>
      <c r="C1370" s="74" t="s">
        <v>5181</v>
      </c>
      <c r="D1370" s="75">
        <v>44420</v>
      </c>
      <c r="E1370" s="70" t="s">
        <v>394</v>
      </c>
      <c r="F1370" s="70" t="s">
        <v>394</v>
      </c>
      <c r="G1370" s="68" t="s">
        <v>4108</v>
      </c>
      <c r="H1370" s="59" t="s">
        <v>4109</v>
      </c>
      <c r="I1370" s="69" t="s">
        <v>5182</v>
      </c>
      <c r="J1370" s="69"/>
      <c r="K1370" s="68" t="s">
        <v>13</v>
      </c>
      <c r="L1370" s="69" t="s">
        <v>120</v>
      </c>
      <c r="M1370" s="71" t="s">
        <v>141</v>
      </c>
      <c r="N1370" s="69" t="e" vm="1">
        <v>#VALUE!</v>
      </c>
      <c r="O1370" s="84">
        <v>44447</v>
      </c>
      <c r="P1370" s="72" t="s">
        <v>402</v>
      </c>
      <c r="Q1370" s="72" t="s">
        <v>229</v>
      </c>
      <c r="R1370" s="162"/>
      <c r="S1370" s="146" t="s">
        <v>5183</v>
      </c>
      <c r="T1370" s="68" t="s">
        <v>3</v>
      </c>
      <c r="U1370" s="87"/>
      <c r="V1370" s="80">
        <v>44448</v>
      </c>
      <c r="W1370" s="73">
        <v>1255</v>
      </c>
      <c r="X1370" s="73">
        <v>56.9</v>
      </c>
      <c r="Y1370" s="83">
        <f>IF(SUM(W1370:W1370)&gt;0,X1370/SUM(W1370:W1370)*1000000,"N/A")</f>
        <v>45338.645418326691</v>
      </c>
      <c r="Z1370" s="80"/>
      <c r="AA1370" s="80"/>
      <c r="AB1370" s="73" t="s">
        <v>5184</v>
      </c>
      <c r="AC1370" s="153"/>
      <c r="AD1370" s="331"/>
      <c r="AE1370" s="57"/>
      <c r="AF1370" s="88"/>
      <c r="AG1370" s="182">
        <f>YEAR(D1370)</f>
        <v>2021</v>
      </c>
      <c r="AH1370" s="86" t="str">
        <f>+IF(AE1370=$AJ$22,MONTH(T1370),"")</f>
        <v/>
      </c>
      <c r="AI1370" s="86" t="str">
        <f>+IF(AF1370=$AJ$22,MONTH(U1370),"")</f>
        <v/>
      </c>
      <c r="AJ1370" s="86" t="str">
        <f>+IF(AG1370=$AJ$22,MONTH(V1370),"")</f>
        <v/>
      </c>
      <c r="AK1370" s="86" t="str">
        <f>+IF(AG1370=$AK$22,MONTH(V1370),"")</f>
        <v/>
      </c>
      <c r="AL1370" s="86" t="str">
        <f>+IF(AG1370=$AL$22,MONTH(V1370),"")</f>
        <v/>
      </c>
      <c r="AM1370" s="86">
        <f>+IF($AG1370=$AM$22,MONTH($D1370),"")</f>
        <v>8</v>
      </c>
      <c r="AN1370" s="89" t="str">
        <f>+IF($AG1370=AN$22,MONTH($D1370),"")</f>
        <v/>
      </c>
      <c r="AO1370" s="89" t="str">
        <f>+IF($AG1370=AO$22,MONTH($D1370),"")</f>
        <v/>
      </c>
      <c r="AP1370" s="89" t="str">
        <f>+IF($AG1370=AP$22,MONTH($D1370),"")</f>
        <v/>
      </c>
      <c r="AQ1370" s="89" t="str">
        <f>+IF($AG1370=AQ$22,MONTH($D1370),"")</f>
        <v/>
      </c>
      <c r="AR1370" s="89" t="str">
        <f>+IF($AG1370=AR$22,MONTH($D1370),"")</f>
        <v/>
      </c>
      <c r="AS1370" s="89" t="str">
        <f>+IF($AG1370=AS$22,MONTH($D1370),"")</f>
        <v/>
      </c>
      <c r="AT1370" s="89" t="str">
        <f>+IF($AG1370=AT$22,MONTH($D1370),"")</f>
        <v/>
      </c>
      <c r="AU1370" s="89" t="str">
        <f>+IF($AG1370=AU$22,MONTH($D1370),"")</f>
        <v/>
      </c>
      <c r="AV1370" s="89" t="str">
        <f>+IF($AG1370=AV$22,MONTH($D1370),"")</f>
        <v/>
      </c>
      <c r="AW1370" s="86" t="str">
        <f>+IF($AG1370=AW$22,MONTH($D1370),"")</f>
        <v/>
      </c>
      <c r="AX1370" s="86" t="str">
        <f>+IF($AG1370=AX$22,MONTH($D1370),"")</f>
        <v/>
      </c>
      <c r="AY1370" s="89"/>
      <c r="AZ1370" s="89"/>
      <c r="BA1370" s="89"/>
      <c r="BB1370" s="89"/>
      <c r="BC1370" s="89"/>
      <c r="BD1370" s="89"/>
      <c r="BE1370" s="89"/>
      <c r="BF1370" s="89"/>
      <c r="BG1370" s="89"/>
      <c r="BH1370" s="89"/>
      <c r="BI1370" s="89"/>
      <c r="BJ1370" s="89"/>
      <c r="BK1370" s="89"/>
      <c r="BL1370" s="89"/>
      <c r="BM1370" s="89"/>
      <c r="BN1370" s="89"/>
      <c r="BO1370" s="89"/>
      <c r="BP1370" s="89"/>
    </row>
    <row r="1371" spans="1:68" s="56" customFormat="1" ht="27" hidden="1">
      <c r="A1371" s="204">
        <f>+IFERROR(VALUE(MID(AB1371,4,4)),"")</f>
        <v>277</v>
      </c>
      <c r="B1371" s="204">
        <f>VALUE(RIGHT(C1371,LEN(C1371)-2))</f>
        <v>1353</v>
      </c>
      <c r="C1371" s="74" t="s">
        <v>5185</v>
      </c>
      <c r="D1371" s="75">
        <v>44419</v>
      </c>
      <c r="E1371" s="70" t="s">
        <v>5186</v>
      </c>
      <c r="F1371" s="70" t="s">
        <v>685</v>
      </c>
      <c r="G1371" s="68" t="s">
        <v>5187</v>
      </c>
      <c r="H1371" s="59" t="s">
        <v>5188</v>
      </c>
      <c r="I1371" s="69" t="s">
        <v>5189</v>
      </c>
      <c r="J1371" s="69"/>
      <c r="K1371" s="68" t="s">
        <v>18</v>
      </c>
      <c r="L1371" s="69" t="s">
        <v>120</v>
      </c>
      <c r="M1371" s="71" t="s">
        <v>141</v>
      </c>
      <c r="N1371" s="69" t="e" vm="1">
        <v>#VALUE!</v>
      </c>
      <c r="O1371" s="84">
        <v>44420</v>
      </c>
      <c r="P1371" s="72" t="s">
        <v>402</v>
      </c>
      <c r="Q1371" s="72" t="s">
        <v>229</v>
      </c>
      <c r="R1371" s="162"/>
      <c r="S1371" s="146" t="s">
        <v>5190</v>
      </c>
      <c r="T1371" s="68" t="s">
        <v>3</v>
      </c>
      <c r="U1371" s="87"/>
      <c r="V1371" s="80">
        <v>44433</v>
      </c>
      <c r="W1371" s="73">
        <v>100</v>
      </c>
      <c r="X1371" s="73">
        <v>7.4</v>
      </c>
      <c r="Y1371" s="83">
        <f>IF(SUM(W1371:W1371)&gt;0,X1371/SUM(W1371:W1371)*1000000,"N/A")</f>
        <v>74000.000000000015</v>
      </c>
      <c r="Z1371" s="80"/>
      <c r="AA1371" s="80"/>
      <c r="AB1371" s="73" t="s">
        <v>5191</v>
      </c>
      <c r="AC1371" s="153"/>
      <c r="AD1371" s="331"/>
      <c r="AE1371" s="57"/>
      <c r="AF1371" s="88"/>
      <c r="AG1371" s="182">
        <f>YEAR(D1371)</f>
        <v>2021</v>
      </c>
      <c r="AH1371" s="86" t="str">
        <f>+IF(AE1371=$AJ$22,MONTH(T1371),"")</f>
        <v/>
      </c>
      <c r="AI1371" s="86" t="str">
        <f>+IF(AF1371=$AJ$22,MONTH(U1371),"")</f>
        <v/>
      </c>
      <c r="AJ1371" s="86" t="str">
        <f>+IF(AG1371=$AJ$22,MONTH(V1371),"")</f>
        <v/>
      </c>
      <c r="AK1371" s="86" t="str">
        <f>+IF(AG1371=$AK$22,MONTH(V1371),"")</f>
        <v/>
      </c>
      <c r="AL1371" s="86" t="str">
        <f>+IF(AG1371=$AL$22,MONTH(V1371),"")</f>
        <v/>
      </c>
      <c r="AM1371" s="86">
        <f>+IF($AG1371=$AM$22,MONTH($D1371),"")</f>
        <v>8</v>
      </c>
      <c r="AN1371" s="89" t="str">
        <f>+IF($AG1371=AN$22,MONTH($D1371),"")</f>
        <v/>
      </c>
      <c r="AO1371" s="89" t="str">
        <f>+IF($AG1371=AO$22,MONTH($D1371),"")</f>
        <v/>
      </c>
      <c r="AP1371" s="89" t="str">
        <f>+IF($AG1371=AP$22,MONTH($D1371),"")</f>
        <v/>
      </c>
      <c r="AQ1371" s="89" t="str">
        <f>+IF($AG1371=AQ$22,MONTH($D1371),"")</f>
        <v/>
      </c>
      <c r="AR1371" s="89" t="str">
        <f>+IF($AG1371=AR$22,MONTH($D1371),"")</f>
        <v/>
      </c>
      <c r="AS1371" s="89" t="str">
        <f>+IF($AG1371=AS$22,MONTH($D1371),"")</f>
        <v/>
      </c>
      <c r="AT1371" s="89" t="str">
        <f>+IF($AG1371=AT$22,MONTH($D1371),"")</f>
        <v/>
      </c>
      <c r="AU1371" s="89" t="str">
        <f>+IF($AG1371=AU$22,MONTH($D1371),"")</f>
        <v/>
      </c>
      <c r="AV1371" s="89" t="str">
        <f>+IF($AG1371=AV$22,MONTH($D1371),"")</f>
        <v/>
      </c>
      <c r="AW1371" s="86" t="str">
        <f>+IF($AG1371=AW$22,MONTH($D1371),"")</f>
        <v/>
      </c>
      <c r="AX1371" s="86" t="str">
        <f>+IF($AG1371=AX$22,MONTH($D1371),"")</f>
        <v/>
      </c>
      <c r="AY1371" s="89"/>
      <c r="AZ1371" s="89"/>
      <c r="BA1371" s="89"/>
      <c r="BB1371" s="89"/>
      <c r="BC1371" s="89"/>
      <c r="BD1371" s="89"/>
      <c r="BE1371" s="89"/>
      <c r="BF1371" s="89"/>
      <c r="BG1371" s="89"/>
      <c r="BH1371" s="89"/>
      <c r="BI1371" s="89"/>
      <c r="BJ1371" s="89"/>
      <c r="BK1371" s="89"/>
      <c r="BL1371" s="89"/>
      <c r="BM1371" s="89"/>
      <c r="BN1371" s="89"/>
      <c r="BO1371" s="89"/>
      <c r="BP1371" s="89"/>
    </row>
    <row r="1372" spans="1:68" s="56" customFormat="1" ht="27" hidden="1">
      <c r="A1372" s="204" t="str">
        <f>+IFERROR(VALUE(MID(AB1372,4,4)),"")</f>
        <v/>
      </c>
      <c r="B1372" s="204">
        <f>VALUE(RIGHT(C1372,LEN(C1372)-2))</f>
        <v>1352</v>
      </c>
      <c r="C1372" s="74" t="s">
        <v>5192</v>
      </c>
      <c r="D1372" s="75">
        <v>44414</v>
      </c>
      <c r="E1372" s="70" t="s">
        <v>53</v>
      </c>
      <c r="F1372" s="70" t="s">
        <v>1379</v>
      </c>
      <c r="G1372" s="68"/>
      <c r="H1372" s="59"/>
      <c r="I1372" s="69" t="s">
        <v>4779</v>
      </c>
      <c r="J1372" s="69"/>
      <c r="K1372" s="68" t="s">
        <v>4922</v>
      </c>
      <c r="L1372" s="69" t="s">
        <v>123</v>
      </c>
      <c r="M1372" s="71" t="s">
        <v>141</v>
      </c>
      <c r="N1372" s="69" t="e" vm="1">
        <v>#VALUE!</v>
      </c>
      <c r="O1372" s="84">
        <v>44439</v>
      </c>
      <c r="P1372" s="72" t="s">
        <v>228</v>
      </c>
      <c r="Q1372" s="72" t="s">
        <v>623</v>
      </c>
      <c r="R1372" s="162"/>
      <c r="S1372" s="146" t="s">
        <v>5193</v>
      </c>
      <c r="T1372" s="68" t="s">
        <v>3</v>
      </c>
      <c r="U1372" s="87"/>
      <c r="V1372" s="80">
        <v>44614</v>
      </c>
      <c r="W1372" s="73">
        <v>1</v>
      </c>
      <c r="X1372" s="73"/>
      <c r="Y1372" s="83">
        <f>IF(SUM(W1372:W1372)&gt;0,X1372/SUM(W1372:W1372)*1000000,"N/A")</f>
        <v>0</v>
      </c>
      <c r="Z1372" s="80"/>
      <c r="AA1372" s="80"/>
      <c r="AB1372" s="73" t="s">
        <v>134</v>
      </c>
      <c r="AC1372" s="153"/>
      <c r="AD1372" s="331"/>
      <c r="AE1372" s="57"/>
      <c r="AF1372" s="88"/>
      <c r="AG1372" s="182">
        <f>YEAR(D1372)</f>
        <v>2021</v>
      </c>
      <c r="AH1372" s="86" t="str">
        <f>+IF(AE1372=$AJ$22,MONTH(T1372),"")</f>
        <v/>
      </c>
      <c r="AI1372" s="86" t="str">
        <f>+IF(AF1372=$AJ$22,MONTH(U1372),"")</f>
        <v/>
      </c>
      <c r="AJ1372" s="86" t="str">
        <f>+IF(AG1372=$AJ$22,MONTH(V1372),"")</f>
        <v/>
      </c>
      <c r="AK1372" s="86" t="str">
        <f>+IF(AG1372=$AK$22,MONTH(V1372),"")</f>
        <v/>
      </c>
      <c r="AL1372" s="86" t="str">
        <f>+IF(AG1372=$AL$22,MONTH(V1372),"")</f>
        <v/>
      </c>
      <c r="AM1372" s="86">
        <f>+IF($AG1372=$AM$22,MONTH($D1372),"")</f>
        <v>8</v>
      </c>
      <c r="AN1372" s="89" t="str">
        <f>+IF($AG1372=AN$22,MONTH($D1372),"")</f>
        <v/>
      </c>
      <c r="AO1372" s="89" t="str">
        <f>+IF($AG1372=AO$22,MONTH($D1372),"")</f>
        <v/>
      </c>
      <c r="AP1372" s="89" t="str">
        <f>+IF($AG1372=AP$22,MONTH($D1372),"")</f>
        <v/>
      </c>
      <c r="AQ1372" s="89" t="str">
        <f>+IF($AG1372=AQ$22,MONTH($D1372),"")</f>
        <v/>
      </c>
      <c r="AR1372" s="89" t="str">
        <f>+IF($AG1372=AR$22,MONTH($D1372),"")</f>
        <v/>
      </c>
      <c r="AS1372" s="89" t="str">
        <f>+IF($AG1372=AS$22,MONTH($D1372),"")</f>
        <v/>
      </c>
      <c r="AT1372" s="89" t="str">
        <f>+IF($AG1372=AT$22,MONTH($D1372),"")</f>
        <v/>
      </c>
      <c r="AU1372" s="89" t="str">
        <f>+IF($AG1372=AU$22,MONTH($D1372),"")</f>
        <v/>
      </c>
      <c r="AV1372" s="89" t="str">
        <f>+IF($AG1372=AV$22,MONTH($D1372),"")</f>
        <v/>
      </c>
      <c r="AW1372" s="86" t="str">
        <f>+IF($AG1372=AW$22,MONTH($D1372),"")</f>
        <v/>
      </c>
      <c r="AX1372" s="86" t="str">
        <f>+IF($AG1372=AX$22,MONTH($D1372),"")</f>
        <v/>
      </c>
      <c r="AY1372" s="89"/>
      <c r="AZ1372" s="89"/>
      <c r="BA1372" s="89"/>
      <c r="BB1372" s="89"/>
      <c r="BC1372" s="89"/>
      <c r="BD1372" s="89"/>
      <c r="BE1372" s="89"/>
      <c r="BF1372" s="89"/>
      <c r="BG1372" s="89"/>
      <c r="BH1372" s="89"/>
      <c r="BI1372" s="89"/>
      <c r="BJ1372" s="89"/>
      <c r="BK1372" s="89"/>
      <c r="BL1372" s="89"/>
      <c r="BM1372" s="89"/>
      <c r="BN1372" s="89"/>
      <c r="BO1372" s="89"/>
      <c r="BP1372" s="89"/>
    </row>
    <row r="1373" spans="1:68" s="56" customFormat="1" ht="94.5" hidden="1">
      <c r="A1373" s="204" t="str">
        <f>+IFERROR(VALUE(MID(AB1373,4,4)),"")</f>
        <v/>
      </c>
      <c r="B1373" s="204">
        <f>VALUE(RIGHT(C1373,LEN(C1373)-2))</f>
        <v>1351</v>
      </c>
      <c r="C1373" s="74" t="s">
        <v>5194</v>
      </c>
      <c r="D1373" s="75">
        <v>44414</v>
      </c>
      <c r="E1373" s="70" t="s">
        <v>53</v>
      </c>
      <c r="F1373" s="70" t="s">
        <v>252</v>
      </c>
      <c r="G1373" s="68" t="s">
        <v>5195</v>
      </c>
      <c r="H1373" s="59"/>
      <c r="I1373" s="69" t="s">
        <v>5196</v>
      </c>
      <c r="J1373" s="69"/>
      <c r="K1373" s="68" t="s">
        <v>9</v>
      </c>
      <c r="L1373" s="69" t="s">
        <v>123</v>
      </c>
      <c r="M1373" s="71" t="s">
        <v>141</v>
      </c>
      <c r="N1373" s="69" t="e" vm="1">
        <v>#VALUE!</v>
      </c>
      <c r="O1373" s="84">
        <v>44453</v>
      </c>
      <c r="P1373" s="72" t="s">
        <v>228</v>
      </c>
      <c r="Q1373" s="72" t="s">
        <v>259</v>
      </c>
      <c r="R1373" s="162"/>
      <c r="S1373" s="146" t="s">
        <v>5197</v>
      </c>
      <c r="T1373" s="68" t="s">
        <v>155</v>
      </c>
      <c r="U1373" s="87"/>
      <c r="V1373" s="80">
        <v>44446</v>
      </c>
      <c r="W1373" s="73"/>
      <c r="X1373" s="73"/>
      <c r="Y1373" s="83" t="str">
        <f>IF(SUM(W1373:W1373)&gt;0,X1373/SUM(W1373:W1373)*1000000,"N/A")</f>
        <v>N/A</v>
      </c>
      <c r="Z1373" s="80"/>
      <c r="AA1373" s="80"/>
      <c r="AB1373" s="73"/>
      <c r="AC1373" s="153"/>
      <c r="AD1373" s="331"/>
      <c r="AE1373" s="57"/>
      <c r="AF1373" s="88"/>
      <c r="AG1373" s="182">
        <f>YEAR(D1373)</f>
        <v>2021</v>
      </c>
      <c r="AH1373" s="86" t="str">
        <f>+IF(AE1373=$AJ$22,MONTH(T1373),"")</f>
        <v/>
      </c>
      <c r="AI1373" s="86" t="str">
        <f>+IF(AF1373=$AJ$22,MONTH(U1373),"")</f>
        <v/>
      </c>
      <c r="AJ1373" s="86" t="str">
        <f>+IF(AG1373=$AJ$22,MONTH(V1373),"")</f>
        <v/>
      </c>
      <c r="AK1373" s="86" t="str">
        <f>+IF(AG1373=$AK$22,MONTH(V1373),"")</f>
        <v/>
      </c>
      <c r="AL1373" s="86" t="str">
        <f>+IF(AG1373=$AL$22,MONTH(V1373),"")</f>
        <v/>
      </c>
      <c r="AM1373" s="86">
        <f>+IF($AG1373=$AM$22,MONTH($D1373),"")</f>
        <v>8</v>
      </c>
      <c r="AN1373" s="89" t="str">
        <f>+IF($AG1373=AN$22,MONTH($D1373),"")</f>
        <v/>
      </c>
      <c r="AO1373" s="89" t="str">
        <f>+IF($AG1373=AO$22,MONTH($D1373),"")</f>
        <v/>
      </c>
      <c r="AP1373" s="89" t="str">
        <f>+IF($AG1373=AP$22,MONTH($D1373),"")</f>
        <v/>
      </c>
      <c r="AQ1373" s="89" t="str">
        <f>+IF($AG1373=AQ$22,MONTH($D1373),"")</f>
        <v/>
      </c>
      <c r="AR1373" s="89" t="str">
        <f>+IF($AG1373=AR$22,MONTH($D1373),"")</f>
        <v/>
      </c>
      <c r="AS1373" s="89" t="str">
        <f>+IF($AG1373=AS$22,MONTH($D1373),"")</f>
        <v/>
      </c>
      <c r="AT1373" s="89" t="str">
        <f>+IF($AG1373=AT$22,MONTH($D1373),"")</f>
        <v/>
      </c>
      <c r="AU1373" s="89" t="str">
        <f>+IF($AG1373=AU$22,MONTH($D1373),"")</f>
        <v/>
      </c>
      <c r="AV1373" s="89" t="str">
        <f>+IF($AG1373=AV$22,MONTH($D1373),"")</f>
        <v/>
      </c>
      <c r="AW1373" s="86" t="str">
        <f>+IF($AG1373=AW$22,MONTH($D1373),"")</f>
        <v/>
      </c>
      <c r="AX1373" s="86" t="str">
        <f>+IF($AG1373=AX$22,MONTH($D1373),"")</f>
        <v/>
      </c>
      <c r="AY1373" s="89"/>
      <c r="AZ1373" s="89"/>
      <c r="BA1373" s="89"/>
      <c r="BB1373" s="89"/>
      <c r="BC1373" s="89"/>
      <c r="BD1373" s="89"/>
      <c r="BE1373" s="89"/>
      <c r="BF1373" s="89"/>
      <c r="BG1373" s="89"/>
      <c r="BH1373" s="89"/>
      <c r="BI1373" s="89"/>
      <c r="BJ1373" s="89"/>
      <c r="BK1373" s="89"/>
      <c r="BL1373" s="89"/>
      <c r="BM1373" s="89"/>
      <c r="BN1373" s="89"/>
      <c r="BO1373" s="89"/>
      <c r="BP1373" s="89"/>
    </row>
    <row r="1374" spans="1:68" s="56" customFormat="1" ht="27" hidden="1">
      <c r="A1374" s="204" t="str">
        <f>+IFERROR(VALUE(MID(AB1374,4,4)),"")</f>
        <v/>
      </c>
      <c r="B1374" s="204">
        <f>VALUE(RIGHT(C1374,LEN(C1374)-2))</f>
        <v>1350</v>
      </c>
      <c r="C1374" s="74" t="s">
        <v>5198</v>
      </c>
      <c r="D1374" s="75">
        <v>44412</v>
      </c>
      <c r="E1374" s="70" t="s">
        <v>479</v>
      </c>
      <c r="F1374" s="70" t="s">
        <v>479</v>
      </c>
      <c r="G1374" s="68" t="s">
        <v>3886</v>
      </c>
      <c r="H1374" s="59"/>
      <c r="I1374" s="69" t="s">
        <v>5199</v>
      </c>
      <c r="J1374" s="69"/>
      <c r="K1374" s="68" t="s">
        <v>1286</v>
      </c>
      <c r="L1374" s="69" t="s">
        <v>123</v>
      </c>
      <c r="M1374" s="71" t="s">
        <v>113</v>
      </c>
      <c r="N1374" s="69" t="e" vm="2">
        <v>#VALUE!</v>
      </c>
      <c r="O1374" s="84">
        <v>44419</v>
      </c>
      <c r="P1374" s="72" t="s">
        <v>402</v>
      </c>
      <c r="Q1374" s="72" t="s">
        <v>1097</v>
      </c>
      <c r="R1374" s="162"/>
      <c r="S1374" s="146" t="s">
        <v>5133</v>
      </c>
      <c r="T1374" s="68" t="s">
        <v>165</v>
      </c>
      <c r="U1374" s="87"/>
      <c r="V1374" s="80">
        <v>44412</v>
      </c>
      <c r="W1374" s="73">
        <v>240</v>
      </c>
      <c r="X1374" s="73">
        <v>6.2</v>
      </c>
      <c r="Y1374" s="83">
        <f>IF(SUM(W1374:W1374)&gt;0,X1374/SUM(W1374:W1374)*1000000,"N/A")</f>
        <v>25833.333333333332</v>
      </c>
      <c r="Z1374" s="80"/>
      <c r="AA1374" s="80"/>
      <c r="AB1374" s="73"/>
      <c r="AC1374" s="153"/>
      <c r="AD1374" s="331"/>
      <c r="AE1374" s="57"/>
      <c r="AF1374" s="88"/>
      <c r="AG1374" s="182">
        <f>YEAR(D1374)</f>
        <v>2021</v>
      </c>
      <c r="AH1374" s="86" t="str">
        <f>+IF(AE1374=$AJ$22,MONTH(T1374),"")</f>
        <v/>
      </c>
      <c r="AI1374" s="86" t="str">
        <f>+IF(AF1374=$AJ$22,MONTH(U1374),"")</f>
        <v/>
      </c>
      <c r="AJ1374" s="86" t="str">
        <f>+IF(AG1374=$AJ$22,MONTH(V1374),"")</f>
        <v/>
      </c>
      <c r="AK1374" s="86" t="str">
        <f>+IF(AG1374=$AK$22,MONTH(V1374),"")</f>
        <v/>
      </c>
      <c r="AL1374" s="86" t="str">
        <f>+IF(AG1374=$AL$22,MONTH(V1374),"")</f>
        <v/>
      </c>
      <c r="AM1374" s="86">
        <f>+IF($AG1374=$AM$22,MONTH($D1374),"")</f>
        <v>8</v>
      </c>
      <c r="AN1374" s="89" t="str">
        <f>+IF($AG1374=AN$22,MONTH($D1374),"")</f>
        <v/>
      </c>
      <c r="AO1374" s="89" t="str">
        <f>+IF($AG1374=AO$22,MONTH($D1374),"")</f>
        <v/>
      </c>
      <c r="AP1374" s="89" t="str">
        <f>+IF($AG1374=AP$22,MONTH($D1374),"")</f>
        <v/>
      </c>
      <c r="AQ1374" s="89" t="str">
        <f>+IF($AG1374=AQ$22,MONTH($D1374),"")</f>
        <v/>
      </c>
      <c r="AR1374" s="89" t="str">
        <f>+IF($AG1374=AR$22,MONTH($D1374),"")</f>
        <v/>
      </c>
      <c r="AS1374" s="89" t="str">
        <f>+IF($AG1374=AS$22,MONTH($D1374),"")</f>
        <v/>
      </c>
      <c r="AT1374" s="89" t="str">
        <f>+IF($AG1374=AT$22,MONTH($D1374),"")</f>
        <v/>
      </c>
      <c r="AU1374" s="89" t="str">
        <f>+IF($AG1374=AU$22,MONTH($D1374),"")</f>
        <v/>
      </c>
      <c r="AV1374" s="89" t="str">
        <f>+IF($AG1374=AV$22,MONTH($D1374),"")</f>
        <v/>
      </c>
      <c r="AW1374" s="86" t="str">
        <f>+IF($AG1374=AW$22,MONTH($D1374),"")</f>
        <v/>
      </c>
      <c r="AX1374" s="86" t="str">
        <f>+IF($AG1374=AX$22,MONTH($D1374),"")</f>
        <v/>
      </c>
      <c r="AY1374" s="89"/>
      <c r="AZ1374" s="89"/>
      <c r="BA1374" s="89"/>
      <c r="BB1374" s="89"/>
      <c r="BC1374" s="89"/>
      <c r="BD1374" s="89"/>
      <c r="BE1374" s="89"/>
      <c r="BF1374" s="89"/>
      <c r="BG1374" s="89"/>
      <c r="BH1374" s="89"/>
      <c r="BI1374" s="89"/>
      <c r="BJ1374" s="89"/>
      <c r="BK1374" s="89"/>
      <c r="BL1374" s="89"/>
      <c r="BM1374" s="89"/>
      <c r="BN1374" s="89"/>
      <c r="BO1374" s="89"/>
      <c r="BP1374" s="89"/>
    </row>
    <row r="1375" spans="1:68" s="56" customFormat="1" ht="53.25" hidden="1">
      <c r="A1375" s="204" t="str">
        <f>+IFERROR(VALUE(MID(AB1375,4,4)),"")</f>
        <v/>
      </c>
      <c r="B1375" s="204">
        <f>VALUE(RIGHT(C1375,LEN(C1375)-2))</f>
        <v>1349</v>
      </c>
      <c r="C1375" s="74" t="s">
        <v>5200</v>
      </c>
      <c r="D1375" s="75">
        <v>44412</v>
      </c>
      <c r="E1375" s="70" t="s">
        <v>479</v>
      </c>
      <c r="F1375" s="70" t="s">
        <v>479</v>
      </c>
      <c r="G1375" s="68" t="s">
        <v>3886</v>
      </c>
      <c r="H1375" s="59"/>
      <c r="I1375" s="69" t="s">
        <v>5201</v>
      </c>
      <c r="J1375" s="69"/>
      <c r="K1375" s="68" t="s">
        <v>30</v>
      </c>
      <c r="L1375" s="69" t="s">
        <v>120</v>
      </c>
      <c r="M1375" s="71" t="s">
        <v>113</v>
      </c>
      <c r="N1375" s="69" t="e" vm="2">
        <v>#VALUE!</v>
      </c>
      <c r="O1375" s="84">
        <v>44419</v>
      </c>
      <c r="P1375" s="72" t="s">
        <v>402</v>
      </c>
      <c r="Q1375" s="72" t="s">
        <v>229</v>
      </c>
      <c r="R1375" s="162"/>
      <c r="S1375" s="146" t="s">
        <v>5202</v>
      </c>
      <c r="T1375" s="68" t="s">
        <v>165</v>
      </c>
      <c r="U1375" s="87"/>
      <c r="V1375" s="80">
        <v>44474</v>
      </c>
      <c r="W1375" s="73">
        <v>980</v>
      </c>
      <c r="X1375" s="73">
        <v>23.06</v>
      </c>
      <c r="Y1375" s="83">
        <f>IF(SUM(W1375:W1375)&gt;0,X1375/SUM(W1375:W1375)*1000000,"N/A")</f>
        <v>23530.612244897959</v>
      </c>
      <c r="Z1375" s="80"/>
      <c r="AA1375" s="80"/>
      <c r="AB1375" s="73"/>
      <c r="AC1375" s="153"/>
      <c r="AD1375" s="331"/>
      <c r="AE1375" s="57"/>
      <c r="AF1375" s="88"/>
      <c r="AG1375" s="182">
        <f>YEAR(D1375)</f>
        <v>2021</v>
      </c>
      <c r="AH1375" s="86" t="str">
        <f>+IF(AE1375=$AJ$22,MONTH(T1375),"")</f>
        <v/>
      </c>
      <c r="AI1375" s="86" t="str">
        <f>+IF(AF1375=$AJ$22,MONTH(U1375),"")</f>
        <v/>
      </c>
      <c r="AJ1375" s="86" t="str">
        <f>+IF(AG1375=$AJ$22,MONTH(V1375),"")</f>
        <v/>
      </c>
      <c r="AK1375" s="86" t="str">
        <f>+IF(AG1375=$AK$22,MONTH(V1375),"")</f>
        <v/>
      </c>
      <c r="AL1375" s="86" t="str">
        <f>+IF(AG1375=$AL$22,MONTH(V1375),"")</f>
        <v/>
      </c>
      <c r="AM1375" s="86">
        <f>+IF($AG1375=$AM$22,MONTH($D1375),"")</f>
        <v>8</v>
      </c>
      <c r="AN1375" s="89" t="str">
        <f>+IF($AG1375=AN$22,MONTH($D1375),"")</f>
        <v/>
      </c>
      <c r="AO1375" s="89" t="str">
        <f>+IF($AG1375=AO$22,MONTH($D1375),"")</f>
        <v/>
      </c>
      <c r="AP1375" s="89" t="str">
        <f>+IF($AG1375=AP$22,MONTH($D1375),"")</f>
        <v/>
      </c>
      <c r="AQ1375" s="89" t="str">
        <f>+IF($AG1375=AQ$22,MONTH($D1375),"")</f>
        <v/>
      </c>
      <c r="AR1375" s="89" t="str">
        <f>+IF($AG1375=AR$22,MONTH($D1375),"")</f>
        <v/>
      </c>
      <c r="AS1375" s="89" t="str">
        <f>+IF($AG1375=AS$22,MONTH($D1375),"")</f>
        <v/>
      </c>
      <c r="AT1375" s="89" t="str">
        <f>+IF($AG1375=AT$22,MONTH($D1375),"")</f>
        <v/>
      </c>
      <c r="AU1375" s="89" t="str">
        <f>+IF($AG1375=AU$22,MONTH($D1375),"")</f>
        <v/>
      </c>
      <c r="AV1375" s="89" t="str">
        <f>+IF($AG1375=AV$22,MONTH($D1375),"")</f>
        <v/>
      </c>
      <c r="AW1375" s="86" t="str">
        <f>+IF($AG1375=AW$22,MONTH($D1375),"")</f>
        <v/>
      </c>
      <c r="AX1375" s="86" t="str">
        <f>+IF($AG1375=AX$22,MONTH($D1375),"")</f>
        <v/>
      </c>
      <c r="AY1375" s="89"/>
      <c r="AZ1375" s="89"/>
      <c r="BA1375" s="89"/>
      <c r="BB1375" s="89"/>
      <c r="BC1375" s="89"/>
      <c r="BD1375" s="89"/>
      <c r="BE1375" s="89"/>
      <c r="BF1375" s="89"/>
      <c r="BG1375" s="89"/>
      <c r="BH1375" s="89"/>
      <c r="BI1375" s="89"/>
      <c r="BJ1375" s="89"/>
      <c r="BK1375" s="89"/>
      <c r="BL1375" s="89"/>
      <c r="BM1375" s="89"/>
      <c r="BN1375" s="89"/>
      <c r="BO1375" s="89"/>
      <c r="BP1375" s="89"/>
    </row>
    <row r="1376" spans="1:68" s="56" customFormat="1" ht="13.5" hidden="1">
      <c r="A1376" s="204" t="str">
        <f>+IFERROR(VALUE(MID(AB1376,4,4)),"")</f>
        <v/>
      </c>
      <c r="B1376" s="204">
        <f>VALUE(RIGHT(C1376,LEN(C1376)-2))</f>
        <v>1348</v>
      </c>
      <c r="C1376" s="74" t="s">
        <v>5203</v>
      </c>
      <c r="D1376" s="75">
        <v>44412</v>
      </c>
      <c r="E1376" s="70" t="s">
        <v>479</v>
      </c>
      <c r="F1376" s="70" t="s">
        <v>479</v>
      </c>
      <c r="G1376" s="68" t="s">
        <v>3886</v>
      </c>
      <c r="H1376" s="59"/>
      <c r="I1376" s="69" t="s">
        <v>5204</v>
      </c>
      <c r="J1376" s="69"/>
      <c r="K1376" s="68" t="s">
        <v>30</v>
      </c>
      <c r="L1376" s="69" t="s">
        <v>123</v>
      </c>
      <c r="M1376" s="71" t="s">
        <v>113</v>
      </c>
      <c r="N1376" s="69" t="e" vm="2">
        <v>#VALUE!</v>
      </c>
      <c r="O1376" s="84">
        <v>44419</v>
      </c>
      <c r="P1376" s="72" t="s">
        <v>402</v>
      </c>
      <c r="Q1376" s="72" t="s">
        <v>229</v>
      </c>
      <c r="R1376" s="162"/>
      <c r="S1376" s="146"/>
      <c r="T1376" s="68" t="s">
        <v>165</v>
      </c>
      <c r="U1376" s="87"/>
      <c r="V1376" s="80">
        <v>44412</v>
      </c>
      <c r="W1376" s="73">
        <v>341</v>
      </c>
      <c r="X1376" s="73">
        <v>9.33</v>
      </c>
      <c r="Y1376" s="83">
        <f>IF(SUM(W1376:W1376)&gt;0,X1376/SUM(W1376:W1376)*1000000,"N/A")</f>
        <v>27360.703812316719</v>
      </c>
      <c r="Z1376" s="80"/>
      <c r="AA1376" s="80"/>
      <c r="AB1376" s="73"/>
      <c r="AC1376" s="153"/>
      <c r="AD1376" s="331"/>
      <c r="AE1376" s="57"/>
      <c r="AF1376" s="88"/>
      <c r="AG1376" s="182">
        <f>YEAR(D1376)</f>
        <v>2021</v>
      </c>
      <c r="AH1376" s="86" t="str">
        <f>+IF(AE1376=$AJ$22,MONTH(T1376),"")</f>
        <v/>
      </c>
      <c r="AI1376" s="86" t="str">
        <f>+IF(AF1376=$AJ$22,MONTH(U1376),"")</f>
        <v/>
      </c>
      <c r="AJ1376" s="86" t="str">
        <f>+IF(AG1376=$AJ$22,MONTH(V1376),"")</f>
        <v/>
      </c>
      <c r="AK1376" s="86" t="str">
        <f>+IF(AG1376=$AK$22,MONTH(V1376),"")</f>
        <v/>
      </c>
      <c r="AL1376" s="86" t="str">
        <f>+IF(AG1376=$AL$22,MONTH(V1376),"")</f>
        <v/>
      </c>
      <c r="AM1376" s="86">
        <f>+IF($AG1376=$AM$22,MONTH($D1376),"")</f>
        <v>8</v>
      </c>
      <c r="AN1376" s="89" t="str">
        <f>+IF($AG1376=AN$22,MONTH($D1376),"")</f>
        <v/>
      </c>
      <c r="AO1376" s="89" t="str">
        <f>+IF($AG1376=AO$22,MONTH($D1376),"")</f>
        <v/>
      </c>
      <c r="AP1376" s="89" t="str">
        <f>+IF($AG1376=AP$22,MONTH($D1376),"")</f>
        <v/>
      </c>
      <c r="AQ1376" s="89" t="str">
        <f>+IF($AG1376=AQ$22,MONTH($D1376),"")</f>
        <v/>
      </c>
      <c r="AR1376" s="89" t="str">
        <f>+IF($AG1376=AR$22,MONTH($D1376),"")</f>
        <v/>
      </c>
      <c r="AS1376" s="89" t="str">
        <f>+IF($AG1376=AS$22,MONTH($D1376),"")</f>
        <v/>
      </c>
      <c r="AT1376" s="89" t="str">
        <f>+IF($AG1376=AT$22,MONTH($D1376),"")</f>
        <v/>
      </c>
      <c r="AU1376" s="89" t="str">
        <f>+IF($AG1376=AU$22,MONTH($D1376),"")</f>
        <v/>
      </c>
      <c r="AV1376" s="89" t="str">
        <f>+IF($AG1376=AV$22,MONTH($D1376),"")</f>
        <v/>
      </c>
      <c r="AW1376" s="86" t="str">
        <f>+IF($AG1376=AW$22,MONTH($D1376),"")</f>
        <v/>
      </c>
      <c r="AX1376" s="86" t="str">
        <f>+IF($AG1376=AX$22,MONTH($D1376),"")</f>
        <v/>
      </c>
      <c r="AY1376" s="89"/>
      <c r="AZ1376" s="89"/>
      <c r="BA1376" s="89"/>
      <c r="BB1376" s="89"/>
      <c r="BC1376" s="89"/>
      <c r="BD1376" s="89"/>
      <c r="BE1376" s="89"/>
      <c r="BF1376" s="89"/>
      <c r="BG1376" s="89"/>
      <c r="BH1376" s="89"/>
      <c r="BI1376" s="89"/>
      <c r="BJ1376" s="89"/>
      <c r="BK1376" s="89"/>
      <c r="BL1376" s="89"/>
      <c r="BM1376" s="89"/>
      <c r="BN1376" s="89"/>
      <c r="BO1376" s="89"/>
      <c r="BP1376" s="89"/>
    </row>
    <row r="1377" spans="1:68" s="56" customFormat="1" ht="27" hidden="1">
      <c r="A1377" s="204" t="str">
        <f>+IFERROR(VALUE(MID(AB1377,4,4)),"")</f>
        <v/>
      </c>
      <c r="B1377" s="204">
        <f>VALUE(RIGHT(C1377,LEN(C1377)-2))</f>
        <v>1347</v>
      </c>
      <c r="C1377" s="74" t="s">
        <v>5205</v>
      </c>
      <c r="D1377" s="75">
        <v>44411</v>
      </c>
      <c r="E1377" s="70" t="s">
        <v>277</v>
      </c>
      <c r="F1377" s="70" t="s">
        <v>277</v>
      </c>
      <c r="G1377" s="68" t="s">
        <v>1350</v>
      </c>
      <c r="H1377" s="59" t="s">
        <v>4327</v>
      </c>
      <c r="I1377" s="69" t="s">
        <v>5206</v>
      </c>
      <c r="J1377" s="69"/>
      <c r="K1377" s="68" t="s">
        <v>9</v>
      </c>
      <c r="L1377" s="69" t="s">
        <v>120</v>
      </c>
      <c r="M1377" s="71" t="s">
        <v>141</v>
      </c>
      <c r="N1377" s="69" t="e" vm="1">
        <v>#VALUE!</v>
      </c>
      <c r="O1377" s="84">
        <v>44418</v>
      </c>
      <c r="P1377" s="72" t="s">
        <v>402</v>
      </c>
      <c r="Q1377" s="72" t="s">
        <v>623</v>
      </c>
      <c r="R1377" s="162"/>
      <c r="S1377" s="146" t="s">
        <v>2632</v>
      </c>
      <c r="T1377" s="68" t="s">
        <v>165</v>
      </c>
      <c r="U1377" s="87">
        <v>0</v>
      </c>
      <c r="V1377" s="80">
        <v>44965</v>
      </c>
      <c r="W1377" s="73">
        <v>840</v>
      </c>
      <c r="X1377" s="73">
        <v>39.9</v>
      </c>
      <c r="Y1377" s="83">
        <f>IF(SUM(W1377:W1377)&gt;0,X1377/SUM(W1377:W1377)*1000000,"N/A")</f>
        <v>47500</v>
      </c>
      <c r="Z1377" s="80"/>
      <c r="AA1377" s="80"/>
      <c r="AB1377" s="73"/>
      <c r="AC1377" s="153"/>
      <c r="AD1377" s="331"/>
      <c r="AE1377" s="57"/>
      <c r="AF1377" s="88"/>
      <c r="AG1377" s="182">
        <f>YEAR(D1377)</f>
        <v>2021</v>
      </c>
      <c r="AH1377" s="86" t="str">
        <f>+IF(AE1377=$AJ$22,MONTH(T1377),"")</f>
        <v/>
      </c>
      <c r="AI1377" s="86" t="str">
        <f>+IF(AF1377=$AJ$22,MONTH(U1377),"")</f>
        <v/>
      </c>
      <c r="AJ1377" s="86" t="str">
        <f>+IF(AG1377=$AJ$22,MONTH(V1377),"")</f>
        <v/>
      </c>
      <c r="AK1377" s="86" t="str">
        <f>+IF(AG1377=$AK$22,MONTH(V1377),"")</f>
        <v/>
      </c>
      <c r="AL1377" s="86" t="str">
        <f>+IF(AG1377=$AL$22,MONTH(V1377),"")</f>
        <v/>
      </c>
      <c r="AM1377" s="86">
        <f>+IF($AG1377=$AM$22,MONTH($D1377),"")</f>
        <v>8</v>
      </c>
      <c r="AN1377" s="89" t="str">
        <f>+IF($AG1377=AN$22,MONTH($D1377),"")</f>
        <v/>
      </c>
      <c r="AO1377" s="89" t="str">
        <f>+IF($AG1377=AO$22,MONTH($D1377),"")</f>
        <v/>
      </c>
      <c r="AP1377" s="89" t="str">
        <f>+IF($AG1377=AP$22,MONTH($D1377),"")</f>
        <v/>
      </c>
      <c r="AQ1377" s="89" t="str">
        <f>+IF($AG1377=AQ$22,MONTH($D1377),"")</f>
        <v/>
      </c>
      <c r="AR1377" s="89" t="str">
        <f>+IF($AG1377=AR$22,MONTH($D1377),"")</f>
        <v/>
      </c>
      <c r="AS1377" s="89" t="str">
        <f>+IF($AG1377=AS$22,MONTH($D1377),"")</f>
        <v/>
      </c>
      <c r="AT1377" s="89" t="str">
        <f>+IF($AG1377=AT$22,MONTH($D1377),"")</f>
        <v/>
      </c>
      <c r="AU1377" s="89" t="str">
        <f>+IF($AG1377=AU$22,MONTH($D1377),"")</f>
        <v/>
      </c>
      <c r="AV1377" s="89" t="str">
        <f>+IF($AG1377=AV$22,MONTH($D1377),"")</f>
        <v/>
      </c>
      <c r="AW1377" s="86" t="str">
        <f>+IF($AG1377=AW$22,MONTH($D1377),"")</f>
        <v/>
      </c>
      <c r="AX1377" s="86" t="str">
        <f>+IF($AG1377=AX$22,MONTH($D1377),"")</f>
        <v/>
      </c>
      <c r="AY1377" s="89"/>
      <c r="AZ1377" s="89"/>
      <c r="BA1377" s="89"/>
      <c r="BB1377" s="89"/>
      <c r="BC1377" s="89"/>
      <c r="BD1377" s="89"/>
      <c r="BE1377" s="89"/>
      <c r="BF1377" s="89"/>
      <c r="BG1377" s="89"/>
      <c r="BH1377" s="89"/>
      <c r="BI1377" s="89"/>
      <c r="BJ1377" s="89"/>
      <c r="BK1377" s="89"/>
      <c r="BL1377" s="89"/>
      <c r="BM1377" s="89"/>
      <c r="BN1377" s="89"/>
      <c r="BO1377" s="89"/>
      <c r="BP1377" s="89"/>
    </row>
    <row r="1378" spans="1:68" s="56" customFormat="1" ht="27" hidden="1">
      <c r="A1378" s="204">
        <f>+IFERROR(VALUE(MID(AB1378,4,4)),"")</f>
        <v>249</v>
      </c>
      <c r="B1378" s="204">
        <f>VALUE(RIGHT(C1378,LEN(C1378)-2))</f>
        <v>1346</v>
      </c>
      <c r="C1378" s="74" t="s">
        <v>5207</v>
      </c>
      <c r="D1378" s="75">
        <v>44410</v>
      </c>
      <c r="E1378" s="70" t="s">
        <v>262</v>
      </c>
      <c r="F1378" s="70" t="s">
        <v>270</v>
      </c>
      <c r="G1378" s="68" t="s">
        <v>5208</v>
      </c>
      <c r="H1378" s="59" t="s">
        <v>5209</v>
      </c>
      <c r="I1378" s="69" t="s">
        <v>5210</v>
      </c>
      <c r="J1378" s="69"/>
      <c r="K1378" s="68" t="s">
        <v>18</v>
      </c>
      <c r="L1378" s="69" t="s">
        <v>120</v>
      </c>
      <c r="M1378" s="71" t="s">
        <v>141</v>
      </c>
      <c r="N1378" s="69" t="e" vm="1">
        <v>#VALUE!</v>
      </c>
      <c r="O1378" s="84">
        <v>44417</v>
      </c>
      <c r="P1378" s="72" t="s">
        <v>274</v>
      </c>
      <c r="Q1378" s="72" t="s">
        <v>1097</v>
      </c>
      <c r="R1378" s="162"/>
      <c r="S1378" s="146"/>
      <c r="T1378" s="68" t="s">
        <v>3</v>
      </c>
      <c r="U1378" s="87"/>
      <c r="V1378" s="80">
        <v>44418</v>
      </c>
      <c r="W1378" s="73">
        <v>507</v>
      </c>
      <c r="X1378" s="73">
        <v>23.786999999999999</v>
      </c>
      <c r="Y1378" s="83">
        <f>IF(SUM(W1378:W1378)&gt;0,X1378/SUM(W1378:W1378)*1000000,"N/A")</f>
        <v>46917.159763313604</v>
      </c>
      <c r="Z1378" s="80"/>
      <c r="AA1378" s="80"/>
      <c r="AB1378" s="73" t="s">
        <v>3988</v>
      </c>
      <c r="AC1378" s="153"/>
      <c r="AD1378" s="331"/>
      <c r="AE1378" s="57"/>
      <c r="AF1378" s="88"/>
      <c r="AG1378" s="182">
        <f>YEAR(D1378)</f>
        <v>2021</v>
      </c>
      <c r="AH1378" s="86" t="str">
        <f>+IF(AE1378=$AJ$22,MONTH(T1378),"")</f>
        <v/>
      </c>
      <c r="AI1378" s="86" t="str">
        <f>+IF(AF1378=$AJ$22,MONTH(U1378),"")</f>
        <v/>
      </c>
      <c r="AJ1378" s="86" t="str">
        <f>+IF(AG1378=$AJ$22,MONTH(V1378),"")</f>
        <v/>
      </c>
      <c r="AK1378" s="86" t="str">
        <f>+IF(AG1378=$AK$22,MONTH(V1378),"")</f>
        <v/>
      </c>
      <c r="AL1378" s="86" t="str">
        <f>+IF(AG1378=$AL$22,MONTH(V1378),"")</f>
        <v/>
      </c>
      <c r="AM1378" s="86">
        <f>+IF($AG1378=$AM$22,MONTH($D1378),"")</f>
        <v>8</v>
      </c>
      <c r="AN1378" s="89" t="str">
        <f>+IF($AG1378=AN$22,MONTH($D1378),"")</f>
        <v/>
      </c>
      <c r="AO1378" s="89" t="str">
        <f>+IF($AG1378=AO$22,MONTH($D1378),"")</f>
        <v/>
      </c>
      <c r="AP1378" s="89" t="str">
        <f>+IF($AG1378=AP$22,MONTH($D1378),"")</f>
        <v/>
      </c>
      <c r="AQ1378" s="89" t="str">
        <f>+IF($AG1378=AQ$22,MONTH($D1378),"")</f>
        <v/>
      </c>
      <c r="AR1378" s="89" t="str">
        <f>+IF($AG1378=AR$22,MONTH($D1378),"")</f>
        <v/>
      </c>
      <c r="AS1378" s="89" t="str">
        <f>+IF($AG1378=AS$22,MONTH($D1378),"")</f>
        <v/>
      </c>
      <c r="AT1378" s="89" t="str">
        <f>+IF($AG1378=AT$22,MONTH($D1378),"")</f>
        <v/>
      </c>
      <c r="AU1378" s="89" t="str">
        <f>+IF($AG1378=AU$22,MONTH($D1378),"")</f>
        <v/>
      </c>
      <c r="AV1378" s="89" t="str">
        <f>+IF($AG1378=AV$22,MONTH($D1378),"")</f>
        <v/>
      </c>
      <c r="AW1378" s="86" t="str">
        <f>+IF($AG1378=AW$22,MONTH($D1378),"")</f>
        <v/>
      </c>
      <c r="AX1378" s="86" t="str">
        <f>+IF($AG1378=AX$22,MONTH($D1378),"")</f>
        <v/>
      </c>
      <c r="AY1378" s="89"/>
      <c r="AZ1378" s="89"/>
      <c r="BA1378" s="89"/>
      <c r="BB1378" s="89"/>
      <c r="BC1378" s="89"/>
      <c r="BD1378" s="89"/>
      <c r="BE1378" s="89"/>
      <c r="BF1378" s="89"/>
      <c r="BG1378" s="89"/>
      <c r="BH1378" s="89"/>
      <c r="BI1378" s="89"/>
      <c r="BJ1378" s="89"/>
      <c r="BK1378" s="89"/>
      <c r="BL1378" s="89"/>
      <c r="BM1378" s="89"/>
      <c r="BN1378" s="89"/>
      <c r="BO1378" s="89"/>
      <c r="BP1378" s="89"/>
    </row>
    <row r="1379" spans="1:68" s="56" customFormat="1" ht="53.25" hidden="1">
      <c r="A1379" s="204" t="str">
        <f>+IFERROR(VALUE(MID(AB1379,4,4)),"")</f>
        <v/>
      </c>
      <c r="B1379" s="204">
        <f>VALUE(RIGHT(C1379,LEN(C1379)-2))</f>
        <v>1345</v>
      </c>
      <c r="C1379" s="74" t="s">
        <v>5211</v>
      </c>
      <c r="D1379" s="75">
        <v>44410</v>
      </c>
      <c r="E1379" s="70" t="s">
        <v>3741</v>
      </c>
      <c r="F1379" s="70" t="s">
        <v>2678</v>
      </c>
      <c r="G1379" s="68"/>
      <c r="H1379" s="59"/>
      <c r="I1379" s="69" t="s">
        <v>5212</v>
      </c>
      <c r="J1379" s="69"/>
      <c r="K1379" s="68" t="s">
        <v>27</v>
      </c>
      <c r="L1379" s="69" t="s">
        <v>123</v>
      </c>
      <c r="M1379" s="71" t="s">
        <v>113</v>
      </c>
      <c r="N1379" s="69" t="e" vm="2">
        <v>#VALUE!</v>
      </c>
      <c r="O1379" s="84">
        <v>44505</v>
      </c>
      <c r="P1379" s="72" t="s">
        <v>402</v>
      </c>
      <c r="Q1379" s="72" t="s">
        <v>229</v>
      </c>
      <c r="R1379" s="162"/>
      <c r="S1379" s="146" t="s">
        <v>5213</v>
      </c>
      <c r="T1379" s="68" t="s">
        <v>165</v>
      </c>
      <c r="U1379" s="87"/>
      <c r="V1379" s="80">
        <v>44508</v>
      </c>
      <c r="W1379" s="73">
        <v>7031</v>
      </c>
      <c r="X1379" s="73">
        <v>221</v>
      </c>
      <c r="Y1379" s="83">
        <f>IF(SUM(W1379:W1379)&gt;0,X1379/SUM(W1379:W1379)*1000000,"N/A")</f>
        <v>31432.228701464941</v>
      </c>
      <c r="Z1379" s="80"/>
      <c r="AA1379" s="80"/>
      <c r="AB1379" s="73"/>
      <c r="AC1379" s="153"/>
      <c r="AD1379" s="331"/>
      <c r="AE1379" s="57"/>
      <c r="AF1379" s="88"/>
      <c r="AG1379" s="182">
        <f>YEAR(D1379)</f>
        <v>2021</v>
      </c>
      <c r="AH1379" s="86" t="str">
        <f>+IF(AE1379=$AJ$22,MONTH(T1379),"")</f>
        <v/>
      </c>
      <c r="AI1379" s="86" t="str">
        <f>+IF(AF1379=$AJ$22,MONTH(U1379),"")</f>
        <v/>
      </c>
      <c r="AJ1379" s="86" t="str">
        <f>+IF(AG1379=$AJ$22,MONTH(V1379),"")</f>
        <v/>
      </c>
      <c r="AK1379" s="86" t="str">
        <f>+IF(AG1379=$AK$22,MONTH(V1379),"")</f>
        <v/>
      </c>
      <c r="AL1379" s="86" t="str">
        <f>+IF(AG1379=$AL$22,MONTH(V1379),"")</f>
        <v/>
      </c>
      <c r="AM1379" s="86">
        <f>+IF($AG1379=$AM$22,MONTH($D1379),"")</f>
        <v>8</v>
      </c>
      <c r="AN1379" s="89" t="str">
        <f>+IF($AG1379=AN$22,MONTH($D1379),"")</f>
        <v/>
      </c>
      <c r="AO1379" s="89" t="str">
        <f>+IF($AG1379=AO$22,MONTH($D1379),"")</f>
        <v/>
      </c>
      <c r="AP1379" s="89" t="str">
        <f>+IF($AG1379=AP$22,MONTH($D1379),"")</f>
        <v/>
      </c>
      <c r="AQ1379" s="89" t="str">
        <f>+IF($AG1379=AQ$22,MONTH($D1379),"")</f>
        <v/>
      </c>
      <c r="AR1379" s="89" t="str">
        <f>+IF($AG1379=AR$22,MONTH($D1379),"")</f>
        <v/>
      </c>
      <c r="AS1379" s="89" t="str">
        <f>+IF($AG1379=AS$22,MONTH($D1379),"")</f>
        <v/>
      </c>
      <c r="AT1379" s="89" t="str">
        <f>+IF($AG1379=AT$22,MONTH($D1379),"")</f>
        <v/>
      </c>
      <c r="AU1379" s="89" t="str">
        <f>+IF($AG1379=AU$22,MONTH($D1379),"")</f>
        <v/>
      </c>
      <c r="AV1379" s="89" t="str">
        <f>+IF($AG1379=AV$22,MONTH($D1379),"")</f>
        <v/>
      </c>
      <c r="AW1379" s="86" t="str">
        <f>+IF($AG1379=AW$22,MONTH($D1379),"")</f>
        <v/>
      </c>
      <c r="AX1379" s="86" t="str">
        <f>+IF($AG1379=AX$22,MONTH($D1379),"")</f>
        <v/>
      </c>
      <c r="AY1379" s="89"/>
      <c r="AZ1379" s="89"/>
      <c r="BA1379" s="89"/>
      <c r="BB1379" s="89"/>
      <c r="BC1379" s="89"/>
      <c r="BD1379" s="89"/>
      <c r="BE1379" s="89"/>
      <c r="BF1379" s="89"/>
      <c r="BG1379" s="89"/>
      <c r="BH1379" s="89"/>
      <c r="BI1379" s="89"/>
      <c r="BJ1379" s="89"/>
      <c r="BK1379" s="89"/>
      <c r="BL1379" s="89"/>
      <c r="BM1379" s="89"/>
      <c r="BN1379" s="89"/>
      <c r="BO1379" s="89"/>
      <c r="BP1379" s="89"/>
    </row>
    <row r="1380" spans="1:68" s="56" customFormat="1" ht="13.5" hidden="1">
      <c r="A1380" s="204" t="str">
        <f>+IFERROR(VALUE(MID(AB1380,4,4)),"")</f>
        <v/>
      </c>
      <c r="B1380" s="204">
        <f>VALUE(RIGHT(C1380,LEN(C1380)-2))</f>
        <v>1344</v>
      </c>
      <c r="C1380" s="74" t="s">
        <v>5214</v>
      </c>
      <c r="D1380" s="75">
        <v>44407</v>
      </c>
      <c r="E1380" s="70" t="s">
        <v>346</v>
      </c>
      <c r="F1380" s="70" t="s">
        <v>346</v>
      </c>
      <c r="G1380" s="68"/>
      <c r="H1380" s="59"/>
      <c r="I1380" s="69" t="s">
        <v>5215</v>
      </c>
      <c r="J1380" s="69"/>
      <c r="K1380" s="68" t="s">
        <v>13</v>
      </c>
      <c r="L1380" s="69" t="s">
        <v>123</v>
      </c>
      <c r="M1380" s="71" t="s">
        <v>141</v>
      </c>
      <c r="N1380" s="69" t="e" vm="1">
        <v>#VALUE!</v>
      </c>
      <c r="O1380" s="84">
        <v>44424</v>
      </c>
      <c r="P1380" s="72" t="s">
        <v>213</v>
      </c>
      <c r="Q1380" s="72" t="s">
        <v>316</v>
      </c>
      <c r="R1380" s="162"/>
      <c r="S1380" s="146"/>
      <c r="T1380" s="68" t="s">
        <v>155</v>
      </c>
      <c r="U1380" s="87"/>
      <c r="V1380" s="80">
        <v>44421</v>
      </c>
      <c r="W1380" s="73"/>
      <c r="X1380" s="73"/>
      <c r="Y1380" s="83"/>
      <c r="Z1380" s="80"/>
      <c r="AA1380" s="80"/>
      <c r="AB1380" s="73"/>
      <c r="AC1380" s="153"/>
      <c r="AD1380" s="331"/>
      <c r="AE1380" s="57"/>
      <c r="AF1380" s="88"/>
      <c r="AG1380" s="182">
        <f>YEAR(D1380)</f>
        <v>2021</v>
      </c>
      <c r="AH1380" s="86" t="str">
        <f>+IF(AE1380=$AJ$22,MONTH(T1380),"")</f>
        <v/>
      </c>
      <c r="AI1380" s="86" t="str">
        <f>+IF(AF1380=$AJ$22,MONTH(U1380),"")</f>
        <v/>
      </c>
      <c r="AJ1380" s="86" t="str">
        <f>+IF(AG1380=$AJ$22,MONTH(V1380),"")</f>
        <v/>
      </c>
      <c r="AK1380" s="86" t="str">
        <f>+IF(AG1380=$AK$22,MONTH(V1380),"")</f>
        <v/>
      </c>
      <c r="AL1380" s="86" t="str">
        <f>+IF(AG1380=$AL$22,MONTH(V1380),"")</f>
        <v/>
      </c>
      <c r="AM1380" s="86">
        <f>+IF($AG1380=$AM$22,MONTH($D1380),"")</f>
        <v>7</v>
      </c>
      <c r="AN1380" s="89" t="str">
        <f>+IF($AG1380=AN$22,MONTH($D1380),"")</f>
        <v/>
      </c>
      <c r="AO1380" s="89" t="str">
        <f>+IF($AG1380=AO$22,MONTH($D1380),"")</f>
        <v/>
      </c>
      <c r="AP1380" s="89" t="str">
        <f>+IF($AG1380=AP$22,MONTH($D1380),"")</f>
        <v/>
      </c>
      <c r="AQ1380" s="89" t="str">
        <f>+IF($AG1380=AQ$22,MONTH($D1380),"")</f>
        <v/>
      </c>
      <c r="AR1380" s="89" t="str">
        <f>+IF($AG1380=AR$22,MONTH($D1380),"")</f>
        <v/>
      </c>
      <c r="AS1380" s="89" t="str">
        <f>+IF($AG1380=AS$22,MONTH($D1380),"")</f>
        <v/>
      </c>
      <c r="AT1380" s="89" t="str">
        <f>+IF($AG1380=AT$22,MONTH($D1380),"")</f>
        <v/>
      </c>
      <c r="AU1380" s="89" t="str">
        <f>+IF($AG1380=AU$22,MONTH($D1380),"")</f>
        <v/>
      </c>
      <c r="AV1380" s="89" t="str">
        <f>+IF($AG1380=AV$22,MONTH($D1380),"")</f>
        <v/>
      </c>
      <c r="AW1380" s="86" t="str">
        <f>+IF($AG1380=AW$22,MONTH($D1380),"")</f>
        <v/>
      </c>
      <c r="AX1380" s="86" t="str">
        <f>+IF($AG1380=AX$22,MONTH($D1380),"")</f>
        <v/>
      </c>
      <c r="AY1380" s="89"/>
      <c r="AZ1380" s="89"/>
      <c r="BA1380" s="89"/>
      <c r="BB1380" s="89"/>
      <c r="BC1380" s="89"/>
      <c r="BD1380" s="89"/>
      <c r="BE1380" s="89"/>
      <c r="BF1380" s="89"/>
      <c r="BG1380" s="89"/>
      <c r="BH1380" s="89"/>
      <c r="BI1380" s="89"/>
      <c r="BJ1380" s="89"/>
      <c r="BK1380" s="89"/>
      <c r="BL1380" s="89"/>
      <c r="BM1380" s="89"/>
      <c r="BN1380" s="89"/>
      <c r="BO1380" s="89"/>
      <c r="BP1380" s="89"/>
    </row>
    <row r="1381" spans="1:68" s="56" customFormat="1" ht="40.5" hidden="1">
      <c r="A1381" s="204" t="str">
        <f>+IFERROR(VALUE(MID(AB1381,4,4)),"")</f>
        <v/>
      </c>
      <c r="B1381" s="204">
        <f>VALUE(RIGHT(C1381,LEN(C1381)-2))</f>
        <v>1343</v>
      </c>
      <c r="C1381" s="74" t="s">
        <v>5216</v>
      </c>
      <c r="D1381" s="75">
        <v>44405</v>
      </c>
      <c r="E1381" s="70" t="s">
        <v>255</v>
      </c>
      <c r="F1381" s="70" t="s">
        <v>255</v>
      </c>
      <c r="G1381" s="68" t="s">
        <v>5217</v>
      </c>
      <c r="H1381" s="59" t="s">
        <v>5218</v>
      </c>
      <c r="I1381" s="69" t="s">
        <v>5219</v>
      </c>
      <c r="J1381" s="69"/>
      <c r="K1381" s="68" t="s">
        <v>13</v>
      </c>
      <c r="L1381" s="69" t="s">
        <v>120</v>
      </c>
      <c r="M1381" s="71" t="s">
        <v>141</v>
      </c>
      <c r="N1381" s="69" t="e" vm="1">
        <v>#VALUE!</v>
      </c>
      <c r="O1381" s="84">
        <v>44418</v>
      </c>
      <c r="P1381" s="72" t="s">
        <v>4897</v>
      </c>
      <c r="Q1381" s="72" t="s">
        <v>316</v>
      </c>
      <c r="R1381" s="162"/>
      <c r="S1381" s="146" t="s">
        <v>5220</v>
      </c>
      <c r="T1381" s="68" t="s">
        <v>165</v>
      </c>
      <c r="U1381" s="87"/>
      <c r="V1381" s="80">
        <v>44406</v>
      </c>
      <c r="W1381" s="73">
        <v>1032</v>
      </c>
      <c r="X1381" s="73">
        <v>52.79</v>
      </c>
      <c r="Y1381" s="83">
        <f>IF(SUM(W1381:W1381)&gt;0,X1381/SUM(W1381:W1381)*1000000,"N/A")</f>
        <v>51153.100775193801</v>
      </c>
      <c r="Z1381" s="80"/>
      <c r="AA1381" s="80"/>
      <c r="AB1381" s="73"/>
      <c r="AC1381" s="153"/>
      <c r="AD1381" s="331"/>
      <c r="AE1381" s="57"/>
      <c r="AF1381" s="88"/>
      <c r="AG1381" s="182">
        <f>YEAR(D1381)</f>
        <v>2021</v>
      </c>
      <c r="AH1381" s="86" t="str">
        <f>+IF(AE1381=$AJ$22,MONTH(T1381),"")</f>
        <v/>
      </c>
      <c r="AI1381" s="86" t="str">
        <f>+IF(AF1381=$AJ$22,MONTH(U1381),"")</f>
        <v/>
      </c>
      <c r="AJ1381" s="86" t="str">
        <f>+IF(AG1381=$AJ$22,MONTH(V1381),"")</f>
        <v/>
      </c>
      <c r="AK1381" s="86" t="str">
        <f>+IF(AG1381=$AK$22,MONTH(V1381),"")</f>
        <v/>
      </c>
      <c r="AL1381" s="86" t="str">
        <f>+IF(AG1381=$AL$22,MONTH(V1381),"")</f>
        <v/>
      </c>
      <c r="AM1381" s="86">
        <f>+IF($AG1381=$AM$22,MONTH($D1381),"")</f>
        <v>7</v>
      </c>
      <c r="AN1381" s="89" t="str">
        <f>+IF($AG1381=AN$22,MONTH($D1381),"")</f>
        <v/>
      </c>
      <c r="AO1381" s="89" t="str">
        <f>+IF($AG1381=AO$22,MONTH($D1381),"")</f>
        <v/>
      </c>
      <c r="AP1381" s="89" t="str">
        <f>+IF($AG1381=AP$22,MONTH($D1381),"")</f>
        <v/>
      </c>
      <c r="AQ1381" s="89" t="str">
        <f>+IF($AG1381=AQ$22,MONTH($D1381),"")</f>
        <v/>
      </c>
      <c r="AR1381" s="89" t="str">
        <f>+IF($AG1381=AR$22,MONTH($D1381),"")</f>
        <v/>
      </c>
      <c r="AS1381" s="89" t="str">
        <f>+IF($AG1381=AS$22,MONTH($D1381),"")</f>
        <v/>
      </c>
      <c r="AT1381" s="89" t="str">
        <f>+IF($AG1381=AT$22,MONTH($D1381),"")</f>
        <v/>
      </c>
      <c r="AU1381" s="89" t="str">
        <f>+IF($AG1381=AU$22,MONTH($D1381),"")</f>
        <v/>
      </c>
      <c r="AV1381" s="89" t="str">
        <f>+IF($AG1381=AV$22,MONTH($D1381),"")</f>
        <v/>
      </c>
      <c r="AW1381" s="86" t="str">
        <f>+IF($AG1381=AW$22,MONTH($D1381),"")</f>
        <v/>
      </c>
      <c r="AX1381" s="86" t="str">
        <f>+IF($AG1381=AX$22,MONTH($D1381),"")</f>
        <v/>
      </c>
      <c r="AY1381" s="182"/>
      <c r="AZ1381" s="182"/>
      <c r="BA1381" s="182"/>
      <c r="BB1381" s="182"/>
      <c r="BC1381" s="182"/>
      <c r="BD1381" s="182"/>
      <c r="BE1381" s="182"/>
      <c r="BF1381" s="182"/>
      <c r="BG1381" s="182"/>
      <c r="BH1381" s="182"/>
      <c r="BI1381" s="182"/>
      <c r="BJ1381" s="89"/>
      <c r="BK1381" s="89"/>
      <c r="BL1381" s="89"/>
      <c r="BM1381" s="89"/>
      <c r="BN1381" s="89"/>
      <c r="BO1381" s="89"/>
      <c r="BP1381" s="89"/>
    </row>
    <row r="1382" spans="1:68" s="56" customFormat="1" ht="40.5" hidden="1">
      <c r="A1382" s="204" t="str">
        <f>+IFERROR(VALUE(MID(AB1382,4,4)),"")</f>
        <v/>
      </c>
      <c r="B1382" s="204">
        <f>VALUE(RIGHT(C1382,LEN(C1382)-2))</f>
        <v>1342</v>
      </c>
      <c r="C1382" s="74" t="s">
        <v>5221</v>
      </c>
      <c r="D1382" s="75">
        <v>44405</v>
      </c>
      <c r="E1382" s="70" t="s">
        <v>394</v>
      </c>
      <c r="F1382" s="70" t="s">
        <v>394</v>
      </c>
      <c r="G1382" s="68"/>
      <c r="H1382" s="59"/>
      <c r="I1382" s="69" t="s">
        <v>5222</v>
      </c>
      <c r="J1382" s="69"/>
      <c r="K1382" s="68" t="s">
        <v>13</v>
      </c>
      <c r="L1382" s="69" t="s">
        <v>120</v>
      </c>
      <c r="M1382" s="71" t="s">
        <v>141</v>
      </c>
      <c r="N1382" s="69" t="e" vm="1">
        <v>#VALUE!</v>
      </c>
      <c r="O1382" s="84">
        <v>44421</v>
      </c>
      <c r="P1382" s="72" t="s">
        <v>5223</v>
      </c>
      <c r="Q1382" s="72" t="s">
        <v>623</v>
      </c>
      <c r="R1382" s="162"/>
      <c r="S1382" s="146" t="s">
        <v>5224</v>
      </c>
      <c r="T1382" s="68" t="s">
        <v>155</v>
      </c>
      <c r="U1382" s="87"/>
      <c r="V1382" s="80">
        <v>44460</v>
      </c>
      <c r="W1382" s="73"/>
      <c r="X1382" s="73"/>
      <c r="Y1382" s="83" t="str">
        <f>IF(SUM(W1382:W1382)&gt;0,X1382/SUM(W1382:W1382)*1000000,"N/A")</f>
        <v>N/A</v>
      </c>
      <c r="Z1382" s="80"/>
      <c r="AA1382" s="80"/>
      <c r="AB1382" s="73"/>
      <c r="AC1382" s="153"/>
      <c r="AD1382" s="331"/>
      <c r="AE1382" s="57"/>
      <c r="AF1382" s="88"/>
      <c r="AG1382" s="182">
        <f>YEAR(D1382)</f>
        <v>2021</v>
      </c>
      <c r="AH1382" s="86" t="str">
        <f>+IF(AE1382=$AJ$22,MONTH(T1382),"")</f>
        <v/>
      </c>
      <c r="AI1382" s="86" t="str">
        <f>+IF(AF1382=$AJ$22,MONTH(U1382),"")</f>
        <v/>
      </c>
      <c r="AJ1382" s="86" t="str">
        <f>+IF(AG1382=$AJ$22,MONTH(V1382),"")</f>
        <v/>
      </c>
      <c r="AK1382" s="86" t="str">
        <f>+IF(AG1382=$AK$22,MONTH(V1382),"")</f>
        <v/>
      </c>
      <c r="AL1382" s="86" t="str">
        <f>+IF(AG1382=$AL$22,MONTH(V1382),"")</f>
        <v/>
      </c>
      <c r="AM1382" s="86">
        <f>+IF($AG1382=$AM$22,MONTH($D1382),"")</f>
        <v>7</v>
      </c>
      <c r="AN1382" s="89" t="str">
        <f>+IF($AG1382=AN$22,MONTH($D1382),"")</f>
        <v/>
      </c>
      <c r="AO1382" s="89" t="str">
        <f>+IF($AG1382=AO$22,MONTH($D1382),"")</f>
        <v/>
      </c>
      <c r="AP1382" s="89" t="str">
        <f>+IF($AG1382=AP$22,MONTH($D1382),"")</f>
        <v/>
      </c>
      <c r="AQ1382" s="89" t="str">
        <f>+IF($AG1382=AQ$22,MONTH($D1382),"")</f>
        <v/>
      </c>
      <c r="AR1382" s="89" t="str">
        <f>+IF($AG1382=AR$22,MONTH($D1382),"")</f>
        <v/>
      </c>
      <c r="AS1382" s="89" t="str">
        <f>+IF($AG1382=AS$22,MONTH($D1382),"")</f>
        <v/>
      </c>
      <c r="AT1382" s="89" t="str">
        <f>+IF($AG1382=AT$22,MONTH($D1382),"")</f>
        <v/>
      </c>
      <c r="AU1382" s="89" t="str">
        <f>+IF($AG1382=AU$22,MONTH($D1382),"")</f>
        <v/>
      </c>
      <c r="AV1382" s="89" t="str">
        <f>+IF($AG1382=AV$22,MONTH($D1382),"")</f>
        <v/>
      </c>
      <c r="AW1382" s="86" t="str">
        <f>+IF($AG1382=AW$22,MONTH($D1382),"")</f>
        <v/>
      </c>
      <c r="AX1382" s="86" t="str">
        <f>+IF($AG1382=AX$22,MONTH($D1382),"")</f>
        <v/>
      </c>
      <c r="AY1382" s="89"/>
      <c r="AZ1382" s="89"/>
      <c r="BA1382" s="89"/>
      <c r="BB1382" s="89"/>
      <c r="BC1382" s="89"/>
      <c r="BD1382" s="89"/>
      <c r="BE1382" s="89"/>
      <c r="BF1382" s="89"/>
      <c r="BG1382" s="89"/>
      <c r="BH1382" s="89"/>
      <c r="BI1382" s="89"/>
      <c r="BJ1382" s="89"/>
      <c r="BK1382" s="89"/>
      <c r="BL1382" s="89"/>
      <c r="BM1382" s="89"/>
      <c r="BN1382" s="89"/>
      <c r="BO1382" s="89"/>
      <c r="BP1382" s="89"/>
    </row>
    <row r="1383" spans="1:68" s="56" customFormat="1" ht="40.5" hidden="1">
      <c r="A1383" s="204" t="str">
        <f>+IFERROR(VALUE(MID(AB1383,4,4)),"")</f>
        <v/>
      </c>
      <c r="B1383" s="204">
        <f>VALUE(RIGHT(C1383,LEN(C1383)-2))</f>
        <v>1341</v>
      </c>
      <c r="C1383" s="74" t="s">
        <v>5225</v>
      </c>
      <c r="D1383" s="75">
        <v>44405</v>
      </c>
      <c r="E1383" s="70" t="s">
        <v>394</v>
      </c>
      <c r="F1383" s="70" t="s">
        <v>394</v>
      </c>
      <c r="G1383" s="68"/>
      <c r="H1383" s="59"/>
      <c r="I1383" s="69" t="s">
        <v>5226</v>
      </c>
      <c r="J1383" s="69"/>
      <c r="K1383" s="68" t="s">
        <v>12</v>
      </c>
      <c r="L1383" s="69" t="s">
        <v>120</v>
      </c>
      <c r="M1383" s="71" t="s">
        <v>141</v>
      </c>
      <c r="N1383" s="69" t="e" vm="1">
        <v>#VALUE!</v>
      </c>
      <c r="O1383" s="84">
        <v>44421</v>
      </c>
      <c r="P1383" s="72" t="s">
        <v>5223</v>
      </c>
      <c r="Q1383" s="72" t="s">
        <v>623</v>
      </c>
      <c r="R1383" s="162"/>
      <c r="S1383" s="146" t="s">
        <v>5224</v>
      </c>
      <c r="T1383" s="68" t="s">
        <v>155</v>
      </c>
      <c r="U1383" s="87"/>
      <c r="V1383" s="80">
        <v>44460</v>
      </c>
      <c r="W1383" s="73"/>
      <c r="X1383" s="73"/>
      <c r="Y1383" s="83" t="str">
        <f>IF(SUM(W1383:W1383)&gt;0,X1383/SUM(W1383:W1383)*1000000,"N/A")</f>
        <v>N/A</v>
      </c>
      <c r="Z1383" s="80"/>
      <c r="AA1383" s="80"/>
      <c r="AB1383" s="73"/>
      <c r="AC1383" s="153"/>
      <c r="AD1383" s="331"/>
      <c r="AE1383" s="57"/>
      <c r="AF1383" s="88"/>
      <c r="AG1383" s="182">
        <f>YEAR(D1383)</f>
        <v>2021</v>
      </c>
      <c r="AH1383" s="86" t="str">
        <f>+IF(AE1383=$AJ$22,MONTH(T1383),"")</f>
        <v/>
      </c>
      <c r="AI1383" s="86" t="str">
        <f>+IF(AF1383=$AJ$22,MONTH(U1383),"")</f>
        <v/>
      </c>
      <c r="AJ1383" s="86" t="str">
        <f>+IF(AG1383=$AJ$22,MONTH(V1383),"")</f>
        <v/>
      </c>
      <c r="AK1383" s="86" t="str">
        <f>+IF(AG1383=$AK$22,MONTH(V1383),"")</f>
        <v/>
      </c>
      <c r="AL1383" s="86" t="str">
        <f>+IF(AG1383=$AL$22,MONTH(V1383),"")</f>
        <v/>
      </c>
      <c r="AM1383" s="86">
        <f>+IF($AG1383=$AM$22,MONTH($D1383),"")</f>
        <v>7</v>
      </c>
      <c r="AN1383" s="89" t="str">
        <f>+IF($AG1383=AN$22,MONTH($D1383),"")</f>
        <v/>
      </c>
      <c r="AO1383" s="89" t="str">
        <f>+IF($AG1383=AO$22,MONTH($D1383),"")</f>
        <v/>
      </c>
      <c r="AP1383" s="89" t="str">
        <f>+IF($AG1383=AP$22,MONTH($D1383),"")</f>
        <v/>
      </c>
      <c r="AQ1383" s="89" t="str">
        <f>+IF($AG1383=AQ$22,MONTH($D1383),"")</f>
        <v/>
      </c>
      <c r="AR1383" s="89" t="str">
        <f>+IF($AG1383=AR$22,MONTH($D1383),"")</f>
        <v/>
      </c>
      <c r="AS1383" s="89" t="str">
        <f>+IF($AG1383=AS$22,MONTH($D1383),"")</f>
        <v/>
      </c>
      <c r="AT1383" s="89" t="str">
        <f>+IF($AG1383=AT$22,MONTH($D1383),"")</f>
        <v/>
      </c>
      <c r="AU1383" s="89" t="str">
        <f>+IF($AG1383=AU$22,MONTH($D1383),"")</f>
        <v/>
      </c>
      <c r="AV1383" s="89" t="str">
        <f>+IF($AG1383=AV$22,MONTH($D1383),"")</f>
        <v/>
      </c>
      <c r="AW1383" s="86" t="str">
        <f>+IF($AG1383=AW$22,MONTH($D1383),"")</f>
        <v/>
      </c>
      <c r="AX1383" s="86" t="str">
        <f>+IF($AG1383=AX$22,MONTH($D1383),"")</f>
        <v/>
      </c>
      <c r="AY1383" s="89"/>
      <c r="AZ1383" s="89"/>
      <c r="BA1383" s="89"/>
      <c r="BB1383" s="89"/>
      <c r="BC1383" s="89"/>
      <c r="BD1383" s="89"/>
      <c r="BE1383" s="89"/>
      <c r="BF1383" s="89"/>
      <c r="BG1383" s="89"/>
      <c r="BH1383" s="89"/>
      <c r="BI1383" s="89"/>
      <c r="BJ1383" s="89"/>
      <c r="BK1383" s="89"/>
      <c r="BL1383" s="89"/>
      <c r="BM1383" s="89"/>
      <c r="BN1383" s="89"/>
      <c r="BO1383" s="89"/>
      <c r="BP1383" s="89"/>
    </row>
    <row r="1384" spans="1:68" s="56" customFormat="1" ht="13.5" hidden="1">
      <c r="A1384" s="204" t="str">
        <f>+IFERROR(VALUE(MID(AB1384,4,4)),"")</f>
        <v/>
      </c>
      <c r="B1384" s="204">
        <f>VALUE(RIGHT(C1384,LEN(C1384)-2))</f>
        <v>1340</v>
      </c>
      <c r="C1384" s="74" t="s">
        <v>5227</v>
      </c>
      <c r="D1384" s="75">
        <v>44391</v>
      </c>
      <c r="E1384" s="70" t="s">
        <v>255</v>
      </c>
      <c r="F1384" s="70" t="s">
        <v>255</v>
      </c>
      <c r="G1384" s="68"/>
      <c r="H1384" s="59"/>
      <c r="I1384" s="69" t="s">
        <v>5228</v>
      </c>
      <c r="J1384" s="69"/>
      <c r="K1384" s="68" t="s">
        <v>9</v>
      </c>
      <c r="L1384" s="69" t="s">
        <v>120</v>
      </c>
      <c r="M1384" s="71" t="s">
        <v>141</v>
      </c>
      <c r="N1384" s="69" t="e" vm="1">
        <v>#VALUE!</v>
      </c>
      <c r="O1384" s="84"/>
      <c r="P1384" s="72"/>
      <c r="Q1384" s="72" t="s">
        <v>316</v>
      </c>
      <c r="R1384" s="162"/>
      <c r="S1384" s="146" t="s">
        <v>2513</v>
      </c>
      <c r="T1384" s="68" t="s">
        <v>165</v>
      </c>
      <c r="U1384" s="87"/>
      <c r="V1384" s="80">
        <v>44403</v>
      </c>
      <c r="W1384" s="73">
        <v>608</v>
      </c>
      <c r="X1384" s="73">
        <f>859*29700/1000000</f>
        <v>25.5123</v>
      </c>
      <c r="Y1384" s="83">
        <f>IF(SUM(W1384:W1384)&gt;0,X1384/SUM(W1384:W1384)*1000000,"N/A")</f>
        <v>41961.019736842107</v>
      </c>
      <c r="Z1384" s="80"/>
      <c r="AA1384" s="80"/>
      <c r="AB1384" s="73"/>
      <c r="AC1384" s="153"/>
      <c r="AD1384" s="331"/>
      <c r="AE1384" s="57"/>
      <c r="AF1384" s="88"/>
      <c r="AG1384" s="182">
        <f>YEAR(D1384)</f>
        <v>2021</v>
      </c>
      <c r="AH1384" s="86" t="str">
        <f>+IF(AE1384=$AJ$22,MONTH(T1384),"")</f>
        <v/>
      </c>
      <c r="AI1384" s="86" t="str">
        <f>+IF(AF1384=$AJ$22,MONTH(U1384),"")</f>
        <v/>
      </c>
      <c r="AJ1384" s="86" t="str">
        <f>+IF(AG1384=$AJ$22,MONTH(V1384),"")</f>
        <v/>
      </c>
      <c r="AK1384" s="86" t="str">
        <f>+IF(AG1384=$AK$22,MONTH(V1384),"")</f>
        <v/>
      </c>
      <c r="AL1384" s="86" t="str">
        <f>+IF(AG1384=$AL$22,MONTH(V1384),"")</f>
        <v/>
      </c>
      <c r="AM1384" s="86">
        <f>+IF($AG1384=$AM$22,MONTH($D1384),"")</f>
        <v>7</v>
      </c>
      <c r="AN1384" s="89" t="str">
        <f>+IF($AG1384=AN$22,MONTH($D1384),"")</f>
        <v/>
      </c>
      <c r="AO1384" s="89" t="str">
        <f>+IF($AG1384=AO$22,MONTH($D1384),"")</f>
        <v/>
      </c>
      <c r="AP1384" s="89" t="str">
        <f>+IF($AG1384=AP$22,MONTH($D1384),"")</f>
        <v/>
      </c>
      <c r="AQ1384" s="89" t="str">
        <f>+IF($AG1384=AQ$22,MONTH($D1384),"")</f>
        <v/>
      </c>
      <c r="AR1384" s="89" t="str">
        <f>+IF($AG1384=AR$22,MONTH($D1384),"")</f>
        <v/>
      </c>
      <c r="AS1384" s="89" t="str">
        <f>+IF($AG1384=AS$22,MONTH($D1384),"")</f>
        <v/>
      </c>
      <c r="AT1384" s="89" t="str">
        <f>+IF($AG1384=AT$22,MONTH($D1384),"")</f>
        <v/>
      </c>
      <c r="AU1384" s="89" t="str">
        <f>+IF($AG1384=AU$22,MONTH($D1384),"")</f>
        <v/>
      </c>
      <c r="AV1384" s="89" t="str">
        <f>+IF($AG1384=AV$22,MONTH($D1384),"")</f>
        <v/>
      </c>
      <c r="AW1384" s="86" t="str">
        <f>+IF($AG1384=AW$22,MONTH($D1384),"")</f>
        <v/>
      </c>
      <c r="AX1384" s="86" t="str">
        <f>+IF($AG1384=AX$22,MONTH($D1384),"")</f>
        <v/>
      </c>
      <c r="AY1384" s="89"/>
      <c r="AZ1384" s="89"/>
      <c r="BA1384" s="89"/>
      <c r="BB1384" s="89"/>
      <c r="BC1384" s="89"/>
      <c r="BD1384" s="89"/>
      <c r="BE1384" s="89"/>
      <c r="BF1384" s="89"/>
      <c r="BG1384" s="89"/>
      <c r="BH1384" s="89"/>
      <c r="BI1384" s="89"/>
      <c r="BJ1384" s="89"/>
      <c r="BK1384" s="89"/>
      <c r="BL1384" s="89"/>
      <c r="BM1384" s="89"/>
      <c r="BN1384" s="89"/>
      <c r="BO1384" s="89"/>
      <c r="BP1384" s="89"/>
    </row>
    <row r="1385" spans="1:68" s="56" customFormat="1" ht="27" hidden="1">
      <c r="A1385" s="204">
        <f>+IFERROR(VALUE(MID(AB1385,4,4)),"")</f>
        <v>265</v>
      </c>
      <c r="B1385" s="204">
        <f>VALUE(RIGHT(C1385,LEN(C1385)-2))</f>
        <v>1339</v>
      </c>
      <c r="C1385" s="74" t="s">
        <v>5229</v>
      </c>
      <c r="D1385" s="75">
        <v>44389</v>
      </c>
      <c r="E1385" s="70" t="s">
        <v>41</v>
      </c>
      <c r="F1385" s="70" t="s">
        <v>41</v>
      </c>
      <c r="G1385" s="68"/>
      <c r="H1385" s="59"/>
      <c r="I1385" s="69" t="s">
        <v>5230</v>
      </c>
      <c r="J1385" s="69"/>
      <c r="K1385" s="68" t="s">
        <v>13</v>
      </c>
      <c r="L1385" s="69" t="s">
        <v>129</v>
      </c>
      <c r="M1385" s="71" t="s">
        <v>141</v>
      </c>
      <c r="N1385" s="69" t="e" vm="1">
        <v>#VALUE!</v>
      </c>
      <c r="O1385" s="84"/>
      <c r="P1385" s="72" t="s">
        <v>402</v>
      </c>
      <c r="Q1385" s="72" t="s">
        <v>1097</v>
      </c>
      <c r="R1385" s="162"/>
      <c r="S1385" s="146"/>
      <c r="T1385" s="68" t="s">
        <v>3</v>
      </c>
      <c r="U1385" s="87"/>
      <c r="V1385" s="80">
        <v>44390</v>
      </c>
      <c r="W1385" s="73">
        <v>1230</v>
      </c>
      <c r="X1385" s="73">
        <f>36671059/1000000</f>
        <v>36.671059</v>
      </c>
      <c r="Y1385" s="83">
        <f>IF(SUM(W1385:W1385)&gt;0,X1385/SUM(W1385:W1385)*1000000,"N/A")</f>
        <v>29813.869105691057</v>
      </c>
      <c r="Z1385" s="80"/>
      <c r="AA1385" s="80"/>
      <c r="AB1385" s="73" t="s">
        <v>5231</v>
      </c>
      <c r="AC1385" s="153"/>
      <c r="AD1385" s="331"/>
      <c r="AE1385" s="57"/>
      <c r="AF1385" s="88"/>
      <c r="AG1385" s="182">
        <f>YEAR(D1385)</f>
        <v>2021</v>
      </c>
      <c r="AH1385" s="86" t="str">
        <f>+IF(AE1385=$AJ$22,MONTH(T1385),"")</f>
        <v/>
      </c>
      <c r="AI1385" s="86" t="str">
        <f>+IF(AF1385=$AJ$22,MONTH(U1385),"")</f>
        <v/>
      </c>
      <c r="AJ1385" s="86" t="str">
        <f>+IF(AG1385=$AJ$22,MONTH(V1385),"")</f>
        <v/>
      </c>
      <c r="AK1385" s="86" t="str">
        <f>+IF(AG1385=$AK$22,MONTH(V1385),"")</f>
        <v/>
      </c>
      <c r="AL1385" s="86" t="str">
        <f>+IF(AG1385=$AL$22,MONTH(V1385),"")</f>
        <v/>
      </c>
      <c r="AM1385" s="86">
        <f>+IF($AG1385=$AM$22,MONTH($D1385),"")</f>
        <v>7</v>
      </c>
      <c r="AN1385" s="89" t="str">
        <f>+IF($AG1385=AN$22,MONTH($D1385),"")</f>
        <v/>
      </c>
      <c r="AO1385" s="89" t="str">
        <f>+IF($AG1385=AO$22,MONTH($D1385),"")</f>
        <v/>
      </c>
      <c r="AP1385" s="89" t="str">
        <f>+IF($AG1385=AP$22,MONTH($D1385),"")</f>
        <v/>
      </c>
      <c r="AQ1385" s="89" t="str">
        <f>+IF($AG1385=AQ$22,MONTH($D1385),"")</f>
        <v/>
      </c>
      <c r="AR1385" s="89" t="str">
        <f>+IF($AG1385=AR$22,MONTH($D1385),"")</f>
        <v/>
      </c>
      <c r="AS1385" s="89" t="str">
        <f>+IF($AG1385=AS$22,MONTH($D1385),"")</f>
        <v/>
      </c>
      <c r="AT1385" s="89" t="str">
        <f>+IF($AG1385=AT$22,MONTH($D1385),"")</f>
        <v/>
      </c>
      <c r="AU1385" s="89" t="str">
        <f>+IF($AG1385=AU$22,MONTH($D1385),"")</f>
        <v/>
      </c>
      <c r="AV1385" s="89" t="str">
        <f>+IF($AG1385=AV$22,MONTH($D1385),"")</f>
        <v/>
      </c>
      <c r="AW1385" s="86" t="str">
        <f>+IF($AG1385=AW$22,MONTH($D1385),"")</f>
        <v/>
      </c>
      <c r="AX1385" s="86" t="str">
        <f>+IF($AG1385=AX$22,MONTH($D1385),"")</f>
        <v/>
      </c>
      <c r="AY1385" s="89"/>
      <c r="AZ1385" s="89"/>
      <c r="BA1385" s="89"/>
      <c r="BB1385" s="89"/>
      <c r="BC1385" s="89"/>
      <c r="BD1385" s="89"/>
      <c r="BE1385" s="89"/>
      <c r="BF1385" s="89"/>
      <c r="BG1385" s="89"/>
      <c r="BH1385" s="89"/>
      <c r="BI1385" s="89"/>
      <c r="BJ1385" s="89"/>
      <c r="BK1385" s="89"/>
      <c r="BL1385" s="89"/>
      <c r="BM1385" s="89"/>
      <c r="BN1385" s="89"/>
      <c r="BO1385" s="89"/>
      <c r="BP1385" s="89"/>
    </row>
    <row r="1386" spans="1:68" s="56" customFormat="1" ht="27" hidden="1">
      <c r="A1386" s="204">
        <f>+IFERROR(VALUE(MID(AB1386,4,4)),"")</f>
        <v>275</v>
      </c>
      <c r="B1386" s="204">
        <f>VALUE(RIGHT(C1386,LEN(C1386)-2))</f>
        <v>1338</v>
      </c>
      <c r="C1386" s="74" t="s">
        <v>5232</v>
      </c>
      <c r="D1386" s="75">
        <v>44384</v>
      </c>
      <c r="E1386" s="70" t="s">
        <v>848</v>
      </c>
      <c r="F1386" s="70" t="s">
        <v>848</v>
      </c>
      <c r="G1386" s="68" t="s">
        <v>4515</v>
      </c>
      <c r="H1386" s="59"/>
      <c r="I1386" s="69" t="s">
        <v>5233</v>
      </c>
      <c r="J1386" s="69"/>
      <c r="K1386" s="68" t="s">
        <v>9</v>
      </c>
      <c r="L1386" s="69" t="s">
        <v>120</v>
      </c>
      <c r="M1386" s="71" t="s">
        <v>141</v>
      </c>
      <c r="N1386" s="69" t="e" vm="1">
        <v>#VALUE!</v>
      </c>
      <c r="O1386" s="84"/>
      <c r="P1386" s="72" t="s">
        <v>274</v>
      </c>
      <c r="Q1386" s="72" t="s">
        <v>275</v>
      </c>
      <c r="R1386" s="162"/>
      <c r="S1386" s="146"/>
      <c r="T1386" s="68" t="s">
        <v>3</v>
      </c>
      <c r="U1386" s="87"/>
      <c r="V1386" s="80">
        <v>44421</v>
      </c>
      <c r="W1386" s="73">
        <v>947</v>
      </c>
      <c r="X1386" s="73">
        <v>37.29</v>
      </c>
      <c r="Y1386" s="83">
        <f>IF(SUM(W1386:W1386)&gt;0,X1386/SUM(W1386:W1386)*1000000,"N/A")</f>
        <v>39376.979936642027</v>
      </c>
      <c r="Z1386" s="80"/>
      <c r="AA1386" s="80"/>
      <c r="AB1386" s="73" t="s">
        <v>5234</v>
      </c>
      <c r="AC1386" s="153"/>
      <c r="AD1386" s="331"/>
      <c r="AE1386" s="57"/>
      <c r="AF1386" s="88"/>
      <c r="AG1386" s="182">
        <f>YEAR(D1386)</f>
        <v>2021</v>
      </c>
      <c r="AH1386" s="86" t="str">
        <f>+IF(AE1386=$AJ$22,MONTH(T1386),"")</f>
        <v/>
      </c>
      <c r="AI1386" s="86" t="str">
        <f>+IF(AF1386=$AJ$22,MONTH(U1386),"")</f>
        <v/>
      </c>
      <c r="AJ1386" s="86" t="str">
        <f>+IF(AG1386=$AJ$22,MONTH(V1386),"")</f>
        <v/>
      </c>
      <c r="AK1386" s="86" t="str">
        <f>+IF(AG1386=$AK$22,MONTH(V1386),"")</f>
        <v/>
      </c>
      <c r="AL1386" s="86" t="str">
        <f>+IF(AG1386=$AL$22,MONTH(V1386),"")</f>
        <v/>
      </c>
      <c r="AM1386" s="86">
        <f>+IF($AG1386=$AM$22,MONTH($D1386),"")</f>
        <v>7</v>
      </c>
      <c r="AN1386" s="89" t="str">
        <f>+IF($AG1386=AN$22,MONTH($D1386),"")</f>
        <v/>
      </c>
      <c r="AO1386" s="89" t="str">
        <f>+IF($AG1386=AO$22,MONTH($D1386),"")</f>
        <v/>
      </c>
      <c r="AP1386" s="89" t="str">
        <f>+IF($AG1386=AP$22,MONTH($D1386),"")</f>
        <v/>
      </c>
      <c r="AQ1386" s="89" t="str">
        <f>+IF($AG1386=AQ$22,MONTH($D1386),"")</f>
        <v/>
      </c>
      <c r="AR1386" s="89" t="str">
        <f>+IF($AG1386=AR$22,MONTH($D1386),"")</f>
        <v/>
      </c>
      <c r="AS1386" s="89" t="str">
        <f>+IF($AG1386=AS$22,MONTH($D1386),"")</f>
        <v/>
      </c>
      <c r="AT1386" s="89" t="str">
        <f>+IF($AG1386=AT$22,MONTH($D1386),"")</f>
        <v/>
      </c>
      <c r="AU1386" s="89" t="str">
        <f>+IF($AG1386=AU$22,MONTH($D1386),"")</f>
        <v/>
      </c>
      <c r="AV1386" s="89" t="str">
        <f>+IF($AG1386=AV$22,MONTH($D1386),"")</f>
        <v/>
      </c>
      <c r="AW1386" s="86" t="str">
        <f>+IF($AG1386=AW$22,MONTH($D1386),"")</f>
        <v/>
      </c>
      <c r="AX1386" s="86" t="str">
        <f>+IF($AG1386=AX$22,MONTH($D1386),"")</f>
        <v/>
      </c>
      <c r="AY1386" s="89"/>
      <c r="AZ1386" s="89"/>
      <c r="BA1386" s="89"/>
      <c r="BB1386" s="89"/>
      <c r="BC1386" s="89"/>
      <c r="BD1386" s="89"/>
      <c r="BE1386" s="89"/>
      <c r="BF1386" s="89"/>
      <c r="BG1386" s="89"/>
      <c r="BH1386" s="89"/>
      <c r="BI1386" s="89"/>
      <c r="BJ1386" s="89"/>
      <c r="BK1386" s="89"/>
      <c r="BL1386" s="89"/>
      <c r="BM1386" s="89"/>
      <c r="BN1386" s="89"/>
      <c r="BO1386" s="89"/>
      <c r="BP1386" s="89"/>
    </row>
    <row r="1387" spans="1:68" s="56" customFormat="1" ht="13.5" hidden="1">
      <c r="A1387" s="204" t="str">
        <f>+IFERROR(VALUE(MID(AB1387,4,4)),"")</f>
        <v/>
      </c>
      <c r="B1387" s="204">
        <f>VALUE(RIGHT(C1387,LEN(C1387)-2))</f>
        <v>1337</v>
      </c>
      <c r="C1387" s="74" t="s">
        <v>5235</v>
      </c>
      <c r="D1387" s="75">
        <v>44377</v>
      </c>
      <c r="E1387" s="70" t="s">
        <v>394</v>
      </c>
      <c r="F1387" s="70" t="s">
        <v>394</v>
      </c>
      <c r="G1387" s="68"/>
      <c r="H1387" s="59"/>
      <c r="I1387" s="69" t="s">
        <v>5236</v>
      </c>
      <c r="J1387" s="69"/>
      <c r="K1387" s="68" t="s">
        <v>5237</v>
      </c>
      <c r="L1387" s="69" t="s">
        <v>120</v>
      </c>
      <c r="M1387" s="71" t="s">
        <v>141</v>
      </c>
      <c r="N1387" s="69" t="e" vm="1">
        <v>#VALUE!</v>
      </c>
      <c r="O1387" s="84"/>
      <c r="P1387" s="72" t="s">
        <v>666</v>
      </c>
      <c r="Q1387" s="72" t="s">
        <v>837</v>
      </c>
      <c r="R1387" s="162"/>
      <c r="S1387" s="146" t="s">
        <v>2509</v>
      </c>
      <c r="T1387" s="68" t="s">
        <v>165</v>
      </c>
      <c r="U1387" s="87"/>
      <c r="V1387" s="80">
        <v>44391</v>
      </c>
      <c r="W1387" s="73">
        <v>231</v>
      </c>
      <c r="X1387" s="73">
        <f>378*29800/1000000</f>
        <v>11.2644</v>
      </c>
      <c r="Y1387" s="83">
        <f>IF(SUM(W1387:W1387)&gt;0,X1387/SUM(W1387:W1387)*1000000,"N/A")</f>
        <v>48763.63636363636</v>
      </c>
      <c r="Z1387" s="80"/>
      <c r="AA1387" s="80"/>
      <c r="AB1387" s="73"/>
      <c r="AC1387" s="153"/>
      <c r="AD1387" s="331"/>
      <c r="AE1387" s="57"/>
      <c r="AF1387" s="88"/>
      <c r="AG1387" s="182">
        <f>YEAR(D1387)</f>
        <v>2021</v>
      </c>
      <c r="AH1387" s="86" t="str">
        <f>+IF(AE1387=$AJ$22,MONTH(T1387),"")</f>
        <v/>
      </c>
      <c r="AI1387" s="86" t="str">
        <f>+IF(AF1387=$AJ$22,MONTH(U1387),"")</f>
        <v/>
      </c>
      <c r="AJ1387" s="86" t="str">
        <f>+IF(AG1387=$AJ$22,MONTH(V1387),"")</f>
        <v/>
      </c>
      <c r="AK1387" s="86" t="str">
        <f>+IF(AG1387=$AK$22,MONTH(V1387),"")</f>
        <v/>
      </c>
      <c r="AL1387" s="86" t="str">
        <f>+IF(AG1387=$AL$22,MONTH(V1387),"")</f>
        <v/>
      </c>
      <c r="AM1387" s="86">
        <f>+IF($AG1387=$AM$22,MONTH($D1387),"")</f>
        <v>6</v>
      </c>
      <c r="AN1387" s="89" t="str">
        <f>+IF($AG1387=AN$22,MONTH($D1387),"")</f>
        <v/>
      </c>
      <c r="AO1387" s="89" t="str">
        <f>+IF($AG1387=AO$22,MONTH($D1387),"")</f>
        <v/>
      </c>
      <c r="AP1387" s="89" t="str">
        <f>+IF($AG1387=AP$22,MONTH($D1387),"")</f>
        <v/>
      </c>
      <c r="AQ1387" s="89" t="str">
        <f>+IF($AG1387=AQ$22,MONTH($D1387),"")</f>
        <v/>
      </c>
      <c r="AR1387" s="89" t="str">
        <f>+IF($AG1387=AR$22,MONTH($D1387),"")</f>
        <v/>
      </c>
      <c r="AS1387" s="89" t="str">
        <f>+IF($AG1387=AS$22,MONTH($D1387),"")</f>
        <v/>
      </c>
      <c r="AT1387" s="89" t="str">
        <f>+IF($AG1387=AT$22,MONTH($D1387),"")</f>
        <v/>
      </c>
      <c r="AU1387" s="89" t="str">
        <f>+IF($AG1387=AU$22,MONTH($D1387),"")</f>
        <v/>
      </c>
      <c r="AV1387" s="89" t="str">
        <f>+IF($AG1387=AV$22,MONTH($D1387),"")</f>
        <v/>
      </c>
      <c r="AW1387" s="86" t="str">
        <f>+IF($AG1387=AW$22,MONTH($D1387),"")</f>
        <v/>
      </c>
      <c r="AX1387" s="86" t="str">
        <f>+IF($AG1387=AX$22,MONTH($D1387),"")</f>
        <v/>
      </c>
      <c r="AY1387" s="89"/>
      <c r="AZ1387" s="89"/>
      <c r="BA1387" s="89"/>
      <c r="BB1387" s="89"/>
      <c r="BC1387" s="89"/>
      <c r="BD1387" s="89"/>
      <c r="BE1387" s="89"/>
      <c r="BF1387" s="89"/>
      <c r="BG1387" s="89"/>
      <c r="BH1387" s="89"/>
      <c r="BI1387" s="89"/>
      <c r="BJ1387" s="89"/>
      <c r="BK1387" s="89"/>
      <c r="BL1387" s="89"/>
      <c r="BM1387" s="89"/>
      <c r="BN1387" s="89"/>
      <c r="BO1387" s="89"/>
      <c r="BP1387" s="89"/>
    </row>
    <row r="1388" spans="1:68" s="56" customFormat="1" ht="27" hidden="1">
      <c r="A1388" s="204">
        <f>+IFERROR(VALUE(MID(AB1388,4,4)),"")</f>
        <v>280</v>
      </c>
      <c r="B1388" s="204">
        <f>VALUE(RIGHT(C1388,LEN(C1388)-2))</f>
        <v>1336</v>
      </c>
      <c r="C1388" s="74" t="s">
        <v>5238</v>
      </c>
      <c r="D1388" s="75">
        <v>44377</v>
      </c>
      <c r="E1388" s="70" t="s">
        <v>53</v>
      </c>
      <c r="F1388" s="70" t="s">
        <v>252</v>
      </c>
      <c r="G1388" s="68" t="s">
        <v>4716</v>
      </c>
      <c r="H1388" s="59"/>
      <c r="I1388" s="69" t="s">
        <v>5239</v>
      </c>
      <c r="J1388" s="69"/>
      <c r="K1388" s="68" t="s">
        <v>12</v>
      </c>
      <c r="L1388" s="69" t="s">
        <v>123</v>
      </c>
      <c r="M1388" s="71" t="s">
        <v>141</v>
      </c>
      <c r="N1388" s="69" t="e" vm="1">
        <v>#VALUE!</v>
      </c>
      <c r="O1388" s="84">
        <v>44419</v>
      </c>
      <c r="P1388" s="72" t="s">
        <v>228</v>
      </c>
      <c r="Q1388" s="72" t="s">
        <v>1097</v>
      </c>
      <c r="R1388" s="162"/>
      <c r="S1388" s="146" t="s">
        <v>5240</v>
      </c>
      <c r="T1388" s="68" t="s">
        <v>3</v>
      </c>
      <c r="U1388" s="87"/>
      <c r="V1388" s="80">
        <v>44478</v>
      </c>
      <c r="W1388" s="73">
        <v>8707</v>
      </c>
      <c r="X1388" s="73">
        <v>320</v>
      </c>
      <c r="Y1388" s="83">
        <f>IF(SUM(W1388:W1388)&gt;0,X1388/SUM(W1388:W1388)*1000000,"N/A")</f>
        <v>36752.038589640521</v>
      </c>
      <c r="Z1388" s="80"/>
      <c r="AA1388" s="80"/>
      <c r="AB1388" s="73" t="s">
        <v>5241</v>
      </c>
      <c r="AC1388" s="153"/>
      <c r="AD1388" s="331"/>
      <c r="AE1388" s="57"/>
      <c r="AF1388" s="88"/>
      <c r="AG1388" s="182">
        <f>YEAR(D1388)</f>
        <v>2021</v>
      </c>
      <c r="AH1388" s="86" t="str">
        <f>+IF(AE1388=$AJ$22,MONTH(T1388),"")</f>
        <v/>
      </c>
      <c r="AI1388" s="86" t="str">
        <f>+IF(AF1388=$AJ$22,MONTH(U1388),"")</f>
        <v/>
      </c>
      <c r="AJ1388" s="86" t="str">
        <f>+IF(AG1388=$AJ$22,MONTH(V1388),"")</f>
        <v/>
      </c>
      <c r="AK1388" s="86" t="str">
        <f>+IF(AG1388=$AK$22,MONTH(V1388),"")</f>
        <v/>
      </c>
      <c r="AL1388" s="86" t="str">
        <f>+IF(AG1388=$AL$22,MONTH(V1388),"")</f>
        <v/>
      </c>
      <c r="AM1388" s="86">
        <f>+IF($AG1388=$AM$22,MONTH($D1388),"")</f>
        <v>6</v>
      </c>
      <c r="AN1388" s="89" t="str">
        <f>+IF($AG1388=AN$22,MONTH($D1388),"")</f>
        <v/>
      </c>
      <c r="AO1388" s="89" t="str">
        <f>+IF($AG1388=AO$22,MONTH($D1388),"")</f>
        <v/>
      </c>
      <c r="AP1388" s="89" t="str">
        <f>+IF($AG1388=AP$22,MONTH($D1388),"")</f>
        <v/>
      </c>
      <c r="AQ1388" s="89" t="str">
        <f>+IF($AG1388=AQ$22,MONTH($D1388),"")</f>
        <v/>
      </c>
      <c r="AR1388" s="89" t="str">
        <f>+IF($AG1388=AR$22,MONTH($D1388),"")</f>
        <v/>
      </c>
      <c r="AS1388" s="89" t="str">
        <f>+IF($AG1388=AS$22,MONTH($D1388),"")</f>
        <v/>
      </c>
      <c r="AT1388" s="89" t="str">
        <f>+IF($AG1388=AT$22,MONTH($D1388),"")</f>
        <v/>
      </c>
      <c r="AU1388" s="89" t="str">
        <f>+IF($AG1388=AU$22,MONTH($D1388),"")</f>
        <v/>
      </c>
      <c r="AV1388" s="89" t="str">
        <f>+IF($AG1388=AV$22,MONTH($D1388),"")</f>
        <v/>
      </c>
      <c r="AW1388" s="86" t="str">
        <f>+IF($AG1388=AW$22,MONTH($D1388),"")</f>
        <v/>
      </c>
      <c r="AX1388" s="86" t="str">
        <f>+IF($AG1388=AX$22,MONTH($D1388),"")</f>
        <v/>
      </c>
      <c r="AY1388" s="89"/>
      <c r="AZ1388" s="89"/>
      <c r="BA1388" s="89"/>
      <c r="BB1388" s="89"/>
      <c r="BC1388" s="89"/>
      <c r="BD1388" s="89"/>
      <c r="BE1388" s="89"/>
      <c r="BF1388" s="89"/>
      <c r="BG1388" s="89"/>
      <c r="BH1388" s="89"/>
      <c r="BI1388" s="89"/>
      <c r="BJ1388" s="89"/>
      <c r="BK1388" s="89"/>
      <c r="BL1388" s="89"/>
      <c r="BM1388" s="89"/>
      <c r="BN1388" s="89"/>
      <c r="BO1388" s="89"/>
      <c r="BP1388" s="89"/>
    </row>
    <row r="1389" spans="1:68" s="56" customFormat="1" ht="26.25" hidden="1" customHeight="1">
      <c r="A1389" s="204" t="str">
        <f>+IFERROR(VALUE(MID(AB1389,4,4)),"")</f>
        <v/>
      </c>
      <c r="B1389" s="204">
        <f>VALUE(RIGHT(C1389,LEN(C1389)-2))</f>
        <v>1335</v>
      </c>
      <c r="C1389" s="74" t="s">
        <v>5242</v>
      </c>
      <c r="D1389" s="75">
        <v>44377</v>
      </c>
      <c r="E1389" s="70" t="s">
        <v>5243</v>
      </c>
      <c r="F1389" s="70" t="s">
        <v>5243</v>
      </c>
      <c r="G1389" s="68"/>
      <c r="H1389" s="59"/>
      <c r="I1389" s="69" t="s">
        <v>5244</v>
      </c>
      <c r="J1389" s="69"/>
      <c r="K1389" s="68" t="s">
        <v>9</v>
      </c>
      <c r="L1389" s="69" t="s">
        <v>120</v>
      </c>
      <c r="M1389" s="71" t="s">
        <v>141</v>
      </c>
      <c r="N1389" s="69" t="e" vm="1">
        <v>#VALUE!</v>
      </c>
      <c r="O1389" s="84"/>
      <c r="P1389" s="72" t="s">
        <v>402</v>
      </c>
      <c r="Q1389" s="72" t="s">
        <v>389</v>
      </c>
      <c r="R1389" s="162"/>
      <c r="S1389" s="146" t="s">
        <v>2402</v>
      </c>
      <c r="T1389" s="68" t="s">
        <v>165</v>
      </c>
      <c r="U1389" s="87"/>
      <c r="V1389" s="80">
        <v>44421</v>
      </c>
      <c r="W1389" s="73">
        <v>1536</v>
      </c>
      <c r="X1389" s="73">
        <v>61.79</v>
      </c>
      <c r="Y1389" s="83">
        <f>IF(SUM(W1389:W1389)&gt;0,X1389/SUM(W1389:W1389)*1000000,"N/A")</f>
        <v>40227.864583333336</v>
      </c>
      <c r="Z1389" s="80"/>
      <c r="AA1389" s="80"/>
      <c r="AB1389" s="73"/>
      <c r="AC1389" s="153"/>
      <c r="AD1389" s="331"/>
      <c r="AE1389" s="57"/>
      <c r="AF1389" s="88"/>
      <c r="AG1389" s="182">
        <f>YEAR(D1389)</f>
        <v>2021</v>
      </c>
      <c r="AH1389" s="86" t="str">
        <f>+IF(AE1389=$AJ$22,MONTH(T1389),"")</f>
        <v/>
      </c>
      <c r="AI1389" s="86" t="str">
        <f>+IF(AF1389=$AJ$22,MONTH(U1389),"")</f>
        <v/>
      </c>
      <c r="AJ1389" s="86" t="str">
        <f>+IF(AG1389=$AJ$22,MONTH(V1389),"")</f>
        <v/>
      </c>
      <c r="AK1389" s="86" t="str">
        <f>+IF(AG1389=$AK$22,MONTH(V1389),"")</f>
        <v/>
      </c>
      <c r="AL1389" s="86" t="str">
        <f>+IF(AG1389=$AL$22,MONTH(V1389),"")</f>
        <v/>
      </c>
      <c r="AM1389" s="86">
        <f>+IF($AG1389=$AM$22,MONTH($D1389),"")</f>
        <v>6</v>
      </c>
      <c r="AN1389" s="89" t="str">
        <f>+IF($AG1389=AN$22,MONTH($D1389),"")</f>
        <v/>
      </c>
      <c r="AO1389" s="89" t="str">
        <f>+IF($AG1389=AO$22,MONTH($D1389),"")</f>
        <v/>
      </c>
      <c r="AP1389" s="89" t="str">
        <f>+IF($AG1389=AP$22,MONTH($D1389),"")</f>
        <v/>
      </c>
      <c r="AQ1389" s="89" t="str">
        <f>+IF($AG1389=AQ$22,MONTH($D1389),"")</f>
        <v/>
      </c>
      <c r="AR1389" s="89" t="str">
        <f>+IF($AG1389=AR$22,MONTH($D1389),"")</f>
        <v/>
      </c>
      <c r="AS1389" s="89" t="str">
        <f>+IF($AG1389=AS$22,MONTH($D1389),"")</f>
        <v/>
      </c>
      <c r="AT1389" s="89" t="str">
        <f>+IF($AG1389=AT$22,MONTH($D1389),"")</f>
        <v/>
      </c>
      <c r="AU1389" s="89" t="str">
        <f>+IF($AG1389=AU$22,MONTH($D1389),"")</f>
        <v/>
      </c>
      <c r="AV1389" s="89" t="str">
        <f>+IF($AG1389=AV$22,MONTH($D1389),"")</f>
        <v/>
      </c>
      <c r="AW1389" s="86" t="str">
        <f>+IF($AG1389=AW$22,MONTH($D1389),"")</f>
        <v/>
      </c>
      <c r="AX1389" s="86" t="str">
        <f>+IF($AG1389=AX$22,MONTH($D1389),"")</f>
        <v/>
      </c>
      <c r="AY1389" s="89"/>
      <c r="AZ1389" s="89"/>
      <c r="BA1389" s="89"/>
      <c r="BB1389" s="89"/>
      <c r="BC1389" s="89"/>
      <c r="BD1389" s="89"/>
      <c r="BE1389" s="89"/>
      <c r="BF1389" s="89"/>
      <c r="BG1389" s="89"/>
      <c r="BH1389" s="89"/>
      <c r="BI1389" s="89"/>
      <c r="BJ1389" s="89"/>
      <c r="BK1389" s="89"/>
      <c r="BL1389" s="89"/>
      <c r="BM1389" s="89"/>
      <c r="BN1389" s="89"/>
      <c r="BO1389" s="89"/>
      <c r="BP1389" s="89"/>
    </row>
    <row r="1390" spans="1:68" s="56" customFormat="1" ht="13.5" hidden="1">
      <c r="A1390" s="204">
        <f>+IFERROR(VALUE(MID(AB1390,4,4)),"")</f>
        <v>270</v>
      </c>
      <c r="B1390" s="204">
        <f>VALUE(RIGHT(C1390,LEN(C1390)-2))</f>
        <v>1334</v>
      </c>
      <c r="C1390" s="74" t="s">
        <v>5245</v>
      </c>
      <c r="D1390" s="75">
        <v>44377</v>
      </c>
      <c r="E1390" s="70" t="s">
        <v>394</v>
      </c>
      <c r="F1390" s="70" t="s">
        <v>394</v>
      </c>
      <c r="G1390" s="68" t="s">
        <v>4108</v>
      </c>
      <c r="H1390" s="59" t="s">
        <v>4109</v>
      </c>
      <c r="I1390" s="69" t="s">
        <v>5246</v>
      </c>
      <c r="J1390" s="69"/>
      <c r="K1390" s="68" t="s">
        <v>13</v>
      </c>
      <c r="L1390" s="69" t="s">
        <v>120</v>
      </c>
      <c r="M1390" s="71" t="s">
        <v>141</v>
      </c>
      <c r="N1390" s="69" t="e" vm="1">
        <v>#VALUE!</v>
      </c>
      <c r="O1390" s="84">
        <v>44372</v>
      </c>
      <c r="P1390" s="72" t="s">
        <v>402</v>
      </c>
      <c r="Q1390" s="72" t="s">
        <v>229</v>
      </c>
      <c r="R1390" s="162"/>
      <c r="S1390" s="146"/>
      <c r="T1390" s="68" t="s">
        <v>3</v>
      </c>
      <c r="U1390" s="87"/>
      <c r="V1390" s="80">
        <v>44378</v>
      </c>
      <c r="W1390" s="73">
        <v>1053</v>
      </c>
      <c r="X1390" s="73">
        <f>1900*29800/1000000</f>
        <v>56.62</v>
      </c>
      <c r="Y1390" s="83">
        <f>IF(SUM(W1390:W1390)&gt;0,X1390/SUM(W1390:W1390)*1000000,"N/A")</f>
        <v>53770.180436847098</v>
      </c>
      <c r="Z1390" s="80"/>
      <c r="AA1390" s="80"/>
      <c r="AB1390" s="73" t="s">
        <v>5247</v>
      </c>
      <c r="AC1390" s="153"/>
      <c r="AD1390" s="331"/>
      <c r="AE1390" s="57"/>
      <c r="AF1390" s="88"/>
      <c r="AG1390" s="182">
        <f>YEAR(D1390)</f>
        <v>2021</v>
      </c>
      <c r="AH1390" s="86" t="str">
        <f>+IF(AE1390=$AJ$22,MONTH(T1390),"")</f>
        <v/>
      </c>
      <c r="AI1390" s="86" t="str">
        <f>+IF(AF1390=$AJ$22,MONTH(U1390),"")</f>
        <v/>
      </c>
      <c r="AJ1390" s="86" t="str">
        <f>+IF(AG1390=$AJ$22,MONTH(V1390),"")</f>
        <v/>
      </c>
      <c r="AK1390" s="86" t="str">
        <f>+IF(AG1390=$AK$22,MONTH(V1390),"")</f>
        <v/>
      </c>
      <c r="AL1390" s="86" t="str">
        <f>+IF(AG1390=$AL$22,MONTH(V1390),"")</f>
        <v/>
      </c>
      <c r="AM1390" s="86">
        <f>+IF($AG1390=$AM$22,MONTH($D1390),"")</f>
        <v>6</v>
      </c>
      <c r="AN1390" s="89" t="str">
        <f>+IF($AG1390=AN$22,MONTH($D1390),"")</f>
        <v/>
      </c>
      <c r="AO1390" s="89" t="str">
        <f>+IF($AG1390=AO$22,MONTH($D1390),"")</f>
        <v/>
      </c>
      <c r="AP1390" s="89" t="str">
        <f>+IF($AG1390=AP$22,MONTH($D1390),"")</f>
        <v/>
      </c>
      <c r="AQ1390" s="89" t="str">
        <f>+IF($AG1390=AQ$22,MONTH($D1390),"")</f>
        <v/>
      </c>
      <c r="AR1390" s="89" t="str">
        <f>+IF($AG1390=AR$22,MONTH($D1390),"")</f>
        <v/>
      </c>
      <c r="AS1390" s="89" t="str">
        <f>+IF($AG1390=AS$22,MONTH($D1390),"")</f>
        <v/>
      </c>
      <c r="AT1390" s="89" t="str">
        <f>+IF($AG1390=AT$22,MONTH($D1390),"")</f>
        <v/>
      </c>
      <c r="AU1390" s="89" t="str">
        <f>+IF($AG1390=AU$22,MONTH($D1390),"")</f>
        <v/>
      </c>
      <c r="AV1390" s="89" t="str">
        <f>+IF($AG1390=AV$22,MONTH($D1390),"")</f>
        <v/>
      </c>
      <c r="AW1390" s="86" t="str">
        <f>+IF($AG1390=AW$22,MONTH($D1390),"")</f>
        <v/>
      </c>
      <c r="AX1390" s="86" t="str">
        <f>+IF($AG1390=AX$22,MONTH($D1390),"")</f>
        <v/>
      </c>
      <c r="AY1390" s="89"/>
      <c r="AZ1390" s="89"/>
      <c r="BA1390" s="89"/>
      <c r="BB1390" s="89"/>
      <c r="BC1390" s="89"/>
      <c r="BD1390" s="89"/>
      <c r="BE1390" s="89"/>
      <c r="BF1390" s="89"/>
      <c r="BG1390" s="89"/>
      <c r="BH1390" s="89"/>
      <c r="BI1390" s="89"/>
      <c r="BJ1390" s="89"/>
      <c r="BK1390" s="89"/>
      <c r="BL1390" s="89"/>
      <c r="BM1390" s="89"/>
      <c r="BN1390" s="89"/>
      <c r="BO1390" s="89"/>
      <c r="BP1390" s="89"/>
    </row>
    <row r="1391" spans="1:68" s="56" customFormat="1" ht="53.25" hidden="1">
      <c r="A1391" s="204" t="str">
        <f>+IFERROR(VALUE(MID(AB1391,4,4)),"")</f>
        <v/>
      </c>
      <c r="B1391" s="204">
        <f>VALUE(RIGHT(C1391,LEN(C1391)-2))</f>
        <v>1333</v>
      </c>
      <c r="C1391" s="74" t="s">
        <v>5248</v>
      </c>
      <c r="D1391" s="75">
        <v>44376</v>
      </c>
      <c r="E1391" s="70" t="s">
        <v>1546</v>
      </c>
      <c r="F1391" s="70" t="s">
        <v>394</v>
      </c>
      <c r="G1391" s="68" t="s">
        <v>5249</v>
      </c>
      <c r="H1391" s="59"/>
      <c r="I1391" s="69" t="s">
        <v>5250</v>
      </c>
      <c r="J1391" s="69"/>
      <c r="K1391" s="68"/>
      <c r="L1391" s="69" t="s">
        <v>120</v>
      </c>
      <c r="M1391" s="71" t="s">
        <v>141</v>
      </c>
      <c r="N1391" s="69" t="e" vm="1">
        <v>#VALUE!</v>
      </c>
      <c r="O1391" s="84">
        <v>44376</v>
      </c>
      <c r="P1391" s="72" t="s">
        <v>274</v>
      </c>
      <c r="Q1391" s="72" t="s">
        <v>623</v>
      </c>
      <c r="R1391" s="162"/>
      <c r="S1391" s="146" t="s">
        <v>5251</v>
      </c>
      <c r="T1391" s="68" t="s">
        <v>165</v>
      </c>
      <c r="U1391" s="87">
        <v>0</v>
      </c>
      <c r="V1391" s="80">
        <v>44965</v>
      </c>
      <c r="W1391" s="73">
        <v>1</v>
      </c>
      <c r="X1391" s="73"/>
      <c r="Y1391" s="83"/>
      <c r="Z1391" s="80"/>
      <c r="AA1391" s="80"/>
      <c r="AB1391" s="73"/>
      <c r="AC1391" s="153"/>
      <c r="AD1391" s="331"/>
      <c r="AE1391" s="57"/>
      <c r="AF1391" s="88"/>
      <c r="AG1391" s="182">
        <f>YEAR(D1391)</f>
        <v>2021</v>
      </c>
      <c r="AH1391" s="86" t="str">
        <f>+IF(AE1391=$AJ$22,MONTH(T1391),"")</f>
        <v/>
      </c>
      <c r="AI1391" s="86" t="str">
        <f>+IF(AF1391=$AJ$22,MONTH(U1391),"")</f>
        <v/>
      </c>
      <c r="AJ1391" s="86" t="str">
        <f>+IF(AG1391=$AJ$22,MONTH(V1391),"")</f>
        <v/>
      </c>
      <c r="AK1391" s="86" t="str">
        <f>+IF(AG1391=$AK$22,MONTH(V1391),"")</f>
        <v/>
      </c>
      <c r="AL1391" s="86" t="str">
        <f>+IF(AG1391=$AL$22,MONTH(V1391),"")</f>
        <v/>
      </c>
      <c r="AM1391" s="86">
        <f>+IF($AG1391=$AM$22,MONTH($D1391),"")</f>
        <v>6</v>
      </c>
      <c r="AN1391" s="89" t="str">
        <f>+IF($AG1391=AN$22,MONTH($D1391),"")</f>
        <v/>
      </c>
      <c r="AO1391" s="89" t="str">
        <f>+IF($AG1391=AO$22,MONTH($D1391),"")</f>
        <v/>
      </c>
      <c r="AP1391" s="89" t="str">
        <f>+IF($AG1391=AP$22,MONTH($D1391),"")</f>
        <v/>
      </c>
      <c r="AQ1391" s="89" t="str">
        <f>+IF($AG1391=AQ$22,MONTH($D1391),"")</f>
        <v/>
      </c>
      <c r="AR1391" s="89" t="str">
        <f>+IF($AG1391=AR$22,MONTH($D1391),"")</f>
        <v/>
      </c>
      <c r="AS1391" s="89" t="str">
        <f>+IF($AG1391=AS$22,MONTH($D1391),"")</f>
        <v/>
      </c>
      <c r="AT1391" s="89" t="str">
        <f>+IF($AG1391=AT$22,MONTH($D1391),"")</f>
        <v/>
      </c>
      <c r="AU1391" s="89" t="str">
        <f>+IF($AG1391=AU$22,MONTH($D1391),"")</f>
        <v/>
      </c>
      <c r="AV1391" s="89" t="str">
        <f>+IF($AG1391=AV$22,MONTH($D1391),"")</f>
        <v/>
      </c>
      <c r="AW1391" s="86" t="str">
        <f>+IF($AG1391=AW$22,MONTH($D1391),"")</f>
        <v/>
      </c>
      <c r="AX1391" s="86" t="str">
        <f>+IF($AG1391=AX$22,MONTH($D1391),"")</f>
        <v/>
      </c>
      <c r="AY1391" s="89"/>
      <c r="AZ1391" s="89"/>
      <c r="BA1391" s="89"/>
      <c r="BB1391" s="89"/>
      <c r="BC1391" s="89"/>
      <c r="BD1391" s="89"/>
      <c r="BE1391" s="89"/>
      <c r="BF1391" s="89"/>
      <c r="BG1391" s="89"/>
      <c r="BH1391" s="89"/>
      <c r="BI1391" s="89"/>
      <c r="BJ1391" s="89"/>
      <c r="BK1391" s="89"/>
      <c r="BL1391" s="89"/>
      <c r="BM1391" s="89"/>
      <c r="BN1391" s="89"/>
      <c r="BO1391" s="89"/>
      <c r="BP1391" s="89"/>
    </row>
    <row r="1392" spans="1:68" s="56" customFormat="1" ht="27" hidden="1">
      <c r="A1392" s="204">
        <f>+IFERROR(VALUE(MID(AB1392,4,4)),"")</f>
        <v>268</v>
      </c>
      <c r="B1392" s="204">
        <f>VALUE(RIGHT(C1392,LEN(C1392)-2))</f>
        <v>1332</v>
      </c>
      <c r="C1392" s="74" t="s">
        <v>5252</v>
      </c>
      <c r="D1392" s="75">
        <v>44369</v>
      </c>
      <c r="E1392" s="70" t="s">
        <v>4114</v>
      </c>
      <c r="F1392" s="70" t="s">
        <v>4114</v>
      </c>
      <c r="G1392" s="68" t="s">
        <v>5253</v>
      </c>
      <c r="H1392" s="59"/>
      <c r="I1392" s="69" t="s">
        <v>5254</v>
      </c>
      <c r="J1392" s="69"/>
      <c r="K1392" s="68" t="s">
        <v>9</v>
      </c>
      <c r="L1392" s="69" t="s">
        <v>120</v>
      </c>
      <c r="M1392" s="71" t="s">
        <v>141</v>
      </c>
      <c r="N1392" s="69" t="e" vm="1">
        <v>#VALUE!</v>
      </c>
      <c r="O1392" s="84"/>
      <c r="P1392" s="72" t="s">
        <v>274</v>
      </c>
      <c r="Q1392" s="72" t="s">
        <v>623</v>
      </c>
      <c r="R1392" s="162"/>
      <c r="S1392" s="146"/>
      <c r="T1392" s="68" t="s">
        <v>3</v>
      </c>
      <c r="U1392" s="87"/>
      <c r="V1392" s="80">
        <v>44371</v>
      </c>
      <c r="W1392" s="73">
        <v>550</v>
      </c>
      <c r="X1392" s="73">
        <f>27913300/1000000</f>
        <v>27.9133</v>
      </c>
      <c r="Y1392" s="83">
        <f>IF(SUM(W1392:W1392)&gt;0,X1392/SUM(W1392:W1392)*1000000,"N/A")</f>
        <v>50751.454545454544</v>
      </c>
      <c r="Z1392" s="80"/>
      <c r="AA1392" s="80"/>
      <c r="AB1392" s="73" t="s">
        <v>5255</v>
      </c>
      <c r="AC1392" s="153"/>
      <c r="AD1392" s="331"/>
      <c r="AE1392" s="57"/>
      <c r="AF1392" s="88"/>
      <c r="AG1392" s="182">
        <f>YEAR(D1392)</f>
        <v>2021</v>
      </c>
      <c r="AH1392" s="86" t="str">
        <f>+IF(AE1392=$AJ$22,MONTH(T1392),"")</f>
        <v/>
      </c>
      <c r="AI1392" s="86" t="str">
        <f>+IF(AF1392=$AJ$22,MONTH(U1392),"")</f>
        <v/>
      </c>
      <c r="AJ1392" s="86" t="str">
        <f>+IF(AG1392=$AJ$22,MONTH(V1392),"")</f>
        <v/>
      </c>
      <c r="AK1392" s="86" t="str">
        <f>+IF(AG1392=$AK$22,MONTH(V1392),"")</f>
        <v/>
      </c>
      <c r="AL1392" s="86" t="str">
        <f>+IF(AG1392=$AL$22,MONTH(V1392),"")</f>
        <v/>
      </c>
      <c r="AM1392" s="86">
        <f>+IF($AG1392=$AM$22,MONTH($D1392),"")</f>
        <v>6</v>
      </c>
      <c r="AN1392" s="89" t="str">
        <f>+IF($AG1392=AN$22,MONTH($D1392),"")</f>
        <v/>
      </c>
      <c r="AO1392" s="89" t="str">
        <f>+IF($AG1392=AO$22,MONTH($D1392),"")</f>
        <v/>
      </c>
      <c r="AP1392" s="89" t="str">
        <f>+IF($AG1392=AP$22,MONTH($D1392),"")</f>
        <v/>
      </c>
      <c r="AQ1392" s="89" t="str">
        <f>+IF($AG1392=AQ$22,MONTH($D1392),"")</f>
        <v/>
      </c>
      <c r="AR1392" s="89" t="str">
        <f>+IF($AG1392=AR$22,MONTH($D1392),"")</f>
        <v/>
      </c>
      <c r="AS1392" s="89" t="str">
        <f>+IF($AG1392=AS$22,MONTH($D1392),"")</f>
        <v/>
      </c>
      <c r="AT1392" s="89" t="str">
        <f>+IF($AG1392=AT$22,MONTH($D1392),"")</f>
        <v/>
      </c>
      <c r="AU1392" s="89" t="str">
        <f>+IF($AG1392=AU$22,MONTH($D1392),"")</f>
        <v/>
      </c>
      <c r="AV1392" s="89" t="str">
        <f>+IF($AG1392=AV$22,MONTH($D1392),"")</f>
        <v/>
      </c>
      <c r="AW1392" s="86" t="str">
        <f>+IF($AG1392=AW$22,MONTH($D1392),"")</f>
        <v/>
      </c>
      <c r="AX1392" s="86" t="str">
        <f>+IF($AG1392=AX$22,MONTH($D1392),"")</f>
        <v/>
      </c>
      <c r="AY1392" s="89"/>
      <c r="AZ1392" s="89"/>
      <c r="BA1392" s="89"/>
      <c r="BB1392" s="89"/>
      <c r="BC1392" s="89"/>
      <c r="BD1392" s="89"/>
      <c r="BE1392" s="89"/>
      <c r="BF1392" s="89"/>
      <c r="BG1392" s="89"/>
      <c r="BH1392" s="89"/>
      <c r="BI1392" s="89"/>
      <c r="BJ1392" s="89"/>
      <c r="BK1392" s="89"/>
      <c r="BL1392" s="89"/>
      <c r="BM1392" s="89"/>
      <c r="BN1392" s="89"/>
      <c r="BO1392" s="89"/>
      <c r="BP1392" s="89"/>
    </row>
    <row r="1393" spans="1:68" s="56" customFormat="1" ht="25.5" hidden="1" customHeight="1">
      <c r="A1393" s="204" t="str">
        <f>+IFERROR(VALUE(MID(AB1393,4,4)),"")</f>
        <v/>
      </c>
      <c r="B1393" s="204">
        <f>VALUE(RIGHT(C1393,LEN(C1393)-2))</f>
        <v>1331</v>
      </c>
      <c r="C1393" s="74" t="s">
        <v>5256</v>
      </c>
      <c r="D1393" s="75">
        <v>44369</v>
      </c>
      <c r="E1393" s="70" t="s">
        <v>394</v>
      </c>
      <c r="F1393" s="70" t="s">
        <v>394</v>
      </c>
      <c r="G1393" s="68" t="s">
        <v>5257</v>
      </c>
      <c r="H1393" s="59"/>
      <c r="I1393" s="69" t="s">
        <v>5258</v>
      </c>
      <c r="J1393" s="69"/>
      <c r="K1393" s="260" t="s">
        <v>9</v>
      </c>
      <c r="L1393" s="69" t="s">
        <v>120</v>
      </c>
      <c r="M1393" s="71" t="s">
        <v>141</v>
      </c>
      <c r="N1393" s="69" t="e" vm="1">
        <v>#VALUE!</v>
      </c>
      <c r="O1393" s="84"/>
      <c r="P1393" s="72"/>
      <c r="Q1393" s="72" t="s">
        <v>623</v>
      </c>
      <c r="R1393" s="162"/>
      <c r="S1393" s="146" t="s">
        <v>5259</v>
      </c>
      <c r="T1393" s="68" t="s">
        <v>155</v>
      </c>
      <c r="U1393" s="87"/>
      <c r="V1393" s="80">
        <v>44369</v>
      </c>
      <c r="W1393" s="73">
        <v>118</v>
      </c>
      <c r="X1393" s="73">
        <f xml:space="preserve"> 5939000/1000000</f>
        <v>5.9390000000000001</v>
      </c>
      <c r="Y1393" s="83">
        <f>IF(SUM(W1393:W1393)&gt;0,X1393/SUM(W1393:W1393)*1000000,"N/A")</f>
        <v>50330.508474576272</v>
      </c>
      <c r="Z1393" s="80"/>
      <c r="AA1393" s="80"/>
      <c r="AB1393" s="73"/>
      <c r="AC1393" s="153"/>
      <c r="AD1393" s="331"/>
      <c r="AE1393" s="57"/>
      <c r="AF1393" s="88"/>
      <c r="AG1393" s="182">
        <f>YEAR(D1393)</f>
        <v>2021</v>
      </c>
      <c r="AH1393" s="86" t="str">
        <f>+IF(AE1393=$AJ$22,MONTH(T1393),"")</f>
        <v/>
      </c>
      <c r="AI1393" s="86" t="str">
        <f>+IF(AF1393=$AJ$22,MONTH(U1393),"")</f>
        <v/>
      </c>
      <c r="AJ1393" s="86" t="str">
        <f>+IF(AG1393=$AJ$22,MONTH(V1393),"")</f>
        <v/>
      </c>
      <c r="AK1393" s="86" t="str">
        <f>+IF(AG1393=$AK$22,MONTH(V1393),"")</f>
        <v/>
      </c>
      <c r="AL1393" s="86" t="str">
        <f>+IF(AG1393=$AL$22,MONTH(V1393),"")</f>
        <v/>
      </c>
      <c r="AM1393" s="86">
        <f>+IF($AG1393=$AM$22,MONTH($D1393),"")</f>
        <v>6</v>
      </c>
      <c r="AN1393" s="89" t="str">
        <f>+IF($AG1393=AN$22,MONTH($D1393),"")</f>
        <v/>
      </c>
      <c r="AO1393" s="89" t="str">
        <f>+IF($AG1393=AO$22,MONTH($D1393),"")</f>
        <v/>
      </c>
      <c r="AP1393" s="89" t="str">
        <f>+IF($AG1393=AP$22,MONTH($D1393),"")</f>
        <v/>
      </c>
      <c r="AQ1393" s="89" t="str">
        <f>+IF($AG1393=AQ$22,MONTH($D1393),"")</f>
        <v/>
      </c>
      <c r="AR1393" s="89" t="str">
        <f>+IF($AG1393=AR$22,MONTH($D1393),"")</f>
        <v/>
      </c>
      <c r="AS1393" s="89" t="str">
        <f>+IF($AG1393=AS$22,MONTH($D1393),"")</f>
        <v/>
      </c>
      <c r="AT1393" s="89" t="str">
        <f>+IF($AG1393=AT$22,MONTH($D1393),"")</f>
        <v/>
      </c>
      <c r="AU1393" s="89" t="str">
        <f>+IF($AG1393=AU$22,MONTH($D1393),"")</f>
        <v/>
      </c>
      <c r="AV1393" s="89" t="str">
        <f>+IF($AG1393=AV$22,MONTH($D1393),"")</f>
        <v/>
      </c>
      <c r="AW1393" s="86" t="str">
        <f>+IF($AG1393=AW$22,MONTH($D1393),"")</f>
        <v/>
      </c>
      <c r="AX1393" s="86" t="str">
        <f>+IF($AG1393=AX$22,MONTH($D1393),"")</f>
        <v/>
      </c>
      <c r="AY1393" s="89"/>
      <c r="AZ1393" s="89"/>
      <c r="BA1393" s="89"/>
      <c r="BB1393" s="89"/>
      <c r="BC1393" s="89"/>
      <c r="BD1393" s="89"/>
      <c r="BE1393" s="89"/>
      <c r="BF1393" s="89"/>
      <c r="BG1393" s="89"/>
      <c r="BH1393" s="89"/>
      <c r="BI1393" s="89"/>
      <c r="BJ1393" s="89"/>
      <c r="BK1393" s="89"/>
      <c r="BL1393" s="89"/>
      <c r="BM1393" s="89"/>
      <c r="BN1393" s="89"/>
      <c r="BO1393" s="89"/>
      <c r="BP1393" s="89"/>
    </row>
    <row r="1394" spans="1:68" s="56" customFormat="1" ht="189" hidden="1">
      <c r="A1394" s="204" t="str">
        <f>+IFERROR(VALUE(MID(AB1394,4,4)),"")</f>
        <v/>
      </c>
      <c r="B1394" s="204">
        <f>VALUE(RIGHT(C1394,LEN(C1394)-2))</f>
        <v>1330</v>
      </c>
      <c r="C1394" s="74" t="s">
        <v>5260</v>
      </c>
      <c r="D1394" s="75">
        <v>44294</v>
      </c>
      <c r="E1394" s="70" t="s">
        <v>53</v>
      </c>
      <c r="F1394" s="70" t="s">
        <v>642</v>
      </c>
      <c r="G1394" s="68"/>
      <c r="H1394" s="59"/>
      <c r="I1394" s="69" t="s">
        <v>5261</v>
      </c>
      <c r="J1394" s="69"/>
      <c r="K1394" s="68" t="s">
        <v>11</v>
      </c>
      <c r="L1394" s="69" t="s">
        <v>123</v>
      </c>
      <c r="M1394" s="71" t="s">
        <v>141</v>
      </c>
      <c r="N1394" s="69" t="e" vm="1">
        <v>#VALUE!</v>
      </c>
      <c r="O1394" s="84">
        <v>44403</v>
      </c>
      <c r="P1394" s="72" t="s">
        <v>228</v>
      </c>
      <c r="Q1394" s="72" t="s">
        <v>229</v>
      </c>
      <c r="R1394" s="162"/>
      <c r="S1394" s="146" t="s">
        <v>5262</v>
      </c>
      <c r="T1394" s="68" t="s">
        <v>165</v>
      </c>
      <c r="U1394" s="87"/>
      <c r="V1394" s="80">
        <v>44433</v>
      </c>
      <c r="W1394" s="73">
        <v>7609</v>
      </c>
      <c r="X1394" s="73">
        <v>260.99799999999999</v>
      </c>
      <c r="Y1394" s="83">
        <f>IF(SUM(W1394:W1394)&gt;0,X1394/SUM(W1394:W1394)*1000000,"N/A")</f>
        <v>34301.222236824811</v>
      </c>
      <c r="Z1394" s="80"/>
      <c r="AA1394" s="80"/>
      <c r="AB1394" s="73"/>
      <c r="AC1394" s="153"/>
      <c r="AD1394" s="331"/>
      <c r="AE1394" s="57"/>
      <c r="AF1394" s="88"/>
      <c r="AG1394" s="182">
        <f>YEAR(D1394)</f>
        <v>2021</v>
      </c>
      <c r="AH1394" s="86" t="str">
        <f>+IF(AE1394=$AJ$22,MONTH(T1394),"")</f>
        <v/>
      </c>
      <c r="AI1394" s="86" t="str">
        <f>+IF(AF1394=$AJ$22,MONTH(U1394),"")</f>
        <v/>
      </c>
      <c r="AJ1394" s="86" t="str">
        <f>+IF(AG1394=$AJ$22,MONTH(V1394),"")</f>
        <v/>
      </c>
      <c r="AK1394" s="86" t="str">
        <f>+IF(AG1394=$AK$22,MONTH(V1394),"")</f>
        <v/>
      </c>
      <c r="AL1394" s="86" t="str">
        <f>+IF(AG1394=$AL$22,MONTH(V1394),"")</f>
        <v/>
      </c>
      <c r="AM1394" s="86">
        <f>+IF($AG1394=$AM$22,MONTH($D1394),"")</f>
        <v>4</v>
      </c>
      <c r="AN1394" s="89" t="str">
        <f>+IF($AG1394=AN$22,MONTH($D1394),"")</f>
        <v/>
      </c>
      <c r="AO1394" s="89" t="str">
        <f>+IF($AG1394=AO$22,MONTH($D1394),"")</f>
        <v/>
      </c>
      <c r="AP1394" s="89" t="str">
        <f>+IF($AG1394=AP$22,MONTH($D1394),"")</f>
        <v/>
      </c>
      <c r="AQ1394" s="89" t="str">
        <f>+IF($AG1394=AQ$22,MONTH($D1394),"")</f>
        <v/>
      </c>
      <c r="AR1394" s="89" t="str">
        <f>+IF($AG1394=AR$22,MONTH($D1394),"")</f>
        <v/>
      </c>
      <c r="AS1394" s="89" t="str">
        <f>+IF($AG1394=AS$22,MONTH($D1394),"")</f>
        <v/>
      </c>
      <c r="AT1394" s="89" t="str">
        <f>+IF($AG1394=AT$22,MONTH($D1394),"")</f>
        <v/>
      </c>
      <c r="AU1394" s="89" t="str">
        <f>+IF($AG1394=AU$22,MONTH($D1394),"")</f>
        <v/>
      </c>
      <c r="AV1394" s="89" t="str">
        <f>+IF($AG1394=AV$22,MONTH($D1394),"")</f>
        <v/>
      </c>
      <c r="AW1394" s="86" t="str">
        <f>+IF($AG1394=AW$22,MONTH($D1394),"")</f>
        <v/>
      </c>
      <c r="AX1394" s="86" t="str">
        <f>+IF($AG1394=AX$22,MONTH($D1394),"")</f>
        <v/>
      </c>
      <c r="AY1394" s="89"/>
      <c r="AZ1394" s="89"/>
      <c r="BA1394" s="89"/>
      <c r="BB1394" s="89"/>
      <c r="BC1394" s="89"/>
      <c r="BD1394" s="89"/>
      <c r="BE1394" s="89"/>
      <c r="BF1394" s="89"/>
      <c r="BG1394" s="89"/>
      <c r="BH1394" s="89"/>
      <c r="BI1394" s="89"/>
      <c r="BJ1394" s="89"/>
      <c r="BK1394" s="89"/>
      <c r="BL1394" s="89"/>
      <c r="BM1394" s="89"/>
      <c r="BN1394" s="89"/>
      <c r="BO1394" s="89"/>
      <c r="BP1394" s="89"/>
    </row>
    <row r="1395" spans="1:68" s="56" customFormat="1" ht="13.5" hidden="1">
      <c r="A1395" s="204">
        <f>+IFERROR(VALUE(MID(AB1395,4,4)),"")</f>
        <v>269</v>
      </c>
      <c r="B1395" s="204">
        <f>VALUE(RIGHT(C1395,LEN(C1395)-2))</f>
        <v>1329</v>
      </c>
      <c r="C1395" s="74" t="s">
        <v>5263</v>
      </c>
      <c r="D1395" s="75">
        <v>44364</v>
      </c>
      <c r="E1395" s="70" t="s">
        <v>394</v>
      </c>
      <c r="F1395" s="70" t="s">
        <v>2269</v>
      </c>
      <c r="G1395" s="68"/>
      <c r="H1395" s="59"/>
      <c r="I1395" s="69" t="s">
        <v>5264</v>
      </c>
      <c r="J1395" s="69"/>
      <c r="K1395" s="68" t="s">
        <v>9</v>
      </c>
      <c r="L1395" s="69" t="s">
        <v>120</v>
      </c>
      <c r="M1395" s="71" t="s">
        <v>141</v>
      </c>
      <c r="N1395" s="69" t="e" vm="1">
        <v>#VALUE!</v>
      </c>
      <c r="O1395" s="84"/>
      <c r="P1395" s="72" t="s">
        <v>4567</v>
      </c>
      <c r="Q1395" s="72" t="s">
        <v>259</v>
      </c>
      <c r="R1395" s="162"/>
      <c r="S1395" s="146"/>
      <c r="T1395" s="68" t="s">
        <v>3</v>
      </c>
      <c r="U1395" s="87"/>
      <c r="V1395" s="80">
        <v>44391</v>
      </c>
      <c r="W1395" s="73">
        <v>176</v>
      </c>
      <c r="X1395" s="73">
        <f>134*29800/1000000</f>
        <v>3.9931999999999999</v>
      </c>
      <c r="Y1395" s="83">
        <f>IF(SUM(W1395:W1395)&gt;0,X1395/SUM(W1395:W1395)*1000000,"N/A")</f>
        <v>22688.636363636364</v>
      </c>
      <c r="Z1395" s="80"/>
      <c r="AA1395" s="80"/>
      <c r="AB1395" s="73" t="s">
        <v>5265</v>
      </c>
      <c r="AC1395" s="153"/>
      <c r="AD1395" s="331"/>
      <c r="AE1395" s="57"/>
      <c r="AF1395" s="88"/>
      <c r="AG1395" s="182">
        <f>YEAR(D1395)</f>
        <v>2021</v>
      </c>
      <c r="AH1395" s="86" t="str">
        <f>+IF(AE1395=$AJ$22,MONTH(T1395),"")</f>
        <v/>
      </c>
      <c r="AI1395" s="86" t="str">
        <f>+IF(AF1395=$AJ$22,MONTH(U1395),"")</f>
        <v/>
      </c>
      <c r="AJ1395" s="86" t="str">
        <f>+IF(AG1395=$AJ$22,MONTH(V1395),"")</f>
        <v/>
      </c>
      <c r="AK1395" s="86" t="str">
        <f>+IF(AG1395=$AK$22,MONTH(V1395),"")</f>
        <v/>
      </c>
      <c r="AL1395" s="86" t="str">
        <f>+IF(AG1395=$AL$22,MONTH(V1395),"")</f>
        <v/>
      </c>
      <c r="AM1395" s="86">
        <f>+IF($AG1395=$AM$22,MONTH($D1395),"")</f>
        <v>6</v>
      </c>
      <c r="AN1395" s="89" t="str">
        <f>+IF($AG1395=AN$22,MONTH($D1395),"")</f>
        <v/>
      </c>
      <c r="AO1395" s="89" t="str">
        <f>+IF($AG1395=AO$22,MONTH($D1395),"")</f>
        <v/>
      </c>
      <c r="AP1395" s="89" t="str">
        <f>+IF($AG1395=AP$22,MONTH($D1395),"")</f>
        <v/>
      </c>
      <c r="AQ1395" s="89" t="str">
        <f>+IF($AG1395=AQ$22,MONTH($D1395),"")</f>
        <v/>
      </c>
      <c r="AR1395" s="89" t="str">
        <f>+IF($AG1395=AR$22,MONTH($D1395),"")</f>
        <v/>
      </c>
      <c r="AS1395" s="89" t="str">
        <f>+IF($AG1395=AS$22,MONTH($D1395),"")</f>
        <v/>
      </c>
      <c r="AT1395" s="89" t="str">
        <f>+IF($AG1395=AT$22,MONTH($D1395),"")</f>
        <v/>
      </c>
      <c r="AU1395" s="89" t="str">
        <f>+IF($AG1395=AU$22,MONTH($D1395),"")</f>
        <v/>
      </c>
      <c r="AV1395" s="89" t="str">
        <f>+IF($AG1395=AV$22,MONTH($D1395),"")</f>
        <v/>
      </c>
      <c r="AW1395" s="86" t="str">
        <f>+IF($AG1395=AW$22,MONTH($D1395),"")</f>
        <v/>
      </c>
      <c r="AX1395" s="86" t="str">
        <f>+IF($AG1395=AX$22,MONTH($D1395),"")</f>
        <v/>
      </c>
      <c r="AY1395" s="89"/>
      <c r="AZ1395" s="89"/>
      <c r="BA1395" s="89"/>
      <c r="BB1395" s="89"/>
      <c r="BC1395" s="89"/>
      <c r="BD1395" s="89"/>
      <c r="BE1395" s="89"/>
      <c r="BF1395" s="89"/>
      <c r="BG1395" s="89"/>
      <c r="BH1395" s="89"/>
      <c r="BI1395" s="89"/>
      <c r="BJ1395" s="89"/>
      <c r="BK1395" s="89"/>
      <c r="BL1395" s="89"/>
      <c r="BM1395" s="89"/>
      <c r="BN1395" s="89"/>
      <c r="BO1395" s="89"/>
      <c r="BP1395" s="89"/>
    </row>
    <row r="1396" spans="1:68" s="56" customFormat="1" ht="23.25" hidden="1" customHeight="1">
      <c r="A1396" s="204" t="str">
        <f>+IFERROR(VALUE(MID(AB1396,4,4)),"")</f>
        <v/>
      </c>
      <c r="B1396" s="204">
        <f>VALUE(RIGHT(C1396,LEN(C1396)-2))</f>
        <v>1328</v>
      </c>
      <c r="C1396" s="74" t="s">
        <v>5266</v>
      </c>
      <c r="D1396" s="75">
        <v>44446</v>
      </c>
      <c r="E1396" s="70" t="s">
        <v>394</v>
      </c>
      <c r="F1396" s="70" t="s">
        <v>394</v>
      </c>
      <c r="G1396" s="68"/>
      <c r="H1396" s="59"/>
      <c r="I1396" s="69" t="s">
        <v>5267</v>
      </c>
      <c r="J1396" s="69"/>
      <c r="K1396" s="68" t="s">
        <v>11</v>
      </c>
      <c r="L1396" s="69" t="s">
        <v>120</v>
      </c>
      <c r="M1396" s="71" t="s">
        <v>141</v>
      </c>
      <c r="N1396" s="69" t="e" vm="1">
        <v>#VALUE!</v>
      </c>
      <c r="O1396" s="84"/>
      <c r="P1396" s="72" t="s">
        <v>666</v>
      </c>
      <c r="Q1396" s="72" t="s">
        <v>623</v>
      </c>
      <c r="R1396" s="162"/>
      <c r="S1396" s="146" t="s">
        <v>5268</v>
      </c>
      <c r="T1396" s="68" t="s">
        <v>165</v>
      </c>
      <c r="U1396" s="87"/>
      <c r="V1396" s="80">
        <v>44453</v>
      </c>
      <c r="W1396" s="73">
        <v>1630</v>
      </c>
      <c r="X1396" s="73">
        <v>50</v>
      </c>
      <c r="Y1396" s="83">
        <f>IF(SUM(W1396:W1396)&gt;0,X1396/SUM(W1396:W1396)*1000000,"N/A")</f>
        <v>30674.84662576687</v>
      </c>
      <c r="Z1396" s="80"/>
      <c r="AA1396" s="80"/>
      <c r="AB1396" s="73"/>
      <c r="AC1396" s="153"/>
      <c r="AD1396" s="331"/>
      <c r="AE1396" s="57"/>
      <c r="AF1396" s="88"/>
      <c r="AG1396" s="182">
        <f>YEAR(D1396)</f>
        <v>2021</v>
      </c>
      <c r="AH1396" s="86" t="str">
        <f>+IF(AE1396=$AJ$22,MONTH(T1396),"")</f>
        <v/>
      </c>
      <c r="AI1396" s="86" t="str">
        <f>+IF(AF1396=$AJ$22,MONTH(U1396),"")</f>
        <v/>
      </c>
      <c r="AJ1396" s="86" t="str">
        <f>+IF(AG1396=$AJ$22,MONTH(V1396),"")</f>
        <v/>
      </c>
      <c r="AK1396" s="86" t="str">
        <f>+IF(AG1396=$AK$22,MONTH(V1396),"")</f>
        <v/>
      </c>
      <c r="AL1396" s="86" t="str">
        <f>+IF(AG1396=$AL$22,MONTH(V1396),"")</f>
        <v/>
      </c>
      <c r="AM1396" s="86">
        <f>+IF($AG1396=$AM$22,MONTH($D1396),"")</f>
        <v>9</v>
      </c>
      <c r="AN1396" s="89" t="str">
        <f>+IF($AG1396=AN$22,MONTH($D1396),"")</f>
        <v/>
      </c>
      <c r="AO1396" s="89" t="str">
        <f>+IF($AG1396=AO$22,MONTH($D1396),"")</f>
        <v/>
      </c>
      <c r="AP1396" s="89" t="str">
        <f>+IF($AG1396=AP$22,MONTH($D1396),"")</f>
        <v/>
      </c>
      <c r="AQ1396" s="89" t="str">
        <f>+IF($AG1396=AQ$22,MONTH($D1396),"")</f>
        <v/>
      </c>
      <c r="AR1396" s="89" t="str">
        <f>+IF($AG1396=AR$22,MONTH($D1396),"")</f>
        <v/>
      </c>
      <c r="AS1396" s="89" t="str">
        <f>+IF($AG1396=AS$22,MONTH($D1396),"")</f>
        <v/>
      </c>
      <c r="AT1396" s="89" t="str">
        <f>+IF($AG1396=AT$22,MONTH($D1396),"")</f>
        <v/>
      </c>
      <c r="AU1396" s="89" t="str">
        <f>+IF($AG1396=AU$22,MONTH($D1396),"")</f>
        <v/>
      </c>
      <c r="AV1396" s="89" t="str">
        <f>+IF($AG1396=AV$22,MONTH($D1396),"")</f>
        <v/>
      </c>
      <c r="AW1396" s="86" t="str">
        <f>+IF($AG1396=AW$22,MONTH($D1396),"")</f>
        <v/>
      </c>
      <c r="AX1396" s="86" t="str">
        <f>+IF($AG1396=AX$22,MONTH($D1396),"")</f>
        <v/>
      </c>
      <c r="AY1396" s="89"/>
      <c r="AZ1396" s="89"/>
      <c r="BA1396" s="89"/>
      <c r="BB1396" s="89"/>
      <c r="BC1396" s="89"/>
      <c r="BD1396" s="89"/>
      <c r="BE1396" s="89"/>
      <c r="BF1396" s="89"/>
      <c r="BG1396" s="89"/>
      <c r="BH1396" s="89"/>
      <c r="BI1396" s="89"/>
      <c r="BJ1396" s="89"/>
      <c r="BK1396" s="89"/>
      <c r="BL1396" s="89"/>
      <c r="BM1396" s="89"/>
      <c r="BN1396" s="89"/>
      <c r="BO1396" s="89"/>
      <c r="BP1396" s="89"/>
    </row>
    <row r="1397" spans="1:68" s="56" customFormat="1" ht="13.5" hidden="1">
      <c r="A1397" s="204" t="str">
        <f>+IFERROR(VALUE(MID(AB1397,4,4)),"")</f>
        <v/>
      </c>
      <c r="B1397" s="204">
        <f>VALUE(RIGHT(C1397,LEN(C1397)-2))</f>
        <v>1327</v>
      </c>
      <c r="C1397" s="74" t="s">
        <v>5269</v>
      </c>
      <c r="D1397" s="75">
        <v>44361</v>
      </c>
      <c r="E1397" s="70" t="s">
        <v>255</v>
      </c>
      <c r="F1397" s="70" t="s">
        <v>255</v>
      </c>
      <c r="G1397" s="68"/>
      <c r="H1397" s="59"/>
      <c r="I1397" s="69" t="s">
        <v>5270</v>
      </c>
      <c r="J1397" s="69"/>
      <c r="K1397" s="68" t="s">
        <v>9</v>
      </c>
      <c r="L1397" s="69" t="s">
        <v>120</v>
      </c>
      <c r="M1397" s="71" t="s">
        <v>141</v>
      </c>
      <c r="N1397" s="69" t="e" vm="1">
        <v>#VALUE!</v>
      </c>
      <c r="O1397" s="84"/>
      <c r="P1397" s="72"/>
      <c r="Q1397" s="72" t="s">
        <v>316</v>
      </c>
      <c r="R1397" s="162"/>
      <c r="S1397" s="146"/>
      <c r="T1397" s="68" t="s">
        <v>155</v>
      </c>
      <c r="U1397" s="87"/>
      <c r="V1397" s="80">
        <v>44361</v>
      </c>
      <c r="W1397" s="73"/>
      <c r="X1397" s="73"/>
      <c r="Y1397" s="83" t="str">
        <f>IF(SUM(W1397:W1397)&gt;0,X1397/SUM(W1397:W1397)*1000000,"N/A")</f>
        <v>N/A</v>
      </c>
      <c r="Z1397" s="80"/>
      <c r="AA1397" s="80"/>
      <c r="AB1397" s="73"/>
      <c r="AC1397" s="153"/>
      <c r="AD1397" s="331"/>
      <c r="AE1397" s="57"/>
      <c r="AF1397" s="88"/>
      <c r="AG1397" s="182">
        <f>YEAR(D1397)</f>
        <v>2021</v>
      </c>
      <c r="AH1397" s="86" t="str">
        <f>+IF(AE1397=$AJ$22,MONTH(T1397),"")</f>
        <v/>
      </c>
      <c r="AI1397" s="86" t="str">
        <f>+IF(AF1397=$AJ$22,MONTH(U1397),"")</f>
        <v/>
      </c>
      <c r="AJ1397" s="86" t="str">
        <f>+IF(AG1397=$AJ$22,MONTH(V1397),"")</f>
        <v/>
      </c>
      <c r="AK1397" s="86" t="str">
        <f>+IF(AG1397=$AK$22,MONTH(V1397),"")</f>
        <v/>
      </c>
      <c r="AL1397" s="86" t="str">
        <f>+IF(AG1397=$AL$22,MONTH(V1397),"")</f>
        <v/>
      </c>
      <c r="AM1397" s="86">
        <f>+IF($AG1397=$AM$22,MONTH($D1397),"")</f>
        <v>6</v>
      </c>
      <c r="AN1397" s="89" t="str">
        <f>+IF($AG1397=AN$22,MONTH($D1397),"")</f>
        <v/>
      </c>
      <c r="AO1397" s="89" t="str">
        <f>+IF($AG1397=AO$22,MONTH($D1397),"")</f>
        <v/>
      </c>
      <c r="AP1397" s="89" t="str">
        <f>+IF($AG1397=AP$22,MONTH($D1397),"")</f>
        <v/>
      </c>
      <c r="AQ1397" s="89" t="str">
        <f>+IF($AG1397=AQ$22,MONTH($D1397),"")</f>
        <v/>
      </c>
      <c r="AR1397" s="89" t="str">
        <f>+IF($AG1397=AR$22,MONTH($D1397),"")</f>
        <v/>
      </c>
      <c r="AS1397" s="89" t="str">
        <f>+IF($AG1397=AS$22,MONTH($D1397),"")</f>
        <v/>
      </c>
      <c r="AT1397" s="89" t="str">
        <f>+IF($AG1397=AT$22,MONTH($D1397),"")</f>
        <v/>
      </c>
      <c r="AU1397" s="89" t="str">
        <f>+IF($AG1397=AU$22,MONTH($D1397),"")</f>
        <v/>
      </c>
      <c r="AV1397" s="89" t="str">
        <f>+IF($AG1397=AV$22,MONTH($D1397),"")</f>
        <v/>
      </c>
      <c r="AW1397" s="86" t="str">
        <f>+IF($AG1397=AW$22,MONTH($D1397),"")</f>
        <v/>
      </c>
      <c r="AX1397" s="86" t="str">
        <f>+IF($AG1397=AX$22,MONTH($D1397),"")</f>
        <v/>
      </c>
      <c r="AY1397" s="89"/>
      <c r="AZ1397" s="89"/>
      <c r="BA1397" s="89"/>
      <c r="BB1397" s="89"/>
      <c r="BC1397" s="89"/>
      <c r="BD1397" s="89"/>
      <c r="BE1397" s="89"/>
      <c r="BF1397" s="89"/>
      <c r="BG1397" s="89"/>
      <c r="BH1397" s="89"/>
      <c r="BI1397" s="89"/>
      <c r="BJ1397" s="89"/>
      <c r="BK1397" s="89"/>
      <c r="BL1397" s="89"/>
      <c r="BM1397" s="89"/>
      <c r="BN1397" s="89"/>
      <c r="BO1397" s="89"/>
      <c r="BP1397" s="89"/>
    </row>
    <row r="1398" spans="1:68" s="56" customFormat="1" ht="40.5" hidden="1">
      <c r="A1398" s="204" t="str">
        <f>+IFERROR(VALUE(MID(AB1398,4,4)),"")</f>
        <v/>
      </c>
      <c r="B1398" s="204">
        <f>VALUE(RIGHT(C1398,LEN(C1398)-2))</f>
        <v>1326</v>
      </c>
      <c r="C1398" s="74" t="s">
        <v>5271</v>
      </c>
      <c r="D1398" s="75">
        <v>44358</v>
      </c>
      <c r="E1398" s="70" t="s">
        <v>53</v>
      </c>
      <c r="F1398" s="70" t="s">
        <v>630</v>
      </c>
      <c r="G1398" s="68"/>
      <c r="H1398" s="59"/>
      <c r="I1398" s="69" t="s">
        <v>5272</v>
      </c>
      <c r="J1398" s="69"/>
      <c r="K1398" s="68" t="s">
        <v>45</v>
      </c>
      <c r="L1398" s="69" t="s">
        <v>123</v>
      </c>
      <c r="M1398" s="71" t="s">
        <v>141</v>
      </c>
      <c r="N1398" s="69" t="e" vm="1">
        <v>#VALUE!</v>
      </c>
      <c r="O1398" s="84"/>
      <c r="P1398" s="72"/>
      <c r="Q1398" s="72" t="s">
        <v>623</v>
      </c>
      <c r="R1398" s="162"/>
      <c r="S1398" s="146" t="s">
        <v>5273</v>
      </c>
      <c r="T1398" s="68" t="s">
        <v>155</v>
      </c>
      <c r="U1398" s="87"/>
      <c r="V1398" s="80"/>
      <c r="W1398" s="73"/>
      <c r="X1398" s="73"/>
      <c r="Y1398" s="83" t="str">
        <f>IF(SUM(W1398:W1398)&gt;0,X1398/SUM(W1398:W1398)*1000000,"N/A")</f>
        <v>N/A</v>
      </c>
      <c r="Z1398" s="80"/>
      <c r="AA1398" s="80"/>
      <c r="AB1398" s="73"/>
      <c r="AC1398" s="153"/>
      <c r="AD1398" s="331"/>
      <c r="AE1398" s="57"/>
      <c r="AF1398" s="88"/>
      <c r="AG1398" s="182">
        <f>YEAR(D1398)</f>
        <v>2021</v>
      </c>
      <c r="AH1398" s="86" t="str">
        <f>+IF(AE1398=$AJ$22,MONTH(T1398),"")</f>
        <v/>
      </c>
      <c r="AI1398" s="86" t="str">
        <f>+IF(AF1398=$AJ$22,MONTH(U1398),"")</f>
        <v/>
      </c>
      <c r="AJ1398" s="86" t="str">
        <f>+IF(AG1398=$AJ$22,MONTH(V1398),"")</f>
        <v/>
      </c>
      <c r="AK1398" s="86" t="str">
        <f>+IF(AG1398=$AK$22,MONTH(V1398),"")</f>
        <v/>
      </c>
      <c r="AL1398" s="86" t="str">
        <f>+IF(AG1398=$AL$22,MONTH(V1398),"")</f>
        <v/>
      </c>
      <c r="AM1398" s="86">
        <f>+IF($AG1398=$AM$22,MONTH($D1398),"")</f>
        <v>6</v>
      </c>
      <c r="AN1398" s="89" t="str">
        <f>+IF($AG1398=AN$22,MONTH($D1398),"")</f>
        <v/>
      </c>
      <c r="AO1398" s="89" t="str">
        <f>+IF($AG1398=AO$22,MONTH($D1398),"")</f>
        <v/>
      </c>
      <c r="AP1398" s="89" t="str">
        <f>+IF($AG1398=AP$22,MONTH($D1398),"")</f>
        <v/>
      </c>
      <c r="AQ1398" s="89" t="str">
        <f>+IF($AG1398=AQ$22,MONTH($D1398),"")</f>
        <v/>
      </c>
      <c r="AR1398" s="89" t="str">
        <f>+IF($AG1398=AR$22,MONTH($D1398),"")</f>
        <v/>
      </c>
      <c r="AS1398" s="89" t="str">
        <f>+IF($AG1398=AS$22,MONTH($D1398),"")</f>
        <v/>
      </c>
      <c r="AT1398" s="89" t="str">
        <f>+IF($AG1398=AT$22,MONTH($D1398),"")</f>
        <v/>
      </c>
      <c r="AU1398" s="89" t="str">
        <f>+IF($AG1398=AU$22,MONTH($D1398),"")</f>
        <v/>
      </c>
      <c r="AV1398" s="89" t="str">
        <f>+IF($AG1398=AV$22,MONTH($D1398),"")</f>
        <v/>
      </c>
      <c r="AW1398" s="86" t="str">
        <f>+IF($AG1398=AW$22,MONTH($D1398),"")</f>
        <v/>
      </c>
      <c r="AX1398" s="86" t="str">
        <f>+IF($AG1398=AX$22,MONTH($D1398),"")</f>
        <v/>
      </c>
      <c r="AY1398" s="89"/>
      <c r="AZ1398" s="89"/>
      <c r="BA1398" s="89"/>
      <c r="BB1398" s="89"/>
      <c r="BC1398" s="89"/>
      <c r="BD1398" s="89"/>
      <c r="BE1398" s="89"/>
      <c r="BF1398" s="89"/>
      <c r="BG1398" s="89"/>
      <c r="BH1398" s="89"/>
      <c r="BI1398" s="89"/>
      <c r="BJ1398" s="89"/>
      <c r="BK1398" s="89"/>
      <c r="BL1398" s="89"/>
      <c r="BM1398" s="89"/>
      <c r="BN1398" s="89"/>
      <c r="BO1398" s="89"/>
      <c r="BP1398" s="89"/>
    </row>
    <row r="1399" spans="1:68" s="56" customFormat="1" ht="13.5" hidden="1">
      <c r="A1399" s="204">
        <f>+IFERROR(VALUE(MID(AB1399,4,4)),"")</f>
        <v>273</v>
      </c>
      <c r="B1399" s="204">
        <f>VALUE(RIGHT(C1399,LEN(C1399)-2))</f>
        <v>1325</v>
      </c>
      <c r="C1399" s="74" t="s">
        <v>5274</v>
      </c>
      <c r="D1399" s="75">
        <v>44350</v>
      </c>
      <c r="E1399" s="70" t="s">
        <v>53</v>
      </c>
      <c r="F1399" s="70" t="s">
        <v>252</v>
      </c>
      <c r="G1399" s="68"/>
      <c r="H1399" s="59"/>
      <c r="I1399" s="69" t="s">
        <v>5275</v>
      </c>
      <c r="J1399" s="69"/>
      <c r="K1399" s="68" t="s">
        <v>13</v>
      </c>
      <c r="L1399" s="69" t="s">
        <v>123</v>
      </c>
      <c r="M1399" s="71" t="s">
        <v>141</v>
      </c>
      <c r="N1399" s="69" t="e" vm="1">
        <v>#VALUE!</v>
      </c>
      <c r="O1399" s="84">
        <v>44391</v>
      </c>
      <c r="P1399" s="72" t="s">
        <v>228</v>
      </c>
      <c r="Q1399" s="72" t="s">
        <v>229</v>
      </c>
      <c r="R1399" s="162"/>
      <c r="S1399" s="146"/>
      <c r="T1399" s="68" t="s">
        <v>3</v>
      </c>
      <c r="U1399" s="87"/>
      <c r="V1399" s="80">
        <v>44421</v>
      </c>
      <c r="W1399" s="73">
        <v>7740</v>
      </c>
      <c r="X1399" s="73">
        <v>250.58119500000001</v>
      </c>
      <c r="Y1399" s="83">
        <f>IF(SUM(W1399:W1399)&gt;0,X1399/SUM(W1399:W1399)*1000000,"N/A")</f>
        <v>32374.831395348836</v>
      </c>
      <c r="Z1399" s="80"/>
      <c r="AA1399" s="80"/>
      <c r="AB1399" s="73" t="s">
        <v>5276</v>
      </c>
      <c r="AC1399" s="153"/>
      <c r="AD1399" s="331"/>
      <c r="AE1399" s="57"/>
      <c r="AF1399" s="88"/>
      <c r="AG1399" s="182">
        <f>YEAR(D1399)</f>
        <v>2021</v>
      </c>
      <c r="AH1399" s="86" t="str">
        <f>+IF(AE1399=$AJ$22,MONTH(T1399),"")</f>
        <v/>
      </c>
      <c r="AI1399" s="86" t="str">
        <f>+IF(AF1399=$AJ$22,MONTH(U1399),"")</f>
        <v/>
      </c>
      <c r="AJ1399" s="86" t="str">
        <f>+IF(AG1399=$AJ$22,MONTH(V1399),"")</f>
        <v/>
      </c>
      <c r="AK1399" s="86" t="str">
        <f>+IF(AG1399=$AK$22,MONTH(V1399),"")</f>
        <v/>
      </c>
      <c r="AL1399" s="86" t="str">
        <f>+IF(AG1399=$AL$22,MONTH(V1399),"")</f>
        <v/>
      </c>
      <c r="AM1399" s="86">
        <f>+IF($AG1399=$AM$22,MONTH($D1399),"")</f>
        <v>6</v>
      </c>
      <c r="AN1399" s="89" t="str">
        <f>+IF($AG1399=AN$22,MONTH($D1399),"")</f>
        <v/>
      </c>
      <c r="AO1399" s="89" t="str">
        <f>+IF($AG1399=AO$22,MONTH($D1399),"")</f>
        <v/>
      </c>
      <c r="AP1399" s="89" t="str">
        <f>+IF($AG1399=AP$22,MONTH($D1399),"")</f>
        <v/>
      </c>
      <c r="AQ1399" s="89" t="str">
        <f>+IF($AG1399=AQ$22,MONTH($D1399),"")</f>
        <v/>
      </c>
      <c r="AR1399" s="89" t="str">
        <f>+IF($AG1399=AR$22,MONTH($D1399),"")</f>
        <v/>
      </c>
      <c r="AS1399" s="89" t="str">
        <f>+IF($AG1399=AS$22,MONTH($D1399),"")</f>
        <v/>
      </c>
      <c r="AT1399" s="89" t="str">
        <f>+IF($AG1399=AT$22,MONTH($D1399),"")</f>
        <v/>
      </c>
      <c r="AU1399" s="89" t="str">
        <f>+IF($AG1399=AU$22,MONTH($D1399),"")</f>
        <v/>
      </c>
      <c r="AV1399" s="89" t="str">
        <f>+IF($AG1399=AV$22,MONTH($D1399),"")</f>
        <v/>
      </c>
      <c r="AW1399" s="86" t="str">
        <f>+IF($AG1399=AW$22,MONTH($D1399),"")</f>
        <v/>
      </c>
      <c r="AX1399" s="86" t="str">
        <f>+IF($AG1399=AX$22,MONTH($D1399),"")</f>
        <v/>
      </c>
      <c r="AY1399" s="89"/>
      <c r="AZ1399" s="89"/>
      <c r="BA1399" s="89"/>
      <c r="BB1399" s="89"/>
      <c r="BC1399" s="89"/>
      <c r="BD1399" s="89"/>
      <c r="BE1399" s="89"/>
      <c r="BF1399" s="89"/>
      <c r="BG1399" s="89"/>
      <c r="BH1399" s="89"/>
      <c r="BI1399" s="89"/>
      <c r="BJ1399" s="89"/>
      <c r="BK1399" s="89"/>
      <c r="BL1399" s="89"/>
      <c r="BM1399" s="89"/>
      <c r="BN1399" s="89"/>
      <c r="BO1399" s="89"/>
      <c r="BP1399" s="89"/>
    </row>
    <row r="1400" spans="1:68" s="56" customFormat="1" ht="24" hidden="1" customHeight="1">
      <c r="A1400" s="204" t="str">
        <f>+IFERROR(VALUE(MID(AB1400,4,4)),"")</f>
        <v/>
      </c>
      <c r="B1400" s="204">
        <f>VALUE(RIGHT(C1400,LEN(C1400)-2))</f>
        <v>1324</v>
      </c>
      <c r="C1400" s="74" t="s">
        <v>5277</v>
      </c>
      <c r="D1400" s="75">
        <v>44347</v>
      </c>
      <c r="E1400" s="70" t="s">
        <v>53</v>
      </c>
      <c r="F1400" s="70" t="s">
        <v>252</v>
      </c>
      <c r="G1400" s="68"/>
      <c r="H1400" s="59"/>
      <c r="I1400" s="69" t="s">
        <v>5278</v>
      </c>
      <c r="J1400" s="69"/>
      <c r="K1400" s="68" t="s">
        <v>11</v>
      </c>
      <c r="L1400" s="69" t="s">
        <v>123</v>
      </c>
      <c r="M1400" s="71" t="s">
        <v>141</v>
      </c>
      <c r="N1400" s="69" t="e" vm="1">
        <v>#VALUE!</v>
      </c>
      <c r="O1400" s="84">
        <v>44355</v>
      </c>
      <c r="P1400" s="72" t="s">
        <v>228</v>
      </c>
      <c r="Q1400" s="72" t="s">
        <v>316</v>
      </c>
      <c r="R1400" s="162"/>
      <c r="S1400" s="146" t="s">
        <v>5279</v>
      </c>
      <c r="T1400" s="68" t="s">
        <v>165</v>
      </c>
      <c r="U1400" s="87"/>
      <c r="V1400" s="80">
        <v>44349</v>
      </c>
      <c r="W1400" s="73">
        <v>18147</v>
      </c>
      <c r="X1400" s="73">
        <v>683.76900000000001</v>
      </c>
      <c r="Y1400" s="83">
        <f>IF(SUM(W1400:W1400)&gt;0,X1400/SUM(W1400:W1400)*1000000,"N/A")</f>
        <v>37679.45114895024</v>
      </c>
      <c r="Z1400" s="80"/>
      <c r="AA1400" s="80"/>
      <c r="AB1400" s="73"/>
      <c r="AC1400" s="153"/>
      <c r="AD1400" s="331"/>
      <c r="AE1400" s="57"/>
      <c r="AF1400" s="88"/>
      <c r="AG1400" s="182">
        <f>YEAR(D1400)</f>
        <v>2021</v>
      </c>
      <c r="AH1400" s="86" t="str">
        <f>+IF(AE1400=$AJ$22,MONTH(T1400),"")</f>
        <v/>
      </c>
      <c r="AI1400" s="86" t="str">
        <f>+IF(AF1400=$AJ$22,MONTH(U1400),"")</f>
        <v/>
      </c>
      <c r="AJ1400" s="86" t="str">
        <f>+IF(AG1400=$AJ$22,MONTH(V1400),"")</f>
        <v/>
      </c>
      <c r="AK1400" s="86" t="str">
        <f>+IF(AG1400=$AK$22,MONTH(V1400),"")</f>
        <v/>
      </c>
      <c r="AL1400" s="86" t="str">
        <f>+IF(AG1400=$AL$22,MONTH(V1400),"")</f>
        <v/>
      </c>
      <c r="AM1400" s="86">
        <f>+IF($AG1400=$AM$22,MONTH($D1400),"")</f>
        <v>5</v>
      </c>
      <c r="AN1400" s="89" t="str">
        <f>+IF($AG1400=AN$22,MONTH($D1400),"")</f>
        <v/>
      </c>
      <c r="AO1400" s="89" t="str">
        <f>+IF($AG1400=AO$22,MONTH($D1400),"")</f>
        <v/>
      </c>
      <c r="AP1400" s="89" t="str">
        <f>+IF($AG1400=AP$22,MONTH($D1400),"")</f>
        <v/>
      </c>
      <c r="AQ1400" s="89" t="str">
        <f>+IF($AG1400=AQ$22,MONTH($D1400),"")</f>
        <v/>
      </c>
      <c r="AR1400" s="89" t="str">
        <f>+IF($AG1400=AR$22,MONTH($D1400),"")</f>
        <v/>
      </c>
      <c r="AS1400" s="89" t="str">
        <f>+IF($AG1400=AS$22,MONTH($D1400),"")</f>
        <v/>
      </c>
      <c r="AT1400" s="89" t="str">
        <f>+IF($AG1400=AT$22,MONTH($D1400),"")</f>
        <v/>
      </c>
      <c r="AU1400" s="89" t="str">
        <f>+IF($AG1400=AU$22,MONTH($D1400),"")</f>
        <v/>
      </c>
      <c r="AV1400" s="89" t="str">
        <f>+IF($AG1400=AV$22,MONTH($D1400),"")</f>
        <v/>
      </c>
      <c r="AW1400" s="86" t="str">
        <f>+IF($AG1400=AW$22,MONTH($D1400),"")</f>
        <v/>
      </c>
      <c r="AX1400" s="86" t="str">
        <f>+IF($AG1400=AX$22,MONTH($D1400),"")</f>
        <v/>
      </c>
      <c r="AY1400" s="182"/>
      <c r="AZ1400" s="182"/>
      <c r="BA1400" s="182"/>
      <c r="BB1400" s="182"/>
      <c r="BC1400" s="182"/>
      <c r="BD1400" s="182"/>
      <c r="BE1400" s="182"/>
      <c r="BF1400" s="182"/>
      <c r="BG1400" s="182"/>
      <c r="BH1400" s="182"/>
      <c r="BI1400" s="182"/>
      <c r="BJ1400" s="89"/>
      <c r="BK1400" s="89"/>
      <c r="BL1400" s="89"/>
      <c r="BM1400" s="89"/>
      <c r="BN1400" s="89"/>
      <c r="BO1400" s="89"/>
      <c r="BP1400" s="89"/>
    </row>
    <row r="1401" spans="1:68" s="56" customFormat="1" ht="27" hidden="1">
      <c r="A1401" s="204" t="str">
        <f>+IFERROR(VALUE(MID(AB1401,4,4)),"")</f>
        <v/>
      </c>
      <c r="B1401" s="204">
        <f>VALUE(RIGHT(C1401,LEN(C1401)-2))</f>
        <v>1323</v>
      </c>
      <c r="C1401" s="74" t="s">
        <v>5280</v>
      </c>
      <c r="D1401" s="75">
        <v>44343</v>
      </c>
      <c r="E1401" s="70" t="s">
        <v>2638</v>
      </c>
      <c r="F1401" s="70" t="s">
        <v>2638</v>
      </c>
      <c r="G1401" s="68" t="s">
        <v>5281</v>
      </c>
      <c r="H1401" s="59"/>
      <c r="I1401" s="69" t="s">
        <v>5282</v>
      </c>
      <c r="J1401" s="69"/>
      <c r="K1401" s="68" t="s">
        <v>9</v>
      </c>
      <c r="L1401" s="69" t="s">
        <v>120</v>
      </c>
      <c r="M1401" s="71" t="s">
        <v>141</v>
      </c>
      <c r="N1401" s="69" t="e" vm="1">
        <v>#VALUE!</v>
      </c>
      <c r="O1401" s="84"/>
      <c r="P1401" s="72" t="s">
        <v>4567</v>
      </c>
      <c r="Q1401" s="72" t="s">
        <v>259</v>
      </c>
      <c r="R1401" s="162"/>
      <c r="S1401" s="146"/>
      <c r="T1401" s="68" t="s">
        <v>165</v>
      </c>
      <c r="U1401" s="87"/>
      <c r="V1401" s="80">
        <v>44348</v>
      </c>
      <c r="W1401" s="73">
        <v>300</v>
      </c>
      <c r="X1401" s="73">
        <f>350*29800/1000000</f>
        <v>10.43</v>
      </c>
      <c r="Y1401" s="83">
        <f>IF(SUM(W1401:W1401)&gt;0,X1401/SUM(W1401:W1401)*1000000,"N/A")</f>
        <v>34766.666666666672</v>
      </c>
      <c r="Z1401" s="80"/>
      <c r="AA1401" s="80"/>
      <c r="AB1401" s="73"/>
      <c r="AC1401" s="153"/>
      <c r="AD1401" s="331"/>
      <c r="AE1401" s="57"/>
      <c r="AF1401" s="88"/>
      <c r="AG1401" s="182">
        <f>YEAR(D1401)</f>
        <v>2021</v>
      </c>
      <c r="AH1401" s="86" t="str">
        <f>+IF(AE1401=$AJ$22,MONTH(T1401),"")</f>
        <v/>
      </c>
      <c r="AI1401" s="86" t="str">
        <f>+IF(AF1401=$AJ$22,MONTH(U1401),"")</f>
        <v/>
      </c>
      <c r="AJ1401" s="86" t="str">
        <f>+IF(AG1401=$AJ$22,MONTH(V1401),"")</f>
        <v/>
      </c>
      <c r="AK1401" s="86" t="str">
        <f>+IF(AG1401=$AK$22,MONTH(V1401),"")</f>
        <v/>
      </c>
      <c r="AL1401" s="86" t="str">
        <f>+IF(AG1401=$AL$22,MONTH(V1401),"")</f>
        <v/>
      </c>
      <c r="AM1401" s="86">
        <f>+IF($AG1401=$AM$22,MONTH($D1401),"")</f>
        <v>5</v>
      </c>
      <c r="AN1401" s="89" t="str">
        <f>+IF($AG1401=AN$22,MONTH($D1401),"")</f>
        <v/>
      </c>
      <c r="AO1401" s="89" t="str">
        <f>+IF($AG1401=AO$22,MONTH($D1401),"")</f>
        <v/>
      </c>
      <c r="AP1401" s="89" t="str">
        <f>+IF($AG1401=AP$22,MONTH($D1401),"")</f>
        <v/>
      </c>
      <c r="AQ1401" s="89" t="str">
        <f>+IF($AG1401=AQ$22,MONTH($D1401),"")</f>
        <v/>
      </c>
      <c r="AR1401" s="89" t="str">
        <f>+IF($AG1401=AR$22,MONTH($D1401),"")</f>
        <v/>
      </c>
      <c r="AS1401" s="89" t="str">
        <f>+IF($AG1401=AS$22,MONTH($D1401),"")</f>
        <v/>
      </c>
      <c r="AT1401" s="89" t="str">
        <f>+IF($AG1401=AT$22,MONTH($D1401),"")</f>
        <v/>
      </c>
      <c r="AU1401" s="89" t="str">
        <f>+IF($AG1401=AU$22,MONTH($D1401),"")</f>
        <v/>
      </c>
      <c r="AV1401" s="89" t="str">
        <f>+IF($AG1401=AV$22,MONTH($D1401),"")</f>
        <v/>
      </c>
      <c r="AW1401" s="86" t="str">
        <f>+IF($AG1401=AW$22,MONTH($D1401),"")</f>
        <v/>
      </c>
      <c r="AX1401" s="86" t="str">
        <f>+IF($AG1401=AX$22,MONTH($D1401),"")</f>
        <v/>
      </c>
      <c r="AY1401" s="182"/>
      <c r="AZ1401" s="182"/>
      <c r="BA1401" s="182"/>
      <c r="BB1401" s="182"/>
      <c r="BC1401" s="182"/>
      <c r="BD1401" s="182"/>
      <c r="BE1401" s="182"/>
      <c r="BF1401" s="182"/>
      <c r="BG1401" s="182"/>
      <c r="BH1401" s="182"/>
      <c r="BI1401" s="182"/>
      <c r="BJ1401" s="89"/>
      <c r="BK1401" s="89"/>
      <c r="BL1401" s="89"/>
      <c r="BM1401" s="89"/>
      <c r="BN1401" s="89"/>
      <c r="BO1401" s="89"/>
      <c r="BP1401" s="89"/>
    </row>
    <row r="1402" spans="1:68" s="56" customFormat="1" ht="27" hidden="1">
      <c r="A1402" s="204" t="str">
        <f>+IFERROR(VALUE(MID(AB1402,4,4)),"")</f>
        <v/>
      </c>
      <c r="B1402" s="204">
        <f>VALUE(RIGHT(C1402,LEN(C1402)-2))</f>
        <v>1322</v>
      </c>
      <c r="C1402" s="74" t="s">
        <v>5283</v>
      </c>
      <c r="D1402" s="75">
        <v>44343</v>
      </c>
      <c r="E1402" s="70" t="s">
        <v>479</v>
      </c>
      <c r="F1402" s="70" t="s">
        <v>479</v>
      </c>
      <c r="G1402" s="68" t="s">
        <v>3886</v>
      </c>
      <c r="H1402" s="59"/>
      <c r="I1402" s="69" t="s">
        <v>5284</v>
      </c>
      <c r="J1402" s="69"/>
      <c r="K1402" s="68" t="s">
        <v>9</v>
      </c>
      <c r="L1402" s="69" t="s">
        <v>120</v>
      </c>
      <c r="M1402" s="71" t="s">
        <v>113</v>
      </c>
      <c r="N1402" s="69" t="e" vm="2">
        <v>#VALUE!</v>
      </c>
      <c r="O1402" s="84"/>
      <c r="P1402" s="72" t="s">
        <v>483</v>
      </c>
      <c r="Q1402" s="72" t="s">
        <v>229</v>
      </c>
      <c r="R1402" s="162"/>
      <c r="S1402" s="146" t="s">
        <v>5285</v>
      </c>
      <c r="T1402" s="68" t="s">
        <v>155</v>
      </c>
      <c r="U1402" s="87"/>
      <c r="V1402" s="80">
        <v>44391</v>
      </c>
      <c r="W1402" s="73"/>
      <c r="X1402" s="73"/>
      <c r="Y1402" s="83" t="str">
        <f>IF(SUM(W1402:W1402)&gt;0,X1402/SUM(W1402:W1402)*1000000,"N/A")</f>
        <v>N/A</v>
      </c>
      <c r="Z1402" s="80"/>
      <c r="AA1402" s="80"/>
      <c r="AB1402" s="73"/>
      <c r="AC1402" s="153"/>
      <c r="AD1402" s="331"/>
      <c r="AE1402" s="57"/>
      <c r="AF1402" s="88"/>
      <c r="AG1402" s="182">
        <f>YEAR(D1402)</f>
        <v>2021</v>
      </c>
      <c r="AH1402" s="86" t="str">
        <f>+IF(AE1402=$AJ$22,MONTH(T1402),"")</f>
        <v/>
      </c>
      <c r="AI1402" s="86" t="str">
        <f>+IF(AF1402=$AJ$22,MONTH(U1402),"")</f>
        <v/>
      </c>
      <c r="AJ1402" s="86" t="str">
        <f>+IF(AG1402=$AJ$22,MONTH(V1402),"")</f>
        <v/>
      </c>
      <c r="AK1402" s="86" t="str">
        <f>+IF(AG1402=$AK$22,MONTH(V1402),"")</f>
        <v/>
      </c>
      <c r="AL1402" s="86" t="str">
        <f>+IF(AG1402=$AL$22,MONTH(V1402),"")</f>
        <v/>
      </c>
      <c r="AM1402" s="86">
        <f>+IF($AG1402=$AM$22,MONTH($D1402),"")</f>
        <v>5</v>
      </c>
      <c r="AN1402" s="89" t="str">
        <f>+IF($AG1402=AN$22,MONTH($D1402),"")</f>
        <v/>
      </c>
      <c r="AO1402" s="89" t="str">
        <f>+IF($AG1402=AO$22,MONTH($D1402),"")</f>
        <v/>
      </c>
      <c r="AP1402" s="89" t="str">
        <f>+IF($AG1402=AP$22,MONTH($D1402),"")</f>
        <v/>
      </c>
      <c r="AQ1402" s="89" t="str">
        <f>+IF($AG1402=AQ$22,MONTH($D1402),"")</f>
        <v/>
      </c>
      <c r="AR1402" s="89" t="str">
        <f>+IF($AG1402=AR$22,MONTH($D1402),"")</f>
        <v/>
      </c>
      <c r="AS1402" s="89" t="str">
        <f>+IF($AG1402=AS$22,MONTH($D1402),"")</f>
        <v/>
      </c>
      <c r="AT1402" s="89" t="str">
        <f>+IF($AG1402=AT$22,MONTH($D1402),"")</f>
        <v/>
      </c>
      <c r="AU1402" s="89" t="str">
        <f>+IF($AG1402=AU$22,MONTH($D1402),"")</f>
        <v/>
      </c>
      <c r="AV1402" s="89" t="str">
        <f>+IF($AG1402=AV$22,MONTH($D1402),"")</f>
        <v/>
      </c>
      <c r="AW1402" s="86" t="str">
        <f>+IF($AG1402=AW$22,MONTH($D1402),"")</f>
        <v/>
      </c>
      <c r="AX1402" s="86" t="str">
        <f>+IF($AG1402=AX$22,MONTH($D1402),"")</f>
        <v/>
      </c>
      <c r="AY1402" s="89"/>
      <c r="AZ1402" s="89"/>
      <c r="BA1402" s="89"/>
      <c r="BB1402" s="89"/>
      <c r="BC1402" s="89"/>
      <c r="BD1402" s="89"/>
      <c r="BE1402" s="89"/>
      <c r="BF1402" s="89"/>
      <c r="BG1402" s="89"/>
      <c r="BH1402" s="89"/>
      <c r="BI1402" s="89"/>
      <c r="BJ1402" s="89"/>
      <c r="BK1402" s="89"/>
      <c r="BL1402" s="89"/>
      <c r="BM1402" s="89"/>
      <c r="BN1402" s="89"/>
      <c r="BO1402" s="89"/>
      <c r="BP1402" s="89"/>
    </row>
    <row r="1403" spans="1:68" s="56" customFormat="1" ht="13.5" hidden="1">
      <c r="A1403" s="204" t="str">
        <f>+IFERROR(VALUE(MID(AB1403,4,4)),"")</f>
        <v/>
      </c>
      <c r="B1403" s="204">
        <f>VALUE(RIGHT(C1403,LEN(C1403)-2))</f>
        <v>1321</v>
      </c>
      <c r="C1403" s="74" t="s">
        <v>5286</v>
      </c>
      <c r="D1403" s="75">
        <v>44343</v>
      </c>
      <c r="E1403" s="70" t="s">
        <v>479</v>
      </c>
      <c r="F1403" s="70" t="s">
        <v>479</v>
      </c>
      <c r="G1403" s="68" t="s">
        <v>3886</v>
      </c>
      <c r="H1403" s="59"/>
      <c r="I1403" s="69" t="s">
        <v>5287</v>
      </c>
      <c r="J1403" s="69"/>
      <c r="K1403" s="68" t="s">
        <v>30</v>
      </c>
      <c r="L1403" s="69" t="s">
        <v>120</v>
      </c>
      <c r="M1403" s="71" t="s">
        <v>113</v>
      </c>
      <c r="N1403" s="69" t="e" vm="2">
        <v>#VALUE!</v>
      </c>
      <c r="O1403" s="84"/>
      <c r="P1403" s="72" t="s">
        <v>483</v>
      </c>
      <c r="Q1403" s="72" t="s">
        <v>837</v>
      </c>
      <c r="R1403" s="162"/>
      <c r="S1403" s="146"/>
      <c r="T1403" s="68" t="s">
        <v>165</v>
      </c>
      <c r="U1403" s="87"/>
      <c r="V1403" s="80">
        <v>44403</v>
      </c>
      <c r="W1403" s="73">
        <v>961</v>
      </c>
      <c r="X1403" s="73">
        <f>166692*150/1000000</f>
        <v>25.003799999999998</v>
      </c>
      <c r="Y1403" s="83">
        <f>IF(SUM(W1403:W1403)&gt;0,X1403/SUM(W1403:W1403)*1000000,"N/A")</f>
        <v>26018.522372528616</v>
      </c>
      <c r="Z1403" s="80"/>
      <c r="AA1403" s="80"/>
      <c r="AB1403" s="73"/>
      <c r="AC1403" s="153"/>
      <c r="AD1403" s="331"/>
      <c r="AE1403" s="57"/>
      <c r="AF1403" s="88"/>
      <c r="AG1403" s="182">
        <f>YEAR(D1403)</f>
        <v>2021</v>
      </c>
      <c r="AH1403" s="86" t="str">
        <f>+IF(AE1403=$AJ$22,MONTH(T1403),"")</f>
        <v/>
      </c>
      <c r="AI1403" s="86" t="str">
        <f>+IF(AF1403=$AJ$22,MONTH(U1403),"")</f>
        <v/>
      </c>
      <c r="AJ1403" s="86" t="str">
        <f>+IF(AG1403=$AJ$22,MONTH(V1403),"")</f>
        <v/>
      </c>
      <c r="AK1403" s="86" t="str">
        <f>+IF(AG1403=$AK$22,MONTH(V1403),"")</f>
        <v/>
      </c>
      <c r="AL1403" s="86" t="str">
        <f>+IF(AG1403=$AL$22,MONTH(V1403),"")</f>
        <v/>
      </c>
      <c r="AM1403" s="86">
        <f>+IF($AG1403=$AM$22,MONTH($D1403),"")</f>
        <v>5</v>
      </c>
      <c r="AN1403" s="89" t="str">
        <f>+IF($AG1403=AN$22,MONTH($D1403),"")</f>
        <v/>
      </c>
      <c r="AO1403" s="89" t="str">
        <f>+IF($AG1403=AO$22,MONTH($D1403),"")</f>
        <v/>
      </c>
      <c r="AP1403" s="89" t="str">
        <f>+IF($AG1403=AP$22,MONTH($D1403),"")</f>
        <v/>
      </c>
      <c r="AQ1403" s="89" t="str">
        <f>+IF($AG1403=AQ$22,MONTH($D1403),"")</f>
        <v/>
      </c>
      <c r="AR1403" s="89" t="str">
        <f>+IF($AG1403=AR$22,MONTH($D1403),"")</f>
        <v/>
      </c>
      <c r="AS1403" s="89" t="str">
        <f>+IF($AG1403=AS$22,MONTH($D1403),"")</f>
        <v/>
      </c>
      <c r="AT1403" s="89" t="str">
        <f>+IF($AG1403=AT$22,MONTH($D1403),"")</f>
        <v/>
      </c>
      <c r="AU1403" s="89" t="str">
        <f>+IF($AG1403=AU$22,MONTH($D1403),"")</f>
        <v/>
      </c>
      <c r="AV1403" s="89" t="str">
        <f>+IF($AG1403=AV$22,MONTH($D1403),"")</f>
        <v/>
      </c>
      <c r="AW1403" s="86" t="str">
        <f>+IF($AG1403=AW$22,MONTH($D1403),"")</f>
        <v/>
      </c>
      <c r="AX1403" s="86" t="str">
        <f>+IF($AG1403=AX$22,MONTH($D1403),"")</f>
        <v/>
      </c>
      <c r="AY1403" s="89"/>
      <c r="AZ1403" s="89"/>
      <c r="BA1403" s="89"/>
      <c r="BB1403" s="89"/>
      <c r="BC1403" s="89"/>
      <c r="BD1403" s="89"/>
      <c r="BE1403" s="89"/>
      <c r="BF1403" s="89"/>
      <c r="BG1403" s="89"/>
      <c r="BH1403" s="89"/>
      <c r="BI1403" s="89"/>
      <c r="BJ1403" s="89"/>
      <c r="BK1403" s="89"/>
      <c r="BL1403" s="89"/>
      <c r="BM1403" s="89"/>
      <c r="BN1403" s="89"/>
      <c r="BO1403" s="89"/>
      <c r="BP1403" s="89"/>
    </row>
    <row r="1404" spans="1:68" s="56" customFormat="1" ht="13.5" hidden="1">
      <c r="A1404" s="204" t="str">
        <f>+IFERROR(VALUE(MID(AB1404,4,4)),"")</f>
        <v/>
      </c>
      <c r="B1404" s="204">
        <f>VALUE(RIGHT(C1404,LEN(C1404)-2))</f>
        <v>1320</v>
      </c>
      <c r="C1404" s="74" t="s">
        <v>5288</v>
      </c>
      <c r="D1404" s="75">
        <v>44343</v>
      </c>
      <c r="E1404" s="70" t="s">
        <v>479</v>
      </c>
      <c r="F1404" s="70" t="s">
        <v>479</v>
      </c>
      <c r="G1404" s="68" t="s">
        <v>3886</v>
      </c>
      <c r="H1404" s="59"/>
      <c r="I1404" s="69" t="s">
        <v>5289</v>
      </c>
      <c r="J1404" s="69"/>
      <c r="K1404" s="68" t="s">
        <v>30</v>
      </c>
      <c r="L1404" s="69" t="s">
        <v>120</v>
      </c>
      <c r="M1404" s="71" t="s">
        <v>113</v>
      </c>
      <c r="N1404" s="69" t="e" vm="2">
        <v>#VALUE!</v>
      </c>
      <c r="O1404" s="84"/>
      <c r="P1404" s="72" t="s">
        <v>483</v>
      </c>
      <c r="Q1404" s="72" t="s">
        <v>837</v>
      </c>
      <c r="R1404" s="162"/>
      <c r="S1404" s="146"/>
      <c r="T1404" s="68" t="s">
        <v>165</v>
      </c>
      <c r="U1404" s="87"/>
      <c r="V1404" s="80">
        <v>44391</v>
      </c>
      <c r="W1404" s="73">
        <v>87</v>
      </c>
      <c r="X1404" s="73">
        <f>21467*150/1000000</f>
        <v>3.2200500000000001</v>
      </c>
      <c r="Y1404" s="83">
        <f>IF(SUM(W1404:W1404)&gt;0,X1404/SUM(W1404:W1404)*1000000,"N/A")</f>
        <v>37012.068965517246</v>
      </c>
      <c r="Z1404" s="80"/>
      <c r="AA1404" s="80"/>
      <c r="AB1404" s="73"/>
      <c r="AC1404" s="153"/>
      <c r="AD1404" s="331"/>
      <c r="AE1404" s="57"/>
      <c r="AF1404" s="88"/>
      <c r="AG1404" s="182">
        <f>YEAR(D1404)</f>
        <v>2021</v>
      </c>
      <c r="AH1404" s="86" t="str">
        <f>+IF(AE1404=$AJ$22,MONTH(T1404),"")</f>
        <v/>
      </c>
      <c r="AI1404" s="86" t="str">
        <f>+IF(AF1404=$AJ$22,MONTH(U1404),"")</f>
        <v/>
      </c>
      <c r="AJ1404" s="86" t="str">
        <f>+IF(AG1404=$AJ$22,MONTH(V1404),"")</f>
        <v/>
      </c>
      <c r="AK1404" s="86" t="str">
        <f>+IF(AG1404=$AK$22,MONTH(V1404),"")</f>
        <v/>
      </c>
      <c r="AL1404" s="86" t="str">
        <f>+IF(AG1404=$AL$22,MONTH(V1404),"")</f>
        <v/>
      </c>
      <c r="AM1404" s="86">
        <f>+IF($AG1404=$AM$22,MONTH($D1404),"")</f>
        <v>5</v>
      </c>
      <c r="AN1404" s="89" t="str">
        <f>+IF($AG1404=AN$22,MONTH($D1404),"")</f>
        <v/>
      </c>
      <c r="AO1404" s="89" t="str">
        <f>+IF($AG1404=AO$22,MONTH($D1404),"")</f>
        <v/>
      </c>
      <c r="AP1404" s="89" t="str">
        <f>+IF($AG1404=AP$22,MONTH($D1404),"")</f>
        <v/>
      </c>
      <c r="AQ1404" s="89" t="str">
        <f>+IF($AG1404=AQ$22,MONTH($D1404),"")</f>
        <v/>
      </c>
      <c r="AR1404" s="89" t="str">
        <f>+IF($AG1404=AR$22,MONTH($D1404),"")</f>
        <v/>
      </c>
      <c r="AS1404" s="89" t="str">
        <f>+IF($AG1404=AS$22,MONTH($D1404),"")</f>
        <v/>
      </c>
      <c r="AT1404" s="89" t="str">
        <f>+IF($AG1404=AT$22,MONTH($D1404),"")</f>
        <v/>
      </c>
      <c r="AU1404" s="89" t="str">
        <f>+IF($AG1404=AU$22,MONTH($D1404),"")</f>
        <v/>
      </c>
      <c r="AV1404" s="89" t="str">
        <f>+IF($AG1404=AV$22,MONTH($D1404),"")</f>
        <v/>
      </c>
      <c r="AW1404" s="86" t="str">
        <f>+IF($AG1404=AW$22,MONTH($D1404),"")</f>
        <v/>
      </c>
      <c r="AX1404" s="86" t="str">
        <f>+IF($AG1404=AX$22,MONTH($D1404),"")</f>
        <v/>
      </c>
      <c r="AY1404" s="89"/>
      <c r="AZ1404" s="89"/>
      <c r="BA1404" s="89"/>
      <c r="BB1404" s="89"/>
      <c r="BC1404" s="89"/>
      <c r="BD1404" s="89"/>
      <c r="BE1404" s="89"/>
      <c r="BF1404" s="89"/>
      <c r="BG1404" s="89"/>
      <c r="BH1404" s="89"/>
      <c r="BI1404" s="89"/>
      <c r="BJ1404" s="89"/>
      <c r="BK1404" s="89"/>
      <c r="BL1404" s="89"/>
      <c r="BM1404" s="89"/>
      <c r="BN1404" s="89"/>
      <c r="BO1404" s="89"/>
      <c r="BP1404" s="89"/>
    </row>
    <row r="1405" spans="1:68" s="56" customFormat="1" ht="13.5" hidden="1">
      <c r="A1405" s="204" t="str">
        <f>+IFERROR(VALUE(MID(AB1405,4,4)),"")</f>
        <v/>
      </c>
      <c r="B1405" s="204">
        <f>VALUE(RIGHT(C1405,LEN(C1405)-2))</f>
        <v>1319</v>
      </c>
      <c r="C1405" s="74" t="s">
        <v>5290</v>
      </c>
      <c r="D1405" s="75">
        <v>44343</v>
      </c>
      <c r="E1405" s="70" t="s">
        <v>479</v>
      </c>
      <c r="F1405" s="70" t="s">
        <v>479</v>
      </c>
      <c r="G1405" s="68" t="s">
        <v>3886</v>
      </c>
      <c r="H1405" s="59"/>
      <c r="I1405" s="69" t="s">
        <v>5291</v>
      </c>
      <c r="J1405" s="69"/>
      <c r="K1405" s="68" t="s">
        <v>30</v>
      </c>
      <c r="L1405" s="69" t="s">
        <v>120</v>
      </c>
      <c r="M1405" s="71" t="s">
        <v>113</v>
      </c>
      <c r="N1405" s="69" t="e" vm="2">
        <v>#VALUE!</v>
      </c>
      <c r="O1405" s="84"/>
      <c r="P1405" s="72" t="s">
        <v>483</v>
      </c>
      <c r="Q1405" s="72" t="s">
        <v>229</v>
      </c>
      <c r="R1405" s="162"/>
      <c r="S1405" s="146"/>
      <c r="T1405" s="68" t="s">
        <v>165</v>
      </c>
      <c r="U1405" s="87"/>
      <c r="V1405" s="80">
        <v>44391</v>
      </c>
      <c r="W1405" s="73">
        <v>4341</v>
      </c>
      <c r="X1405" s="73">
        <f>805940*150/1000000</f>
        <v>120.89100000000001</v>
      </c>
      <c r="Y1405" s="83">
        <f>IF(SUM(W1405:W1405)&gt;0,X1405/SUM(W1405:W1405)*1000000,"N/A")</f>
        <v>27848.652384243265</v>
      </c>
      <c r="Z1405" s="80"/>
      <c r="AA1405" s="80"/>
      <c r="AB1405" s="73"/>
      <c r="AC1405" s="153"/>
      <c r="AD1405" s="331"/>
      <c r="AE1405" s="57"/>
      <c r="AF1405" s="88"/>
      <c r="AG1405" s="182">
        <f>YEAR(D1405)</f>
        <v>2021</v>
      </c>
      <c r="AH1405" s="86" t="str">
        <f>+IF(AE1405=$AJ$22,MONTH(T1405),"")</f>
        <v/>
      </c>
      <c r="AI1405" s="86" t="str">
        <f>+IF(AF1405=$AJ$22,MONTH(U1405),"")</f>
        <v/>
      </c>
      <c r="AJ1405" s="86" t="str">
        <f>+IF(AG1405=$AJ$22,MONTH(V1405),"")</f>
        <v/>
      </c>
      <c r="AK1405" s="86" t="str">
        <f>+IF(AG1405=$AK$22,MONTH(V1405),"")</f>
        <v/>
      </c>
      <c r="AL1405" s="86" t="str">
        <f>+IF(AG1405=$AL$22,MONTH(V1405),"")</f>
        <v/>
      </c>
      <c r="AM1405" s="86">
        <f>+IF($AG1405=$AM$22,MONTH($D1405),"")</f>
        <v>5</v>
      </c>
      <c r="AN1405" s="89" t="str">
        <f>+IF($AG1405=AN$22,MONTH($D1405),"")</f>
        <v/>
      </c>
      <c r="AO1405" s="89" t="str">
        <f>+IF($AG1405=AO$22,MONTH($D1405),"")</f>
        <v/>
      </c>
      <c r="AP1405" s="89" t="str">
        <f>+IF($AG1405=AP$22,MONTH($D1405),"")</f>
        <v/>
      </c>
      <c r="AQ1405" s="89" t="str">
        <f>+IF($AG1405=AQ$22,MONTH($D1405),"")</f>
        <v/>
      </c>
      <c r="AR1405" s="89" t="str">
        <f>+IF($AG1405=AR$22,MONTH($D1405),"")</f>
        <v/>
      </c>
      <c r="AS1405" s="89" t="str">
        <f>+IF($AG1405=AS$22,MONTH($D1405),"")</f>
        <v/>
      </c>
      <c r="AT1405" s="89" t="str">
        <f>+IF($AG1405=AT$22,MONTH($D1405),"")</f>
        <v/>
      </c>
      <c r="AU1405" s="89" t="str">
        <f>+IF($AG1405=AU$22,MONTH($D1405),"")</f>
        <v/>
      </c>
      <c r="AV1405" s="89" t="str">
        <f>+IF($AG1405=AV$22,MONTH($D1405),"")</f>
        <v/>
      </c>
      <c r="AW1405" s="86" t="str">
        <f>+IF($AG1405=AW$22,MONTH($D1405),"")</f>
        <v/>
      </c>
      <c r="AX1405" s="86" t="str">
        <f>+IF($AG1405=AX$22,MONTH($D1405),"")</f>
        <v/>
      </c>
      <c r="AY1405" s="89"/>
      <c r="AZ1405" s="89"/>
      <c r="BA1405" s="89"/>
      <c r="BB1405" s="89"/>
      <c r="BC1405" s="89"/>
      <c r="BD1405" s="89"/>
      <c r="BE1405" s="89"/>
      <c r="BF1405" s="89"/>
      <c r="BG1405" s="89"/>
      <c r="BH1405" s="89"/>
      <c r="BI1405" s="89"/>
      <c r="BJ1405" s="89"/>
      <c r="BK1405" s="89"/>
      <c r="BL1405" s="89"/>
      <c r="BM1405" s="89"/>
      <c r="BN1405" s="89"/>
      <c r="BO1405" s="89"/>
      <c r="BP1405" s="89"/>
    </row>
    <row r="1406" spans="1:68" s="56" customFormat="1" ht="40.5" hidden="1">
      <c r="A1406" s="204" t="str">
        <f>+IFERROR(VALUE(MID(AB1406,4,4)),"")</f>
        <v/>
      </c>
      <c r="B1406" s="204">
        <f>VALUE(RIGHT(C1406,LEN(C1406)-2))</f>
        <v>1318</v>
      </c>
      <c r="C1406" s="74" t="s">
        <v>5292</v>
      </c>
      <c r="D1406" s="75">
        <v>44341</v>
      </c>
      <c r="E1406" s="70" t="s">
        <v>5293</v>
      </c>
      <c r="F1406" s="70" t="s">
        <v>5293</v>
      </c>
      <c r="G1406" s="68" t="s">
        <v>5294</v>
      </c>
      <c r="H1406" s="59"/>
      <c r="I1406" s="69" t="s">
        <v>5295</v>
      </c>
      <c r="J1406" s="69"/>
      <c r="K1406" s="68" t="s">
        <v>9</v>
      </c>
      <c r="L1406" s="69" t="s">
        <v>120</v>
      </c>
      <c r="M1406" s="71" t="s">
        <v>141</v>
      </c>
      <c r="N1406" s="69" t="e" vm="1">
        <v>#VALUE!</v>
      </c>
      <c r="O1406" s="84"/>
      <c r="P1406" s="72" t="s">
        <v>228</v>
      </c>
      <c r="Q1406" s="72" t="s">
        <v>316</v>
      </c>
      <c r="R1406" s="162"/>
      <c r="S1406" s="146" t="s">
        <v>5296</v>
      </c>
      <c r="T1406" s="68" t="s">
        <v>165</v>
      </c>
      <c r="U1406" s="87"/>
      <c r="V1406" s="80">
        <v>44391</v>
      </c>
      <c r="W1406" s="73">
        <v>998</v>
      </c>
      <c r="X1406" s="73">
        <v>49.887999999999998</v>
      </c>
      <c r="Y1406" s="83">
        <f>IF(SUM(W1406:W1406)&gt;0,X1406/SUM(W1406:W1406)*1000000,"N/A")</f>
        <v>49987.975951903805</v>
      </c>
      <c r="Z1406" s="80"/>
      <c r="AA1406" s="80"/>
      <c r="AB1406" s="73"/>
      <c r="AC1406" s="153"/>
      <c r="AD1406" s="331"/>
      <c r="AE1406" s="57"/>
      <c r="AF1406" s="88"/>
      <c r="AG1406" s="182">
        <f>YEAR(D1406)</f>
        <v>2021</v>
      </c>
      <c r="AH1406" s="86" t="str">
        <f>+IF(AE1406=$AJ$22,MONTH(T1406),"")</f>
        <v/>
      </c>
      <c r="AI1406" s="86" t="str">
        <f>+IF(AF1406=$AJ$22,MONTH(U1406),"")</f>
        <v/>
      </c>
      <c r="AJ1406" s="86" t="str">
        <f>+IF(AG1406=$AJ$22,MONTH(V1406),"")</f>
        <v/>
      </c>
      <c r="AK1406" s="86" t="str">
        <f>+IF(AG1406=$AK$22,MONTH(V1406),"")</f>
        <v/>
      </c>
      <c r="AL1406" s="86" t="str">
        <f>+IF(AG1406=$AL$22,MONTH(V1406),"")</f>
        <v/>
      </c>
      <c r="AM1406" s="86">
        <f>+IF($AG1406=$AM$22,MONTH($D1406),"")</f>
        <v>5</v>
      </c>
      <c r="AN1406" s="89" t="str">
        <f>+IF($AG1406=AN$22,MONTH($D1406),"")</f>
        <v/>
      </c>
      <c r="AO1406" s="89" t="str">
        <f>+IF($AG1406=AO$22,MONTH($D1406),"")</f>
        <v/>
      </c>
      <c r="AP1406" s="89" t="str">
        <f>+IF($AG1406=AP$22,MONTH($D1406),"")</f>
        <v/>
      </c>
      <c r="AQ1406" s="89" t="str">
        <f>+IF($AG1406=AQ$22,MONTH($D1406),"")</f>
        <v/>
      </c>
      <c r="AR1406" s="89" t="str">
        <f>+IF($AG1406=AR$22,MONTH($D1406),"")</f>
        <v/>
      </c>
      <c r="AS1406" s="89" t="str">
        <f>+IF($AG1406=AS$22,MONTH($D1406),"")</f>
        <v/>
      </c>
      <c r="AT1406" s="89" t="str">
        <f>+IF($AG1406=AT$22,MONTH($D1406),"")</f>
        <v/>
      </c>
      <c r="AU1406" s="89" t="str">
        <f>+IF($AG1406=AU$22,MONTH($D1406),"")</f>
        <v/>
      </c>
      <c r="AV1406" s="89" t="str">
        <f>+IF($AG1406=AV$22,MONTH($D1406),"")</f>
        <v/>
      </c>
      <c r="AW1406" s="86" t="str">
        <f>+IF($AG1406=AW$22,MONTH($D1406),"")</f>
        <v/>
      </c>
      <c r="AX1406" s="86" t="str">
        <f>+IF($AG1406=AX$22,MONTH($D1406),"")</f>
        <v/>
      </c>
      <c r="AY1406" s="89"/>
      <c r="AZ1406" s="89"/>
      <c r="BA1406" s="89"/>
      <c r="BB1406" s="89"/>
      <c r="BC1406" s="89"/>
      <c r="BD1406" s="89"/>
      <c r="BE1406" s="89"/>
      <c r="BF1406" s="89"/>
      <c r="BG1406" s="89"/>
      <c r="BH1406" s="89"/>
      <c r="BI1406" s="89"/>
      <c r="BJ1406" s="89"/>
      <c r="BK1406" s="89"/>
      <c r="BL1406" s="89"/>
      <c r="BM1406" s="89"/>
      <c r="BN1406" s="89"/>
      <c r="BO1406" s="89"/>
      <c r="BP1406" s="89"/>
    </row>
    <row r="1407" spans="1:68" s="56" customFormat="1" ht="67.5" hidden="1">
      <c r="A1407" s="204" t="str">
        <f>+IFERROR(VALUE(MID(AB1407,4,4)),"")</f>
        <v/>
      </c>
      <c r="B1407" s="204">
        <f>VALUE(RIGHT(C1407,LEN(C1407)-2))</f>
        <v>1317</v>
      </c>
      <c r="C1407" s="74" t="s">
        <v>5297</v>
      </c>
      <c r="D1407" s="75">
        <v>44341</v>
      </c>
      <c r="E1407" s="70" t="s">
        <v>5293</v>
      </c>
      <c r="F1407" s="70" t="s">
        <v>5293</v>
      </c>
      <c r="G1407" s="68" t="s">
        <v>5294</v>
      </c>
      <c r="H1407" s="59" t="s">
        <v>5298</v>
      </c>
      <c r="I1407" s="69" t="s">
        <v>5299</v>
      </c>
      <c r="J1407" s="69"/>
      <c r="K1407" s="68" t="s">
        <v>9</v>
      </c>
      <c r="L1407" s="69" t="s">
        <v>120</v>
      </c>
      <c r="M1407" s="71" t="s">
        <v>141</v>
      </c>
      <c r="N1407" s="69" t="e" vm="1">
        <v>#VALUE!</v>
      </c>
      <c r="O1407" s="84"/>
      <c r="P1407" s="72" t="s">
        <v>228</v>
      </c>
      <c r="Q1407" s="72" t="s">
        <v>316</v>
      </c>
      <c r="R1407" s="162"/>
      <c r="S1407" s="146" t="s">
        <v>5300</v>
      </c>
      <c r="T1407" s="68" t="s">
        <v>165</v>
      </c>
      <c r="U1407" s="87"/>
      <c r="V1407" s="80">
        <v>44342</v>
      </c>
      <c r="W1407" s="73">
        <v>996</v>
      </c>
      <c r="X1407" s="73">
        <f>49739400/1000000</f>
        <v>49.739400000000003</v>
      </c>
      <c r="Y1407" s="83">
        <f>IF(SUM(W1407:W1407)&gt;0,X1407/SUM(W1407:W1407)*1000000,"N/A")</f>
        <v>49939.156626506025</v>
      </c>
      <c r="Z1407" s="80"/>
      <c r="AA1407" s="80"/>
      <c r="AB1407" s="73"/>
      <c r="AC1407" s="153"/>
      <c r="AD1407" s="331"/>
      <c r="AE1407" s="57"/>
      <c r="AF1407" s="88"/>
      <c r="AG1407" s="182">
        <f>YEAR(D1407)</f>
        <v>2021</v>
      </c>
      <c r="AH1407" s="86" t="str">
        <f>+IF(AE1407=$AJ$22,MONTH(T1407),"")</f>
        <v/>
      </c>
      <c r="AI1407" s="86" t="str">
        <f>+IF(AF1407=$AJ$22,MONTH(U1407),"")</f>
        <v/>
      </c>
      <c r="AJ1407" s="86" t="str">
        <f>+IF(AG1407=$AJ$22,MONTH(V1407),"")</f>
        <v/>
      </c>
      <c r="AK1407" s="86" t="str">
        <f>+IF(AG1407=$AK$22,MONTH(V1407),"")</f>
        <v/>
      </c>
      <c r="AL1407" s="86" t="str">
        <f>+IF(AG1407=$AL$22,MONTH(V1407),"")</f>
        <v/>
      </c>
      <c r="AM1407" s="86">
        <f>+IF($AG1407=$AM$22,MONTH($D1407),"")</f>
        <v>5</v>
      </c>
      <c r="AN1407" s="89" t="str">
        <f>+IF($AG1407=AN$22,MONTH($D1407),"")</f>
        <v/>
      </c>
      <c r="AO1407" s="89" t="str">
        <f>+IF($AG1407=AO$22,MONTH($D1407),"")</f>
        <v/>
      </c>
      <c r="AP1407" s="89" t="str">
        <f>+IF($AG1407=AP$22,MONTH($D1407),"")</f>
        <v/>
      </c>
      <c r="AQ1407" s="89" t="str">
        <f>+IF($AG1407=AQ$22,MONTH($D1407),"")</f>
        <v/>
      </c>
      <c r="AR1407" s="89" t="str">
        <f>+IF($AG1407=AR$22,MONTH($D1407),"")</f>
        <v/>
      </c>
      <c r="AS1407" s="89" t="str">
        <f>+IF($AG1407=AS$22,MONTH($D1407),"")</f>
        <v/>
      </c>
      <c r="AT1407" s="89" t="str">
        <f>+IF($AG1407=AT$22,MONTH($D1407),"")</f>
        <v/>
      </c>
      <c r="AU1407" s="89" t="str">
        <f>+IF($AG1407=AU$22,MONTH($D1407),"")</f>
        <v/>
      </c>
      <c r="AV1407" s="89" t="str">
        <f>+IF($AG1407=AV$22,MONTH($D1407),"")</f>
        <v/>
      </c>
      <c r="AW1407" s="86" t="str">
        <f>+IF($AG1407=AW$22,MONTH($D1407),"")</f>
        <v/>
      </c>
      <c r="AX1407" s="86" t="str">
        <f>+IF($AG1407=AX$22,MONTH($D1407),"")</f>
        <v/>
      </c>
      <c r="AY1407" s="89"/>
      <c r="AZ1407" s="89"/>
      <c r="BA1407" s="89"/>
      <c r="BB1407" s="89"/>
      <c r="BC1407" s="89"/>
      <c r="BD1407" s="89"/>
      <c r="BE1407" s="89"/>
      <c r="BF1407" s="89"/>
      <c r="BG1407" s="89"/>
      <c r="BH1407" s="89"/>
      <c r="BI1407" s="89"/>
      <c r="BJ1407" s="89"/>
      <c r="BK1407" s="89"/>
      <c r="BL1407" s="89"/>
      <c r="BM1407" s="89"/>
      <c r="BN1407" s="89"/>
      <c r="BO1407" s="89"/>
      <c r="BP1407" s="89"/>
    </row>
    <row r="1408" spans="1:68" s="56" customFormat="1" ht="13.5" hidden="1">
      <c r="A1408" s="204" t="str">
        <f>+IFERROR(VALUE(MID(AB1408,4,4)),"")</f>
        <v/>
      </c>
      <c r="B1408" s="204">
        <f>VALUE(RIGHT(C1408,LEN(C1408)-2))</f>
        <v>1316</v>
      </c>
      <c r="C1408" s="74" t="s">
        <v>5301</v>
      </c>
      <c r="D1408" s="75">
        <v>44334</v>
      </c>
      <c r="E1408" s="70" t="s">
        <v>479</v>
      </c>
      <c r="F1408" s="70" t="s">
        <v>479</v>
      </c>
      <c r="G1408" s="68"/>
      <c r="H1408" s="59"/>
      <c r="I1408" s="69" t="s">
        <v>5302</v>
      </c>
      <c r="J1408" s="69"/>
      <c r="K1408" s="68" t="s">
        <v>9</v>
      </c>
      <c r="L1408" s="69" t="s">
        <v>120</v>
      </c>
      <c r="M1408" s="71" t="s">
        <v>113</v>
      </c>
      <c r="N1408" s="69" t="e" vm="2">
        <v>#VALUE!</v>
      </c>
      <c r="O1408" s="84"/>
      <c r="P1408" s="72" t="s">
        <v>483</v>
      </c>
      <c r="Q1408" s="72" t="s">
        <v>229</v>
      </c>
      <c r="R1408" s="162"/>
      <c r="S1408" s="146"/>
      <c r="T1408" s="68" t="s">
        <v>165</v>
      </c>
      <c r="U1408" s="87"/>
      <c r="V1408" s="80">
        <v>44303</v>
      </c>
      <c r="W1408" s="73">
        <f>129+60*8*2</f>
        <v>1089</v>
      </c>
      <c r="X1408" s="73">
        <f>259709*150/1000000</f>
        <v>38.95635</v>
      </c>
      <c r="Y1408" s="83">
        <f>IF(SUM(W1408:W1408)&gt;0,X1408/SUM(W1408:W1408)*1000000,"N/A")</f>
        <v>35772.589531680445</v>
      </c>
      <c r="Z1408" s="80"/>
      <c r="AA1408" s="80"/>
      <c r="AB1408" s="73"/>
      <c r="AC1408" s="153"/>
      <c r="AD1408" s="331"/>
      <c r="AE1408" s="57"/>
      <c r="AF1408" s="88"/>
      <c r="AG1408" s="182">
        <f>YEAR(D1408)</f>
        <v>2021</v>
      </c>
      <c r="AH1408" s="86" t="str">
        <f>+IF(AE1408=$AJ$22,MONTH(T1408),"")</f>
        <v/>
      </c>
      <c r="AI1408" s="86" t="str">
        <f>+IF(AF1408=$AJ$22,MONTH(U1408),"")</f>
        <v/>
      </c>
      <c r="AJ1408" s="86" t="str">
        <f>+IF(AG1408=$AJ$22,MONTH(V1408),"")</f>
        <v/>
      </c>
      <c r="AK1408" s="86" t="str">
        <f>+IF(AG1408=$AK$22,MONTH(V1408),"")</f>
        <v/>
      </c>
      <c r="AL1408" s="86" t="str">
        <f>+IF(AG1408=$AL$22,MONTH(V1408),"")</f>
        <v/>
      </c>
      <c r="AM1408" s="86">
        <f>+IF($AG1408=$AM$22,MONTH($D1408),"")</f>
        <v>5</v>
      </c>
      <c r="AN1408" s="89" t="str">
        <f>+IF($AG1408=AN$22,MONTH($D1408),"")</f>
        <v/>
      </c>
      <c r="AO1408" s="89" t="str">
        <f>+IF($AG1408=AO$22,MONTH($D1408),"")</f>
        <v/>
      </c>
      <c r="AP1408" s="89" t="str">
        <f>+IF($AG1408=AP$22,MONTH($D1408),"")</f>
        <v/>
      </c>
      <c r="AQ1408" s="89" t="str">
        <f>+IF($AG1408=AQ$22,MONTH($D1408),"")</f>
        <v/>
      </c>
      <c r="AR1408" s="89" t="str">
        <f>+IF($AG1408=AR$22,MONTH($D1408),"")</f>
        <v/>
      </c>
      <c r="AS1408" s="89" t="str">
        <f>+IF($AG1408=AS$22,MONTH($D1408),"")</f>
        <v/>
      </c>
      <c r="AT1408" s="89" t="str">
        <f>+IF($AG1408=AT$22,MONTH($D1408),"")</f>
        <v/>
      </c>
      <c r="AU1408" s="89" t="str">
        <f>+IF($AG1408=AU$22,MONTH($D1408),"")</f>
        <v/>
      </c>
      <c r="AV1408" s="89" t="str">
        <f>+IF($AG1408=AV$22,MONTH($D1408),"")</f>
        <v/>
      </c>
      <c r="AW1408" s="86" t="str">
        <f>+IF($AG1408=AW$22,MONTH($D1408),"")</f>
        <v/>
      </c>
      <c r="AX1408" s="86" t="str">
        <f>+IF($AG1408=AX$22,MONTH($D1408),"")</f>
        <v/>
      </c>
      <c r="AY1408" s="89"/>
      <c r="AZ1408" s="89"/>
      <c r="BA1408" s="89"/>
      <c r="BB1408" s="89"/>
      <c r="BC1408" s="89"/>
      <c r="BD1408" s="89"/>
      <c r="BE1408" s="89"/>
      <c r="BF1408" s="89"/>
      <c r="BG1408" s="89"/>
      <c r="BH1408" s="89"/>
      <c r="BI1408" s="89"/>
      <c r="BJ1408" s="89"/>
      <c r="BK1408" s="89"/>
      <c r="BL1408" s="89"/>
      <c r="BM1408" s="89"/>
      <c r="BN1408" s="89"/>
      <c r="BO1408" s="89"/>
      <c r="BP1408" s="89"/>
    </row>
    <row r="1409" spans="1:68" s="56" customFormat="1" ht="30" hidden="1" customHeight="1">
      <c r="A1409" s="204" t="str">
        <f>+IFERROR(VALUE(MID(AB1409,4,4)),"")</f>
        <v/>
      </c>
      <c r="B1409" s="204">
        <f>VALUE(RIGHT(C1409,LEN(C1409)-2))</f>
        <v>1315</v>
      </c>
      <c r="C1409" s="74" t="s">
        <v>5303</v>
      </c>
      <c r="D1409" s="75">
        <v>44330</v>
      </c>
      <c r="E1409" s="70" t="s">
        <v>4114</v>
      </c>
      <c r="F1409" s="70" t="s">
        <v>4114</v>
      </c>
      <c r="G1409" s="68" t="s">
        <v>5304</v>
      </c>
      <c r="H1409" s="59"/>
      <c r="I1409" s="69" t="s">
        <v>5305</v>
      </c>
      <c r="J1409" s="69"/>
      <c r="K1409" s="68" t="s">
        <v>9</v>
      </c>
      <c r="L1409" s="69" t="s">
        <v>120</v>
      </c>
      <c r="M1409" s="71" t="s">
        <v>141</v>
      </c>
      <c r="N1409" s="69" t="e" vm="1">
        <v>#VALUE!</v>
      </c>
      <c r="O1409" s="84"/>
      <c r="P1409" s="72" t="s">
        <v>274</v>
      </c>
      <c r="Q1409" s="72" t="s">
        <v>275</v>
      </c>
      <c r="R1409" s="162"/>
      <c r="S1409" s="146"/>
      <c r="T1409" s="68" t="s">
        <v>165</v>
      </c>
      <c r="U1409" s="87"/>
      <c r="V1409" s="80">
        <v>44333</v>
      </c>
      <c r="W1409" s="73">
        <v>329</v>
      </c>
      <c r="X1409" s="73">
        <f>15912338/1000000</f>
        <v>15.912338</v>
      </c>
      <c r="Y1409" s="83">
        <f>IF(SUM(W1409:W1409)&gt;0,X1409/SUM(W1409:W1409)*1000000,"N/A")</f>
        <v>48365.768996960491</v>
      </c>
      <c r="Z1409" s="80"/>
      <c r="AA1409" s="80"/>
      <c r="AB1409" s="73"/>
      <c r="AC1409" s="153"/>
      <c r="AD1409" s="331"/>
      <c r="AE1409" s="57"/>
      <c r="AF1409" s="88"/>
      <c r="AG1409" s="182">
        <f>YEAR(D1409)</f>
        <v>2021</v>
      </c>
      <c r="AH1409" s="86" t="str">
        <f>+IF(AE1409=$AJ$22,MONTH(T1409),"")</f>
        <v/>
      </c>
      <c r="AI1409" s="86" t="str">
        <f>+IF(AF1409=$AJ$22,MONTH(U1409),"")</f>
        <v/>
      </c>
      <c r="AJ1409" s="86" t="str">
        <f>+IF(AG1409=$AJ$22,MONTH(V1409),"")</f>
        <v/>
      </c>
      <c r="AK1409" s="86" t="str">
        <f>+IF(AG1409=$AK$22,MONTH(V1409),"")</f>
        <v/>
      </c>
      <c r="AL1409" s="86" t="str">
        <f>+IF(AG1409=$AL$22,MONTH(V1409),"")</f>
        <v/>
      </c>
      <c r="AM1409" s="86">
        <f>+IF($AG1409=$AM$22,MONTH($D1409),"")</f>
        <v>5</v>
      </c>
      <c r="AN1409" s="89" t="str">
        <f>+IF($AG1409=AN$22,MONTH($D1409),"")</f>
        <v/>
      </c>
      <c r="AO1409" s="89" t="str">
        <f>+IF($AG1409=AO$22,MONTH($D1409),"")</f>
        <v/>
      </c>
      <c r="AP1409" s="89" t="str">
        <f>+IF($AG1409=AP$22,MONTH($D1409),"")</f>
        <v/>
      </c>
      <c r="AQ1409" s="89" t="str">
        <f>+IF($AG1409=AQ$22,MONTH($D1409),"")</f>
        <v/>
      </c>
      <c r="AR1409" s="89" t="str">
        <f>+IF($AG1409=AR$22,MONTH($D1409),"")</f>
        <v/>
      </c>
      <c r="AS1409" s="89" t="str">
        <f>+IF($AG1409=AS$22,MONTH($D1409),"")</f>
        <v/>
      </c>
      <c r="AT1409" s="89" t="str">
        <f>+IF($AG1409=AT$22,MONTH($D1409),"")</f>
        <v/>
      </c>
      <c r="AU1409" s="89" t="str">
        <f>+IF($AG1409=AU$22,MONTH($D1409),"")</f>
        <v/>
      </c>
      <c r="AV1409" s="89" t="str">
        <f>+IF($AG1409=AV$22,MONTH($D1409),"")</f>
        <v/>
      </c>
      <c r="AW1409" s="86" t="str">
        <f>+IF($AG1409=AW$22,MONTH($D1409),"")</f>
        <v/>
      </c>
      <c r="AX1409" s="86" t="str">
        <f>+IF($AG1409=AX$22,MONTH($D1409),"")</f>
        <v/>
      </c>
      <c r="AY1409" s="89"/>
      <c r="AZ1409" s="89"/>
      <c r="BA1409" s="89"/>
      <c r="BB1409" s="89"/>
      <c r="BC1409" s="89"/>
      <c r="BD1409" s="89"/>
      <c r="BE1409" s="89"/>
      <c r="BF1409" s="89"/>
      <c r="BG1409" s="89"/>
      <c r="BH1409" s="89"/>
      <c r="BI1409" s="89"/>
      <c r="BJ1409" s="89"/>
      <c r="BK1409" s="89"/>
      <c r="BL1409" s="89"/>
      <c r="BM1409" s="89"/>
      <c r="BN1409" s="89"/>
      <c r="BO1409" s="89"/>
      <c r="BP1409" s="89"/>
    </row>
    <row r="1410" spans="1:68" s="56" customFormat="1" ht="13.5" hidden="1">
      <c r="A1410" s="204">
        <f>+IFERROR(VALUE(MID(AB1410,4,4)),"")</f>
        <v>271</v>
      </c>
      <c r="B1410" s="204">
        <f>VALUE(RIGHT(C1410,LEN(C1410)-2))</f>
        <v>1314</v>
      </c>
      <c r="C1410" s="74" t="s">
        <v>5306</v>
      </c>
      <c r="D1410" s="75">
        <v>44326</v>
      </c>
      <c r="E1410" s="70" t="s">
        <v>277</v>
      </c>
      <c r="F1410" s="70" t="s">
        <v>277</v>
      </c>
      <c r="G1410" s="68"/>
      <c r="H1410" s="59"/>
      <c r="I1410" s="69" t="s">
        <v>1999</v>
      </c>
      <c r="J1410" s="69"/>
      <c r="K1410" s="68" t="s">
        <v>212</v>
      </c>
      <c r="L1410" s="69" t="s">
        <v>120</v>
      </c>
      <c r="M1410" s="71" t="s">
        <v>141</v>
      </c>
      <c r="N1410" s="69" t="e" vm="1">
        <v>#VALUE!</v>
      </c>
      <c r="O1410" s="84"/>
      <c r="P1410" s="72" t="s">
        <v>402</v>
      </c>
      <c r="Q1410" s="72" t="s">
        <v>623</v>
      </c>
      <c r="R1410" s="162"/>
      <c r="S1410" s="146"/>
      <c r="T1410" s="68" t="s">
        <v>3</v>
      </c>
      <c r="U1410" s="87"/>
      <c r="V1410" s="80">
        <v>44347</v>
      </c>
      <c r="W1410" s="73">
        <v>1000</v>
      </c>
      <c r="X1410" s="73">
        <v>42</v>
      </c>
      <c r="Y1410" s="83">
        <f>IF(SUM(W1410:W1410)&gt;0,X1410/SUM(W1410:W1410)*1000000,"N/A")</f>
        <v>42000</v>
      </c>
      <c r="Z1410" s="80"/>
      <c r="AA1410" s="80"/>
      <c r="AB1410" s="73" t="s">
        <v>2000</v>
      </c>
      <c r="AC1410" s="153"/>
      <c r="AD1410" s="331"/>
      <c r="AE1410" s="57"/>
      <c r="AF1410" s="88"/>
      <c r="AG1410" s="182">
        <f>YEAR(D1410)</f>
        <v>2021</v>
      </c>
      <c r="AH1410" s="86" t="str">
        <f>+IF(AE1410=$AJ$22,MONTH(T1410),"")</f>
        <v/>
      </c>
      <c r="AI1410" s="86" t="str">
        <f>+IF(AF1410=$AJ$22,MONTH(U1410),"")</f>
        <v/>
      </c>
      <c r="AJ1410" s="86" t="str">
        <f>+IF(AG1410=$AJ$22,MONTH(V1410),"")</f>
        <v/>
      </c>
      <c r="AK1410" s="86" t="str">
        <f>+IF(AG1410=$AK$22,MONTH(V1410),"")</f>
        <v/>
      </c>
      <c r="AL1410" s="86" t="str">
        <f>+IF(AG1410=$AL$22,MONTH(V1410),"")</f>
        <v/>
      </c>
      <c r="AM1410" s="86">
        <f>+IF($AG1410=$AM$22,MONTH($D1410),"")</f>
        <v>5</v>
      </c>
      <c r="AN1410" s="89" t="str">
        <f>+IF($AG1410=AN$22,MONTH($D1410),"")</f>
        <v/>
      </c>
      <c r="AO1410" s="89" t="str">
        <f>+IF($AG1410=AO$22,MONTH($D1410),"")</f>
        <v/>
      </c>
      <c r="AP1410" s="89" t="str">
        <f>+IF($AG1410=AP$22,MONTH($D1410),"")</f>
        <v/>
      </c>
      <c r="AQ1410" s="89" t="str">
        <f>+IF($AG1410=AQ$22,MONTH($D1410),"")</f>
        <v/>
      </c>
      <c r="AR1410" s="89" t="str">
        <f>+IF($AG1410=AR$22,MONTH($D1410),"")</f>
        <v/>
      </c>
      <c r="AS1410" s="89" t="str">
        <f>+IF($AG1410=AS$22,MONTH($D1410),"")</f>
        <v/>
      </c>
      <c r="AT1410" s="89" t="str">
        <f>+IF($AG1410=AT$22,MONTH($D1410),"")</f>
        <v/>
      </c>
      <c r="AU1410" s="89" t="str">
        <f>+IF($AG1410=AU$22,MONTH($D1410),"")</f>
        <v/>
      </c>
      <c r="AV1410" s="89" t="str">
        <f>+IF($AG1410=AV$22,MONTH($D1410),"")</f>
        <v/>
      </c>
      <c r="AW1410" s="86" t="str">
        <f>+IF($AG1410=AW$22,MONTH($D1410),"")</f>
        <v/>
      </c>
      <c r="AX1410" s="86" t="str">
        <f>+IF($AG1410=AX$22,MONTH($D1410),"")</f>
        <v/>
      </c>
      <c r="AY1410" s="182"/>
      <c r="AZ1410" s="182"/>
      <c r="BA1410" s="182"/>
      <c r="BB1410" s="182"/>
      <c r="BC1410" s="182"/>
      <c r="BD1410" s="182"/>
      <c r="BE1410" s="182"/>
      <c r="BF1410" s="182"/>
      <c r="BG1410" s="182"/>
      <c r="BH1410" s="182"/>
      <c r="BI1410" s="182"/>
      <c r="BJ1410" s="89"/>
      <c r="BK1410" s="89"/>
      <c r="BL1410" s="89"/>
      <c r="BM1410" s="89"/>
      <c r="BN1410" s="89"/>
      <c r="BO1410" s="89"/>
      <c r="BP1410" s="89"/>
    </row>
    <row r="1411" spans="1:68" s="56" customFormat="1" ht="13.5" hidden="1">
      <c r="A1411" s="204" t="str">
        <f>+IFERROR(VALUE(MID(AB1411,4,4)),"")</f>
        <v/>
      </c>
      <c r="B1411" s="204">
        <f>VALUE(RIGHT(C1411,LEN(C1411)-2))</f>
        <v>1313</v>
      </c>
      <c r="C1411" s="74" t="s">
        <v>5307</v>
      </c>
      <c r="D1411" s="75">
        <v>44323</v>
      </c>
      <c r="E1411" s="70" t="s">
        <v>479</v>
      </c>
      <c r="F1411" s="70" t="s">
        <v>479</v>
      </c>
      <c r="G1411" s="68"/>
      <c r="H1411" s="59"/>
      <c r="I1411" s="69" t="s">
        <v>5308</v>
      </c>
      <c r="J1411" s="69"/>
      <c r="K1411" s="68" t="s">
        <v>13</v>
      </c>
      <c r="L1411" s="69" t="s">
        <v>120</v>
      </c>
      <c r="M1411" s="71" t="s">
        <v>113</v>
      </c>
      <c r="N1411" s="69" t="e" vm="2">
        <v>#VALUE!</v>
      </c>
      <c r="O1411" s="84"/>
      <c r="P1411" s="72" t="s">
        <v>402</v>
      </c>
      <c r="Q1411" s="72" t="s">
        <v>1097</v>
      </c>
      <c r="R1411" s="162"/>
      <c r="S1411" s="146"/>
      <c r="T1411" s="68" t="s">
        <v>165</v>
      </c>
      <c r="U1411" s="87"/>
      <c r="V1411" s="80">
        <v>44323</v>
      </c>
      <c r="W1411" s="73">
        <v>31</v>
      </c>
      <c r="X1411" s="73">
        <v>1</v>
      </c>
      <c r="Y1411" s="83">
        <f>IF(SUM(W1411:W1411)&gt;0,X1411/SUM(W1411:W1411)*1000000,"N/A")</f>
        <v>32258.06451612903</v>
      </c>
      <c r="Z1411" s="80"/>
      <c r="AA1411" s="80"/>
      <c r="AB1411" s="73"/>
      <c r="AC1411" s="153"/>
      <c r="AD1411" s="331"/>
      <c r="AE1411" s="57"/>
      <c r="AF1411" s="88"/>
      <c r="AG1411" s="182">
        <f>YEAR(D1411)</f>
        <v>2021</v>
      </c>
      <c r="AH1411" s="86" t="str">
        <f>+IF(AE1411=$AJ$22,MONTH(T1411),"")</f>
        <v/>
      </c>
      <c r="AI1411" s="86" t="str">
        <f>+IF(AF1411=$AJ$22,MONTH(U1411),"")</f>
        <v/>
      </c>
      <c r="AJ1411" s="86" t="str">
        <f>+IF(AG1411=$AJ$22,MONTH(V1411),"")</f>
        <v/>
      </c>
      <c r="AK1411" s="86" t="str">
        <f>+IF(AG1411=$AK$22,MONTH(V1411),"")</f>
        <v/>
      </c>
      <c r="AL1411" s="86" t="str">
        <f>+IF(AG1411=$AL$22,MONTH(V1411),"")</f>
        <v/>
      </c>
      <c r="AM1411" s="86">
        <f>+IF($AG1411=$AM$22,MONTH($D1411),"")</f>
        <v>5</v>
      </c>
      <c r="AN1411" s="89" t="str">
        <f>+IF($AG1411=AN$22,MONTH($D1411),"")</f>
        <v/>
      </c>
      <c r="AO1411" s="89" t="str">
        <f>+IF($AG1411=AO$22,MONTH($D1411),"")</f>
        <v/>
      </c>
      <c r="AP1411" s="89" t="str">
        <f>+IF($AG1411=AP$22,MONTH($D1411),"")</f>
        <v/>
      </c>
      <c r="AQ1411" s="89" t="str">
        <f>+IF($AG1411=AQ$22,MONTH($D1411),"")</f>
        <v/>
      </c>
      <c r="AR1411" s="89" t="str">
        <f>+IF($AG1411=AR$22,MONTH($D1411),"")</f>
        <v/>
      </c>
      <c r="AS1411" s="89" t="str">
        <f>+IF($AG1411=AS$22,MONTH($D1411),"")</f>
        <v/>
      </c>
      <c r="AT1411" s="89" t="str">
        <f>+IF($AG1411=AT$22,MONTH($D1411),"")</f>
        <v/>
      </c>
      <c r="AU1411" s="89" t="str">
        <f>+IF($AG1411=AU$22,MONTH($D1411),"")</f>
        <v/>
      </c>
      <c r="AV1411" s="89" t="str">
        <f>+IF($AG1411=AV$22,MONTH($D1411),"")</f>
        <v/>
      </c>
      <c r="AW1411" s="86" t="str">
        <f>+IF($AG1411=AW$22,MONTH($D1411),"")</f>
        <v/>
      </c>
      <c r="AX1411" s="86" t="str">
        <f>+IF($AG1411=AX$22,MONTH($D1411),"")</f>
        <v/>
      </c>
      <c r="AY1411" s="89"/>
      <c r="AZ1411" s="89"/>
      <c r="BA1411" s="89"/>
      <c r="BB1411" s="89"/>
      <c r="BC1411" s="89"/>
      <c r="BD1411" s="89"/>
      <c r="BE1411" s="89"/>
      <c r="BF1411" s="89"/>
      <c r="BG1411" s="89"/>
      <c r="BH1411" s="89"/>
      <c r="BI1411" s="89"/>
      <c r="BJ1411" s="89"/>
      <c r="BK1411" s="89"/>
      <c r="BL1411" s="89"/>
      <c r="BM1411" s="89"/>
      <c r="BN1411" s="89"/>
      <c r="BO1411" s="89"/>
      <c r="BP1411" s="89"/>
    </row>
    <row r="1412" spans="1:68" s="56" customFormat="1" ht="27" hidden="1">
      <c r="A1412" s="204" t="str">
        <f>+IFERROR(VALUE(MID(AB1412,4,4)),"")</f>
        <v/>
      </c>
      <c r="B1412" s="204">
        <f>VALUE(RIGHT(C1412,LEN(C1412)-2))</f>
        <v>1312</v>
      </c>
      <c r="C1412" s="74" t="s">
        <v>5309</v>
      </c>
      <c r="D1412" s="75">
        <v>44322</v>
      </c>
      <c r="E1412" s="70" t="s">
        <v>394</v>
      </c>
      <c r="F1412" s="70" t="s">
        <v>2269</v>
      </c>
      <c r="G1412" s="68" t="s">
        <v>2270</v>
      </c>
      <c r="H1412" s="59"/>
      <c r="I1412" s="69" t="s">
        <v>5310</v>
      </c>
      <c r="J1412" s="69"/>
      <c r="K1412" s="68" t="s">
        <v>13</v>
      </c>
      <c r="L1412" s="69" t="s">
        <v>120</v>
      </c>
      <c r="M1412" s="71" t="s">
        <v>141</v>
      </c>
      <c r="N1412" s="69" t="e" vm="1">
        <v>#VALUE!</v>
      </c>
      <c r="O1412" s="84"/>
      <c r="P1412" s="72" t="s">
        <v>402</v>
      </c>
      <c r="Q1412" s="72" t="s">
        <v>1097</v>
      </c>
      <c r="R1412" s="162"/>
      <c r="S1412" s="146"/>
      <c r="T1412" s="68" t="s">
        <v>165</v>
      </c>
      <c r="U1412" s="87"/>
      <c r="V1412" s="80">
        <v>44328</v>
      </c>
      <c r="W1412" s="73">
        <v>244</v>
      </c>
      <c r="X1412" s="73">
        <f>9906398/1000000</f>
        <v>9.9063979999999994</v>
      </c>
      <c r="Y1412" s="83">
        <f>IF(SUM(W1412:W1412)&gt;0,X1412/SUM(W1412:W1412)*1000000,"N/A")</f>
        <v>40599.991803278688</v>
      </c>
      <c r="Z1412" s="80"/>
      <c r="AA1412" s="80"/>
      <c r="AB1412" s="73"/>
      <c r="AC1412" s="153"/>
      <c r="AD1412" s="331"/>
      <c r="AE1412" s="57"/>
      <c r="AF1412" s="88"/>
      <c r="AG1412" s="182">
        <f>YEAR(D1412)</f>
        <v>2021</v>
      </c>
      <c r="AH1412" s="86" t="str">
        <f>+IF(AE1412=$AJ$22,MONTH(T1412),"")</f>
        <v/>
      </c>
      <c r="AI1412" s="86" t="str">
        <f>+IF(AF1412=$AJ$22,MONTH(U1412),"")</f>
        <v/>
      </c>
      <c r="AJ1412" s="86" t="str">
        <f>+IF(AG1412=$AJ$22,MONTH(V1412),"")</f>
        <v/>
      </c>
      <c r="AK1412" s="86" t="str">
        <f>+IF(AG1412=$AK$22,MONTH(V1412),"")</f>
        <v/>
      </c>
      <c r="AL1412" s="86" t="str">
        <f>+IF(AG1412=$AL$22,MONTH(V1412),"")</f>
        <v/>
      </c>
      <c r="AM1412" s="86">
        <f>+IF($AG1412=$AM$22,MONTH($D1412),"")</f>
        <v>5</v>
      </c>
      <c r="AN1412" s="89" t="str">
        <f>+IF($AG1412=AN$22,MONTH($D1412),"")</f>
        <v/>
      </c>
      <c r="AO1412" s="89" t="str">
        <f>+IF($AG1412=AO$22,MONTH($D1412),"")</f>
        <v/>
      </c>
      <c r="AP1412" s="89" t="str">
        <f>+IF($AG1412=AP$22,MONTH($D1412),"")</f>
        <v/>
      </c>
      <c r="AQ1412" s="89" t="str">
        <f>+IF($AG1412=AQ$22,MONTH($D1412),"")</f>
        <v/>
      </c>
      <c r="AR1412" s="89" t="str">
        <f>+IF($AG1412=AR$22,MONTH($D1412),"")</f>
        <v/>
      </c>
      <c r="AS1412" s="89" t="str">
        <f>+IF($AG1412=AS$22,MONTH($D1412),"")</f>
        <v/>
      </c>
      <c r="AT1412" s="89" t="str">
        <f>+IF($AG1412=AT$22,MONTH($D1412),"")</f>
        <v/>
      </c>
      <c r="AU1412" s="89" t="str">
        <f>+IF($AG1412=AU$22,MONTH($D1412),"")</f>
        <v/>
      </c>
      <c r="AV1412" s="89" t="str">
        <f>+IF($AG1412=AV$22,MONTH($D1412),"")</f>
        <v/>
      </c>
      <c r="AW1412" s="86" t="str">
        <f>+IF($AG1412=AW$22,MONTH($D1412),"")</f>
        <v/>
      </c>
      <c r="AX1412" s="86" t="str">
        <f>+IF($AG1412=AX$22,MONTH($D1412),"")</f>
        <v/>
      </c>
      <c r="AY1412" s="89"/>
      <c r="AZ1412" s="89"/>
      <c r="BA1412" s="89"/>
      <c r="BB1412" s="89"/>
      <c r="BC1412" s="89"/>
      <c r="BD1412" s="89"/>
      <c r="BE1412" s="89"/>
      <c r="BF1412" s="89"/>
      <c r="BG1412" s="89"/>
      <c r="BH1412" s="89"/>
      <c r="BI1412" s="89"/>
      <c r="BJ1412" s="89"/>
      <c r="BK1412" s="89"/>
      <c r="BL1412" s="89"/>
      <c r="BM1412" s="89"/>
      <c r="BN1412" s="89"/>
      <c r="BO1412" s="89"/>
      <c r="BP1412" s="89"/>
    </row>
    <row r="1413" spans="1:68" s="56" customFormat="1" ht="94.5" hidden="1">
      <c r="A1413" s="204" t="str">
        <f>+IFERROR(VALUE(MID(AB1413,4,4)),"")</f>
        <v/>
      </c>
      <c r="B1413" s="204">
        <f>VALUE(RIGHT(C1413,LEN(C1413)-2))</f>
        <v>1311</v>
      </c>
      <c r="C1413" s="74" t="s">
        <v>5311</v>
      </c>
      <c r="D1413" s="75">
        <v>44322</v>
      </c>
      <c r="E1413" s="70" t="s">
        <v>5293</v>
      </c>
      <c r="F1413" s="70" t="s">
        <v>53</v>
      </c>
      <c r="G1413" s="68" t="s">
        <v>5294</v>
      </c>
      <c r="H1413" s="59" t="s">
        <v>5298</v>
      </c>
      <c r="I1413" s="69" t="s">
        <v>5312</v>
      </c>
      <c r="J1413" s="69"/>
      <c r="K1413" s="68" t="s">
        <v>9</v>
      </c>
      <c r="L1413" s="69" t="s">
        <v>120</v>
      </c>
      <c r="M1413" s="71" t="s">
        <v>141</v>
      </c>
      <c r="N1413" s="69" t="e" vm="1">
        <v>#VALUE!</v>
      </c>
      <c r="O1413" s="84"/>
      <c r="P1413" s="72" t="s">
        <v>228</v>
      </c>
      <c r="Q1413" s="72" t="s">
        <v>316</v>
      </c>
      <c r="R1413" s="162"/>
      <c r="S1413" s="146" t="s">
        <v>5313</v>
      </c>
      <c r="T1413" s="68" t="s">
        <v>165</v>
      </c>
      <c r="U1413" s="87"/>
      <c r="V1413" s="80">
        <v>44330</v>
      </c>
      <c r="W1413" s="73">
        <v>2561</v>
      </c>
      <c r="X1413" s="73">
        <f>111244700/1000000</f>
        <v>111.24469999999999</v>
      </c>
      <c r="Y1413" s="83">
        <f>IF(SUM(W1413:W1413)&gt;0,X1413/SUM(W1413:W1413)*1000000,"N/A")</f>
        <v>43437.992971495514</v>
      </c>
      <c r="Z1413" s="80"/>
      <c r="AA1413" s="80"/>
      <c r="AB1413" s="73"/>
      <c r="AC1413" s="153"/>
      <c r="AD1413" s="331"/>
      <c r="AE1413" s="57"/>
      <c r="AF1413" s="88"/>
      <c r="AG1413" s="182">
        <f>YEAR(D1413)</f>
        <v>2021</v>
      </c>
      <c r="AH1413" s="86" t="str">
        <f>+IF(AE1413=$AJ$22,MONTH(T1413),"")</f>
        <v/>
      </c>
      <c r="AI1413" s="86" t="str">
        <f>+IF(AF1413=$AJ$22,MONTH(U1413),"")</f>
        <v/>
      </c>
      <c r="AJ1413" s="86" t="str">
        <f>+IF(AG1413=$AJ$22,MONTH(V1413),"")</f>
        <v/>
      </c>
      <c r="AK1413" s="86" t="str">
        <f>+IF(AG1413=$AK$22,MONTH(V1413),"")</f>
        <v/>
      </c>
      <c r="AL1413" s="86" t="str">
        <f>+IF(AG1413=$AL$22,MONTH(V1413),"")</f>
        <v/>
      </c>
      <c r="AM1413" s="86">
        <f>+IF($AG1413=$AM$22,MONTH($D1413),"")</f>
        <v>5</v>
      </c>
      <c r="AN1413" s="89" t="str">
        <f>+IF($AG1413=AN$22,MONTH($D1413),"")</f>
        <v/>
      </c>
      <c r="AO1413" s="89" t="str">
        <f>+IF($AG1413=AO$22,MONTH($D1413),"")</f>
        <v/>
      </c>
      <c r="AP1413" s="89" t="str">
        <f>+IF($AG1413=AP$22,MONTH($D1413),"")</f>
        <v/>
      </c>
      <c r="AQ1413" s="89" t="str">
        <f>+IF($AG1413=AQ$22,MONTH($D1413),"")</f>
        <v/>
      </c>
      <c r="AR1413" s="89" t="str">
        <f>+IF($AG1413=AR$22,MONTH($D1413),"")</f>
        <v/>
      </c>
      <c r="AS1413" s="89" t="str">
        <f>+IF($AG1413=AS$22,MONTH($D1413),"")</f>
        <v/>
      </c>
      <c r="AT1413" s="89" t="str">
        <f>+IF($AG1413=AT$22,MONTH($D1413),"")</f>
        <v/>
      </c>
      <c r="AU1413" s="89" t="str">
        <f>+IF($AG1413=AU$22,MONTH($D1413),"")</f>
        <v/>
      </c>
      <c r="AV1413" s="89" t="str">
        <f>+IF($AG1413=AV$22,MONTH($D1413),"")</f>
        <v/>
      </c>
      <c r="AW1413" s="86" t="str">
        <f>+IF($AG1413=AW$22,MONTH($D1413),"")</f>
        <v/>
      </c>
      <c r="AX1413" s="86" t="str">
        <f>+IF($AG1413=AX$22,MONTH($D1413),"")</f>
        <v/>
      </c>
      <c r="AY1413" s="89"/>
      <c r="AZ1413" s="89"/>
      <c r="BA1413" s="89"/>
      <c r="BB1413" s="89"/>
      <c r="BC1413" s="89"/>
      <c r="BD1413" s="89"/>
      <c r="BE1413" s="89"/>
      <c r="BF1413" s="89"/>
      <c r="BG1413" s="89"/>
      <c r="BH1413" s="89"/>
      <c r="BI1413" s="89"/>
      <c r="BJ1413" s="89"/>
      <c r="BK1413" s="89"/>
      <c r="BL1413" s="89"/>
      <c r="BM1413" s="89"/>
      <c r="BN1413" s="89"/>
      <c r="BO1413" s="89"/>
      <c r="BP1413" s="89"/>
    </row>
    <row r="1414" spans="1:68" s="56" customFormat="1" ht="161.25" hidden="1">
      <c r="A1414" s="204" t="str">
        <f>+IFERROR(VALUE(MID(AB1414,4,4)),"")</f>
        <v/>
      </c>
      <c r="B1414" s="204">
        <f>VALUE(RIGHT(C1414,LEN(C1414)-2))</f>
        <v>1310</v>
      </c>
      <c r="C1414" s="74" t="s">
        <v>5314</v>
      </c>
      <c r="D1414" s="75">
        <v>44322</v>
      </c>
      <c r="E1414" s="70" t="s">
        <v>53</v>
      </c>
      <c r="F1414" s="70" t="s">
        <v>252</v>
      </c>
      <c r="G1414" s="68"/>
      <c r="H1414" s="59"/>
      <c r="I1414" s="69" t="s">
        <v>5315</v>
      </c>
      <c r="J1414" s="69"/>
      <c r="K1414" s="68" t="s">
        <v>212</v>
      </c>
      <c r="L1414" s="69" t="s">
        <v>123</v>
      </c>
      <c r="M1414" s="71" t="s">
        <v>141</v>
      </c>
      <c r="N1414" s="69" t="e" vm="1">
        <v>#VALUE!</v>
      </c>
      <c r="O1414" s="84"/>
      <c r="P1414" s="72" t="s">
        <v>402</v>
      </c>
      <c r="Q1414" s="72" t="s">
        <v>316</v>
      </c>
      <c r="R1414" s="162"/>
      <c r="S1414" s="146" t="s">
        <v>5316</v>
      </c>
      <c r="T1414" s="68" t="s">
        <v>165</v>
      </c>
      <c r="U1414" s="87">
        <v>0</v>
      </c>
      <c r="V1414" s="80">
        <v>44509</v>
      </c>
      <c r="W1414" s="73">
        <f>300615/36*5*0.3</f>
        <v>12525.624999999998</v>
      </c>
      <c r="X1414" s="73">
        <f>9900/36*5*0.3</f>
        <v>412.5</v>
      </c>
      <c r="Y1414" s="83">
        <f>IF(SUM(W1414:W1414)&gt;0,X1414/SUM(W1414:W1414)*1000000,"N/A")</f>
        <v>32932.488398782501</v>
      </c>
      <c r="Z1414" s="80"/>
      <c r="AA1414" s="80"/>
      <c r="AB1414" s="73"/>
      <c r="AC1414" s="153"/>
      <c r="AD1414" s="331"/>
      <c r="AE1414" s="57"/>
      <c r="AF1414" s="88"/>
      <c r="AG1414" s="182">
        <f>YEAR(D1414)</f>
        <v>2021</v>
      </c>
      <c r="AH1414" s="86" t="str">
        <f>+IF(AE1414=$AJ$22,MONTH(T1414),"")</f>
        <v/>
      </c>
      <c r="AI1414" s="86" t="str">
        <f>+IF(AF1414=$AJ$22,MONTH(U1414),"")</f>
        <v/>
      </c>
      <c r="AJ1414" s="86" t="str">
        <f>+IF(AG1414=$AJ$22,MONTH(V1414),"")</f>
        <v/>
      </c>
      <c r="AK1414" s="86" t="str">
        <f>+IF(AG1414=$AK$22,MONTH(V1414),"")</f>
        <v/>
      </c>
      <c r="AL1414" s="86" t="str">
        <f>+IF(AG1414=$AL$22,MONTH(V1414),"")</f>
        <v/>
      </c>
      <c r="AM1414" s="86">
        <f>+IF($AG1414=$AM$22,MONTH($D1414),"")</f>
        <v>5</v>
      </c>
      <c r="AN1414" s="89" t="str">
        <f>+IF($AG1414=AN$22,MONTH($D1414),"")</f>
        <v/>
      </c>
      <c r="AO1414" s="89" t="str">
        <f>+IF($AG1414=AO$22,MONTH($D1414),"")</f>
        <v/>
      </c>
      <c r="AP1414" s="89" t="str">
        <f>+IF($AG1414=AP$22,MONTH($D1414),"")</f>
        <v/>
      </c>
      <c r="AQ1414" s="89" t="str">
        <f>+IF($AG1414=AQ$22,MONTH($D1414),"")</f>
        <v/>
      </c>
      <c r="AR1414" s="89" t="str">
        <f>+IF($AG1414=AR$22,MONTH($D1414),"")</f>
        <v/>
      </c>
      <c r="AS1414" s="89" t="str">
        <f>+IF($AG1414=AS$22,MONTH($D1414),"")</f>
        <v/>
      </c>
      <c r="AT1414" s="89" t="str">
        <f>+IF($AG1414=AT$22,MONTH($D1414),"")</f>
        <v/>
      </c>
      <c r="AU1414" s="89" t="str">
        <f>+IF($AG1414=AU$22,MONTH($D1414),"")</f>
        <v/>
      </c>
      <c r="AV1414" s="89" t="str">
        <f>+IF($AG1414=AV$22,MONTH($D1414),"")</f>
        <v/>
      </c>
      <c r="AW1414" s="86" t="str">
        <f>+IF($AG1414=AW$22,MONTH($D1414),"")</f>
        <v/>
      </c>
      <c r="AX1414" s="86" t="str">
        <f>+IF($AG1414=AX$22,MONTH($D1414),"")</f>
        <v/>
      </c>
      <c r="AY1414" s="89"/>
      <c r="AZ1414" s="89"/>
      <c r="BA1414" s="89"/>
      <c r="BB1414" s="89"/>
      <c r="BC1414" s="89"/>
      <c r="BD1414" s="89"/>
      <c r="BE1414" s="89"/>
      <c r="BF1414" s="89"/>
      <c r="BG1414" s="89"/>
      <c r="BH1414" s="89"/>
      <c r="BI1414" s="89"/>
      <c r="BJ1414" s="89"/>
      <c r="BK1414" s="89"/>
      <c r="BL1414" s="89"/>
      <c r="BM1414" s="89"/>
      <c r="BN1414" s="89"/>
      <c r="BO1414" s="89"/>
      <c r="BP1414" s="89"/>
    </row>
    <row r="1415" spans="1:68" s="56" customFormat="1" ht="94.5" hidden="1">
      <c r="A1415" s="204" t="str">
        <f>+IFERROR(VALUE(MID(AB1415,4,4)),"")</f>
        <v/>
      </c>
      <c r="B1415" s="204">
        <f>VALUE(RIGHT(C1415,LEN(C1415)-2))</f>
        <v>1309</v>
      </c>
      <c r="C1415" s="74" t="s">
        <v>5317</v>
      </c>
      <c r="D1415" s="75">
        <v>44321</v>
      </c>
      <c r="E1415" s="70" t="s">
        <v>5293</v>
      </c>
      <c r="F1415" s="70" t="s">
        <v>53</v>
      </c>
      <c r="G1415" s="68" t="s">
        <v>5294</v>
      </c>
      <c r="H1415" s="59" t="s">
        <v>5298</v>
      </c>
      <c r="I1415" s="69" t="s">
        <v>5318</v>
      </c>
      <c r="J1415" s="69"/>
      <c r="K1415" s="68" t="s">
        <v>9</v>
      </c>
      <c r="L1415" s="69" t="s">
        <v>120</v>
      </c>
      <c r="M1415" s="71" t="s">
        <v>141</v>
      </c>
      <c r="N1415" s="69" t="e" vm="1">
        <v>#VALUE!</v>
      </c>
      <c r="O1415" s="84"/>
      <c r="P1415" s="72" t="s">
        <v>228</v>
      </c>
      <c r="Q1415" s="72" t="s">
        <v>316</v>
      </c>
      <c r="R1415" s="162"/>
      <c r="S1415" s="146" t="s">
        <v>5313</v>
      </c>
      <c r="T1415" s="68" t="s">
        <v>165</v>
      </c>
      <c r="U1415" s="87"/>
      <c r="V1415" s="80">
        <v>44334</v>
      </c>
      <c r="W1415" s="73">
        <v>1831</v>
      </c>
      <c r="X1415" s="73">
        <f>86352600/1000000</f>
        <v>86.352599999999995</v>
      </c>
      <c r="Y1415" s="83">
        <f>IF(SUM(W1415:W1415)&gt;0,X1415/SUM(W1415:W1415)*1000000,"N/A")</f>
        <v>47161.441835062804</v>
      </c>
      <c r="Z1415" s="80"/>
      <c r="AA1415" s="80"/>
      <c r="AB1415" s="73"/>
      <c r="AC1415" s="153"/>
      <c r="AD1415" s="331"/>
      <c r="AE1415" s="57"/>
      <c r="AF1415" s="88"/>
      <c r="AG1415" s="182">
        <f>YEAR(D1415)</f>
        <v>2021</v>
      </c>
      <c r="AH1415" s="86" t="str">
        <f>+IF(AE1415=$AJ$22,MONTH(T1415),"")</f>
        <v/>
      </c>
      <c r="AI1415" s="86" t="str">
        <f>+IF(AF1415=$AJ$22,MONTH(U1415),"")</f>
        <v/>
      </c>
      <c r="AJ1415" s="86" t="str">
        <f>+IF(AG1415=$AJ$22,MONTH(V1415),"")</f>
        <v/>
      </c>
      <c r="AK1415" s="86" t="str">
        <f>+IF(AG1415=$AK$22,MONTH(V1415),"")</f>
        <v/>
      </c>
      <c r="AL1415" s="86" t="str">
        <f>+IF(AG1415=$AL$22,MONTH(V1415),"")</f>
        <v/>
      </c>
      <c r="AM1415" s="86">
        <f>+IF($AG1415=$AM$22,MONTH($D1415),"")</f>
        <v>5</v>
      </c>
      <c r="AN1415" s="89" t="str">
        <f>+IF($AG1415=AN$22,MONTH($D1415),"")</f>
        <v/>
      </c>
      <c r="AO1415" s="89" t="str">
        <f>+IF($AG1415=AO$22,MONTH($D1415),"")</f>
        <v/>
      </c>
      <c r="AP1415" s="89" t="str">
        <f>+IF($AG1415=AP$22,MONTH($D1415),"")</f>
        <v/>
      </c>
      <c r="AQ1415" s="89" t="str">
        <f>+IF($AG1415=AQ$22,MONTH($D1415),"")</f>
        <v/>
      </c>
      <c r="AR1415" s="89" t="str">
        <f>+IF($AG1415=AR$22,MONTH($D1415),"")</f>
        <v/>
      </c>
      <c r="AS1415" s="89" t="str">
        <f>+IF($AG1415=AS$22,MONTH($D1415),"")</f>
        <v/>
      </c>
      <c r="AT1415" s="89" t="str">
        <f>+IF($AG1415=AT$22,MONTH($D1415),"")</f>
        <v/>
      </c>
      <c r="AU1415" s="89" t="str">
        <f>+IF($AG1415=AU$22,MONTH($D1415),"")</f>
        <v/>
      </c>
      <c r="AV1415" s="89" t="str">
        <f>+IF($AG1415=AV$22,MONTH($D1415),"")</f>
        <v/>
      </c>
      <c r="AW1415" s="86" t="str">
        <f>+IF($AG1415=AW$22,MONTH($D1415),"")</f>
        <v/>
      </c>
      <c r="AX1415" s="86" t="str">
        <f>+IF($AG1415=AX$22,MONTH($D1415),"")</f>
        <v/>
      </c>
      <c r="AY1415" s="89"/>
      <c r="AZ1415" s="89"/>
      <c r="BA1415" s="89"/>
      <c r="BB1415" s="89"/>
      <c r="BC1415" s="89"/>
      <c r="BD1415" s="89"/>
      <c r="BE1415" s="89"/>
      <c r="BF1415" s="89"/>
      <c r="BG1415" s="89"/>
      <c r="BH1415" s="89"/>
      <c r="BI1415" s="89"/>
      <c r="BJ1415" s="89"/>
      <c r="BK1415" s="89"/>
      <c r="BL1415" s="89"/>
      <c r="BM1415" s="89"/>
      <c r="BN1415" s="89"/>
      <c r="BO1415" s="89"/>
      <c r="BP1415" s="89"/>
    </row>
    <row r="1416" spans="1:68" s="56" customFormat="1" ht="13.5" hidden="1">
      <c r="A1416" s="204" t="str">
        <f>+IFERROR(VALUE(MID(AB1416,4,4)),"")</f>
        <v/>
      </c>
      <c r="B1416" s="204">
        <f>VALUE(RIGHT(C1416,LEN(C1416)-2))</f>
        <v>1308</v>
      </c>
      <c r="C1416" s="74" t="s">
        <v>5319</v>
      </c>
      <c r="D1416" s="75">
        <v>44320</v>
      </c>
      <c r="E1416" s="70" t="s">
        <v>4664</v>
      </c>
      <c r="F1416" s="70" t="s">
        <v>4664</v>
      </c>
      <c r="G1416" s="68"/>
      <c r="H1416" s="59"/>
      <c r="I1416" s="69" t="s">
        <v>5320</v>
      </c>
      <c r="J1416" s="69"/>
      <c r="K1416" s="68" t="s">
        <v>13</v>
      </c>
      <c r="L1416" s="69" t="s">
        <v>120</v>
      </c>
      <c r="M1416" s="71" t="s">
        <v>141</v>
      </c>
      <c r="N1416" s="69" t="e" vm="1">
        <v>#VALUE!</v>
      </c>
      <c r="O1416" s="84"/>
      <c r="P1416" s="72" t="s">
        <v>402</v>
      </c>
      <c r="Q1416" s="72" t="s">
        <v>229</v>
      </c>
      <c r="R1416" s="162"/>
      <c r="S1416" s="146"/>
      <c r="T1416" s="68" t="s">
        <v>165</v>
      </c>
      <c r="U1416" s="87"/>
      <c r="V1416" s="80">
        <v>44320</v>
      </c>
      <c r="W1416" s="73">
        <v>92</v>
      </c>
      <c r="X1416" s="73">
        <f>3235367/1000000</f>
        <v>3.2353670000000001</v>
      </c>
      <c r="Y1416" s="83">
        <f>IF(SUM(W1416:W1416)&gt;0,X1416/SUM(W1416:W1416)*1000000,"N/A")</f>
        <v>35167.032608695648</v>
      </c>
      <c r="Z1416" s="80"/>
      <c r="AA1416" s="80"/>
      <c r="AB1416" s="73"/>
      <c r="AC1416" s="153"/>
      <c r="AD1416" s="331"/>
      <c r="AE1416" s="57"/>
      <c r="AF1416" s="88"/>
      <c r="AG1416" s="182">
        <f>YEAR(D1416)</f>
        <v>2021</v>
      </c>
      <c r="AH1416" s="86" t="str">
        <f>+IF(AE1416=$AJ$22,MONTH(T1416),"")</f>
        <v/>
      </c>
      <c r="AI1416" s="86" t="str">
        <f>+IF(AF1416=$AJ$22,MONTH(U1416),"")</f>
        <v/>
      </c>
      <c r="AJ1416" s="86" t="str">
        <f>+IF(AG1416=$AJ$22,MONTH(V1416),"")</f>
        <v/>
      </c>
      <c r="AK1416" s="86" t="str">
        <f>+IF(AG1416=$AK$22,MONTH(V1416),"")</f>
        <v/>
      </c>
      <c r="AL1416" s="86" t="str">
        <f>+IF(AG1416=$AL$22,MONTH(V1416),"")</f>
        <v/>
      </c>
      <c r="AM1416" s="86">
        <f>+IF($AG1416=$AM$22,MONTH($D1416),"")</f>
        <v>5</v>
      </c>
      <c r="AN1416" s="89" t="str">
        <f>+IF($AG1416=AN$22,MONTH($D1416),"")</f>
        <v/>
      </c>
      <c r="AO1416" s="89" t="str">
        <f>+IF($AG1416=AO$22,MONTH($D1416),"")</f>
        <v/>
      </c>
      <c r="AP1416" s="89" t="str">
        <f>+IF($AG1416=AP$22,MONTH($D1416),"")</f>
        <v/>
      </c>
      <c r="AQ1416" s="89" t="str">
        <f>+IF($AG1416=AQ$22,MONTH($D1416),"")</f>
        <v/>
      </c>
      <c r="AR1416" s="89" t="str">
        <f>+IF($AG1416=AR$22,MONTH($D1416),"")</f>
        <v/>
      </c>
      <c r="AS1416" s="89" t="str">
        <f>+IF($AG1416=AS$22,MONTH($D1416),"")</f>
        <v/>
      </c>
      <c r="AT1416" s="89" t="str">
        <f>+IF($AG1416=AT$22,MONTH($D1416),"")</f>
        <v/>
      </c>
      <c r="AU1416" s="89" t="str">
        <f>+IF($AG1416=AU$22,MONTH($D1416),"")</f>
        <v/>
      </c>
      <c r="AV1416" s="89" t="str">
        <f>+IF($AG1416=AV$22,MONTH($D1416),"")</f>
        <v/>
      </c>
      <c r="AW1416" s="86" t="str">
        <f>+IF($AG1416=AW$22,MONTH($D1416),"")</f>
        <v/>
      </c>
      <c r="AX1416" s="86" t="str">
        <f>+IF($AG1416=AX$22,MONTH($D1416),"")</f>
        <v/>
      </c>
      <c r="AY1416" s="89"/>
      <c r="AZ1416" s="89"/>
      <c r="BA1416" s="89"/>
      <c r="BB1416" s="89"/>
      <c r="BC1416" s="89"/>
      <c r="BD1416" s="89"/>
      <c r="BE1416" s="89"/>
      <c r="BF1416" s="89"/>
      <c r="BG1416" s="89"/>
      <c r="BH1416" s="89"/>
      <c r="BI1416" s="89"/>
      <c r="BJ1416" s="89"/>
      <c r="BK1416" s="89"/>
      <c r="BL1416" s="89"/>
      <c r="BM1416" s="89"/>
      <c r="BN1416" s="89"/>
      <c r="BO1416" s="89"/>
      <c r="BP1416" s="89"/>
    </row>
    <row r="1417" spans="1:68" s="56" customFormat="1" ht="27" hidden="1">
      <c r="A1417" s="204" t="str">
        <f>+IFERROR(VALUE(MID(AB1417,4,4)),"")</f>
        <v/>
      </c>
      <c r="B1417" s="204">
        <f>VALUE(RIGHT(C1417,LEN(C1417)-2))</f>
        <v>1307</v>
      </c>
      <c r="C1417" s="74" t="s">
        <v>5321</v>
      </c>
      <c r="D1417" s="75">
        <v>44319</v>
      </c>
      <c r="E1417" s="70" t="s">
        <v>394</v>
      </c>
      <c r="F1417" s="70" t="s">
        <v>394</v>
      </c>
      <c r="G1417" s="68"/>
      <c r="H1417" s="59"/>
      <c r="I1417" s="69" t="s">
        <v>5322</v>
      </c>
      <c r="J1417" s="69"/>
      <c r="K1417" s="68" t="s">
        <v>13</v>
      </c>
      <c r="L1417" s="69" t="s">
        <v>120</v>
      </c>
      <c r="M1417" s="71" t="s">
        <v>141</v>
      </c>
      <c r="N1417" s="69" t="e" vm="1">
        <v>#VALUE!</v>
      </c>
      <c r="O1417" s="84"/>
      <c r="P1417" s="72"/>
      <c r="Q1417" s="72"/>
      <c r="R1417" s="162"/>
      <c r="S1417" s="146" t="s">
        <v>5323</v>
      </c>
      <c r="T1417" s="68" t="s">
        <v>155</v>
      </c>
      <c r="U1417" s="87"/>
      <c r="V1417" s="80"/>
      <c r="W1417" s="73"/>
      <c r="X1417" s="73"/>
      <c r="Y1417" s="83"/>
      <c r="Z1417" s="80"/>
      <c r="AA1417" s="80"/>
      <c r="AB1417" s="73"/>
      <c r="AC1417" s="153"/>
      <c r="AD1417" s="331"/>
      <c r="AE1417" s="57"/>
      <c r="AF1417" s="88"/>
      <c r="AG1417" s="182">
        <f>YEAR(D1417)</f>
        <v>2021</v>
      </c>
      <c r="AH1417" s="86" t="str">
        <f>+IF(AE1417=$AJ$22,MONTH(T1417),"")</f>
        <v/>
      </c>
      <c r="AI1417" s="86" t="str">
        <f>+IF(AF1417=$AJ$22,MONTH(U1417),"")</f>
        <v/>
      </c>
      <c r="AJ1417" s="86" t="str">
        <f>+IF(AG1417=$AJ$22,MONTH(V1417),"")</f>
        <v/>
      </c>
      <c r="AK1417" s="86" t="str">
        <f>+IF(AG1417=$AK$22,MONTH(V1417),"")</f>
        <v/>
      </c>
      <c r="AL1417" s="86" t="str">
        <f>+IF(AG1417=$AL$22,MONTH(V1417),"")</f>
        <v/>
      </c>
      <c r="AM1417" s="86">
        <f>+IF($AG1417=$AM$22,MONTH($D1417),"")</f>
        <v>5</v>
      </c>
      <c r="AN1417" s="89" t="str">
        <f>+IF($AG1417=AN$22,MONTH($D1417),"")</f>
        <v/>
      </c>
      <c r="AO1417" s="89" t="str">
        <f>+IF($AG1417=AO$22,MONTH($D1417),"")</f>
        <v/>
      </c>
      <c r="AP1417" s="89" t="str">
        <f>+IF($AG1417=AP$22,MONTH($D1417),"")</f>
        <v/>
      </c>
      <c r="AQ1417" s="89" t="str">
        <f>+IF($AG1417=AQ$22,MONTH($D1417),"")</f>
        <v/>
      </c>
      <c r="AR1417" s="89" t="str">
        <f>+IF($AG1417=AR$22,MONTH($D1417),"")</f>
        <v/>
      </c>
      <c r="AS1417" s="89" t="str">
        <f>+IF($AG1417=AS$22,MONTH($D1417),"")</f>
        <v/>
      </c>
      <c r="AT1417" s="89" t="str">
        <f>+IF($AG1417=AT$22,MONTH($D1417),"")</f>
        <v/>
      </c>
      <c r="AU1417" s="89" t="str">
        <f>+IF($AG1417=AU$22,MONTH($D1417),"")</f>
        <v/>
      </c>
      <c r="AV1417" s="89" t="str">
        <f>+IF($AG1417=AV$22,MONTH($D1417),"")</f>
        <v/>
      </c>
      <c r="AW1417" s="86" t="str">
        <f>+IF($AG1417=AW$22,MONTH($D1417),"")</f>
        <v/>
      </c>
      <c r="AX1417" s="86" t="str">
        <f>+IF($AG1417=AX$22,MONTH($D1417),"")</f>
        <v/>
      </c>
      <c r="AY1417" s="89"/>
      <c r="AZ1417" s="89"/>
      <c r="BA1417" s="89"/>
      <c r="BB1417" s="89"/>
      <c r="BC1417" s="89"/>
      <c r="BD1417" s="89"/>
      <c r="BE1417" s="89"/>
      <c r="BF1417" s="89"/>
      <c r="BG1417" s="89"/>
      <c r="BH1417" s="89"/>
      <c r="BI1417" s="89"/>
      <c r="BJ1417" s="89"/>
      <c r="BK1417" s="89"/>
      <c r="BL1417" s="89"/>
      <c r="BM1417" s="89"/>
      <c r="BN1417" s="89"/>
      <c r="BO1417" s="89"/>
      <c r="BP1417" s="89"/>
    </row>
    <row r="1418" spans="1:68" s="56" customFormat="1" ht="27" hidden="1">
      <c r="A1418" s="204" t="str">
        <f>+IFERROR(VALUE(MID(AB1418,4,4)),"")</f>
        <v/>
      </c>
      <c r="B1418" s="204">
        <f>VALUE(RIGHT(C1418,LEN(C1418)-2))</f>
        <v>1306</v>
      </c>
      <c r="C1418" s="74" t="s">
        <v>5324</v>
      </c>
      <c r="D1418" s="75">
        <v>44319</v>
      </c>
      <c r="E1418" s="70" t="s">
        <v>394</v>
      </c>
      <c r="F1418" s="70" t="s">
        <v>394</v>
      </c>
      <c r="G1418" s="68"/>
      <c r="H1418" s="59"/>
      <c r="I1418" s="69" t="s">
        <v>5325</v>
      </c>
      <c r="J1418" s="69"/>
      <c r="K1418" s="68" t="s">
        <v>13</v>
      </c>
      <c r="L1418" s="69" t="s">
        <v>120</v>
      </c>
      <c r="M1418" s="71" t="s">
        <v>141</v>
      </c>
      <c r="N1418" s="69" t="e" vm="1">
        <v>#VALUE!</v>
      </c>
      <c r="O1418" s="84"/>
      <c r="P1418" s="72"/>
      <c r="Q1418" s="72"/>
      <c r="R1418" s="162"/>
      <c r="S1418" s="146" t="s">
        <v>5323</v>
      </c>
      <c r="T1418" s="68" t="s">
        <v>155</v>
      </c>
      <c r="U1418" s="87"/>
      <c r="V1418" s="80"/>
      <c r="W1418" s="73"/>
      <c r="X1418" s="73"/>
      <c r="Y1418" s="83"/>
      <c r="Z1418" s="80"/>
      <c r="AA1418" s="80"/>
      <c r="AB1418" s="73"/>
      <c r="AC1418" s="153"/>
      <c r="AD1418" s="331"/>
      <c r="AE1418" s="57"/>
      <c r="AF1418" s="88"/>
      <c r="AG1418" s="182">
        <f>YEAR(D1418)</f>
        <v>2021</v>
      </c>
      <c r="AH1418" s="86" t="str">
        <f>+IF(AE1418=$AJ$22,MONTH(T1418),"")</f>
        <v/>
      </c>
      <c r="AI1418" s="86" t="str">
        <f>+IF(AF1418=$AJ$22,MONTH(U1418),"")</f>
        <v/>
      </c>
      <c r="AJ1418" s="86" t="str">
        <f>+IF(AG1418=$AJ$22,MONTH(V1418),"")</f>
        <v/>
      </c>
      <c r="AK1418" s="86" t="str">
        <f>+IF(AG1418=$AK$22,MONTH(V1418),"")</f>
        <v/>
      </c>
      <c r="AL1418" s="86" t="str">
        <f>+IF(AG1418=$AL$22,MONTH(V1418),"")</f>
        <v/>
      </c>
      <c r="AM1418" s="86">
        <f>+IF($AG1418=$AM$22,MONTH($D1418),"")</f>
        <v>5</v>
      </c>
      <c r="AN1418" s="89" t="str">
        <f>+IF($AG1418=AN$22,MONTH($D1418),"")</f>
        <v/>
      </c>
      <c r="AO1418" s="89" t="str">
        <f>+IF($AG1418=AO$22,MONTH($D1418),"")</f>
        <v/>
      </c>
      <c r="AP1418" s="89" t="str">
        <f>+IF($AG1418=AP$22,MONTH($D1418),"")</f>
        <v/>
      </c>
      <c r="AQ1418" s="89" t="str">
        <f>+IF($AG1418=AQ$22,MONTH($D1418),"")</f>
        <v/>
      </c>
      <c r="AR1418" s="89" t="str">
        <f>+IF($AG1418=AR$22,MONTH($D1418),"")</f>
        <v/>
      </c>
      <c r="AS1418" s="89" t="str">
        <f>+IF($AG1418=AS$22,MONTH($D1418),"")</f>
        <v/>
      </c>
      <c r="AT1418" s="89" t="str">
        <f>+IF($AG1418=AT$22,MONTH($D1418),"")</f>
        <v/>
      </c>
      <c r="AU1418" s="89" t="str">
        <f>+IF($AG1418=AU$22,MONTH($D1418),"")</f>
        <v/>
      </c>
      <c r="AV1418" s="89" t="str">
        <f>+IF($AG1418=AV$22,MONTH($D1418),"")</f>
        <v/>
      </c>
      <c r="AW1418" s="86" t="str">
        <f>+IF($AG1418=AW$22,MONTH($D1418),"")</f>
        <v/>
      </c>
      <c r="AX1418" s="86" t="str">
        <f>+IF($AG1418=AX$22,MONTH($D1418),"")</f>
        <v/>
      </c>
      <c r="AY1418" s="89"/>
      <c r="AZ1418" s="89"/>
      <c r="BA1418" s="89"/>
      <c r="BB1418" s="89"/>
      <c r="BC1418" s="89"/>
      <c r="BD1418" s="89"/>
      <c r="BE1418" s="89"/>
      <c r="BF1418" s="89"/>
      <c r="BG1418" s="89"/>
      <c r="BH1418" s="89"/>
      <c r="BI1418" s="89"/>
      <c r="BJ1418" s="89"/>
      <c r="BK1418" s="89"/>
      <c r="BL1418" s="89"/>
      <c r="BM1418" s="89"/>
      <c r="BN1418" s="89"/>
      <c r="BO1418" s="89"/>
      <c r="BP1418" s="89"/>
    </row>
    <row r="1419" spans="1:68" s="56" customFormat="1" ht="13.5" hidden="1">
      <c r="A1419" s="204" t="str">
        <f>+IFERROR(VALUE(MID(AB1419,4,4)),"")</f>
        <v/>
      </c>
      <c r="B1419" s="204">
        <f>VALUE(RIGHT(C1419,LEN(C1419)-2))</f>
        <v>1305</v>
      </c>
      <c r="C1419" s="74" t="s">
        <v>5326</v>
      </c>
      <c r="D1419" s="75">
        <v>44314</v>
      </c>
      <c r="E1419" s="70" t="s">
        <v>4664</v>
      </c>
      <c r="F1419" s="70" t="s">
        <v>4664</v>
      </c>
      <c r="G1419" s="68"/>
      <c r="H1419" s="59"/>
      <c r="I1419" s="69" t="s">
        <v>5327</v>
      </c>
      <c r="J1419" s="69"/>
      <c r="K1419" s="68" t="s">
        <v>33</v>
      </c>
      <c r="L1419" s="69" t="s">
        <v>120</v>
      </c>
      <c r="M1419" s="71" t="s">
        <v>113</v>
      </c>
      <c r="N1419" s="69" t="e" vm="2">
        <v>#VALUE!</v>
      </c>
      <c r="O1419" s="84"/>
      <c r="P1419" s="72" t="s">
        <v>402</v>
      </c>
      <c r="Q1419" s="72" t="s">
        <v>389</v>
      </c>
      <c r="R1419" s="162"/>
      <c r="S1419" s="146"/>
      <c r="T1419" s="68" t="s">
        <v>165</v>
      </c>
      <c r="U1419" s="87"/>
      <c r="V1419" s="80">
        <v>44503</v>
      </c>
      <c r="W1419" s="73">
        <v>2720</v>
      </c>
      <c r="X1419" s="73">
        <v>117.3</v>
      </c>
      <c r="Y1419" s="83">
        <f>IF(SUM(W1419:W1419)&gt;0,X1419/SUM(W1419:W1419)*1000000,"N/A")</f>
        <v>43125</v>
      </c>
      <c r="Z1419" s="80"/>
      <c r="AA1419" s="80"/>
      <c r="AB1419" s="73"/>
      <c r="AC1419" s="153"/>
      <c r="AD1419" s="331"/>
      <c r="AE1419" s="57"/>
      <c r="AF1419" s="88"/>
      <c r="AG1419" s="182">
        <f>YEAR(D1419)</f>
        <v>2021</v>
      </c>
      <c r="AH1419" s="86" t="str">
        <f>+IF(AE1419=$AJ$22,MONTH(T1419),"")</f>
        <v/>
      </c>
      <c r="AI1419" s="86" t="str">
        <f>+IF(AF1419=$AJ$22,MONTH(U1419),"")</f>
        <v/>
      </c>
      <c r="AJ1419" s="86" t="str">
        <f>+IF(AG1419=$AJ$22,MONTH(V1419),"")</f>
        <v/>
      </c>
      <c r="AK1419" s="86" t="str">
        <f>+IF(AG1419=$AK$22,MONTH(V1419),"")</f>
        <v/>
      </c>
      <c r="AL1419" s="86" t="str">
        <f>+IF(AG1419=$AL$22,MONTH(V1419),"")</f>
        <v/>
      </c>
      <c r="AM1419" s="86">
        <f>+IF($AG1419=$AM$22,MONTH($D1419),"")</f>
        <v>4</v>
      </c>
      <c r="AN1419" s="89" t="str">
        <f>+IF($AG1419=AN$22,MONTH($D1419),"")</f>
        <v/>
      </c>
      <c r="AO1419" s="89" t="str">
        <f>+IF($AG1419=AO$22,MONTH($D1419),"")</f>
        <v/>
      </c>
      <c r="AP1419" s="89" t="str">
        <f>+IF($AG1419=AP$22,MONTH($D1419),"")</f>
        <v/>
      </c>
      <c r="AQ1419" s="89" t="str">
        <f>+IF($AG1419=AQ$22,MONTH($D1419),"")</f>
        <v/>
      </c>
      <c r="AR1419" s="89" t="str">
        <f>+IF($AG1419=AR$22,MONTH($D1419),"")</f>
        <v/>
      </c>
      <c r="AS1419" s="89" t="str">
        <f>+IF($AG1419=AS$22,MONTH($D1419),"")</f>
        <v/>
      </c>
      <c r="AT1419" s="89" t="str">
        <f>+IF($AG1419=AT$22,MONTH($D1419),"")</f>
        <v/>
      </c>
      <c r="AU1419" s="89" t="str">
        <f>+IF($AG1419=AU$22,MONTH($D1419),"")</f>
        <v/>
      </c>
      <c r="AV1419" s="89" t="str">
        <f>+IF($AG1419=AV$22,MONTH($D1419),"")</f>
        <v/>
      </c>
      <c r="AW1419" s="86" t="str">
        <f>+IF($AG1419=AW$22,MONTH($D1419),"")</f>
        <v/>
      </c>
      <c r="AX1419" s="86" t="str">
        <f>+IF($AG1419=AX$22,MONTH($D1419),"")</f>
        <v/>
      </c>
      <c r="AY1419" s="89"/>
      <c r="AZ1419" s="89"/>
      <c r="BA1419" s="89"/>
      <c r="BB1419" s="89"/>
      <c r="BC1419" s="89"/>
      <c r="BD1419" s="89"/>
      <c r="BE1419" s="89"/>
      <c r="BF1419" s="89"/>
      <c r="BG1419" s="89"/>
      <c r="BH1419" s="89"/>
      <c r="BI1419" s="89"/>
      <c r="BJ1419" s="89"/>
      <c r="BK1419" s="89"/>
      <c r="BL1419" s="89"/>
      <c r="BM1419" s="89"/>
      <c r="BN1419" s="89"/>
      <c r="BO1419" s="89"/>
      <c r="BP1419" s="89"/>
    </row>
    <row r="1420" spans="1:68" s="56" customFormat="1" ht="13.5" hidden="1">
      <c r="A1420" s="204" t="str">
        <f>+IFERROR(VALUE(MID(AB1420,4,4)),"")</f>
        <v/>
      </c>
      <c r="B1420" s="204">
        <f>VALUE(RIGHT(C1420,LEN(C1420)-2))</f>
        <v>1304</v>
      </c>
      <c r="C1420" s="74" t="s">
        <v>5328</v>
      </c>
      <c r="D1420" s="75">
        <v>44307</v>
      </c>
      <c r="E1420" s="70" t="s">
        <v>939</v>
      </c>
      <c r="F1420" s="70" t="s">
        <v>940</v>
      </c>
      <c r="G1420" s="68" t="s">
        <v>5329</v>
      </c>
      <c r="H1420" s="59"/>
      <c r="I1420" s="69" t="s">
        <v>5330</v>
      </c>
      <c r="J1420" s="69"/>
      <c r="K1420" s="68" t="s">
        <v>13</v>
      </c>
      <c r="L1420" s="69" t="s">
        <v>120</v>
      </c>
      <c r="M1420" s="71" t="s">
        <v>141</v>
      </c>
      <c r="N1420" s="69" t="e" vm="1">
        <v>#VALUE!</v>
      </c>
      <c r="O1420" s="84"/>
      <c r="P1420" s="72" t="s">
        <v>402</v>
      </c>
      <c r="Q1420" s="72" t="s">
        <v>623</v>
      </c>
      <c r="R1420" s="162"/>
      <c r="S1420" s="146"/>
      <c r="T1420" s="68" t="s">
        <v>165</v>
      </c>
      <c r="U1420" s="87"/>
      <c r="V1420" s="80">
        <v>44335</v>
      </c>
      <c r="W1420" s="73">
        <v>10298</v>
      </c>
      <c r="X1420" s="73">
        <f>171768071/1000000</f>
        <v>171.76807099999999</v>
      </c>
      <c r="Y1420" s="83">
        <f>IF(SUM(W1420:W1420)&gt;0,X1420/SUM(W1420:W1420)*1000000,"N/A")</f>
        <v>16679.750534084287</v>
      </c>
      <c r="Z1420" s="80"/>
      <c r="AA1420" s="80"/>
      <c r="AB1420" s="73"/>
      <c r="AC1420" s="153"/>
      <c r="AD1420" s="331"/>
      <c r="AE1420" s="57"/>
      <c r="AF1420" s="88"/>
      <c r="AG1420" s="182">
        <f>YEAR(D1420)</f>
        <v>2021</v>
      </c>
      <c r="AH1420" s="86" t="str">
        <f>+IF(AE1420=$AJ$22,MONTH(T1420),"")</f>
        <v/>
      </c>
      <c r="AI1420" s="86" t="str">
        <f>+IF(AF1420=$AJ$22,MONTH(U1420),"")</f>
        <v/>
      </c>
      <c r="AJ1420" s="86" t="str">
        <f>+IF(AG1420=$AJ$22,MONTH(V1420),"")</f>
        <v/>
      </c>
      <c r="AK1420" s="86" t="str">
        <f>+IF(AG1420=$AK$22,MONTH(V1420),"")</f>
        <v/>
      </c>
      <c r="AL1420" s="86" t="str">
        <f>+IF(AG1420=$AL$22,MONTH(V1420),"")</f>
        <v/>
      </c>
      <c r="AM1420" s="86">
        <f>+IF($AG1420=$AM$22,MONTH($D1420),"")</f>
        <v>4</v>
      </c>
      <c r="AN1420" s="89" t="str">
        <f>+IF($AG1420=AN$22,MONTH($D1420),"")</f>
        <v/>
      </c>
      <c r="AO1420" s="89" t="str">
        <f>+IF($AG1420=AO$22,MONTH($D1420),"")</f>
        <v/>
      </c>
      <c r="AP1420" s="89" t="str">
        <f>+IF($AG1420=AP$22,MONTH($D1420),"")</f>
        <v/>
      </c>
      <c r="AQ1420" s="89" t="str">
        <f>+IF($AG1420=AQ$22,MONTH($D1420),"")</f>
        <v/>
      </c>
      <c r="AR1420" s="89" t="str">
        <f>+IF($AG1420=AR$22,MONTH($D1420),"")</f>
        <v/>
      </c>
      <c r="AS1420" s="89" t="str">
        <f>+IF($AG1420=AS$22,MONTH($D1420),"")</f>
        <v/>
      </c>
      <c r="AT1420" s="89" t="str">
        <f>+IF($AG1420=AT$22,MONTH($D1420),"")</f>
        <v/>
      </c>
      <c r="AU1420" s="89" t="str">
        <f>+IF($AG1420=AU$22,MONTH($D1420),"")</f>
        <v/>
      </c>
      <c r="AV1420" s="89" t="str">
        <f>+IF($AG1420=AV$22,MONTH($D1420),"")</f>
        <v/>
      </c>
      <c r="AW1420" s="86" t="str">
        <f>+IF($AG1420=AW$22,MONTH($D1420),"")</f>
        <v/>
      </c>
      <c r="AX1420" s="86" t="str">
        <f>+IF($AG1420=AX$22,MONTH($D1420),"")</f>
        <v/>
      </c>
      <c r="AY1420" s="182"/>
      <c r="AZ1420" s="182"/>
      <c r="BA1420" s="182"/>
      <c r="BB1420" s="182"/>
      <c r="BC1420" s="182"/>
      <c r="BD1420" s="182"/>
      <c r="BE1420" s="182"/>
      <c r="BF1420" s="182"/>
      <c r="BG1420" s="182"/>
      <c r="BH1420" s="182"/>
      <c r="BI1420" s="182"/>
      <c r="BJ1420" s="89"/>
      <c r="BK1420" s="89"/>
      <c r="BL1420" s="89"/>
      <c r="BM1420" s="89"/>
      <c r="BN1420" s="89"/>
      <c r="BO1420" s="89"/>
      <c r="BP1420" s="89"/>
    </row>
    <row r="1421" spans="1:68" s="56" customFormat="1" ht="27" hidden="1">
      <c r="A1421" s="204" t="str">
        <f>+IFERROR(VALUE(MID(AB1421,4,4)),"")</f>
        <v/>
      </c>
      <c r="B1421" s="204">
        <f>VALUE(RIGHT(C1421,LEN(C1421)-2))</f>
        <v>1303</v>
      </c>
      <c r="C1421" s="74" t="s">
        <v>5331</v>
      </c>
      <c r="D1421" s="75">
        <v>44307</v>
      </c>
      <c r="E1421" s="70" t="s">
        <v>394</v>
      </c>
      <c r="F1421" s="70" t="s">
        <v>394</v>
      </c>
      <c r="G1421" s="68" t="s">
        <v>3726</v>
      </c>
      <c r="H1421" s="59" t="s">
        <v>3727</v>
      </c>
      <c r="I1421" s="69" t="s">
        <v>5332</v>
      </c>
      <c r="J1421" s="69"/>
      <c r="K1421" s="68" t="s">
        <v>11</v>
      </c>
      <c r="L1421" s="69" t="s">
        <v>120</v>
      </c>
      <c r="M1421" s="71" t="s">
        <v>141</v>
      </c>
      <c r="N1421" s="69" t="e" vm="1">
        <v>#VALUE!</v>
      </c>
      <c r="O1421" s="84"/>
      <c r="P1421" s="72" t="s">
        <v>402</v>
      </c>
      <c r="Q1421" s="72" t="s">
        <v>1097</v>
      </c>
      <c r="R1421" s="162"/>
      <c r="S1421" s="146"/>
      <c r="T1421" s="68" t="s">
        <v>165</v>
      </c>
      <c r="U1421" s="87"/>
      <c r="V1421" s="80">
        <v>44315</v>
      </c>
      <c r="W1421" s="73">
        <v>486</v>
      </c>
      <c r="X1421" s="73">
        <f>19339656/1000000</f>
        <v>19.339656000000002</v>
      </c>
      <c r="Y1421" s="83">
        <f>IF(SUM(W1421:W1421)&gt;0,X1421/SUM(W1421:W1421)*1000000,"N/A")</f>
        <v>39793.530864197535</v>
      </c>
      <c r="Z1421" s="80"/>
      <c r="AA1421" s="80"/>
      <c r="AB1421" s="73"/>
      <c r="AC1421" s="153"/>
      <c r="AD1421" s="331"/>
      <c r="AE1421" s="57"/>
      <c r="AF1421" s="88"/>
      <c r="AG1421" s="182">
        <f>YEAR(D1421)</f>
        <v>2021</v>
      </c>
      <c r="AH1421" s="86" t="str">
        <f>+IF(AE1421=$AJ$22,MONTH(T1421),"")</f>
        <v/>
      </c>
      <c r="AI1421" s="86" t="str">
        <f>+IF(AF1421=$AJ$22,MONTH(U1421),"")</f>
        <v/>
      </c>
      <c r="AJ1421" s="86" t="str">
        <f>+IF(AG1421=$AJ$22,MONTH(V1421),"")</f>
        <v/>
      </c>
      <c r="AK1421" s="86" t="str">
        <f>+IF(AG1421=$AK$22,MONTH(V1421),"")</f>
        <v/>
      </c>
      <c r="AL1421" s="86" t="str">
        <f>+IF(AG1421=$AL$22,MONTH(V1421),"")</f>
        <v/>
      </c>
      <c r="AM1421" s="86">
        <f>+IF($AG1421=$AM$22,MONTH($D1421),"")</f>
        <v>4</v>
      </c>
      <c r="AN1421" s="89" t="str">
        <f>+IF($AG1421=AN$22,MONTH($D1421),"")</f>
        <v/>
      </c>
      <c r="AO1421" s="89" t="str">
        <f>+IF($AG1421=AO$22,MONTH($D1421),"")</f>
        <v/>
      </c>
      <c r="AP1421" s="89" t="str">
        <f>+IF($AG1421=AP$22,MONTH($D1421),"")</f>
        <v/>
      </c>
      <c r="AQ1421" s="89" t="str">
        <f>+IF($AG1421=AQ$22,MONTH($D1421),"")</f>
        <v/>
      </c>
      <c r="AR1421" s="89" t="str">
        <f>+IF($AG1421=AR$22,MONTH($D1421),"")</f>
        <v/>
      </c>
      <c r="AS1421" s="89" t="str">
        <f>+IF($AG1421=AS$22,MONTH($D1421),"")</f>
        <v/>
      </c>
      <c r="AT1421" s="89" t="str">
        <f>+IF($AG1421=AT$22,MONTH($D1421),"")</f>
        <v/>
      </c>
      <c r="AU1421" s="89" t="str">
        <f>+IF($AG1421=AU$22,MONTH($D1421),"")</f>
        <v/>
      </c>
      <c r="AV1421" s="89" t="str">
        <f>+IF($AG1421=AV$22,MONTH($D1421),"")</f>
        <v/>
      </c>
      <c r="AW1421" s="86" t="str">
        <f>+IF($AG1421=AW$22,MONTH($D1421),"")</f>
        <v/>
      </c>
      <c r="AX1421" s="86" t="str">
        <f>+IF($AG1421=AX$22,MONTH($D1421),"")</f>
        <v/>
      </c>
      <c r="AY1421" s="89"/>
      <c r="AZ1421" s="89"/>
      <c r="BA1421" s="89"/>
      <c r="BB1421" s="89"/>
      <c r="BC1421" s="89"/>
      <c r="BD1421" s="89"/>
      <c r="BE1421" s="89"/>
      <c r="BF1421" s="89"/>
      <c r="BG1421" s="89"/>
      <c r="BH1421" s="89"/>
      <c r="BI1421" s="89"/>
      <c r="BJ1421" s="89"/>
      <c r="BK1421" s="89"/>
      <c r="BL1421" s="89"/>
      <c r="BM1421" s="89"/>
      <c r="BN1421" s="89"/>
      <c r="BO1421" s="89"/>
      <c r="BP1421" s="89"/>
    </row>
    <row r="1422" spans="1:68" s="56" customFormat="1" ht="13.5" hidden="1">
      <c r="A1422" s="204" t="str">
        <f>+IFERROR(VALUE(MID(AB1422,4,4)),"")</f>
        <v/>
      </c>
      <c r="B1422" s="204">
        <f>VALUE(RIGHT(C1422,LEN(C1422)-2))</f>
        <v>1302</v>
      </c>
      <c r="C1422" s="74" t="s">
        <v>5333</v>
      </c>
      <c r="D1422" s="75">
        <v>44307</v>
      </c>
      <c r="E1422" s="70" t="s">
        <v>4827</v>
      </c>
      <c r="F1422" s="70" t="s">
        <v>4827</v>
      </c>
      <c r="G1422" s="68" t="s">
        <v>5334</v>
      </c>
      <c r="H1422" s="59"/>
      <c r="I1422" s="69" t="s">
        <v>5335</v>
      </c>
      <c r="J1422" s="69"/>
      <c r="K1422" s="68" t="s">
        <v>18</v>
      </c>
      <c r="L1422" s="69" t="s">
        <v>120</v>
      </c>
      <c r="M1422" s="71" t="s">
        <v>141</v>
      </c>
      <c r="N1422" s="69" t="e" vm="1">
        <v>#VALUE!</v>
      </c>
      <c r="O1422" s="84"/>
      <c r="P1422" s="72" t="s">
        <v>4567</v>
      </c>
      <c r="Q1422" s="72" t="s">
        <v>623</v>
      </c>
      <c r="R1422" s="162"/>
      <c r="S1422" s="146"/>
      <c r="T1422" s="68" t="s">
        <v>165</v>
      </c>
      <c r="U1422" s="87"/>
      <c r="V1422" s="80">
        <v>44317</v>
      </c>
      <c r="W1422" s="73">
        <v>1500</v>
      </c>
      <c r="X1422" s="73">
        <f>120000*703.9/1000000</f>
        <v>84.468000000000004</v>
      </c>
      <c r="Y1422" s="83">
        <f>IF(SUM(W1422:W1422)&gt;0,X1422/SUM(W1422:W1422)*1000000,"N/A")</f>
        <v>56312</v>
      </c>
      <c r="Z1422" s="80"/>
      <c r="AA1422" s="80"/>
      <c r="AB1422" s="73"/>
      <c r="AC1422" s="153"/>
      <c r="AD1422" s="331"/>
      <c r="AE1422" s="57"/>
      <c r="AF1422" s="88"/>
      <c r="AG1422" s="182">
        <f>YEAR(D1422)</f>
        <v>2021</v>
      </c>
      <c r="AH1422" s="86" t="str">
        <f>+IF(AE1422=$AJ$22,MONTH(T1422),"")</f>
        <v/>
      </c>
      <c r="AI1422" s="86" t="str">
        <f>+IF(AF1422=$AJ$22,MONTH(U1422),"")</f>
        <v/>
      </c>
      <c r="AJ1422" s="86" t="str">
        <f>+IF(AG1422=$AJ$22,MONTH(V1422),"")</f>
        <v/>
      </c>
      <c r="AK1422" s="86" t="str">
        <f>+IF(AG1422=$AK$22,MONTH(V1422),"")</f>
        <v/>
      </c>
      <c r="AL1422" s="86" t="str">
        <f>+IF(AG1422=$AL$22,MONTH(V1422),"")</f>
        <v/>
      </c>
      <c r="AM1422" s="86">
        <f>+IF($AG1422=$AM$22,MONTH($D1422),"")</f>
        <v>4</v>
      </c>
      <c r="AN1422" s="89" t="str">
        <f>+IF($AG1422=AN$22,MONTH($D1422),"")</f>
        <v/>
      </c>
      <c r="AO1422" s="89" t="str">
        <f>+IF($AG1422=AO$22,MONTH($D1422),"")</f>
        <v/>
      </c>
      <c r="AP1422" s="89" t="str">
        <f>+IF($AG1422=AP$22,MONTH($D1422),"")</f>
        <v/>
      </c>
      <c r="AQ1422" s="89" t="str">
        <f>+IF($AG1422=AQ$22,MONTH($D1422),"")</f>
        <v/>
      </c>
      <c r="AR1422" s="89" t="str">
        <f>+IF($AG1422=AR$22,MONTH($D1422),"")</f>
        <v/>
      </c>
      <c r="AS1422" s="89" t="str">
        <f>+IF($AG1422=AS$22,MONTH($D1422),"")</f>
        <v/>
      </c>
      <c r="AT1422" s="89" t="str">
        <f>+IF($AG1422=AT$22,MONTH($D1422),"")</f>
        <v/>
      </c>
      <c r="AU1422" s="89" t="str">
        <f>+IF($AG1422=AU$22,MONTH($D1422),"")</f>
        <v/>
      </c>
      <c r="AV1422" s="89" t="str">
        <f>+IF($AG1422=AV$22,MONTH($D1422),"")</f>
        <v/>
      </c>
      <c r="AW1422" s="86" t="str">
        <f>+IF($AG1422=AW$22,MONTH($D1422),"")</f>
        <v/>
      </c>
      <c r="AX1422" s="86" t="str">
        <f>+IF($AG1422=AX$22,MONTH($D1422),"")</f>
        <v/>
      </c>
      <c r="AY1422" s="89"/>
      <c r="AZ1422" s="89"/>
      <c r="BA1422" s="89"/>
      <c r="BB1422" s="89"/>
      <c r="BC1422" s="89"/>
      <c r="BD1422" s="89"/>
      <c r="BE1422" s="89"/>
      <c r="BF1422" s="89"/>
      <c r="BG1422" s="89"/>
      <c r="BH1422" s="89"/>
      <c r="BI1422" s="89"/>
      <c r="BJ1422" s="89"/>
      <c r="BK1422" s="89"/>
      <c r="BL1422" s="89"/>
      <c r="BM1422" s="89"/>
      <c r="BN1422" s="89"/>
      <c r="BO1422" s="89"/>
      <c r="BP1422" s="89"/>
    </row>
    <row r="1423" spans="1:68" s="56" customFormat="1" ht="13.5" hidden="1">
      <c r="A1423" s="204" t="str">
        <f>+IFERROR(VALUE(MID(AB1423,4,4)),"")</f>
        <v/>
      </c>
      <c r="B1423" s="204">
        <f>VALUE(RIGHT(C1423,LEN(C1423)-2))</f>
        <v>1301</v>
      </c>
      <c r="C1423" s="74" t="s">
        <v>5336</v>
      </c>
      <c r="D1423" s="75">
        <v>44306</v>
      </c>
      <c r="E1423" s="70" t="s">
        <v>3741</v>
      </c>
      <c r="F1423" s="70" t="s">
        <v>3742</v>
      </c>
      <c r="G1423" s="68"/>
      <c r="H1423" s="59"/>
      <c r="I1423" s="69" t="s">
        <v>5337</v>
      </c>
      <c r="J1423" s="69"/>
      <c r="K1423" s="68" t="s">
        <v>13</v>
      </c>
      <c r="L1423" s="69" t="s">
        <v>120</v>
      </c>
      <c r="M1423" s="71" t="s">
        <v>113</v>
      </c>
      <c r="N1423" s="69" t="e" vm="2">
        <v>#VALUE!</v>
      </c>
      <c r="O1423" s="84"/>
      <c r="P1423" s="72"/>
      <c r="Q1423" s="72"/>
      <c r="R1423" s="162"/>
      <c r="S1423" s="146"/>
      <c r="T1423" s="68" t="s">
        <v>165</v>
      </c>
      <c r="U1423" s="87"/>
      <c r="V1423" s="80">
        <v>44308</v>
      </c>
      <c r="W1423" s="73">
        <v>1947</v>
      </c>
      <c r="X1423" s="73">
        <v>74.8</v>
      </c>
      <c r="Y1423" s="83">
        <f>IF(SUM(W1423:W1423)&gt;0,X1423/SUM(W1423:W1423)*1000000,"N/A")</f>
        <v>38418.079096045192</v>
      </c>
      <c r="Z1423" s="80"/>
      <c r="AA1423" s="80"/>
      <c r="AB1423" s="73"/>
      <c r="AC1423" s="153"/>
      <c r="AD1423" s="331"/>
      <c r="AE1423" s="57"/>
      <c r="AF1423" s="88"/>
      <c r="AG1423" s="182">
        <f>YEAR(D1423)</f>
        <v>2021</v>
      </c>
      <c r="AH1423" s="86" t="str">
        <f>+IF(AE1423=$AJ$22,MONTH(T1423),"")</f>
        <v/>
      </c>
      <c r="AI1423" s="86" t="str">
        <f>+IF(AF1423=$AJ$22,MONTH(U1423),"")</f>
        <v/>
      </c>
      <c r="AJ1423" s="86" t="str">
        <f>+IF(AG1423=$AJ$22,MONTH(V1423),"")</f>
        <v/>
      </c>
      <c r="AK1423" s="86" t="str">
        <f>+IF(AG1423=$AK$22,MONTH(V1423),"")</f>
        <v/>
      </c>
      <c r="AL1423" s="86" t="str">
        <f>+IF(AG1423=$AL$22,MONTH(V1423),"")</f>
        <v/>
      </c>
      <c r="AM1423" s="86">
        <f>+IF($AG1423=$AM$22,MONTH($D1423),"")</f>
        <v>4</v>
      </c>
      <c r="AN1423" s="89" t="str">
        <f>+IF($AG1423=AN$22,MONTH($D1423),"")</f>
        <v/>
      </c>
      <c r="AO1423" s="89" t="str">
        <f>+IF($AG1423=AO$22,MONTH($D1423),"")</f>
        <v/>
      </c>
      <c r="AP1423" s="89" t="str">
        <f>+IF($AG1423=AP$22,MONTH($D1423),"")</f>
        <v/>
      </c>
      <c r="AQ1423" s="89" t="str">
        <f>+IF($AG1423=AQ$22,MONTH($D1423),"")</f>
        <v/>
      </c>
      <c r="AR1423" s="89" t="str">
        <f>+IF($AG1423=AR$22,MONTH($D1423),"")</f>
        <v/>
      </c>
      <c r="AS1423" s="89" t="str">
        <f>+IF($AG1423=AS$22,MONTH($D1423),"")</f>
        <v/>
      </c>
      <c r="AT1423" s="89" t="str">
        <f>+IF($AG1423=AT$22,MONTH($D1423),"")</f>
        <v/>
      </c>
      <c r="AU1423" s="89" t="str">
        <f>+IF($AG1423=AU$22,MONTH($D1423),"")</f>
        <v/>
      </c>
      <c r="AV1423" s="89" t="str">
        <f>+IF($AG1423=AV$22,MONTH($D1423),"")</f>
        <v/>
      </c>
      <c r="AW1423" s="86" t="str">
        <f>+IF($AG1423=AW$22,MONTH($D1423),"")</f>
        <v/>
      </c>
      <c r="AX1423" s="86" t="str">
        <f>+IF($AG1423=AX$22,MONTH($D1423),"")</f>
        <v/>
      </c>
      <c r="AY1423" s="89"/>
      <c r="AZ1423" s="89"/>
      <c r="BA1423" s="89"/>
      <c r="BB1423" s="89"/>
      <c r="BC1423" s="89"/>
      <c r="BD1423" s="89"/>
      <c r="BE1423" s="89"/>
      <c r="BF1423" s="89"/>
      <c r="BG1423" s="89"/>
      <c r="BH1423" s="89"/>
      <c r="BI1423" s="89"/>
      <c r="BJ1423" s="89"/>
      <c r="BK1423" s="89"/>
      <c r="BL1423" s="89"/>
      <c r="BM1423" s="89"/>
      <c r="BN1423" s="89"/>
      <c r="BO1423" s="89"/>
      <c r="BP1423" s="89"/>
    </row>
    <row r="1424" spans="1:68" s="56" customFormat="1" ht="27" hidden="1">
      <c r="A1424" s="204" t="str">
        <f>+IFERROR(VALUE(MID(AB1424,4,4)),"")</f>
        <v/>
      </c>
      <c r="B1424" s="204">
        <f>VALUE(RIGHT(C1424,LEN(C1424)-2))</f>
        <v>1300</v>
      </c>
      <c r="C1424" s="74" t="s">
        <v>5338</v>
      </c>
      <c r="D1424" s="75">
        <v>44301</v>
      </c>
      <c r="E1424" s="70" t="s">
        <v>5339</v>
      </c>
      <c r="F1424" s="70" t="s">
        <v>5339</v>
      </c>
      <c r="G1424" s="68" t="s">
        <v>5340</v>
      </c>
      <c r="H1424" s="59"/>
      <c r="I1424" s="69" t="s">
        <v>5341</v>
      </c>
      <c r="J1424" s="69"/>
      <c r="K1424" s="68" t="s">
        <v>13</v>
      </c>
      <c r="L1424" s="69" t="s">
        <v>120</v>
      </c>
      <c r="M1424" s="71" t="s">
        <v>141</v>
      </c>
      <c r="N1424" s="69" t="e" vm="1">
        <v>#VALUE!</v>
      </c>
      <c r="O1424" s="84"/>
      <c r="P1424" s="72" t="s">
        <v>4567</v>
      </c>
      <c r="Q1424" s="72"/>
      <c r="R1424" s="162"/>
      <c r="S1424" s="146"/>
      <c r="T1424" s="68" t="s">
        <v>165</v>
      </c>
      <c r="U1424" s="87"/>
      <c r="V1424" s="80">
        <v>44342</v>
      </c>
      <c r="W1424" s="73">
        <v>300</v>
      </c>
      <c r="X1424" s="73">
        <v>10.6</v>
      </c>
      <c r="Y1424" s="83">
        <f>IF(SUM(W1424:W1424)&gt;0,X1424/SUM(W1424:W1424)*1000000,"N/A")</f>
        <v>35333.333333333336</v>
      </c>
      <c r="Z1424" s="80"/>
      <c r="AA1424" s="80"/>
      <c r="AB1424" s="73"/>
      <c r="AC1424" s="153"/>
      <c r="AD1424" s="331"/>
      <c r="AE1424" s="57"/>
      <c r="AF1424" s="88"/>
      <c r="AG1424" s="182">
        <f>YEAR(D1424)</f>
        <v>2021</v>
      </c>
      <c r="AH1424" s="86" t="str">
        <f>+IF(AE1424=$AJ$22,MONTH(T1424),"")</f>
        <v/>
      </c>
      <c r="AI1424" s="86" t="str">
        <f>+IF(AF1424=$AJ$22,MONTH(U1424),"")</f>
        <v/>
      </c>
      <c r="AJ1424" s="86" t="str">
        <f>+IF(AG1424=$AJ$22,MONTH(V1424),"")</f>
        <v/>
      </c>
      <c r="AK1424" s="86" t="str">
        <f>+IF(AG1424=$AK$22,MONTH(V1424),"")</f>
        <v/>
      </c>
      <c r="AL1424" s="86" t="str">
        <f>+IF(AG1424=$AL$22,MONTH(V1424),"")</f>
        <v/>
      </c>
      <c r="AM1424" s="86">
        <f>+IF($AG1424=$AM$22,MONTH($D1424),"")</f>
        <v>4</v>
      </c>
      <c r="AN1424" s="89" t="str">
        <f>+IF($AG1424=AN$22,MONTH($D1424),"")</f>
        <v/>
      </c>
      <c r="AO1424" s="89" t="str">
        <f>+IF($AG1424=AO$22,MONTH($D1424),"")</f>
        <v/>
      </c>
      <c r="AP1424" s="89" t="str">
        <f>+IF($AG1424=AP$22,MONTH($D1424),"")</f>
        <v/>
      </c>
      <c r="AQ1424" s="89" t="str">
        <f>+IF($AG1424=AQ$22,MONTH($D1424),"")</f>
        <v/>
      </c>
      <c r="AR1424" s="89" t="str">
        <f>+IF($AG1424=AR$22,MONTH($D1424),"")</f>
        <v/>
      </c>
      <c r="AS1424" s="89" t="str">
        <f>+IF($AG1424=AS$22,MONTH($D1424),"")</f>
        <v/>
      </c>
      <c r="AT1424" s="89" t="str">
        <f>+IF($AG1424=AT$22,MONTH($D1424),"")</f>
        <v/>
      </c>
      <c r="AU1424" s="89" t="str">
        <f>+IF($AG1424=AU$22,MONTH($D1424),"")</f>
        <v/>
      </c>
      <c r="AV1424" s="89" t="str">
        <f>+IF($AG1424=AV$22,MONTH($D1424),"")</f>
        <v/>
      </c>
      <c r="AW1424" s="86"/>
      <c r="AX1424" s="86"/>
      <c r="AY1424" s="89"/>
      <c r="AZ1424" s="89"/>
      <c r="BA1424" s="89"/>
      <c r="BB1424" s="89"/>
      <c r="BC1424" s="89"/>
      <c r="BD1424" s="89"/>
      <c r="BE1424" s="89"/>
      <c r="BF1424" s="89"/>
      <c r="BG1424" s="89"/>
      <c r="BH1424" s="89"/>
      <c r="BI1424" s="89"/>
      <c r="BJ1424" s="89"/>
      <c r="BK1424" s="89"/>
      <c r="BL1424" s="89"/>
      <c r="BM1424" s="89"/>
      <c r="BN1424" s="89"/>
      <c r="BO1424" s="89"/>
      <c r="BP1424" s="89"/>
    </row>
    <row r="1425" spans="1:68" s="56" customFormat="1" ht="40.5" hidden="1">
      <c r="A1425" s="204" t="str">
        <f>+IFERROR(VALUE(MID(AB1425,4,4)),"")</f>
        <v/>
      </c>
      <c r="B1425" s="204">
        <f>VALUE(RIGHT(C1425,LEN(C1425)-2))</f>
        <v>1299</v>
      </c>
      <c r="C1425" s="74" t="s">
        <v>5342</v>
      </c>
      <c r="D1425" s="75">
        <v>44300</v>
      </c>
      <c r="E1425" s="70" t="s">
        <v>67</v>
      </c>
      <c r="F1425" s="70" t="s">
        <v>76</v>
      </c>
      <c r="G1425" s="68" t="s">
        <v>5343</v>
      </c>
      <c r="H1425" s="59"/>
      <c r="I1425" s="69" t="s">
        <v>5344</v>
      </c>
      <c r="J1425" s="69"/>
      <c r="K1425" s="68" t="s">
        <v>11</v>
      </c>
      <c r="L1425" s="69" t="s">
        <v>120</v>
      </c>
      <c r="M1425" s="71" t="s">
        <v>141</v>
      </c>
      <c r="N1425" s="69" t="e" vm="1">
        <v>#VALUE!</v>
      </c>
      <c r="O1425" s="84"/>
      <c r="P1425" s="72" t="s">
        <v>4567</v>
      </c>
      <c r="Q1425" s="72"/>
      <c r="R1425" s="162"/>
      <c r="S1425" s="146"/>
      <c r="T1425" s="68" t="s">
        <v>165</v>
      </c>
      <c r="U1425" s="87"/>
      <c r="V1425" s="80">
        <v>44328</v>
      </c>
      <c r="W1425" s="73">
        <v>7590</v>
      </c>
      <c r="X1425" s="73">
        <f>202298852/1000000</f>
        <v>202.29885200000001</v>
      </c>
      <c r="Y1425" s="83">
        <f>IF(SUM(W1425:W1425)&gt;0,X1425/SUM(W1425:W1425)*1000000,"N/A")</f>
        <v>26653.340184453227</v>
      </c>
      <c r="Z1425" s="80"/>
      <c r="AA1425" s="80"/>
      <c r="AB1425" s="73"/>
      <c r="AC1425" s="153"/>
      <c r="AD1425" s="331"/>
      <c r="AE1425" s="57"/>
      <c r="AF1425" s="88"/>
      <c r="AG1425" s="182">
        <f>YEAR(D1425)</f>
        <v>2021</v>
      </c>
      <c r="AH1425" s="86" t="str">
        <f>+IF(AE1425=$AJ$22,MONTH(T1425),"")</f>
        <v/>
      </c>
      <c r="AI1425" s="86" t="str">
        <f>+IF(AF1425=$AJ$22,MONTH(U1425),"")</f>
        <v/>
      </c>
      <c r="AJ1425" s="86" t="str">
        <f>+IF(AG1425=$AJ$22,MONTH(V1425),"")</f>
        <v/>
      </c>
      <c r="AK1425" s="86" t="str">
        <f>+IF(AG1425=$AK$22,MONTH(V1425),"")</f>
        <v/>
      </c>
      <c r="AL1425" s="86" t="str">
        <f>+IF(AG1425=$AL$22,MONTH(V1425),"")</f>
        <v/>
      </c>
      <c r="AM1425" s="86">
        <f>+IF($AG1425=$AM$22,MONTH($D1425),"")</f>
        <v>4</v>
      </c>
      <c r="AN1425" s="89" t="str">
        <f>+IF($AG1425=AN$22,MONTH($D1425),"")</f>
        <v/>
      </c>
      <c r="AO1425" s="89" t="str">
        <f>+IF($AG1425=AO$22,MONTH($D1425),"")</f>
        <v/>
      </c>
      <c r="AP1425" s="89" t="str">
        <f>+IF($AG1425=AP$22,MONTH($D1425),"")</f>
        <v/>
      </c>
      <c r="AQ1425" s="89" t="str">
        <f>+IF($AG1425=AQ$22,MONTH($D1425),"")</f>
        <v/>
      </c>
      <c r="AR1425" s="89" t="str">
        <f>+IF($AG1425=AR$22,MONTH($D1425),"")</f>
        <v/>
      </c>
      <c r="AS1425" s="89" t="str">
        <f>+IF($AG1425=AS$22,MONTH($D1425),"")</f>
        <v/>
      </c>
      <c r="AT1425" s="89" t="str">
        <f>+IF($AG1425=AT$22,MONTH($D1425),"")</f>
        <v/>
      </c>
      <c r="AU1425" s="89" t="str">
        <f>+IF($AG1425=AU$22,MONTH($D1425),"")</f>
        <v/>
      </c>
      <c r="AV1425" s="89" t="str">
        <f>+IF($AG1425=AV$22,MONTH($D1425),"")</f>
        <v/>
      </c>
      <c r="AW1425" s="86" t="str">
        <f>+IF($AG1425=AW$22,MONTH($D1425),"")</f>
        <v/>
      </c>
      <c r="AX1425" s="86" t="str">
        <f>+IF($AG1425=AX$22,MONTH($D1425),"")</f>
        <v/>
      </c>
      <c r="AY1425" s="89"/>
      <c r="AZ1425" s="89"/>
      <c r="BA1425" s="89"/>
      <c r="BB1425" s="89"/>
      <c r="BC1425" s="89"/>
      <c r="BD1425" s="89"/>
      <c r="BE1425" s="89"/>
      <c r="BF1425" s="89"/>
      <c r="BG1425" s="89"/>
      <c r="BH1425" s="89"/>
      <c r="BI1425" s="89"/>
      <c r="BJ1425" s="89"/>
      <c r="BK1425" s="89"/>
      <c r="BL1425" s="89"/>
      <c r="BM1425" s="89"/>
      <c r="BN1425" s="89"/>
      <c r="BO1425" s="89"/>
      <c r="BP1425" s="89"/>
    </row>
    <row r="1426" spans="1:68" s="56" customFormat="1" ht="27" hidden="1">
      <c r="A1426" s="204" t="str">
        <f>+IFERROR(VALUE(MID(AB1426,4,4)),"")</f>
        <v/>
      </c>
      <c r="B1426" s="204">
        <f>VALUE(RIGHT(C1426,LEN(C1426)-2))</f>
        <v>1298</v>
      </c>
      <c r="C1426" s="74" t="s">
        <v>5345</v>
      </c>
      <c r="D1426" s="75">
        <v>44300</v>
      </c>
      <c r="E1426" s="70" t="s">
        <v>277</v>
      </c>
      <c r="F1426" s="70" t="s">
        <v>277</v>
      </c>
      <c r="G1426" s="68" t="s">
        <v>1350</v>
      </c>
      <c r="H1426" s="59" t="s">
        <v>4327</v>
      </c>
      <c r="I1426" s="69" t="s">
        <v>5346</v>
      </c>
      <c r="J1426" s="69"/>
      <c r="K1426" s="68" t="s">
        <v>12</v>
      </c>
      <c r="L1426" s="69" t="s">
        <v>120</v>
      </c>
      <c r="M1426" s="71" t="s">
        <v>141</v>
      </c>
      <c r="N1426" s="69" t="e" vm="1">
        <v>#VALUE!</v>
      </c>
      <c r="O1426" s="84"/>
      <c r="P1426" s="72" t="s">
        <v>402</v>
      </c>
      <c r="Q1426" s="72"/>
      <c r="R1426" s="162"/>
      <c r="S1426" s="146"/>
      <c r="T1426" s="68" t="s">
        <v>165</v>
      </c>
      <c r="U1426" s="87"/>
      <c r="V1426" s="80">
        <v>44300</v>
      </c>
      <c r="W1426" s="73">
        <v>355</v>
      </c>
      <c r="X1426" s="73">
        <v>12.1</v>
      </c>
      <c r="Y1426" s="83">
        <f>IF(SUM(W1426:W1426)&gt;0,X1426/SUM(W1426:W1426)*1000000,"N/A")</f>
        <v>34084.507042253521</v>
      </c>
      <c r="Z1426" s="80"/>
      <c r="AA1426" s="80"/>
      <c r="AB1426" s="73"/>
      <c r="AC1426" s="153"/>
      <c r="AD1426" s="331"/>
      <c r="AE1426" s="57"/>
      <c r="AF1426" s="88"/>
      <c r="AG1426" s="182">
        <f>YEAR(D1426)</f>
        <v>2021</v>
      </c>
      <c r="AH1426" s="86" t="str">
        <f>+IF(AE1426=$AJ$22,MONTH(T1426),"")</f>
        <v/>
      </c>
      <c r="AI1426" s="86" t="str">
        <f>+IF(AF1426=$AJ$22,MONTH(U1426),"")</f>
        <v/>
      </c>
      <c r="AJ1426" s="86" t="str">
        <f>+IF(AG1426=$AJ$22,MONTH(V1426),"")</f>
        <v/>
      </c>
      <c r="AK1426" s="86" t="str">
        <f>+IF(AG1426=$AK$22,MONTH(V1426),"")</f>
        <v/>
      </c>
      <c r="AL1426" s="86" t="str">
        <f>+IF(AG1426=$AL$22,MONTH(V1426),"")</f>
        <v/>
      </c>
      <c r="AM1426" s="86">
        <f>+IF($AG1426=$AM$22,MONTH($D1426),"")</f>
        <v>4</v>
      </c>
      <c r="AN1426" s="89" t="str">
        <f>+IF($AG1426=AN$22,MONTH($D1426),"")</f>
        <v/>
      </c>
      <c r="AO1426" s="89" t="str">
        <f>+IF($AG1426=AO$22,MONTH($D1426),"")</f>
        <v/>
      </c>
      <c r="AP1426" s="89" t="str">
        <f>+IF($AG1426=AP$22,MONTH($D1426),"")</f>
        <v/>
      </c>
      <c r="AQ1426" s="89" t="str">
        <f>+IF($AG1426=AQ$22,MONTH($D1426),"")</f>
        <v/>
      </c>
      <c r="AR1426" s="89" t="str">
        <f>+IF($AG1426=AR$22,MONTH($D1426),"")</f>
        <v/>
      </c>
      <c r="AS1426" s="89" t="str">
        <f>+IF($AG1426=AS$22,MONTH($D1426),"")</f>
        <v/>
      </c>
      <c r="AT1426" s="89" t="str">
        <f>+IF($AG1426=AT$22,MONTH($D1426),"")</f>
        <v/>
      </c>
      <c r="AU1426" s="89" t="str">
        <f>+IF($AG1426=AU$22,MONTH($D1426),"")</f>
        <v/>
      </c>
      <c r="AV1426" s="89" t="str">
        <f>+IF($AG1426=AV$22,MONTH($D1426),"")</f>
        <v/>
      </c>
      <c r="AW1426" s="86" t="str">
        <f>+IF($AG1426=AW$22,MONTH($D1426),"")</f>
        <v/>
      </c>
      <c r="AX1426" s="86" t="str">
        <f>+IF($AG1426=AX$22,MONTH($D1426),"")</f>
        <v/>
      </c>
      <c r="AY1426" s="89"/>
      <c r="AZ1426" s="89"/>
      <c r="BA1426" s="89"/>
      <c r="BB1426" s="89"/>
      <c r="BC1426" s="89"/>
      <c r="BD1426" s="89"/>
      <c r="BE1426" s="89"/>
      <c r="BF1426" s="89"/>
      <c r="BG1426" s="89"/>
      <c r="BH1426" s="89"/>
      <c r="BI1426" s="89"/>
      <c r="BJ1426" s="89"/>
      <c r="BK1426" s="89"/>
      <c r="BL1426" s="89"/>
      <c r="BM1426" s="89"/>
      <c r="BN1426" s="89"/>
      <c r="BO1426" s="89"/>
      <c r="BP1426" s="89"/>
    </row>
    <row r="1427" spans="1:68" s="56" customFormat="1" ht="13.5" hidden="1">
      <c r="A1427" s="204">
        <f>+IFERROR(VALUE(MID(AB1427,4,4)),"")</f>
        <v>246</v>
      </c>
      <c r="B1427" s="204">
        <f>VALUE(RIGHT(C1427,LEN(C1427)-2))</f>
        <v>1297</v>
      </c>
      <c r="C1427" s="74" t="s">
        <v>5347</v>
      </c>
      <c r="D1427" s="75">
        <v>44300</v>
      </c>
      <c r="E1427" s="70" t="s">
        <v>277</v>
      </c>
      <c r="F1427" s="70" t="s">
        <v>277</v>
      </c>
      <c r="G1427" s="68" t="s">
        <v>1350</v>
      </c>
      <c r="H1427" s="59" t="s">
        <v>4327</v>
      </c>
      <c r="I1427" s="69" t="s">
        <v>5348</v>
      </c>
      <c r="J1427" s="69"/>
      <c r="K1427" s="68" t="s">
        <v>45</v>
      </c>
      <c r="L1427" s="69" t="s">
        <v>120</v>
      </c>
      <c r="M1427" s="71" t="s">
        <v>141</v>
      </c>
      <c r="N1427" s="69" t="e" vm="1">
        <v>#VALUE!</v>
      </c>
      <c r="O1427" s="84"/>
      <c r="P1427" s="72" t="s">
        <v>402</v>
      </c>
      <c r="Q1427" s="72" t="s">
        <v>623</v>
      </c>
      <c r="R1427" s="162"/>
      <c r="S1427" s="146"/>
      <c r="T1427" s="68" t="s">
        <v>3</v>
      </c>
      <c r="U1427" s="87"/>
      <c r="V1427" s="80">
        <v>44300</v>
      </c>
      <c r="W1427" s="73">
        <v>180</v>
      </c>
      <c r="X1427" s="73">
        <f>8939200/1000000</f>
        <v>8.9391999999999996</v>
      </c>
      <c r="Y1427" s="83">
        <f>IF(SUM(W1427:W1427)&gt;0,X1427/SUM(W1427:W1427)*1000000,"N/A")</f>
        <v>49662.222222222219</v>
      </c>
      <c r="Z1427" s="80"/>
      <c r="AA1427" s="80"/>
      <c r="AB1427" s="73" t="s">
        <v>5349</v>
      </c>
      <c r="AC1427" s="153"/>
      <c r="AD1427" s="331"/>
      <c r="AE1427" s="57"/>
      <c r="AF1427" s="88"/>
      <c r="AG1427" s="182">
        <f>YEAR(D1427)</f>
        <v>2021</v>
      </c>
      <c r="AH1427" s="86" t="str">
        <f>+IF(AE1427=$AJ$22,MONTH(T1427),"")</f>
        <v/>
      </c>
      <c r="AI1427" s="86" t="str">
        <f>+IF(AF1427=$AJ$22,MONTH(U1427),"")</f>
        <v/>
      </c>
      <c r="AJ1427" s="86" t="str">
        <f>+IF(AG1427=$AJ$22,MONTH(V1427),"")</f>
        <v/>
      </c>
      <c r="AK1427" s="86" t="str">
        <f>+IF(AG1427=$AK$22,MONTH(V1427),"")</f>
        <v/>
      </c>
      <c r="AL1427" s="86" t="str">
        <f>+IF(AG1427=$AL$22,MONTH(V1427),"")</f>
        <v/>
      </c>
      <c r="AM1427" s="86">
        <f>+IF($AG1427=$AM$22,MONTH($D1427),"")</f>
        <v>4</v>
      </c>
      <c r="AN1427" s="89" t="str">
        <f>+IF($AG1427=AN$22,MONTH($D1427),"")</f>
        <v/>
      </c>
      <c r="AO1427" s="89" t="str">
        <f>+IF($AG1427=AO$22,MONTH($D1427),"")</f>
        <v/>
      </c>
      <c r="AP1427" s="89" t="str">
        <f>+IF($AG1427=AP$22,MONTH($D1427),"")</f>
        <v/>
      </c>
      <c r="AQ1427" s="89" t="str">
        <f>+IF($AG1427=AQ$22,MONTH($D1427),"")</f>
        <v/>
      </c>
      <c r="AR1427" s="89" t="str">
        <f>+IF($AG1427=AR$22,MONTH($D1427),"")</f>
        <v/>
      </c>
      <c r="AS1427" s="89" t="str">
        <f>+IF($AG1427=AS$22,MONTH($D1427),"")</f>
        <v/>
      </c>
      <c r="AT1427" s="89" t="str">
        <f>+IF($AG1427=AT$22,MONTH($D1427),"")</f>
        <v/>
      </c>
      <c r="AU1427" s="89" t="str">
        <f>+IF($AG1427=AU$22,MONTH($D1427),"")</f>
        <v/>
      </c>
      <c r="AV1427" s="89" t="str">
        <f>+IF($AG1427=AV$22,MONTH($D1427),"")</f>
        <v/>
      </c>
      <c r="AW1427" s="86" t="str">
        <f>+IF($AG1427=AW$22,MONTH($D1427),"")</f>
        <v/>
      </c>
      <c r="AX1427" s="86" t="str">
        <f>+IF($AG1427=AX$22,MONTH($D1427),"")</f>
        <v/>
      </c>
      <c r="AY1427" s="89"/>
      <c r="AZ1427" s="89"/>
      <c r="BA1427" s="89"/>
      <c r="BB1427" s="89"/>
      <c r="BC1427" s="89"/>
      <c r="BD1427" s="89"/>
      <c r="BE1427" s="89"/>
      <c r="BF1427" s="89"/>
      <c r="BG1427" s="89"/>
      <c r="BH1427" s="89"/>
      <c r="BI1427" s="89"/>
      <c r="BJ1427" s="89"/>
      <c r="BK1427" s="89"/>
      <c r="BL1427" s="89"/>
      <c r="BM1427" s="89"/>
      <c r="BN1427" s="89"/>
      <c r="BO1427" s="89"/>
      <c r="BP1427" s="89"/>
    </row>
    <row r="1428" spans="1:68" s="56" customFormat="1" ht="36.75" hidden="1" customHeight="1">
      <c r="A1428" s="204">
        <f>+IFERROR(VALUE(MID(AB1428,4,4)),"")</f>
        <v>264</v>
      </c>
      <c r="B1428" s="204">
        <f>VALUE(RIGHT(C1428,LEN(C1428)-2))</f>
        <v>1296</v>
      </c>
      <c r="C1428" s="74" t="s">
        <v>5350</v>
      </c>
      <c r="D1428" s="75">
        <v>44293</v>
      </c>
      <c r="E1428" s="70" t="s">
        <v>4114</v>
      </c>
      <c r="F1428" s="70" t="s">
        <v>4114</v>
      </c>
      <c r="G1428" s="68" t="s">
        <v>749</v>
      </c>
      <c r="H1428" s="59"/>
      <c r="I1428" s="69" t="s">
        <v>5351</v>
      </c>
      <c r="J1428" s="69"/>
      <c r="K1428" s="68" t="s">
        <v>31</v>
      </c>
      <c r="L1428" s="69" t="s">
        <v>120</v>
      </c>
      <c r="M1428" s="71" t="s">
        <v>141</v>
      </c>
      <c r="N1428" s="69" t="e" vm="1">
        <v>#VALUE!</v>
      </c>
      <c r="O1428" s="84"/>
      <c r="P1428" s="72" t="s">
        <v>274</v>
      </c>
      <c r="Q1428" s="72" t="s">
        <v>623</v>
      </c>
      <c r="R1428" s="162"/>
      <c r="S1428" s="146" t="s">
        <v>5352</v>
      </c>
      <c r="T1428" s="68" t="s">
        <v>3</v>
      </c>
      <c r="U1428" s="87"/>
      <c r="V1428" s="80">
        <v>44298</v>
      </c>
      <c r="W1428" s="73">
        <v>550</v>
      </c>
      <c r="X1428" s="73">
        <f>940*29200/1000000</f>
        <v>27.448</v>
      </c>
      <c r="Y1428" s="83">
        <f>IF(SUM(W1428:W1428)&gt;0,X1428/SUM(W1428:W1428)*1000000,"N/A")</f>
        <v>49905.454545454544</v>
      </c>
      <c r="Z1428" s="80"/>
      <c r="AA1428" s="80"/>
      <c r="AB1428" s="73" t="s">
        <v>5353</v>
      </c>
      <c r="AC1428" s="153"/>
      <c r="AD1428" s="331"/>
      <c r="AE1428" s="57"/>
      <c r="AF1428" s="88"/>
      <c r="AG1428" s="182">
        <f>YEAR(D1428)</f>
        <v>2021</v>
      </c>
      <c r="AH1428" s="86" t="str">
        <f>+IF(AE1428=$AJ$22,MONTH(T1428),"")</f>
        <v/>
      </c>
      <c r="AI1428" s="86" t="str">
        <f>+IF(AF1428=$AJ$22,MONTH(U1428),"")</f>
        <v/>
      </c>
      <c r="AJ1428" s="86" t="str">
        <f>+IF(AG1428=$AJ$22,MONTH(V1428),"")</f>
        <v/>
      </c>
      <c r="AK1428" s="86" t="str">
        <f>+IF(AG1428=$AK$22,MONTH(V1428),"")</f>
        <v/>
      </c>
      <c r="AL1428" s="86" t="str">
        <f>+IF(AG1428=$AL$22,MONTH(V1428),"")</f>
        <v/>
      </c>
      <c r="AM1428" s="86">
        <f>+IF($AG1428=$AM$22,MONTH($D1428),"")</f>
        <v>4</v>
      </c>
      <c r="AN1428" s="89" t="str">
        <f>+IF($AG1428=AN$22,MONTH($D1428),"")</f>
        <v/>
      </c>
      <c r="AO1428" s="89" t="str">
        <f>+IF($AG1428=AO$22,MONTH($D1428),"")</f>
        <v/>
      </c>
      <c r="AP1428" s="89" t="str">
        <f>+IF($AG1428=AP$22,MONTH($D1428),"")</f>
        <v/>
      </c>
      <c r="AQ1428" s="89" t="str">
        <f>+IF($AG1428=AQ$22,MONTH($D1428),"")</f>
        <v/>
      </c>
      <c r="AR1428" s="89" t="str">
        <f>+IF($AG1428=AR$22,MONTH($D1428),"")</f>
        <v/>
      </c>
      <c r="AS1428" s="89" t="str">
        <f>+IF($AG1428=AS$22,MONTH($D1428),"")</f>
        <v/>
      </c>
      <c r="AT1428" s="89" t="str">
        <f>+IF($AG1428=AT$22,MONTH($D1428),"")</f>
        <v/>
      </c>
      <c r="AU1428" s="89" t="str">
        <f>+IF($AG1428=AU$22,MONTH($D1428),"")</f>
        <v/>
      </c>
      <c r="AV1428" s="89" t="str">
        <f>+IF($AG1428=AV$22,MONTH($D1428),"")</f>
        <v/>
      </c>
      <c r="AW1428" s="86" t="str">
        <f>+IF($AG1428=AW$22,MONTH($D1428),"")</f>
        <v/>
      </c>
      <c r="AX1428" s="86" t="str">
        <f>+IF($AG1428=AX$22,MONTH($D1428),"")</f>
        <v/>
      </c>
      <c r="AY1428" s="89"/>
      <c r="AZ1428" s="89"/>
      <c r="BA1428" s="89"/>
      <c r="BB1428" s="89"/>
      <c r="BC1428" s="89"/>
      <c r="BD1428" s="89"/>
      <c r="BE1428" s="89"/>
      <c r="BF1428" s="89"/>
      <c r="BG1428" s="89"/>
      <c r="BH1428" s="89"/>
      <c r="BI1428" s="89"/>
      <c r="BJ1428" s="89"/>
      <c r="BK1428" s="89"/>
      <c r="BL1428" s="89"/>
      <c r="BM1428" s="89"/>
      <c r="BN1428" s="89"/>
      <c r="BO1428" s="89"/>
      <c r="BP1428" s="89"/>
    </row>
    <row r="1429" spans="1:68" s="56" customFormat="1" ht="108" hidden="1">
      <c r="A1429" s="204" t="str">
        <f>+IFERROR(VALUE(MID(AB1429,4,4)),"")</f>
        <v/>
      </c>
      <c r="B1429" s="204">
        <f>VALUE(RIGHT(C1429,LEN(C1429)-2))</f>
        <v>1295</v>
      </c>
      <c r="C1429" s="74" t="s">
        <v>5354</v>
      </c>
      <c r="D1429" s="75">
        <v>44293</v>
      </c>
      <c r="E1429" s="70" t="s">
        <v>53</v>
      </c>
      <c r="F1429" s="70" t="s">
        <v>313</v>
      </c>
      <c r="G1429" s="68"/>
      <c r="H1429" s="59"/>
      <c r="I1429" s="69" t="s">
        <v>4208</v>
      </c>
      <c r="J1429" s="69"/>
      <c r="K1429" s="68" t="s">
        <v>212</v>
      </c>
      <c r="L1429" s="69" t="s">
        <v>123</v>
      </c>
      <c r="M1429" s="71" t="s">
        <v>141</v>
      </c>
      <c r="N1429" s="69" t="e" vm="1">
        <v>#VALUE!</v>
      </c>
      <c r="O1429" s="84"/>
      <c r="P1429" s="72" t="s">
        <v>228</v>
      </c>
      <c r="Q1429" s="72"/>
      <c r="R1429" s="162"/>
      <c r="S1429" s="146" t="s">
        <v>5355</v>
      </c>
      <c r="T1429" s="68" t="s">
        <v>165</v>
      </c>
      <c r="U1429" s="87"/>
      <c r="V1429" s="80">
        <v>44509</v>
      </c>
      <c r="W1429" s="73">
        <f>248300/36*5</f>
        <v>34486.111111111109</v>
      </c>
      <c r="X1429" s="73">
        <f>8667.4/36*5</f>
        <v>1203.8055555555554</v>
      </c>
      <c r="Y1429" s="83">
        <f>IF(SUM(W1429:W1429)&gt;0,X1429/SUM(W1429:W1429)*1000000,"N/A")</f>
        <v>34906.967378171568</v>
      </c>
      <c r="Z1429" s="80"/>
      <c r="AA1429" s="80"/>
      <c r="AB1429" s="73"/>
      <c r="AC1429" s="153"/>
      <c r="AD1429" s="331"/>
      <c r="AE1429" s="57"/>
      <c r="AF1429" s="88"/>
      <c r="AG1429" s="182">
        <f>YEAR(D1429)</f>
        <v>2021</v>
      </c>
      <c r="AH1429" s="86" t="str">
        <f>+IF(AE1429=$AJ$22,MONTH(T1429),"")</f>
        <v/>
      </c>
      <c r="AI1429" s="86" t="str">
        <f>+IF(AF1429=$AJ$22,MONTH(U1429),"")</f>
        <v/>
      </c>
      <c r="AJ1429" s="86" t="str">
        <f>+IF(AG1429=$AJ$22,MONTH(V1429),"")</f>
        <v/>
      </c>
      <c r="AK1429" s="86" t="str">
        <f>+IF(AG1429=$AK$22,MONTH(V1429),"")</f>
        <v/>
      </c>
      <c r="AL1429" s="86" t="str">
        <f>+IF(AG1429=$AL$22,MONTH(V1429),"")</f>
        <v/>
      </c>
      <c r="AM1429" s="86">
        <f>+IF($AG1429=$AM$22,MONTH($D1429),"")</f>
        <v>4</v>
      </c>
      <c r="AN1429" s="89" t="str">
        <f>+IF($AG1429=AN$22,MONTH($D1429),"")</f>
        <v/>
      </c>
      <c r="AO1429" s="89" t="str">
        <f>+IF($AG1429=AO$22,MONTH($D1429),"")</f>
        <v/>
      </c>
      <c r="AP1429" s="89" t="str">
        <f>+IF($AG1429=AP$22,MONTH($D1429),"")</f>
        <v/>
      </c>
      <c r="AQ1429" s="89" t="str">
        <f>+IF($AG1429=AQ$22,MONTH($D1429),"")</f>
        <v/>
      </c>
      <c r="AR1429" s="89" t="str">
        <f>+IF($AG1429=AR$22,MONTH($D1429),"")</f>
        <v/>
      </c>
      <c r="AS1429" s="89" t="str">
        <f>+IF($AG1429=AS$22,MONTH($D1429),"")</f>
        <v/>
      </c>
      <c r="AT1429" s="89" t="str">
        <f>+IF($AG1429=AT$22,MONTH($D1429),"")</f>
        <v/>
      </c>
      <c r="AU1429" s="89" t="str">
        <f>+IF($AG1429=AU$22,MONTH($D1429),"")</f>
        <v/>
      </c>
      <c r="AV1429" s="89" t="str">
        <f>+IF($AG1429=AV$22,MONTH($D1429),"")</f>
        <v/>
      </c>
      <c r="AW1429" s="86" t="str">
        <f>+IF($AG1429=AW$22,MONTH($D1429),"")</f>
        <v/>
      </c>
      <c r="AX1429" s="86" t="str">
        <f>+IF($AG1429=AX$22,MONTH($D1429),"")</f>
        <v/>
      </c>
      <c r="AY1429" s="89"/>
      <c r="AZ1429" s="89"/>
      <c r="BA1429" s="89"/>
      <c r="BB1429" s="89"/>
      <c r="BC1429" s="89"/>
      <c r="BD1429" s="89"/>
      <c r="BE1429" s="89"/>
      <c r="BF1429" s="89"/>
      <c r="BG1429" s="89"/>
      <c r="BH1429" s="89"/>
      <c r="BI1429" s="89"/>
      <c r="BJ1429" s="89"/>
      <c r="BK1429" s="89"/>
      <c r="BL1429" s="89"/>
      <c r="BM1429" s="89"/>
      <c r="BN1429" s="89"/>
      <c r="BO1429" s="89"/>
      <c r="BP1429" s="89"/>
    </row>
    <row r="1430" spans="1:68" s="56" customFormat="1" ht="27" hidden="1">
      <c r="A1430" s="204" t="str">
        <f>+IFERROR(VALUE(MID(AB1430,4,4)),"")</f>
        <v/>
      </c>
      <c r="B1430" s="204">
        <f>VALUE(RIGHT(C1430,LEN(C1430)-2))</f>
        <v>1294</v>
      </c>
      <c r="C1430" s="74" t="s">
        <v>5356</v>
      </c>
      <c r="D1430" s="75">
        <v>44291</v>
      </c>
      <c r="E1430" s="70" t="s">
        <v>394</v>
      </c>
      <c r="F1430" s="70" t="s">
        <v>394</v>
      </c>
      <c r="G1430" s="68" t="s">
        <v>3726</v>
      </c>
      <c r="H1430" s="59" t="s">
        <v>3727</v>
      </c>
      <c r="I1430" s="69" t="s">
        <v>5357</v>
      </c>
      <c r="J1430" s="69"/>
      <c r="K1430" s="68" t="s">
        <v>13</v>
      </c>
      <c r="L1430" s="69" t="s">
        <v>120</v>
      </c>
      <c r="M1430" s="71" t="s">
        <v>141</v>
      </c>
      <c r="N1430" s="69" t="e" vm="1">
        <v>#VALUE!</v>
      </c>
      <c r="O1430" s="84"/>
      <c r="P1430" s="72" t="s">
        <v>402</v>
      </c>
      <c r="Q1430" s="72"/>
      <c r="R1430" s="162"/>
      <c r="S1430" s="146"/>
      <c r="T1430" s="68" t="s">
        <v>155</v>
      </c>
      <c r="U1430" s="87"/>
      <c r="V1430" s="80"/>
      <c r="W1430" s="73"/>
      <c r="X1430" s="73"/>
      <c r="Y1430" s="83"/>
      <c r="Z1430" s="80"/>
      <c r="AA1430" s="80"/>
      <c r="AB1430" s="73"/>
      <c r="AC1430" s="153"/>
      <c r="AD1430" s="331"/>
      <c r="AE1430" s="57"/>
      <c r="AF1430" s="88"/>
      <c r="AG1430" s="182">
        <f>YEAR(D1430)</f>
        <v>2021</v>
      </c>
      <c r="AH1430" s="86" t="str">
        <f>+IF(AE1430=$AJ$22,MONTH(T1430),"")</f>
        <v/>
      </c>
      <c r="AI1430" s="86" t="str">
        <f>+IF(AF1430=$AJ$22,MONTH(U1430),"")</f>
        <v/>
      </c>
      <c r="AJ1430" s="86" t="str">
        <f>+IF(AG1430=$AJ$22,MONTH(V1430),"")</f>
        <v/>
      </c>
      <c r="AK1430" s="86" t="str">
        <f>+IF(AG1430=$AK$22,MONTH(V1430),"")</f>
        <v/>
      </c>
      <c r="AL1430" s="86" t="str">
        <f>+IF(AG1430=$AL$22,MONTH(V1430),"")</f>
        <v/>
      </c>
      <c r="AM1430" s="86">
        <f>+IF($AG1430=$AM$22,MONTH($D1430),"")</f>
        <v>4</v>
      </c>
      <c r="AN1430" s="89" t="str">
        <f>+IF($AG1430=AN$22,MONTH($D1430),"")</f>
        <v/>
      </c>
      <c r="AO1430" s="89" t="str">
        <f>+IF($AG1430=AO$22,MONTH($D1430),"")</f>
        <v/>
      </c>
      <c r="AP1430" s="89" t="str">
        <f>+IF($AG1430=AP$22,MONTH($D1430),"")</f>
        <v/>
      </c>
      <c r="AQ1430" s="89" t="str">
        <f>+IF($AG1430=AQ$22,MONTH($D1430),"")</f>
        <v/>
      </c>
      <c r="AR1430" s="89" t="str">
        <f>+IF($AG1430=AR$22,MONTH($D1430),"")</f>
        <v/>
      </c>
      <c r="AS1430" s="89" t="str">
        <f>+IF($AG1430=AS$22,MONTH($D1430),"")</f>
        <v/>
      </c>
      <c r="AT1430" s="89" t="str">
        <f>+IF($AG1430=AT$22,MONTH($D1430),"")</f>
        <v/>
      </c>
      <c r="AU1430" s="89" t="str">
        <f>+IF($AG1430=AU$22,MONTH($D1430),"")</f>
        <v/>
      </c>
      <c r="AV1430" s="89" t="str">
        <f>+IF($AG1430=AV$22,MONTH($D1430),"")</f>
        <v/>
      </c>
      <c r="AW1430" s="86" t="str">
        <f>+IF($AG1430=AW$22,MONTH($D1430),"")</f>
        <v/>
      </c>
      <c r="AX1430" s="86" t="str">
        <f>+IF($AG1430=AX$22,MONTH($D1430),"")</f>
        <v/>
      </c>
      <c r="AY1430" s="89"/>
      <c r="AZ1430" s="89"/>
      <c r="BA1430" s="89"/>
      <c r="BB1430" s="89"/>
      <c r="BC1430" s="89"/>
      <c r="BD1430" s="89"/>
      <c r="BE1430" s="89"/>
      <c r="BF1430" s="89"/>
      <c r="BG1430" s="89"/>
      <c r="BH1430" s="89"/>
      <c r="BI1430" s="89"/>
      <c r="BJ1430" s="89"/>
      <c r="BK1430" s="89"/>
      <c r="BL1430" s="89"/>
      <c r="BM1430" s="89"/>
      <c r="BN1430" s="89"/>
      <c r="BO1430" s="89"/>
      <c r="BP1430" s="89"/>
    </row>
    <row r="1431" spans="1:68" s="56" customFormat="1" ht="53.25" hidden="1">
      <c r="A1431" s="204" t="str">
        <f>+IFERROR(VALUE(MID(AB1431,4,4)),"")</f>
        <v/>
      </c>
      <c r="B1431" s="204">
        <f>VALUE(RIGHT(C1431,LEN(C1431)-2))</f>
        <v>1293</v>
      </c>
      <c r="C1431" s="74" t="s">
        <v>5358</v>
      </c>
      <c r="D1431" s="75">
        <v>44287</v>
      </c>
      <c r="E1431" s="70" t="s">
        <v>255</v>
      </c>
      <c r="F1431" s="70" t="s">
        <v>255</v>
      </c>
      <c r="G1431" s="68"/>
      <c r="H1431" s="59"/>
      <c r="I1431" s="69" t="s">
        <v>5359</v>
      </c>
      <c r="J1431" s="69"/>
      <c r="K1431" s="68" t="s">
        <v>212</v>
      </c>
      <c r="L1431" s="69" t="s">
        <v>123</v>
      </c>
      <c r="M1431" s="71" t="s">
        <v>141</v>
      </c>
      <c r="N1431" s="69" t="e" vm="1">
        <v>#VALUE!</v>
      </c>
      <c r="O1431" s="84"/>
      <c r="P1431" s="72" t="s">
        <v>4897</v>
      </c>
      <c r="Q1431" s="72"/>
      <c r="R1431" s="162"/>
      <c r="S1431" s="146" t="s">
        <v>5360</v>
      </c>
      <c r="T1431" s="68" t="s">
        <v>165</v>
      </c>
      <c r="U1431" s="87"/>
      <c r="V1431" s="80">
        <v>44448</v>
      </c>
      <c r="W1431" s="73">
        <v>27446.6</v>
      </c>
      <c r="X1431" s="73">
        <v>1125</v>
      </c>
      <c r="Y1431" s="83">
        <f>IF(SUM(W1431:W1431)&gt;0,X1431/SUM(W1431:W1431)*1000000,"N/A")</f>
        <v>40988.683479921012</v>
      </c>
      <c r="Z1431" s="80"/>
      <c r="AA1431" s="80"/>
      <c r="AB1431" s="73"/>
      <c r="AC1431" s="153"/>
      <c r="AD1431" s="331"/>
      <c r="AE1431" s="57"/>
      <c r="AF1431" s="88"/>
      <c r="AG1431" s="182">
        <f>YEAR(D1431)</f>
        <v>2021</v>
      </c>
      <c r="AH1431" s="86" t="str">
        <f>+IF(AE1431=$AJ$22,MONTH(T1431),"")</f>
        <v/>
      </c>
      <c r="AI1431" s="86" t="str">
        <f>+IF(AF1431=$AJ$22,MONTH(U1431),"")</f>
        <v/>
      </c>
      <c r="AJ1431" s="86" t="str">
        <f>+IF(AG1431=$AJ$22,MONTH(V1431),"")</f>
        <v/>
      </c>
      <c r="AK1431" s="86" t="str">
        <f>+IF(AG1431=$AK$22,MONTH(V1431),"")</f>
        <v/>
      </c>
      <c r="AL1431" s="86" t="str">
        <f>+IF(AG1431=$AL$22,MONTH(V1431),"")</f>
        <v/>
      </c>
      <c r="AM1431" s="86">
        <f>+IF($AG1431=$AM$22,MONTH($D1431),"")</f>
        <v>4</v>
      </c>
      <c r="AN1431" s="89" t="str">
        <f>+IF($AG1431=AN$22,MONTH($D1431),"")</f>
        <v/>
      </c>
      <c r="AO1431" s="89" t="str">
        <f>+IF($AG1431=AO$22,MONTH($D1431),"")</f>
        <v/>
      </c>
      <c r="AP1431" s="89" t="str">
        <f>+IF($AG1431=AP$22,MONTH($D1431),"")</f>
        <v/>
      </c>
      <c r="AQ1431" s="89" t="str">
        <f>+IF($AG1431=AQ$22,MONTH($D1431),"")</f>
        <v/>
      </c>
      <c r="AR1431" s="89" t="str">
        <f>+IF($AG1431=AR$22,MONTH($D1431),"")</f>
        <v/>
      </c>
      <c r="AS1431" s="89" t="str">
        <f>+IF($AG1431=AS$22,MONTH($D1431),"")</f>
        <v/>
      </c>
      <c r="AT1431" s="89" t="str">
        <f>+IF($AG1431=AT$22,MONTH($D1431),"")</f>
        <v/>
      </c>
      <c r="AU1431" s="89" t="str">
        <f>+IF($AG1431=AU$22,MONTH($D1431),"")</f>
        <v/>
      </c>
      <c r="AV1431" s="89" t="str">
        <f>+IF($AG1431=AV$22,MONTH($D1431),"")</f>
        <v/>
      </c>
      <c r="AW1431" s="86" t="str">
        <f>+IF($AG1431=AW$22,MONTH($D1431),"")</f>
        <v/>
      </c>
      <c r="AX1431" s="86" t="str">
        <f>+IF($AG1431=AX$22,MONTH($D1431),"")</f>
        <v/>
      </c>
      <c r="AY1431" s="89"/>
      <c r="AZ1431" s="89"/>
      <c r="BA1431" s="89"/>
      <c r="BB1431" s="89"/>
      <c r="BC1431" s="89"/>
      <c r="BD1431" s="89"/>
      <c r="BE1431" s="89"/>
      <c r="BF1431" s="89"/>
      <c r="BG1431" s="89"/>
      <c r="BH1431" s="89"/>
      <c r="BI1431" s="89"/>
      <c r="BJ1431" s="89"/>
      <c r="BK1431" s="89"/>
      <c r="BL1431" s="89"/>
      <c r="BM1431" s="89"/>
      <c r="BN1431" s="89"/>
      <c r="BO1431" s="89"/>
      <c r="BP1431" s="89"/>
    </row>
    <row r="1432" spans="1:68" s="56" customFormat="1" ht="67.5" hidden="1">
      <c r="A1432" s="204" t="str">
        <f>+IFERROR(VALUE(MID(AB1432,4,4)),"")</f>
        <v/>
      </c>
      <c r="B1432" s="204">
        <f>VALUE(RIGHT(C1432,LEN(C1432)-2))</f>
        <v>1292</v>
      </c>
      <c r="C1432" s="74" t="s">
        <v>5361</v>
      </c>
      <c r="D1432" s="75">
        <v>44279</v>
      </c>
      <c r="E1432" s="70" t="s">
        <v>394</v>
      </c>
      <c r="F1432" s="70" t="s">
        <v>394</v>
      </c>
      <c r="G1432" s="68" t="s">
        <v>4108</v>
      </c>
      <c r="H1432" s="59"/>
      <c r="I1432" s="69" t="s">
        <v>5362</v>
      </c>
      <c r="J1432" s="69"/>
      <c r="K1432" s="68" t="s">
        <v>5363</v>
      </c>
      <c r="L1432" s="69" t="s">
        <v>120</v>
      </c>
      <c r="M1432" s="71" t="s">
        <v>141</v>
      </c>
      <c r="N1432" s="69" t="e" vm="1">
        <v>#VALUE!</v>
      </c>
      <c r="O1432" s="84"/>
      <c r="P1432" s="72" t="s">
        <v>402</v>
      </c>
      <c r="Q1432" s="72"/>
      <c r="R1432" s="162"/>
      <c r="S1432" s="146" t="s">
        <v>5364</v>
      </c>
      <c r="T1432" s="68" t="s">
        <v>155</v>
      </c>
      <c r="U1432" s="87">
        <v>0</v>
      </c>
      <c r="V1432" s="80">
        <v>44461</v>
      </c>
      <c r="W1432" s="73"/>
      <c r="X1432" s="73"/>
      <c r="Y1432" s="83" t="str">
        <f>IF(SUM(W1432:W1432)&gt;0,X1432/SUM(W1432:W1432)*1000000,"N/A")</f>
        <v>N/A</v>
      </c>
      <c r="Z1432" s="80"/>
      <c r="AA1432" s="80"/>
      <c r="AB1432" s="73"/>
      <c r="AC1432" s="153"/>
      <c r="AD1432" s="331"/>
      <c r="AE1432" s="57"/>
      <c r="AF1432" s="88"/>
      <c r="AG1432" s="182">
        <f>YEAR(D1432)</f>
        <v>2021</v>
      </c>
      <c r="AH1432" s="86" t="str">
        <f>+IF(AE1432=$AJ$22,MONTH(T1432),"")</f>
        <v/>
      </c>
      <c r="AI1432" s="86" t="str">
        <f>+IF(AF1432=$AJ$22,MONTH(U1432),"")</f>
        <v/>
      </c>
      <c r="AJ1432" s="86" t="str">
        <f>+IF(AG1432=$AJ$22,MONTH(V1432),"")</f>
        <v/>
      </c>
      <c r="AK1432" s="86" t="str">
        <f>+IF(AG1432=$AK$22,MONTH(V1432),"")</f>
        <v/>
      </c>
      <c r="AL1432" s="86" t="str">
        <f>+IF(AG1432=$AL$22,MONTH(V1432),"")</f>
        <v/>
      </c>
      <c r="AM1432" s="86">
        <f>+IF($AG1432=$AM$22,MONTH($D1432),"")</f>
        <v>3</v>
      </c>
      <c r="AN1432" s="89" t="str">
        <f>+IF($AG1432=AN$22,MONTH($D1432),"")</f>
        <v/>
      </c>
      <c r="AO1432" s="89" t="str">
        <f>+IF($AG1432=AO$22,MONTH($D1432),"")</f>
        <v/>
      </c>
      <c r="AP1432" s="89" t="str">
        <f>+IF($AG1432=AP$22,MONTH($D1432),"")</f>
        <v/>
      </c>
      <c r="AQ1432" s="89" t="str">
        <f>+IF($AG1432=AQ$22,MONTH($D1432),"")</f>
        <v/>
      </c>
      <c r="AR1432" s="89" t="str">
        <f>+IF($AG1432=AR$22,MONTH($D1432),"")</f>
        <v/>
      </c>
      <c r="AS1432" s="89" t="str">
        <f>+IF($AG1432=AS$22,MONTH($D1432),"")</f>
        <v/>
      </c>
      <c r="AT1432" s="89" t="str">
        <f>+IF($AG1432=AT$22,MONTH($D1432),"")</f>
        <v/>
      </c>
      <c r="AU1432" s="89" t="str">
        <f>+IF($AG1432=AU$22,MONTH($D1432),"")</f>
        <v/>
      </c>
      <c r="AV1432" s="89" t="str">
        <f>+IF($AG1432=AV$22,MONTH($D1432),"")</f>
        <v/>
      </c>
      <c r="AW1432" s="86" t="str">
        <f>+IF($AG1432=AW$22,MONTH($D1432),"")</f>
        <v/>
      </c>
      <c r="AX1432" s="86" t="str">
        <f>+IF($AG1432=AX$22,MONTH($D1432),"")</f>
        <v/>
      </c>
      <c r="AY1432" s="89"/>
      <c r="AZ1432" s="89"/>
      <c r="BA1432" s="89"/>
      <c r="BB1432" s="89"/>
      <c r="BC1432" s="89"/>
      <c r="BD1432" s="89"/>
      <c r="BE1432" s="89"/>
      <c r="BF1432" s="89"/>
      <c r="BG1432" s="89"/>
      <c r="BH1432" s="89"/>
      <c r="BI1432" s="89"/>
      <c r="BJ1432" s="89"/>
      <c r="BK1432" s="89"/>
      <c r="BL1432" s="89"/>
      <c r="BM1432" s="89"/>
      <c r="BN1432" s="89"/>
      <c r="BO1432" s="89"/>
      <c r="BP1432" s="89"/>
    </row>
    <row r="1433" spans="1:68" s="56" customFormat="1" ht="13.5" hidden="1">
      <c r="A1433" s="204">
        <f>+IFERROR(VALUE(MID(AB1433,4,4)),"")</f>
        <v>267</v>
      </c>
      <c r="B1433" s="204">
        <f>VALUE(RIGHT(C1433,LEN(C1433)-2))</f>
        <v>1291</v>
      </c>
      <c r="C1433" s="74" t="s">
        <v>5365</v>
      </c>
      <c r="D1433" s="75">
        <v>44278</v>
      </c>
      <c r="E1433" s="70" t="s">
        <v>394</v>
      </c>
      <c r="F1433" s="70" t="s">
        <v>394</v>
      </c>
      <c r="G1433" s="68" t="s">
        <v>4314</v>
      </c>
      <c r="H1433" s="111" t="s">
        <v>4315</v>
      </c>
      <c r="I1433" s="69" t="s">
        <v>5366</v>
      </c>
      <c r="J1433" s="69"/>
      <c r="K1433" s="68" t="s">
        <v>12</v>
      </c>
      <c r="L1433" s="69" t="s">
        <v>120</v>
      </c>
      <c r="M1433" s="71" t="s">
        <v>141</v>
      </c>
      <c r="N1433" s="69" t="e" vm="1">
        <v>#VALUE!</v>
      </c>
      <c r="O1433" s="84">
        <v>44644</v>
      </c>
      <c r="P1433" s="72" t="s">
        <v>402</v>
      </c>
      <c r="Q1433" s="72" t="s">
        <v>1097</v>
      </c>
      <c r="R1433" s="162"/>
      <c r="S1433" s="146"/>
      <c r="T1433" s="68" t="s">
        <v>3</v>
      </c>
      <c r="U1433" s="87"/>
      <c r="V1433" s="80">
        <v>44291</v>
      </c>
      <c r="W1433" s="73">
        <v>3265</v>
      </c>
      <c r="X1433" s="73">
        <f>4019.92*29200/1000000</f>
        <v>117.381664</v>
      </c>
      <c r="Y1433" s="83">
        <f>IF(SUM(W1433:W1433)&gt;0,X1433/SUM(W1433:W1433)*1000000,"N/A")</f>
        <v>35951.505053598776</v>
      </c>
      <c r="Z1433" s="80"/>
      <c r="AA1433" s="80"/>
      <c r="AB1433" s="73" t="s">
        <v>5367</v>
      </c>
      <c r="AC1433" s="153"/>
      <c r="AD1433" s="331"/>
      <c r="AE1433" s="57"/>
      <c r="AF1433" s="88"/>
      <c r="AG1433" s="182">
        <f>YEAR(D1433)</f>
        <v>2021</v>
      </c>
      <c r="AH1433" s="86" t="str">
        <f>+IF(AE1433=$AJ$22,MONTH(T1433),"")</f>
        <v/>
      </c>
      <c r="AI1433" s="86" t="str">
        <f>+IF(AF1433=$AJ$22,MONTH(U1433),"")</f>
        <v/>
      </c>
      <c r="AJ1433" s="86" t="str">
        <f>+IF(AG1433=$AJ$22,MONTH(V1433),"")</f>
        <v/>
      </c>
      <c r="AK1433" s="86" t="str">
        <f>+IF(AG1433=$AK$22,MONTH(V1433),"")</f>
        <v/>
      </c>
      <c r="AL1433" s="86" t="str">
        <f>+IF(AG1433=$AL$22,MONTH(V1433),"")</f>
        <v/>
      </c>
      <c r="AM1433" s="86">
        <f>+IF($AG1433=$AM$22,MONTH($D1433),"")</f>
        <v>3</v>
      </c>
      <c r="AN1433" s="89" t="str">
        <f>+IF($AG1433=AN$22,MONTH($D1433),"")</f>
        <v/>
      </c>
      <c r="AO1433" s="89" t="str">
        <f>+IF($AG1433=AO$22,MONTH($D1433),"")</f>
        <v/>
      </c>
      <c r="AP1433" s="89" t="str">
        <f>+IF($AG1433=AP$22,MONTH($D1433),"")</f>
        <v/>
      </c>
      <c r="AQ1433" s="89" t="str">
        <f>+IF($AG1433=AQ$22,MONTH($D1433),"")</f>
        <v/>
      </c>
      <c r="AR1433" s="89" t="str">
        <f>+IF($AG1433=AR$22,MONTH($D1433),"")</f>
        <v/>
      </c>
      <c r="AS1433" s="89" t="str">
        <f>+IF($AG1433=AS$22,MONTH($D1433),"")</f>
        <v/>
      </c>
      <c r="AT1433" s="89" t="str">
        <f>+IF($AG1433=AT$22,MONTH($D1433),"")</f>
        <v/>
      </c>
      <c r="AU1433" s="89" t="str">
        <f>+IF($AG1433=AU$22,MONTH($D1433),"")</f>
        <v/>
      </c>
      <c r="AV1433" s="89" t="str">
        <f>+IF($AG1433=AV$22,MONTH($D1433),"")</f>
        <v/>
      </c>
      <c r="AW1433" s="86" t="str">
        <f>+IF($AG1433=AW$22,MONTH($D1433),"")</f>
        <v/>
      </c>
      <c r="AX1433" s="86" t="str">
        <f>+IF($AG1433=AX$22,MONTH($D1433),"")</f>
        <v/>
      </c>
      <c r="AY1433" s="89"/>
      <c r="AZ1433" s="89"/>
      <c r="BA1433" s="89"/>
      <c r="BB1433" s="89"/>
      <c r="BC1433" s="89"/>
      <c r="BD1433" s="89"/>
      <c r="BE1433" s="89"/>
      <c r="BF1433" s="89"/>
      <c r="BG1433" s="89"/>
      <c r="BH1433" s="89"/>
      <c r="BI1433" s="89"/>
      <c r="BJ1433" s="89"/>
      <c r="BK1433" s="89"/>
      <c r="BL1433" s="89"/>
      <c r="BM1433" s="89"/>
      <c r="BN1433" s="89"/>
      <c r="BO1433" s="89"/>
      <c r="BP1433" s="89"/>
    </row>
    <row r="1434" spans="1:68" s="56" customFormat="1" ht="13.5" hidden="1">
      <c r="A1434" s="204" t="str">
        <f>+IFERROR(VALUE(MID(AB1434,4,4)),"")</f>
        <v/>
      </c>
      <c r="B1434" s="204">
        <f>VALUE(RIGHT(C1434,LEN(C1434)-2))</f>
        <v>1290</v>
      </c>
      <c r="C1434" s="74" t="s">
        <v>5368</v>
      </c>
      <c r="D1434" s="75">
        <v>44274</v>
      </c>
      <c r="E1434" s="70" t="s">
        <v>5369</v>
      </c>
      <c r="F1434" s="70" t="s">
        <v>5369</v>
      </c>
      <c r="G1434" s="68" t="s">
        <v>5370</v>
      </c>
      <c r="H1434" s="59"/>
      <c r="I1434" s="69" t="s">
        <v>5371</v>
      </c>
      <c r="J1434" s="69"/>
      <c r="K1434" s="68" t="s">
        <v>11</v>
      </c>
      <c r="L1434" s="69" t="s">
        <v>120</v>
      </c>
      <c r="M1434" s="71" t="s">
        <v>141</v>
      </c>
      <c r="N1434" s="69" t="e" vm="1">
        <v>#VALUE!</v>
      </c>
      <c r="O1434" s="84"/>
      <c r="P1434" s="72" t="s">
        <v>4567</v>
      </c>
      <c r="Q1434" s="72"/>
      <c r="R1434" s="162"/>
      <c r="S1434" s="146"/>
      <c r="T1434" s="68" t="s">
        <v>165</v>
      </c>
      <c r="U1434" s="87"/>
      <c r="V1434" s="80">
        <v>44274</v>
      </c>
      <c r="W1434" s="73">
        <v>520</v>
      </c>
      <c r="X1434" s="73">
        <f>681*29000/1000000</f>
        <v>19.748999999999999</v>
      </c>
      <c r="Y1434" s="83">
        <f>IF(SUM(W1434:W1434)&gt;0,X1434/SUM(W1434:W1434)*1000000,"N/A")</f>
        <v>37978.846153846156</v>
      </c>
      <c r="Z1434" s="80"/>
      <c r="AA1434" s="80"/>
      <c r="AB1434" s="73"/>
      <c r="AC1434" s="153"/>
      <c r="AD1434" s="331"/>
      <c r="AE1434" s="57"/>
      <c r="AF1434" s="88"/>
      <c r="AG1434" s="182">
        <f>YEAR(D1434)</f>
        <v>2021</v>
      </c>
      <c r="AH1434" s="86" t="str">
        <f>+IF(AE1434=$AJ$22,MONTH(T1434),"")</f>
        <v/>
      </c>
      <c r="AI1434" s="86" t="str">
        <f>+IF(AF1434=$AJ$22,MONTH(U1434),"")</f>
        <v/>
      </c>
      <c r="AJ1434" s="86" t="str">
        <f>+IF(AG1434=$AJ$22,MONTH(V1434),"")</f>
        <v/>
      </c>
      <c r="AK1434" s="86" t="str">
        <f>+IF(AG1434=$AK$22,MONTH(V1434),"")</f>
        <v/>
      </c>
      <c r="AL1434" s="86" t="str">
        <f>+IF(AG1434=$AL$22,MONTH(V1434),"")</f>
        <v/>
      </c>
      <c r="AM1434" s="86">
        <f>+IF($AG1434=$AM$22,MONTH($D1434),"")</f>
        <v>3</v>
      </c>
      <c r="AN1434" s="89" t="str">
        <f>+IF($AG1434=AN$22,MONTH($D1434),"")</f>
        <v/>
      </c>
      <c r="AO1434" s="89" t="str">
        <f>+IF($AG1434=AO$22,MONTH($D1434),"")</f>
        <v/>
      </c>
      <c r="AP1434" s="89" t="str">
        <f>+IF($AG1434=AP$22,MONTH($D1434),"")</f>
        <v/>
      </c>
      <c r="AQ1434" s="89" t="str">
        <f>+IF($AG1434=AQ$22,MONTH($D1434),"")</f>
        <v/>
      </c>
      <c r="AR1434" s="89" t="str">
        <f>+IF($AG1434=AR$22,MONTH($D1434),"")</f>
        <v/>
      </c>
      <c r="AS1434" s="89" t="str">
        <f>+IF($AG1434=AS$22,MONTH($D1434),"")</f>
        <v/>
      </c>
      <c r="AT1434" s="89" t="str">
        <f>+IF($AG1434=AT$22,MONTH($D1434),"")</f>
        <v/>
      </c>
      <c r="AU1434" s="89" t="str">
        <f>+IF($AG1434=AU$22,MONTH($D1434),"")</f>
        <v/>
      </c>
      <c r="AV1434" s="89" t="str">
        <f>+IF($AG1434=AV$22,MONTH($D1434),"")</f>
        <v/>
      </c>
      <c r="AW1434" s="86" t="str">
        <f>+IF($AG1434=AW$22,MONTH($D1434),"")</f>
        <v/>
      </c>
      <c r="AX1434" s="86" t="str">
        <f>+IF($AG1434=AX$22,MONTH($D1434),"")</f>
        <v/>
      </c>
      <c r="AY1434" s="89"/>
      <c r="AZ1434" s="89"/>
      <c r="BA1434" s="89"/>
      <c r="BB1434" s="89"/>
      <c r="BC1434" s="89"/>
      <c r="BD1434" s="89"/>
      <c r="BE1434" s="89"/>
      <c r="BF1434" s="89"/>
      <c r="BG1434" s="89"/>
      <c r="BH1434" s="89"/>
      <c r="BI1434" s="89"/>
      <c r="BJ1434" s="89"/>
      <c r="BK1434" s="89"/>
      <c r="BL1434" s="89"/>
      <c r="BM1434" s="89"/>
      <c r="BN1434" s="89"/>
      <c r="BO1434" s="89"/>
      <c r="BP1434" s="89"/>
    </row>
    <row r="1435" spans="1:68" s="56" customFormat="1" ht="27" hidden="1">
      <c r="A1435" s="204">
        <f>+IFERROR(VALUE(MID(AB1435,4,4)),"")</f>
        <v>219</v>
      </c>
      <c r="B1435" s="204">
        <f>VALUE(RIGHT(C1435,LEN(C1435)-2))</f>
        <v>1289</v>
      </c>
      <c r="C1435" s="74" t="s">
        <v>5372</v>
      </c>
      <c r="D1435" s="75">
        <v>44270</v>
      </c>
      <c r="E1435" s="70" t="s">
        <v>41</v>
      </c>
      <c r="F1435" s="70" t="s">
        <v>41</v>
      </c>
      <c r="G1435" s="68" t="s">
        <v>4713</v>
      </c>
      <c r="H1435" s="59"/>
      <c r="I1435" s="69" t="s">
        <v>5373</v>
      </c>
      <c r="J1435" s="69"/>
      <c r="K1435" s="68" t="s">
        <v>13</v>
      </c>
      <c r="L1435" s="69" t="s">
        <v>129</v>
      </c>
      <c r="M1435" s="71" t="s">
        <v>141</v>
      </c>
      <c r="N1435" s="69" t="e" vm="1">
        <v>#VALUE!</v>
      </c>
      <c r="O1435" s="84"/>
      <c r="P1435" s="72" t="s">
        <v>402</v>
      </c>
      <c r="Q1435" s="72" t="s">
        <v>1097</v>
      </c>
      <c r="R1435" s="162"/>
      <c r="S1435" s="146"/>
      <c r="T1435" s="68" t="s">
        <v>3</v>
      </c>
      <c r="U1435" s="87"/>
      <c r="V1435" s="80">
        <v>44272</v>
      </c>
      <c r="W1435" s="73">
        <v>355</v>
      </c>
      <c r="X1435" s="73">
        <f>363*29000/1000000</f>
        <v>10.526999999999999</v>
      </c>
      <c r="Y1435" s="83">
        <f>IF(SUM(W1435:W1435)&gt;0,X1435/SUM(W1435:W1435)*1000000,"N/A")</f>
        <v>29653.521126760563</v>
      </c>
      <c r="Z1435" s="80"/>
      <c r="AA1435" s="80"/>
      <c r="AB1435" s="73" t="s">
        <v>5374</v>
      </c>
      <c r="AC1435" s="153"/>
      <c r="AD1435" s="331"/>
      <c r="AE1435" s="57"/>
      <c r="AF1435" s="88"/>
      <c r="AG1435" s="182">
        <f>YEAR(D1435)</f>
        <v>2021</v>
      </c>
      <c r="AH1435" s="86" t="str">
        <f>+IF(AE1435=$AJ$22,MONTH(T1435),"")</f>
        <v/>
      </c>
      <c r="AI1435" s="86" t="str">
        <f>+IF(AF1435=$AJ$22,MONTH(U1435),"")</f>
        <v/>
      </c>
      <c r="AJ1435" s="86" t="str">
        <f>+IF(AG1435=$AJ$22,MONTH(V1435),"")</f>
        <v/>
      </c>
      <c r="AK1435" s="86" t="str">
        <f>+IF(AG1435=$AK$22,MONTH(V1435),"")</f>
        <v/>
      </c>
      <c r="AL1435" s="86" t="str">
        <f>+IF(AG1435=$AL$22,MONTH(V1435),"")</f>
        <v/>
      </c>
      <c r="AM1435" s="86">
        <f>+IF($AG1435=$AM$22,MONTH($D1435),"")</f>
        <v>3</v>
      </c>
      <c r="AN1435" s="89" t="str">
        <f>+IF($AG1435=AN$22,MONTH($D1435),"")</f>
        <v/>
      </c>
      <c r="AO1435" s="89" t="str">
        <f>+IF($AG1435=AO$22,MONTH($D1435),"")</f>
        <v/>
      </c>
      <c r="AP1435" s="89" t="str">
        <f>+IF($AG1435=AP$22,MONTH($D1435),"")</f>
        <v/>
      </c>
      <c r="AQ1435" s="89" t="str">
        <f>+IF($AG1435=AQ$22,MONTH($D1435),"")</f>
        <v/>
      </c>
      <c r="AR1435" s="89" t="str">
        <f>+IF($AG1435=AR$22,MONTH($D1435),"")</f>
        <v/>
      </c>
      <c r="AS1435" s="89" t="str">
        <f>+IF($AG1435=AS$22,MONTH($D1435),"")</f>
        <v/>
      </c>
      <c r="AT1435" s="89" t="str">
        <f>+IF($AG1435=AT$22,MONTH($D1435),"")</f>
        <v/>
      </c>
      <c r="AU1435" s="89" t="str">
        <f>+IF($AG1435=AU$22,MONTH($D1435),"")</f>
        <v/>
      </c>
      <c r="AV1435" s="89" t="str">
        <f>+IF($AG1435=AV$22,MONTH($D1435),"")</f>
        <v/>
      </c>
      <c r="AW1435" s="86" t="str">
        <f>+IF($AG1435=AW$22,MONTH($D1435),"")</f>
        <v/>
      </c>
      <c r="AX1435" s="86" t="str">
        <f>+IF($AG1435=AX$22,MONTH($D1435),"")</f>
        <v/>
      </c>
      <c r="AY1435" s="89"/>
      <c r="AZ1435" s="89"/>
      <c r="BA1435" s="89"/>
      <c r="BB1435" s="89"/>
      <c r="BC1435" s="89"/>
      <c r="BD1435" s="89"/>
      <c r="BE1435" s="89"/>
      <c r="BF1435" s="89"/>
      <c r="BG1435" s="89"/>
      <c r="BH1435" s="89"/>
      <c r="BI1435" s="89"/>
      <c r="BJ1435" s="89"/>
      <c r="BK1435" s="89"/>
      <c r="BL1435" s="89"/>
      <c r="BM1435" s="89"/>
      <c r="BN1435" s="89"/>
      <c r="BO1435" s="89"/>
      <c r="BP1435" s="89"/>
    </row>
    <row r="1436" spans="1:68" s="56" customFormat="1" ht="13.5" hidden="1">
      <c r="A1436" s="204" t="str">
        <f>+IFERROR(VALUE(MID(AB1436,4,4)),"")</f>
        <v/>
      </c>
      <c r="B1436" s="204">
        <f>VALUE(RIGHT(C1436,LEN(C1436)-2))</f>
        <v>1288</v>
      </c>
      <c r="C1436" s="74" t="s">
        <v>5375</v>
      </c>
      <c r="D1436" s="75">
        <v>44264</v>
      </c>
      <c r="E1436" s="70" t="s">
        <v>41</v>
      </c>
      <c r="F1436" s="70" t="s">
        <v>41</v>
      </c>
      <c r="G1436" s="68" t="s">
        <v>4713</v>
      </c>
      <c r="H1436" s="59"/>
      <c r="I1436" s="69" t="s">
        <v>5376</v>
      </c>
      <c r="J1436" s="69"/>
      <c r="K1436" s="68" t="s">
        <v>12</v>
      </c>
      <c r="L1436" s="69" t="s">
        <v>129</v>
      </c>
      <c r="M1436" s="71" t="s">
        <v>141</v>
      </c>
      <c r="N1436" s="69" t="e" vm="1">
        <v>#VALUE!</v>
      </c>
      <c r="O1436" s="84"/>
      <c r="P1436" s="72" t="s">
        <v>4567</v>
      </c>
      <c r="Q1436" s="72"/>
      <c r="R1436" s="162"/>
      <c r="S1436" s="146"/>
      <c r="T1436" s="68" t="s">
        <v>165</v>
      </c>
      <c r="U1436" s="87"/>
      <c r="V1436" s="80">
        <v>44291</v>
      </c>
      <c r="W1436" s="73">
        <v>742</v>
      </c>
      <c r="X1436" s="73">
        <f>720*29200/1000000</f>
        <v>21.024000000000001</v>
      </c>
      <c r="Y1436" s="83">
        <f>IF(SUM(W1436:W1436)&gt;0,X1436/SUM(W1436:W1436)*1000000,"N/A")</f>
        <v>28334.231805929921</v>
      </c>
      <c r="Z1436" s="80"/>
      <c r="AA1436" s="80"/>
      <c r="AB1436" s="73"/>
      <c r="AC1436" s="153"/>
      <c r="AD1436" s="331"/>
      <c r="AE1436" s="57"/>
      <c r="AF1436" s="88"/>
      <c r="AG1436" s="182">
        <f>YEAR(D1436)</f>
        <v>2021</v>
      </c>
      <c r="AH1436" s="86" t="str">
        <f>+IF(AE1436=$AJ$22,MONTH(T1436),"")</f>
        <v/>
      </c>
      <c r="AI1436" s="86" t="str">
        <f>+IF(AF1436=$AJ$22,MONTH(U1436),"")</f>
        <v/>
      </c>
      <c r="AJ1436" s="86" t="str">
        <f>+IF(AG1436=$AJ$22,MONTH(V1436),"")</f>
        <v/>
      </c>
      <c r="AK1436" s="86" t="str">
        <f>+IF(AG1436=$AK$22,MONTH(V1436),"")</f>
        <v/>
      </c>
      <c r="AL1436" s="86" t="str">
        <f>+IF(AG1436=$AL$22,MONTH(V1436),"")</f>
        <v/>
      </c>
      <c r="AM1436" s="86">
        <f>+IF($AG1436=$AM$22,MONTH($D1436),"")</f>
        <v>3</v>
      </c>
      <c r="AN1436" s="89" t="str">
        <f>+IF($AG1436=AN$22,MONTH($D1436),"")</f>
        <v/>
      </c>
      <c r="AO1436" s="89" t="str">
        <f>+IF($AG1436=AO$22,MONTH($D1436),"")</f>
        <v/>
      </c>
      <c r="AP1436" s="89" t="str">
        <f>+IF($AG1436=AP$22,MONTH($D1436),"")</f>
        <v/>
      </c>
      <c r="AQ1436" s="89" t="str">
        <f>+IF($AG1436=AQ$22,MONTH($D1436),"")</f>
        <v/>
      </c>
      <c r="AR1436" s="89" t="str">
        <f>+IF($AG1436=AR$22,MONTH($D1436),"")</f>
        <v/>
      </c>
      <c r="AS1436" s="89" t="str">
        <f>+IF($AG1436=AS$22,MONTH($D1436),"")</f>
        <v/>
      </c>
      <c r="AT1436" s="89" t="str">
        <f>+IF($AG1436=AT$22,MONTH($D1436),"")</f>
        <v/>
      </c>
      <c r="AU1436" s="89" t="str">
        <f>+IF($AG1436=AU$22,MONTH($D1436),"")</f>
        <v/>
      </c>
      <c r="AV1436" s="89" t="str">
        <f>+IF($AG1436=AV$22,MONTH($D1436),"")</f>
        <v/>
      </c>
      <c r="AW1436" s="86" t="str">
        <f>+IF($AG1436=AW$22,MONTH($D1436),"")</f>
        <v/>
      </c>
      <c r="AX1436" s="86" t="str">
        <f>+IF($AG1436=AX$22,MONTH($D1436),"")</f>
        <v/>
      </c>
      <c r="AY1436" s="89"/>
      <c r="AZ1436" s="89"/>
      <c r="BA1436" s="89"/>
      <c r="BB1436" s="89"/>
      <c r="BC1436" s="89"/>
      <c r="BD1436" s="89"/>
      <c r="BE1436" s="89"/>
      <c r="BF1436" s="89"/>
      <c r="BG1436" s="89"/>
      <c r="BH1436" s="89"/>
      <c r="BI1436" s="89"/>
      <c r="BJ1436" s="89"/>
      <c r="BK1436" s="89"/>
      <c r="BL1436" s="89"/>
      <c r="BM1436" s="89"/>
      <c r="BN1436" s="89"/>
      <c r="BO1436" s="89"/>
      <c r="BP1436" s="89"/>
    </row>
    <row r="1437" spans="1:68" s="56" customFormat="1" ht="27" hidden="1">
      <c r="A1437" s="204">
        <f>+IFERROR(VALUE(MID(AB1437,4,4)),"")</f>
        <v>219</v>
      </c>
      <c r="B1437" s="204">
        <f>VALUE(RIGHT(C1437,LEN(C1437)-2))</f>
        <v>1287</v>
      </c>
      <c r="C1437" s="74" t="s">
        <v>5377</v>
      </c>
      <c r="D1437" s="75">
        <v>44270</v>
      </c>
      <c r="E1437" s="70" t="s">
        <v>41</v>
      </c>
      <c r="F1437" s="70" t="s">
        <v>41</v>
      </c>
      <c r="G1437" s="68" t="s">
        <v>4713</v>
      </c>
      <c r="H1437" s="59"/>
      <c r="I1437" s="69" t="s">
        <v>5378</v>
      </c>
      <c r="J1437" s="69"/>
      <c r="K1437" s="68" t="s">
        <v>13</v>
      </c>
      <c r="L1437" s="69" t="s">
        <v>129</v>
      </c>
      <c r="M1437" s="71" t="s">
        <v>141</v>
      </c>
      <c r="N1437" s="69" t="e" vm="1">
        <v>#VALUE!</v>
      </c>
      <c r="O1437" s="84"/>
      <c r="P1437" s="72" t="s">
        <v>4567</v>
      </c>
      <c r="Q1437" s="72" t="s">
        <v>316</v>
      </c>
      <c r="R1437" s="162"/>
      <c r="S1437" s="146" t="s">
        <v>5379</v>
      </c>
      <c r="T1437" s="68" t="s">
        <v>3</v>
      </c>
      <c r="U1437" s="87"/>
      <c r="V1437" s="80">
        <v>44291</v>
      </c>
      <c r="W1437" s="73">
        <f>205+106</f>
        <v>311</v>
      </c>
      <c r="X1437" s="73">
        <f>325*29200/1000000</f>
        <v>9.49</v>
      </c>
      <c r="Y1437" s="83">
        <f>IF(SUM(W1437:W1437)&gt;0,X1437/SUM(W1437:W1437)*1000000,"N/A")</f>
        <v>30514.469453376209</v>
      </c>
      <c r="Z1437" s="80"/>
      <c r="AA1437" s="80"/>
      <c r="AB1437" s="73" t="s">
        <v>5380</v>
      </c>
      <c r="AC1437" s="153"/>
      <c r="AD1437" s="331"/>
      <c r="AE1437" s="57"/>
      <c r="AF1437" s="88"/>
      <c r="AG1437" s="182">
        <f>YEAR(D1437)</f>
        <v>2021</v>
      </c>
      <c r="AH1437" s="86" t="str">
        <f>+IF(AE1437=$AJ$22,MONTH(T1437),"")</f>
        <v/>
      </c>
      <c r="AI1437" s="86" t="str">
        <f>+IF(AF1437=$AJ$22,MONTH(U1437),"")</f>
        <v/>
      </c>
      <c r="AJ1437" s="86" t="str">
        <f>+IF(AG1437=$AJ$22,MONTH(V1437),"")</f>
        <v/>
      </c>
      <c r="AK1437" s="86" t="str">
        <f>+IF(AG1437=$AK$22,MONTH(V1437),"")</f>
        <v/>
      </c>
      <c r="AL1437" s="86" t="str">
        <f>+IF(AG1437=$AL$22,MONTH(V1437),"")</f>
        <v/>
      </c>
      <c r="AM1437" s="86">
        <f>+IF($AG1437=$AM$22,MONTH($D1437),"")</f>
        <v>3</v>
      </c>
      <c r="AN1437" s="89" t="str">
        <f>+IF($AG1437=AN$22,MONTH($D1437),"")</f>
        <v/>
      </c>
      <c r="AO1437" s="89" t="str">
        <f>+IF($AG1437=AO$22,MONTH($D1437),"")</f>
        <v/>
      </c>
      <c r="AP1437" s="89" t="str">
        <f>+IF($AG1437=AP$22,MONTH($D1437),"")</f>
        <v/>
      </c>
      <c r="AQ1437" s="89" t="str">
        <f>+IF($AG1437=AQ$22,MONTH($D1437),"")</f>
        <v/>
      </c>
      <c r="AR1437" s="89" t="str">
        <f>+IF($AG1437=AR$22,MONTH($D1437),"")</f>
        <v/>
      </c>
      <c r="AS1437" s="89" t="str">
        <f>+IF($AG1437=AS$22,MONTH($D1437),"")</f>
        <v/>
      </c>
      <c r="AT1437" s="89" t="str">
        <f>+IF($AG1437=AT$22,MONTH($D1437),"")</f>
        <v/>
      </c>
      <c r="AU1437" s="89" t="str">
        <f>+IF($AG1437=AU$22,MONTH($D1437),"")</f>
        <v/>
      </c>
      <c r="AV1437" s="89" t="str">
        <f>+IF($AG1437=AV$22,MONTH($D1437),"")</f>
        <v/>
      </c>
      <c r="AW1437" s="86" t="str">
        <f>+IF($AG1437=AW$22,MONTH($D1437),"")</f>
        <v/>
      </c>
      <c r="AX1437" s="86" t="str">
        <f>+IF($AG1437=AX$22,MONTH($D1437),"")</f>
        <v/>
      </c>
      <c r="AY1437" s="89"/>
      <c r="AZ1437" s="89"/>
      <c r="BA1437" s="89"/>
      <c r="BB1437" s="89"/>
      <c r="BC1437" s="89"/>
      <c r="BD1437" s="89"/>
      <c r="BE1437" s="89"/>
      <c r="BF1437" s="89"/>
      <c r="BG1437" s="89"/>
      <c r="BH1437" s="89"/>
      <c r="BI1437" s="89"/>
      <c r="BJ1437" s="89"/>
      <c r="BK1437" s="89"/>
      <c r="BL1437" s="89"/>
      <c r="BM1437" s="89"/>
      <c r="BN1437" s="89"/>
      <c r="BO1437" s="89"/>
      <c r="BP1437" s="89"/>
    </row>
    <row r="1438" spans="1:68" s="56" customFormat="1" ht="13.5" hidden="1">
      <c r="A1438" s="204" t="str">
        <f>+IFERROR(VALUE(MID(AB1438,4,4)),"")</f>
        <v/>
      </c>
      <c r="B1438" s="204">
        <f>VALUE(RIGHT(C1438,LEN(C1438)-2))</f>
        <v>1286</v>
      </c>
      <c r="C1438" s="74" t="s">
        <v>5381</v>
      </c>
      <c r="D1438" s="75">
        <v>44270</v>
      </c>
      <c r="E1438" s="70" t="s">
        <v>97</v>
      </c>
      <c r="F1438" s="70" t="s">
        <v>5382</v>
      </c>
      <c r="G1438" s="68" t="s">
        <v>5383</v>
      </c>
      <c r="H1438" s="59"/>
      <c r="I1438" s="69" t="s">
        <v>5384</v>
      </c>
      <c r="J1438" s="69"/>
      <c r="K1438" s="68" t="s">
        <v>944</v>
      </c>
      <c r="L1438" s="69" t="s">
        <v>120</v>
      </c>
      <c r="M1438" s="71" t="s">
        <v>141</v>
      </c>
      <c r="N1438" s="69" t="e" vm="1">
        <v>#VALUE!</v>
      </c>
      <c r="O1438" s="84"/>
      <c r="P1438" s="72" t="s">
        <v>402</v>
      </c>
      <c r="Q1438" s="72"/>
      <c r="R1438" s="162"/>
      <c r="S1438" s="146" t="s">
        <v>5385</v>
      </c>
      <c r="T1438" s="68" t="s">
        <v>155</v>
      </c>
      <c r="U1438" s="87"/>
      <c r="V1438" s="80"/>
      <c r="W1438" s="73"/>
      <c r="X1438" s="73"/>
      <c r="Y1438" s="83"/>
      <c r="Z1438" s="80"/>
      <c r="AA1438" s="80"/>
      <c r="AB1438" s="73"/>
      <c r="AC1438" s="153"/>
      <c r="AD1438" s="331"/>
      <c r="AE1438" s="57"/>
      <c r="AF1438" s="88"/>
      <c r="AG1438" s="182">
        <f>YEAR(D1438)</f>
        <v>2021</v>
      </c>
      <c r="AH1438" s="86" t="str">
        <f>+IF(AE1438=$AJ$22,MONTH(T1438),"")</f>
        <v/>
      </c>
      <c r="AI1438" s="86" t="str">
        <f>+IF(AF1438=$AJ$22,MONTH(U1438),"")</f>
        <v/>
      </c>
      <c r="AJ1438" s="86" t="str">
        <f>+IF(AG1438=$AJ$22,MONTH(V1438),"")</f>
        <v/>
      </c>
      <c r="AK1438" s="86" t="str">
        <f>+IF(AG1438=$AK$22,MONTH(V1438),"")</f>
        <v/>
      </c>
      <c r="AL1438" s="86" t="str">
        <f>+IF(AG1438=$AL$22,MONTH(V1438),"")</f>
        <v/>
      </c>
      <c r="AM1438" s="86">
        <f>+IF($AG1438=$AM$22,MONTH($D1438),"")</f>
        <v>3</v>
      </c>
      <c r="AN1438" s="89" t="str">
        <f>+IF($AG1438=AN$22,MONTH($D1438),"")</f>
        <v/>
      </c>
      <c r="AO1438" s="89" t="str">
        <f>+IF($AG1438=AO$22,MONTH($D1438),"")</f>
        <v/>
      </c>
      <c r="AP1438" s="89" t="str">
        <f>+IF($AG1438=AP$22,MONTH($D1438),"")</f>
        <v/>
      </c>
      <c r="AQ1438" s="89" t="str">
        <f>+IF($AG1438=AQ$22,MONTH($D1438),"")</f>
        <v/>
      </c>
      <c r="AR1438" s="89" t="str">
        <f>+IF($AG1438=AR$22,MONTH($D1438),"")</f>
        <v/>
      </c>
      <c r="AS1438" s="89" t="str">
        <f>+IF($AG1438=AS$22,MONTH($D1438),"")</f>
        <v/>
      </c>
      <c r="AT1438" s="89" t="str">
        <f>+IF($AG1438=AT$22,MONTH($D1438),"")</f>
        <v/>
      </c>
      <c r="AU1438" s="89" t="str">
        <f>+IF($AG1438=AU$22,MONTH($D1438),"")</f>
        <v/>
      </c>
      <c r="AV1438" s="89" t="str">
        <f>+IF($AG1438=AV$22,MONTH($D1438),"")</f>
        <v/>
      </c>
      <c r="AW1438" s="86" t="str">
        <f>+IF($AG1438=AW$22,MONTH($D1438),"")</f>
        <v/>
      </c>
      <c r="AX1438" s="86" t="str">
        <f>+IF($AG1438=AX$22,MONTH($D1438),"")</f>
        <v/>
      </c>
      <c r="AY1438" s="89"/>
      <c r="AZ1438" s="89"/>
      <c r="BA1438" s="89"/>
      <c r="BB1438" s="89"/>
      <c r="BC1438" s="89"/>
      <c r="BD1438" s="89"/>
      <c r="BE1438" s="89"/>
      <c r="BF1438" s="89"/>
      <c r="BG1438" s="89"/>
      <c r="BH1438" s="89"/>
      <c r="BI1438" s="89"/>
      <c r="BJ1438" s="89"/>
      <c r="BK1438" s="89"/>
      <c r="BL1438" s="89"/>
      <c r="BM1438" s="89"/>
      <c r="BN1438" s="89"/>
      <c r="BO1438" s="89"/>
      <c r="BP1438" s="89"/>
    </row>
    <row r="1439" spans="1:68" s="56" customFormat="1" ht="13.5" hidden="1">
      <c r="A1439" s="204" t="str">
        <f>+IFERROR(VALUE(MID(AB1439,4,4)),"")</f>
        <v/>
      </c>
      <c r="B1439" s="204">
        <f>VALUE(RIGHT(C1439,LEN(C1439)-2))</f>
        <v>1285</v>
      </c>
      <c r="C1439" s="74" t="s">
        <v>5386</v>
      </c>
      <c r="D1439" s="75">
        <v>44270</v>
      </c>
      <c r="E1439" s="70" t="s">
        <v>97</v>
      </c>
      <c r="F1439" s="70" t="s">
        <v>5382</v>
      </c>
      <c r="G1439" s="68" t="s">
        <v>5383</v>
      </c>
      <c r="H1439" s="59"/>
      <c r="I1439" s="69" t="s">
        <v>5387</v>
      </c>
      <c r="J1439" s="69"/>
      <c r="K1439" s="68" t="s">
        <v>16</v>
      </c>
      <c r="L1439" s="69" t="s">
        <v>120</v>
      </c>
      <c r="M1439" s="71" t="s">
        <v>141</v>
      </c>
      <c r="N1439" s="69" t="e" vm="1">
        <v>#VALUE!</v>
      </c>
      <c r="O1439" s="84"/>
      <c r="P1439" s="72" t="s">
        <v>402</v>
      </c>
      <c r="Q1439" s="72"/>
      <c r="R1439" s="162"/>
      <c r="S1439" s="146" t="s">
        <v>5385</v>
      </c>
      <c r="T1439" s="68" t="s">
        <v>155</v>
      </c>
      <c r="U1439" s="87"/>
      <c r="V1439" s="80"/>
      <c r="W1439" s="73"/>
      <c r="X1439" s="73"/>
      <c r="Y1439" s="83"/>
      <c r="Z1439" s="80"/>
      <c r="AA1439" s="80"/>
      <c r="AB1439" s="73"/>
      <c r="AC1439" s="153"/>
      <c r="AD1439" s="331"/>
      <c r="AE1439" s="57"/>
      <c r="AF1439" s="88"/>
      <c r="AG1439" s="182">
        <f>YEAR(D1439)</f>
        <v>2021</v>
      </c>
      <c r="AH1439" s="86" t="str">
        <f>+IF(AE1439=$AJ$22,MONTH(T1439),"")</f>
        <v/>
      </c>
      <c r="AI1439" s="86" t="str">
        <f>+IF(AF1439=$AJ$22,MONTH(U1439),"")</f>
        <v/>
      </c>
      <c r="AJ1439" s="86" t="str">
        <f>+IF(AG1439=$AJ$22,MONTH(V1439),"")</f>
        <v/>
      </c>
      <c r="AK1439" s="86" t="str">
        <f>+IF(AG1439=$AK$22,MONTH(V1439),"")</f>
        <v/>
      </c>
      <c r="AL1439" s="86" t="str">
        <f>+IF(AG1439=$AL$22,MONTH(V1439),"")</f>
        <v/>
      </c>
      <c r="AM1439" s="86">
        <f>+IF($AG1439=$AM$22,MONTH($D1439),"")</f>
        <v>3</v>
      </c>
      <c r="AN1439" s="89" t="str">
        <f>+IF($AG1439=AN$22,MONTH($D1439),"")</f>
        <v/>
      </c>
      <c r="AO1439" s="89" t="str">
        <f>+IF($AG1439=AO$22,MONTH($D1439),"")</f>
        <v/>
      </c>
      <c r="AP1439" s="89" t="str">
        <f>+IF($AG1439=AP$22,MONTH($D1439),"")</f>
        <v/>
      </c>
      <c r="AQ1439" s="89" t="str">
        <f>+IF($AG1439=AQ$22,MONTH($D1439),"")</f>
        <v/>
      </c>
      <c r="AR1439" s="89" t="str">
        <f>+IF($AG1439=AR$22,MONTH($D1439),"")</f>
        <v/>
      </c>
      <c r="AS1439" s="89" t="str">
        <f>+IF($AG1439=AS$22,MONTH($D1439),"")</f>
        <v/>
      </c>
      <c r="AT1439" s="89" t="str">
        <f>+IF($AG1439=AT$22,MONTH($D1439),"")</f>
        <v/>
      </c>
      <c r="AU1439" s="89" t="str">
        <f>+IF($AG1439=AU$22,MONTH($D1439),"")</f>
        <v/>
      </c>
      <c r="AV1439" s="89" t="str">
        <f>+IF($AG1439=AV$22,MONTH($D1439),"")</f>
        <v/>
      </c>
      <c r="AW1439" s="86" t="str">
        <f>+IF($AG1439=AW$22,MONTH($D1439),"")</f>
        <v/>
      </c>
      <c r="AX1439" s="86" t="str">
        <f>+IF($AG1439=AX$22,MONTH($D1439),"")</f>
        <v/>
      </c>
      <c r="AY1439" s="89"/>
      <c r="AZ1439" s="89"/>
      <c r="BA1439" s="89"/>
      <c r="BB1439" s="89"/>
      <c r="BC1439" s="89"/>
      <c r="BD1439" s="89"/>
      <c r="BE1439" s="89"/>
      <c r="BF1439" s="89"/>
      <c r="BG1439" s="89"/>
      <c r="BH1439" s="89"/>
      <c r="BI1439" s="89"/>
      <c r="BJ1439" s="89"/>
      <c r="BK1439" s="89"/>
      <c r="BL1439" s="89"/>
      <c r="BM1439" s="89"/>
      <c r="BN1439" s="89"/>
      <c r="BO1439" s="89"/>
      <c r="BP1439" s="89"/>
    </row>
    <row r="1440" spans="1:68" s="56" customFormat="1" ht="13.5" hidden="1">
      <c r="A1440" s="204">
        <f>+IFERROR(VALUE(MID(AB1440,4,4)),"")</f>
        <v>265</v>
      </c>
      <c r="B1440" s="204">
        <f>VALUE(RIGHT(C1440,LEN(C1440)-2))</f>
        <v>1284</v>
      </c>
      <c r="C1440" s="74" t="s">
        <v>5388</v>
      </c>
      <c r="D1440" s="75">
        <v>44266</v>
      </c>
      <c r="E1440" s="70" t="s">
        <v>41</v>
      </c>
      <c r="F1440" s="70" t="s">
        <v>41</v>
      </c>
      <c r="G1440" s="68" t="s">
        <v>4713</v>
      </c>
      <c r="H1440" s="59"/>
      <c r="I1440" s="69" t="s">
        <v>5389</v>
      </c>
      <c r="J1440" s="69"/>
      <c r="K1440" s="68" t="s">
        <v>212</v>
      </c>
      <c r="L1440" s="69" t="s">
        <v>123</v>
      </c>
      <c r="M1440" s="71" t="s">
        <v>141</v>
      </c>
      <c r="N1440" s="69" t="e" vm="1">
        <v>#VALUE!</v>
      </c>
      <c r="O1440" s="84">
        <v>44293</v>
      </c>
      <c r="P1440" s="72" t="s">
        <v>402</v>
      </c>
      <c r="Q1440" s="72" t="s">
        <v>405</v>
      </c>
      <c r="R1440" s="162"/>
      <c r="S1440" s="146" t="s">
        <v>651</v>
      </c>
      <c r="T1440" s="68" t="s">
        <v>3</v>
      </c>
      <c r="U1440" s="87"/>
      <c r="V1440" s="80">
        <v>44298</v>
      </c>
      <c r="W1440" s="73">
        <v>1</v>
      </c>
      <c r="X1440" s="73"/>
      <c r="Y1440" s="83">
        <f>IF(SUM(W1440:W1440)&gt;0,X1440/SUM(W1440:W1440)*1000000,"N/A")</f>
        <v>0</v>
      </c>
      <c r="Z1440" s="80"/>
      <c r="AA1440" s="80"/>
      <c r="AB1440" s="73" t="s">
        <v>5390</v>
      </c>
      <c r="AC1440" s="153"/>
      <c r="AD1440" s="331"/>
      <c r="AE1440" s="57"/>
      <c r="AF1440" s="88"/>
      <c r="AG1440" s="182">
        <f>YEAR(D1440)</f>
        <v>2021</v>
      </c>
      <c r="AH1440" s="86" t="str">
        <f>+IF(AE1440=$AJ$22,MONTH(T1440),"")</f>
        <v/>
      </c>
      <c r="AI1440" s="86" t="str">
        <f>+IF(AF1440=$AJ$22,MONTH(U1440),"")</f>
        <v/>
      </c>
      <c r="AJ1440" s="86" t="str">
        <f>+IF(AG1440=$AJ$22,MONTH(V1440),"")</f>
        <v/>
      </c>
      <c r="AK1440" s="86" t="str">
        <f>+IF(AG1440=$AK$22,MONTH(V1440),"")</f>
        <v/>
      </c>
      <c r="AL1440" s="86" t="str">
        <f>+IF(AG1440=$AL$22,MONTH(V1440),"")</f>
        <v/>
      </c>
      <c r="AM1440" s="86">
        <f>+IF($AG1440=$AM$22,MONTH($D1440),"")</f>
        <v>3</v>
      </c>
      <c r="AN1440" s="89" t="str">
        <f>+IF($AG1440=AN$22,MONTH($D1440),"")</f>
        <v/>
      </c>
      <c r="AO1440" s="89" t="str">
        <f>+IF($AG1440=AO$22,MONTH($D1440),"")</f>
        <v/>
      </c>
      <c r="AP1440" s="89" t="str">
        <f>+IF($AG1440=AP$22,MONTH($D1440),"")</f>
        <v/>
      </c>
      <c r="AQ1440" s="89" t="str">
        <f>+IF($AG1440=AQ$22,MONTH($D1440),"")</f>
        <v/>
      </c>
      <c r="AR1440" s="89" t="str">
        <f>+IF($AG1440=AR$22,MONTH($D1440),"")</f>
        <v/>
      </c>
      <c r="AS1440" s="89" t="str">
        <f>+IF($AG1440=AS$22,MONTH($D1440),"")</f>
        <v/>
      </c>
      <c r="AT1440" s="89" t="str">
        <f>+IF($AG1440=AT$22,MONTH($D1440),"")</f>
        <v/>
      </c>
      <c r="AU1440" s="89" t="str">
        <f>+IF($AG1440=AU$22,MONTH($D1440),"")</f>
        <v/>
      </c>
      <c r="AV1440" s="89" t="str">
        <f>+IF($AG1440=AV$22,MONTH($D1440),"")</f>
        <v/>
      </c>
      <c r="AW1440" s="86" t="str">
        <f>+IF($AG1440=AW$22,MONTH($D1440),"")</f>
        <v/>
      </c>
      <c r="AX1440" s="86" t="str">
        <f>+IF($AG1440=AX$22,MONTH($D1440),"")</f>
        <v/>
      </c>
      <c r="AY1440" s="89"/>
      <c r="AZ1440" s="89"/>
      <c r="BA1440" s="89"/>
      <c r="BB1440" s="89"/>
      <c r="BC1440" s="89"/>
      <c r="BD1440" s="89"/>
      <c r="BE1440" s="89"/>
      <c r="BF1440" s="89"/>
      <c r="BG1440" s="89"/>
      <c r="BH1440" s="89"/>
      <c r="BI1440" s="89"/>
      <c r="BJ1440" s="89"/>
      <c r="BK1440" s="89"/>
      <c r="BL1440" s="89"/>
      <c r="BM1440" s="89"/>
      <c r="BN1440" s="89"/>
      <c r="BO1440" s="89"/>
      <c r="BP1440" s="89"/>
    </row>
    <row r="1441" spans="1:68" s="56" customFormat="1" ht="27" hidden="1">
      <c r="A1441" s="204">
        <f>+IFERROR(VALUE(MID(AB1441,4,4)),"")</f>
        <v>265</v>
      </c>
      <c r="B1441" s="204">
        <f>VALUE(RIGHT(C1441,LEN(C1441)-2))</f>
        <v>1283</v>
      </c>
      <c r="C1441" s="74" t="s">
        <v>5391</v>
      </c>
      <c r="D1441" s="75">
        <v>44265</v>
      </c>
      <c r="E1441" s="70" t="s">
        <v>41</v>
      </c>
      <c r="F1441" s="70" t="s">
        <v>41</v>
      </c>
      <c r="G1441" s="68" t="s">
        <v>4713</v>
      </c>
      <c r="H1441" s="59"/>
      <c r="I1441" s="69" t="s">
        <v>5392</v>
      </c>
      <c r="J1441" s="69"/>
      <c r="K1441" s="68" t="s">
        <v>13</v>
      </c>
      <c r="L1441" s="69" t="s">
        <v>129</v>
      </c>
      <c r="M1441" s="71" t="s">
        <v>141</v>
      </c>
      <c r="N1441" s="69" t="e" vm="1">
        <v>#VALUE!</v>
      </c>
      <c r="O1441" s="84"/>
      <c r="P1441" s="72" t="s">
        <v>402</v>
      </c>
      <c r="Q1441" s="72" t="s">
        <v>1097</v>
      </c>
      <c r="R1441" s="162"/>
      <c r="S1441" s="146"/>
      <c r="T1441" s="68" t="s">
        <v>3</v>
      </c>
      <c r="U1441" s="87"/>
      <c r="V1441" s="80">
        <v>44291</v>
      </c>
      <c r="W1441" s="73">
        <v>617</v>
      </c>
      <c r="X1441" s="73">
        <f>612*29200/1000000</f>
        <v>17.8704</v>
      </c>
      <c r="Y1441" s="83">
        <f>IF(SUM(W1441:W1441)&gt;0,X1441/SUM(W1441:W1441)*1000000,"N/A")</f>
        <v>28963.371150729337</v>
      </c>
      <c r="Z1441" s="80"/>
      <c r="AA1441" s="80"/>
      <c r="AB1441" s="73" t="s">
        <v>5393</v>
      </c>
      <c r="AC1441" s="153"/>
      <c r="AD1441" s="331"/>
      <c r="AE1441" s="57"/>
      <c r="AF1441" s="88"/>
      <c r="AG1441" s="182">
        <f>YEAR(D1441)</f>
        <v>2021</v>
      </c>
      <c r="AH1441" s="86" t="str">
        <f>+IF(AE1441=$AJ$22,MONTH(T1441),"")</f>
        <v/>
      </c>
      <c r="AI1441" s="86" t="str">
        <f>+IF(AF1441=$AJ$22,MONTH(U1441),"")</f>
        <v/>
      </c>
      <c r="AJ1441" s="86" t="str">
        <f>+IF(AG1441=$AJ$22,MONTH(V1441),"")</f>
        <v/>
      </c>
      <c r="AK1441" s="86" t="str">
        <f>+IF(AG1441=$AK$22,MONTH(V1441),"")</f>
        <v/>
      </c>
      <c r="AL1441" s="86" t="str">
        <f>+IF(AG1441=$AL$22,MONTH(V1441),"")</f>
        <v/>
      </c>
      <c r="AM1441" s="86">
        <f>+IF($AG1441=$AM$22,MONTH($D1441),"")</f>
        <v>3</v>
      </c>
      <c r="AN1441" s="89" t="str">
        <f>+IF($AG1441=AN$22,MONTH($D1441),"")</f>
        <v/>
      </c>
      <c r="AO1441" s="89" t="str">
        <f>+IF($AG1441=AO$22,MONTH($D1441),"")</f>
        <v/>
      </c>
      <c r="AP1441" s="89" t="str">
        <f>+IF($AG1441=AP$22,MONTH($D1441),"")</f>
        <v/>
      </c>
      <c r="AQ1441" s="89" t="str">
        <f>+IF($AG1441=AQ$22,MONTH($D1441),"")</f>
        <v/>
      </c>
      <c r="AR1441" s="89" t="str">
        <f>+IF($AG1441=AR$22,MONTH($D1441),"")</f>
        <v/>
      </c>
      <c r="AS1441" s="89" t="str">
        <f>+IF($AG1441=AS$22,MONTH($D1441),"")</f>
        <v/>
      </c>
      <c r="AT1441" s="89" t="str">
        <f>+IF($AG1441=AT$22,MONTH($D1441),"")</f>
        <v/>
      </c>
      <c r="AU1441" s="89" t="str">
        <f>+IF($AG1441=AU$22,MONTH($D1441),"")</f>
        <v/>
      </c>
      <c r="AV1441" s="89" t="str">
        <f>+IF($AG1441=AV$22,MONTH($D1441),"")</f>
        <v/>
      </c>
      <c r="AW1441" s="86" t="str">
        <f>+IF($AG1441=AW$22,MONTH($D1441),"")</f>
        <v/>
      </c>
      <c r="AX1441" s="86" t="str">
        <f>+IF($AG1441=AX$22,MONTH($D1441),"")</f>
        <v/>
      </c>
      <c r="AY1441" s="89"/>
      <c r="AZ1441" s="89"/>
      <c r="BA1441" s="89"/>
      <c r="BB1441" s="89"/>
      <c r="BC1441" s="89"/>
      <c r="BD1441" s="89"/>
      <c r="BE1441" s="89"/>
      <c r="BF1441" s="89"/>
      <c r="BG1441" s="89"/>
      <c r="BH1441" s="89"/>
      <c r="BI1441" s="89"/>
      <c r="BJ1441" s="89"/>
      <c r="BK1441" s="89"/>
      <c r="BL1441" s="89"/>
      <c r="BM1441" s="89"/>
      <c r="BN1441" s="89"/>
      <c r="BO1441" s="89"/>
      <c r="BP1441" s="89"/>
    </row>
    <row r="1442" spans="1:68" s="56" customFormat="1" ht="81" hidden="1">
      <c r="A1442" s="204" t="str">
        <f>+IFERROR(VALUE(MID(AB1442,4,4)),"")</f>
        <v/>
      </c>
      <c r="B1442" s="204">
        <f>VALUE(RIGHT(C1442,LEN(C1442)-2))</f>
        <v>1282</v>
      </c>
      <c r="C1442" s="74" t="s">
        <v>5394</v>
      </c>
      <c r="D1442" s="75">
        <v>44265</v>
      </c>
      <c r="E1442" s="70" t="s">
        <v>53</v>
      </c>
      <c r="F1442" s="70" t="s">
        <v>2436</v>
      </c>
      <c r="G1442" s="68" t="s">
        <v>1697</v>
      </c>
      <c r="H1442" s="59"/>
      <c r="I1442" s="69" t="s">
        <v>5395</v>
      </c>
      <c r="J1442" s="69"/>
      <c r="K1442" s="68" t="s">
        <v>4780</v>
      </c>
      <c r="L1442" s="69" t="s">
        <v>123</v>
      </c>
      <c r="M1442" s="71" t="s">
        <v>141</v>
      </c>
      <c r="N1442" s="69" t="e" vm="1">
        <v>#VALUE!</v>
      </c>
      <c r="O1442" s="84"/>
      <c r="P1442" s="72" t="s">
        <v>4567</v>
      </c>
      <c r="Q1442" s="72"/>
      <c r="R1442" s="162"/>
      <c r="S1442" s="146" t="s">
        <v>5396</v>
      </c>
      <c r="T1442" s="68" t="s">
        <v>165</v>
      </c>
      <c r="U1442" s="87"/>
      <c r="V1442" s="80">
        <v>44348</v>
      </c>
      <c r="W1442" s="73">
        <v>1</v>
      </c>
      <c r="X1442" s="73"/>
      <c r="Y1442" s="83"/>
      <c r="Z1442" s="80"/>
      <c r="AA1442" s="80"/>
      <c r="AB1442" s="73"/>
      <c r="AC1442" s="153"/>
      <c r="AD1442" s="331"/>
      <c r="AE1442" s="57"/>
      <c r="AF1442" s="88"/>
      <c r="AG1442" s="182">
        <f>YEAR(D1442)</f>
        <v>2021</v>
      </c>
      <c r="AH1442" s="86" t="str">
        <f>+IF(AE1442=$AJ$22,MONTH(T1442),"")</f>
        <v/>
      </c>
      <c r="AI1442" s="86" t="str">
        <f>+IF(AF1442=$AJ$22,MONTH(U1442),"")</f>
        <v/>
      </c>
      <c r="AJ1442" s="86" t="str">
        <f>+IF(AG1442=$AJ$22,MONTH(V1442),"")</f>
        <v/>
      </c>
      <c r="AK1442" s="86" t="str">
        <f>+IF(AG1442=$AK$22,MONTH(V1442),"")</f>
        <v/>
      </c>
      <c r="AL1442" s="86" t="str">
        <f>+IF(AG1442=$AL$22,MONTH(V1442),"")</f>
        <v/>
      </c>
      <c r="AM1442" s="86">
        <f>+IF($AG1442=$AM$22,MONTH($D1442),"")</f>
        <v>3</v>
      </c>
      <c r="AN1442" s="89" t="str">
        <f>+IF($AG1442=AN$22,MONTH($D1442),"")</f>
        <v/>
      </c>
      <c r="AO1442" s="89" t="str">
        <f>+IF($AG1442=AO$22,MONTH($D1442),"")</f>
        <v/>
      </c>
      <c r="AP1442" s="89" t="str">
        <f>+IF($AG1442=AP$22,MONTH($D1442),"")</f>
        <v/>
      </c>
      <c r="AQ1442" s="89" t="str">
        <f>+IF($AG1442=AQ$22,MONTH($D1442),"")</f>
        <v/>
      </c>
      <c r="AR1442" s="89" t="str">
        <f>+IF($AG1442=AR$22,MONTH($D1442),"")</f>
        <v/>
      </c>
      <c r="AS1442" s="89" t="str">
        <f>+IF($AG1442=AS$22,MONTH($D1442),"")</f>
        <v/>
      </c>
      <c r="AT1442" s="89" t="str">
        <f>+IF($AG1442=AT$22,MONTH($D1442),"")</f>
        <v/>
      </c>
      <c r="AU1442" s="89" t="str">
        <f>+IF($AG1442=AU$22,MONTH($D1442),"")</f>
        <v/>
      </c>
      <c r="AV1442" s="89" t="str">
        <f>+IF($AG1442=AV$22,MONTH($D1442),"")</f>
        <v/>
      </c>
      <c r="AW1442" s="86" t="str">
        <f>+IF($AG1442=AW$22,MONTH($D1442),"")</f>
        <v/>
      </c>
      <c r="AX1442" s="86" t="str">
        <f>+IF($AG1442=AX$22,MONTH($D1442),"")</f>
        <v/>
      </c>
      <c r="AY1442" s="89"/>
      <c r="AZ1442" s="89"/>
      <c r="BA1442" s="89"/>
      <c r="BB1442" s="89"/>
      <c r="BC1442" s="89"/>
      <c r="BD1442" s="89"/>
      <c r="BE1442" s="89"/>
      <c r="BF1442" s="89"/>
      <c r="BG1442" s="89"/>
      <c r="BH1442" s="89"/>
      <c r="BI1442" s="89"/>
      <c r="BJ1442" s="89"/>
      <c r="BK1442" s="89"/>
      <c r="BL1442" s="89"/>
      <c r="BM1442" s="89"/>
      <c r="BN1442" s="89"/>
      <c r="BO1442" s="89"/>
      <c r="BP1442" s="89"/>
    </row>
    <row r="1443" spans="1:68" s="56" customFormat="1" ht="13.5" hidden="1">
      <c r="A1443" s="204">
        <f>+IFERROR(VALUE(MID(AB1443,4,4)),"")</f>
        <v>262</v>
      </c>
      <c r="B1443" s="204">
        <f>VALUE(RIGHT(C1443,LEN(C1443)-2))</f>
        <v>1281</v>
      </c>
      <c r="C1443" s="74" t="s">
        <v>5397</v>
      </c>
      <c r="D1443" s="75">
        <v>44264</v>
      </c>
      <c r="E1443" s="70" t="s">
        <v>394</v>
      </c>
      <c r="F1443" s="70" t="s">
        <v>2269</v>
      </c>
      <c r="G1443" s="68" t="s">
        <v>289</v>
      </c>
      <c r="H1443" s="59" t="s">
        <v>4800</v>
      </c>
      <c r="I1443" s="69" t="s">
        <v>5398</v>
      </c>
      <c r="J1443" s="69"/>
      <c r="K1443" s="68" t="s">
        <v>18</v>
      </c>
      <c r="L1443" s="69" t="s">
        <v>120</v>
      </c>
      <c r="M1443" s="71" t="s">
        <v>141</v>
      </c>
      <c r="N1443" s="69" t="e" vm="1">
        <v>#VALUE!</v>
      </c>
      <c r="O1443" s="84"/>
      <c r="P1443" s="72" t="s">
        <v>402</v>
      </c>
      <c r="Q1443" s="72" t="s">
        <v>623</v>
      </c>
      <c r="R1443" s="162"/>
      <c r="S1443" s="146"/>
      <c r="T1443" s="68" t="s">
        <v>3</v>
      </c>
      <c r="U1443" s="87"/>
      <c r="V1443" s="80">
        <v>44291</v>
      </c>
      <c r="W1443" s="73">
        <v>285</v>
      </c>
      <c r="X1443" s="73">
        <v>9.6421200000000002</v>
      </c>
      <c r="Y1443" s="83">
        <f>IF(SUM(W1443:W1443)&gt;0,X1443/SUM(W1443:W1443)*1000000,"N/A")</f>
        <v>33832</v>
      </c>
      <c r="Z1443" s="80"/>
      <c r="AA1443" s="80"/>
      <c r="AB1443" s="73" t="s">
        <v>5399</v>
      </c>
      <c r="AC1443" s="153"/>
      <c r="AD1443" s="331"/>
      <c r="AE1443" s="57"/>
      <c r="AF1443" s="88"/>
      <c r="AG1443" s="182">
        <f>YEAR(D1443)</f>
        <v>2021</v>
      </c>
      <c r="AH1443" s="86" t="str">
        <f>+IF(AE1443=$AJ$22,MONTH(T1443),"")</f>
        <v/>
      </c>
      <c r="AI1443" s="86" t="str">
        <f>+IF(AF1443=$AJ$22,MONTH(U1443),"")</f>
        <v/>
      </c>
      <c r="AJ1443" s="86" t="str">
        <f>+IF(AG1443=$AJ$22,MONTH(V1443),"")</f>
        <v/>
      </c>
      <c r="AK1443" s="86" t="str">
        <f>+IF(AG1443=$AK$22,MONTH(V1443),"")</f>
        <v/>
      </c>
      <c r="AL1443" s="86" t="str">
        <f>+IF(AG1443=$AL$22,MONTH(V1443),"")</f>
        <v/>
      </c>
      <c r="AM1443" s="86">
        <f>+IF($AG1443=$AM$22,MONTH($D1443),"")</f>
        <v>3</v>
      </c>
      <c r="AN1443" s="89" t="str">
        <f>+IF($AG1443=AN$22,MONTH($D1443),"")</f>
        <v/>
      </c>
      <c r="AO1443" s="89" t="str">
        <f>+IF($AG1443=AO$22,MONTH($D1443),"")</f>
        <v/>
      </c>
      <c r="AP1443" s="89" t="str">
        <f>+IF($AG1443=AP$22,MONTH($D1443),"")</f>
        <v/>
      </c>
      <c r="AQ1443" s="89" t="str">
        <f>+IF($AG1443=AQ$22,MONTH($D1443),"")</f>
        <v/>
      </c>
      <c r="AR1443" s="89" t="str">
        <f>+IF($AG1443=AR$22,MONTH($D1443),"")</f>
        <v/>
      </c>
      <c r="AS1443" s="89" t="str">
        <f>+IF($AG1443=AS$22,MONTH($D1443),"")</f>
        <v/>
      </c>
      <c r="AT1443" s="89" t="str">
        <f>+IF($AG1443=AT$22,MONTH($D1443),"")</f>
        <v/>
      </c>
      <c r="AU1443" s="89" t="str">
        <f>+IF($AG1443=AU$22,MONTH($D1443),"")</f>
        <v/>
      </c>
      <c r="AV1443" s="89" t="str">
        <f>+IF($AG1443=AV$22,MONTH($D1443),"")</f>
        <v/>
      </c>
      <c r="AW1443" s="86" t="str">
        <f>+IF($AG1443=AW$22,MONTH($D1443),"")</f>
        <v/>
      </c>
      <c r="AX1443" s="86" t="str">
        <f>+IF($AG1443=AX$22,MONTH($D1443),"")</f>
        <v/>
      </c>
      <c r="AY1443" s="89"/>
      <c r="AZ1443" s="89"/>
      <c r="BA1443" s="89"/>
      <c r="BB1443" s="89"/>
      <c r="BC1443" s="89"/>
      <c r="BD1443" s="89"/>
      <c r="BE1443" s="89"/>
      <c r="BF1443" s="89"/>
      <c r="BG1443" s="89"/>
      <c r="BH1443" s="89"/>
      <c r="BI1443" s="89"/>
      <c r="BJ1443" s="89"/>
      <c r="BK1443" s="89"/>
      <c r="BL1443" s="89"/>
      <c r="BM1443" s="89"/>
      <c r="BN1443" s="89"/>
      <c r="BO1443" s="89"/>
      <c r="BP1443" s="89"/>
    </row>
    <row r="1444" spans="1:68" s="56" customFormat="1" ht="13.5" hidden="1">
      <c r="A1444" s="204" t="str">
        <f>+IFERROR(VALUE(MID(AB1444,4,4)),"")</f>
        <v/>
      </c>
      <c r="B1444" s="204">
        <f>VALUE(RIGHT(C1444,LEN(C1444)-2))</f>
        <v>1280</v>
      </c>
      <c r="C1444" s="74" t="s">
        <v>5400</v>
      </c>
      <c r="D1444" s="75">
        <v>44264</v>
      </c>
      <c r="E1444" s="70" t="s">
        <v>394</v>
      </c>
      <c r="F1444" s="70" t="s">
        <v>394</v>
      </c>
      <c r="G1444" s="68" t="s">
        <v>5401</v>
      </c>
      <c r="H1444" s="59"/>
      <c r="I1444" s="69" t="s">
        <v>5402</v>
      </c>
      <c r="J1444" s="69"/>
      <c r="K1444" s="68" t="s">
        <v>12</v>
      </c>
      <c r="L1444" s="69" t="s">
        <v>120</v>
      </c>
      <c r="M1444" s="71" t="s">
        <v>141</v>
      </c>
      <c r="N1444" s="69" t="e" vm="1">
        <v>#VALUE!</v>
      </c>
      <c r="O1444" s="84"/>
      <c r="P1444" s="72" t="s">
        <v>402</v>
      </c>
      <c r="Q1444" s="72"/>
      <c r="R1444" s="162"/>
      <c r="S1444" s="146"/>
      <c r="T1444" s="68" t="s">
        <v>155</v>
      </c>
      <c r="U1444" s="87"/>
      <c r="V1444" s="80"/>
      <c r="W1444" s="73"/>
      <c r="X1444" s="73"/>
      <c r="Y1444" s="83"/>
      <c r="Z1444" s="80"/>
      <c r="AA1444" s="80"/>
      <c r="AB1444" s="73"/>
      <c r="AC1444" s="153"/>
      <c r="AD1444" s="331"/>
      <c r="AE1444" s="57"/>
      <c r="AF1444" s="88"/>
      <c r="AG1444" s="182">
        <f>YEAR(D1444)</f>
        <v>2021</v>
      </c>
      <c r="AH1444" s="86" t="str">
        <f>+IF(AE1444=$AJ$22,MONTH(T1444),"")</f>
        <v/>
      </c>
      <c r="AI1444" s="86" t="str">
        <f>+IF(AF1444=$AJ$22,MONTH(U1444),"")</f>
        <v/>
      </c>
      <c r="AJ1444" s="86" t="str">
        <f>+IF(AG1444=$AJ$22,MONTH(V1444),"")</f>
        <v/>
      </c>
      <c r="AK1444" s="86" t="str">
        <f>+IF(AG1444=$AK$22,MONTH(V1444),"")</f>
        <v/>
      </c>
      <c r="AL1444" s="86" t="str">
        <f>+IF(AG1444=$AL$22,MONTH(V1444),"")</f>
        <v/>
      </c>
      <c r="AM1444" s="86">
        <f>+IF($AG1444=$AM$22,MONTH($D1444),"")</f>
        <v>3</v>
      </c>
      <c r="AN1444" s="89" t="str">
        <f>+IF($AG1444=AN$22,MONTH($D1444),"")</f>
        <v/>
      </c>
      <c r="AO1444" s="89" t="str">
        <f>+IF($AG1444=AO$22,MONTH($D1444),"")</f>
        <v/>
      </c>
      <c r="AP1444" s="89" t="str">
        <f>+IF($AG1444=AP$22,MONTH($D1444),"")</f>
        <v/>
      </c>
      <c r="AQ1444" s="89" t="str">
        <f>+IF($AG1444=AQ$22,MONTH($D1444),"")</f>
        <v/>
      </c>
      <c r="AR1444" s="89" t="str">
        <f>+IF($AG1444=AR$22,MONTH($D1444),"")</f>
        <v/>
      </c>
      <c r="AS1444" s="89" t="str">
        <f>+IF($AG1444=AS$22,MONTH($D1444),"")</f>
        <v/>
      </c>
      <c r="AT1444" s="89" t="str">
        <f>+IF($AG1444=AT$22,MONTH($D1444),"")</f>
        <v/>
      </c>
      <c r="AU1444" s="89" t="str">
        <f>+IF($AG1444=AU$22,MONTH($D1444),"")</f>
        <v/>
      </c>
      <c r="AV1444" s="89" t="str">
        <f>+IF($AG1444=AV$22,MONTH($D1444),"")</f>
        <v/>
      </c>
      <c r="AW1444" s="86" t="str">
        <f>+IF($AG1444=AW$22,MONTH($D1444),"")</f>
        <v/>
      </c>
      <c r="AX1444" s="86" t="str">
        <f>+IF($AG1444=AX$22,MONTH($D1444),"")</f>
        <v/>
      </c>
      <c r="AY1444" s="89"/>
      <c r="AZ1444" s="89"/>
      <c r="BA1444" s="89"/>
      <c r="BB1444" s="89"/>
      <c r="BC1444" s="89"/>
      <c r="BD1444" s="89"/>
      <c r="BE1444" s="89"/>
      <c r="BF1444" s="89"/>
      <c r="BG1444" s="89"/>
      <c r="BH1444" s="89"/>
      <c r="BI1444" s="89"/>
      <c r="BJ1444" s="89"/>
      <c r="BK1444" s="89"/>
      <c r="BL1444" s="89"/>
      <c r="BM1444" s="89"/>
      <c r="BN1444" s="89"/>
      <c r="BO1444" s="89"/>
      <c r="BP1444" s="89"/>
    </row>
    <row r="1445" spans="1:68" s="56" customFormat="1" ht="13.5" hidden="1">
      <c r="A1445" s="204">
        <f>+IFERROR(VALUE(MID(AB1445,4,4)),"")</f>
        <v>266</v>
      </c>
      <c r="B1445" s="204">
        <f>VALUE(RIGHT(C1445,LEN(C1445)-2))</f>
        <v>1279</v>
      </c>
      <c r="C1445" s="74" t="s">
        <v>5403</v>
      </c>
      <c r="D1445" s="75">
        <v>44264</v>
      </c>
      <c r="E1445" s="70" t="s">
        <v>394</v>
      </c>
      <c r="F1445" s="70" t="s">
        <v>394</v>
      </c>
      <c r="G1445" s="68" t="s">
        <v>4314</v>
      </c>
      <c r="H1445" s="111" t="s">
        <v>4315</v>
      </c>
      <c r="I1445" s="69" t="s">
        <v>5404</v>
      </c>
      <c r="J1445" s="69"/>
      <c r="K1445" s="68" t="s">
        <v>11</v>
      </c>
      <c r="L1445" s="69" t="s">
        <v>129</v>
      </c>
      <c r="M1445" s="71" t="s">
        <v>141</v>
      </c>
      <c r="N1445" s="69" t="e" vm="1">
        <v>#VALUE!</v>
      </c>
      <c r="O1445" s="84"/>
      <c r="P1445" s="72" t="s">
        <v>2852</v>
      </c>
      <c r="Q1445" s="72" t="s">
        <v>623</v>
      </c>
      <c r="R1445" s="162"/>
      <c r="S1445" s="146"/>
      <c r="T1445" s="68" t="s">
        <v>3</v>
      </c>
      <c r="U1445" s="87"/>
      <c r="V1445" s="80">
        <v>44291</v>
      </c>
      <c r="W1445" s="73">
        <v>3854</v>
      </c>
      <c r="X1445" s="73">
        <f>4883.66*29200/1000000</f>
        <v>142.60287199999999</v>
      </c>
      <c r="Y1445" s="83">
        <f>IF(SUM(W1445:W1445)&gt;0,X1445/SUM(W1445:W1445)*1000000,"N/A")</f>
        <v>37001.264141152045</v>
      </c>
      <c r="Z1445" s="80"/>
      <c r="AA1445" s="80"/>
      <c r="AB1445" s="73" t="s">
        <v>5405</v>
      </c>
      <c r="AC1445" s="153"/>
      <c r="AD1445" s="331"/>
      <c r="AE1445" s="57"/>
      <c r="AF1445" s="88"/>
      <c r="AG1445" s="182">
        <f>YEAR(D1445)</f>
        <v>2021</v>
      </c>
      <c r="AH1445" s="86" t="str">
        <f>+IF(AE1445=$AJ$22,MONTH(T1445),"")</f>
        <v/>
      </c>
      <c r="AI1445" s="86" t="str">
        <f>+IF(AF1445=$AJ$22,MONTH(U1445),"")</f>
        <v/>
      </c>
      <c r="AJ1445" s="86" t="str">
        <f>+IF(AG1445=$AJ$22,MONTH(V1445),"")</f>
        <v/>
      </c>
      <c r="AK1445" s="86" t="str">
        <f>+IF(AG1445=$AK$22,MONTH(V1445),"")</f>
        <v/>
      </c>
      <c r="AL1445" s="86" t="str">
        <f>+IF(AG1445=$AL$22,MONTH(V1445),"")</f>
        <v/>
      </c>
      <c r="AM1445" s="86">
        <f>+IF($AG1445=$AM$22,MONTH($D1445),"")</f>
        <v>3</v>
      </c>
      <c r="AN1445" s="89" t="str">
        <f>+IF($AG1445=AN$22,MONTH($D1445),"")</f>
        <v/>
      </c>
      <c r="AO1445" s="89" t="str">
        <f>+IF($AG1445=AO$22,MONTH($D1445),"")</f>
        <v/>
      </c>
      <c r="AP1445" s="89" t="str">
        <f>+IF($AG1445=AP$22,MONTH($D1445),"")</f>
        <v/>
      </c>
      <c r="AQ1445" s="89" t="str">
        <f>+IF($AG1445=AQ$22,MONTH($D1445),"")</f>
        <v/>
      </c>
      <c r="AR1445" s="89" t="str">
        <f>+IF($AG1445=AR$22,MONTH($D1445),"")</f>
        <v/>
      </c>
      <c r="AS1445" s="89" t="str">
        <f>+IF($AG1445=AS$22,MONTH($D1445),"")</f>
        <v/>
      </c>
      <c r="AT1445" s="89" t="str">
        <f>+IF($AG1445=AT$22,MONTH($D1445),"")</f>
        <v/>
      </c>
      <c r="AU1445" s="89" t="str">
        <f>+IF($AG1445=AU$22,MONTH($D1445),"")</f>
        <v/>
      </c>
      <c r="AV1445" s="89" t="str">
        <f>+IF($AG1445=AV$22,MONTH($D1445),"")</f>
        <v/>
      </c>
      <c r="AW1445" s="86" t="str">
        <f>+IF($AG1445=AW$22,MONTH($D1445),"")</f>
        <v/>
      </c>
      <c r="AX1445" s="86" t="str">
        <f>+IF($AG1445=AX$22,MONTH($D1445),"")</f>
        <v/>
      </c>
      <c r="AY1445" s="89"/>
      <c r="AZ1445" s="89"/>
      <c r="BA1445" s="89"/>
      <c r="BB1445" s="89"/>
      <c r="BC1445" s="89"/>
      <c r="BD1445" s="89"/>
      <c r="BE1445" s="89"/>
      <c r="BF1445" s="89"/>
      <c r="BG1445" s="89"/>
      <c r="BH1445" s="89"/>
      <c r="BI1445" s="89"/>
      <c r="BJ1445" s="89"/>
      <c r="BK1445" s="89"/>
      <c r="BL1445" s="89"/>
      <c r="BM1445" s="89"/>
      <c r="BN1445" s="89"/>
      <c r="BO1445" s="89"/>
      <c r="BP1445" s="89"/>
    </row>
    <row r="1446" spans="1:68" s="56" customFormat="1" ht="53.25" hidden="1">
      <c r="A1446" s="204" t="str">
        <f>+IFERROR(VALUE(MID(AB1446,4,4)),"")</f>
        <v/>
      </c>
      <c r="B1446" s="204">
        <f>VALUE(RIGHT(C1446,LEN(C1446)-2))</f>
        <v>1278</v>
      </c>
      <c r="C1446" s="74" t="s">
        <v>5406</v>
      </c>
      <c r="D1446" s="75">
        <v>44260</v>
      </c>
      <c r="E1446" s="70" t="s">
        <v>685</v>
      </c>
      <c r="F1446" s="70" t="s">
        <v>685</v>
      </c>
      <c r="G1446" s="68" t="s">
        <v>5407</v>
      </c>
      <c r="H1446" s="59"/>
      <c r="I1446" s="69" t="s">
        <v>5408</v>
      </c>
      <c r="J1446" s="69"/>
      <c r="K1446" s="68" t="s">
        <v>45</v>
      </c>
      <c r="L1446" s="69" t="s">
        <v>123</v>
      </c>
      <c r="M1446" s="71" t="s">
        <v>141</v>
      </c>
      <c r="N1446" s="69" t="e" vm="1">
        <v>#VALUE!</v>
      </c>
      <c r="O1446" s="84"/>
      <c r="P1446" s="72" t="s">
        <v>4567</v>
      </c>
      <c r="Q1446" s="72"/>
      <c r="R1446" s="162"/>
      <c r="S1446" s="146" t="s">
        <v>5409</v>
      </c>
      <c r="T1446" s="68" t="s">
        <v>155</v>
      </c>
      <c r="U1446" s="87"/>
      <c r="V1446" s="80">
        <v>44296</v>
      </c>
      <c r="W1446" s="73"/>
      <c r="X1446" s="73"/>
      <c r="Y1446" s="83" t="str">
        <f>IF(SUM(W1446:W1446)&gt;0,X1446/SUM(W1446:W1446)*1000000,"N/A")</f>
        <v>N/A</v>
      </c>
      <c r="Z1446" s="80"/>
      <c r="AA1446" s="80"/>
      <c r="AB1446" s="73"/>
      <c r="AC1446" s="153"/>
      <c r="AD1446" s="331"/>
      <c r="AE1446" s="57"/>
      <c r="AF1446" s="88"/>
      <c r="AG1446" s="182">
        <f>YEAR(D1446)</f>
        <v>2021</v>
      </c>
      <c r="AH1446" s="86" t="str">
        <f>+IF(AE1446=$AJ$22,MONTH(T1446),"")</f>
        <v/>
      </c>
      <c r="AI1446" s="86" t="str">
        <f>+IF(AF1446=$AJ$22,MONTH(U1446),"")</f>
        <v/>
      </c>
      <c r="AJ1446" s="86" t="str">
        <f>+IF(AG1446=$AJ$22,MONTH(V1446),"")</f>
        <v/>
      </c>
      <c r="AK1446" s="86" t="str">
        <f>+IF(AG1446=$AK$22,MONTH(V1446),"")</f>
        <v/>
      </c>
      <c r="AL1446" s="86" t="str">
        <f>+IF(AG1446=$AL$22,MONTH(V1446),"")</f>
        <v/>
      </c>
      <c r="AM1446" s="86">
        <f>+IF($AG1446=$AM$22,MONTH($D1446),"")</f>
        <v>3</v>
      </c>
      <c r="AN1446" s="89" t="str">
        <f>+IF($AG1446=AN$22,MONTH($D1446),"")</f>
        <v/>
      </c>
      <c r="AO1446" s="89" t="str">
        <f>+IF($AG1446=AO$22,MONTH($D1446),"")</f>
        <v/>
      </c>
      <c r="AP1446" s="89" t="str">
        <f>+IF($AG1446=AP$22,MONTH($D1446),"")</f>
        <v/>
      </c>
      <c r="AQ1446" s="89" t="str">
        <f>+IF($AG1446=AQ$22,MONTH($D1446),"")</f>
        <v/>
      </c>
      <c r="AR1446" s="89" t="str">
        <f>+IF($AG1446=AR$22,MONTH($D1446),"")</f>
        <v/>
      </c>
      <c r="AS1446" s="89" t="str">
        <f>+IF($AG1446=AS$22,MONTH($D1446),"")</f>
        <v/>
      </c>
      <c r="AT1446" s="89" t="str">
        <f>+IF($AG1446=AT$22,MONTH($D1446),"")</f>
        <v/>
      </c>
      <c r="AU1446" s="89" t="str">
        <f>+IF($AG1446=AU$22,MONTH($D1446),"")</f>
        <v/>
      </c>
      <c r="AV1446" s="89" t="str">
        <f>+IF($AG1446=AV$22,MONTH($D1446),"")</f>
        <v/>
      </c>
      <c r="AW1446" s="86" t="str">
        <f>+IF($AG1446=AW$22,MONTH($D1446),"")</f>
        <v/>
      </c>
      <c r="AX1446" s="86" t="str">
        <f>+IF($AG1446=AX$22,MONTH($D1446),"")</f>
        <v/>
      </c>
      <c r="AY1446" s="89"/>
      <c r="AZ1446" s="89"/>
      <c r="BA1446" s="89"/>
      <c r="BB1446" s="89"/>
      <c r="BC1446" s="89"/>
      <c r="BD1446" s="89"/>
      <c r="BE1446" s="89"/>
      <c r="BF1446" s="89"/>
      <c r="BG1446" s="89"/>
      <c r="BH1446" s="89"/>
      <c r="BI1446" s="89"/>
      <c r="BJ1446" s="89"/>
      <c r="BK1446" s="89"/>
      <c r="BL1446" s="89"/>
      <c r="BM1446" s="89"/>
      <c r="BN1446" s="89"/>
      <c r="BO1446" s="89"/>
      <c r="BP1446" s="89"/>
    </row>
    <row r="1447" spans="1:68" s="56" customFormat="1" ht="13.5" hidden="1">
      <c r="A1447" s="204" t="str">
        <f>+IFERROR(VALUE(MID(AB1447,4,4)),"")</f>
        <v/>
      </c>
      <c r="B1447" s="204">
        <f>VALUE(RIGHT(C1447,LEN(C1447)-2))</f>
        <v>1277</v>
      </c>
      <c r="C1447" s="74" t="s">
        <v>5410</v>
      </c>
      <c r="D1447" s="75">
        <v>44258</v>
      </c>
      <c r="E1447" s="70" t="s">
        <v>4827</v>
      </c>
      <c r="F1447" s="70" t="s">
        <v>4827</v>
      </c>
      <c r="G1447" s="68"/>
      <c r="H1447" s="59"/>
      <c r="I1447" s="69" t="s">
        <v>5411</v>
      </c>
      <c r="J1447" s="69"/>
      <c r="K1447" s="68" t="s">
        <v>12</v>
      </c>
      <c r="L1447" s="69" t="s">
        <v>120</v>
      </c>
      <c r="M1447" s="71" t="s">
        <v>113</v>
      </c>
      <c r="N1447" s="69" t="e" vm="7">
        <v>#VALUE!</v>
      </c>
      <c r="O1447" s="84"/>
      <c r="P1447" s="72" t="s">
        <v>4567</v>
      </c>
      <c r="Q1447" s="72" t="s">
        <v>623</v>
      </c>
      <c r="R1447" s="162"/>
      <c r="S1447" s="146"/>
      <c r="T1447" s="68" t="s">
        <v>3</v>
      </c>
      <c r="U1447" s="87"/>
      <c r="V1447" s="80">
        <v>44264</v>
      </c>
      <c r="W1447" s="73">
        <f>9000/75</f>
        <v>120</v>
      </c>
      <c r="X1447" s="73">
        <f>9000*700/1000000</f>
        <v>6.3</v>
      </c>
      <c r="Y1447" s="83">
        <f>IF(SUM(W1447:W1447)&gt;0,X1447/SUM(W1447:W1447)*1000000,"N/A")</f>
        <v>52500</v>
      </c>
      <c r="Z1447" s="80"/>
      <c r="AA1447" s="80"/>
      <c r="AB1447" s="73"/>
      <c r="AC1447" s="153"/>
      <c r="AD1447" s="331"/>
      <c r="AE1447" s="57"/>
      <c r="AF1447" s="88"/>
      <c r="AG1447" s="182">
        <f>YEAR(D1447)</f>
        <v>2021</v>
      </c>
      <c r="AH1447" s="86" t="str">
        <f>+IF(AE1447=$AJ$22,MONTH(T1447),"")</f>
        <v/>
      </c>
      <c r="AI1447" s="86" t="str">
        <f>+IF(AF1447=$AJ$22,MONTH(U1447),"")</f>
        <v/>
      </c>
      <c r="AJ1447" s="86" t="str">
        <f>+IF(AG1447=$AJ$22,MONTH(V1447),"")</f>
        <v/>
      </c>
      <c r="AK1447" s="86" t="str">
        <f>+IF(AG1447=$AK$22,MONTH(V1447),"")</f>
        <v/>
      </c>
      <c r="AL1447" s="86" t="str">
        <f>+IF(AG1447=$AL$22,MONTH(V1447),"")</f>
        <v/>
      </c>
      <c r="AM1447" s="86">
        <f>+IF($AG1447=$AM$22,MONTH($D1447),"")</f>
        <v>3</v>
      </c>
      <c r="AN1447" s="89" t="str">
        <f>+IF($AG1447=AN$22,MONTH($D1447),"")</f>
        <v/>
      </c>
      <c r="AO1447" s="89" t="str">
        <f>+IF($AG1447=AO$22,MONTH($D1447),"")</f>
        <v/>
      </c>
      <c r="AP1447" s="89" t="str">
        <f>+IF($AG1447=AP$22,MONTH($D1447),"")</f>
        <v/>
      </c>
      <c r="AQ1447" s="89" t="str">
        <f>+IF($AG1447=AQ$22,MONTH($D1447),"")</f>
        <v/>
      </c>
      <c r="AR1447" s="89" t="str">
        <f>+IF($AG1447=AR$22,MONTH($D1447),"")</f>
        <v/>
      </c>
      <c r="AS1447" s="89" t="str">
        <f>+IF($AG1447=AS$22,MONTH($D1447),"")</f>
        <v/>
      </c>
      <c r="AT1447" s="89" t="str">
        <f>+IF($AG1447=AT$22,MONTH($D1447),"")</f>
        <v/>
      </c>
      <c r="AU1447" s="89" t="str">
        <f>+IF($AG1447=AU$22,MONTH($D1447),"")</f>
        <v/>
      </c>
      <c r="AV1447" s="89" t="str">
        <f>+IF($AG1447=AV$22,MONTH($D1447),"")</f>
        <v/>
      </c>
      <c r="AW1447" s="86" t="str">
        <f>+IF($AG1447=AW$22,MONTH($D1447),"")</f>
        <v/>
      </c>
      <c r="AX1447" s="86" t="str">
        <f>+IF($AG1447=AX$22,MONTH($D1447),"")</f>
        <v/>
      </c>
      <c r="AY1447" s="89"/>
      <c r="AZ1447" s="89"/>
      <c r="BA1447" s="89"/>
      <c r="BB1447" s="89"/>
      <c r="BC1447" s="89"/>
      <c r="BD1447" s="89"/>
      <c r="BE1447" s="89"/>
      <c r="BF1447" s="89"/>
      <c r="BG1447" s="89"/>
      <c r="BH1447" s="89"/>
      <c r="BI1447" s="89"/>
      <c r="BJ1447" s="89"/>
      <c r="BK1447" s="89"/>
      <c r="BL1447" s="89"/>
      <c r="BM1447" s="89"/>
      <c r="BN1447" s="89"/>
      <c r="BO1447" s="89"/>
      <c r="BP1447" s="89"/>
    </row>
    <row r="1448" spans="1:68" s="56" customFormat="1" ht="13.5" hidden="1">
      <c r="A1448" s="204" t="str">
        <f>+IFERROR(VALUE(MID(AB1448,4,4)),"")</f>
        <v/>
      </c>
      <c r="B1448" s="204">
        <f>VALUE(RIGHT(C1448,LEN(C1448)-2))</f>
        <v>1276</v>
      </c>
      <c r="C1448" s="74" t="s">
        <v>5412</v>
      </c>
      <c r="D1448" s="75">
        <v>44256</v>
      </c>
      <c r="E1448" s="70" t="s">
        <v>5413</v>
      </c>
      <c r="F1448" s="70" t="s">
        <v>5413</v>
      </c>
      <c r="G1448" s="68" t="s">
        <v>4202</v>
      </c>
      <c r="H1448" s="59"/>
      <c r="I1448" s="69" t="s">
        <v>5414</v>
      </c>
      <c r="J1448" s="69"/>
      <c r="K1448" s="68" t="s">
        <v>13</v>
      </c>
      <c r="L1448" s="69" t="s">
        <v>120</v>
      </c>
      <c r="M1448" s="71" t="s">
        <v>141</v>
      </c>
      <c r="N1448" s="69" t="e" vm="1">
        <v>#VALUE!</v>
      </c>
      <c r="O1448" s="84"/>
      <c r="P1448" s="72" t="s">
        <v>402</v>
      </c>
      <c r="Q1448" s="72"/>
      <c r="R1448" s="162"/>
      <c r="S1448" s="146" t="s">
        <v>587</v>
      </c>
      <c r="T1448" s="68" t="s">
        <v>155</v>
      </c>
      <c r="U1448" s="87"/>
      <c r="V1448" s="80"/>
      <c r="W1448" s="73"/>
      <c r="X1448" s="73"/>
      <c r="Y1448" s="83"/>
      <c r="Z1448" s="80"/>
      <c r="AA1448" s="80"/>
      <c r="AB1448" s="73"/>
      <c r="AC1448" s="153"/>
      <c r="AD1448" s="331"/>
      <c r="AE1448" s="57"/>
      <c r="AF1448" s="88"/>
      <c r="AG1448" s="182">
        <f>YEAR(D1448)</f>
        <v>2021</v>
      </c>
      <c r="AH1448" s="86" t="str">
        <f>+IF(AE1448=$AJ$22,MONTH(T1448),"")</f>
        <v/>
      </c>
      <c r="AI1448" s="86" t="str">
        <f>+IF(AF1448=$AJ$22,MONTH(U1448),"")</f>
        <v/>
      </c>
      <c r="AJ1448" s="86" t="str">
        <f>+IF(AG1448=$AJ$22,MONTH(V1448),"")</f>
        <v/>
      </c>
      <c r="AK1448" s="86" t="str">
        <f>+IF(AG1448=$AK$22,MONTH(V1448),"")</f>
        <v/>
      </c>
      <c r="AL1448" s="86" t="str">
        <f>+IF(AG1448=$AL$22,MONTH(V1448),"")</f>
        <v/>
      </c>
      <c r="AM1448" s="86">
        <f>+IF($AG1448=$AM$22,MONTH($D1448),"")</f>
        <v>3</v>
      </c>
      <c r="AN1448" s="89" t="str">
        <f>+IF($AG1448=AN$22,MONTH($D1448),"")</f>
        <v/>
      </c>
      <c r="AO1448" s="89" t="str">
        <f>+IF($AG1448=AO$22,MONTH($D1448),"")</f>
        <v/>
      </c>
      <c r="AP1448" s="89" t="str">
        <f>+IF($AG1448=AP$22,MONTH($D1448),"")</f>
        <v/>
      </c>
      <c r="AQ1448" s="89" t="str">
        <f>+IF($AG1448=AQ$22,MONTH($D1448),"")</f>
        <v/>
      </c>
      <c r="AR1448" s="89" t="str">
        <f>+IF($AG1448=AR$22,MONTH($D1448),"")</f>
        <v/>
      </c>
      <c r="AS1448" s="89" t="str">
        <f>+IF($AG1448=AS$22,MONTH($D1448),"")</f>
        <v/>
      </c>
      <c r="AT1448" s="89" t="str">
        <f>+IF($AG1448=AT$22,MONTH($D1448),"")</f>
        <v/>
      </c>
      <c r="AU1448" s="89" t="str">
        <f>+IF($AG1448=AU$22,MONTH($D1448),"")</f>
        <v/>
      </c>
      <c r="AV1448" s="89" t="str">
        <f>+IF($AG1448=AV$22,MONTH($D1448),"")</f>
        <v/>
      </c>
      <c r="AW1448" s="86"/>
      <c r="AX1448" s="86"/>
      <c r="AY1448" s="89"/>
      <c r="AZ1448" s="89"/>
      <c r="BA1448" s="89"/>
      <c r="BB1448" s="89"/>
      <c r="BC1448" s="89"/>
      <c r="BD1448" s="89"/>
      <c r="BE1448" s="89"/>
      <c r="BF1448" s="89"/>
      <c r="BG1448" s="89"/>
      <c r="BH1448" s="89"/>
      <c r="BI1448" s="89"/>
      <c r="BJ1448" s="89"/>
      <c r="BK1448" s="89"/>
      <c r="BL1448" s="89"/>
      <c r="BM1448" s="89"/>
      <c r="BN1448" s="89"/>
      <c r="BO1448" s="89"/>
      <c r="BP1448" s="89"/>
    </row>
    <row r="1449" spans="1:68" s="56" customFormat="1" ht="13.5" hidden="1">
      <c r="A1449" s="204" t="str">
        <f>+IFERROR(VALUE(MID(AB1449,4,4)),"")</f>
        <v/>
      </c>
      <c r="B1449" s="204">
        <f>VALUE(RIGHT(C1449,LEN(C1449)-2))</f>
        <v>1275</v>
      </c>
      <c r="C1449" s="74" t="s">
        <v>5415</v>
      </c>
      <c r="D1449" s="75">
        <v>44252</v>
      </c>
      <c r="E1449" s="70" t="s">
        <v>394</v>
      </c>
      <c r="F1449" s="70" t="s">
        <v>394</v>
      </c>
      <c r="G1449" s="68" t="s">
        <v>5001</v>
      </c>
      <c r="H1449" s="59"/>
      <c r="I1449" s="69" t="s">
        <v>5416</v>
      </c>
      <c r="J1449" s="69"/>
      <c r="K1449" s="68" t="s">
        <v>5417</v>
      </c>
      <c r="L1449" s="69" t="s">
        <v>120</v>
      </c>
      <c r="M1449" s="71" t="s">
        <v>141</v>
      </c>
      <c r="N1449" s="69" t="e" vm="1">
        <v>#VALUE!</v>
      </c>
      <c r="O1449" s="84"/>
      <c r="P1449" s="72" t="s">
        <v>4567</v>
      </c>
      <c r="Q1449" s="72"/>
      <c r="R1449" s="162"/>
      <c r="S1449" s="146"/>
      <c r="T1449" s="68" t="s">
        <v>165</v>
      </c>
      <c r="U1449" s="87"/>
      <c r="V1449" s="80">
        <v>44404</v>
      </c>
      <c r="W1449" s="73">
        <v>2001</v>
      </c>
      <c r="X1449" s="73">
        <f>2300*29300/1000000</f>
        <v>67.39</v>
      </c>
      <c r="Y1449" s="83">
        <f>IF(SUM(W1449:W1449)&gt;0,X1449/SUM(W1449:W1449)*1000000,"N/A")</f>
        <v>33678.160919540227</v>
      </c>
      <c r="Z1449" s="80"/>
      <c r="AA1449" s="80"/>
      <c r="AB1449" s="73"/>
      <c r="AC1449" s="153"/>
      <c r="AD1449" s="331"/>
      <c r="AE1449" s="57"/>
      <c r="AF1449" s="88"/>
      <c r="AG1449" s="182">
        <f>YEAR(D1449)</f>
        <v>2021</v>
      </c>
      <c r="AH1449" s="86" t="str">
        <f>+IF(AE1449=$AJ$22,MONTH(T1449),"")</f>
        <v/>
      </c>
      <c r="AI1449" s="86" t="str">
        <f>+IF(AF1449=$AJ$22,MONTH(U1449),"")</f>
        <v/>
      </c>
      <c r="AJ1449" s="86" t="str">
        <f>+IF(AG1449=$AJ$22,MONTH(V1449),"")</f>
        <v/>
      </c>
      <c r="AK1449" s="86" t="str">
        <f>+IF(AG1449=$AK$22,MONTH(V1449),"")</f>
        <v/>
      </c>
      <c r="AL1449" s="86" t="str">
        <f>+IF(AG1449=$AL$22,MONTH(V1449),"")</f>
        <v/>
      </c>
      <c r="AM1449" s="86">
        <f>+IF($AG1449=$AM$22,MONTH($D1449),"")</f>
        <v>2</v>
      </c>
      <c r="AN1449" s="89" t="str">
        <f>+IF($AG1449=AN$22,MONTH($D1449),"")</f>
        <v/>
      </c>
      <c r="AO1449" s="89" t="str">
        <f>+IF($AG1449=AO$22,MONTH($D1449),"")</f>
        <v/>
      </c>
      <c r="AP1449" s="89" t="str">
        <f>+IF($AG1449=AP$22,MONTH($D1449),"")</f>
        <v/>
      </c>
      <c r="AQ1449" s="89" t="str">
        <f>+IF($AG1449=AQ$22,MONTH($D1449),"")</f>
        <v/>
      </c>
      <c r="AR1449" s="89" t="str">
        <f>+IF($AG1449=AR$22,MONTH($D1449),"")</f>
        <v/>
      </c>
      <c r="AS1449" s="89" t="str">
        <f>+IF($AG1449=AS$22,MONTH($D1449),"")</f>
        <v/>
      </c>
      <c r="AT1449" s="89" t="str">
        <f>+IF($AG1449=AT$22,MONTH($D1449),"")</f>
        <v/>
      </c>
      <c r="AU1449" s="89" t="str">
        <f>+IF($AG1449=AU$22,MONTH($D1449),"")</f>
        <v/>
      </c>
      <c r="AV1449" s="89" t="str">
        <f>+IF($AG1449=AV$22,MONTH($D1449),"")</f>
        <v/>
      </c>
      <c r="AW1449" s="86" t="str">
        <f>+IF($AG1449=AW$22,MONTH($D1449),"")</f>
        <v/>
      </c>
      <c r="AX1449" s="86" t="str">
        <f>+IF($AG1449=AX$22,MONTH($D1449),"")</f>
        <v/>
      </c>
      <c r="AY1449" s="89"/>
      <c r="AZ1449" s="89"/>
      <c r="BA1449" s="89"/>
      <c r="BB1449" s="89"/>
      <c r="BC1449" s="89"/>
      <c r="BD1449" s="89"/>
      <c r="BE1449" s="89"/>
      <c r="BF1449" s="89"/>
      <c r="BG1449" s="89"/>
      <c r="BH1449" s="89"/>
      <c r="BI1449" s="89"/>
      <c r="BJ1449" s="89"/>
      <c r="BK1449" s="89"/>
      <c r="BL1449" s="89"/>
      <c r="BM1449" s="89"/>
      <c r="BN1449" s="89"/>
      <c r="BO1449" s="89"/>
      <c r="BP1449" s="89"/>
    </row>
    <row r="1450" spans="1:68" s="56" customFormat="1" ht="13.5" hidden="1">
      <c r="A1450" s="204" t="str">
        <f>+IFERROR(VALUE(MID(AB1450,4,4)),"")</f>
        <v/>
      </c>
      <c r="B1450" s="204">
        <f>VALUE(RIGHT(C1450,LEN(C1450)-2))</f>
        <v>1274</v>
      </c>
      <c r="C1450" s="74" t="s">
        <v>5418</v>
      </c>
      <c r="D1450" s="75">
        <v>44251</v>
      </c>
      <c r="E1450" s="70" t="s">
        <v>4836</v>
      </c>
      <c r="F1450" s="70" t="s">
        <v>4836</v>
      </c>
      <c r="G1450" s="68"/>
      <c r="H1450" s="59"/>
      <c r="I1450" s="69" t="s">
        <v>5419</v>
      </c>
      <c r="J1450" s="69"/>
      <c r="K1450" s="68" t="s">
        <v>5417</v>
      </c>
      <c r="L1450" s="69" t="s">
        <v>120</v>
      </c>
      <c r="M1450" s="71" t="s">
        <v>141</v>
      </c>
      <c r="N1450" s="69" t="e" vm="1">
        <v>#VALUE!</v>
      </c>
      <c r="O1450" s="84"/>
      <c r="P1450" s="72" t="s">
        <v>4567</v>
      </c>
      <c r="Q1450" s="72"/>
      <c r="R1450" s="162"/>
      <c r="S1450" s="146"/>
      <c r="T1450" s="68" t="s">
        <v>165</v>
      </c>
      <c r="U1450" s="87"/>
      <c r="V1450" s="80">
        <v>44252</v>
      </c>
      <c r="W1450" s="73">
        <v>2001</v>
      </c>
      <c r="X1450" s="73">
        <f>2300*28500/1000000</f>
        <v>65.55</v>
      </c>
      <c r="Y1450" s="83">
        <f>IF(SUM(W1450:W1450)&gt;0,X1450/SUM(W1450:W1450)*1000000,"N/A")</f>
        <v>32758.62068965517</v>
      </c>
      <c r="Z1450" s="80"/>
      <c r="AA1450" s="80"/>
      <c r="AB1450" s="73"/>
      <c r="AC1450" s="153"/>
      <c r="AD1450" s="331"/>
      <c r="AE1450" s="57"/>
      <c r="AF1450" s="88"/>
      <c r="AG1450" s="182">
        <f>YEAR(D1450)</f>
        <v>2021</v>
      </c>
      <c r="AH1450" s="86" t="str">
        <f>+IF(AE1450=$AJ$22,MONTH(T1450),"")</f>
        <v/>
      </c>
      <c r="AI1450" s="86" t="str">
        <f>+IF(AF1450=$AJ$22,MONTH(U1450),"")</f>
        <v/>
      </c>
      <c r="AJ1450" s="86" t="str">
        <f>+IF(AG1450=$AJ$22,MONTH(V1450),"")</f>
        <v/>
      </c>
      <c r="AK1450" s="86" t="str">
        <f>+IF(AG1450=$AK$22,MONTH(V1450),"")</f>
        <v/>
      </c>
      <c r="AL1450" s="86" t="str">
        <f>+IF(AG1450=$AL$22,MONTH(V1450),"")</f>
        <v/>
      </c>
      <c r="AM1450" s="86">
        <f>+IF($AG1450=$AM$22,MONTH($D1450),"")</f>
        <v>2</v>
      </c>
      <c r="AN1450" s="89" t="str">
        <f>+IF($AG1450=AN$22,MONTH($D1450),"")</f>
        <v/>
      </c>
      <c r="AO1450" s="89" t="str">
        <f>+IF($AG1450=AO$22,MONTH($D1450),"")</f>
        <v/>
      </c>
      <c r="AP1450" s="89" t="str">
        <f>+IF($AG1450=AP$22,MONTH($D1450),"")</f>
        <v/>
      </c>
      <c r="AQ1450" s="89" t="str">
        <f>+IF($AG1450=AQ$22,MONTH($D1450),"")</f>
        <v/>
      </c>
      <c r="AR1450" s="89" t="str">
        <f>+IF($AG1450=AR$22,MONTH($D1450),"")</f>
        <v/>
      </c>
      <c r="AS1450" s="89" t="str">
        <f>+IF($AG1450=AS$22,MONTH($D1450),"")</f>
        <v/>
      </c>
      <c r="AT1450" s="89" t="str">
        <f>+IF($AG1450=AT$22,MONTH($D1450),"")</f>
        <v/>
      </c>
      <c r="AU1450" s="89" t="str">
        <f>+IF($AG1450=AU$22,MONTH($D1450),"")</f>
        <v/>
      </c>
      <c r="AV1450" s="89" t="str">
        <f>+IF($AG1450=AV$22,MONTH($D1450),"")</f>
        <v/>
      </c>
      <c r="AW1450" s="86" t="str">
        <f>+IF($AG1450=AW$22,MONTH($D1450),"")</f>
        <v/>
      </c>
      <c r="AX1450" s="86" t="str">
        <f>+IF($AG1450=AX$22,MONTH($D1450),"")</f>
        <v/>
      </c>
      <c r="AY1450" s="89"/>
      <c r="AZ1450" s="89"/>
      <c r="BA1450" s="89"/>
      <c r="BB1450" s="89"/>
      <c r="BC1450" s="89"/>
      <c r="BD1450" s="89"/>
      <c r="BE1450" s="89"/>
      <c r="BF1450" s="89"/>
      <c r="BG1450" s="89"/>
      <c r="BH1450" s="89"/>
      <c r="BI1450" s="89"/>
      <c r="BJ1450" s="89"/>
      <c r="BK1450" s="89"/>
      <c r="BL1450" s="89"/>
      <c r="BM1450" s="89"/>
      <c r="BN1450" s="89"/>
      <c r="BO1450" s="89"/>
      <c r="BP1450" s="89"/>
    </row>
    <row r="1451" spans="1:68" s="56" customFormat="1" ht="13.5" hidden="1">
      <c r="A1451" s="204">
        <f>+IFERROR(VALUE(MID(AB1451,4,4)),"")</f>
        <v>287</v>
      </c>
      <c r="B1451" s="204">
        <f>VALUE(RIGHT(C1451,LEN(C1451)-2))</f>
        <v>1273</v>
      </c>
      <c r="C1451" s="74" t="s">
        <v>5420</v>
      </c>
      <c r="D1451" s="75">
        <v>44250</v>
      </c>
      <c r="E1451" s="70" t="s">
        <v>394</v>
      </c>
      <c r="F1451" s="70" t="s">
        <v>394</v>
      </c>
      <c r="G1451" s="68" t="s">
        <v>5421</v>
      </c>
      <c r="H1451" s="59" t="s">
        <v>5422</v>
      </c>
      <c r="I1451" s="69" t="s">
        <v>5423</v>
      </c>
      <c r="J1451" s="69"/>
      <c r="K1451" s="68" t="s">
        <v>33</v>
      </c>
      <c r="L1451" s="69" t="s">
        <v>120</v>
      </c>
      <c r="M1451" s="71" t="s">
        <v>141</v>
      </c>
      <c r="N1451" s="69" t="e" vm="1">
        <v>#VALUE!</v>
      </c>
      <c r="O1451" s="84">
        <v>44564</v>
      </c>
      <c r="P1451" s="72" t="s">
        <v>402</v>
      </c>
      <c r="Q1451" s="72" t="s">
        <v>389</v>
      </c>
      <c r="R1451" s="162"/>
      <c r="S1451" s="146" t="s">
        <v>5424</v>
      </c>
      <c r="T1451" s="68" t="s">
        <v>3</v>
      </c>
      <c r="U1451" s="87"/>
      <c r="V1451" s="80">
        <v>44571</v>
      </c>
      <c r="W1451" s="73">
        <v>7750</v>
      </c>
      <c r="X1451" s="73">
        <v>340</v>
      </c>
      <c r="Y1451" s="83">
        <f>IF(SUM(W1451:W1451)&gt;0,X1451/SUM(W1451:W1451)*1000000,"N/A")</f>
        <v>43870.967741935485</v>
      </c>
      <c r="Z1451" s="80"/>
      <c r="AA1451" s="80"/>
      <c r="AB1451" s="73" t="s">
        <v>5425</v>
      </c>
      <c r="AC1451" s="153"/>
      <c r="AD1451" s="331"/>
      <c r="AE1451" s="57"/>
      <c r="AF1451" s="88"/>
      <c r="AG1451" s="182">
        <f>YEAR(V1451)</f>
        <v>2022</v>
      </c>
      <c r="AH1451" s="86" t="str">
        <f>+IF(AE1451=$AJ$22,MONTH(T1451),"")</f>
        <v/>
      </c>
      <c r="AI1451" s="86" t="str">
        <f>+IF(AF1451=$AJ$22,MONTH(U1451),"")</f>
        <v/>
      </c>
      <c r="AJ1451" s="86" t="str">
        <f>+IF(AG1451=$AJ$22,MONTH(V1451),"")</f>
        <v/>
      </c>
      <c r="AK1451" s="86" t="str">
        <f>+IF(AG1451=$AK$22,MONTH(V1451),"")</f>
        <v/>
      </c>
      <c r="AL1451" s="86">
        <f>+IF(AG1451=$AL$22,MONTH(V1451),"")</f>
        <v>1</v>
      </c>
      <c r="AM1451" s="86" t="str">
        <f>+IF($AG1451=$AM$22,MONTH($D1451),"")</f>
        <v/>
      </c>
      <c r="AN1451" s="89" t="str">
        <f>+IF($AG1451=AN$22,MONTH($D1451),"")</f>
        <v/>
      </c>
      <c r="AO1451" s="89" t="str">
        <f>+IF($AG1451=AO$22,MONTH($D1451),"")</f>
        <v/>
      </c>
      <c r="AP1451" s="89" t="str">
        <f>+IF($AG1451=AP$22,MONTH($D1451),"")</f>
        <v/>
      </c>
      <c r="AQ1451" s="89" t="str">
        <f>+IF($AG1451=AQ$22,MONTH($D1451),"")</f>
        <v/>
      </c>
      <c r="AR1451" s="89" t="str">
        <f>+IF($AG1451=AR$22,MONTH($D1451),"")</f>
        <v/>
      </c>
      <c r="AS1451" s="89" t="str">
        <f>+IF($AG1451=AS$22,MONTH($D1451),"")</f>
        <v/>
      </c>
      <c r="AT1451" s="89" t="str">
        <f>+IF($AG1451=AT$22,MONTH($D1451),"")</f>
        <v/>
      </c>
      <c r="AU1451" s="89" t="str">
        <f>+IF($AG1451=AU$22,MONTH($D1451),"")</f>
        <v/>
      </c>
      <c r="AV1451" s="89" t="str">
        <f>+IF($AG1451=AV$22,MONTH($D1451),"")</f>
        <v/>
      </c>
      <c r="AW1451" s="86" t="str">
        <f>+IF($AG1451=AW$22,MONTH($D1451),"")</f>
        <v/>
      </c>
      <c r="AX1451" s="86" t="str">
        <f>+IF($AG1451=AX$22,MONTH($D1451),"")</f>
        <v/>
      </c>
      <c r="AY1451" s="89"/>
      <c r="AZ1451" s="89"/>
      <c r="BA1451" s="89"/>
      <c r="BB1451" s="89"/>
      <c r="BC1451" s="89"/>
      <c r="BD1451" s="89"/>
      <c r="BE1451" s="89"/>
      <c r="BF1451" s="89"/>
      <c r="BG1451" s="89"/>
      <c r="BH1451" s="89"/>
      <c r="BI1451" s="89"/>
      <c r="BJ1451" s="89"/>
      <c r="BK1451" s="89"/>
      <c r="BL1451" s="89"/>
      <c r="BM1451" s="89"/>
      <c r="BN1451" s="89"/>
      <c r="BO1451" s="89"/>
      <c r="BP1451" s="89"/>
    </row>
    <row r="1452" spans="1:68" s="56" customFormat="1" ht="13.5" hidden="1">
      <c r="A1452" s="204">
        <f>+IFERROR(VALUE(MID(AB1452,4,4)),"")</f>
        <v>246</v>
      </c>
      <c r="B1452" s="204">
        <f>VALUE(RIGHT(C1452,LEN(C1452)-2))</f>
        <v>1272</v>
      </c>
      <c r="C1452" s="74" t="s">
        <v>5426</v>
      </c>
      <c r="D1452" s="75">
        <v>44249</v>
      </c>
      <c r="E1452" s="70" t="s">
        <v>277</v>
      </c>
      <c r="F1452" s="70" t="s">
        <v>277</v>
      </c>
      <c r="G1452" s="68" t="s">
        <v>1350</v>
      </c>
      <c r="H1452" s="59" t="s">
        <v>4327</v>
      </c>
      <c r="I1452" s="69" t="s">
        <v>5427</v>
      </c>
      <c r="J1452" s="69"/>
      <c r="K1452" s="68" t="s">
        <v>45</v>
      </c>
      <c r="L1452" s="69" t="s">
        <v>120</v>
      </c>
      <c r="M1452" s="71" t="s">
        <v>141</v>
      </c>
      <c r="N1452" s="69" t="e" vm="1">
        <v>#VALUE!</v>
      </c>
      <c r="O1452" s="84"/>
      <c r="P1452" s="72" t="s">
        <v>402</v>
      </c>
      <c r="Q1452" s="72" t="s">
        <v>389</v>
      </c>
      <c r="R1452" s="162"/>
      <c r="S1452" s="146"/>
      <c r="T1452" s="68" t="s">
        <v>3</v>
      </c>
      <c r="U1452" s="87"/>
      <c r="V1452" s="80">
        <v>44251</v>
      </c>
      <c r="W1452" s="73">
        <v>180</v>
      </c>
      <c r="X1452" s="73">
        <f>8939200/1000000</f>
        <v>8.9391999999999996</v>
      </c>
      <c r="Y1452" s="83">
        <f>IF(SUM(W1452:W1452)&gt;0,X1452/SUM(W1452:W1452)*1000000,"N/A")</f>
        <v>49662.222222222219</v>
      </c>
      <c r="Z1452" s="80"/>
      <c r="AA1452" s="80"/>
      <c r="AB1452" s="73" t="s">
        <v>5349</v>
      </c>
      <c r="AC1452" s="153"/>
      <c r="AD1452" s="331"/>
      <c r="AE1452" s="57"/>
      <c r="AF1452" s="88"/>
      <c r="AG1452" s="182">
        <f>YEAR(D1452)</f>
        <v>2021</v>
      </c>
      <c r="AH1452" s="86" t="str">
        <f>+IF(AE1452=$AJ$22,MONTH(T1452),"")</f>
        <v/>
      </c>
      <c r="AI1452" s="86" t="str">
        <f>+IF(AF1452=$AJ$22,MONTH(U1452),"")</f>
        <v/>
      </c>
      <c r="AJ1452" s="86" t="str">
        <f>+IF(AG1452=$AJ$22,MONTH(V1452),"")</f>
        <v/>
      </c>
      <c r="AK1452" s="86" t="str">
        <f>+IF(AG1452=$AK$22,MONTH(V1452),"")</f>
        <v/>
      </c>
      <c r="AL1452" s="86" t="str">
        <f>+IF(AG1452=$AL$22,MONTH(V1452),"")</f>
        <v/>
      </c>
      <c r="AM1452" s="86">
        <f>+IF($AG1452=$AM$22,MONTH($D1452),"")</f>
        <v>2</v>
      </c>
      <c r="AN1452" s="89" t="str">
        <f>+IF($AG1452=AN$22,MONTH($D1452),"")</f>
        <v/>
      </c>
      <c r="AO1452" s="89" t="str">
        <f>+IF($AG1452=AO$22,MONTH($D1452),"")</f>
        <v/>
      </c>
      <c r="AP1452" s="89" t="str">
        <f>+IF($AG1452=AP$22,MONTH($D1452),"")</f>
        <v/>
      </c>
      <c r="AQ1452" s="89" t="str">
        <f>+IF($AG1452=AQ$22,MONTH($D1452),"")</f>
        <v/>
      </c>
      <c r="AR1452" s="89" t="str">
        <f>+IF($AG1452=AR$22,MONTH($D1452),"")</f>
        <v/>
      </c>
      <c r="AS1452" s="89" t="str">
        <f>+IF($AG1452=AS$22,MONTH($D1452),"")</f>
        <v/>
      </c>
      <c r="AT1452" s="89" t="str">
        <f>+IF($AG1452=AT$22,MONTH($D1452),"")</f>
        <v/>
      </c>
      <c r="AU1452" s="89" t="str">
        <f>+IF($AG1452=AU$22,MONTH($D1452),"")</f>
        <v/>
      </c>
      <c r="AV1452" s="89" t="str">
        <f>+IF($AG1452=AV$22,MONTH($D1452),"")</f>
        <v/>
      </c>
      <c r="AW1452" s="86" t="str">
        <f>+IF($AG1452=AW$22,MONTH($D1452),"")</f>
        <v/>
      </c>
      <c r="AX1452" s="86" t="str">
        <f>+IF($AG1452=AX$22,MONTH($D1452),"")</f>
        <v/>
      </c>
      <c r="AY1452" s="89"/>
      <c r="AZ1452" s="89"/>
      <c r="BA1452" s="89"/>
      <c r="BB1452" s="89"/>
      <c r="BC1452" s="89"/>
      <c r="BD1452" s="89"/>
      <c r="BE1452" s="89"/>
      <c r="BF1452" s="89"/>
      <c r="BG1452" s="89"/>
      <c r="BH1452" s="89"/>
      <c r="BI1452" s="89"/>
      <c r="BJ1452" s="89"/>
      <c r="BK1452" s="89"/>
      <c r="BL1452" s="89"/>
      <c r="BM1452" s="89"/>
      <c r="BN1452" s="89"/>
      <c r="BO1452" s="89"/>
      <c r="BP1452" s="89"/>
    </row>
    <row r="1453" spans="1:68" s="56" customFormat="1" ht="27" hidden="1">
      <c r="A1453" s="204">
        <f>+IFERROR(VALUE(MID(AB1453,4,4)),"")</f>
        <v>219</v>
      </c>
      <c r="B1453" s="204">
        <f>VALUE(RIGHT(C1453,LEN(C1453)-2))</f>
        <v>1271</v>
      </c>
      <c r="C1453" s="74" t="s">
        <v>5428</v>
      </c>
      <c r="D1453" s="75">
        <v>44244</v>
      </c>
      <c r="E1453" s="70" t="s">
        <v>41</v>
      </c>
      <c r="F1453" s="70" t="s">
        <v>41</v>
      </c>
      <c r="G1453" s="68" t="s">
        <v>4713</v>
      </c>
      <c r="H1453" s="59"/>
      <c r="I1453" s="69" t="s">
        <v>5429</v>
      </c>
      <c r="J1453" s="69"/>
      <c r="K1453" s="68" t="s">
        <v>13</v>
      </c>
      <c r="L1453" s="69" t="s">
        <v>129</v>
      </c>
      <c r="M1453" s="71" t="s">
        <v>141</v>
      </c>
      <c r="N1453" s="69" t="e" vm="1">
        <v>#VALUE!</v>
      </c>
      <c r="O1453" s="84"/>
      <c r="P1453" s="72" t="s">
        <v>4567</v>
      </c>
      <c r="Q1453" s="72" t="s">
        <v>316</v>
      </c>
      <c r="R1453" s="162"/>
      <c r="S1453" s="146" t="s">
        <v>5430</v>
      </c>
      <c r="T1453" s="68" t="s">
        <v>3</v>
      </c>
      <c r="U1453" s="87"/>
      <c r="V1453" s="80">
        <v>44244</v>
      </c>
      <c r="W1453" s="73">
        <v>555</v>
      </c>
      <c r="X1453" s="73">
        <f>634*29000/1000000</f>
        <v>18.385999999999999</v>
      </c>
      <c r="Y1453" s="83">
        <f>IF(SUM(W1453:W1453)&gt;0,X1453/SUM(W1453:W1453)*1000000,"N/A")</f>
        <v>33127.927927927922</v>
      </c>
      <c r="Z1453" s="80"/>
      <c r="AA1453" s="80"/>
      <c r="AB1453" s="73" t="s">
        <v>5431</v>
      </c>
      <c r="AC1453" s="153"/>
      <c r="AD1453" s="331"/>
      <c r="AE1453" s="57"/>
      <c r="AF1453" s="88"/>
      <c r="AG1453" s="182">
        <f>YEAR(D1453)</f>
        <v>2021</v>
      </c>
      <c r="AH1453" s="86" t="str">
        <f>+IF(AE1453=$AJ$22,MONTH(T1453),"")</f>
        <v/>
      </c>
      <c r="AI1453" s="86" t="str">
        <f>+IF(AF1453=$AJ$22,MONTH(U1453),"")</f>
        <v/>
      </c>
      <c r="AJ1453" s="86" t="str">
        <f>+IF(AG1453=$AJ$22,MONTH(V1453),"")</f>
        <v/>
      </c>
      <c r="AK1453" s="86" t="str">
        <f>+IF(AG1453=$AK$22,MONTH(V1453),"")</f>
        <v/>
      </c>
      <c r="AL1453" s="86" t="str">
        <f>+IF(AG1453=$AL$22,MONTH(V1453),"")</f>
        <v/>
      </c>
      <c r="AM1453" s="86">
        <f>+IF($AG1453=$AM$22,MONTH($D1453),"")</f>
        <v>2</v>
      </c>
      <c r="AN1453" s="89" t="str">
        <f>+IF($AG1453=AN$22,MONTH($D1453),"")</f>
        <v/>
      </c>
      <c r="AO1453" s="89" t="str">
        <f>+IF($AG1453=AO$22,MONTH($D1453),"")</f>
        <v/>
      </c>
      <c r="AP1453" s="89" t="str">
        <f>+IF($AG1453=AP$22,MONTH($D1453),"")</f>
        <v/>
      </c>
      <c r="AQ1453" s="89" t="str">
        <f>+IF($AG1453=AQ$22,MONTH($D1453),"")</f>
        <v/>
      </c>
      <c r="AR1453" s="89" t="str">
        <f>+IF($AG1453=AR$22,MONTH($D1453),"")</f>
        <v/>
      </c>
      <c r="AS1453" s="89" t="str">
        <f>+IF($AG1453=AS$22,MONTH($D1453),"")</f>
        <v/>
      </c>
      <c r="AT1453" s="89" t="str">
        <f>+IF($AG1453=AT$22,MONTH($D1453),"")</f>
        <v/>
      </c>
      <c r="AU1453" s="89" t="str">
        <f>+IF($AG1453=AU$22,MONTH($D1453),"")</f>
        <v/>
      </c>
      <c r="AV1453" s="89" t="str">
        <f>+IF($AG1453=AV$22,MONTH($D1453),"")</f>
        <v/>
      </c>
      <c r="AW1453" s="86" t="str">
        <f>+IF($AG1453=AW$22,MONTH($D1453),"")</f>
        <v/>
      </c>
      <c r="AX1453" s="86" t="str">
        <f>+IF($AG1453=AX$22,MONTH($D1453),"")</f>
        <v/>
      </c>
      <c r="AY1453" s="89"/>
      <c r="AZ1453" s="89"/>
      <c r="BA1453" s="89"/>
      <c r="BB1453" s="89"/>
      <c r="BC1453" s="89"/>
      <c r="BD1453" s="89"/>
      <c r="BE1453" s="89"/>
      <c r="BF1453" s="89"/>
      <c r="BG1453" s="89"/>
      <c r="BH1453" s="89"/>
      <c r="BI1453" s="89"/>
      <c r="BJ1453" s="89"/>
      <c r="BK1453" s="89"/>
      <c r="BL1453" s="89"/>
      <c r="BM1453" s="89"/>
      <c r="BN1453" s="89"/>
      <c r="BO1453" s="89"/>
      <c r="BP1453" s="89"/>
    </row>
    <row r="1454" spans="1:68" s="56" customFormat="1" ht="27" hidden="1">
      <c r="A1454" s="204" t="str">
        <f>+IFERROR(VALUE(MID(AB1454,4,4)),"")</f>
        <v/>
      </c>
      <c r="B1454" s="204">
        <f>VALUE(RIGHT(C1454,LEN(C1454)-2))</f>
        <v>1270</v>
      </c>
      <c r="C1454" s="74" t="s">
        <v>5432</v>
      </c>
      <c r="D1454" s="75">
        <v>44243</v>
      </c>
      <c r="E1454" s="70" t="s">
        <v>96</v>
      </c>
      <c r="F1454" s="70" t="s">
        <v>96</v>
      </c>
      <c r="G1454" s="68" t="s">
        <v>1433</v>
      </c>
      <c r="H1454" s="59"/>
      <c r="I1454" s="69" t="s">
        <v>5433</v>
      </c>
      <c r="J1454" s="69"/>
      <c r="K1454" s="68" t="s">
        <v>12</v>
      </c>
      <c r="L1454" s="69" t="s">
        <v>123</v>
      </c>
      <c r="M1454" s="71" t="s">
        <v>141</v>
      </c>
      <c r="N1454" s="69" t="e" vm="1">
        <v>#VALUE!</v>
      </c>
      <c r="O1454" s="84"/>
      <c r="P1454" s="72" t="s">
        <v>228</v>
      </c>
      <c r="Q1454" s="72"/>
      <c r="R1454" s="162"/>
      <c r="S1454" s="146" t="s">
        <v>3033</v>
      </c>
      <c r="T1454" s="68" t="s">
        <v>165</v>
      </c>
      <c r="U1454" s="87"/>
      <c r="V1454" s="80">
        <v>44298</v>
      </c>
      <c r="W1454" s="73">
        <v>1798</v>
      </c>
      <c r="X1454" s="73">
        <v>72.779435000000007</v>
      </c>
      <c r="Y1454" s="83">
        <f>IF(SUM(W1454:W1454)&gt;0,X1454/SUM(W1454:W1454)*1000000,"N/A")</f>
        <v>40477.994994438268</v>
      </c>
      <c r="Z1454" s="80"/>
      <c r="AA1454" s="80"/>
      <c r="AB1454" s="73"/>
      <c r="AC1454" s="153"/>
      <c r="AD1454" s="331"/>
      <c r="AE1454" s="57"/>
      <c r="AF1454" s="88"/>
      <c r="AG1454" s="182">
        <f>YEAR(D1454)</f>
        <v>2021</v>
      </c>
      <c r="AH1454" s="86" t="str">
        <f>+IF(AE1454=$AJ$22,MONTH(T1454),"")</f>
        <v/>
      </c>
      <c r="AI1454" s="86" t="str">
        <f>+IF(AF1454=$AJ$22,MONTH(U1454),"")</f>
        <v/>
      </c>
      <c r="AJ1454" s="86" t="str">
        <f>+IF(AG1454=$AJ$22,MONTH(V1454),"")</f>
        <v/>
      </c>
      <c r="AK1454" s="86" t="str">
        <f>+IF(AG1454=$AK$22,MONTH(V1454),"")</f>
        <v/>
      </c>
      <c r="AL1454" s="86" t="str">
        <f>+IF(AG1454=$AL$22,MONTH(V1454),"")</f>
        <v/>
      </c>
      <c r="AM1454" s="86">
        <f>+IF($AG1454=$AM$22,MONTH($D1454),"")</f>
        <v>2</v>
      </c>
      <c r="AN1454" s="89" t="str">
        <f>+IF($AG1454=AN$22,MONTH($D1454),"")</f>
        <v/>
      </c>
      <c r="AO1454" s="89" t="str">
        <f>+IF($AG1454=AO$22,MONTH($D1454),"")</f>
        <v/>
      </c>
      <c r="AP1454" s="89" t="str">
        <f>+IF($AG1454=AP$22,MONTH($D1454),"")</f>
        <v/>
      </c>
      <c r="AQ1454" s="89" t="str">
        <f>+IF($AG1454=AQ$22,MONTH($D1454),"")</f>
        <v/>
      </c>
      <c r="AR1454" s="89" t="str">
        <f>+IF($AG1454=AR$22,MONTH($D1454),"")</f>
        <v/>
      </c>
      <c r="AS1454" s="89" t="str">
        <f>+IF($AG1454=AS$22,MONTH($D1454),"")</f>
        <v/>
      </c>
      <c r="AT1454" s="89" t="str">
        <f>+IF($AG1454=AT$22,MONTH($D1454),"")</f>
        <v/>
      </c>
      <c r="AU1454" s="89" t="str">
        <f>+IF($AG1454=AU$22,MONTH($D1454),"")</f>
        <v/>
      </c>
      <c r="AV1454" s="89" t="str">
        <f>+IF($AG1454=AV$22,MONTH($D1454),"")</f>
        <v/>
      </c>
      <c r="AW1454" s="86" t="str">
        <f>+IF($AG1454=AW$22,MONTH($D1454),"")</f>
        <v/>
      </c>
      <c r="AX1454" s="86" t="str">
        <f>+IF($AG1454=AX$22,MONTH($D1454),"")</f>
        <v/>
      </c>
      <c r="AY1454" s="89"/>
      <c r="AZ1454" s="89"/>
      <c r="BA1454" s="89"/>
      <c r="BB1454" s="89"/>
      <c r="BC1454" s="89"/>
      <c r="BD1454" s="89"/>
      <c r="BE1454" s="89"/>
      <c r="BF1454" s="89"/>
      <c r="BG1454" s="89"/>
      <c r="BH1454" s="89"/>
      <c r="BI1454" s="89"/>
      <c r="BJ1454" s="89"/>
      <c r="BK1454" s="89"/>
      <c r="BL1454" s="89"/>
      <c r="BM1454" s="89"/>
      <c r="BN1454" s="89"/>
      <c r="BO1454" s="89"/>
      <c r="BP1454" s="89"/>
    </row>
    <row r="1455" spans="1:68" s="56" customFormat="1" ht="13.5" hidden="1">
      <c r="A1455" s="204" t="str">
        <f>+IFERROR(VALUE(MID(AB1455,4,4)),"")</f>
        <v/>
      </c>
      <c r="B1455" s="204">
        <f>VALUE(RIGHT(C1455,LEN(C1455)-2))</f>
        <v>1269</v>
      </c>
      <c r="C1455" s="74" t="s">
        <v>5434</v>
      </c>
      <c r="D1455" s="75">
        <v>44243</v>
      </c>
      <c r="E1455" s="70" t="s">
        <v>4827</v>
      </c>
      <c r="F1455" s="70" t="s">
        <v>4827</v>
      </c>
      <c r="G1455" s="68"/>
      <c r="H1455" s="59"/>
      <c r="I1455" s="69" t="s">
        <v>5435</v>
      </c>
      <c r="J1455" s="69"/>
      <c r="K1455" s="68" t="s">
        <v>3286</v>
      </c>
      <c r="L1455" s="69" t="s">
        <v>120</v>
      </c>
      <c r="M1455" s="71" t="s">
        <v>141</v>
      </c>
      <c r="N1455" s="69" t="e" vm="1">
        <v>#VALUE!</v>
      </c>
      <c r="O1455" s="84"/>
      <c r="P1455" s="72" t="s">
        <v>4567</v>
      </c>
      <c r="Q1455" s="72"/>
      <c r="R1455" s="162"/>
      <c r="S1455" s="146"/>
      <c r="T1455" s="68" t="s">
        <v>165</v>
      </c>
      <c r="U1455" s="87"/>
      <c r="V1455" s="80">
        <v>44251</v>
      </c>
      <c r="W1455" s="73">
        <f>58000/150</f>
        <v>386.66666666666669</v>
      </c>
      <c r="X1455" s="73">
        <f>58000*720/1000000</f>
        <v>41.76</v>
      </c>
      <c r="Y1455" s="83">
        <f>IF(SUM(W1455:W1455)&gt;0,X1455/SUM(W1455:W1455)*1000000,"N/A")</f>
        <v>107999.99999999999</v>
      </c>
      <c r="Z1455" s="80"/>
      <c r="AA1455" s="80"/>
      <c r="AB1455" s="73"/>
      <c r="AC1455" s="153"/>
      <c r="AD1455" s="331"/>
      <c r="AE1455" s="57"/>
      <c r="AF1455" s="88"/>
      <c r="AG1455" s="182">
        <f>YEAR(D1455)</f>
        <v>2021</v>
      </c>
      <c r="AH1455" s="86" t="str">
        <f>+IF(AE1455=$AJ$22,MONTH(T1455),"")</f>
        <v/>
      </c>
      <c r="AI1455" s="86" t="str">
        <f>+IF(AF1455=$AJ$22,MONTH(U1455),"")</f>
        <v/>
      </c>
      <c r="AJ1455" s="86" t="str">
        <f>+IF(AG1455=$AJ$22,MONTH(V1455),"")</f>
        <v/>
      </c>
      <c r="AK1455" s="86" t="str">
        <f>+IF(AG1455=$AK$22,MONTH(V1455),"")</f>
        <v/>
      </c>
      <c r="AL1455" s="86" t="str">
        <f>+IF(AG1455=$AL$22,MONTH(V1455),"")</f>
        <v/>
      </c>
      <c r="AM1455" s="86">
        <f>+IF($AG1455=$AM$22,MONTH($D1455),"")</f>
        <v>2</v>
      </c>
      <c r="AN1455" s="89" t="str">
        <f>+IF($AG1455=AN$22,MONTH($D1455),"")</f>
        <v/>
      </c>
      <c r="AO1455" s="89" t="str">
        <f>+IF($AG1455=AO$22,MONTH($D1455),"")</f>
        <v/>
      </c>
      <c r="AP1455" s="89" t="str">
        <f>+IF($AG1455=AP$22,MONTH($D1455),"")</f>
        <v/>
      </c>
      <c r="AQ1455" s="89" t="str">
        <f>+IF($AG1455=AQ$22,MONTH($D1455),"")</f>
        <v/>
      </c>
      <c r="AR1455" s="89" t="str">
        <f>+IF($AG1455=AR$22,MONTH($D1455),"")</f>
        <v/>
      </c>
      <c r="AS1455" s="89" t="str">
        <f>+IF($AG1455=AS$22,MONTH($D1455),"")</f>
        <v/>
      </c>
      <c r="AT1455" s="89" t="str">
        <f>+IF($AG1455=AT$22,MONTH($D1455),"")</f>
        <v/>
      </c>
      <c r="AU1455" s="89" t="str">
        <f>+IF($AG1455=AU$22,MONTH($D1455),"")</f>
        <v/>
      </c>
      <c r="AV1455" s="89" t="str">
        <f>+IF($AG1455=AV$22,MONTH($D1455),"")</f>
        <v/>
      </c>
      <c r="AW1455" s="86" t="str">
        <f>+IF($AG1455=AW$22,MONTH($D1455),"")</f>
        <v/>
      </c>
      <c r="AX1455" s="86" t="str">
        <f>+IF($AG1455=AX$22,MONTH($D1455),"")</f>
        <v/>
      </c>
      <c r="AY1455" s="89"/>
      <c r="AZ1455" s="89"/>
      <c r="BA1455" s="89"/>
      <c r="BB1455" s="89"/>
      <c r="BC1455" s="89"/>
      <c r="BD1455" s="89"/>
      <c r="BE1455" s="89"/>
      <c r="BF1455" s="89"/>
      <c r="BG1455" s="89"/>
      <c r="BH1455" s="89"/>
      <c r="BI1455" s="89"/>
      <c r="BJ1455" s="89"/>
      <c r="BK1455" s="89"/>
      <c r="BL1455" s="89"/>
      <c r="BM1455" s="89"/>
      <c r="BN1455" s="89"/>
      <c r="BO1455" s="89"/>
      <c r="BP1455" s="89"/>
    </row>
    <row r="1456" spans="1:68" s="56" customFormat="1" ht="27" hidden="1" customHeight="1">
      <c r="A1456" s="204" t="str">
        <f>+IFERROR(VALUE(MID(AB1456,4,4)),"")</f>
        <v/>
      </c>
      <c r="B1456" s="204">
        <f>VALUE(RIGHT(C1456,LEN(C1456)-2))</f>
        <v>1268</v>
      </c>
      <c r="C1456" s="74" t="s">
        <v>5436</v>
      </c>
      <c r="D1456" s="75">
        <v>44243</v>
      </c>
      <c r="E1456" s="70" t="s">
        <v>5437</v>
      </c>
      <c r="F1456" s="70" t="s">
        <v>5437</v>
      </c>
      <c r="G1456" s="68"/>
      <c r="H1456" s="59"/>
      <c r="I1456" s="69" t="s">
        <v>5438</v>
      </c>
      <c r="J1456" s="69"/>
      <c r="K1456" s="68" t="s">
        <v>11</v>
      </c>
      <c r="L1456" s="69" t="s">
        <v>120</v>
      </c>
      <c r="M1456" s="71" t="s">
        <v>141</v>
      </c>
      <c r="N1456" s="69" t="e" vm="1">
        <v>#VALUE!</v>
      </c>
      <c r="O1456" s="84"/>
      <c r="P1456" s="72" t="s">
        <v>4567</v>
      </c>
      <c r="Q1456" s="72"/>
      <c r="R1456" s="162"/>
      <c r="S1456" s="146"/>
      <c r="T1456" s="68" t="s">
        <v>165</v>
      </c>
      <c r="U1456" s="87"/>
      <c r="V1456" s="80">
        <v>44246</v>
      </c>
      <c r="W1456" s="73">
        <v>2990</v>
      </c>
      <c r="X1456" s="73">
        <f>637440*128.3/1000000</f>
        <v>81.783552</v>
      </c>
      <c r="Y1456" s="83">
        <f>IF(SUM(W1456:W1456)&gt;0,X1456/SUM(W1456:W1456)*1000000,"N/A")</f>
        <v>27352.358528428093</v>
      </c>
      <c r="Z1456" s="80"/>
      <c r="AA1456" s="80"/>
      <c r="AB1456" s="73"/>
      <c r="AC1456" s="153"/>
      <c r="AD1456" s="331"/>
      <c r="AE1456" s="57"/>
      <c r="AF1456" s="88"/>
      <c r="AG1456" s="182">
        <f>YEAR(D1456)</f>
        <v>2021</v>
      </c>
      <c r="AH1456" s="86" t="str">
        <f>+IF(AE1456=$AJ$22,MONTH(T1456),"")</f>
        <v/>
      </c>
      <c r="AI1456" s="86" t="str">
        <f>+IF(AF1456=$AJ$22,MONTH(U1456),"")</f>
        <v/>
      </c>
      <c r="AJ1456" s="86" t="str">
        <f>+IF(AG1456=$AJ$22,MONTH(V1456),"")</f>
        <v/>
      </c>
      <c r="AK1456" s="86" t="str">
        <f>+IF(AG1456=$AK$22,MONTH(V1456),"")</f>
        <v/>
      </c>
      <c r="AL1456" s="86" t="str">
        <f>+IF(AG1456=$AL$22,MONTH(V1456),"")</f>
        <v/>
      </c>
      <c r="AM1456" s="86">
        <f>+IF($AG1456=$AM$22,MONTH($D1456),"")</f>
        <v>2</v>
      </c>
      <c r="AN1456" s="89" t="str">
        <f>+IF($AG1456=AN$22,MONTH($D1456),"")</f>
        <v/>
      </c>
      <c r="AO1456" s="89" t="str">
        <f>+IF($AG1456=AO$22,MONTH($D1456),"")</f>
        <v/>
      </c>
      <c r="AP1456" s="89" t="str">
        <f>+IF($AG1456=AP$22,MONTH($D1456),"")</f>
        <v/>
      </c>
      <c r="AQ1456" s="89" t="str">
        <f>+IF($AG1456=AQ$22,MONTH($D1456),"")</f>
        <v/>
      </c>
      <c r="AR1456" s="89" t="str">
        <f>+IF($AG1456=AR$22,MONTH($D1456),"")</f>
        <v/>
      </c>
      <c r="AS1456" s="89" t="str">
        <f>+IF($AG1456=AS$22,MONTH($D1456),"")</f>
        <v/>
      </c>
      <c r="AT1456" s="89" t="str">
        <f>+IF($AG1456=AT$22,MONTH($D1456),"")</f>
        <v/>
      </c>
      <c r="AU1456" s="89" t="str">
        <f>+IF($AG1456=AU$22,MONTH($D1456),"")</f>
        <v/>
      </c>
      <c r="AV1456" s="89" t="str">
        <f>+IF($AG1456=AV$22,MONTH($D1456),"")</f>
        <v/>
      </c>
      <c r="AW1456" s="86"/>
      <c r="AX1456" s="86"/>
      <c r="AY1456" s="89"/>
      <c r="AZ1456" s="89"/>
      <c r="BA1456" s="89"/>
      <c r="BB1456" s="89"/>
      <c r="BC1456" s="89"/>
      <c r="BD1456" s="89"/>
      <c r="BE1456" s="89"/>
      <c r="BF1456" s="89"/>
      <c r="BG1456" s="89"/>
      <c r="BH1456" s="89"/>
      <c r="BI1456" s="89"/>
      <c r="BJ1456" s="89"/>
      <c r="BK1456" s="89"/>
      <c r="BL1456" s="89"/>
      <c r="BM1456" s="89"/>
      <c r="BN1456" s="89"/>
      <c r="BO1456" s="89"/>
      <c r="BP1456" s="89"/>
    </row>
    <row r="1457" spans="1:68" s="56" customFormat="1" ht="27" hidden="1">
      <c r="A1457" s="204" t="str">
        <f>+IFERROR(VALUE(MID(AB1457,4,4)),"")</f>
        <v/>
      </c>
      <c r="B1457" s="204">
        <f>VALUE(RIGHT(C1457,LEN(C1457)-2))</f>
        <v>1267</v>
      </c>
      <c r="C1457" s="74" t="s">
        <v>5439</v>
      </c>
      <c r="D1457" s="75">
        <v>44238</v>
      </c>
      <c r="E1457" s="70" t="s">
        <v>255</v>
      </c>
      <c r="F1457" s="70" t="s">
        <v>255</v>
      </c>
      <c r="G1457" s="68"/>
      <c r="H1457" s="59"/>
      <c r="I1457" s="69" t="s">
        <v>5440</v>
      </c>
      <c r="J1457" s="69"/>
      <c r="K1457" s="68" t="s">
        <v>16</v>
      </c>
      <c r="L1457" s="69" t="s">
        <v>120</v>
      </c>
      <c r="M1457" s="71" t="s">
        <v>141</v>
      </c>
      <c r="N1457" s="69" t="e" vm="1">
        <v>#VALUE!</v>
      </c>
      <c r="O1457" s="84"/>
      <c r="P1457" s="72" t="s">
        <v>4897</v>
      </c>
      <c r="Q1457" s="72"/>
      <c r="R1457" s="162"/>
      <c r="S1457" s="146"/>
      <c r="T1457" s="68" t="s">
        <v>165</v>
      </c>
      <c r="U1457" s="87"/>
      <c r="V1457" s="80">
        <v>44239</v>
      </c>
      <c r="W1457" s="73">
        <v>192</v>
      </c>
      <c r="X1457" s="73">
        <f>366*29000/1000000</f>
        <v>10.614000000000001</v>
      </c>
      <c r="Y1457" s="83">
        <f>IF(SUM(W1457:W1457)&gt;0,X1457/SUM(W1457:W1457)*1000000,"N/A")</f>
        <v>55281.250000000007</v>
      </c>
      <c r="Z1457" s="80"/>
      <c r="AA1457" s="80"/>
      <c r="AB1457" s="73"/>
      <c r="AC1457" s="153"/>
      <c r="AD1457" s="331"/>
      <c r="AE1457" s="57"/>
      <c r="AF1457" s="88"/>
      <c r="AG1457" s="182">
        <f>YEAR(D1457)</f>
        <v>2021</v>
      </c>
      <c r="AH1457" s="86" t="str">
        <f>+IF(AE1457=$AJ$22,MONTH(T1457),"")</f>
        <v/>
      </c>
      <c r="AI1457" s="86" t="str">
        <f>+IF(AF1457=$AJ$22,MONTH(U1457),"")</f>
        <v/>
      </c>
      <c r="AJ1457" s="86" t="str">
        <f>+IF(AG1457=$AJ$22,MONTH(V1457),"")</f>
        <v/>
      </c>
      <c r="AK1457" s="86" t="str">
        <f>+IF(AG1457=$AK$22,MONTH(V1457),"")</f>
        <v/>
      </c>
      <c r="AL1457" s="86" t="str">
        <f>+IF(AG1457=$AL$22,MONTH(V1457),"")</f>
        <v/>
      </c>
      <c r="AM1457" s="86">
        <f>+IF($AG1457=$AM$22,MONTH($D1457),"")</f>
        <v>2</v>
      </c>
      <c r="AN1457" s="89" t="str">
        <f>+IF($AG1457=AN$22,MONTH($D1457),"")</f>
        <v/>
      </c>
      <c r="AO1457" s="89" t="str">
        <f>+IF($AG1457=AO$22,MONTH($D1457),"")</f>
        <v/>
      </c>
      <c r="AP1457" s="89" t="str">
        <f>+IF($AG1457=AP$22,MONTH($D1457),"")</f>
        <v/>
      </c>
      <c r="AQ1457" s="89" t="str">
        <f>+IF($AG1457=AQ$22,MONTH($D1457),"")</f>
        <v/>
      </c>
      <c r="AR1457" s="89" t="str">
        <f>+IF($AG1457=AR$22,MONTH($D1457),"")</f>
        <v/>
      </c>
      <c r="AS1457" s="89" t="str">
        <f>+IF($AG1457=AS$22,MONTH($D1457),"")</f>
        <v/>
      </c>
      <c r="AT1457" s="89" t="str">
        <f>+IF($AG1457=AT$22,MONTH($D1457),"")</f>
        <v/>
      </c>
      <c r="AU1457" s="89" t="str">
        <f>+IF($AG1457=AU$22,MONTH($D1457),"")</f>
        <v/>
      </c>
      <c r="AV1457" s="89" t="str">
        <f>+IF($AG1457=AV$22,MONTH($D1457),"")</f>
        <v/>
      </c>
      <c r="AW1457" s="86"/>
      <c r="AX1457" s="86"/>
      <c r="AY1457" s="89"/>
      <c r="AZ1457" s="89"/>
      <c r="BA1457" s="89"/>
      <c r="BB1457" s="89"/>
      <c r="BC1457" s="89"/>
      <c r="BD1457" s="89"/>
      <c r="BE1457" s="89"/>
      <c r="BF1457" s="89"/>
      <c r="BG1457" s="89"/>
      <c r="BH1457" s="89"/>
      <c r="BI1457" s="89"/>
      <c r="BJ1457" s="89"/>
      <c r="BK1457" s="89"/>
      <c r="BL1457" s="89"/>
      <c r="BM1457" s="89"/>
      <c r="BN1457" s="89"/>
      <c r="BO1457" s="89"/>
      <c r="BP1457" s="89"/>
    </row>
    <row r="1458" spans="1:68" s="56" customFormat="1" ht="27" hidden="1">
      <c r="A1458" s="204">
        <f>+IFERROR(VALUE(MID(AB1458,4,4)),"")</f>
        <v>219</v>
      </c>
      <c r="B1458" s="204">
        <f>VALUE(RIGHT(C1458,LEN(C1458)-2))</f>
        <v>1266</v>
      </c>
      <c r="C1458" s="74" t="s">
        <v>5441</v>
      </c>
      <c r="D1458" s="75">
        <v>44237</v>
      </c>
      <c r="E1458" s="70" t="s">
        <v>41</v>
      </c>
      <c r="F1458" s="70" t="s">
        <v>41</v>
      </c>
      <c r="G1458" s="68" t="s">
        <v>4713</v>
      </c>
      <c r="H1458" s="59"/>
      <c r="I1458" s="69" t="s">
        <v>5442</v>
      </c>
      <c r="J1458" s="69"/>
      <c r="K1458" s="68" t="s">
        <v>30</v>
      </c>
      <c r="L1458" s="69" t="s">
        <v>129</v>
      </c>
      <c r="M1458" s="71" t="s">
        <v>141</v>
      </c>
      <c r="N1458" s="69" t="e" vm="1">
        <v>#VALUE!</v>
      </c>
      <c r="O1458" s="84"/>
      <c r="P1458" s="72" t="s">
        <v>402</v>
      </c>
      <c r="Q1458" s="72" t="s">
        <v>1097</v>
      </c>
      <c r="R1458" s="162"/>
      <c r="S1458" s="146"/>
      <c r="T1458" s="68" t="s">
        <v>3</v>
      </c>
      <c r="U1458" s="87"/>
      <c r="V1458" s="80">
        <v>44237</v>
      </c>
      <c r="W1458" s="73">
        <v>100</v>
      </c>
      <c r="X1458" s="73">
        <v>4.2</v>
      </c>
      <c r="Y1458" s="83">
        <f>IF(SUM(W1458:W1458)&gt;0,X1458/SUM(W1458:W1458)*1000000,"N/A")</f>
        <v>42000</v>
      </c>
      <c r="Z1458" s="80"/>
      <c r="AA1458" s="80"/>
      <c r="AB1458" s="73" t="s">
        <v>5443</v>
      </c>
      <c r="AC1458" s="153"/>
      <c r="AD1458" s="331"/>
      <c r="AE1458" s="57"/>
      <c r="AF1458" s="88"/>
      <c r="AG1458" s="182">
        <f>YEAR(D1458)</f>
        <v>2021</v>
      </c>
      <c r="AH1458" s="86" t="str">
        <f>+IF(AE1458=$AJ$22,MONTH(T1458),"")</f>
        <v/>
      </c>
      <c r="AI1458" s="86" t="str">
        <f>+IF(AF1458=$AJ$22,MONTH(U1458),"")</f>
        <v/>
      </c>
      <c r="AJ1458" s="86" t="str">
        <f>+IF(AG1458=$AJ$22,MONTH(V1458),"")</f>
        <v/>
      </c>
      <c r="AK1458" s="86" t="str">
        <f>+IF(AG1458=$AK$22,MONTH(V1458),"")</f>
        <v/>
      </c>
      <c r="AL1458" s="86" t="str">
        <f>+IF(AG1458=$AL$22,MONTH(V1458),"")</f>
        <v/>
      </c>
      <c r="AM1458" s="86">
        <f>+IF($AG1458=$AM$22,MONTH($D1458),"")</f>
        <v>2</v>
      </c>
      <c r="AN1458" s="89" t="str">
        <f>+IF($AG1458=AN$22,MONTH($D1458),"")</f>
        <v/>
      </c>
      <c r="AO1458" s="89" t="str">
        <f>+IF($AG1458=AO$22,MONTH($D1458),"")</f>
        <v/>
      </c>
      <c r="AP1458" s="89" t="str">
        <f>+IF($AG1458=AP$22,MONTH($D1458),"")</f>
        <v/>
      </c>
      <c r="AQ1458" s="89" t="str">
        <f>+IF($AG1458=AQ$22,MONTH($D1458),"")</f>
        <v/>
      </c>
      <c r="AR1458" s="89" t="str">
        <f>+IF($AG1458=AR$22,MONTH($D1458),"")</f>
        <v/>
      </c>
      <c r="AS1458" s="89" t="str">
        <f>+IF($AG1458=AS$22,MONTH($D1458),"")</f>
        <v/>
      </c>
      <c r="AT1458" s="89" t="str">
        <f>+IF($AG1458=AT$22,MONTH($D1458),"")</f>
        <v/>
      </c>
      <c r="AU1458" s="89" t="str">
        <f>+IF($AG1458=AU$22,MONTH($D1458),"")</f>
        <v/>
      </c>
      <c r="AV1458" s="89" t="str">
        <f>+IF($AG1458=AV$22,MONTH($D1458),"")</f>
        <v/>
      </c>
      <c r="AW1458" s="86" t="str">
        <f>+IF($AG1458=AW$22,MONTH($D1458),"")</f>
        <v/>
      </c>
      <c r="AX1458" s="86" t="str">
        <f>+IF($AG1458=AX$22,MONTH($D1458),"")</f>
        <v/>
      </c>
      <c r="AY1458" s="182"/>
      <c r="AZ1458" s="182"/>
      <c r="BA1458" s="182"/>
      <c r="BB1458" s="182"/>
      <c r="BC1458" s="182"/>
      <c r="BD1458" s="182"/>
      <c r="BE1458" s="182"/>
      <c r="BF1458" s="182"/>
      <c r="BG1458" s="182"/>
      <c r="BH1458" s="182"/>
      <c r="BI1458" s="182"/>
      <c r="BJ1458" s="89"/>
      <c r="BK1458" s="89"/>
      <c r="BL1458" s="89"/>
      <c r="BM1458" s="89"/>
      <c r="BN1458" s="89"/>
      <c r="BO1458" s="89"/>
      <c r="BP1458" s="89"/>
    </row>
    <row r="1459" spans="1:68" s="56" customFormat="1" ht="13.5" hidden="1">
      <c r="A1459" s="204" t="str">
        <f>+IFERROR(VALUE(MID(AB1459,4,4)),"")</f>
        <v/>
      </c>
      <c r="B1459" s="204">
        <f>VALUE(RIGHT(C1459,LEN(C1459)-2))</f>
        <v>1265</v>
      </c>
      <c r="C1459" s="74" t="s">
        <v>5444</v>
      </c>
      <c r="D1459" s="75">
        <v>44230</v>
      </c>
      <c r="E1459" s="70" t="s">
        <v>53</v>
      </c>
      <c r="F1459" s="70" t="s">
        <v>313</v>
      </c>
      <c r="G1459" s="68"/>
      <c r="H1459" s="59"/>
      <c r="I1459" s="69" t="s">
        <v>5445</v>
      </c>
      <c r="J1459" s="69"/>
      <c r="K1459" s="68" t="s">
        <v>212</v>
      </c>
      <c r="L1459" s="69" t="s">
        <v>123</v>
      </c>
      <c r="M1459" s="71" t="s">
        <v>141</v>
      </c>
      <c r="N1459" s="69" t="e" vm="1">
        <v>#VALUE!</v>
      </c>
      <c r="O1459" s="84">
        <v>44291</v>
      </c>
      <c r="P1459" s="72" t="s">
        <v>4567</v>
      </c>
      <c r="Q1459" s="72"/>
      <c r="R1459" s="162"/>
      <c r="S1459" s="146"/>
      <c r="T1459" s="68" t="s">
        <v>165</v>
      </c>
      <c r="U1459" s="87"/>
      <c r="V1459" s="80">
        <v>44509</v>
      </c>
      <c r="W1459" s="73">
        <f>94540/24*5</f>
        <v>19695.833333333332</v>
      </c>
      <c r="X1459" s="73">
        <f>3179.081747/24*5</f>
        <v>662.3086972916667</v>
      </c>
      <c r="Y1459" s="83">
        <f>IF(SUM(W1459:W1459)&gt;0,X1459/SUM(W1459:W1459)*1000000,"N/A")</f>
        <v>33626.843103448278</v>
      </c>
      <c r="Z1459" s="80"/>
      <c r="AA1459" s="80"/>
      <c r="AB1459" s="73"/>
      <c r="AC1459" s="153"/>
      <c r="AD1459" s="331"/>
      <c r="AE1459" s="57"/>
      <c r="AF1459" s="88"/>
      <c r="AG1459" s="182">
        <f>YEAR(D1459)</f>
        <v>2021</v>
      </c>
      <c r="AH1459" s="86" t="str">
        <f>+IF(AE1459=$AJ$22,MONTH(T1459),"")</f>
        <v/>
      </c>
      <c r="AI1459" s="86" t="str">
        <f>+IF(AF1459=$AJ$22,MONTH(U1459),"")</f>
        <v/>
      </c>
      <c r="AJ1459" s="86" t="str">
        <f>+IF(AG1459=$AJ$22,MONTH(V1459),"")</f>
        <v/>
      </c>
      <c r="AK1459" s="86" t="str">
        <f>+IF(AG1459=$AK$22,MONTH(V1459),"")</f>
        <v/>
      </c>
      <c r="AL1459" s="86" t="str">
        <f>+IF(AG1459=$AL$22,MONTH(V1459),"")</f>
        <v/>
      </c>
      <c r="AM1459" s="86">
        <f>+IF($AG1459=$AM$22,MONTH($D1459),"")</f>
        <v>2</v>
      </c>
      <c r="AN1459" s="89" t="str">
        <f>+IF($AG1459=AN$22,MONTH($D1459),"")</f>
        <v/>
      </c>
      <c r="AO1459" s="89" t="str">
        <f>+IF($AG1459=AO$22,MONTH($D1459),"")</f>
        <v/>
      </c>
      <c r="AP1459" s="89" t="str">
        <f>+IF($AG1459=AP$22,MONTH($D1459),"")</f>
        <v/>
      </c>
      <c r="AQ1459" s="89" t="str">
        <f>+IF($AG1459=AQ$22,MONTH($D1459),"")</f>
        <v/>
      </c>
      <c r="AR1459" s="89" t="str">
        <f>+IF($AG1459=AR$22,MONTH($D1459),"")</f>
        <v/>
      </c>
      <c r="AS1459" s="89" t="str">
        <f>+IF($AG1459=AS$22,MONTH($D1459),"")</f>
        <v/>
      </c>
      <c r="AT1459" s="89" t="str">
        <f>+IF($AG1459=AT$22,MONTH($D1459),"")</f>
        <v/>
      </c>
      <c r="AU1459" s="89" t="str">
        <f>+IF($AG1459=AU$22,MONTH($D1459),"")</f>
        <v/>
      </c>
      <c r="AV1459" s="89" t="str">
        <f>+IF($AG1459=AV$22,MONTH($D1459),"")</f>
        <v/>
      </c>
      <c r="AW1459" s="86"/>
      <c r="AX1459" s="86"/>
      <c r="AY1459" s="89"/>
      <c r="AZ1459" s="89"/>
      <c r="BA1459" s="89"/>
      <c r="BB1459" s="89"/>
      <c r="BC1459" s="89"/>
      <c r="BD1459" s="89"/>
      <c r="BE1459" s="89"/>
      <c r="BF1459" s="89"/>
      <c r="BG1459" s="89"/>
      <c r="BH1459" s="89"/>
      <c r="BI1459" s="89"/>
      <c r="BJ1459" s="89"/>
      <c r="BK1459" s="89"/>
      <c r="BL1459" s="89"/>
      <c r="BM1459" s="89"/>
      <c r="BN1459" s="89"/>
      <c r="BO1459" s="89"/>
      <c r="BP1459" s="89"/>
    </row>
    <row r="1460" spans="1:68" s="56" customFormat="1" ht="13.5" hidden="1">
      <c r="A1460" s="204" t="str">
        <f>+IFERROR(VALUE(MID(AB1460,4,4)),"")</f>
        <v/>
      </c>
      <c r="B1460" s="204">
        <f>VALUE(RIGHT(C1460,LEN(C1460)-2))</f>
        <v>1264</v>
      </c>
      <c r="C1460" s="74" t="s">
        <v>5446</v>
      </c>
      <c r="D1460" s="75">
        <v>44230</v>
      </c>
      <c r="E1460" s="70" t="s">
        <v>394</v>
      </c>
      <c r="F1460" s="70" t="s">
        <v>394</v>
      </c>
      <c r="G1460" s="68"/>
      <c r="H1460" s="59"/>
      <c r="I1460" s="69" t="s">
        <v>5447</v>
      </c>
      <c r="J1460" s="69"/>
      <c r="K1460" s="68" t="s">
        <v>12</v>
      </c>
      <c r="L1460" s="69" t="s">
        <v>123</v>
      </c>
      <c r="M1460" s="71" t="s">
        <v>141</v>
      </c>
      <c r="N1460" s="69" t="e" vm="1">
        <v>#VALUE!</v>
      </c>
      <c r="O1460" s="84">
        <v>44279</v>
      </c>
      <c r="P1460" s="72" t="s">
        <v>402</v>
      </c>
      <c r="Q1460" s="72"/>
      <c r="R1460" s="162"/>
      <c r="S1460" s="146"/>
      <c r="T1460" s="68" t="s">
        <v>165</v>
      </c>
      <c r="U1460" s="87"/>
      <c r="V1460" s="80">
        <v>44348</v>
      </c>
      <c r="W1460" s="73">
        <v>15311</v>
      </c>
      <c r="X1460" s="73">
        <v>648.40894300000002</v>
      </c>
      <c r="Y1460" s="83">
        <f>IF(SUM(W1460:W1460)&gt;0,X1460/SUM(W1460:W1460)*1000000,"N/A")</f>
        <v>42349.222323819478</v>
      </c>
      <c r="Z1460" s="80"/>
      <c r="AA1460" s="80"/>
      <c r="AB1460" s="73"/>
      <c r="AC1460" s="153"/>
      <c r="AD1460" s="331"/>
      <c r="AE1460" s="57"/>
      <c r="AF1460" s="88"/>
      <c r="AG1460" s="182">
        <f>YEAR(D1460)</f>
        <v>2021</v>
      </c>
      <c r="AH1460" s="86" t="str">
        <f>+IF(AE1460=$AJ$22,MONTH(T1460),"")</f>
        <v/>
      </c>
      <c r="AI1460" s="86" t="str">
        <f>+IF(AF1460=$AJ$22,MONTH(U1460),"")</f>
        <v/>
      </c>
      <c r="AJ1460" s="86" t="str">
        <f>+IF(AG1460=$AJ$22,MONTH(V1460),"")</f>
        <v/>
      </c>
      <c r="AK1460" s="86" t="str">
        <f>+IF(AG1460=$AK$22,MONTH(V1460),"")</f>
        <v/>
      </c>
      <c r="AL1460" s="86" t="str">
        <f>+IF(AG1460=$AL$22,MONTH(V1460),"")</f>
        <v/>
      </c>
      <c r="AM1460" s="86">
        <f>+IF($AG1460=$AM$22,MONTH($D1460),"")</f>
        <v>2</v>
      </c>
      <c r="AN1460" s="89" t="str">
        <f>+IF($AG1460=AN$22,MONTH($D1460),"")</f>
        <v/>
      </c>
      <c r="AO1460" s="89" t="str">
        <f>+IF($AG1460=AO$22,MONTH($D1460),"")</f>
        <v/>
      </c>
      <c r="AP1460" s="89" t="str">
        <f>+IF($AG1460=AP$22,MONTH($D1460),"")</f>
        <v/>
      </c>
      <c r="AQ1460" s="89" t="str">
        <f>+IF($AG1460=AQ$22,MONTH($D1460),"")</f>
        <v/>
      </c>
      <c r="AR1460" s="89" t="str">
        <f>+IF($AG1460=AR$22,MONTH($D1460),"")</f>
        <v/>
      </c>
      <c r="AS1460" s="89" t="str">
        <f>+IF($AG1460=AS$22,MONTH($D1460),"")</f>
        <v/>
      </c>
      <c r="AT1460" s="89" t="str">
        <f>+IF($AG1460=AT$22,MONTH($D1460),"")</f>
        <v/>
      </c>
      <c r="AU1460" s="89" t="str">
        <f>+IF($AG1460=AU$22,MONTH($D1460),"")</f>
        <v/>
      </c>
      <c r="AV1460" s="89" t="str">
        <f>+IF($AG1460=AV$22,MONTH($D1460),"")</f>
        <v/>
      </c>
      <c r="AW1460" s="86"/>
      <c r="AX1460" s="86"/>
      <c r="AY1460" s="89"/>
      <c r="AZ1460" s="89"/>
      <c r="BA1460" s="89"/>
      <c r="BB1460" s="89"/>
      <c r="BC1460" s="89"/>
      <c r="BD1460" s="89"/>
      <c r="BE1460" s="89"/>
      <c r="BF1460" s="89"/>
      <c r="BG1460" s="89"/>
      <c r="BH1460" s="89"/>
      <c r="BI1460" s="89"/>
      <c r="BJ1460" s="89"/>
      <c r="BK1460" s="89"/>
      <c r="BL1460" s="89"/>
      <c r="BM1460" s="89"/>
      <c r="BN1460" s="89"/>
      <c r="BO1460" s="89"/>
      <c r="BP1460" s="89"/>
    </row>
    <row r="1461" spans="1:68" s="56" customFormat="1" ht="13.5" hidden="1">
      <c r="A1461" s="204" t="str">
        <f>+IFERROR(VALUE(MID(AB1461,4,4)),"")</f>
        <v/>
      </c>
      <c r="B1461" s="204">
        <f>VALUE(RIGHT(C1461,LEN(C1461)-2))</f>
        <v>1262</v>
      </c>
      <c r="C1461" s="74" t="s">
        <v>5448</v>
      </c>
      <c r="D1461" s="75">
        <v>44222</v>
      </c>
      <c r="E1461" s="70" t="s">
        <v>53</v>
      </c>
      <c r="F1461" s="70" t="s">
        <v>53</v>
      </c>
      <c r="G1461" s="68"/>
      <c r="H1461" s="59"/>
      <c r="I1461" s="69" t="s">
        <v>5449</v>
      </c>
      <c r="J1461" s="69"/>
      <c r="K1461" s="68" t="s">
        <v>275</v>
      </c>
      <c r="L1461" s="69" t="s">
        <v>123</v>
      </c>
      <c r="M1461" s="71" t="s">
        <v>141</v>
      </c>
      <c r="N1461" s="69" t="e" vm="1">
        <v>#VALUE!</v>
      </c>
      <c r="O1461" s="84"/>
      <c r="P1461" s="72" t="s">
        <v>4567</v>
      </c>
      <c r="Q1461" s="72"/>
      <c r="R1461" s="162"/>
      <c r="S1461" s="146"/>
      <c r="T1461" s="68" t="s">
        <v>155</v>
      </c>
      <c r="U1461" s="87"/>
      <c r="V1461" s="80"/>
      <c r="W1461" s="73"/>
      <c r="X1461" s="73"/>
      <c r="Y1461" s="83" t="str">
        <f>IF(SUM(W1461:W1461)&gt;0,X1461/SUM(W1461:W1461)*1000000,"N/A")</f>
        <v>N/A</v>
      </c>
      <c r="Z1461" s="80"/>
      <c r="AA1461" s="80"/>
      <c r="AB1461" s="73"/>
      <c r="AC1461" s="153"/>
      <c r="AD1461" s="331"/>
      <c r="AE1461" s="57"/>
      <c r="AF1461" s="88"/>
      <c r="AG1461" s="182">
        <f>YEAR(D1461)</f>
        <v>2021</v>
      </c>
      <c r="AH1461" s="86" t="str">
        <f>+IF(AE1461=$AJ$22,MONTH(T1461),"")</f>
        <v/>
      </c>
      <c r="AI1461" s="86" t="str">
        <f>+IF(AF1461=$AJ$22,MONTH(U1461),"")</f>
        <v/>
      </c>
      <c r="AJ1461" s="86" t="str">
        <f>+IF(AG1461=$AJ$22,MONTH(V1461),"")</f>
        <v/>
      </c>
      <c r="AK1461" s="86" t="str">
        <f>+IF(AG1461=$AK$22,MONTH(V1461),"")</f>
        <v/>
      </c>
      <c r="AL1461" s="86" t="str">
        <f>+IF(AG1461=$AL$22,MONTH(V1461),"")</f>
        <v/>
      </c>
      <c r="AM1461" s="86">
        <f>+IF($AG1461=$AM$22,MONTH($D1461),"")</f>
        <v>1</v>
      </c>
      <c r="AN1461" s="89" t="str">
        <f>+IF($AG1461=AN$22,MONTH($D1461),"")</f>
        <v/>
      </c>
      <c r="AO1461" s="89" t="str">
        <f>+IF($AG1461=AO$22,MONTH($D1461),"")</f>
        <v/>
      </c>
      <c r="AP1461" s="89" t="str">
        <f>+IF($AG1461=AP$22,MONTH($D1461),"")</f>
        <v/>
      </c>
      <c r="AQ1461" s="89" t="str">
        <f>+IF($AG1461=AQ$22,MONTH($D1461),"")</f>
        <v/>
      </c>
      <c r="AR1461" s="89" t="str">
        <f>+IF($AG1461=AR$22,MONTH($D1461),"")</f>
        <v/>
      </c>
      <c r="AS1461" s="89" t="str">
        <f>+IF($AG1461=AS$22,MONTH($D1461),"")</f>
        <v/>
      </c>
      <c r="AT1461" s="89" t="str">
        <f>+IF($AG1461=AT$22,MONTH($D1461),"")</f>
        <v/>
      </c>
      <c r="AU1461" s="89" t="str">
        <f>+IF($AG1461=AU$22,MONTH($D1461),"")</f>
        <v/>
      </c>
      <c r="AV1461" s="89" t="str">
        <f>+IF($AG1461=AV$22,MONTH($D1461),"")</f>
        <v/>
      </c>
      <c r="AW1461" s="86"/>
      <c r="AX1461" s="86"/>
      <c r="AY1461" s="89"/>
      <c r="AZ1461" s="89"/>
      <c r="BA1461" s="89"/>
      <c r="BB1461" s="89"/>
      <c r="BC1461" s="89"/>
      <c r="BD1461" s="89"/>
      <c r="BE1461" s="89"/>
      <c r="BF1461" s="89"/>
      <c r="BG1461" s="89"/>
      <c r="BH1461" s="89"/>
      <c r="BI1461" s="89"/>
      <c r="BJ1461" s="89"/>
      <c r="BK1461" s="89"/>
      <c r="BL1461" s="89"/>
      <c r="BM1461" s="89"/>
      <c r="BN1461" s="89"/>
      <c r="BO1461" s="89"/>
      <c r="BP1461" s="89"/>
    </row>
    <row r="1462" spans="1:68" s="56" customFormat="1" ht="13.5" hidden="1">
      <c r="A1462" s="204" t="str">
        <f>+IFERROR(VALUE(MID(AB1462,4,4)),"")</f>
        <v/>
      </c>
      <c r="B1462" s="204">
        <f>VALUE(RIGHT(C1462,LEN(C1462)-2))</f>
        <v>1261</v>
      </c>
      <c r="C1462" s="74" t="s">
        <v>5450</v>
      </c>
      <c r="D1462" s="75">
        <v>44222</v>
      </c>
      <c r="E1462" s="70" t="s">
        <v>5451</v>
      </c>
      <c r="F1462" s="70" t="s">
        <v>5451</v>
      </c>
      <c r="G1462" s="68"/>
      <c r="H1462" s="59"/>
      <c r="I1462" s="69" t="s">
        <v>5452</v>
      </c>
      <c r="J1462" s="69"/>
      <c r="K1462" s="68" t="s">
        <v>12</v>
      </c>
      <c r="L1462" s="69"/>
      <c r="M1462" s="71"/>
      <c r="N1462" s="69"/>
      <c r="O1462" s="84"/>
      <c r="P1462" s="72"/>
      <c r="Q1462" s="72"/>
      <c r="R1462" s="162"/>
      <c r="S1462" s="146"/>
      <c r="T1462" s="68" t="s">
        <v>165</v>
      </c>
      <c r="U1462" s="87"/>
      <c r="V1462" s="80"/>
      <c r="W1462" s="73">
        <v>702</v>
      </c>
      <c r="X1462" s="73">
        <v>27.3</v>
      </c>
      <c r="Y1462" s="83">
        <f>IF(SUM(W1462:W1462)&gt;0,X1462/SUM(W1462:W1462)*1000000,"N/A")</f>
        <v>38888.888888888891</v>
      </c>
      <c r="Z1462" s="80"/>
      <c r="AA1462" s="80"/>
      <c r="AB1462" s="73"/>
      <c r="AC1462" s="153"/>
      <c r="AD1462" s="331"/>
      <c r="AE1462" s="57"/>
      <c r="AF1462" s="88"/>
      <c r="AG1462" s="182">
        <f>YEAR(D1462)</f>
        <v>2021</v>
      </c>
      <c r="AH1462" s="86" t="str">
        <f>+IF(AE1462=$AJ$22,MONTH(T1462),"")</f>
        <v/>
      </c>
      <c r="AI1462" s="86" t="str">
        <f>+IF(AF1462=$AJ$22,MONTH(U1462),"")</f>
        <v/>
      </c>
      <c r="AJ1462" s="86" t="str">
        <f>+IF(AG1462=$AJ$22,MONTH(V1462),"")</f>
        <v/>
      </c>
      <c r="AK1462" s="86" t="str">
        <f>+IF(AG1462=$AK$22,MONTH(V1462),"")</f>
        <v/>
      </c>
      <c r="AL1462" s="86" t="str">
        <f>+IF(AG1462=$AL$22,MONTH(V1462),"")</f>
        <v/>
      </c>
      <c r="AM1462" s="86">
        <f>+IF($AG1462=$AM$22,MONTH($D1462),"")</f>
        <v>1</v>
      </c>
      <c r="AN1462" s="89" t="str">
        <f>+IF($AG1462=AN$22,MONTH($D1462),"")</f>
        <v/>
      </c>
      <c r="AO1462" s="89" t="str">
        <f>+IF($AG1462=AO$22,MONTH($D1462),"")</f>
        <v/>
      </c>
      <c r="AP1462" s="89" t="str">
        <f>+IF($AG1462=AP$22,MONTH($D1462),"")</f>
        <v/>
      </c>
      <c r="AQ1462" s="89" t="str">
        <f>+IF($AG1462=AQ$22,MONTH($D1462),"")</f>
        <v/>
      </c>
      <c r="AR1462" s="89" t="str">
        <f>+IF($AG1462=AR$22,MONTH($D1462),"")</f>
        <v/>
      </c>
      <c r="AS1462" s="89" t="str">
        <f>+IF($AG1462=AS$22,MONTH($D1462),"")</f>
        <v/>
      </c>
      <c r="AT1462" s="89" t="str">
        <f>+IF($AG1462=AT$22,MONTH($D1462),"")</f>
        <v/>
      </c>
      <c r="AU1462" s="89" t="str">
        <f>+IF($AG1462=AU$22,MONTH($D1462),"")</f>
        <v/>
      </c>
      <c r="AV1462" s="89" t="str">
        <f>+IF($AG1462=AV$22,MONTH($D1462),"")</f>
        <v/>
      </c>
      <c r="AW1462" s="86"/>
      <c r="AX1462" s="86"/>
      <c r="AY1462" s="89"/>
      <c r="AZ1462" s="89"/>
      <c r="BA1462" s="89"/>
      <c r="BB1462" s="89"/>
      <c r="BC1462" s="89"/>
      <c r="BD1462" s="89"/>
      <c r="BE1462" s="89"/>
      <c r="BF1462" s="89"/>
      <c r="BG1462" s="89"/>
      <c r="BH1462" s="89"/>
      <c r="BI1462" s="89"/>
      <c r="BJ1462" s="89"/>
      <c r="BK1462" s="89"/>
      <c r="BL1462" s="89"/>
      <c r="BM1462" s="89"/>
      <c r="BN1462" s="89"/>
      <c r="BO1462" s="89"/>
      <c r="BP1462" s="89"/>
    </row>
    <row r="1463" spans="1:68" s="56" customFormat="1" ht="13.5" hidden="1">
      <c r="A1463" s="204" t="str">
        <f>+IFERROR(VALUE(MID(AB1463,4,4)),"")</f>
        <v/>
      </c>
      <c r="B1463" s="204">
        <f>VALUE(RIGHT(C1463,LEN(C1463)-2))</f>
        <v>1260</v>
      </c>
      <c r="C1463" s="74" t="s">
        <v>5453</v>
      </c>
      <c r="D1463" s="75">
        <v>44216</v>
      </c>
      <c r="E1463" s="70" t="s">
        <v>394</v>
      </c>
      <c r="F1463" s="70" t="s">
        <v>394</v>
      </c>
      <c r="G1463" s="68"/>
      <c r="H1463" s="59"/>
      <c r="I1463" s="69" t="s">
        <v>5454</v>
      </c>
      <c r="J1463" s="69"/>
      <c r="K1463" s="68" t="s">
        <v>12</v>
      </c>
      <c r="L1463" s="69" t="s">
        <v>123</v>
      </c>
      <c r="M1463" s="71" t="s">
        <v>141</v>
      </c>
      <c r="N1463" s="69" t="e" vm="1">
        <v>#VALUE!</v>
      </c>
      <c r="O1463" s="84"/>
      <c r="P1463" s="72" t="s">
        <v>402</v>
      </c>
      <c r="Q1463" s="72"/>
      <c r="R1463" s="162"/>
      <c r="S1463" s="146"/>
      <c r="T1463" s="68" t="s">
        <v>165</v>
      </c>
      <c r="U1463" s="87"/>
      <c r="V1463" s="80">
        <v>44245</v>
      </c>
      <c r="W1463" s="73">
        <v>315</v>
      </c>
      <c r="X1463" s="73">
        <v>10</v>
      </c>
      <c r="Y1463" s="83">
        <f>IF(SUM(W1463:W1463)&gt;0,X1463/SUM(W1463:W1463)*1000000,"N/A")</f>
        <v>31746.031746031746</v>
      </c>
      <c r="Z1463" s="80"/>
      <c r="AA1463" s="80"/>
      <c r="AB1463" s="73"/>
      <c r="AC1463" s="153"/>
      <c r="AD1463" s="331"/>
      <c r="AE1463" s="57"/>
      <c r="AF1463" s="88"/>
      <c r="AG1463" s="182">
        <f>YEAR(D1463)</f>
        <v>2021</v>
      </c>
      <c r="AH1463" s="86" t="str">
        <f>+IF(AE1463=$AJ$22,MONTH(T1463),"")</f>
        <v/>
      </c>
      <c r="AI1463" s="86" t="str">
        <f>+IF(AF1463=$AJ$22,MONTH(U1463),"")</f>
        <v/>
      </c>
      <c r="AJ1463" s="86" t="str">
        <f>+IF(AG1463=$AJ$22,MONTH(V1463),"")</f>
        <v/>
      </c>
      <c r="AK1463" s="86" t="str">
        <f>+IF(AG1463=$AK$22,MONTH(V1463),"")</f>
        <v/>
      </c>
      <c r="AL1463" s="86" t="str">
        <f>+IF(AG1463=$AL$22,MONTH(V1463),"")</f>
        <v/>
      </c>
      <c r="AM1463" s="86">
        <f>+IF($AG1463=$AM$22,MONTH($D1463),"")</f>
        <v>1</v>
      </c>
      <c r="AN1463" s="89" t="str">
        <f>+IF($AG1463=AN$22,MONTH($D1463),"")</f>
        <v/>
      </c>
      <c r="AO1463" s="89" t="str">
        <f>+IF($AG1463=AO$22,MONTH($D1463),"")</f>
        <v/>
      </c>
      <c r="AP1463" s="89" t="str">
        <f>+IF($AG1463=AP$22,MONTH($D1463),"")</f>
        <v/>
      </c>
      <c r="AQ1463" s="89" t="str">
        <f>+IF($AG1463=AQ$22,MONTH($D1463),"")</f>
        <v/>
      </c>
      <c r="AR1463" s="89" t="str">
        <f>+IF($AG1463=AR$22,MONTH($D1463),"")</f>
        <v/>
      </c>
      <c r="AS1463" s="89" t="str">
        <f>+IF($AG1463=AS$22,MONTH($D1463),"")</f>
        <v/>
      </c>
      <c r="AT1463" s="89" t="str">
        <f>+IF($AG1463=AT$22,MONTH($D1463),"")</f>
        <v/>
      </c>
      <c r="AU1463" s="89" t="str">
        <f>+IF($AG1463=AU$22,MONTH($D1463),"")</f>
        <v/>
      </c>
      <c r="AV1463" s="89" t="str">
        <f>+IF($AG1463=AV$22,MONTH($D1463),"")</f>
        <v/>
      </c>
      <c r="AW1463" s="86" t="str">
        <f>+IF($AG1463=AW$22,MONTH($D1463),"")</f>
        <v/>
      </c>
      <c r="AX1463" s="86" t="str">
        <f>+IF($AG1463=AX$22,MONTH($D1463),"")</f>
        <v/>
      </c>
      <c r="AY1463" s="89"/>
      <c r="AZ1463" s="89"/>
      <c r="BA1463" s="89"/>
      <c r="BB1463" s="89"/>
      <c r="BC1463" s="89"/>
      <c r="BD1463" s="89"/>
      <c r="BE1463" s="89"/>
      <c r="BF1463" s="89"/>
      <c r="BG1463" s="89"/>
      <c r="BH1463" s="89"/>
      <c r="BI1463" s="89"/>
      <c r="BJ1463" s="89"/>
      <c r="BK1463" s="89"/>
      <c r="BL1463" s="89"/>
      <c r="BM1463" s="89"/>
      <c r="BN1463" s="89"/>
      <c r="BO1463" s="89"/>
      <c r="BP1463" s="89"/>
    </row>
    <row r="1464" spans="1:68" s="56" customFormat="1" ht="13.5" hidden="1">
      <c r="A1464" s="204">
        <f>+IFERROR(VALUE(MID(AB1464,4,4)),"")</f>
        <v>261</v>
      </c>
      <c r="B1464" s="204">
        <f>VALUE(RIGHT(C1464,LEN(C1464)-2))</f>
        <v>1259</v>
      </c>
      <c r="C1464" s="74" t="s">
        <v>5455</v>
      </c>
      <c r="D1464" s="75">
        <v>44216</v>
      </c>
      <c r="E1464" s="70" t="s">
        <v>4827</v>
      </c>
      <c r="F1464" s="70" t="s">
        <v>4827</v>
      </c>
      <c r="G1464" s="68"/>
      <c r="H1464" s="59"/>
      <c r="I1464" s="69" t="s">
        <v>5456</v>
      </c>
      <c r="J1464" s="69"/>
      <c r="K1464" s="68" t="s">
        <v>2725</v>
      </c>
      <c r="L1464" s="69" t="s">
        <v>120</v>
      </c>
      <c r="M1464" s="71" t="s">
        <v>113</v>
      </c>
      <c r="N1464" s="69" t="e" vm="7">
        <v>#VALUE!</v>
      </c>
      <c r="O1464" s="84"/>
      <c r="P1464" s="72" t="s">
        <v>4567</v>
      </c>
      <c r="Q1464" s="72" t="s">
        <v>1097</v>
      </c>
      <c r="R1464" s="162"/>
      <c r="S1464" s="146"/>
      <c r="T1464" s="68" t="s">
        <v>3</v>
      </c>
      <c r="U1464" s="87"/>
      <c r="V1464" s="80">
        <v>44221</v>
      </c>
      <c r="W1464" s="73">
        <f>(293000)/85</f>
        <v>3447.0588235294117</v>
      </c>
      <c r="X1464" s="73">
        <f>(293000)*720/1000000</f>
        <v>210.96</v>
      </c>
      <c r="Y1464" s="83">
        <f>IF(SUM(W1464:W1464)&gt;0,X1464/SUM(W1464:W1464)*1000000,"N/A")</f>
        <v>61200.000000000007</v>
      </c>
      <c r="Z1464" s="80"/>
      <c r="AA1464" s="80"/>
      <c r="AB1464" s="73" t="s">
        <v>5457</v>
      </c>
      <c r="AC1464" s="153"/>
      <c r="AD1464" s="331"/>
      <c r="AE1464" s="57"/>
      <c r="AF1464" s="88"/>
      <c r="AG1464" s="182">
        <f>YEAR(D1464)</f>
        <v>2021</v>
      </c>
      <c r="AH1464" s="86" t="str">
        <f>+IF(AE1464=$AJ$22,MONTH(T1464),"")</f>
        <v/>
      </c>
      <c r="AI1464" s="86" t="str">
        <f>+IF(AF1464=$AJ$22,MONTH(U1464),"")</f>
        <v/>
      </c>
      <c r="AJ1464" s="86" t="str">
        <f>+IF(AG1464=$AJ$22,MONTH(V1464),"")</f>
        <v/>
      </c>
      <c r="AK1464" s="86" t="str">
        <f>+IF(AG1464=$AK$22,MONTH(V1464),"")</f>
        <v/>
      </c>
      <c r="AL1464" s="86" t="str">
        <f>+IF(AG1464=$AL$22,MONTH(V1464),"")</f>
        <v/>
      </c>
      <c r="AM1464" s="86">
        <f>+IF($AG1464=$AM$22,MONTH($D1464),"")</f>
        <v>1</v>
      </c>
      <c r="AN1464" s="89" t="str">
        <f>+IF($AG1464=AN$22,MONTH($D1464),"")</f>
        <v/>
      </c>
      <c r="AO1464" s="89" t="str">
        <f>+IF($AG1464=AO$22,MONTH($D1464),"")</f>
        <v/>
      </c>
      <c r="AP1464" s="89" t="str">
        <f>+IF($AG1464=AP$22,MONTH($D1464),"")</f>
        <v/>
      </c>
      <c r="AQ1464" s="89" t="str">
        <f>+IF($AG1464=AQ$22,MONTH($D1464),"")</f>
        <v/>
      </c>
      <c r="AR1464" s="89" t="str">
        <f>+IF($AG1464=AR$22,MONTH($D1464),"")</f>
        <v/>
      </c>
      <c r="AS1464" s="89" t="str">
        <f>+IF($AG1464=AS$22,MONTH($D1464),"")</f>
        <v/>
      </c>
      <c r="AT1464" s="89" t="str">
        <f>+IF($AG1464=AT$22,MONTH($D1464),"")</f>
        <v/>
      </c>
      <c r="AU1464" s="89" t="str">
        <f>+IF($AG1464=AU$22,MONTH($D1464),"")</f>
        <v/>
      </c>
      <c r="AV1464" s="89" t="str">
        <f>+IF($AG1464=AV$22,MONTH($D1464),"")</f>
        <v/>
      </c>
      <c r="AW1464" s="86" t="str">
        <f>+IF($AG1464=AW$22,MONTH($D1464),"")</f>
        <v/>
      </c>
      <c r="AX1464" s="86" t="str">
        <f>+IF($AG1464=AX$22,MONTH($D1464),"")</f>
        <v/>
      </c>
      <c r="AY1464" s="89"/>
      <c r="AZ1464" s="89"/>
      <c r="BA1464" s="89"/>
      <c r="BB1464" s="89"/>
      <c r="BC1464" s="89"/>
      <c r="BD1464" s="89"/>
      <c r="BE1464" s="89"/>
      <c r="BF1464" s="89"/>
      <c r="BG1464" s="89"/>
      <c r="BH1464" s="89"/>
      <c r="BI1464" s="89"/>
      <c r="BJ1464" s="89"/>
      <c r="BK1464" s="89"/>
      <c r="BL1464" s="89"/>
      <c r="BM1464" s="89"/>
      <c r="BN1464" s="89"/>
      <c r="BO1464" s="89"/>
      <c r="BP1464" s="89"/>
    </row>
    <row r="1465" spans="1:68" s="56" customFormat="1" ht="13.5" hidden="1">
      <c r="A1465" s="204" t="str">
        <f>+IFERROR(VALUE(MID(AB1465,4,4)),"")</f>
        <v/>
      </c>
      <c r="B1465" s="204">
        <f>VALUE(RIGHT(C1465,LEN(C1465)-2))</f>
        <v>1258</v>
      </c>
      <c r="C1465" s="74" t="s">
        <v>5458</v>
      </c>
      <c r="D1465" s="75">
        <v>44215</v>
      </c>
      <c r="E1465" s="70" t="s">
        <v>5459</v>
      </c>
      <c r="F1465" s="70" t="s">
        <v>262</v>
      </c>
      <c r="G1465" s="68"/>
      <c r="H1465" s="59"/>
      <c r="I1465" s="69" t="s">
        <v>5460</v>
      </c>
      <c r="J1465" s="69"/>
      <c r="K1465" s="68" t="s">
        <v>30</v>
      </c>
      <c r="L1465" s="69" t="s">
        <v>120</v>
      </c>
      <c r="M1465" s="71" t="s">
        <v>141</v>
      </c>
      <c r="N1465" s="69" t="e" vm="1">
        <v>#VALUE!</v>
      </c>
      <c r="O1465" s="84"/>
      <c r="P1465" s="72" t="s">
        <v>4567</v>
      </c>
      <c r="Q1465" s="72"/>
      <c r="R1465" s="162"/>
      <c r="S1465" s="146"/>
      <c r="T1465" s="68" t="s">
        <v>165</v>
      </c>
      <c r="U1465" s="87"/>
      <c r="V1465" s="80">
        <v>44221</v>
      </c>
      <c r="W1465" s="73">
        <f>(1466+1589)</f>
        <v>3055</v>
      </c>
      <c r="X1465" s="73">
        <f>(1995+2160)*29000/1000000</f>
        <v>120.495</v>
      </c>
      <c r="Y1465" s="83">
        <f>IF(SUM(W1465:W1465)&gt;0,X1465/SUM(W1465:W1465)*1000000,"N/A")</f>
        <v>39441.898527004916</v>
      </c>
      <c r="Z1465" s="80"/>
      <c r="AA1465" s="80"/>
      <c r="AB1465" s="73"/>
      <c r="AC1465" s="153"/>
      <c r="AD1465" s="331"/>
      <c r="AE1465" s="57"/>
      <c r="AF1465" s="88"/>
      <c r="AG1465" s="182">
        <f>YEAR(D1465)</f>
        <v>2021</v>
      </c>
      <c r="AH1465" s="86" t="str">
        <f>+IF(AE1465=$AJ$22,MONTH(T1465),"")</f>
        <v/>
      </c>
      <c r="AI1465" s="86" t="str">
        <f>+IF(AF1465=$AJ$22,MONTH(U1465),"")</f>
        <v/>
      </c>
      <c r="AJ1465" s="86" t="str">
        <f>+IF(AG1465=$AJ$22,MONTH(V1465),"")</f>
        <v/>
      </c>
      <c r="AK1465" s="86" t="str">
        <f>+IF(AG1465=$AK$22,MONTH(V1465),"")</f>
        <v/>
      </c>
      <c r="AL1465" s="86" t="str">
        <f>+IF(AG1465=$AL$22,MONTH(V1465),"")</f>
        <v/>
      </c>
      <c r="AM1465" s="86">
        <f>+IF($AG1465=$AM$22,MONTH($D1465),"")</f>
        <v>1</v>
      </c>
      <c r="AN1465" s="89" t="str">
        <f>+IF($AG1465=AN$22,MONTH($D1465),"")</f>
        <v/>
      </c>
      <c r="AO1465" s="89" t="str">
        <f>+IF($AG1465=AO$22,MONTH($D1465),"")</f>
        <v/>
      </c>
      <c r="AP1465" s="89" t="str">
        <f>+IF($AG1465=AP$22,MONTH($D1465),"")</f>
        <v/>
      </c>
      <c r="AQ1465" s="89" t="str">
        <f>+IF($AG1465=AQ$22,MONTH($D1465),"")</f>
        <v/>
      </c>
      <c r="AR1465" s="89" t="str">
        <f>+IF($AG1465=AR$22,MONTH($D1465),"")</f>
        <v/>
      </c>
      <c r="AS1465" s="89" t="str">
        <f>+IF($AG1465=AS$22,MONTH($D1465),"")</f>
        <v/>
      </c>
      <c r="AT1465" s="89" t="str">
        <f>+IF($AG1465=AT$22,MONTH($D1465),"")</f>
        <v/>
      </c>
      <c r="AU1465" s="89" t="str">
        <f>+IF($AG1465=AU$22,MONTH($D1465),"")</f>
        <v/>
      </c>
      <c r="AV1465" s="89" t="str">
        <f>+IF($AG1465=AV$22,MONTH($D1465),"")</f>
        <v/>
      </c>
      <c r="AW1465" s="86" t="str">
        <f>+IF($AG1465=AW$22,MONTH($D1465),"")</f>
        <v/>
      </c>
      <c r="AX1465" s="86" t="str">
        <f>+IF($AG1465=AX$22,MONTH($D1465),"")</f>
        <v/>
      </c>
      <c r="AY1465" s="89"/>
      <c r="AZ1465" s="89"/>
      <c r="BA1465" s="89"/>
      <c r="BB1465" s="89"/>
      <c r="BC1465" s="89"/>
      <c r="BD1465" s="89"/>
      <c r="BE1465" s="89"/>
      <c r="BF1465" s="89"/>
      <c r="BG1465" s="89"/>
      <c r="BH1465" s="89"/>
      <c r="BI1465" s="89"/>
      <c r="BJ1465" s="89"/>
      <c r="BK1465" s="89"/>
      <c r="BL1465" s="89"/>
      <c r="BM1465" s="89"/>
      <c r="BN1465" s="89"/>
      <c r="BO1465" s="89"/>
      <c r="BP1465" s="89"/>
    </row>
    <row r="1466" spans="1:68" s="56" customFormat="1" ht="13.5" hidden="1">
      <c r="A1466" s="204" t="str">
        <f>+IFERROR(VALUE(MID(AB1466,4,4)),"")</f>
        <v/>
      </c>
      <c r="B1466" s="204">
        <f>VALUE(RIGHT(C1466,LEN(C1466)-2))</f>
        <v>1257</v>
      </c>
      <c r="C1466" s="74" t="s">
        <v>5461</v>
      </c>
      <c r="D1466" s="75">
        <v>44209</v>
      </c>
      <c r="E1466" s="70" t="s">
        <v>3741</v>
      </c>
      <c r="F1466" s="70" t="s">
        <v>4271</v>
      </c>
      <c r="G1466" s="68" t="s">
        <v>5462</v>
      </c>
      <c r="H1466" s="59"/>
      <c r="I1466" s="69" t="s">
        <v>5463</v>
      </c>
      <c r="J1466" s="69"/>
      <c r="K1466" s="68" t="s">
        <v>3286</v>
      </c>
      <c r="L1466" s="69" t="s">
        <v>120</v>
      </c>
      <c r="M1466" s="71" t="s">
        <v>113</v>
      </c>
      <c r="N1466" s="69" t="e" vm="2">
        <v>#VALUE!</v>
      </c>
      <c r="O1466" s="84"/>
      <c r="P1466" s="72" t="s">
        <v>402</v>
      </c>
      <c r="Q1466" s="72"/>
      <c r="R1466" s="162"/>
      <c r="S1466" s="146"/>
      <c r="T1466" s="68" t="s">
        <v>165</v>
      </c>
      <c r="U1466" s="87"/>
      <c r="V1466" s="80">
        <v>44221</v>
      </c>
      <c r="W1466" s="73">
        <v>5495</v>
      </c>
      <c r="X1466" s="73">
        <f>776680*150/1000000</f>
        <v>116.502</v>
      </c>
      <c r="Y1466" s="83">
        <f>IF(SUM(W1466:W1466)&gt;0,X1466/SUM(W1466:W1466)*1000000,"N/A")</f>
        <v>21201.455868971792</v>
      </c>
      <c r="Z1466" s="80"/>
      <c r="AA1466" s="80"/>
      <c r="AB1466" s="73"/>
      <c r="AC1466" s="153"/>
      <c r="AD1466" s="331"/>
      <c r="AE1466" s="57"/>
      <c r="AF1466" s="88"/>
      <c r="AG1466" s="182">
        <f>YEAR(D1466)</f>
        <v>2021</v>
      </c>
      <c r="AH1466" s="86" t="str">
        <f>+IF(AE1466=$AJ$22,MONTH(T1466),"")</f>
        <v/>
      </c>
      <c r="AI1466" s="86" t="str">
        <f>+IF(AF1466=$AJ$22,MONTH(U1466),"")</f>
        <v/>
      </c>
      <c r="AJ1466" s="86" t="str">
        <f>+IF(AG1466=$AJ$22,MONTH(V1466),"")</f>
        <v/>
      </c>
      <c r="AK1466" s="86" t="str">
        <f>+IF(AG1466=$AK$22,MONTH(V1466),"")</f>
        <v/>
      </c>
      <c r="AL1466" s="86" t="str">
        <f>+IF(AG1466=$AL$22,MONTH(V1466),"")</f>
        <v/>
      </c>
      <c r="AM1466" s="86">
        <f>+IF($AG1466=$AM$22,MONTH($D1466),"")</f>
        <v>1</v>
      </c>
      <c r="AN1466" s="89" t="str">
        <f>+IF($AG1466=AN$22,MONTH($D1466),"")</f>
        <v/>
      </c>
      <c r="AO1466" s="89" t="str">
        <f>+IF($AG1466=AO$22,MONTH($D1466),"")</f>
        <v/>
      </c>
      <c r="AP1466" s="89" t="str">
        <f>+IF($AG1466=AP$22,MONTH($D1466),"")</f>
        <v/>
      </c>
      <c r="AQ1466" s="89" t="str">
        <f>+IF($AG1466=AQ$22,MONTH($D1466),"")</f>
        <v/>
      </c>
      <c r="AR1466" s="89" t="str">
        <f>+IF($AG1466=AR$22,MONTH($D1466),"")</f>
        <v/>
      </c>
      <c r="AS1466" s="89" t="str">
        <f>+IF($AG1466=AS$22,MONTH($D1466),"")</f>
        <v/>
      </c>
      <c r="AT1466" s="89" t="str">
        <f>+IF($AG1466=AT$22,MONTH($D1466),"")</f>
        <v/>
      </c>
      <c r="AU1466" s="89" t="str">
        <f>+IF($AG1466=AU$22,MONTH($D1466),"")</f>
        <v/>
      </c>
      <c r="AV1466" s="89" t="str">
        <f>+IF($AG1466=AV$22,MONTH($D1466),"")</f>
        <v/>
      </c>
      <c r="AW1466" s="86"/>
      <c r="AX1466" s="86"/>
      <c r="AY1466" s="89"/>
      <c r="AZ1466" s="89"/>
      <c r="BA1466" s="89"/>
      <c r="BB1466" s="89"/>
      <c r="BC1466" s="89"/>
      <c r="BD1466" s="89"/>
      <c r="BE1466" s="89"/>
      <c r="BF1466" s="89"/>
      <c r="BG1466" s="89"/>
      <c r="BH1466" s="89"/>
      <c r="BI1466" s="89"/>
      <c r="BJ1466" s="89"/>
      <c r="BK1466" s="89"/>
      <c r="BL1466" s="89"/>
      <c r="BM1466" s="89"/>
      <c r="BN1466" s="89"/>
      <c r="BO1466" s="89"/>
      <c r="BP1466" s="89"/>
    </row>
    <row r="1467" spans="1:68" s="56" customFormat="1" ht="13.5" hidden="1">
      <c r="A1467" s="204" t="str">
        <f>+IFERROR(VALUE(MID(AB1467,4,4)),"")</f>
        <v/>
      </c>
      <c r="B1467" s="204">
        <f>VALUE(RIGHT(C1467,LEN(C1467)-2))</f>
        <v>1256</v>
      </c>
      <c r="C1467" s="74" t="s">
        <v>5464</v>
      </c>
      <c r="D1467" s="75">
        <v>44207</v>
      </c>
      <c r="E1467" s="70" t="s">
        <v>53</v>
      </c>
      <c r="F1467" s="70" t="s">
        <v>252</v>
      </c>
      <c r="G1467" s="68"/>
      <c r="H1467" s="59"/>
      <c r="I1467" s="69" t="s">
        <v>5465</v>
      </c>
      <c r="J1467" s="69"/>
      <c r="K1467" s="68" t="s">
        <v>9</v>
      </c>
      <c r="L1467" s="69" t="s">
        <v>123</v>
      </c>
      <c r="M1467" s="71" t="s">
        <v>141</v>
      </c>
      <c r="N1467" s="69" t="e" vm="1">
        <v>#VALUE!</v>
      </c>
      <c r="O1467" s="84"/>
      <c r="P1467" s="72" t="s">
        <v>4567</v>
      </c>
      <c r="Q1467" s="72"/>
      <c r="R1467" s="162"/>
      <c r="S1467" s="146"/>
      <c r="T1467" s="68" t="s">
        <v>155</v>
      </c>
      <c r="U1467" s="87"/>
      <c r="V1467" s="80"/>
      <c r="W1467" s="73"/>
      <c r="X1467" s="73"/>
      <c r="Y1467" s="83" t="str">
        <f>IF(SUM(W1467:W1467)&gt;0,X1467/SUM(W1467:W1467)*1000000,"N/A")</f>
        <v>N/A</v>
      </c>
      <c r="Z1467" s="80"/>
      <c r="AA1467" s="80"/>
      <c r="AB1467" s="73"/>
      <c r="AC1467" s="153"/>
      <c r="AD1467" s="331"/>
      <c r="AE1467" s="57"/>
      <c r="AF1467" s="88"/>
      <c r="AG1467" s="182">
        <f>YEAR(D1467)</f>
        <v>2021</v>
      </c>
      <c r="AH1467" s="86" t="str">
        <f>+IF(AE1467=$AJ$22,MONTH(T1467),"")</f>
        <v/>
      </c>
      <c r="AI1467" s="86" t="str">
        <f>+IF(AF1467=$AJ$22,MONTH(U1467),"")</f>
        <v/>
      </c>
      <c r="AJ1467" s="86" t="str">
        <f>+IF(AG1467=$AJ$22,MONTH(V1467),"")</f>
        <v/>
      </c>
      <c r="AK1467" s="86" t="str">
        <f>+IF(AG1467=$AK$22,MONTH(V1467),"")</f>
        <v/>
      </c>
      <c r="AL1467" s="86" t="str">
        <f>+IF(AG1467=$AL$22,MONTH(V1467),"")</f>
        <v/>
      </c>
      <c r="AM1467" s="86">
        <f>+IF($AG1467=$AM$22,MONTH($D1467),"")</f>
        <v>1</v>
      </c>
      <c r="AN1467" s="89" t="str">
        <f>+IF($AG1467=AN$22,MONTH($D1467),"")</f>
        <v/>
      </c>
      <c r="AO1467" s="89" t="str">
        <f>+IF($AG1467=AO$22,MONTH($D1467),"")</f>
        <v/>
      </c>
      <c r="AP1467" s="89" t="str">
        <f>+IF($AG1467=AP$22,MONTH($D1467),"")</f>
        <v/>
      </c>
      <c r="AQ1467" s="89" t="str">
        <f>+IF($AG1467=AQ$22,MONTH($D1467),"")</f>
        <v/>
      </c>
      <c r="AR1467" s="89" t="str">
        <f>+IF($AG1467=AR$22,MONTH($D1467),"")</f>
        <v/>
      </c>
      <c r="AS1467" s="89" t="str">
        <f>+IF($AG1467=AS$22,MONTH($D1467),"")</f>
        <v/>
      </c>
      <c r="AT1467" s="89" t="str">
        <f>+IF($AG1467=AT$22,MONTH($D1467),"")</f>
        <v/>
      </c>
      <c r="AU1467" s="89" t="str">
        <f>+IF($AG1467=AU$22,MONTH($D1467),"")</f>
        <v/>
      </c>
      <c r="AV1467" s="89" t="str">
        <f>+IF($AG1467=AV$22,MONTH($D1467),"")</f>
        <v/>
      </c>
      <c r="AW1467" s="86"/>
      <c r="AX1467" s="86"/>
      <c r="AY1467" s="89"/>
      <c r="AZ1467" s="89"/>
      <c r="BA1467" s="89"/>
      <c r="BB1467" s="89"/>
      <c r="BC1467" s="89"/>
      <c r="BD1467" s="89"/>
      <c r="BE1467" s="89"/>
      <c r="BF1467" s="89"/>
      <c r="BG1467" s="89"/>
      <c r="BH1467" s="89"/>
      <c r="BI1467" s="89"/>
      <c r="BJ1467" s="89"/>
      <c r="BK1467" s="89"/>
      <c r="BL1467" s="89"/>
      <c r="BM1467" s="89"/>
      <c r="BN1467" s="89"/>
      <c r="BO1467" s="89"/>
      <c r="BP1467" s="89"/>
    </row>
    <row r="1468" spans="1:68" s="56" customFormat="1" ht="13.5" hidden="1">
      <c r="A1468" s="204" t="str">
        <f>+IFERROR(VALUE(MID(AB1468,4,4)),"")</f>
        <v/>
      </c>
      <c r="B1468" s="204">
        <f>VALUE(RIGHT(C1468,LEN(C1468)-2))</f>
        <v>1255</v>
      </c>
      <c r="C1468" s="74" t="s">
        <v>5466</v>
      </c>
      <c r="D1468" s="75">
        <v>44201</v>
      </c>
      <c r="E1468" s="70" t="s">
        <v>3741</v>
      </c>
      <c r="F1468" s="70" t="s">
        <v>3741</v>
      </c>
      <c r="G1468" s="68" t="s">
        <v>5462</v>
      </c>
      <c r="H1468" s="59"/>
      <c r="I1468" s="69" t="s">
        <v>5467</v>
      </c>
      <c r="J1468" s="69"/>
      <c r="K1468" s="68" t="s">
        <v>3286</v>
      </c>
      <c r="L1468" s="69" t="s">
        <v>120</v>
      </c>
      <c r="M1468" s="71" t="s">
        <v>113</v>
      </c>
      <c r="N1468" s="69" t="e" vm="2">
        <v>#VALUE!</v>
      </c>
      <c r="O1468" s="84"/>
      <c r="P1468" s="72" t="s">
        <v>402</v>
      </c>
      <c r="Q1468" s="72"/>
      <c r="R1468" s="162"/>
      <c r="S1468" s="146"/>
      <c r="T1468" s="68" t="s">
        <v>165</v>
      </c>
      <c r="U1468" s="87"/>
      <c r="V1468" s="80">
        <v>44221</v>
      </c>
      <c r="W1468" s="73">
        <v>5495</v>
      </c>
      <c r="X1468" s="73">
        <f>776680*150/1000000</f>
        <v>116.502</v>
      </c>
      <c r="Y1468" s="83">
        <f>IF(SUM(W1468:W1468)&gt;0,X1468/SUM(W1468:W1468)*1000000,"N/A")</f>
        <v>21201.455868971792</v>
      </c>
      <c r="Z1468" s="80"/>
      <c r="AA1468" s="80"/>
      <c r="AB1468" s="73"/>
      <c r="AC1468" s="153"/>
      <c r="AD1468" s="331"/>
      <c r="AE1468" s="57"/>
      <c r="AF1468" s="88"/>
      <c r="AG1468" s="182">
        <f>YEAR(D1468)</f>
        <v>2021</v>
      </c>
      <c r="AH1468" s="86" t="str">
        <f>+IF(AE1468=$AJ$22,MONTH(T1468),"")</f>
        <v/>
      </c>
      <c r="AI1468" s="86" t="str">
        <f>+IF(AF1468=$AJ$22,MONTH(U1468),"")</f>
        <v/>
      </c>
      <c r="AJ1468" s="86" t="str">
        <f>+IF(AG1468=$AJ$22,MONTH(V1468),"")</f>
        <v/>
      </c>
      <c r="AK1468" s="86" t="str">
        <f>+IF(AG1468=$AK$22,MONTH(V1468),"")</f>
        <v/>
      </c>
      <c r="AL1468" s="86" t="str">
        <f>+IF(AG1468=$AL$22,MONTH(V1468),"")</f>
        <v/>
      </c>
      <c r="AM1468" s="86">
        <f>+IF($AG1468=$AM$22,MONTH($D1468),"")</f>
        <v>1</v>
      </c>
      <c r="AN1468" s="89" t="str">
        <f>+IF($AG1468=AN$22,MONTH($D1468),"")</f>
        <v/>
      </c>
      <c r="AO1468" s="89" t="str">
        <f>+IF($AG1468=AO$22,MONTH($D1468),"")</f>
        <v/>
      </c>
      <c r="AP1468" s="89" t="str">
        <f>+IF($AG1468=AP$22,MONTH($D1468),"")</f>
        <v/>
      </c>
      <c r="AQ1468" s="89" t="str">
        <f>+IF($AG1468=AQ$22,MONTH($D1468),"")</f>
        <v/>
      </c>
      <c r="AR1468" s="89" t="str">
        <f>+IF($AG1468=AR$22,MONTH($D1468),"")</f>
        <v/>
      </c>
      <c r="AS1468" s="89" t="str">
        <f>+IF($AG1468=AS$22,MONTH($D1468),"")</f>
        <v/>
      </c>
      <c r="AT1468" s="89" t="str">
        <f>+IF($AG1468=AT$22,MONTH($D1468),"")</f>
        <v/>
      </c>
      <c r="AU1468" s="89" t="str">
        <f>+IF($AG1468=AU$22,MONTH($D1468),"")</f>
        <v/>
      </c>
      <c r="AV1468" s="89" t="str">
        <f>+IF($AG1468=AV$22,MONTH($D1468),"")</f>
        <v/>
      </c>
      <c r="AW1468" s="86" t="str">
        <f>+IF($AG1468=AW$22,MONTH($D1468),"")</f>
        <v/>
      </c>
      <c r="AX1468" s="86" t="str">
        <f>+IF($AG1468=AX$22,MONTH($D1468),"")</f>
        <v/>
      </c>
      <c r="AY1468" s="89"/>
      <c r="AZ1468" s="89"/>
      <c r="BA1468" s="89"/>
      <c r="BB1468" s="89"/>
      <c r="BC1468" s="89"/>
      <c r="BD1468" s="89"/>
      <c r="BE1468" s="89"/>
      <c r="BF1468" s="89"/>
      <c r="BG1468" s="89"/>
      <c r="BH1468" s="89"/>
      <c r="BI1468" s="89"/>
      <c r="BJ1468" s="89"/>
      <c r="BK1468" s="89"/>
      <c r="BL1468" s="89"/>
      <c r="BM1468" s="89"/>
      <c r="BN1468" s="89"/>
      <c r="BO1468" s="89"/>
      <c r="BP1468" s="89"/>
    </row>
    <row r="1469" spans="1:68" s="56" customFormat="1" ht="13.5" hidden="1">
      <c r="A1469" s="204">
        <f>+IFERROR(VALUE(MID(AB1469,4,4)),"")</f>
        <v>259</v>
      </c>
      <c r="B1469" s="204">
        <f>VALUE(RIGHT(C1469,LEN(C1469)-2))</f>
        <v>1254</v>
      </c>
      <c r="C1469" s="74" t="s">
        <v>5468</v>
      </c>
      <c r="D1469" s="75">
        <v>44186</v>
      </c>
      <c r="E1469" s="70" t="s">
        <v>394</v>
      </c>
      <c r="F1469" s="70" t="s">
        <v>394</v>
      </c>
      <c r="G1469" s="68"/>
      <c r="H1469" s="59"/>
      <c r="I1469" s="69" t="s">
        <v>5469</v>
      </c>
      <c r="J1469" s="69"/>
      <c r="K1469" s="68" t="s">
        <v>30</v>
      </c>
      <c r="L1469" s="69" t="s">
        <v>120</v>
      </c>
      <c r="M1469" s="71" t="s">
        <v>141</v>
      </c>
      <c r="N1469" s="69" t="e" vm="1">
        <v>#VALUE!</v>
      </c>
      <c r="O1469" s="84"/>
      <c r="P1469" s="72" t="s">
        <v>402</v>
      </c>
      <c r="Q1469" s="72" t="s">
        <v>623</v>
      </c>
      <c r="R1469" s="162"/>
      <c r="S1469" s="146"/>
      <c r="T1469" s="68" t="s">
        <v>3</v>
      </c>
      <c r="U1469" s="87"/>
      <c r="V1469" s="80">
        <v>257</v>
      </c>
      <c r="W1469" s="73">
        <v>257</v>
      </c>
      <c r="X1469" s="73">
        <v>9.3000000000000007</v>
      </c>
      <c r="Y1469" s="83">
        <f>IF(SUM(W1469:W1469)&gt;0,X1469/SUM(W1469:W1469)*1000000,"N/A")</f>
        <v>36186.770428015567</v>
      </c>
      <c r="Z1469" s="80"/>
      <c r="AA1469" s="80"/>
      <c r="AB1469" s="73" t="s">
        <v>5470</v>
      </c>
      <c r="AC1469" s="153"/>
      <c r="AD1469" s="331"/>
      <c r="AE1469" s="57"/>
      <c r="AF1469" s="88"/>
      <c r="AG1469" s="182">
        <f>YEAR(D1469)</f>
        <v>2020</v>
      </c>
      <c r="AH1469" s="86" t="str">
        <f>+IF(AE1469=$AJ$22,MONTH(T1469),"")</f>
        <v/>
      </c>
      <c r="AI1469" s="86" t="str">
        <f>+IF(AF1469=$AJ$22,MONTH(U1469),"")</f>
        <v/>
      </c>
      <c r="AJ1469" s="86" t="str">
        <f>+IF(AG1469=$AJ$22,MONTH(V1469),"")</f>
        <v/>
      </c>
      <c r="AK1469" s="86" t="str">
        <f>+IF(AG1469=$AK$22,MONTH(V1469),"")</f>
        <v/>
      </c>
      <c r="AL1469" s="86" t="str">
        <f>+IF(AG1469=$AL$22,MONTH(V1469),"")</f>
        <v/>
      </c>
      <c r="AM1469" s="86" t="str">
        <f>+IF($AG1469=$AM$22,MONTH($D1469),"")</f>
        <v/>
      </c>
      <c r="AN1469" s="89">
        <f>+IF($AG1469=AN$22,MONTH($D1469),"")</f>
        <v>12</v>
      </c>
      <c r="AO1469" s="89" t="str">
        <f>+IF($AG1469=AO$22,MONTH($D1469),"")</f>
        <v/>
      </c>
      <c r="AP1469" s="89" t="str">
        <f>+IF($AG1469=AP$22,MONTH($D1469),"")</f>
        <v/>
      </c>
      <c r="AQ1469" s="89" t="str">
        <f>+IF($AG1469=AQ$22,MONTH($D1469),"")</f>
        <v/>
      </c>
      <c r="AR1469" s="89" t="str">
        <f>+IF($AG1469=AR$22,MONTH($D1469),"")</f>
        <v/>
      </c>
      <c r="AS1469" s="89" t="str">
        <f>+IF($AG1469=AS$22,MONTH($D1469),"")</f>
        <v/>
      </c>
      <c r="AT1469" s="89" t="str">
        <f>+IF($AG1469=AT$22,MONTH($D1469),"")</f>
        <v/>
      </c>
      <c r="AU1469" s="89" t="str">
        <f>+IF($AG1469=AU$22,MONTH($D1469),"")</f>
        <v/>
      </c>
      <c r="AV1469" s="89" t="str">
        <f>+IF($AG1469=AV$22,MONTH($D1469),"")</f>
        <v/>
      </c>
      <c r="AW1469" s="86" t="str">
        <f>+IF($AG1469=AW$22,MONTH($D1469),"")</f>
        <v/>
      </c>
      <c r="AX1469" s="86" t="str">
        <f>+IF($AG1469=AX$22,MONTH($D1469),"")</f>
        <v/>
      </c>
      <c r="AY1469" s="89"/>
      <c r="AZ1469" s="89"/>
      <c r="BA1469" s="89"/>
      <c r="BB1469" s="89"/>
      <c r="BC1469" s="89"/>
      <c r="BD1469" s="89"/>
      <c r="BE1469" s="89"/>
      <c r="BF1469" s="89"/>
      <c r="BG1469" s="89"/>
      <c r="BH1469" s="89"/>
      <c r="BI1469" s="89"/>
      <c r="BJ1469" s="89"/>
      <c r="BK1469" s="89"/>
      <c r="BL1469" s="89"/>
      <c r="BM1469" s="89"/>
      <c r="BN1469" s="89"/>
      <c r="BO1469" s="89"/>
      <c r="BP1469" s="89"/>
    </row>
    <row r="1470" spans="1:68" s="56" customFormat="1" ht="13.5" hidden="1">
      <c r="A1470" s="204" t="str">
        <f>+IFERROR(VALUE(MID(AB1470,4,4)),"")</f>
        <v/>
      </c>
      <c r="B1470" s="204">
        <f>VALUE(RIGHT(C1470,LEN(C1470)-2))</f>
        <v>1253</v>
      </c>
      <c r="C1470" s="74" t="s">
        <v>5471</v>
      </c>
      <c r="D1470" s="75">
        <v>44186</v>
      </c>
      <c r="E1470" s="70" t="s">
        <v>394</v>
      </c>
      <c r="F1470" s="70" t="s">
        <v>394</v>
      </c>
      <c r="G1470" s="68" t="s">
        <v>5472</v>
      </c>
      <c r="H1470" s="59"/>
      <c r="I1470" s="69" t="s">
        <v>5473</v>
      </c>
      <c r="J1470" s="69"/>
      <c r="K1470" s="68" t="s">
        <v>13</v>
      </c>
      <c r="L1470" s="69" t="s">
        <v>123</v>
      </c>
      <c r="M1470" s="71" t="s">
        <v>141</v>
      </c>
      <c r="N1470" s="69" t="e" vm="1">
        <v>#VALUE!</v>
      </c>
      <c r="O1470" s="84"/>
      <c r="P1470" s="72" t="s">
        <v>402</v>
      </c>
      <c r="Q1470" s="72"/>
      <c r="R1470" s="162"/>
      <c r="S1470" s="146"/>
      <c r="T1470" s="68" t="s">
        <v>165</v>
      </c>
      <c r="U1470" s="87"/>
      <c r="V1470" s="80">
        <v>44264</v>
      </c>
      <c r="W1470" s="73">
        <v>1840</v>
      </c>
      <c r="X1470" s="73">
        <v>53.417000000000002</v>
      </c>
      <c r="Y1470" s="83">
        <f>IF(SUM(W1470:W1470)&gt;0,X1470/SUM(W1470:W1470)*1000000,"N/A")</f>
        <v>29030.978260869564</v>
      </c>
      <c r="Z1470" s="80"/>
      <c r="AA1470" s="80"/>
      <c r="AB1470" s="73"/>
      <c r="AC1470" s="153"/>
      <c r="AD1470" s="331"/>
      <c r="AE1470" s="57"/>
      <c r="AF1470" s="88"/>
      <c r="AG1470" s="182">
        <f>YEAR(D1470)</f>
        <v>2020</v>
      </c>
      <c r="AH1470" s="86" t="str">
        <f>+IF(AE1470=$AJ$22,MONTH(T1470),"")</f>
        <v/>
      </c>
      <c r="AI1470" s="86" t="str">
        <f>+IF(AF1470=$AJ$22,MONTH(U1470),"")</f>
        <v/>
      </c>
      <c r="AJ1470" s="86" t="str">
        <f>+IF(AG1470=$AJ$22,MONTH(V1470),"")</f>
        <v/>
      </c>
      <c r="AK1470" s="86" t="str">
        <f>+IF(AG1470=$AK$22,MONTH(V1470),"")</f>
        <v/>
      </c>
      <c r="AL1470" s="86" t="str">
        <f>+IF(AG1470=$AL$22,MONTH(V1470),"")</f>
        <v/>
      </c>
      <c r="AM1470" s="86" t="str">
        <f>+IF($AG1470=$AM$22,MONTH($D1470),"")</f>
        <v/>
      </c>
      <c r="AN1470" s="89">
        <f>+IF($AG1470=AN$22,MONTH($D1470),"")</f>
        <v>12</v>
      </c>
      <c r="AO1470" s="89" t="str">
        <f>+IF($AG1470=AO$22,MONTH($D1470),"")</f>
        <v/>
      </c>
      <c r="AP1470" s="89" t="str">
        <f>+IF($AG1470=AP$22,MONTH($D1470),"")</f>
        <v/>
      </c>
      <c r="AQ1470" s="89" t="str">
        <f>+IF($AG1470=AQ$22,MONTH($D1470),"")</f>
        <v/>
      </c>
      <c r="AR1470" s="89" t="str">
        <f>+IF($AG1470=AR$22,MONTH($D1470),"")</f>
        <v/>
      </c>
      <c r="AS1470" s="89" t="str">
        <f>+IF($AG1470=AS$22,MONTH($D1470),"")</f>
        <v/>
      </c>
      <c r="AT1470" s="89" t="str">
        <f>+IF($AG1470=AT$22,MONTH($D1470),"")</f>
        <v/>
      </c>
      <c r="AU1470" s="89" t="str">
        <f>+IF($AG1470=AU$22,MONTH($D1470),"")</f>
        <v/>
      </c>
      <c r="AV1470" s="89" t="str">
        <f>+IF($AG1470=AV$22,MONTH($D1470),"")</f>
        <v/>
      </c>
      <c r="AW1470" s="86" t="str">
        <f>+IF($AG1470=AW$22,MONTH($D1470),"")</f>
        <v/>
      </c>
      <c r="AX1470" s="86" t="str">
        <f>+IF($AG1470=AX$22,MONTH($D1470),"")</f>
        <v/>
      </c>
      <c r="AY1470" s="89"/>
      <c r="AZ1470" s="89"/>
      <c r="BA1470" s="89"/>
      <c r="BB1470" s="89"/>
      <c r="BC1470" s="89"/>
      <c r="BD1470" s="89"/>
      <c r="BE1470" s="89"/>
      <c r="BF1470" s="89"/>
      <c r="BG1470" s="89"/>
      <c r="BH1470" s="89"/>
      <c r="BI1470" s="89"/>
      <c r="BJ1470" s="89"/>
      <c r="BK1470" s="89"/>
      <c r="BL1470" s="89"/>
      <c r="BM1470" s="89"/>
      <c r="BN1470" s="89"/>
      <c r="BO1470" s="89"/>
      <c r="BP1470" s="89"/>
    </row>
    <row r="1471" spans="1:68" s="56" customFormat="1" ht="27" hidden="1">
      <c r="A1471" s="204" t="str">
        <f>+IFERROR(VALUE(MID(AB1471,4,4)),"")</f>
        <v/>
      </c>
      <c r="B1471" s="204">
        <f>VALUE(RIGHT(C1471,LEN(C1471)-2))</f>
        <v>1252</v>
      </c>
      <c r="C1471" s="74" t="s">
        <v>5474</v>
      </c>
      <c r="D1471" s="75">
        <v>44175</v>
      </c>
      <c r="E1471" s="70" t="s">
        <v>5475</v>
      </c>
      <c r="F1471" s="70" t="s">
        <v>5476</v>
      </c>
      <c r="G1471" s="68" t="s">
        <v>3425</v>
      </c>
      <c r="H1471" s="59"/>
      <c r="I1471" s="69" t="s">
        <v>5477</v>
      </c>
      <c r="J1471" s="69"/>
      <c r="K1471" s="68" t="s">
        <v>30</v>
      </c>
      <c r="L1471" s="69" t="s">
        <v>120</v>
      </c>
      <c r="M1471" s="71" t="s">
        <v>141</v>
      </c>
      <c r="N1471" s="69" t="e" vm="1">
        <v>#VALUE!</v>
      </c>
      <c r="O1471" s="84"/>
      <c r="P1471" s="72" t="s">
        <v>402</v>
      </c>
      <c r="Q1471" s="72"/>
      <c r="R1471" s="162"/>
      <c r="S1471" s="146" t="s">
        <v>5478</v>
      </c>
      <c r="T1471" s="68" t="s">
        <v>155</v>
      </c>
      <c r="U1471" s="87"/>
      <c r="V1471" s="80"/>
      <c r="W1471" s="73"/>
      <c r="X1471" s="73"/>
      <c r="Y1471" s="83" t="str">
        <f>IF(SUM(W1471:W1471)&gt;0,X1471/SUM(W1471:W1471)*1000000,"N/A")</f>
        <v>N/A</v>
      </c>
      <c r="Z1471" s="80"/>
      <c r="AA1471" s="80"/>
      <c r="AB1471" s="73"/>
      <c r="AC1471" s="153"/>
      <c r="AD1471" s="331"/>
      <c r="AE1471" s="57"/>
      <c r="AF1471" s="88"/>
      <c r="AG1471" s="182">
        <f>YEAR(D1471)</f>
        <v>2020</v>
      </c>
      <c r="AH1471" s="86" t="str">
        <f>+IF(AE1471=$AJ$22,MONTH(T1471),"")</f>
        <v/>
      </c>
      <c r="AI1471" s="86" t="str">
        <f>+IF(AF1471=$AJ$22,MONTH(U1471),"")</f>
        <v/>
      </c>
      <c r="AJ1471" s="86" t="str">
        <f>+IF(AG1471=$AJ$22,MONTH(V1471),"")</f>
        <v/>
      </c>
      <c r="AK1471" s="86" t="str">
        <f>+IF(AG1471=$AK$22,MONTH(V1471),"")</f>
        <v/>
      </c>
      <c r="AL1471" s="86" t="str">
        <f>+IF(AG1471=$AL$22,MONTH(V1471),"")</f>
        <v/>
      </c>
      <c r="AM1471" s="86" t="str">
        <f>+IF($AG1471=$AM$22,MONTH($D1471),"")</f>
        <v/>
      </c>
      <c r="AN1471" s="89">
        <f>+IF($AG1471=AN$22,MONTH($D1471),"")</f>
        <v>12</v>
      </c>
      <c r="AO1471" s="89" t="str">
        <f>+IF($AG1471=AO$22,MONTH($D1471),"")</f>
        <v/>
      </c>
      <c r="AP1471" s="89" t="str">
        <f>+IF($AG1471=AP$22,MONTH($D1471),"")</f>
        <v/>
      </c>
      <c r="AQ1471" s="89" t="str">
        <f>+IF($AG1471=AQ$22,MONTH($D1471),"")</f>
        <v/>
      </c>
      <c r="AR1471" s="89" t="str">
        <f>+IF($AG1471=AR$22,MONTH($D1471),"")</f>
        <v/>
      </c>
      <c r="AS1471" s="89" t="str">
        <f>+IF($AG1471=AS$22,MONTH($D1471),"")</f>
        <v/>
      </c>
      <c r="AT1471" s="89" t="str">
        <f>+IF($AG1471=AT$22,MONTH($D1471),"")</f>
        <v/>
      </c>
      <c r="AU1471" s="89" t="str">
        <f>+IF($AG1471=AU$22,MONTH($D1471),"")</f>
        <v/>
      </c>
      <c r="AV1471" s="89" t="str">
        <f>+IF($AG1471=AV$22,MONTH($D1471),"")</f>
        <v/>
      </c>
      <c r="AW1471" s="86" t="str">
        <f>+IF($AG1471=AW$22,MONTH($D1471),"")</f>
        <v/>
      </c>
      <c r="AX1471" s="86" t="str">
        <f>+IF($AG1471=AX$22,MONTH($D1471),"")</f>
        <v/>
      </c>
      <c r="AY1471" s="89"/>
      <c r="AZ1471" s="89"/>
      <c r="BA1471" s="89"/>
      <c r="BB1471" s="89"/>
      <c r="BC1471" s="89"/>
      <c r="BD1471" s="89"/>
      <c r="BE1471" s="89"/>
      <c r="BF1471" s="89"/>
      <c r="BG1471" s="89"/>
      <c r="BH1471" s="89"/>
      <c r="BI1471" s="89"/>
      <c r="BJ1471" s="89"/>
      <c r="BK1471" s="89"/>
      <c r="BL1471" s="89"/>
      <c r="BM1471" s="89"/>
      <c r="BN1471" s="89"/>
      <c r="BO1471" s="89"/>
      <c r="BP1471" s="89"/>
    </row>
    <row r="1472" spans="1:68" s="56" customFormat="1" ht="34.5" hidden="1" customHeight="1">
      <c r="A1472" s="204" t="str">
        <f>+IFERROR(VALUE(MID(AB1472,4,4)),"")</f>
        <v/>
      </c>
      <c r="B1472" s="204">
        <f>VALUE(RIGHT(C1472,LEN(C1472)-2))</f>
        <v>1251</v>
      </c>
      <c r="C1472" s="74" t="s">
        <v>5479</v>
      </c>
      <c r="D1472" s="75">
        <v>44175</v>
      </c>
      <c r="E1472" s="70" t="s">
        <v>479</v>
      </c>
      <c r="F1472" s="70" t="s">
        <v>479</v>
      </c>
      <c r="G1472" s="68" t="s">
        <v>5480</v>
      </c>
      <c r="H1472" s="59"/>
      <c r="I1472" s="69" t="s">
        <v>5481</v>
      </c>
      <c r="J1472" s="69"/>
      <c r="K1472" s="68" t="s">
        <v>30</v>
      </c>
      <c r="L1472" s="69" t="s">
        <v>120</v>
      </c>
      <c r="M1472" s="71" t="s">
        <v>113</v>
      </c>
      <c r="N1472" s="69" t="e" vm="1">
        <v>#VALUE!</v>
      </c>
      <c r="O1472" s="84"/>
      <c r="P1472" s="72" t="s">
        <v>402</v>
      </c>
      <c r="Q1472" s="72" t="s">
        <v>229</v>
      </c>
      <c r="R1472" s="162"/>
      <c r="S1472" s="146"/>
      <c r="T1472" s="68" t="s">
        <v>165</v>
      </c>
      <c r="U1472" s="87"/>
      <c r="V1472" s="80">
        <v>44193</v>
      </c>
      <c r="W1472" s="73">
        <v>8</v>
      </c>
      <c r="X1472" s="216">
        <f>400*700/1000000</f>
        <v>0.28000000000000003</v>
      </c>
      <c r="Y1472" s="83">
        <f>IF(SUM(W1472:W1472)&gt;0,X1472/SUM(W1472:W1472)*1000000,"N/A")</f>
        <v>35000</v>
      </c>
      <c r="Z1472" s="80"/>
      <c r="AA1472" s="80"/>
      <c r="AB1472" s="73"/>
      <c r="AC1472" s="153"/>
      <c r="AD1472" s="331"/>
      <c r="AE1472" s="57"/>
      <c r="AF1472" s="88"/>
      <c r="AG1472" s="182">
        <f>YEAR(D1472)</f>
        <v>2020</v>
      </c>
      <c r="AH1472" s="86" t="str">
        <f>+IF(AE1472=$AJ$22,MONTH(T1472),"")</f>
        <v/>
      </c>
      <c r="AI1472" s="86" t="str">
        <f>+IF(AF1472=$AJ$22,MONTH(U1472),"")</f>
        <v/>
      </c>
      <c r="AJ1472" s="86" t="str">
        <f>+IF(AG1472=$AJ$22,MONTH(V1472),"")</f>
        <v/>
      </c>
      <c r="AK1472" s="86" t="str">
        <f>+IF(AG1472=$AK$22,MONTH(V1472),"")</f>
        <v/>
      </c>
      <c r="AL1472" s="86" t="str">
        <f>+IF(AG1472=$AL$22,MONTH(V1472),"")</f>
        <v/>
      </c>
      <c r="AM1472" s="86" t="str">
        <f>+IF($AG1472=$AM$22,MONTH($D1472),"")</f>
        <v/>
      </c>
      <c r="AN1472" s="89">
        <f>+IF($AG1472=AN$22,MONTH($D1472),"")</f>
        <v>12</v>
      </c>
      <c r="AO1472" s="89" t="str">
        <f>+IF($AG1472=AO$22,MONTH($D1472),"")</f>
        <v/>
      </c>
      <c r="AP1472" s="89" t="str">
        <f>+IF($AG1472=AP$22,MONTH($D1472),"")</f>
        <v/>
      </c>
      <c r="AQ1472" s="89" t="str">
        <f>+IF($AG1472=AQ$22,MONTH($D1472),"")</f>
        <v/>
      </c>
      <c r="AR1472" s="89" t="str">
        <f>+IF($AG1472=AR$22,MONTH($D1472),"")</f>
        <v/>
      </c>
      <c r="AS1472" s="89" t="str">
        <f>+IF($AG1472=AS$22,MONTH($D1472),"")</f>
        <v/>
      </c>
      <c r="AT1472" s="89" t="str">
        <f>+IF($AG1472=AT$22,MONTH($D1472),"")</f>
        <v/>
      </c>
      <c r="AU1472" s="89" t="str">
        <f>+IF($AG1472=AU$22,MONTH($D1472),"")</f>
        <v/>
      </c>
      <c r="AV1472" s="89" t="str">
        <f>+IF($AG1472=AV$22,MONTH($D1472),"")</f>
        <v/>
      </c>
      <c r="AW1472" s="86" t="str">
        <f>+IF($AG1472=AW$22,MONTH($D1472),"")</f>
        <v/>
      </c>
      <c r="AX1472" s="86" t="str">
        <f>+IF($AG1472=AX$22,MONTH($D1472),"")</f>
        <v/>
      </c>
      <c r="AY1472" s="89"/>
      <c r="AZ1472" s="89"/>
      <c r="BA1472" s="89"/>
      <c r="BB1472" s="89"/>
      <c r="BC1472" s="89"/>
      <c r="BD1472" s="89"/>
      <c r="BE1472" s="89"/>
      <c r="BF1472" s="89"/>
      <c r="BG1472" s="89"/>
      <c r="BH1472" s="89"/>
      <c r="BI1472" s="89"/>
      <c r="BJ1472" s="89"/>
      <c r="BK1472" s="89"/>
      <c r="BL1472" s="89"/>
      <c r="BM1472" s="89"/>
      <c r="BN1472" s="89"/>
      <c r="BO1472" s="89"/>
      <c r="BP1472" s="89"/>
    </row>
    <row r="1473" spans="1:68" s="56" customFormat="1" ht="27" hidden="1">
      <c r="A1473" s="204">
        <f>+IFERROR(VALUE(MID(AB1473,4,4)),"")</f>
        <v>235</v>
      </c>
      <c r="B1473" s="204">
        <f>VALUE(RIGHT(C1473,LEN(C1473)-2))</f>
        <v>1250</v>
      </c>
      <c r="C1473" s="74" t="s">
        <v>5482</v>
      </c>
      <c r="D1473" s="75">
        <v>44175</v>
      </c>
      <c r="E1473" s="70" t="s">
        <v>479</v>
      </c>
      <c r="F1473" s="70" t="s">
        <v>479</v>
      </c>
      <c r="G1473" s="68" t="s">
        <v>5480</v>
      </c>
      <c r="H1473" s="59"/>
      <c r="I1473" s="69" t="s">
        <v>5483</v>
      </c>
      <c r="J1473" s="69"/>
      <c r="K1473" s="68" t="s">
        <v>30</v>
      </c>
      <c r="L1473" s="69" t="s">
        <v>120</v>
      </c>
      <c r="M1473" s="71" t="s">
        <v>113</v>
      </c>
      <c r="N1473" s="69" t="e" vm="1">
        <v>#VALUE!</v>
      </c>
      <c r="O1473" s="84"/>
      <c r="P1473" s="72" t="s">
        <v>402</v>
      </c>
      <c r="Q1473" s="72" t="s">
        <v>229</v>
      </c>
      <c r="R1473" s="162"/>
      <c r="S1473" s="146"/>
      <c r="T1473" s="68" t="s">
        <v>3</v>
      </c>
      <c r="U1473" s="87"/>
      <c r="V1473" s="80">
        <v>44193</v>
      </c>
      <c r="W1473" s="73">
        <v>48</v>
      </c>
      <c r="X1473" s="216">
        <f>2400*700/1000000</f>
        <v>1.68</v>
      </c>
      <c r="Y1473" s="83">
        <f>IF(SUM(W1473:W1473)&gt;0,X1473/SUM(W1473:W1473)*1000000,"N/A")</f>
        <v>35000</v>
      </c>
      <c r="Z1473" s="80"/>
      <c r="AA1473" s="80"/>
      <c r="AB1473" s="73" t="s">
        <v>5484</v>
      </c>
      <c r="AC1473" s="153"/>
      <c r="AD1473" s="331"/>
      <c r="AE1473" s="57"/>
      <c r="AF1473" s="88"/>
      <c r="AG1473" s="182">
        <f>YEAR(D1473)</f>
        <v>2020</v>
      </c>
      <c r="AH1473" s="86" t="str">
        <f>+IF(AE1473=$AJ$22,MONTH(T1473),"")</f>
        <v/>
      </c>
      <c r="AI1473" s="86" t="str">
        <f>+IF(AF1473=$AJ$22,MONTH(U1473),"")</f>
        <v/>
      </c>
      <c r="AJ1473" s="86" t="str">
        <f>+IF(AG1473=$AJ$22,MONTH(V1473),"")</f>
        <v/>
      </c>
      <c r="AK1473" s="86" t="str">
        <f>+IF(AG1473=$AK$22,MONTH(V1473),"")</f>
        <v/>
      </c>
      <c r="AL1473" s="86" t="str">
        <f>+IF(AG1473=$AL$22,MONTH(V1473),"")</f>
        <v/>
      </c>
      <c r="AM1473" s="86" t="str">
        <f>+IF($AG1473=$AM$22,MONTH($D1473),"")</f>
        <v/>
      </c>
      <c r="AN1473" s="89">
        <f>+IF($AG1473=AN$22,MONTH($D1473),"")</f>
        <v>12</v>
      </c>
      <c r="AO1473" s="89" t="str">
        <f>+IF($AG1473=AO$22,MONTH($D1473),"")</f>
        <v/>
      </c>
      <c r="AP1473" s="89" t="str">
        <f>+IF($AG1473=AP$22,MONTH($D1473),"")</f>
        <v/>
      </c>
      <c r="AQ1473" s="89" t="str">
        <f>+IF($AG1473=AQ$22,MONTH($D1473),"")</f>
        <v/>
      </c>
      <c r="AR1473" s="89" t="str">
        <f>+IF($AG1473=AR$22,MONTH($D1473),"")</f>
        <v/>
      </c>
      <c r="AS1473" s="89" t="str">
        <f>+IF($AG1473=AS$22,MONTH($D1473),"")</f>
        <v/>
      </c>
      <c r="AT1473" s="89" t="str">
        <f>+IF($AG1473=AT$22,MONTH($D1473),"")</f>
        <v/>
      </c>
      <c r="AU1473" s="89" t="str">
        <f>+IF($AG1473=AU$22,MONTH($D1473),"")</f>
        <v/>
      </c>
      <c r="AV1473" s="89" t="str">
        <f>+IF($AG1473=AV$22,MONTH($D1473),"")</f>
        <v/>
      </c>
      <c r="AW1473" s="86"/>
      <c r="AX1473" s="86"/>
      <c r="AY1473" s="89"/>
      <c r="AZ1473" s="89"/>
      <c r="BA1473" s="89"/>
      <c r="BB1473" s="89"/>
      <c r="BC1473" s="89"/>
      <c r="BD1473" s="89"/>
      <c r="BE1473" s="89"/>
      <c r="BF1473" s="89"/>
      <c r="BG1473" s="89"/>
      <c r="BH1473" s="89"/>
      <c r="BI1473" s="89"/>
      <c r="BJ1473" s="89"/>
      <c r="BK1473" s="89"/>
      <c r="BL1473" s="89"/>
      <c r="BM1473" s="89"/>
      <c r="BN1473" s="89"/>
      <c r="BO1473" s="89"/>
      <c r="BP1473" s="89"/>
    </row>
    <row r="1474" spans="1:68" s="56" customFormat="1" ht="13.5" hidden="1">
      <c r="A1474" s="204">
        <f>+IFERROR(VALUE(MID(AB1474,4,4)),"")</f>
        <v>234</v>
      </c>
      <c r="B1474" s="204">
        <f>VALUE(RIGHT(C1474,LEN(C1474)-2))</f>
        <v>1249</v>
      </c>
      <c r="C1474" s="74" t="s">
        <v>5485</v>
      </c>
      <c r="D1474" s="75">
        <v>44174</v>
      </c>
      <c r="E1474" s="70" t="s">
        <v>277</v>
      </c>
      <c r="F1474" s="70" t="s">
        <v>277</v>
      </c>
      <c r="G1474" s="68" t="s">
        <v>1350</v>
      </c>
      <c r="H1474" s="59" t="s">
        <v>4327</v>
      </c>
      <c r="I1474" s="69" t="s">
        <v>5486</v>
      </c>
      <c r="J1474" s="69"/>
      <c r="K1474" s="68" t="s">
        <v>90</v>
      </c>
      <c r="L1474" s="69" t="s">
        <v>120</v>
      </c>
      <c r="M1474" s="71" t="s">
        <v>141</v>
      </c>
      <c r="N1474" s="69" t="e" vm="1">
        <v>#VALUE!</v>
      </c>
      <c r="O1474" s="84"/>
      <c r="P1474" s="72" t="s">
        <v>402</v>
      </c>
      <c r="Q1474" s="72" t="s">
        <v>275</v>
      </c>
      <c r="R1474" s="162"/>
      <c r="S1474" s="146"/>
      <c r="T1474" s="68" t="s">
        <v>3</v>
      </c>
      <c r="U1474" s="87"/>
      <c r="V1474" s="80">
        <v>44176</v>
      </c>
      <c r="W1474" s="73">
        <v>442</v>
      </c>
      <c r="X1474" s="73">
        <f>21907515/1000000</f>
        <v>21.907515</v>
      </c>
      <c r="Y1474" s="83">
        <f>IF(SUM(W1474:W1474)&gt;0,X1474/SUM(W1474:W1474)*1000000,"N/A")</f>
        <v>49564.513574660639</v>
      </c>
      <c r="Z1474" s="80"/>
      <c r="AA1474" s="80"/>
      <c r="AB1474" s="73" t="s">
        <v>5487</v>
      </c>
      <c r="AC1474" s="153"/>
      <c r="AD1474" s="331"/>
      <c r="AE1474" s="57"/>
      <c r="AF1474" s="88"/>
      <c r="AG1474" s="182">
        <f>YEAR(D1474)</f>
        <v>2020</v>
      </c>
      <c r="AH1474" s="86" t="str">
        <f>+IF(AE1474=$AJ$22,MONTH(T1474),"")</f>
        <v/>
      </c>
      <c r="AI1474" s="86" t="str">
        <f>+IF(AF1474=$AJ$22,MONTH(U1474),"")</f>
        <v/>
      </c>
      <c r="AJ1474" s="86" t="str">
        <f>+IF(AG1474=$AJ$22,MONTH(V1474),"")</f>
        <v/>
      </c>
      <c r="AK1474" s="86" t="str">
        <f>+IF(AG1474=$AK$22,MONTH(V1474),"")</f>
        <v/>
      </c>
      <c r="AL1474" s="86" t="str">
        <f>+IF(AG1474=$AL$22,MONTH(V1474),"")</f>
        <v/>
      </c>
      <c r="AM1474" s="86" t="str">
        <f>+IF($AG1474=$AM$22,MONTH($D1474),"")</f>
        <v/>
      </c>
      <c r="AN1474" s="89">
        <f>+IF($AG1474=AN$22,MONTH($D1474),"")</f>
        <v>12</v>
      </c>
      <c r="AO1474" s="89" t="str">
        <f>+IF($AG1474=AO$22,MONTH($D1474),"")</f>
        <v/>
      </c>
      <c r="AP1474" s="89" t="str">
        <f>+IF($AG1474=AP$22,MONTH($D1474),"")</f>
        <v/>
      </c>
      <c r="AQ1474" s="89" t="str">
        <f>+IF($AG1474=AQ$22,MONTH($D1474),"")</f>
        <v/>
      </c>
      <c r="AR1474" s="89" t="str">
        <f>+IF($AG1474=AR$22,MONTH($D1474),"")</f>
        <v/>
      </c>
      <c r="AS1474" s="89" t="str">
        <f>+IF($AG1474=AS$22,MONTH($D1474),"")</f>
        <v/>
      </c>
      <c r="AT1474" s="89" t="str">
        <f>+IF($AG1474=AT$22,MONTH($D1474),"")</f>
        <v/>
      </c>
      <c r="AU1474" s="89" t="str">
        <f>+IF($AG1474=AU$22,MONTH($D1474),"")</f>
        <v/>
      </c>
      <c r="AV1474" s="89" t="str">
        <f>+IF($AG1474=AV$22,MONTH($D1474),"")</f>
        <v/>
      </c>
      <c r="AW1474" s="86" t="str">
        <f>+IF($AG1474=AW$22,MONTH($D1474),"")</f>
        <v/>
      </c>
      <c r="AX1474" s="86" t="str">
        <f>+IF($AG1474=AX$22,MONTH($D1474),"")</f>
        <v/>
      </c>
      <c r="AY1474" s="89"/>
      <c r="AZ1474" s="89"/>
      <c r="BA1474" s="89"/>
      <c r="BB1474" s="89"/>
      <c r="BC1474" s="89"/>
      <c r="BD1474" s="89"/>
      <c r="BE1474" s="89"/>
      <c r="BF1474" s="89"/>
      <c r="BG1474" s="89"/>
      <c r="BH1474" s="89"/>
      <c r="BI1474" s="89"/>
      <c r="BJ1474" s="89"/>
      <c r="BK1474" s="89"/>
      <c r="BL1474" s="89"/>
      <c r="BM1474" s="89"/>
      <c r="BN1474" s="89"/>
      <c r="BO1474" s="89"/>
      <c r="BP1474" s="89"/>
    </row>
    <row r="1475" spans="1:68" s="56" customFormat="1" ht="13.5" hidden="1">
      <c r="A1475" s="204" t="str">
        <f>+IFERROR(VALUE(MID(AB1475,4,4)),"")</f>
        <v/>
      </c>
      <c r="B1475" s="204">
        <f>VALUE(RIGHT(C1475,LEN(C1475)-2))</f>
        <v>1248</v>
      </c>
      <c r="C1475" s="74" t="s">
        <v>5488</v>
      </c>
      <c r="D1475" s="75">
        <v>44172</v>
      </c>
      <c r="E1475" s="70" t="s">
        <v>277</v>
      </c>
      <c r="F1475" s="70" t="s">
        <v>277</v>
      </c>
      <c r="G1475" s="68" t="s">
        <v>5489</v>
      </c>
      <c r="H1475" s="59"/>
      <c r="I1475" s="69" t="s">
        <v>5490</v>
      </c>
      <c r="J1475" s="69"/>
      <c r="K1475" s="68" t="s">
        <v>13</v>
      </c>
      <c r="L1475" s="69" t="s">
        <v>120</v>
      </c>
      <c r="M1475" s="71" t="s">
        <v>141</v>
      </c>
      <c r="N1475" s="69" t="e" vm="1">
        <v>#VALUE!</v>
      </c>
      <c r="O1475" s="84"/>
      <c r="P1475" s="72" t="s">
        <v>402</v>
      </c>
      <c r="Q1475" s="72"/>
      <c r="R1475" s="162"/>
      <c r="S1475" s="146"/>
      <c r="T1475" s="68" t="s">
        <v>165</v>
      </c>
      <c r="U1475" s="87"/>
      <c r="V1475" s="80">
        <v>44186</v>
      </c>
      <c r="W1475" s="73">
        <v>4200</v>
      </c>
      <c r="X1475" s="73">
        <f>133.026504</f>
        <v>133.02650399999999</v>
      </c>
      <c r="Y1475" s="83">
        <f>IF(SUM(W1475:W1475)&gt;0,X1475/SUM(W1475:W1475)*1000000,"N/A")</f>
        <v>31672.97714285714</v>
      </c>
      <c r="Z1475" s="80"/>
      <c r="AA1475" s="80"/>
      <c r="AB1475" s="73"/>
      <c r="AC1475" s="153"/>
      <c r="AD1475" s="331"/>
      <c r="AE1475" s="57"/>
      <c r="AF1475" s="88"/>
      <c r="AG1475" s="182">
        <f>YEAR(D1475)</f>
        <v>2020</v>
      </c>
      <c r="AH1475" s="86" t="str">
        <f>+IF(AE1475=$AJ$22,MONTH(T1475),"")</f>
        <v/>
      </c>
      <c r="AI1475" s="86" t="str">
        <f>+IF(AF1475=$AJ$22,MONTH(U1475),"")</f>
        <v/>
      </c>
      <c r="AJ1475" s="86" t="str">
        <f>+IF(AG1475=$AJ$22,MONTH(V1475),"")</f>
        <v/>
      </c>
      <c r="AK1475" s="86" t="str">
        <f>+IF(AG1475=$AK$22,MONTH(V1475),"")</f>
        <v/>
      </c>
      <c r="AL1475" s="86" t="str">
        <f>+IF(AG1475=$AL$22,MONTH(V1475),"")</f>
        <v/>
      </c>
      <c r="AM1475" s="86" t="str">
        <f>+IF($AG1475=$AM$22,MONTH($D1475),"")</f>
        <v/>
      </c>
      <c r="AN1475" s="89">
        <f>+IF($AG1475=AN$22,MONTH($D1475),"")</f>
        <v>12</v>
      </c>
      <c r="AO1475" s="89" t="str">
        <f>+IF($AG1475=AO$22,MONTH($D1475),"")</f>
        <v/>
      </c>
      <c r="AP1475" s="89" t="str">
        <f>+IF($AG1475=AP$22,MONTH($D1475),"")</f>
        <v/>
      </c>
      <c r="AQ1475" s="89" t="str">
        <f>+IF($AG1475=AQ$22,MONTH($D1475),"")</f>
        <v/>
      </c>
      <c r="AR1475" s="89" t="str">
        <f>+IF($AG1475=AR$22,MONTH($D1475),"")</f>
        <v/>
      </c>
      <c r="AS1475" s="89" t="str">
        <f>+IF($AG1475=AS$22,MONTH($D1475),"")</f>
        <v/>
      </c>
      <c r="AT1475" s="89" t="str">
        <f>+IF($AG1475=AT$22,MONTH($D1475),"")</f>
        <v/>
      </c>
      <c r="AU1475" s="89" t="str">
        <f>+IF($AG1475=AU$22,MONTH($D1475),"")</f>
        <v/>
      </c>
      <c r="AV1475" s="89" t="str">
        <f>+IF($AG1475=AV$22,MONTH($D1475),"")</f>
        <v/>
      </c>
      <c r="AW1475" s="86" t="str">
        <f>+IF($AG1475=AW$22,MONTH($D1475),"")</f>
        <v/>
      </c>
      <c r="AX1475" s="86" t="str">
        <f>+IF($AG1475=AX$22,MONTH($D1475),"")</f>
        <v/>
      </c>
      <c r="AY1475" s="182"/>
      <c r="AZ1475" s="182"/>
      <c r="BA1475" s="182"/>
      <c r="BB1475" s="182"/>
      <c r="BC1475" s="182"/>
      <c r="BD1475" s="182"/>
      <c r="BE1475" s="182"/>
      <c r="BF1475" s="182"/>
      <c r="BG1475" s="182"/>
      <c r="BH1475" s="182"/>
      <c r="BI1475" s="182"/>
      <c r="BJ1475" s="89"/>
      <c r="BK1475" s="89"/>
      <c r="BL1475" s="89"/>
      <c r="BM1475" s="89"/>
      <c r="BN1475" s="89"/>
      <c r="BO1475" s="89"/>
      <c r="BP1475" s="89"/>
    </row>
    <row r="1476" spans="1:68" s="56" customFormat="1" ht="13.5" hidden="1">
      <c r="A1476" s="204" t="str">
        <f>+IFERROR(VALUE(MID(AB1476,4,4)),"")</f>
        <v/>
      </c>
      <c r="B1476" s="204">
        <f>VALUE(RIGHT(C1476,LEN(C1476)-2))</f>
        <v>1247</v>
      </c>
      <c r="C1476" s="74" t="s">
        <v>5491</v>
      </c>
      <c r="D1476" s="75">
        <v>44166</v>
      </c>
      <c r="E1476" s="70" t="s">
        <v>5492</v>
      </c>
      <c r="F1476" s="70" t="s">
        <v>5492</v>
      </c>
      <c r="G1476" s="68" t="s">
        <v>5493</v>
      </c>
      <c r="H1476" s="59"/>
      <c r="I1476" s="69" t="s">
        <v>5494</v>
      </c>
      <c r="J1476" s="69"/>
      <c r="K1476" s="68" t="s">
        <v>12</v>
      </c>
      <c r="L1476" s="69" t="s">
        <v>120</v>
      </c>
      <c r="M1476" s="71" t="s">
        <v>141</v>
      </c>
      <c r="N1476" s="69" t="e" vm="1">
        <v>#VALUE!</v>
      </c>
      <c r="O1476" s="84"/>
      <c r="P1476" s="72" t="s">
        <v>402</v>
      </c>
      <c r="Q1476" s="72"/>
      <c r="R1476" s="162"/>
      <c r="S1476" s="146"/>
      <c r="T1476" s="68" t="s">
        <v>165</v>
      </c>
      <c r="U1476" s="87">
        <v>0.01</v>
      </c>
      <c r="V1476" s="80">
        <v>44167</v>
      </c>
      <c r="W1476" s="73">
        <v>100</v>
      </c>
      <c r="X1476" s="73">
        <f>150.1*29000/1000000</f>
        <v>4.3529</v>
      </c>
      <c r="Y1476" s="83">
        <f>IF(SUM(W1476:W1476)&gt;0,X1476/SUM(W1476:W1476)*1000000,"N/A")</f>
        <v>43529</v>
      </c>
      <c r="Z1476" s="80"/>
      <c r="AA1476" s="80"/>
      <c r="AB1476" s="73"/>
      <c r="AC1476" s="153"/>
      <c r="AD1476" s="331"/>
      <c r="AE1476" s="57"/>
      <c r="AF1476" s="88"/>
      <c r="AG1476" s="182">
        <f>YEAR(D1476)</f>
        <v>2020</v>
      </c>
      <c r="AH1476" s="86" t="str">
        <f>+IF(AE1476=$AJ$22,MONTH(T1476),"")</f>
        <v/>
      </c>
      <c r="AI1476" s="86" t="str">
        <f>+IF(AF1476=$AJ$22,MONTH(U1476),"")</f>
        <v/>
      </c>
      <c r="AJ1476" s="86" t="str">
        <f>+IF(AG1476=$AJ$22,MONTH(V1476),"")</f>
        <v/>
      </c>
      <c r="AK1476" s="86" t="str">
        <f>+IF(AG1476=$AK$22,MONTH(V1476),"")</f>
        <v/>
      </c>
      <c r="AL1476" s="86" t="str">
        <f>+IF(AG1476=$AL$22,MONTH(V1476),"")</f>
        <v/>
      </c>
      <c r="AM1476" s="86" t="str">
        <f>+IF($AG1476=$AM$22,MONTH($D1476),"")</f>
        <v/>
      </c>
      <c r="AN1476" s="89">
        <f>+IF($AG1476=AN$22,MONTH($D1476),"")</f>
        <v>12</v>
      </c>
      <c r="AO1476" s="89" t="str">
        <f>+IF($AG1476=AO$22,MONTH($D1476),"")</f>
        <v/>
      </c>
      <c r="AP1476" s="89" t="str">
        <f>+IF($AG1476=AP$22,MONTH($D1476),"")</f>
        <v/>
      </c>
      <c r="AQ1476" s="89" t="str">
        <f>+IF($AG1476=AQ$22,MONTH($D1476),"")</f>
        <v/>
      </c>
      <c r="AR1476" s="89" t="str">
        <f>+IF($AG1476=AR$22,MONTH($D1476),"")</f>
        <v/>
      </c>
      <c r="AS1476" s="89" t="str">
        <f>+IF($AG1476=AS$22,MONTH($D1476),"")</f>
        <v/>
      </c>
      <c r="AT1476" s="89" t="str">
        <f>+IF($AG1476=AT$22,MONTH($D1476),"")</f>
        <v/>
      </c>
      <c r="AU1476" s="89" t="str">
        <f>+IF($AG1476=AU$22,MONTH($D1476),"")</f>
        <v/>
      </c>
      <c r="AV1476" s="89" t="str">
        <f>+IF($AG1476=AV$22,MONTH($D1476),"")</f>
        <v/>
      </c>
      <c r="AW1476" s="86" t="str">
        <f>+IF($AG1476=AW$22,MONTH($D1476),"")</f>
        <v/>
      </c>
      <c r="AX1476" s="86" t="str">
        <f>+IF($AG1476=AX$22,MONTH($D1476),"")</f>
        <v/>
      </c>
      <c r="AY1476" s="89"/>
      <c r="AZ1476" s="89"/>
      <c r="BA1476" s="89"/>
      <c r="BB1476" s="89"/>
      <c r="BC1476" s="89"/>
      <c r="BD1476" s="89"/>
      <c r="BE1476" s="89"/>
      <c r="BF1476" s="89"/>
      <c r="BG1476" s="89"/>
      <c r="BH1476" s="89"/>
      <c r="BI1476" s="89"/>
      <c r="BJ1476" s="89"/>
      <c r="BK1476" s="89"/>
      <c r="BL1476" s="89"/>
      <c r="BM1476" s="89"/>
      <c r="BN1476" s="89"/>
      <c r="BO1476" s="89"/>
      <c r="BP1476" s="89"/>
    </row>
    <row r="1477" spans="1:68" s="56" customFormat="1" ht="27" hidden="1">
      <c r="A1477" s="204" t="str">
        <f>+IFERROR(VALUE(MID(AB1477,4,4)),"")</f>
        <v/>
      </c>
      <c r="B1477" s="204">
        <f>VALUE(RIGHT(C1477,LEN(C1477)-2))</f>
        <v>1246</v>
      </c>
      <c r="C1477" s="74" t="s">
        <v>5495</v>
      </c>
      <c r="D1477" s="75">
        <v>44162</v>
      </c>
      <c r="E1477" s="70" t="s">
        <v>394</v>
      </c>
      <c r="F1477" s="70" t="s">
        <v>394</v>
      </c>
      <c r="G1477" s="68" t="s">
        <v>289</v>
      </c>
      <c r="H1477" s="59" t="s">
        <v>4800</v>
      </c>
      <c r="I1477" s="69" t="s">
        <v>5496</v>
      </c>
      <c r="J1477" s="69"/>
      <c r="K1477" s="68" t="s">
        <v>13</v>
      </c>
      <c r="L1477" s="69" t="s">
        <v>120</v>
      </c>
      <c r="M1477" s="71" t="s">
        <v>141</v>
      </c>
      <c r="N1477" s="69" t="e" vm="1">
        <v>#VALUE!</v>
      </c>
      <c r="O1477" s="84"/>
      <c r="P1477" s="72" t="s">
        <v>402</v>
      </c>
      <c r="Q1477" s="72"/>
      <c r="R1477" s="162"/>
      <c r="S1477" s="146"/>
      <c r="T1477" s="68" t="s">
        <v>165</v>
      </c>
      <c r="U1477" s="87"/>
      <c r="V1477" s="80">
        <v>44167</v>
      </c>
      <c r="W1477" s="73">
        <v>337</v>
      </c>
      <c r="X1477" s="73">
        <v>11.859287999999999</v>
      </c>
      <c r="Y1477" s="83">
        <f>IF(SUM(W1477:W1477)&gt;0,X1477/SUM(W1477:W1477)*1000000,"N/A")</f>
        <v>35190.765578635015</v>
      </c>
      <c r="Z1477" s="80"/>
      <c r="AA1477" s="80"/>
      <c r="AB1477" s="73"/>
      <c r="AC1477" s="153"/>
      <c r="AD1477" s="331"/>
      <c r="AE1477" s="57"/>
      <c r="AF1477" s="88"/>
      <c r="AG1477" s="182">
        <f>YEAR(D1477)</f>
        <v>2020</v>
      </c>
      <c r="AH1477" s="86" t="str">
        <f>+IF(AE1477=$AJ$22,MONTH(T1477),"")</f>
        <v/>
      </c>
      <c r="AI1477" s="86" t="str">
        <f>+IF(AF1477=$AJ$22,MONTH(U1477),"")</f>
        <v/>
      </c>
      <c r="AJ1477" s="86" t="str">
        <f>+IF(AG1477=$AJ$22,MONTH(V1477),"")</f>
        <v/>
      </c>
      <c r="AK1477" s="86" t="str">
        <f>+IF(AG1477=$AK$22,MONTH(V1477),"")</f>
        <v/>
      </c>
      <c r="AL1477" s="86" t="str">
        <f>+IF(AG1477=$AL$22,MONTH(V1477),"")</f>
        <v/>
      </c>
      <c r="AM1477" s="86" t="str">
        <f>+IF($AG1477=$AM$22,MONTH($D1477),"")</f>
        <v/>
      </c>
      <c r="AN1477" s="89">
        <f>+IF($AG1477=AN$22,MONTH($D1477),"")</f>
        <v>11</v>
      </c>
      <c r="AO1477" s="89" t="str">
        <f>+IF($AG1477=AO$22,MONTH($D1477),"")</f>
        <v/>
      </c>
      <c r="AP1477" s="89" t="str">
        <f>+IF($AG1477=AP$22,MONTH($D1477),"")</f>
        <v/>
      </c>
      <c r="AQ1477" s="89" t="str">
        <f>+IF($AG1477=AQ$22,MONTH($D1477),"")</f>
        <v/>
      </c>
      <c r="AR1477" s="89" t="str">
        <f>+IF($AG1477=AR$22,MONTH($D1477),"")</f>
        <v/>
      </c>
      <c r="AS1477" s="89" t="str">
        <f>+IF($AG1477=AS$22,MONTH($D1477),"")</f>
        <v/>
      </c>
      <c r="AT1477" s="89" t="str">
        <f>+IF($AG1477=AT$22,MONTH($D1477),"")</f>
        <v/>
      </c>
      <c r="AU1477" s="89" t="str">
        <f>+IF($AG1477=AU$22,MONTH($D1477),"")</f>
        <v/>
      </c>
      <c r="AV1477" s="89" t="str">
        <f>+IF($AG1477=AV$22,MONTH($D1477),"")</f>
        <v/>
      </c>
      <c r="AW1477" s="86" t="str">
        <f>+IF($AG1477=AW$22,MONTH($D1477),"")</f>
        <v/>
      </c>
      <c r="AX1477" s="86" t="str">
        <f>+IF($AG1477=AX$22,MONTH($D1477),"")</f>
        <v/>
      </c>
      <c r="AY1477" s="89"/>
      <c r="AZ1477" s="89"/>
      <c r="BA1477" s="89"/>
      <c r="BB1477" s="89"/>
      <c r="BC1477" s="89"/>
      <c r="BD1477" s="89"/>
      <c r="BE1477" s="89"/>
      <c r="BF1477" s="89"/>
      <c r="BG1477" s="89"/>
      <c r="BH1477" s="89"/>
      <c r="BI1477" s="89"/>
      <c r="BJ1477" s="89"/>
      <c r="BK1477" s="89"/>
      <c r="BL1477" s="89"/>
      <c r="BM1477" s="89"/>
      <c r="BN1477" s="89"/>
      <c r="BO1477" s="89"/>
      <c r="BP1477" s="89"/>
    </row>
    <row r="1478" spans="1:68" s="56" customFormat="1" ht="13.5" hidden="1">
      <c r="A1478" s="204">
        <f>+IFERROR(VALUE(MID(AB1478,4,4)),"")</f>
        <v>258</v>
      </c>
      <c r="B1478" s="204">
        <f>VALUE(RIGHT(C1478,LEN(C1478)-2))</f>
        <v>1245</v>
      </c>
      <c r="C1478" s="74" t="s">
        <v>5497</v>
      </c>
      <c r="D1478" s="75">
        <v>44162</v>
      </c>
      <c r="E1478" s="70" t="s">
        <v>394</v>
      </c>
      <c r="F1478" s="70" t="s">
        <v>394</v>
      </c>
      <c r="G1478" s="68"/>
      <c r="H1478" s="59"/>
      <c r="I1478" s="69" t="s">
        <v>5498</v>
      </c>
      <c r="J1478" s="69"/>
      <c r="K1478" s="68" t="s">
        <v>13</v>
      </c>
      <c r="L1478" s="69" t="s">
        <v>120</v>
      </c>
      <c r="M1478" s="71" t="s">
        <v>141</v>
      </c>
      <c r="N1478" s="69" t="e" vm="1">
        <v>#VALUE!</v>
      </c>
      <c r="O1478" s="84"/>
      <c r="P1478" s="72" t="s">
        <v>402</v>
      </c>
      <c r="Q1478" s="72" t="s">
        <v>1097</v>
      </c>
      <c r="R1478" s="162"/>
      <c r="S1478" s="146"/>
      <c r="T1478" s="68" t="s">
        <v>3</v>
      </c>
      <c r="U1478" s="87"/>
      <c r="V1478" s="80">
        <v>44167</v>
      </c>
      <c r="W1478" s="73">
        <v>250</v>
      </c>
      <c r="X1478" s="73">
        <v>8.8146939999999994</v>
      </c>
      <c r="Y1478" s="83">
        <f>IF(SUM(W1478:W1478)&gt;0,X1478/SUM(W1478:W1478)*1000000,"N/A")</f>
        <v>35258.775999999998</v>
      </c>
      <c r="Z1478" s="80"/>
      <c r="AA1478" s="80"/>
      <c r="AB1478" s="73" t="s">
        <v>5499</v>
      </c>
      <c r="AC1478" s="153"/>
      <c r="AD1478" s="331"/>
      <c r="AE1478" s="57"/>
      <c r="AF1478" s="88"/>
      <c r="AG1478" s="182">
        <f>YEAR(D1478)</f>
        <v>2020</v>
      </c>
      <c r="AH1478" s="86" t="str">
        <f>+IF(AE1478=$AJ$22,MONTH(T1478),"")</f>
        <v/>
      </c>
      <c r="AI1478" s="86" t="str">
        <f>+IF(AF1478=$AJ$22,MONTH(U1478),"")</f>
        <v/>
      </c>
      <c r="AJ1478" s="86" t="str">
        <f>+IF(AG1478=$AJ$22,MONTH(V1478),"")</f>
        <v/>
      </c>
      <c r="AK1478" s="86" t="str">
        <f>+IF(AG1478=$AK$22,MONTH(V1478),"")</f>
        <v/>
      </c>
      <c r="AL1478" s="86" t="str">
        <f>+IF(AG1478=$AL$22,MONTH(V1478),"")</f>
        <v/>
      </c>
      <c r="AM1478" s="86" t="str">
        <f>+IF($AG1478=$AM$22,MONTH($D1478),"")</f>
        <v/>
      </c>
      <c r="AN1478" s="89">
        <f>+IF($AG1478=AN$22,MONTH($D1478),"")</f>
        <v>11</v>
      </c>
      <c r="AO1478" s="89" t="str">
        <f>+IF($AG1478=AO$22,MONTH($D1478),"")</f>
        <v/>
      </c>
      <c r="AP1478" s="89" t="str">
        <f>+IF($AG1478=AP$22,MONTH($D1478),"")</f>
        <v/>
      </c>
      <c r="AQ1478" s="89" t="str">
        <f>+IF($AG1478=AQ$22,MONTH($D1478),"")</f>
        <v/>
      </c>
      <c r="AR1478" s="89" t="str">
        <f>+IF($AG1478=AR$22,MONTH($D1478),"")</f>
        <v/>
      </c>
      <c r="AS1478" s="89" t="str">
        <f>+IF($AG1478=AS$22,MONTH($D1478),"")</f>
        <v/>
      </c>
      <c r="AT1478" s="89" t="str">
        <f>+IF($AG1478=AT$22,MONTH($D1478),"")</f>
        <v/>
      </c>
      <c r="AU1478" s="89" t="str">
        <f>+IF($AG1478=AU$22,MONTH($D1478),"")</f>
        <v/>
      </c>
      <c r="AV1478" s="89" t="str">
        <f>+IF($AG1478=AV$22,MONTH($D1478),"")</f>
        <v/>
      </c>
      <c r="AW1478" s="86" t="str">
        <f>+IF($AG1478=AW$22,MONTH($D1478),"")</f>
        <v/>
      </c>
      <c r="AX1478" s="86" t="str">
        <f>+IF($AG1478=AX$22,MONTH($D1478),"")</f>
        <v/>
      </c>
      <c r="AY1478" s="182"/>
      <c r="AZ1478" s="182"/>
      <c r="BA1478" s="182"/>
      <c r="BB1478" s="182"/>
      <c r="BC1478" s="182"/>
      <c r="BD1478" s="182"/>
      <c r="BE1478" s="182"/>
      <c r="BF1478" s="182"/>
      <c r="BG1478" s="182"/>
      <c r="BH1478" s="182"/>
      <c r="BI1478" s="182"/>
      <c r="BJ1478" s="89"/>
      <c r="BK1478" s="89"/>
      <c r="BL1478" s="89"/>
      <c r="BM1478" s="89"/>
      <c r="BN1478" s="89"/>
      <c r="BO1478" s="89"/>
      <c r="BP1478" s="89"/>
    </row>
    <row r="1479" spans="1:68" s="56" customFormat="1" ht="13.5" hidden="1">
      <c r="A1479" s="204">
        <f>+IFERROR(VALUE(MID(AB1479,4,4)),"")</f>
        <v>257</v>
      </c>
      <c r="B1479" s="204">
        <f>VALUE(RIGHT(C1479,LEN(C1479)-2))</f>
        <v>1244</v>
      </c>
      <c r="C1479" s="74" t="s">
        <v>5500</v>
      </c>
      <c r="D1479" s="75">
        <v>44160</v>
      </c>
      <c r="E1479" s="70" t="s">
        <v>4827</v>
      </c>
      <c r="F1479" s="70" t="s">
        <v>4827</v>
      </c>
      <c r="G1479" s="68"/>
      <c r="H1479" s="59"/>
      <c r="I1479" s="69" t="s">
        <v>5501</v>
      </c>
      <c r="J1479" s="69"/>
      <c r="K1479" s="68" t="s">
        <v>13</v>
      </c>
      <c r="L1479" s="69" t="s">
        <v>120</v>
      </c>
      <c r="M1479" s="71" t="s">
        <v>113</v>
      </c>
      <c r="N1479" s="69" t="e" vm="7">
        <v>#VALUE!</v>
      </c>
      <c r="O1479" s="84"/>
      <c r="P1479" s="72" t="s">
        <v>402</v>
      </c>
      <c r="Q1479" s="72" t="s">
        <v>623</v>
      </c>
      <c r="R1479" s="162"/>
      <c r="S1479" s="146"/>
      <c r="T1479" s="68" t="s">
        <v>3</v>
      </c>
      <c r="U1479" s="87"/>
      <c r="V1479" s="80">
        <v>44161</v>
      </c>
      <c r="W1479" s="73">
        <f>300000/200</f>
        <v>1500</v>
      </c>
      <c r="X1479" s="73">
        <f>300000*700/1000000</f>
        <v>210</v>
      </c>
      <c r="Y1479" s="83">
        <f>IF(SUM(W1479:W1479)&gt;0,X1479/SUM(W1479:W1479)*1000000,"N/A")</f>
        <v>140000</v>
      </c>
      <c r="Z1479" s="80"/>
      <c r="AA1479" s="80"/>
      <c r="AB1479" s="73" t="s">
        <v>5502</v>
      </c>
      <c r="AC1479" s="153"/>
      <c r="AD1479" s="331"/>
      <c r="AE1479" s="57"/>
      <c r="AF1479" s="88"/>
      <c r="AG1479" s="182">
        <f>YEAR(D1479)</f>
        <v>2020</v>
      </c>
      <c r="AH1479" s="86" t="str">
        <f>+IF(AE1479=$AJ$22,MONTH(T1479),"")</f>
        <v/>
      </c>
      <c r="AI1479" s="86" t="str">
        <f>+IF(AF1479=$AJ$22,MONTH(U1479),"")</f>
        <v/>
      </c>
      <c r="AJ1479" s="86" t="str">
        <f>+IF(AG1479=$AJ$22,MONTH(V1479),"")</f>
        <v/>
      </c>
      <c r="AK1479" s="86" t="str">
        <f>+IF(AG1479=$AK$22,MONTH(V1479),"")</f>
        <v/>
      </c>
      <c r="AL1479" s="86" t="str">
        <f>+IF(AG1479=$AL$22,MONTH(V1479),"")</f>
        <v/>
      </c>
      <c r="AM1479" s="86" t="str">
        <f>+IF($AG1479=$AM$22,MONTH($D1479),"")</f>
        <v/>
      </c>
      <c r="AN1479" s="89">
        <f>+IF($AG1479=AN$22,MONTH($D1479),"")</f>
        <v>11</v>
      </c>
      <c r="AO1479" s="89" t="str">
        <f>+IF($AG1479=AO$22,MONTH($D1479),"")</f>
        <v/>
      </c>
      <c r="AP1479" s="89" t="str">
        <f>+IF($AG1479=AP$22,MONTH($D1479),"")</f>
        <v/>
      </c>
      <c r="AQ1479" s="89" t="str">
        <f>+IF($AG1479=AQ$22,MONTH($D1479),"")</f>
        <v/>
      </c>
      <c r="AR1479" s="89" t="str">
        <f>+IF($AG1479=AR$22,MONTH($D1479),"")</f>
        <v/>
      </c>
      <c r="AS1479" s="89" t="str">
        <f>+IF($AG1479=AS$22,MONTH($D1479),"")</f>
        <v/>
      </c>
      <c r="AT1479" s="89" t="str">
        <f>+IF($AG1479=AT$22,MONTH($D1479),"")</f>
        <v/>
      </c>
      <c r="AU1479" s="89" t="str">
        <f>+IF($AG1479=AU$22,MONTH($D1479),"")</f>
        <v/>
      </c>
      <c r="AV1479" s="89" t="str">
        <f>+IF($AG1479=AV$22,MONTH($D1479),"")</f>
        <v/>
      </c>
      <c r="AW1479" s="86" t="str">
        <f>+IF($AG1479=AW$22,MONTH($D1479),"")</f>
        <v/>
      </c>
      <c r="AX1479" s="86" t="str">
        <f>+IF($AG1479=AX$22,MONTH($D1479),"")</f>
        <v/>
      </c>
      <c r="AY1479" s="89"/>
      <c r="AZ1479" s="89"/>
      <c r="BA1479" s="89"/>
      <c r="BB1479" s="89"/>
      <c r="BC1479" s="89"/>
      <c r="BD1479" s="89"/>
      <c r="BE1479" s="89"/>
      <c r="BF1479" s="89"/>
      <c r="BG1479" s="89"/>
      <c r="BH1479" s="89"/>
      <c r="BI1479" s="89"/>
      <c r="BJ1479" s="89"/>
      <c r="BK1479" s="89"/>
      <c r="BL1479" s="89"/>
      <c r="BM1479" s="89"/>
      <c r="BN1479" s="89"/>
      <c r="BO1479" s="89"/>
      <c r="BP1479" s="89"/>
    </row>
    <row r="1480" spans="1:68" s="56" customFormat="1" ht="13.5" hidden="1">
      <c r="A1480" s="204" t="str">
        <f>+IFERROR(VALUE(MID(AB1480,4,4)),"")</f>
        <v/>
      </c>
      <c r="B1480" s="204">
        <f>VALUE(RIGHT(C1480,LEN(C1480)-2))</f>
        <v>1243</v>
      </c>
      <c r="C1480" s="74" t="s">
        <v>5503</v>
      </c>
      <c r="D1480" s="75">
        <v>44155</v>
      </c>
      <c r="E1480" s="70" t="s">
        <v>1546</v>
      </c>
      <c r="F1480" s="70" t="s">
        <v>53</v>
      </c>
      <c r="G1480" s="68" t="s">
        <v>5504</v>
      </c>
      <c r="H1480" s="59"/>
      <c r="I1480" s="69" t="s">
        <v>5505</v>
      </c>
      <c r="J1480" s="69"/>
      <c r="K1480" s="68" t="s">
        <v>9</v>
      </c>
      <c r="L1480" s="69" t="s">
        <v>129</v>
      </c>
      <c r="M1480" s="71" t="s">
        <v>141</v>
      </c>
      <c r="N1480" s="69" t="e" vm="1">
        <v>#VALUE!</v>
      </c>
      <c r="O1480" s="84"/>
      <c r="P1480" s="72" t="s">
        <v>402</v>
      </c>
      <c r="Q1480" s="72"/>
      <c r="R1480" s="162"/>
      <c r="S1480" s="146"/>
      <c r="T1480" s="68" t="s">
        <v>165</v>
      </c>
      <c r="U1480" s="87"/>
      <c r="V1480" s="80">
        <v>44193</v>
      </c>
      <c r="W1480" s="73">
        <v>755</v>
      </c>
      <c r="X1480" s="73">
        <f>1109*29000/1000000</f>
        <v>32.161000000000001</v>
      </c>
      <c r="Y1480" s="83">
        <f>IF(SUM(W1480:W1480)&gt;0,X1480/SUM(W1480:W1480)*1000000,"N/A")</f>
        <v>42597.350993377484</v>
      </c>
      <c r="Z1480" s="80"/>
      <c r="AA1480" s="80"/>
      <c r="AB1480" s="73"/>
      <c r="AC1480" s="153"/>
      <c r="AD1480" s="331"/>
      <c r="AE1480" s="57"/>
      <c r="AF1480" s="88"/>
      <c r="AG1480" s="182">
        <f>YEAR(D1480)</f>
        <v>2020</v>
      </c>
      <c r="AH1480" s="86" t="str">
        <f>+IF(AE1480=$AJ$22,MONTH(T1480),"")</f>
        <v/>
      </c>
      <c r="AI1480" s="86" t="str">
        <f>+IF(AF1480=$AJ$22,MONTH(U1480),"")</f>
        <v/>
      </c>
      <c r="AJ1480" s="86" t="str">
        <f>+IF(AG1480=$AJ$22,MONTH(V1480),"")</f>
        <v/>
      </c>
      <c r="AK1480" s="86" t="str">
        <f>+IF(AG1480=$AK$22,MONTH(V1480),"")</f>
        <v/>
      </c>
      <c r="AL1480" s="86" t="str">
        <f>+IF(AG1480=$AL$22,MONTH(V1480),"")</f>
        <v/>
      </c>
      <c r="AM1480" s="86" t="str">
        <f>+IF($AG1480=$AM$22,MONTH($D1480),"")</f>
        <v/>
      </c>
      <c r="AN1480" s="89">
        <f>+IF($AG1480=AN$22,MONTH($D1480),"")</f>
        <v>11</v>
      </c>
      <c r="AO1480" s="89" t="str">
        <f>+IF($AG1480=AO$22,MONTH($D1480),"")</f>
        <v/>
      </c>
      <c r="AP1480" s="89" t="str">
        <f>+IF($AG1480=AP$22,MONTH($D1480),"")</f>
        <v/>
      </c>
      <c r="AQ1480" s="89" t="str">
        <f>+IF($AG1480=AQ$22,MONTH($D1480),"")</f>
        <v/>
      </c>
      <c r="AR1480" s="89" t="str">
        <f>+IF($AG1480=AR$22,MONTH($D1480),"")</f>
        <v/>
      </c>
      <c r="AS1480" s="89" t="str">
        <f>+IF($AG1480=AS$22,MONTH($D1480),"")</f>
        <v/>
      </c>
      <c r="AT1480" s="89" t="str">
        <f>+IF($AG1480=AT$22,MONTH($D1480),"")</f>
        <v/>
      </c>
      <c r="AU1480" s="89" t="str">
        <f>+IF($AG1480=AU$22,MONTH($D1480),"")</f>
        <v/>
      </c>
      <c r="AV1480" s="89" t="str">
        <f>+IF($AG1480=AV$22,MONTH($D1480),"")</f>
        <v/>
      </c>
      <c r="AW1480" s="86" t="str">
        <f>+IF($AG1480=AW$22,MONTH($D1480),"")</f>
        <v/>
      </c>
      <c r="AX1480" s="86" t="str">
        <f>+IF($AG1480=AX$22,MONTH($D1480),"")</f>
        <v/>
      </c>
      <c r="AY1480" s="89"/>
      <c r="AZ1480" s="89"/>
      <c r="BA1480" s="89"/>
      <c r="BB1480" s="89"/>
      <c r="BC1480" s="89"/>
      <c r="BD1480" s="89"/>
      <c r="BE1480" s="89"/>
      <c r="BF1480" s="89"/>
      <c r="BG1480" s="89"/>
      <c r="BH1480" s="89"/>
      <c r="BI1480" s="89"/>
      <c r="BJ1480" s="89"/>
      <c r="BK1480" s="89"/>
      <c r="BL1480" s="89"/>
      <c r="BM1480" s="89"/>
      <c r="BN1480" s="89"/>
      <c r="BO1480" s="89"/>
      <c r="BP1480" s="89"/>
    </row>
    <row r="1481" spans="1:68" s="56" customFormat="1" ht="13.5" hidden="1">
      <c r="A1481" s="204" t="str">
        <f>+IFERROR(VALUE(MID(AB1481,4,4)),"")</f>
        <v/>
      </c>
      <c r="B1481" s="204">
        <f>VALUE(RIGHT(C1481,LEN(C1481)-2))</f>
        <v>1242</v>
      </c>
      <c r="C1481" s="74" t="s">
        <v>5506</v>
      </c>
      <c r="D1481" s="75">
        <v>44153</v>
      </c>
      <c r="E1481" s="70" t="s">
        <v>2961</v>
      </c>
      <c r="F1481" s="70" t="s">
        <v>3873</v>
      </c>
      <c r="G1481" s="68" t="s">
        <v>364</v>
      </c>
      <c r="H1481" s="59"/>
      <c r="I1481" s="69" t="s">
        <v>5507</v>
      </c>
      <c r="J1481" s="69"/>
      <c r="K1481" s="68"/>
      <c r="L1481" s="69" t="s">
        <v>129</v>
      </c>
      <c r="M1481" s="71" t="s">
        <v>141</v>
      </c>
      <c r="N1481" s="69" t="e" vm="1">
        <v>#VALUE!</v>
      </c>
      <c r="O1481" s="84"/>
      <c r="P1481" s="72" t="s">
        <v>402</v>
      </c>
      <c r="Q1481" s="72"/>
      <c r="R1481" s="162"/>
      <c r="S1481" s="146"/>
      <c r="T1481" s="68" t="s">
        <v>165</v>
      </c>
      <c r="U1481" s="87"/>
      <c r="V1481" s="80">
        <v>44160</v>
      </c>
      <c r="W1481" s="73">
        <v>386</v>
      </c>
      <c r="X1481" s="73">
        <f>428*28900/1000000</f>
        <v>12.369199999999999</v>
      </c>
      <c r="Y1481" s="83">
        <f>IF(SUM(W1481:W1481)&gt;0,X1481/SUM(W1481:W1481)*1000000,"N/A")</f>
        <v>32044.559585492225</v>
      </c>
      <c r="Z1481" s="80"/>
      <c r="AA1481" s="80"/>
      <c r="AB1481" s="73"/>
      <c r="AC1481" s="153"/>
      <c r="AD1481" s="331"/>
      <c r="AE1481" s="57"/>
      <c r="AF1481" s="88"/>
      <c r="AG1481" s="182">
        <f>YEAR(D1481)</f>
        <v>2020</v>
      </c>
      <c r="AH1481" s="86" t="str">
        <f>+IF(AE1481=$AJ$22,MONTH(T1481),"")</f>
        <v/>
      </c>
      <c r="AI1481" s="86" t="str">
        <f>+IF(AF1481=$AJ$22,MONTH(U1481),"")</f>
        <v/>
      </c>
      <c r="AJ1481" s="86" t="str">
        <f>+IF(AG1481=$AJ$22,MONTH(V1481),"")</f>
        <v/>
      </c>
      <c r="AK1481" s="86" t="str">
        <f>+IF(AG1481=$AK$22,MONTH(V1481),"")</f>
        <v/>
      </c>
      <c r="AL1481" s="86" t="str">
        <f>+IF(AG1481=$AL$22,MONTH(V1481),"")</f>
        <v/>
      </c>
      <c r="AM1481" s="86" t="str">
        <f>+IF($AG1481=$AM$22,MONTH($D1481),"")</f>
        <v/>
      </c>
      <c r="AN1481" s="89">
        <f>+IF($AG1481=AN$22,MONTH($D1481),"")</f>
        <v>11</v>
      </c>
      <c r="AO1481" s="89" t="str">
        <f>+IF($AG1481=AO$22,MONTH($D1481),"")</f>
        <v/>
      </c>
      <c r="AP1481" s="89" t="str">
        <f>+IF($AG1481=AP$22,MONTH($D1481),"")</f>
        <v/>
      </c>
      <c r="AQ1481" s="89" t="str">
        <f>+IF($AG1481=AQ$22,MONTH($D1481),"")</f>
        <v/>
      </c>
      <c r="AR1481" s="89" t="str">
        <f>+IF($AG1481=AR$22,MONTH($D1481),"")</f>
        <v/>
      </c>
      <c r="AS1481" s="89" t="str">
        <f>+IF($AG1481=AS$22,MONTH($D1481),"")</f>
        <v/>
      </c>
      <c r="AT1481" s="89" t="str">
        <f>+IF($AG1481=AT$22,MONTH($D1481),"")</f>
        <v/>
      </c>
      <c r="AU1481" s="89" t="str">
        <f>+IF($AG1481=AU$22,MONTH($D1481),"")</f>
        <v/>
      </c>
      <c r="AV1481" s="89" t="str">
        <f>+IF($AG1481=AV$22,MONTH($D1481),"")</f>
        <v/>
      </c>
      <c r="AW1481" s="86" t="str">
        <f>+IF($AG1481=AW$22,MONTH($D1481),"")</f>
        <v/>
      </c>
      <c r="AX1481" s="86" t="str">
        <f>+IF($AG1481=AX$22,MONTH($D1481),"")</f>
        <v/>
      </c>
      <c r="AY1481" s="89"/>
      <c r="AZ1481" s="89"/>
      <c r="BA1481" s="89"/>
      <c r="BB1481" s="89"/>
      <c r="BC1481" s="89"/>
      <c r="BD1481" s="89"/>
      <c r="BE1481" s="89"/>
      <c r="BF1481" s="89"/>
      <c r="BG1481" s="89"/>
      <c r="BH1481" s="89"/>
      <c r="BI1481" s="89"/>
      <c r="BJ1481" s="89"/>
      <c r="BK1481" s="89"/>
      <c r="BL1481" s="89"/>
      <c r="BM1481" s="89"/>
      <c r="BN1481" s="89"/>
      <c r="BO1481" s="89"/>
      <c r="BP1481" s="89"/>
    </row>
    <row r="1482" spans="1:68" s="56" customFormat="1" ht="27" hidden="1">
      <c r="A1482" s="204" t="str">
        <f>+IFERROR(VALUE(MID(AB1482,4,4)),"")</f>
        <v/>
      </c>
      <c r="B1482" s="204">
        <f>VALUE(RIGHT(C1482,LEN(C1482)-2))</f>
        <v>1241</v>
      </c>
      <c r="C1482" s="74" t="s">
        <v>5508</v>
      </c>
      <c r="D1482" s="75">
        <v>44152</v>
      </c>
      <c r="E1482" s="70" t="s">
        <v>60</v>
      </c>
      <c r="F1482" s="70" t="s">
        <v>354</v>
      </c>
      <c r="G1482" s="68"/>
      <c r="H1482" s="59"/>
      <c r="I1482" s="69" t="s">
        <v>5509</v>
      </c>
      <c r="J1482" s="69"/>
      <c r="K1482" s="68" t="s">
        <v>13</v>
      </c>
      <c r="L1482" s="69" t="s">
        <v>123</v>
      </c>
      <c r="M1482" s="71" t="s">
        <v>141</v>
      </c>
      <c r="N1482" s="69" t="e" vm="1">
        <v>#VALUE!</v>
      </c>
      <c r="O1482" s="84"/>
      <c r="P1482" s="72" t="s">
        <v>402</v>
      </c>
      <c r="Q1482" s="72"/>
      <c r="R1482" s="162"/>
      <c r="S1482" s="146" t="s">
        <v>4983</v>
      </c>
      <c r="T1482" s="68" t="s">
        <v>155</v>
      </c>
      <c r="U1482" s="87"/>
      <c r="V1482" s="80"/>
      <c r="W1482" s="73"/>
      <c r="X1482" s="73"/>
      <c r="Y1482" s="83" t="str">
        <f>IF(SUM(W1482:W1482)&gt;0,X1482/SUM(W1482:W1482)*1000000,"N/A")</f>
        <v>N/A</v>
      </c>
      <c r="Z1482" s="80"/>
      <c r="AA1482" s="80"/>
      <c r="AB1482" s="73"/>
      <c r="AC1482" s="153"/>
      <c r="AD1482" s="331"/>
      <c r="AE1482" s="57"/>
      <c r="AF1482" s="88"/>
      <c r="AG1482" s="182">
        <f>YEAR(D1482)</f>
        <v>2020</v>
      </c>
      <c r="AH1482" s="86" t="str">
        <f>+IF(AE1482=$AJ$22,MONTH(T1482),"")</f>
        <v/>
      </c>
      <c r="AI1482" s="86" t="str">
        <f>+IF(AF1482=$AJ$22,MONTH(U1482),"")</f>
        <v/>
      </c>
      <c r="AJ1482" s="86" t="str">
        <f>+IF(AG1482=$AJ$22,MONTH(V1482),"")</f>
        <v/>
      </c>
      <c r="AK1482" s="86" t="str">
        <f>+IF(AG1482=$AK$22,MONTH(V1482),"")</f>
        <v/>
      </c>
      <c r="AL1482" s="86" t="str">
        <f>+IF(AG1482=$AL$22,MONTH(V1482),"")</f>
        <v/>
      </c>
      <c r="AM1482" s="86" t="str">
        <f>+IF($AG1482=$AM$22,MONTH($D1482),"")</f>
        <v/>
      </c>
      <c r="AN1482" s="89">
        <f>+IF($AG1482=AN$22,MONTH($D1482),"")</f>
        <v>11</v>
      </c>
      <c r="AO1482" s="89" t="str">
        <f>+IF($AG1482=AO$22,MONTH($D1482),"")</f>
        <v/>
      </c>
      <c r="AP1482" s="89" t="str">
        <f>+IF($AG1482=AP$22,MONTH($D1482),"")</f>
        <v/>
      </c>
      <c r="AQ1482" s="89" t="str">
        <f>+IF($AG1482=AQ$22,MONTH($D1482),"")</f>
        <v/>
      </c>
      <c r="AR1482" s="89" t="str">
        <f>+IF($AG1482=AR$22,MONTH($D1482),"")</f>
        <v/>
      </c>
      <c r="AS1482" s="89" t="str">
        <f>+IF($AG1482=AS$22,MONTH($D1482),"")</f>
        <v/>
      </c>
      <c r="AT1482" s="89" t="str">
        <f>+IF($AG1482=AT$22,MONTH($D1482),"")</f>
        <v/>
      </c>
      <c r="AU1482" s="89" t="str">
        <f>+IF($AG1482=AU$22,MONTH($D1482),"")</f>
        <v/>
      </c>
      <c r="AV1482" s="89" t="str">
        <f>+IF($AG1482=AV$22,MONTH($D1482),"")</f>
        <v/>
      </c>
      <c r="AW1482" s="86" t="str">
        <f>+IF($AG1482=AW$22,MONTH($D1482),"")</f>
        <v/>
      </c>
      <c r="AX1482" s="86" t="str">
        <f>+IF($AG1482=AX$22,MONTH($D1482),"")</f>
        <v/>
      </c>
      <c r="AY1482" s="89"/>
      <c r="AZ1482" s="89"/>
      <c r="BA1482" s="89"/>
      <c r="BB1482" s="89"/>
      <c r="BC1482" s="89"/>
      <c r="BD1482" s="89"/>
      <c r="BE1482" s="89"/>
      <c r="BF1482" s="89"/>
      <c r="BG1482" s="89"/>
      <c r="BH1482" s="89"/>
      <c r="BI1482" s="89"/>
      <c r="BJ1482" s="89"/>
      <c r="BK1482" s="89"/>
      <c r="BL1482" s="89"/>
      <c r="BM1482" s="89"/>
      <c r="BN1482" s="89"/>
      <c r="BO1482" s="89"/>
      <c r="BP1482" s="89"/>
    </row>
    <row r="1483" spans="1:68" s="56" customFormat="1" ht="27" hidden="1">
      <c r="A1483" s="204" t="str">
        <f>+IFERROR(VALUE(MID(AB1483,4,4)),"")</f>
        <v/>
      </c>
      <c r="B1483" s="204">
        <f>VALUE(RIGHT(C1483,LEN(C1483)-2))</f>
        <v>1240</v>
      </c>
      <c r="C1483" s="74" t="s">
        <v>5510</v>
      </c>
      <c r="D1483" s="75">
        <v>44152</v>
      </c>
      <c r="E1483" s="70" t="s">
        <v>5511</v>
      </c>
      <c r="F1483" s="70" t="s">
        <v>5512</v>
      </c>
      <c r="G1483" s="68"/>
      <c r="H1483" s="59"/>
      <c r="I1483" s="69" t="s">
        <v>5513</v>
      </c>
      <c r="J1483" s="69"/>
      <c r="K1483" s="68" t="s">
        <v>31</v>
      </c>
      <c r="L1483" s="69" t="s">
        <v>120</v>
      </c>
      <c r="M1483" s="71" t="s">
        <v>141</v>
      </c>
      <c r="N1483" s="69" t="e" vm="1">
        <v>#VALUE!</v>
      </c>
      <c r="O1483" s="84">
        <v>44152</v>
      </c>
      <c r="P1483" s="72" t="s">
        <v>4567</v>
      </c>
      <c r="Q1483" s="72"/>
      <c r="R1483" s="162"/>
      <c r="S1483" s="146"/>
      <c r="T1483" s="68" t="s">
        <v>165</v>
      </c>
      <c r="U1483" s="87"/>
      <c r="V1483" s="80">
        <v>44160</v>
      </c>
      <c r="W1483" s="73">
        <f>460/2</f>
        <v>230</v>
      </c>
      <c r="X1483" s="73">
        <f>460*28900/1000000</f>
        <v>13.294</v>
      </c>
      <c r="Y1483" s="83">
        <f>IF(SUM(W1483:W1483)&gt;0,X1483/SUM(W1483:W1483)*1000000,"N/A")</f>
        <v>57800.000000000007</v>
      </c>
      <c r="Z1483" s="80"/>
      <c r="AA1483" s="80"/>
      <c r="AB1483" s="73"/>
      <c r="AC1483" s="153"/>
      <c r="AD1483" s="331"/>
      <c r="AE1483" s="57"/>
      <c r="AF1483" s="88"/>
      <c r="AG1483" s="182">
        <f>YEAR(D1483)</f>
        <v>2020</v>
      </c>
      <c r="AH1483" s="86" t="str">
        <f>+IF(AE1483=$AJ$22,MONTH(T1483),"")</f>
        <v/>
      </c>
      <c r="AI1483" s="86" t="str">
        <f>+IF(AF1483=$AJ$22,MONTH(U1483),"")</f>
        <v/>
      </c>
      <c r="AJ1483" s="86" t="str">
        <f>+IF(AG1483=$AJ$22,MONTH(V1483),"")</f>
        <v/>
      </c>
      <c r="AK1483" s="86" t="str">
        <f>+IF(AG1483=$AK$22,MONTH(V1483),"")</f>
        <v/>
      </c>
      <c r="AL1483" s="86" t="str">
        <f>+IF(AG1483=$AL$22,MONTH(V1483),"")</f>
        <v/>
      </c>
      <c r="AM1483" s="86" t="str">
        <f>+IF($AG1483=$AM$22,MONTH($D1483),"")</f>
        <v/>
      </c>
      <c r="AN1483" s="89">
        <f>+IF($AG1483=AN$22,MONTH($D1483),"")</f>
        <v>11</v>
      </c>
      <c r="AO1483" s="89" t="str">
        <f>+IF($AG1483=AO$22,MONTH($D1483),"")</f>
        <v/>
      </c>
      <c r="AP1483" s="89" t="str">
        <f>+IF($AG1483=AP$22,MONTH($D1483),"")</f>
        <v/>
      </c>
      <c r="AQ1483" s="89" t="str">
        <f>+IF($AG1483=AQ$22,MONTH($D1483),"")</f>
        <v/>
      </c>
      <c r="AR1483" s="89" t="str">
        <f>+IF($AG1483=AR$22,MONTH($D1483),"")</f>
        <v/>
      </c>
      <c r="AS1483" s="89" t="str">
        <f>+IF($AG1483=AS$22,MONTH($D1483),"")</f>
        <v/>
      </c>
      <c r="AT1483" s="89" t="str">
        <f>+IF($AG1483=AT$22,MONTH($D1483),"")</f>
        <v/>
      </c>
      <c r="AU1483" s="89" t="str">
        <f>+IF($AG1483=AU$22,MONTH($D1483),"")</f>
        <v/>
      </c>
      <c r="AV1483" s="89" t="str">
        <f>+IF($AG1483=AV$22,MONTH($D1483),"")</f>
        <v/>
      </c>
      <c r="AW1483" s="86" t="str">
        <f>+IF($AG1483=AW$22,MONTH($D1483),"")</f>
        <v/>
      </c>
      <c r="AX1483" s="86" t="str">
        <f>+IF($AG1483=AX$22,MONTH($D1483),"")</f>
        <v/>
      </c>
      <c r="AY1483" s="89"/>
      <c r="AZ1483" s="89"/>
      <c r="BA1483" s="89"/>
      <c r="BB1483" s="89"/>
      <c r="BC1483" s="89"/>
      <c r="BD1483" s="89"/>
      <c r="BE1483" s="89"/>
      <c r="BF1483" s="89"/>
      <c r="BG1483" s="89"/>
      <c r="BH1483" s="89"/>
      <c r="BI1483" s="89"/>
      <c r="BJ1483" s="89"/>
      <c r="BK1483" s="89"/>
      <c r="BL1483" s="89"/>
      <c r="BM1483" s="89"/>
      <c r="BN1483" s="89"/>
      <c r="BO1483" s="89"/>
      <c r="BP1483" s="89"/>
    </row>
    <row r="1484" spans="1:68" s="56" customFormat="1" ht="13.5" hidden="1">
      <c r="A1484" s="204" t="str">
        <f>+IFERROR(VALUE(MID(AB1484,4,4)),"")</f>
        <v/>
      </c>
      <c r="B1484" s="204">
        <f>VALUE(RIGHT(C1484,LEN(C1484)-2))</f>
        <v>1239</v>
      </c>
      <c r="C1484" s="74" t="s">
        <v>5514</v>
      </c>
      <c r="D1484" s="75">
        <v>44151</v>
      </c>
      <c r="E1484" s="70" t="s">
        <v>53</v>
      </c>
      <c r="F1484" s="70" t="s">
        <v>53</v>
      </c>
      <c r="G1484" s="68"/>
      <c r="H1484" s="59"/>
      <c r="I1484" s="69" t="s">
        <v>5515</v>
      </c>
      <c r="J1484" s="69"/>
      <c r="K1484" s="68" t="s">
        <v>11</v>
      </c>
      <c r="L1484" s="69" t="s">
        <v>123</v>
      </c>
      <c r="M1484" s="71" t="s">
        <v>141</v>
      </c>
      <c r="N1484" s="69" t="e" vm="1">
        <v>#VALUE!</v>
      </c>
      <c r="O1484" s="84"/>
      <c r="P1484" s="72" t="s">
        <v>5516</v>
      </c>
      <c r="Q1484" s="72"/>
      <c r="R1484" s="162"/>
      <c r="S1484" s="146" t="s">
        <v>587</v>
      </c>
      <c r="T1484" s="68" t="s">
        <v>155</v>
      </c>
      <c r="U1484" s="87"/>
      <c r="V1484" s="80"/>
      <c r="W1484" s="73"/>
      <c r="X1484" s="73"/>
      <c r="Y1484" s="83" t="str">
        <f>IF(SUM(W1484:W1484)&gt;0,X1484/SUM(W1484:W1484)*1000000,"N/A")</f>
        <v>N/A</v>
      </c>
      <c r="Z1484" s="80"/>
      <c r="AA1484" s="80"/>
      <c r="AB1484" s="73"/>
      <c r="AC1484" s="153"/>
      <c r="AD1484" s="331"/>
      <c r="AE1484" s="57"/>
      <c r="AF1484" s="88"/>
      <c r="AG1484" s="182">
        <f>YEAR(D1484)</f>
        <v>2020</v>
      </c>
      <c r="AH1484" s="86" t="str">
        <f>+IF(AE1484=$AJ$22,MONTH(T1484),"")</f>
        <v/>
      </c>
      <c r="AI1484" s="86" t="str">
        <f>+IF(AF1484=$AJ$22,MONTH(U1484),"")</f>
        <v/>
      </c>
      <c r="AJ1484" s="86" t="str">
        <f>+IF(AG1484=$AJ$22,MONTH(V1484),"")</f>
        <v/>
      </c>
      <c r="AK1484" s="86" t="str">
        <f>+IF(AG1484=$AK$22,MONTH(V1484),"")</f>
        <v/>
      </c>
      <c r="AL1484" s="86" t="str">
        <f>+IF(AG1484=$AL$22,MONTH(V1484),"")</f>
        <v/>
      </c>
      <c r="AM1484" s="86" t="str">
        <f>+IF($AG1484=$AM$22,MONTH($D1484),"")</f>
        <v/>
      </c>
      <c r="AN1484" s="89">
        <f>+IF($AG1484=AN$22,MONTH($D1484),"")</f>
        <v>11</v>
      </c>
      <c r="AO1484" s="89" t="str">
        <f>+IF($AG1484=AO$22,MONTH($D1484),"")</f>
        <v/>
      </c>
      <c r="AP1484" s="89" t="str">
        <f>+IF($AG1484=AP$22,MONTH($D1484),"")</f>
        <v/>
      </c>
      <c r="AQ1484" s="89" t="str">
        <f>+IF($AG1484=AQ$22,MONTH($D1484),"")</f>
        <v/>
      </c>
      <c r="AR1484" s="89" t="str">
        <f>+IF($AG1484=AR$22,MONTH($D1484),"")</f>
        <v/>
      </c>
      <c r="AS1484" s="89" t="str">
        <f>+IF($AG1484=AS$22,MONTH($D1484),"")</f>
        <v/>
      </c>
      <c r="AT1484" s="89" t="str">
        <f>+IF($AG1484=AT$22,MONTH($D1484),"")</f>
        <v/>
      </c>
      <c r="AU1484" s="89" t="str">
        <f>+IF($AG1484=AU$22,MONTH($D1484),"")</f>
        <v/>
      </c>
      <c r="AV1484" s="89" t="str">
        <f>+IF($AG1484=AV$22,MONTH($D1484),"")</f>
        <v/>
      </c>
      <c r="AW1484" s="86" t="str">
        <f>+IF($AG1484=AW$22,MONTH($D1484),"")</f>
        <v/>
      </c>
      <c r="AX1484" s="86" t="str">
        <f>+IF($AG1484=AX$22,MONTH($D1484),"")</f>
        <v/>
      </c>
      <c r="AY1484" s="89"/>
      <c r="AZ1484" s="89"/>
      <c r="BA1484" s="89"/>
      <c r="BB1484" s="89"/>
      <c r="BC1484" s="89"/>
      <c r="BD1484" s="89"/>
      <c r="BE1484" s="89"/>
      <c r="BF1484" s="89"/>
      <c r="BG1484" s="89"/>
      <c r="BH1484" s="89"/>
      <c r="BI1484" s="89"/>
      <c r="BJ1484" s="89"/>
      <c r="BK1484" s="89"/>
      <c r="BL1484" s="89"/>
      <c r="BM1484" s="89"/>
      <c r="BN1484" s="89"/>
      <c r="BO1484" s="89"/>
      <c r="BP1484" s="89"/>
    </row>
    <row r="1485" spans="1:68" s="56" customFormat="1" ht="13.5" hidden="1">
      <c r="A1485" s="204" t="str">
        <f>+IFERROR(VALUE(MID(AB1485,4,4)),"")</f>
        <v/>
      </c>
      <c r="B1485" s="204">
        <f>VALUE(RIGHT(C1485,LEN(C1485)-2))</f>
        <v>1238</v>
      </c>
      <c r="C1485" s="74" t="s">
        <v>5517</v>
      </c>
      <c r="D1485" s="75">
        <v>44147</v>
      </c>
      <c r="E1485" s="70" t="s">
        <v>255</v>
      </c>
      <c r="F1485" s="70" t="s">
        <v>255</v>
      </c>
      <c r="G1485" s="68" t="s">
        <v>5518</v>
      </c>
      <c r="H1485" s="59"/>
      <c r="I1485" s="69" t="s">
        <v>5519</v>
      </c>
      <c r="J1485" s="69"/>
      <c r="K1485" s="68" t="s">
        <v>113</v>
      </c>
      <c r="L1485" s="69" t="s">
        <v>123</v>
      </c>
      <c r="M1485" s="71" t="s">
        <v>141</v>
      </c>
      <c r="N1485" s="69" t="e" vm="1">
        <v>#VALUE!</v>
      </c>
      <c r="O1485" s="84">
        <v>44155</v>
      </c>
      <c r="P1485" s="72" t="s">
        <v>402</v>
      </c>
      <c r="Q1485" s="72"/>
      <c r="R1485" s="162"/>
      <c r="S1485" s="146"/>
      <c r="T1485" s="68" t="s">
        <v>165</v>
      </c>
      <c r="U1485" s="87"/>
      <c r="V1485" s="80">
        <v>44160</v>
      </c>
      <c r="W1485" s="73">
        <v>996</v>
      </c>
      <c r="X1485" s="73">
        <v>56.351506000000001</v>
      </c>
      <c r="Y1485" s="83">
        <f>IF(SUM(W1485:W1485)&gt;0,X1485/SUM(W1485:W1485)*1000000,"N/A")</f>
        <v>56577.817269076302</v>
      </c>
      <c r="Z1485" s="80"/>
      <c r="AA1485" s="80"/>
      <c r="AB1485" s="73"/>
      <c r="AC1485" s="153"/>
      <c r="AD1485" s="331"/>
      <c r="AE1485" s="57"/>
      <c r="AF1485" s="88"/>
      <c r="AG1485" s="182">
        <f>YEAR(D1485)</f>
        <v>2020</v>
      </c>
      <c r="AH1485" s="86" t="str">
        <f>+IF(AE1485=$AJ$22,MONTH(T1485),"")</f>
        <v/>
      </c>
      <c r="AI1485" s="86" t="str">
        <f>+IF(AF1485=$AJ$22,MONTH(U1485),"")</f>
        <v/>
      </c>
      <c r="AJ1485" s="86" t="str">
        <f>+IF(AG1485=$AJ$22,MONTH(V1485),"")</f>
        <v/>
      </c>
      <c r="AK1485" s="86" t="str">
        <f>+IF(AG1485=$AK$22,MONTH(V1485),"")</f>
        <v/>
      </c>
      <c r="AL1485" s="86" t="str">
        <f>+IF(AG1485=$AL$22,MONTH(V1485),"")</f>
        <v/>
      </c>
      <c r="AM1485" s="86" t="str">
        <f>+IF($AG1485=$AM$22,MONTH($D1485),"")</f>
        <v/>
      </c>
      <c r="AN1485" s="89">
        <f>+IF($AG1485=AN$22,MONTH($D1485),"")</f>
        <v>11</v>
      </c>
      <c r="AO1485" s="89" t="str">
        <f>+IF($AG1485=AO$22,MONTH($D1485),"")</f>
        <v/>
      </c>
      <c r="AP1485" s="89" t="str">
        <f>+IF($AG1485=AP$22,MONTH($D1485),"")</f>
        <v/>
      </c>
      <c r="AQ1485" s="89" t="str">
        <f>+IF($AG1485=AQ$22,MONTH($D1485),"")</f>
        <v/>
      </c>
      <c r="AR1485" s="89" t="str">
        <f>+IF($AG1485=AR$22,MONTH($D1485),"")</f>
        <v/>
      </c>
      <c r="AS1485" s="89" t="str">
        <f>+IF($AG1485=AS$22,MONTH($D1485),"")</f>
        <v/>
      </c>
      <c r="AT1485" s="89" t="str">
        <f>+IF($AG1485=AT$22,MONTH($D1485),"")</f>
        <v/>
      </c>
      <c r="AU1485" s="89" t="str">
        <f>+IF($AG1485=AU$22,MONTH($D1485),"")</f>
        <v/>
      </c>
      <c r="AV1485" s="89" t="str">
        <f>+IF($AG1485=AV$22,MONTH($D1485),"")</f>
        <v/>
      </c>
      <c r="AW1485" s="86" t="str">
        <f>+IF($AG1485=AW$22,MONTH($D1485),"")</f>
        <v/>
      </c>
      <c r="AX1485" s="86" t="str">
        <f>+IF($AG1485=AX$22,MONTH($D1485),"")</f>
        <v/>
      </c>
      <c r="AY1485" s="89"/>
      <c r="AZ1485" s="89"/>
      <c r="BA1485" s="89"/>
      <c r="BB1485" s="89"/>
      <c r="BC1485" s="89"/>
      <c r="BD1485" s="89"/>
      <c r="BE1485" s="89"/>
      <c r="BF1485" s="89"/>
      <c r="BG1485" s="89"/>
      <c r="BH1485" s="89"/>
      <c r="BI1485" s="89"/>
      <c r="BJ1485" s="89"/>
      <c r="BK1485" s="89"/>
      <c r="BL1485" s="89"/>
      <c r="BM1485" s="89"/>
      <c r="BN1485" s="89"/>
      <c r="BO1485" s="89"/>
      <c r="BP1485" s="89"/>
    </row>
    <row r="1486" spans="1:68" s="56" customFormat="1" ht="13.5" hidden="1">
      <c r="A1486" s="204">
        <f>+IFERROR(VALUE(MID(AB1486,4,4)),"")</f>
        <v>234</v>
      </c>
      <c r="B1486" s="204">
        <f>VALUE(RIGHT(C1486,LEN(C1486)-2))</f>
        <v>1237</v>
      </c>
      <c r="C1486" s="74" t="s">
        <v>5520</v>
      </c>
      <c r="D1486" s="75">
        <v>44147</v>
      </c>
      <c r="E1486" s="70" t="s">
        <v>277</v>
      </c>
      <c r="F1486" s="70" t="s">
        <v>277</v>
      </c>
      <c r="G1486" s="68" t="s">
        <v>1350</v>
      </c>
      <c r="H1486" s="59" t="s">
        <v>4327</v>
      </c>
      <c r="I1486" s="69" t="s">
        <v>5521</v>
      </c>
      <c r="J1486" s="69"/>
      <c r="K1486" s="68" t="s">
        <v>13</v>
      </c>
      <c r="L1486" s="69" t="s">
        <v>120</v>
      </c>
      <c r="M1486" s="71" t="s">
        <v>141</v>
      </c>
      <c r="N1486" s="69" t="e" vm="1">
        <v>#VALUE!</v>
      </c>
      <c r="O1486" s="84">
        <v>44148</v>
      </c>
      <c r="P1486" s="72" t="s">
        <v>402</v>
      </c>
      <c r="Q1486" s="72" t="s">
        <v>1097</v>
      </c>
      <c r="R1486" s="162"/>
      <c r="S1486" s="146"/>
      <c r="T1486" s="68" t="s">
        <v>3</v>
      </c>
      <c r="U1486" s="87"/>
      <c r="V1486" s="80"/>
      <c r="W1486" s="73">
        <v>765</v>
      </c>
      <c r="X1486" s="73">
        <v>28.757726999999999</v>
      </c>
      <c r="Y1486" s="83">
        <f>IF(SUM(W1486:W1486)&gt;0,X1486/SUM(W1486:W1486)*1000000,"N/A")</f>
        <v>37591.800000000003</v>
      </c>
      <c r="Z1486" s="80"/>
      <c r="AA1486" s="80"/>
      <c r="AB1486" s="73" t="s">
        <v>5487</v>
      </c>
      <c r="AC1486" s="153"/>
      <c r="AD1486" s="331"/>
      <c r="AE1486" s="57"/>
      <c r="AF1486" s="88"/>
      <c r="AG1486" s="182">
        <f>YEAR(D1486)</f>
        <v>2020</v>
      </c>
      <c r="AH1486" s="86" t="str">
        <f>+IF(AE1486=$AJ$22,MONTH(T1486),"")</f>
        <v/>
      </c>
      <c r="AI1486" s="86" t="str">
        <f>+IF(AF1486=$AJ$22,MONTH(U1486),"")</f>
        <v/>
      </c>
      <c r="AJ1486" s="86" t="str">
        <f>+IF(AG1486=$AJ$22,MONTH(V1486),"")</f>
        <v/>
      </c>
      <c r="AK1486" s="86" t="str">
        <f>+IF(AG1486=$AK$22,MONTH(V1486),"")</f>
        <v/>
      </c>
      <c r="AL1486" s="86" t="str">
        <f>+IF(AG1486=$AL$22,MONTH(V1486),"")</f>
        <v/>
      </c>
      <c r="AM1486" s="86" t="str">
        <f>+IF($AG1486=$AM$22,MONTH($D1486),"")</f>
        <v/>
      </c>
      <c r="AN1486" s="89">
        <f>+IF($AG1486=AN$22,MONTH($D1486),"")</f>
        <v>11</v>
      </c>
      <c r="AO1486" s="89" t="str">
        <f>+IF($AG1486=AO$22,MONTH($D1486),"")</f>
        <v/>
      </c>
      <c r="AP1486" s="89" t="str">
        <f>+IF($AG1486=AP$22,MONTH($D1486),"")</f>
        <v/>
      </c>
      <c r="AQ1486" s="89" t="str">
        <f>+IF($AG1486=AQ$22,MONTH($D1486),"")</f>
        <v/>
      </c>
      <c r="AR1486" s="89" t="str">
        <f>+IF($AG1486=AR$22,MONTH($D1486),"")</f>
        <v/>
      </c>
      <c r="AS1486" s="89" t="str">
        <f>+IF($AG1486=AS$22,MONTH($D1486),"")</f>
        <v/>
      </c>
      <c r="AT1486" s="89" t="str">
        <f>+IF($AG1486=AT$22,MONTH($D1486),"")</f>
        <v/>
      </c>
      <c r="AU1486" s="89" t="str">
        <f>+IF($AG1486=AU$22,MONTH($D1486),"")</f>
        <v/>
      </c>
      <c r="AV1486" s="89" t="str">
        <f>+IF($AG1486=AV$22,MONTH($D1486),"")</f>
        <v/>
      </c>
      <c r="AW1486" s="86" t="str">
        <f>+IF($AG1486=AW$22,MONTH($D1486),"")</f>
        <v/>
      </c>
      <c r="AX1486" s="86" t="str">
        <f>+IF($AG1486=AX$22,MONTH($D1486),"")</f>
        <v/>
      </c>
      <c r="AY1486" s="182"/>
      <c r="AZ1486" s="182"/>
      <c r="BA1486" s="182"/>
      <c r="BB1486" s="182"/>
      <c r="BC1486" s="182"/>
      <c r="BD1486" s="182"/>
      <c r="BE1486" s="182"/>
      <c r="BF1486" s="182"/>
      <c r="BG1486" s="182"/>
      <c r="BH1486" s="182"/>
      <c r="BI1486" s="182"/>
      <c r="BJ1486" s="89"/>
      <c r="BK1486" s="89"/>
      <c r="BL1486" s="89"/>
      <c r="BM1486" s="89"/>
      <c r="BN1486" s="89"/>
      <c r="BO1486" s="89"/>
      <c r="BP1486" s="89"/>
    </row>
    <row r="1487" spans="1:68" s="56" customFormat="1" ht="13.5" hidden="1">
      <c r="A1487" s="204" t="str">
        <f>+IFERROR(VALUE(MID(AB1487,4,4)),"")</f>
        <v/>
      </c>
      <c r="B1487" s="204">
        <f>VALUE(RIGHT(C1487,LEN(C1487)-2))</f>
        <v>1236</v>
      </c>
      <c r="C1487" s="74" t="s">
        <v>5522</v>
      </c>
      <c r="D1487" s="75">
        <v>44147</v>
      </c>
      <c r="E1487" s="70" t="s">
        <v>101</v>
      </c>
      <c r="F1487" s="70" t="s">
        <v>479</v>
      </c>
      <c r="G1487" s="68" t="s">
        <v>3332</v>
      </c>
      <c r="H1487" s="59"/>
      <c r="I1487" s="69" t="s">
        <v>5523</v>
      </c>
      <c r="J1487" s="69"/>
      <c r="K1487" s="68" t="s">
        <v>31</v>
      </c>
      <c r="L1487" s="69" t="s">
        <v>120</v>
      </c>
      <c r="M1487" s="71" t="s">
        <v>113</v>
      </c>
      <c r="N1487" s="69" t="e" vm="2">
        <v>#VALUE!</v>
      </c>
      <c r="O1487" s="84">
        <v>44147</v>
      </c>
      <c r="P1487" s="72" t="s">
        <v>402</v>
      </c>
      <c r="Q1487" s="72"/>
      <c r="R1487" s="162"/>
      <c r="S1487" s="146"/>
      <c r="T1487" s="68" t="s">
        <v>165</v>
      </c>
      <c r="U1487" s="87"/>
      <c r="V1487" s="80">
        <v>44160</v>
      </c>
      <c r="W1487" s="73">
        <v>15</v>
      </c>
      <c r="X1487" s="73">
        <f>2230*150/1000000</f>
        <v>0.33450000000000002</v>
      </c>
      <c r="Y1487" s="83">
        <f>IF(SUM(W1487:W1487)&gt;0,X1487/SUM(W1487:W1487)*1000000,"N/A")</f>
        <v>22300</v>
      </c>
      <c r="Z1487" s="80"/>
      <c r="AA1487" s="80"/>
      <c r="AB1487" s="73"/>
      <c r="AC1487" s="153"/>
      <c r="AD1487" s="331"/>
      <c r="AE1487" s="57"/>
      <c r="AF1487" s="88"/>
      <c r="AG1487" s="182">
        <f>YEAR(D1487)</f>
        <v>2020</v>
      </c>
      <c r="AH1487" s="86" t="str">
        <f>+IF(AE1487=$AJ$22,MONTH(T1487),"")</f>
        <v/>
      </c>
      <c r="AI1487" s="86" t="str">
        <f>+IF(AF1487=$AJ$22,MONTH(U1487),"")</f>
        <v/>
      </c>
      <c r="AJ1487" s="86" t="str">
        <f>+IF(AG1487=$AJ$22,MONTH(V1487),"")</f>
        <v/>
      </c>
      <c r="AK1487" s="86" t="str">
        <f>+IF(AG1487=$AK$22,MONTH(V1487),"")</f>
        <v/>
      </c>
      <c r="AL1487" s="86" t="str">
        <f>+IF(AG1487=$AL$22,MONTH(V1487),"")</f>
        <v/>
      </c>
      <c r="AM1487" s="86" t="str">
        <f>+IF($AG1487=$AM$22,MONTH($D1487),"")</f>
        <v/>
      </c>
      <c r="AN1487" s="89">
        <f>+IF($AG1487=AN$22,MONTH($D1487),"")</f>
        <v>11</v>
      </c>
      <c r="AO1487" s="89" t="str">
        <f>+IF($AG1487=AO$22,MONTH($D1487),"")</f>
        <v/>
      </c>
      <c r="AP1487" s="89" t="str">
        <f>+IF($AG1487=AP$22,MONTH($D1487),"")</f>
        <v/>
      </c>
      <c r="AQ1487" s="89" t="str">
        <f>+IF($AG1487=AQ$22,MONTH($D1487),"")</f>
        <v/>
      </c>
      <c r="AR1487" s="89" t="str">
        <f>+IF($AG1487=AR$22,MONTH($D1487),"")</f>
        <v/>
      </c>
      <c r="AS1487" s="89" t="str">
        <f>+IF($AG1487=AS$22,MONTH($D1487),"")</f>
        <v/>
      </c>
      <c r="AT1487" s="89" t="str">
        <f>+IF($AG1487=AT$22,MONTH($D1487),"")</f>
        <v/>
      </c>
      <c r="AU1487" s="89" t="str">
        <f>+IF($AG1487=AU$22,MONTH($D1487),"")</f>
        <v/>
      </c>
      <c r="AV1487" s="89" t="str">
        <f>+IF($AG1487=AV$22,MONTH($D1487),"")</f>
        <v/>
      </c>
      <c r="AW1487" s="86" t="str">
        <f>+IF($AG1487=AW$22,MONTH($D1487),"")</f>
        <v/>
      </c>
      <c r="AX1487" s="86" t="str">
        <f>+IF($AG1487=AX$22,MONTH($D1487),"")</f>
        <v/>
      </c>
      <c r="AY1487" s="89"/>
      <c r="AZ1487" s="89"/>
      <c r="BA1487" s="89"/>
      <c r="BB1487" s="89"/>
      <c r="BC1487" s="89"/>
      <c r="BD1487" s="89"/>
      <c r="BE1487" s="89"/>
      <c r="BF1487" s="89"/>
      <c r="BG1487" s="89"/>
      <c r="BH1487" s="89"/>
      <c r="BI1487" s="89"/>
      <c r="BJ1487" s="89"/>
      <c r="BK1487" s="89"/>
      <c r="BL1487" s="89"/>
      <c r="BM1487" s="89"/>
      <c r="BN1487" s="89"/>
      <c r="BO1487" s="89"/>
      <c r="BP1487" s="89"/>
    </row>
    <row r="1488" spans="1:68" s="56" customFormat="1" ht="13.5" hidden="1">
      <c r="A1488" s="204" t="str">
        <f>+IFERROR(VALUE(MID(AB1488,4,4)),"")</f>
        <v/>
      </c>
      <c r="B1488" s="204">
        <f>VALUE(RIGHT(C1488,LEN(C1488)-2))</f>
        <v>1235</v>
      </c>
      <c r="C1488" s="74" t="s">
        <v>5524</v>
      </c>
      <c r="D1488" s="75">
        <v>44144</v>
      </c>
      <c r="E1488" s="70" t="s">
        <v>4114</v>
      </c>
      <c r="F1488" s="70" t="s">
        <v>4114</v>
      </c>
      <c r="G1488" s="68" t="s">
        <v>5525</v>
      </c>
      <c r="H1488" s="59"/>
      <c r="I1488" s="69" t="s">
        <v>5526</v>
      </c>
      <c r="J1488" s="69"/>
      <c r="K1488" s="68" t="s">
        <v>16</v>
      </c>
      <c r="L1488" s="69" t="s">
        <v>123</v>
      </c>
      <c r="M1488" s="71" t="s">
        <v>141</v>
      </c>
      <c r="N1488" s="69" t="e" vm="1">
        <v>#VALUE!</v>
      </c>
      <c r="O1488" s="84">
        <v>44145</v>
      </c>
      <c r="P1488" s="72" t="s">
        <v>402</v>
      </c>
      <c r="Q1488" s="72" t="s">
        <v>623</v>
      </c>
      <c r="R1488" s="162"/>
      <c r="S1488" s="146" t="s">
        <v>5527</v>
      </c>
      <c r="T1488" s="68" t="s">
        <v>3</v>
      </c>
      <c r="U1488" s="87"/>
      <c r="V1488" s="80">
        <v>44160</v>
      </c>
      <c r="W1488" s="73">
        <v>1130</v>
      </c>
      <c r="X1488" s="73">
        <f>1920*28900/1000000</f>
        <v>55.488</v>
      </c>
      <c r="Y1488" s="83">
        <f>IF(SUM(W1488:W1488)&gt;0,X1488/SUM(W1488:W1488)*1000000,"N/A")</f>
        <v>49104.424778761066</v>
      </c>
      <c r="Z1488" s="80"/>
      <c r="AA1488" s="80"/>
      <c r="AB1488" s="73"/>
      <c r="AC1488" s="153"/>
      <c r="AD1488" s="331"/>
      <c r="AE1488" s="57"/>
      <c r="AF1488" s="88"/>
      <c r="AG1488" s="182">
        <f>YEAR(D1488)</f>
        <v>2020</v>
      </c>
      <c r="AH1488" s="86" t="str">
        <f>+IF(AE1488=$AJ$22,MONTH(T1488),"")</f>
        <v/>
      </c>
      <c r="AI1488" s="86" t="str">
        <f>+IF(AF1488=$AJ$22,MONTH(U1488),"")</f>
        <v/>
      </c>
      <c r="AJ1488" s="86" t="str">
        <f>+IF(AG1488=$AJ$22,MONTH(V1488),"")</f>
        <v/>
      </c>
      <c r="AK1488" s="86" t="str">
        <f>+IF(AG1488=$AK$22,MONTH(V1488),"")</f>
        <v/>
      </c>
      <c r="AL1488" s="86" t="str">
        <f>+IF(AG1488=$AL$22,MONTH(V1488),"")</f>
        <v/>
      </c>
      <c r="AM1488" s="86" t="str">
        <f>+IF($AG1488=$AM$22,MONTH($D1488),"")</f>
        <v/>
      </c>
      <c r="AN1488" s="89">
        <f>+IF($AG1488=AN$22,MONTH($D1488),"")</f>
        <v>11</v>
      </c>
      <c r="AO1488" s="89" t="str">
        <f>+IF($AG1488=AO$22,MONTH($D1488),"")</f>
        <v/>
      </c>
      <c r="AP1488" s="89" t="str">
        <f>+IF($AG1488=AP$22,MONTH($D1488),"")</f>
        <v/>
      </c>
      <c r="AQ1488" s="89" t="str">
        <f>+IF($AG1488=AQ$22,MONTH($D1488),"")</f>
        <v/>
      </c>
      <c r="AR1488" s="89" t="str">
        <f>+IF($AG1488=AR$22,MONTH($D1488),"")</f>
        <v/>
      </c>
      <c r="AS1488" s="89" t="str">
        <f>+IF($AG1488=AS$22,MONTH($D1488),"")</f>
        <v/>
      </c>
      <c r="AT1488" s="89" t="str">
        <f>+IF($AG1488=AT$22,MONTH($D1488),"")</f>
        <v/>
      </c>
      <c r="AU1488" s="89" t="str">
        <f>+IF($AG1488=AU$22,MONTH($D1488),"")</f>
        <v/>
      </c>
      <c r="AV1488" s="89" t="str">
        <f>+IF($AG1488=AV$22,MONTH($D1488),"")</f>
        <v/>
      </c>
      <c r="AW1488" s="86" t="str">
        <f>+IF($AG1488=AW$22,MONTH($D1488),"")</f>
        <v/>
      </c>
      <c r="AX1488" s="86" t="str">
        <f>+IF($AG1488=AX$22,MONTH($D1488),"")</f>
        <v/>
      </c>
      <c r="AY1488" s="89"/>
      <c r="AZ1488" s="89"/>
      <c r="BA1488" s="89"/>
      <c r="BB1488" s="89"/>
      <c r="BC1488" s="89"/>
      <c r="BD1488" s="89"/>
      <c r="BE1488" s="89"/>
      <c r="BF1488" s="89"/>
      <c r="BG1488" s="89"/>
      <c r="BH1488" s="89"/>
      <c r="BI1488" s="89"/>
      <c r="BJ1488" s="89"/>
      <c r="BK1488" s="89"/>
      <c r="BL1488" s="89"/>
      <c r="BM1488" s="89"/>
      <c r="BN1488" s="89"/>
      <c r="BO1488" s="89"/>
      <c r="BP1488" s="89"/>
    </row>
    <row r="1489" spans="1:68" s="56" customFormat="1" ht="13.5" hidden="1">
      <c r="A1489" s="204" t="str">
        <f>+IFERROR(VALUE(MID(AB1489,4,4)),"")</f>
        <v/>
      </c>
      <c r="B1489" s="204">
        <f>VALUE(RIGHT(C1489,LEN(C1489)-2))</f>
        <v>1234</v>
      </c>
      <c r="C1489" s="74" t="s">
        <v>5528</v>
      </c>
      <c r="D1489" s="75">
        <v>44144</v>
      </c>
      <c r="E1489" s="70" t="s">
        <v>4114</v>
      </c>
      <c r="F1489" s="70" t="s">
        <v>4114</v>
      </c>
      <c r="G1489" s="68" t="s">
        <v>5525</v>
      </c>
      <c r="H1489" s="59"/>
      <c r="I1489" s="69" t="s">
        <v>5529</v>
      </c>
      <c r="J1489" s="69"/>
      <c r="K1489" s="68" t="s">
        <v>16</v>
      </c>
      <c r="L1489" s="69" t="s">
        <v>123</v>
      </c>
      <c r="M1489" s="71" t="s">
        <v>141</v>
      </c>
      <c r="N1489" s="69" t="e" vm="1">
        <v>#VALUE!</v>
      </c>
      <c r="O1489" s="84">
        <v>44145</v>
      </c>
      <c r="P1489" s="72" t="s">
        <v>402</v>
      </c>
      <c r="Q1489" s="72"/>
      <c r="R1489" s="162"/>
      <c r="S1489" s="146"/>
      <c r="T1489" s="68" t="s">
        <v>165</v>
      </c>
      <c r="U1489" s="87"/>
      <c r="V1489" s="80">
        <v>44160</v>
      </c>
      <c r="W1489" s="73">
        <v>392</v>
      </c>
      <c r="X1489" s="73">
        <f>840*28900/1000000</f>
        <v>24.276</v>
      </c>
      <c r="Y1489" s="83">
        <f>IF(SUM(W1489:W1489)&gt;0,X1489/SUM(W1489:W1489)*1000000,"N/A")</f>
        <v>61928.571428571428</v>
      </c>
      <c r="Z1489" s="80"/>
      <c r="AA1489" s="80"/>
      <c r="AB1489" s="73"/>
      <c r="AC1489" s="153"/>
      <c r="AD1489" s="331"/>
      <c r="AE1489" s="57"/>
      <c r="AF1489" s="88"/>
      <c r="AG1489" s="182">
        <f>YEAR(D1489)</f>
        <v>2020</v>
      </c>
      <c r="AH1489" s="86" t="str">
        <f>+IF(AE1489=$AJ$22,MONTH(T1489),"")</f>
        <v/>
      </c>
      <c r="AI1489" s="86" t="str">
        <f>+IF(AF1489=$AJ$22,MONTH(U1489),"")</f>
        <v/>
      </c>
      <c r="AJ1489" s="86" t="str">
        <f>+IF(AG1489=$AJ$22,MONTH(V1489),"")</f>
        <v/>
      </c>
      <c r="AK1489" s="86" t="str">
        <f>+IF(AG1489=$AK$22,MONTH(V1489),"")</f>
        <v/>
      </c>
      <c r="AL1489" s="86" t="str">
        <f>+IF(AG1489=$AL$22,MONTH(V1489),"")</f>
        <v/>
      </c>
      <c r="AM1489" s="86" t="str">
        <f>+IF($AG1489=$AM$22,MONTH($D1489),"")</f>
        <v/>
      </c>
      <c r="AN1489" s="89">
        <f>+IF($AG1489=AN$22,MONTH($D1489),"")</f>
        <v>11</v>
      </c>
      <c r="AO1489" s="89" t="str">
        <f>+IF($AG1489=AO$22,MONTH($D1489),"")</f>
        <v/>
      </c>
      <c r="AP1489" s="89" t="str">
        <f>+IF($AG1489=AP$22,MONTH($D1489),"")</f>
        <v/>
      </c>
      <c r="AQ1489" s="89" t="str">
        <f>+IF($AG1489=AQ$22,MONTH($D1489),"")</f>
        <v/>
      </c>
      <c r="AR1489" s="89" t="str">
        <f>+IF($AG1489=AR$22,MONTH($D1489),"")</f>
        <v/>
      </c>
      <c r="AS1489" s="89" t="str">
        <f>+IF($AG1489=AS$22,MONTH($D1489),"")</f>
        <v/>
      </c>
      <c r="AT1489" s="89" t="str">
        <f>+IF($AG1489=AT$22,MONTH($D1489),"")</f>
        <v/>
      </c>
      <c r="AU1489" s="89" t="str">
        <f>+IF($AG1489=AU$22,MONTH($D1489),"")</f>
        <v/>
      </c>
      <c r="AV1489" s="89" t="str">
        <f>+IF($AG1489=AV$22,MONTH($D1489),"")</f>
        <v/>
      </c>
      <c r="AW1489" s="86" t="str">
        <f>+IF($AG1489=AW$22,MONTH($D1489),"")</f>
        <v/>
      </c>
      <c r="AX1489" s="86" t="str">
        <f>+IF($AG1489=AX$22,MONTH($D1489),"")</f>
        <v/>
      </c>
      <c r="AY1489" s="89"/>
      <c r="AZ1489" s="89"/>
      <c r="BA1489" s="89"/>
      <c r="BB1489" s="89"/>
      <c r="BC1489" s="89"/>
      <c r="BD1489" s="89"/>
      <c r="BE1489" s="89"/>
      <c r="BF1489" s="89"/>
      <c r="BG1489" s="89"/>
      <c r="BH1489" s="89"/>
      <c r="BI1489" s="89"/>
      <c r="BJ1489" s="89"/>
      <c r="BK1489" s="89"/>
      <c r="BL1489" s="89"/>
      <c r="BM1489" s="89"/>
      <c r="BN1489" s="89"/>
      <c r="BO1489" s="89"/>
      <c r="BP1489" s="89"/>
    </row>
    <row r="1490" spans="1:68" s="56" customFormat="1" ht="13.5" hidden="1">
      <c r="A1490" s="204" t="str">
        <f>+IFERROR(VALUE(MID(AB1490,4,4)),"")</f>
        <v/>
      </c>
      <c r="B1490" s="204">
        <f>VALUE(RIGHT(C1490,LEN(C1490)-2))</f>
        <v>1233</v>
      </c>
      <c r="C1490" s="74" t="s">
        <v>5530</v>
      </c>
      <c r="D1490" s="75">
        <v>44144</v>
      </c>
      <c r="E1490" s="70" t="s">
        <v>4114</v>
      </c>
      <c r="F1490" s="70" t="s">
        <v>4114</v>
      </c>
      <c r="G1490" s="68" t="s">
        <v>5525</v>
      </c>
      <c r="H1490" s="59"/>
      <c r="I1490" s="69" t="s">
        <v>5531</v>
      </c>
      <c r="J1490" s="69"/>
      <c r="K1490" s="68" t="s">
        <v>16</v>
      </c>
      <c r="L1490" s="69" t="s">
        <v>123</v>
      </c>
      <c r="M1490" s="71" t="s">
        <v>141</v>
      </c>
      <c r="N1490" s="69" t="e" vm="1">
        <v>#VALUE!</v>
      </c>
      <c r="O1490" s="84">
        <v>44145</v>
      </c>
      <c r="P1490" s="72" t="s">
        <v>402</v>
      </c>
      <c r="Q1490" s="72"/>
      <c r="R1490" s="162"/>
      <c r="S1490" s="146"/>
      <c r="T1490" s="68" t="s">
        <v>165</v>
      </c>
      <c r="U1490" s="87"/>
      <c r="V1490" s="80">
        <v>44160</v>
      </c>
      <c r="W1490" s="73">
        <v>942</v>
      </c>
      <c r="X1490" s="73">
        <f>1698*28900/1000000</f>
        <v>49.072200000000002</v>
      </c>
      <c r="Y1490" s="83">
        <f>IF(SUM(W1490:W1490)&gt;0,X1490/SUM(W1490:W1490)*1000000,"N/A")</f>
        <v>52093.630573248411</v>
      </c>
      <c r="Z1490" s="80"/>
      <c r="AA1490" s="80"/>
      <c r="AB1490" s="73"/>
      <c r="AC1490" s="153"/>
      <c r="AD1490" s="331"/>
      <c r="AE1490" s="57"/>
      <c r="AF1490" s="88"/>
      <c r="AG1490" s="182">
        <f>YEAR(D1490)</f>
        <v>2020</v>
      </c>
      <c r="AH1490" s="86" t="str">
        <f>+IF(AE1490=$AJ$22,MONTH(T1490),"")</f>
        <v/>
      </c>
      <c r="AI1490" s="86" t="str">
        <f>+IF(AF1490=$AJ$22,MONTH(U1490),"")</f>
        <v/>
      </c>
      <c r="AJ1490" s="86" t="str">
        <f>+IF(AG1490=$AJ$22,MONTH(V1490),"")</f>
        <v/>
      </c>
      <c r="AK1490" s="86" t="str">
        <f>+IF(AG1490=$AK$22,MONTH(V1490),"")</f>
        <v/>
      </c>
      <c r="AL1490" s="86" t="str">
        <f>+IF(AG1490=$AL$22,MONTH(V1490),"")</f>
        <v/>
      </c>
      <c r="AM1490" s="86" t="str">
        <f>+IF($AG1490=$AM$22,MONTH($D1490),"")</f>
        <v/>
      </c>
      <c r="AN1490" s="89">
        <f>+IF($AG1490=AN$22,MONTH($D1490),"")</f>
        <v>11</v>
      </c>
      <c r="AO1490" s="89" t="str">
        <f>+IF($AG1490=AO$22,MONTH($D1490),"")</f>
        <v/>
      </c>
      <c r="AP1490" s="89" t="str">
        <f>+IF($AG1490=AP$22,MONTH($D1490),"")</f>
        <v/>
      </c>
      <c r="AQ1490" s="89" t="str">
        <f>+IF($AG1490=AQ$22,MONTH($D1490),"")</f>
        <v/>
      </c>
      <c r="AR1490" s="89" t="str">
        <f>+IF($AG1490=AR$22,MONTH($D1490),"")</f>
        <v/>
      </c>
      <c r="AS1490" s="89" t="str">
        <f>+IF($AG1490=AS$22,MONTH($D1490),"")</f>
        <v/>
      </c>
      <c r="AT1490" s="89" t="str">
        <f>+IF($AG1490=AT$22,MONTH($D1490),"")</f>
        <v/>
      </c>
      <c r="AU1490" s="89" t="str">
        <f>+IF($AG1490=AU$22,MONTH($D1490),"")</f>
        <v/>
      </c>
      <c r="AV1490" s="89" t="str">
        <f>+IF($AG1490=AV$22,MONTH($D1490),"")</f>
        <v/>
      </c>
      <c r="AW1490" s="86" t="str">
        <f>+IF($AG1490=AW$22,MONTH($D1490),"")</f>
        <v/>
      </c>
      <c r="AX1490" s="86" t="str">
        <f>+IF($AG1490=AX$22,MONTH($D1490),"")</f>
        <v/>
      </c>
      <c r="AY1490" s="89"/>
      <c r="AZ1490" s="89"/>
      <c r="BA1490" s="89"/>
      <c r="BB1490" s="89"/>
      <c r="BC1490" s="89"/>
      <c r="BD1490" s="89"/>
      <c r="BE1490" s="89"/>
      <c r="BF1490" s="89"/>
      <c r="BG1490" s="89"/>
      <c r="BH1490" s="89"/>
      <c r="BI1490" s="89"/>
      <c r="BJ1490" s="89"/>
      <c r="BK1490" s="89"/>
      <c r="BL1490" s="89"/>
      <c r="BM1490" s="89"/>
      <c r="BN1490" s="89"/>
      <c r="BO1490" s="89"/>
      <c r="BP1490" s="89"/>
    </row>
    <row r="1491" spans="1:68" s="56" customFormat="1" ht="13.5" hidden="1">
      <c r="A1491" s="204">
        <f>+IFERROR(VALUE(MID(AB1491,4,4)),"")</f>
        <v>255</v>
      </c>
      <c r="B1491" s="204">
        <f>VALUE(RIGHT(C1491,LEN(C1491)-2))</f>
        <v>1232</v>
      </c>
      <c r="C1491" s="74" t="s">
        <v>5532</v>
      </c>
      <c r="D1491" s="75">
        <v>44140</v>
      </c>
      <c r="E1491" s="70" t="s">
        <v>4827</v>
      </c>
      <c r="F1491" s="70" t="s">
        <v>4827</v>
      </c>
      <c r="G1491" s="68"/>
      <c r="H1491" s="59"/>
      <c r="I1491" s="69" t="s">
        <v>5533</v>
      </c>
      <c r="J1491" s="69"/>
      <c r="K1491" s="68" t="s">
        <v>18</v>
      </c>
      <c r="L1491" s="69" t="s">
        <v>120</v>
      </c>
      <c r="M1491" s="71" t="s">
        <v>113</v>
      </c>
      <c r="N1491" s="69" t="e" vm="7">
        <v>#VALUE!</v>
      </c>
      <c r="O1491" s="84">
        <v>44145</v>
      </c>
      <c r="P1491" s="72" t="s">
        <v>4567</v>
      </c>
      <c r="Q1491" s="72" t="s">
        <v>623</v>
      </c>
      <c r="R1491" s="162"/>
      <c r="S1491" s="146"/>
      <c r="T1491" s="68" t="s">
        <v>3</v>
      </c>
      <c r="U1491" s="87"/>
      <c r="V1491" s="80">
        <v>44193</v>
      </c>
      <c r="W1491" s="73">
        <f>42000/200</f>
        <v>210</v>
      </c>
      <c r="X1491" s="73">
        <f>42000*700/1000000</f>
        <v>29.4</v>
      </c>
      <c r="Y1491" s="83">
        <f>IF(SUM(W1491:W1491)&gt;0,X1491/SUM(W1491:W1491)*1000000,"N/A")</f>
        <v>140000</v>
      </c>
      <c r="Z1491" s="80"/>
      <c r="AA1491" s="80"/>
      <c r="AB1491" s="73" t="s">
        <v>5534</v>
      </c>
      <c r="AC1491" s="153"/>
      <c r="AD1491" s="331"/>
      <c r="AE1491" s="57"/>
      <c r="AF1491" s="88"/>
      <c r="AG1491" s="182">
        <f>YEAR(D1491)</f>
        <v>2020</v>
      </c>
      <c r="AH1491" s="86" t="str">
        <f>+IF(AE1491=$AJ$22,MONTH(T1491),"")</f>
        <v/>
      </c>
      <c r="AI1491" s="86" t="str">
        <f>+IF(AF1491=$AJ$22,MONTH(U1491),"")</f>
        <v/>
      </c>
      <c r="AJ1491" s="86" t="str">
        <f>+IF(AG1491=$AJ$22,MONTH(V1491),"")</f>
        <v/>
      </c>
      <c r="AK1491" s="86" t="str">
        <f>+IF(AG1491=$AK$22,MONTH(V1491),"")</f>
        <v/>
      </c>
      <c r="AL1491" s="86" t="str">
        <f>+IF(AG1491=$AL$22,MONTH(V1491),"")</f>
        <v/>
      </c>
      <c r="AM1491" s="86" t="str">
        <f>+IF($AG1491=$AM$22,MONTH($D1491),"")</f>
        <v/>
      </c>
      <c r="AN1491" s="89">
        <f>+IF($AG1491=AN$22,MONTH($D1491),"")</f>
        <v>11</v>
      </c>
      <c r="AO1491" s="89" t="str">
        <f>+IF($AG1491=AO$22,MONTH($D1491),"")</f>
        <v/>
      </c>
      <c r="AP1491" s="89" t="str">
        <f>+IF($AG1491=AP$22,MONTH($D1491),"")</f>
        <v/>
      </c>
      <c r="AQ1491" s="89" t="str">
        <f>+IF($AG1491=AQ$22,MONTH($D1491),"")</f>
        <v/>
      </c>
      <c r="AR1491" s="89" t="str">
        <f>+IF($AG1491=AR$22,MONTH($D1491),"")</f>
        <v/>
      </c>
      <c r="AS1491" s="89" t="str">
        <f>+IF($AG1491=AS$22,MONTH($D1491),"")</f>
        <v/>
      </c>
      <c r="AT1491" s="89" t="str">
        <f>+IF($AG1491=AT$22,MONTH($D1491),"")</f>
        <v/>
      </c>
      <c r="AU1491" s="89" t="str">
        <f>+IF($AG1491=AU$22,MONTH($D1491),"")</f>
        <v/>
      </c>
      <c r="AV1491" s="89" t="str">
        <f>+IF($AG1491=AV$22,MONTH($D1491),"")</f>
        <v/>
      </c>
      <c r="AW1491" s="86" t="str">
        <f>+IF($AG1491=AW$22,MONTH($D1491),"")</f>
        <v/>
      </c>
      <c r="AX1491" s="86" t="str">
        <f>+IF($AG1491=AX$22,MONTH($D1491),"")</f>
        <v/>
      </c>
      <c r="AY1491" s="89"/>
      <c r="AZ1491" s="89"/>
      <c r="BA1491" s="89"/>
      <c r="BB1491" s="89"/>
      <c r="BC1491" s="89"/>
      <c r="BD1491" s="89"/>
      <c r="BE1491" s="89"/>
      <c r="BF1491" s="89"/>
      <c r="BG1491" s="89"/>
      <c r="BH1491" s="89"/>
      <c r="BI1491" s="89"/>
      <c r="BJ1491" s="89"/>
      <c r="BK1491" s="89"/>
      <c r="BL1491" s="89"/>
      <c r="BM1491" s="89"/>
      <c r="BN1491" s="89"/>
      <c r="BO1491" s="89"/>
      <c r="BP1491" s="89"/>
    </row>
    <row r="1492" spans="1:68" s="56" customFormat="1" ht="40.5" hidden="1">
      <c r="A1492" s="204" t="str">
        <f>+IFERROR(VALUE(MID(AB1492,4,4)),"")</f>
        <v/>
      </c>
      <c r="B1492" s="204">
        <f>VALUE(RIGHT(C1492,LEN(C1492)-2))</f>
        <v>1231</v>
      </c>
      <c r="C1492" s="74" t="s">
        <v>5535</v>
      </c>
      <c r="D1492" s="75">
        <v>44139</v>
      </c>
      <c r="E1492" s="70" t="s">
        <v>346</v>
      </c>
      <c r="F1492" s="70" t="s">
        <v>346</v>
      </c>
      <c r="G1492" s="68"/>
      <c r="H1492" s="59"/>
      <c r="I1492" s="69" t="s">
        <v>5536</v>
      </c>
      <c r="J1492" s="69"/>
      <c r="K1492" s="68" t="s">
        <v>212</v>
      </c>
      <c r="L1492" s="69" t="s">
        <v>123</v>
      </c>
      <c r="M1492" s="71" t="s">
        <v>141</v>
      </c>
      <c r="N1492" s="69" t="e" vm="1">
        <v>#VALUE!</v>
      </c>
      <c r="O1492" s="84">
        <v>44155</v>
      </c>
      <c r="P1492" s="72" t="s">
        <v>4567</v>
      </c>
      <c r="Q1492" s="72"/>
      <c r="R1492" s="162"/>
      <c r="S1492" s="146" t="s">
        <v>5537</v>
      </c>
      <c r="T1492" s="68" t="s">
        <v>165</v>
      </c>
      <c r="U1492" s="87"/>
      <c r="V1492" s="80"/>
      <c r="W1492" s="73">
        <v>1</v>
      </c>
      <c r="X1492" s="73"/>
      <c r="Y1492" s="83">
        <f>IF(SUM(W1492:W1492)&gt;0,X1492/SUM(W1492:W1492)*1000000,"N/A")</f>
        <v>0</v>
      </c>
      <c r="Z1492" s="80"/>
      <c r="AA1492" s="80"/>
      <c r="AB1492" s="73"/>
      <c r="AC1492" s="153"/>
      <c r="AD1492" s="331"/>
      <c r="AE1492" s="57"/>
      <c r="AF1492" s="88"/>
      <c r="AG1492" s="182">
        <f>YEAR(D1492)</f>
        <v>2020</v>
      </c>
      <c r="AH1492" s="86" t="str">
        <f>+IF(AE1492=$AJ$22,MONTH(T1492),"")</f>
        <v/>
      </c>
      <c r="AI1492" s="86" t="str">
        <f>+IF(AF1492=$AJ$22,MONTH(U1492),"")</f>
        <v/>
      </c>
      <c r="AJ1492" s="86" t="str">
        <f>+IF(AG1492=$AJ$22,MONTH(V1492),"")</f>
        <v/>
      </c>
      <c r="AK1492" s="86" t="str">
        <f>+IF(AG1492=$AK$22,MONTH(V1492),"")</f>
        <v/>
      </c>
      <c r="AL1492" s="86" t="str">
        <f>+IF(AG1492=$AL$22,MONTH(V1492),"")</f>
        <v/>
      </c>
      <c r="AM1492" s="86" t="str">
        <f>+IF($AG1492=$AM$22,MONTH($D1492),"")</f>
        <v/>
      </c>
      <c r="AN1492" s="89">
        <f>+IF($AG1492=AN$22,MONTH($D1492),"")</f>
        <v>11</v>
      </c>
      <c r="AO1492" s="89" t="str">
        <f>+IF($AG1492=AO$22,MONTH($D1492),"")</f>
        <v/>
      </c>
      <c r="AP1492" s="89" t="str">
        <f>+IF($AG1492=AP$22,MONTH($D1492),"")</f>
        <v/>
      </c>
      <c r="AQ1492" s="89" t="str">
        <f>+IF($AG1492=AQ$22,MONTH($D1492),"")</f>
        <v/>
      </c>
      <c r="AR1492" s="89" t="str">
        <f>+IF($AG1492=AR$22,MONTH($D1492),"")</f>
        <v/>
      </c>
      <c r="AS1492" s="89" t="str">
        <f>+IF($AG1492=AS$22,MONTH($D1492),"")</f>
        <v/>
      </c>
      <c r="AT1492" s="89" t="str">
        <f>+IF($AG1492=AT$22,MONTH($D1492),"")</f>
        <v/>
      </c>
      <c r="AU1492" s="89" t="str">
        <f>+IF($AG1492=AU$22,MONTH($D1492),"")</f>
        <v/>
      </c>
      <c r="AV1492" s="89" t="str">
        <f>+IF($AG1492=AV$22,MONTH($D1492),"")</f>
        <v/>
      </c>
      <c r="AW1492" s="86" t="str">
        <f>+IF($AG1492=AW$22,MONTH($D1492),"")</f>
        <v/>
      </c>
      <c r="AX1492" s="86" t="str">
        <f>+IF($AG1492=AX$22,MONTH($D1492),"")</f>
        <v/>
      </c>
      <c r="AY1492" s="89"/>
      <c r="AZ1492" s="89"/>
      <c r="BA1492" s="89"/>
      <c r="BB1492" s="89"/>
      <c r="BC1492" s="89"/>
      <c r="BD1492" s="89"/>
      <c r="BE1492" s="89"/>
      <c r="BF1492" s="89"/>
      <c r="BG1492" s="89"/>
      <c r="BH1492" s="89"/>
      <c r="BI1492" s="89"/>
      <c r="BJ1492" s="89"/>
      <c r="BK1492" s="89"/>
      <c r="BL1492" s="89"/>
      <c r="BM1492" s="89"/>
      <c r="BN1492" s="89"/>
      <c r="BO1492" s="89"/>
      <c r="BP1492" s="89"/>
    </row>
    <row r="1493" spans="1:68" s="56" customFormat="1" ht="27" hidden="1">
      <c r="A1493" s="204" t="str">
        <f>+IFERROR(VALUE(MID(AB1493,4,4)),"")</f>
        <v/>
      </c>
      <c r="B1493" s="204">
        <f>VALUE(RIGHT(C1493,LEN(C1493)-2))</f>
        <v>1230</v>
      </c>
      <c r="C1493" s="74" t="s">
        <v>5538</v>
      </c>
      <c r="D1493" s="75">
        <v>44138</v>
      </c>
      <c r="E1493" s="70" t="s">
        <v>53</v>
      </c>
      <c r="F1493" s="70" t="s">
        <v>53</v>
      </c>
      <c r="G1493" s="68"/>
      <c r="H1493" s="59"/>
      <c r="I1493" s="69" t="s">
        <v>5539</v>
      </c>
      <c r="J1493" s="69"/>
      <c r="K1493" s="68" t="s">
        <v>13</v>
      </c>
      <c r="L1493" s="69" t="s">
        <v>123</v>
      </c>
      <c r="M1493" s="71" t="s">
        <v>141</v>
      </c>
      <c r="N1493" s="69" t="e" vm="1">
        <v>#VALUE!</v>
      </c>
      <c r="O1493" s="84">
        <v>44153</v>
      </c>
      <c r="P1493" s="72" t="s">
        <v>4567</v>
      </c>
      <c r="Q1493" s="72"/>
      <c r="R1493" s="162"/>
      <c r="S1493" s="146" t="s">
        <v>5540</v>
      </c>
      <c r="T1493" s="68" t="s">
        <v>165</v>
      </c>
      <c r="U1493" s="87"/>
      <c r="V1493" s="80">
        <v>44193</v>
      </c>
      <c r="W1493" s="73">
        <v>7471</v>
      </c>
      <c r="X1493" s="73">
        <f>225.665452</f>
        <v>225.66545199999999</v>
      </c>
      <c r="Y1493" s="83">
        <f>IF(SUM(W1493:W1493)&gt;0,X1493/SUM(W1493:W1493)*1000000,"N/A")</f>
        <v>30205.521616918752</v>
      </c>
      <c r="Z1493" s="80"/>
      <c r="AA1493" s="80"/>
      <c r="AB1493" s="73"/>
      <c r="AC1493" s="153"/>
      <c r="AD1493" s="331"/>
      <c r="AE1493" s="57"/>
      <c r="AF1493" s="88"/>
      <c r="AG1493" s="182">
        <f>YEAR(D1493)</f>
        <v>2020</v>
      </c>
      <c r="AH1493" s="86" t="str">
        <f>+IF(AE1493=$AJ$22,MONTH(T1493),"")</f>
        <v/>
      </c>
      <c r="AI1493" s="86" t="str">
        <f>+IF(AF1493=$AJ$22,MONTH(U1493),"")</f>
        <v/>
      </c>
      <c r="AJ1493" s="86" t="str">
        <f>+IF(AG1493=$AJ$22,MONTH(V1493),"")</f>
        <v/>
      </c>
      <c r="AK1493" s="86" t="str">
        <f>+IF(AG1493=$AK$22,MONTH(V1493),"")</f>
        <v/>
      </c>
      <c r="AL1493" s="86" t="str">
        <f>+IF(AG1493=$AL$22,MONTH(V1493),"")</f>
        <v/>
      </c>
      <c r="AM1493" s="86" t="str">
        <f>+IF($AG1493=$AM$22,MONTH($D1493),"")</f>
        <v/>
      </c>
      <c r="AN1493" s="89">
        <f>+IF($AG1493=AN$22,MONTH($D1493),"")</f>
        <v>11</v>
      </c>
      <c r="AO1493" s="89" t="str">
        <f>+IF($AG1493=AO$22,MONTH($D1493),"")</f>
        <v/>
      </c>
      <c r="AP1493" s="89" t="str">
        <f>+IF($AG1493=AP$22,MONTH($D1493),"")</f>
        <v/>
      </c>
      <c r="AQ1493" s="89" t="str">
        <f>+IF($AG1493=AQ$22,MONTH($D1493),"")</f>
        <v/>
      </c>
      <c r="AR1493" s="89" t="str">
        <f>+IF($AG1493=AR$22,MONTH($D1493),"")</f>
        <v/>
      </c>
      <c r="AS1493" s="89" t="str">
        <f>+IF($AG1493=AS$22,MONTH($D1493),"")</f>
        <v/>
      </c>
      <c r="AT1493" s="89" t="str">
        <f>+IF($AG1493=AT$22,MONTH($D1493),"")</f>
        <v/>
      </c>
      <c r="AU1493" s="89" t="str">
        <f>+IF($AG1493=AU$22,MONTH($D1493),"")</f>
        <v/>
      </c>
      <c r="AV1493" s="89" t="str">
        <f>+IF($AG1493=AV$22,MONTH($D1493),"")</f>
        <v/>
      </c>
      <c r="AW1493" s="86" t="str">
        <f>+IF($AG1493=AW$22,MONTH($D1493),"")</f>
        <v/>
      </c>
      <c r="AX1493" s="86" t="str">
        <f>+IF($AG1493=AX$22,MONTH($D1493),"")</f>
        <v/>
      </c>
      <c r="AY1493" s="89"/>
      <c r="AZ1493" s="89"/>
      <c r="BA1493" s="89"/>
      <c r="BB1493" s="89"/>
      <c r="BC1493" s="89"/>
      <c r="BD1493" s="89"/>
      <c r="BE1493" s="89"/>
      <c r="BF1493" s="89"/>
      <c r="BG1493" s="89"/>
      <c r="BH1493" s="89"/>
      <c r="BI1493" s="89"/>
      <c r="BJ1493" s="89"/>
      <c r="BK1493" s="89"/>
      <c r="BL1493" s="89"/>
      <c r="BM1493" s="89"/>
      <c r="BN1493" s="89"/>
      <c r="BO1493" s="89"/>
      <c r="BP1493" s="89"/>
    </row>
    <row r="1494" spans="1:68" s="56" customFormat="1" ht="13.5" hidden="1">
      <c r="A1494" s="204" t="str">
        <f>+IFERROR(VALUE(MID(AB1494,4,4)),"")</f>
        <v/>
      </c>
      <c r="B1494" s="204">
        <f>VALUE(RIGHT(C1494,LEN(C1494)-2))</f>
        <v>1229</v>
      </c>
      <c r="C1494" s="74" t="s">
        <v>5541</v>
      </c>
      <c r="D1494" s="75">
        <v>44137</v>
      </c>
      <c r="E1494" s="70" t="s">
        <v>394</v>
      </c>
      <c r="F1494" s="70" t="s">
        <v>394</v>
      </c>
      <c r="G1494" s="68" t="s">
        <v>5421</v>
      </c>
      <c r="H1494" s="59"/>
      <c r="I1494" s="69" t="s">
        <v>5542</v>
      </c>
      <c r="J1494" s="69"/>
      <c r="K1494" s="68" t="s">
        <v>13</v>
      </c>
      <c r="L1494" s="69" t="s">
        <v>120</v>
      </c>
      <c r="M1494" s="71" t="s">
        <v>141</v>
      </c>
      <c r="N1494" s="69" t="e" vm="1">
        <v>#VALUE!</v>
      </c>
      <c r="O1494" s="84">
        <v>44137</v>
      </c>
      <c r="P1494" s="72" t="s">
        <v>402</v>
      </c>
      <c r="Q1494" s="72"/>
      <c r="R1494" s="162"/>
      <c r="S1494" s="146"/>
      <c r="T1494" s="68" t="s">
        <v>155</v>
      </c>
      <c r="U1494" s="87"/>
      <c r="V1494" s="80"/>
      <c r="W1494" s="73">
        <v>1038</v>
      </c>
      <c r="X1494" s="73">
        <f>1322*28700/1000000</f>
        <v>37.941400000000002</v>
      </c>
      <c r="Y1494" s="83">
        <f>IF(SUM(W1494:W1494)&gt;0,X1494/SUM(W1494:W1494)*1000000,"N/A")</f>
        <v>36552.408477842</v>
      </c>
      <c r="Z1494" s="80"/>
      <c r="AA1494" s="80"/>
      <c r="AB1494" s="73"/>
      <c r="AC1494" s="153"/>
      <c r="AD1494" s="331"/>
      <c r="AE1494" s="57"/>
      <c r="AF1494" s="88"/>
      <c r="AG1494" s="182">
        <f>YEAR(D1494)</f>
        <v>2020</v>
      </c>
      <c r="AH1494" s="86" t="str">
        <f>+IF(AE1494=$AJ$22,MONTH(T1494),"")</f>
        <v/>
      </c>
      <c r="AI1494" s="86" t="str">
        <f>+IF(AF1494=$AJ$22,MONTH(U1494),"")</f>
        <v/>
      </c>
      <c r="AJ1494" s="86" t="str">
        <f>+IF(AG1494=$AJ$22,MONTH(V1494),"")</f>
        <v/>
      </c>
      <c r="AK1494" s="86" t="str">
        <f>+IF(AG1494=$AK$22,MONTH(V1494),"")</f>
        <v/>
      </c>
      <c r="AL1494" s="86" t="str">
        <f>+IF(AG1494=$AL$22,MONTH(V1494),"")</f>
        <v/>
      </c>
      <c r="AM1494" s="86" t="str">
        <f>+IF($AG1494=$AM$22,MONTH($D1494),"")</f>
        <v/>
      </c>
      <c r="AN1494" s="89">
        <f>+IF($AG1494=AN$22,MONTH($D1494),"")</f>
        <v>11</v>
      </c>
      <c r="AO1494" s="89" t="str">
        <f>+IF($AG1494=AO$22,MONTH($D1494),"")</f>
        <v/>
      </c>
      <c r="AP1494" s="89" t="str">
        <f>+IF($AG1494=AP$22,MONTH($D1494),"")</f>
        <v/>
      </c>
      <c r="AQ1494" s="89" t="str">
        <f>+IF($AG1494=AQ$22,MONTH($D1494),"")</f>
        <v/>
      </c>
      <c r="AR1494" s="89" t="str">
        <f>+IF($AG1494=AR$22,MONTH($D1494),"")</f>
        <v/>
      </c>
      <c r="AS1494" s="89" t="str">
        <f>+IF($AG1494=AS$22,MONTH($D1494),"")</f>
        <v/>
      </c>
      <c r="AT1494" s="89" t="str">
        <f>+IF($AG1494=AT$22,MONTH($D1494),"")</f>
        <v/>
      </c>
      <c r="AU1494" s="89" t="str">
        <f>+IF($AG1494=AU$22,MONTH($D1494),"")</f>
        <v/>
      </c>
      <c r="AV1494" s="89" t="str">
        <f>+IF($AG1494=AV$22,MONTH($D1494),"")</f>
        <v/>
      </c>
      <c r="AW1494" s="86" t="str">
        <f>+IF($AG1494=AW$22,MONTH($D1494),"")</f>
        <v/>
      </c>
      <c r="AX1494" s="86" t="str">
        <f>+IF($AG1494=AX$22,MONTH($D1494),"")</f>
        <v/>
      </c>
      <c r="AY1494" s="89"/>
      <c r="AZ1494" s="89"/>
      <c r="BA1494" s="89"/>
      <c r="BB1494" s="89"/>
      <c r="BC1494" s="89"/>
      <c r="BD1494" s="89"/>
      <c r="BE1494" s="89"/>
      <c r="BF1494" s="89"/>
      <c r="BG1494" s="89"/>
      <c r="BH1494" s="89"/>
      <c r="BI1494" s="89"/>
      <c r="BJ1494" s="89"/>
      <c r="BK1494" s="89"/>
      <c r="BL1494" s="89"/>
      <c r="BM1494" s="89"/>
      <c r="BN1494" s="89"/>
      <c r="BO1494" s="89"/>
      <c r="BP1494" s="89"/>
    </row>
    <row r="1495" spans="1:68" s="56" customFormat="1" ht="13.5" hidden="1">
      <c r="A1495" s="204" t="str">
        <f>+IFERROR(VALUE(MID(AB1495,4,4)),"")</f>
        <v/>
      </c>
      <c r="B1495" s="204">
        <f>VALUE(RIGHT(C1495,LEN(C1495)-2))</f>
        <v>1228</v>
      </c>
      <c r="C1495" s="74" t="s">
        <v>5543</v>
      </c>
      <c r="D1495" s="75">
        <v>44125</v>
      </c>
      <c r="E1495" s="70" t="s">
        <v>223</v>
      </c>
      <c r="F1495" s="70" t="s">
        <v>223</v>
      </c>
      <c r="G1495" s="68"/>
      <c r="H1495" s="59"/>
      <c r="I1495" s="69" t="s">
        <v>5544</v>
      </c>
      <c r="J1495" s="69"/>
      <c r="K1495" s="68" t="s">
        <v>12</v>
      </c>
      <c r="L1495" s="69" t="s">
        <v>123</v>
      </c>
      <c r="M1495" s="71" t="s">
        <v>141</v>
      </c>
      <c r="N1495" s="69" t="e" vm="1">
        <v>#VALUE!</v>
      </c>
      <c r="O1495" s="84"/>
      <c r="P1495" s="72" t="s">
        <v>4567</v>
      </c>
      <c r="Q1495" s="72"/>
      <c r="R1495" s="162"/>
      <c r="S1495" s="146"/>
      <c r="T1495" s="68" t="s">
        <v>165</v>
      </c>
      <c r="U1495" s="87"/>
      <c r="V1495" s="80">
        <v>44144</v>
      </c>
      <c r="W1495" s="73">
        <v>825</v>
      </c>
      <c r="X1495" s="73">
        <v>41.34</v>
      </c>
      <c r="Y1495" s="83">
        <f>IF(SUM(W1495:W1495)&gt;0,X1495/SUM(W1495:W1495)*1000000,"N/A")</f>
        <v>50109.090909090919</v>
      </c>
      <c r="Z1495" s="80"/>
      <c r="AA1495" s="80"/>
      <c r="AB1495" s="73"/>
      <c r="AC1495" s="153"/>
      <c r="AD1495" s="331"/>
      <c r="AE1495" s="57"/>
      <c r="AF1495" s="88"/>
      <c r="AG1495" s="182">
        <f>YEAR(D1495)</f>
        <v>2020</v>
      </c>
      <c r="AH1495" s="86" t="str">
        <f>+IF(AE1495=$AJ$22,MONTH(T1495),"")</f>
        <v/>
      </c>
      <c r="AI1495" s="86" t="str">
        <f>+IF(AF1495=$AJ$22,MONTH(U1495),"")</f>
        <v/>
      </c>
      <c r="AJ1495" s="86" t="str">
        <f>+IF(AG1495=$AJ$22,MONTH(V1495),"")</f>
        <v/>
      </c>
      <c r="AK1495" s="86" t="str">
        <f>+IF(AG1495=$AK$22,MONTH(V1495),"")</f>
        <v/>
      </c>
      <c r="AL1495" s="86" t="str">
        <f>+IF(AG1495=$AL$22,MONTH(V1495),"")</f>
        <v/>
      </c>
      <c r="AM1495" s="86" t="str">
        <f>+IF($AG1495=$AM$22,MONTH($D1495),"")</f>
        <v/>
      </c>
      <c r="AN1495" s="89">
        <f>+IF($AG1495=AN$22,MONTH($D1495),"")</f>
        <v>10</v>
      </c>
      <c r="AO1495" s="89" t="str">
        <f>+IF($AG1495=AO$22,MONTH($D1495),"")</f>
        <v/>
      </c>
      <c r="AP1495" s="89" t="str">
        <f>+IF($AG1495=AP$22,MONTH($D1495),"")</f>
        <v/>
      </c>
      <c r="AQ1495" s="89" t="str">
        <f>+IF($AG1495=AQ$22,MONTH($D1495),"")</f>
        <v/>
      </c>
      <c r="AR1495" s="89" t="str">
        <f>+IF($AG1495=AR$22,MONTH($D1495),"")</f>
        <v/>
      </c>
      <c r="AS1495" s="89" t="str">
        <f>+IF($AG1495=AS$22,MONTH($D1495),"")</f>
        <v/>
      </c>
      <c r="AT1495" s="89" t="str">
        <f>+IF($AG1495=AT$22,MONTH($D1495),"")</f>
        <v/>
      </c>
      <c r="AU1495" s="89" t="str">
        <f>+IF($AG1495=AU$22,MONTH($D1495),"")</f>
        <v/>
      </c>
      <c r="AV1495" s="89" t="str">
        <f>+IF($AG1495=AV$22,MONTH($D1495),"")</f>
        <v/>
      </c>
      <c r="AW1495" s="86" t="str">
        <f>+IF($AG1495=AW$22,MONTH($D1495),"")</f>
        <v/>
      </c>
      <c r="AX1495" s="86" t="str">
        <f>+IF($AG1495=AX$22,MONTH($D1495),"")</f>
        <v/>
      </c>
      <c r="AY1495" s="89"/>
      <c r="AZ1495" s="89"/>
      <c r="BA1495" s="89"/>
      <c r="BB1495" s="89"/>
      <c r="BC1495" s="89"/>
      <c r="BD1495" s="89"/>
      <c r="BE1495" s="89"/>
      <c r="BF1495" s="89"/>
      <c r="BG1495" s="89"/>
      <c r="BH1495" s="89"/>
      <c r="BI1495" s="89"/>
      <c r="BJ1495" s="89"/>
      <c r="BK1495" s="89"/>
      <c r="BL1495" s="89"/>
      <c r="BM1495" s="89"/>
      <c r="BN1495" s="89"/>
      <c r="BO1495" s="89"/>
      <c r="BP1495" s="89"/>
    </row>
    <row r="1496" spans="1:68" s="56" customFormat="1" ht="27" hidden="1">
      <c r="A1496" s="204" t="str">
        <f>+IFERROR(VALUE(MID(AB1496,4,4)),"")</f>
        <v/>
      </c>
      <c r="B1496" s="204">
        <f>VALUE(RIGHT(C1496,LEN(C1496)-2))</f>
        <v>1227</v>
      </c>
      <c r="C1496" s="74" t="s">
        <v>5545</v>
      </c>
      <c r="D1496" s="75">
        <v>44120</v>
      </c>
      <c r="E1496" s="70" t="s">
        <v>255</v>
      </c>
      <c r="F1496" s="70" t="s">
        <v>255</v>
      </c>
      <c r="G1496" s="68"/>
      <c r="H1496" s="59"/>
      <c r="I1496" s="69" t="s">
        <v>5546</v>
      </c>
      <c r="J1496" s="69"/>
      <c r="K1496" s="68" t="s">
        <v>212</v>
      </c>
      <c r="L1496" s="69" t="s">
        <v>123</v>
      </c>
      <c r="M1496" s="71" t="s">
        <v>141</v>
      </c>
      <c r="N1496" s="69" t="e" vm="1">
        <v>#VALUE!</v>
      </c>
      <c r="O1496" s="84">
        <v>44152</v>
      </c>
      <c r="P1496" s="72" t="s">
        <v>4567</v>
      </c>
      <c r="Q1496" s="72"/>
      <c r="R1496" s="162"/>
      <c r="S1496" s="146" t="s">
        <v>5547</v>
      </c>
      <c r="T1496" s="68" t="s">
        <v>165</v>
      </c>
      <c r="U1496" s="87"/>
      <c r="V1496" s="80"/>
      <c r="W1496" s="73">
        <v>1</v>
      </c>
      <c r="X1496" s="73"/>
      <c r="Y1496" s="83">
        <f>IF(SUM(W1496:W1496)&gt;0,X1496/SUM(W1496:W1496)*1000000,"N/A")</f>
        <v>0</v>
      </c>
      <c r="Z1496" s="80"/>
      <c r="AA1496" s="80"/>
      <c r="AB1496" s="73"/>
      <c r="AC1496" s="153"/>
      <c r="AD1496" s="331"/>
      <c r="AE1496" s="57"/>
      <c r="AF1496" s="88"/>
      <c r="AG1496" s="182">
        <f>YEAR(D1496)</f>
        <v>2020</v>
      </c>
      <c r="AH1496" s="86" t="str">
        <f>+IF(AE1496=$AJ$22,MONTH(T1496),"")</f>
        <v/>
      </c>
      <c r="AI1496" s="86" t="str">
        <f>+IF(AF1496=$AJ$22,MONTH(U1496),"")</f>
        <v/>
      </c>
      <c r="AJ1496" s="86" t="str">
        <f>+IF(AG1496=$AJ$22,MONTH(V1496),"")</f>
        <v/>
      </c>
      <c r="AK1496" s="86" t="str">
        <f>+IF(AG1496=$AK$22,MONTH(V1496),"")</f>
        <v/>
      </c>
      <c r="AL1496" s="86" t="str">
        <f>+IF(AG1496=$AL$22,MONTH(V1496),"")</f>
        <v/>
      </c>
      <c r="AM1496" s="86" t="str">
        <f>+IF($AG1496=$AM$22,MONTH($D1496),"")</f>
        <v/>
      </c>
      <c r="AN1496" s="89">
        <f>+IF($AG1496=AN$22,MONTH($D1496),"")</f>
        <v>10</v>
      </c>
      <c r="AO1496" s="89" t="str">
        <f>+IF($AG1496=AO$22,MONTH($D1496),"")</f>
        <v/>
      </c>
      <c r="AP1496" s="89" t="str">
        <f>+IF($AG1496=AP$22,MONTH($D1496),"")</f>
        <v/>
      </c>
      <c r="AQ1496" s="89" t="str">
        <f>+IF($AG1496=AQ$22,MONTH($D1496),"")</f>
        <v/>
      </c>
      <c r="AR1496" s="89" t="str">
        <f>+IF($AG1496=AR$22,MONTH($D1496),"")</f>
        <v/>
      </c>
      <c r="AS1496" s="89" t="str">
        <f>+IF($AG1496=AS$22,MONTH($D1496),"")</f>
        <v/>
      </c>
      <c r="AT1496" s="89" t="str">
        <f>+IF($AG1496=AT$22,MONTH($D1496),"")</f>
        <v/>
      </c>
      <c r="AU1496" s="89" t="str">
        <f>+IF($AG1496=AU$22,MONTH($D1496),"")</f>
        <v/>
      </c>
      <c r="AV1496" s="89" t="str">
        <f>+IF($AG1496=AV$22,MONTH($D1496),"")</f>
        <v/>
      </c>
      <c r="AW1496" s="86"/>
      <c r="AX1496" s="86"/>
      <c r="AY1496" s="89"/>
      <c r="AZ1496" s="89"/>
      <c r="BA1496" s="89"/>
      <c r="BB1496" s="89"/>
      <c r="BC1496" s="89"/>
      <c r="BD1496" s="89"/>
      <c r="BE1496" s="89"/>
      <c r="BF1496" s="89"/>
      <c r="BG1496" s="89"/>
      <c r="BH1496" s="89"/>
      <c r="BI1496" s="89"/>
      <c r="BJ1496" s="89"/>
      <c r="BK1496" s="89"/>
      <c r="BL1496" s="89"/>
      <c r="BM1496" s="89"/>
      <c r="BN1496" s="89"/>
      <c r="BO1496" s="89"/>
      <c r="BP1496" s="89"/>
    </row>
    <row r="1497" spans="1:68" s="56" customFormat="1" ht="40.5" hidden="1">
      <c r="A1497" s="204" t="str">
        <f>+IFERROR(VALUE(MID(AB1497,4,4)),"")</f>
        <v/>
      </c>
      <c r="B1497" s="204">
        <f>VALUE(RIGHT(C1497,LEN(C1497)-2))</f>
        <v>1226</v>
      </c>
      <c r="C1497" s="74" t="s">
        <v>5548</v>
      </c>
      <c r="D1497" s="75">
        <v>44118</v>
      </c>
      <c r="E1497" s="70" t="s">
        <v>53</v>
      </c>
      <c r="F1497" s="70" t="s">
        <v>313</v>
      </c>
      <c r="G1497" s="68"/>
      <c r="H1497" s="59"/>
      <c r="I1497" s="69" t="s">
        <v>5549</v>
      </c>
      <c r="J1497" s="69"/>
      <c r="K1497" s="68" t="s">
        <v>13</v>
      </c>
      <c r="L1497" s="69" t="s">
        <v>120</v>
      </c>
      <c r="M1497" s="71" t="s">
        <v>141</v>
      </c>
      <c r="N1497" s="69" t="e" vm="1">
        <v>#VALUE!</v>
      </c>
      <c r="O1497" s="84"/>
      <c r="P1497" s="72" t="s">
        <v>4567</v>
      </c>
      <c r="Q1497" s="72"/>
      <c r="R1497" s="162"/>
      <c r="S1497" s="146" t="s">
        <v>5550</v>
      </c>
      <c r="T1497" s="68" t="s">
        <v>155</v>
      </c>
      <c r="U1497" s="87"/>
      <c r="V1497" s="80"/>
      <c r="W1497" s="73"/>
      <c r="X1497" s="73"/>
      <c r="Y1497" s="83" t="str">
        <f>IF(SUM(W1497:W1497)&gt;0,X1497/SUM(W1497:W1497)*1000000,"N/A")</f>
        <v>N/A</v>
      </c>
      <c r="Z1497" s="80"/>
      <c r="AA1497" s="80"/>
      <c r="AB1497" s="73"/>
      <c r="AC1497" s="153"/>
      <c r="AD1497" s="331"/>
      <c r="AE1497" s="57"/>
      <c r="AF1497" s="88"/>
      <c r="AG1497" s="182">
        <f>YEAR(D1497)</f>
        <v>2020</v>
      </c>
      <c r="AH1497" s="86" t="str">
        <f>+IF(AE1497=$AJ$22,MONTH(T1497),"")</f>
        <v/>
      </c>
      <c r="AI1497" s="86" t="str">
        <f>+IF(AF1497=$AJ$22,MONTH(U1497),"")</f>
        <v/>
      </c>
      <c r="AJ1497" s="86" t="str">
        <f>+IF(AG1497=$AJ$22,MONTH(V1497),"")</f>
        <v/>
      </c>
      <c r="AK1497" s="86" t="str">
        <f>+IF(AG1497=$AK$22,MONTH(V1497),"")</f>
        <v/>
      </c>
      <c r="AL1497" s="86" t="str">
        <f>+IF(AG1497=$AL$22,MONTH(V1497),"")</f>
        <v/>
      </c>
      <c r="AM1497" s="86" t="str">
        <f>+IF($AG1497=$AM$22,MONTH($D1497),"")</f>
        <v/>
      </c>
      <c r="AN1497" s="89">
        <f>+IF($AG1497=AN$22,MONTH($D1497),"")</f>
        <v>10</v>
      </c>
      <c r="AO1497" s="89" t="str">
        <f>+IF($AG1497=AO$22,MONTH($D1497),"")</f>
        <v/>
      </c>
      <c r="AP1497" s="89" t="str">
        <f>+IF($AG1497=AP$22,MONTH($D1497),"")</f>
        <v/>
      </c>
      <c r="AQ1497" s="89" t="str">
        <f>+IF($AG1497=AQ$22,MONTH($D1497),"")</f>
        <v/>
      </c>
      <c r="AR1497" s="89" t="str">
        <f>+IF($AG1497=AR$22,MONTH($D1497),"")</f>
        <v/>
      </c>
      <c r="AS1497" s="89" t="str">
        <f>+IF($AG1497=AS$22,MONTH($D1497),"")</f>
        <v/>
      </c>
      <c r="AT1497" s="89" t="str">
        <f>+IF($AG1497=AT$22,MONTH($D1497),"")</f>
        <v/>
      </c>
      <c r="AU1497" s="89" t="str">
        <f>+IF($AG1497=AU$22,MONTH($D1497),"")</f>
        <v/>
      </c>
      <c r="AV1497" s="89" t="str">
        <f>+IF($AG1497=AV$22,MONTH($D1497),"")</f>
        <v/>
      </c>
      <c r="AW1497" s="86" t="str">
        <f>+IF($AG1497=AW$22,MONTH($D1497),"")</f>
        <v/>
      </c>
      <c r="AX1497" s="86" t="str">
        <f>+IF($AG1497=AX$22,MONTH($D1497),"")</f>
        <v/>
      </c>
      <c r="AY1497" s="89"/>
      <c r="AZ1497" s="89"/>
      <c r="BA1497" s="89"/>
      <c r="BB1497" s="89"/>
      <c r="BC1497" s="89"/>
      <c r="BD1497" s="89"/>
      <c r="BE1497" s="89"/>
      <c r="BF1497" s="89"/>
      <c r="BG1497" s="89"/>
      <c r="BH1497" s="89"/>
      <c r="BI1497" s="89"/>
      <c r="BJ1497" s="89"/>
      <c r="BK1497" s="89"/>
      <c r="BL1497" s="89"/>
      <c r="BM1497" s="89"/>
      <c r="BN1497" s="89"/>
      <c r="BO1497" s="89"/>
      <c r="BP1497" s="89"/>
    </row>
    <row r="1498" spans="1:68" s="56" customFormat="1" ht="13.5" hidden="1">
      <c r="A1498" s="204">
        <f>+IFERROR(VALUE(MID(AB1498,4,4)),"")</f>
        <v>241</v>
      </c>
      <c r="B1498" s="204">
        <f>VALUE(RIGHT(C1498,LEN(C1498)-2))</f>
        <v>1225</v>
      </c>
      <c r="C1498" s="74" t="s">
        <v>5551</v>
      </c>
      <c r="D1498" s="75">
        <v>44117</v>
      </c>
      <c r="E1498" s="70" t="s">
        <v>53</v>
      </c>
      <c r="F1498" s="70" t="s">
        <v>53</v>
      </c>
      <c r="G1498" s="68"/>
      <c r="H1498" s="59"/>
      <c r="I1498" s="69" t="s">
        <v>5552</v>
      </c>
      <c r="J1498" s="69"/>
      <c r="K1498" s="68" t="s">
        <v>13</v>
      </c>
      <c r="L1498" s="69" t="s">
        <v>120</v>
      </c>
      <c r="M1498" s="71" t="s">
        <v>141</v>
      </c>
      <c r="N1498" s="69" t="e" vm="1">
        <v>#VALUE!</v>
      </c>
      <c r="O1498" s="84"/>
      <c r="P1498" s="72" t="s">
        <v>4567</v>
      </c>
      <c r="Q1498" s="72" t="s">
        <v>1097</v>
      </c>
      <c r="R1498" s="162"/>
      <c r="S1498" s="146"/>
      <c r="T1498" s="68" t="s">
        <v>3</v>
      </c>
      <c r="U1498" s="87"/>
      <c r="V1498" s="80">
        <v>44118</v>
      </c>
      <c r="W1498" s="73">
        <v>283</v>
      </c>
      <c r="X1498" s="73">
        <f>364.9*28700/1000000</f>
        <v>10.472630000000001</v>
      </c>
      <c r="Y1498" s="83">
        <f>IF(SUM(W1498:W1498)&gt;0,X1498/SUM(W1498:W1498)*1000000,"N/A")</f>
        <v>37005.75971731449</v>
      </c>
      <c r="Z1498" s="80"/>
      <c r="AA1498" s="80"/>
      <c r="AB1498" s="73" t="s">
        <v>5553</v>
      </c>
      <c r="AC1498" s="153"/>
      <c r="AD1498" s="331"/>
      <c r="AE1498" s="57"/>
      <c r="AF1498" s="88"/>
      <c r="AG1498" s="182">
        <f>YEAR(D1498)</f>
        <v>2020</v>
      </c>
      <c r="AH1498" s="86" t="str">
        <f>+IF(AE1498=$AJ$22,MONTH(T1498),"")</f>
        <v/>
      </c>
      <c r="AI1498" s="86" t="str">
        <f>+IF(AF1498=$AJ$22,MONTH(U1498),"")</f>
        <v/>
      </c>
      <c r="AJ1498" s="86" t="str">
        <f>+IF(AG1498=$AJ$22,MONTH(V1498),"")</f>
        <v/>
      </c>
      <c r="AK1498" s="86" t="str">
        <f>+IF(AG1498=$AK$22,MONTH(V1498),"")</f>
        <v/>
      </c>
      <c r="AL1498" s="86" t="str">
        <f>+IF(AG1498=$AL$22,MONTH(V1498),"")</f>
        <v/>
      </c>
      <c r="AM1498" s="86" t="str">
        <f>+IF($AG1498=$AM$22,MONTH($D1498),"")</f>
        <v/>
      </c>
      <c r="AN1498" s="89">
        <f>+IF($AG1498=AN$22,MONTH($D1498),"")</f>
        <v>10</v>
      </c>
      <c r="AO1498" s="89" t="str">
        <f>+IF($AG1498=AO$22,MONTH($D1498),"")</f>
        <v/>
      </c>
      <c r="AP1498" s="89" t="str">
        <f>+IF($AG1498=AP$22,MONTH($D1498),"")</f>
        <v/>
      </c>
      <c r="AQ1498" s="89" t="str">
        <f>+IF($AG1498=AQ$22,MONTH($D1498),"")</f>
        <v/>
      </c>
      <c r="AR1498" s="89" t="str">
        <f>+IF($AG1498=AR$22,MONTH($D1498),"")</f>
        <v/>
      </c>
      <c r="AS1498" s="89" t="str">
        <f>+IF($AG1498=AS$22,MONTH($D1498),"")</f>
        <v/>
      </c>
      <c r="AT1498" s="89" t="str">
        <f>+IF($AG1498=AT$22,MONTH($D1498),"")</f>
        <v/>
      </c>
      <c r="AU1498" s="89" t="str">
        <f>+IF($AG1498=AU$22,MONTH($D1498),"")</f>
        <v/>
      </c>
      <c r="AV1498" s="89" t="str">
        <f>+IF($AG1498=AV$22,MONTH($D1498),"")</f>
        <v/>
      </c>
      <c r="AW1498" s="86" t="str">
        <f>+IF($AG1498=AW$22,MONTH($D1498),"")</f>
        <v/>
      </c>
      <c r="AX1498" s="86" t="str">
        <f>+IF($AG1498=AX$22,MONTH($D1498),"")</f>
        <v/>
      </c>
      <c r="AY1498" s="89"/>
      <c r="AZ1498" s="89"/>
      <c r="BA1498" s="89"/>
      <c r="BB1498" s="89"/>
      <c r="BC1498" s="89"/>
      <c r="BD1498" s="89"/>
      <c r="BE1498" s="89"/>
      <c r="BF1498" s="89"/>
      <c r="BG1498" s="89"/>
      <c r="BH1498" s="89"/>
      <c r="BI1498" s="89"/>
      <c r="BJ1498" s="89"/>
      <c r="BK1498" s="89"/>
      <c r="BL1498" s="89"/>
      <c r="BM1498" s="89"/>
      <c r="BN1498" s="89"/>
      <c r="BO1498" s="89"/>
      <c r="BP1498" s="89"/>
    </row>
    <row r="1499" spans="1:68" s="56" customFormat="1" ht="40.5" hidden="1">
      <c r="A1499" s="204" t="str">
        <f>+IFERROR(VALUE(MID(AB1499,4,4)),"")</f>
        <v/>
      </c>
      <c r="B1499" s="204">
        <f>VALUE(RIGHT(C1499,LEN(C1499)-2))</f>
        <v>1224</v>
      </c>
      <c r="C1499" s="74" t="s">
        <v>5554</v>
      </c>
      <c r="D1499" s="75">
        <v>44113</v>
      </c>
      <c r="E1499" s="70" t="s">
        <v>53</v>
      </c>
      <c r="F1499" s="70" t="s">
        <v>252</v>
      </c>
      <c r="G1499" s="68"/>
      <c r="H1499" s="59"/>
      <c r="I1499" s="69" t="s">
        <v>5555</v>
      </c>
      <c r="J1499" s="69"/>
      <c r="K1499" s="68" t="s">
        <v>30</v>
      </c>
      <c r="L1499" s="69" t="s">
        <v>123</v>
      </c>
      <c r="M1499" s="71" t="s">
        <v>141</v>
      </c>
      <c r="N1499" s="69" t="e" vm="1">
        <v>#VALUE!</v>
      </c>
      <c r="O1499" s="84"/>
      <c r="P1499" s="72" t="s">
        <v>402</v>
      </c>
      <c r="Q1499" s="72"/>
      <c r="R1499" s="162"/>
      <c r="S1499" s="146" t="s">
        <v>5556</v>
      </c>
      <c r="T1499" s="68" t="s">
        <v>165</v>
      </c>
      <c r="U1499" s="87"/>
      <c r="V1499" s="80">
        <v>44144</v>
      </c>
      <c r="W1499" s="73">
        <v>1570</v>
      </c>
      <c r="X1499" s="73">
        <f>57.040716</f>
        <v>57.040716000000003</v>
      </c>
      <c r="Y1499" s="83">
        <f>IF(SUM(W1499:W1499)&gt;0,X1499/SUM(W1499:W1499)*1000000,"N/A")</f>
        <v>36331.66624203822</v>
      </c>
      <c r="Z1499" s="80"/>
      <c r="AA1499" s="80"/>
      <c r="AB1499" s="73"/>
      <c r="AC1499" s="153"/>
      <c r="AD1499" s="331"/>
      <c r="AE1499" s="57"/>
      <c r="AF1499" s="88"/>
      <c r="AG1499" s="182">
        <f>YEAR(D1499)</f>
        <v>2020</v>
      </c>
      <c r="AH1499" s="86" t="str">
        <f>+IF(AE1499=$AJ$22,MONTH(T1499),"")</f>
        <v/>
      </c>
      <c r="AI1499" s="86" t="str">
        <f>+IF(AF1499=$AJ$22,MONTH(U1499),"")</f>
        <v/>
      </c>
      <c r="AJ1499" s="86" t="str">
        <f>+IF(AG1499=$AJ$22,MONTH(V1499),"")</f>
        <v/>
      </c>
      <c r="AK1499" s="86" t="str">
        <f>+IF(AG1499=$AK$22,MONTH(V1499),"")</f>
        <v/>
      </c>
      <c r="AL1499" s="86" t="str">
        <f>+IF(AG1499=$AL$22,MONTH(V1499),"")</f>
        <v/>
      </c>
      <c r="AM1499" s="86" t="str">
        <f>+IF($AG1499=$AM$22,MONTH($D1499),"")</f>
        <v/>
      </c>
      <c r="AN1499" s="89">
        <f>+IF($AG1499=AN$22,MONTH($D1499),"")</f>
        <v>10</v>
      </c>
      <c r="AO1499" s="89" t="str">
        <f>+IF($AG1499=AO$22,MONTH($D1499),"")</f>
        <v/>
      </c>
      <c r="AP1499" s="89" t="str">
        <f>+IF($AG1499=AP$22,MONTH($D1499),"")</f>
        <v/>
      </c>
      <c r="AQ1499" s="89" t="str">
        <f>+IF($AG1499=AQ$22,MONTH($D1499),"")</f>
        <v/>
      </c>
      <c r="AR1499" s="89" t="str">
        <f>+IF($AG1499=AR$22,MONTH($D1499),"")</f>
        <v/>
      </c>
      <c r="AS1499" s="89" t="str">
        <f>+IF($AG1499=AS$22,MONTH($D1499),"")</f>
        <v/>
      </c>
      <c r="AT1499" s="89" t="str">
        <f>+IF($AG1499=AT$22,MONTH($D1499),"")</f>
        <v/>
      </c>
      <c r="AU1499" s="89" t="str">
        <f>+IF($AG1499=AU$22,MONTH($D1499),"")</f>
        <v/>
      </c>
      <c r="AV1499" s="89" t="str">
        <f>+IF($AG1499=AV$22,MONTH($D1499),"")</f>
        <v/>
      </c>
      <c r="AW1499" s="86" t="str">
        <f>+IF($AG1499=AW$22,MONTH($D1499),"")</f>
        <v/>
      </c>
      <c r="AX1499" s="86" t="str">
        <f>+IF($AG1499=AX$22,MONTH($D1499),"")</f>
        <v/>
      </c>
      <c r="AY1499" s="89"/>
      <c r="AZ1499" s="89"/>
      <c r="BA1499" s="89"/>
      <c r="BB1499" s="89"/>
      <c r="BC1499" s="89"/>
      <c r="BD1499" s="89"/>
      <c r="BE1499" s="89"/>
      <c r="BF1499" s="89"/>
      <c r="BG1499" s="89"/>
      <c r="BH1499" s="89"/>
      <c r="BI1499" s="89"/>
      <c r="BJ1499" s="89"/>
      <c r="BK1499" s="89"/>
      <c r="BL1499" s="89"/>
      <c r="BM1499" s="89"/>
      <c r="BN1499" s="89"/>
      <c r="BO1499" s="89"/>
      <c r="BP1499" s="89"/>
    </row>
    <row r="1500" spans="1:68" s="56" customFormat="1" ht="13.5" hidden="1">
      <c r="A1500" s="204">
        <f>+IFERROR(VALUE(MID(AB1500,4,4)),"")</f>
        <v>276</v>
      </c>
      <c r="B1500" s="204">
        <f>VALUE(RIGHT(C1500,LEN(C1500)-2))</f>
        <v>1223</v>
      </c>
      <c r="C1500" s="74" t="s">
        <v>5557</v>
      </c>
      <c r="D1500" s="75">
        <v>44110</v>
      </c>
      <c r="E1500" s="70" t="s">
        <v>394</v>
      </c>
      <c r="F1500" s="70" t="s">
        <v>394</v>
      </c>
      <c r="G1500" s="68" t="s">
        <v>5421</v>
      </c>
      <c r="H1500" s="59" t="s">
        <v>5422</v>
      </c>
      <c r="I1500" s="69" t="s">
        <v>5558</v>
      </c>
      <c r="J1500" s="69"/>
      <c r="K1500" s="68" t="s">
        <v>45</v>
      </c>
      <c r="L1500" s="69" t="s">
        <v>120</v>
      </c>
      <c r="M1500" s="71" t="s">
        <v>141</v>
      </c>
      <c r="N1500" s="69" t="e" vm="1">
        <v>#VALUE!</v>
      </c>
      <c r="O1500" s="84">
        <v>44267</v>
      </c>
      <c r="P1500" s="72" t="s">
        <v>402</v>
      </c>
      <c r="Q1500" s="72" t="s">
        <v>389</v>
      </c>
      <c r="R1500" s="162"/>
      <c r="S1500" s="146" t="s">
        <v>5559</v>
      </c>
      <c r="T1500" s="68" t="s">
        <v>3</v>
      </c>
      <c r="U1500" s="87"/>
      <c r="V1500" s="80">
        <v>44448</v>
      </c>
      <c r="W1500" s="73">
        <v>13801</v>
      </c>
      <c r="X1500" s="73">
        <v>560</v>
      </c>
      <c r="Y1500" s="83">
        <f>IF(SUM(W1500:W1500)&gt;0,X1500/SUM(W1500:W1500)*1000000,"N/A")</f>
        <v>40576.769799289905</v>
      </c>
      <c r="Z1500" s="80"/>
      <c r="AA1500" s="80"/>
      <c r="AB1500" s="73" t="s">
        <v>5560</v>
      </c>
      <c r="AC1500" s="153"/>
      <c r="AD1500" s="331"/>
      <c r="AE1500" s="57"/>
      <c r="AF1500" s="88"/>
      <c r="AG1500" s="182">
        <f>YEAR(D1500)</f>
        <v>2020</v>
      </c>
      <c r="AH1500" s="86" t="str">
        <f>+IF(AE1500=$AJ$22,MONTH(T1500),"")</f>
        <v/>
      </c>
      <c r="AI1500" s="86" t="str">
        <f>+IF(AF1500=$AJ$22,MONTH(U1500),"")</f>
        <v/>
      </c>
      <c r="AJ1500" s="86" t="str">
        <f>+IF(AG1500=$AJ$22,MONTH(V1500),"")</f>
        <v/>
      </c>
      <c r="AK1500" s="86" t="str">
        <f>+IF(AG1500=$AK$22,MONTH(V1500),"")</f>
        <v/>
      </c>
      <c r="AL1500" s="86" t="str">
        <f>+IF(AG1500=$AL$22,MONTH(V1500),"")</f>
        <v/>
      </c>
      <c r="AM1500" s="86" t="str">
        <f>+IF($AG1500=$AM$22,MONTH($D1500),"")</f>
        <v/>
      </c>
      <c r="AN1500" s="89">
        <f>+IF($AG1500=AN$22,MONTH($D1500),"")</f>
        <v>10</v>
      </c>
      <c r="AO1500" s="89" t="str">
        <f>+IF($AG1500=AO$22,MONTH($D1500),"")</f>
        <v/>
      </c>
      <c r="AP1500" s="89" t="str">
        <f>+IF($AG1500=AP$22,MONTH($D1500),"")</f>
        <v/>
      </c>
      <c r="AQ1500" s="89" t="str">
        <f>+IF($AG1500=AQ$22,MONTH($D1500),"")</f>
        <v/>
      </c>
      <c r="AR1500" s="89" t="str">
        <f>+IF($AG1500=AR$22,MONTH($D1500),"")</f>
        <v/>
      </c>
      <c r="AS1500" s="89" t="str">
        <f>+IF($AG1500=AS$22,MONTH($D1500),"")</f>
        <v/>
      </c>
      <c r="AT1500" s="89" t="str">
        <f>+IF($AG1500=AT$22,MONTH($D1500),"")</f>
        <v/>
      </c>
      <c r="AU1500" s="89" t="str">
        <f>+IF($AG1500=AU$22,MONTH($D1500),"")</f>
        <v/>
      </c>
      <c r="AV1500" s="89" t="str">
        <f>+IF($AG1500=AV$22,MONTH($D1500),"")</f>
        <v/>
      </c>
      <c r="AW1500" s="86" t="str">
        <f>+IF($AG1500=AW$22,MONTH($D1500),"")</f>
        <v/>
      </c>
      <c r="AX1500" s="86" t="str">
        <f>+IF($AG1500=AX$22,MONTH($D1500),"")</f>
        <v/>
      </c>
      <c r="AY1500" s="89"/>
      <c r="AZ1500" s="89"/>
      <c r="BA1500" s="89"/>
      <c r="BB1500" s="89"/>
      <c r="BC1500" s="89"/>
      <c r="BD1500" s="89"/>
      <c r="BE1500" s="89"/>
      <c r="BF1500" s="89"/>
      <c r="BG1500" s="89"/>
      <c r="BH1500" s="89"/>
      <c r="BI1500" s="89"/>
      <c r="BJ1500" s="89"/>
      <c r="BK1500" s="89"/>
      <c r="BL1500" s="89"/>
      <c r="BM1500" s="89"/>
      <c r="BN1500" s="89"/>
      <c r="BO1500" s="89"/>
      <c r="BP1500" s="89"/>
    </row>
    <row r="1501" spans="1:68" s="56" customFormat="1" ht="13.5" hidden="1">
      <c r="A1501" s="204">
        <f>+IFERROR(VALUE(MID(AB1501,4,4)),"")</f>
        <v>263</v>
      </c>
      <c r="B1501" s="204">
        <f>VALUE(RIGHT(C1501,LEN(C1501)-2))</f>
        <v>1223</v>
      </c>
      <c r="C1501" s="74" t="s">
        <v>5557</v>
      </c>
      <c r="D1501" s="75">
        <v>44110</v>
      </c>
      <c r="E1501" s="70" t="s">
        <v>394</v>
      </c>
      <c r="F1501" s="70" t="s">
        <v>394</v>
      </c>
      <c r="G1501" s="68" t="s">
        <v>5421</v>
      </c>
      <c r="H1501" s="59" t="s">
        <v>5422</v>
      </c>
      <c r="I1501" s="69" t="s">
        <v>5558</v>
      </c>
      <c r="J1501" s="69"/>
      <c r="K1501" s="68" t="s">
        <v>45</v>
      </c>
      <c r="L1501" s="69" t="s">
        <v>120</v>
      </c>
      <c r="M1501" s="71" t="s">
        <v>141</v>
      </c>
      <c r="N1501" s="69" t="e" vm="1">
        <v>#VALUE!</v>
      </c>
      <c r="O1501" s="84">
        <v>44267</v>
      </c>
      <c r="P1501" s="72" t="s">
        <v>402</v>
      </c>
      <c r="Q1501" s="72" t="s">
        <v>389</v>
      </c>
      <c r="R1501" s="162"/>
      <c r="S1501" s="146" t="s">
        <v>5561</v>
      </c>
      <c r="T1501" s="68" t="s">
        <v>3</v>
      </c>
      <c r="U1501" s="87"/>
      <c r="V1501" s="80">
        <v>44448</v>
      </c>
      <c r="W1501" s="73">
        <v>4336</v>
      </c>
      <c r="X1501" s="73">
        <v>174</v>
      </c>
      <c r="Y1501" s="83">
        <f>IF(SUM(W1501:W1501)&gt;0,X1501/SUM(W1501:W1501)*1000000,"N/A")</f>
        <v>40129.151291512913</v>
      </c>
      <c r="Z1501" s="80"/>
      <c r="AA1501" s="80"/>
      <c r="AB1501" s="73" t="s">
        <v>5562</v>
      </c>
      <c r="AC1501" s="153"/>
      <c r="AD1501" s="331"/>
      <c r="AE1501" s="57"/>
      <c r="AF1501" s="88"/>
      <c r="AG1501" s="182">
        <f>YEAR(D1501)</f>
        <v>2020</v>
      </c>
      <c r="AH1501" s="86" t="str">
        <f>+IF(AE1501=$AJ$22,MONTH(T1501),"")</f>
        <v/>
      </c>
      <c r="AI1501" s="86" t="str">
        <f>+IF(AF1501=$AJ$22,MONTH(U1501),"")</f>
        <v/>
      </c>
      <c r="AJ1501" s="86" t="str">
        <f>+IF(AG1501=$AJ$22,MONTH(V1501),"")</f>
        <v/>
      </c>
      <c r="AK1501" s="86" t="str">
        <f>+IF(AG1501=$AK$22,MONTH(V1501),"")</f>
        <v/>
      </c>
      <c r="AL1501" s="86" t="str">
        <f>+IF(AG1501=$AL$22,MONTH(V1501),"")</f>
        <v/>
      </c>
      <c r="AM1501" s="86" t="str">
        <f>+IF($AG1501=$AM$22,MONTH($D1501),"")</f>
        <v/>
      </c>
      <c r="AN1501" s="89">
        <f>+IF($AG1501=AN$22,MONTH($D1501),"")</f>
        <v>10</v>
      </c>
      <c r="AO1501" s="89" t="str">
        <f>+IF($AG1501=AO$22,MONTH($D1501),"")</f>
        <v/>
      </c>
      <c r="AP1501" s="89" t="str">
        <f>+IF($AG1501=AP$22,MONTH($D1501),"")</f>
        <v/>
      </c>
      <c r="AQ1501" s="89" t="str">
        <f>+IF($AG1501=AQ$22,MONTH($D1501),"")</f>
        <v/>
      </c>
      <c r="AR1501" s="89" t="str">
        <f>+IF($AG1501=AR$22,MONTH($D1501),"")</f>
        <v/>
      </c>
      <c r="AS1501" s="89" t="str">
        <f>+IF($AG1501=AS$22,MONTH($D1501),"")</f>
        <v/>
      </c>
      <c r="AT1501" s="89" t="str">
        <f>+IF($AG1501=AT$22,MONTH($D1501),"")</f>
        <v/>
      </c>
      <c r="AU1501" s="89" t="str">
        <f>+IF($AG1501=AU$22,MONTH($D1501),"")</f>
        <v/>
      </c>
      <c r="AV1501" s="89" t="str">
        <f>+IF($AG1501=AV$22,MONTH($D1501),"")</f>
        <v/>
      </c>
      <c r="AW1501" s="86"/>
      <c r="AX1501" s="86"/>
      <c r="AY1501" s="89"/>
      <c r="AZ1501" s="89"/>
      <c r="BA1501" s="89"/>
      <c r="BB1501" s="89"/>
      <c r="BC1501" s="89"/>
      <c r="BD1501" s="89"/>
      <c r="BE1501" s="89"/>
      <c r="BF1501" s="89"/>
      <c r="BG1501" s="89"/>
      <c r="BH1501" s="89"/>
      <c r="BI1501" s="89"/>
      <c r="BJ1501" s="89"/>
      <c r="BK1501" s="89"/>
      <c r="BL1501" s="89"/>
      <c r="BM1501" s="89"/>
      <c r="BN1501" s="89"/>
      <c r="BO1501" s="89"/>
      <c r="BP1501" s="89"/>
    </row>
    <row r="1502" spans="1:68" s="56" customFormat="1" ht="13.5" hidden="1">
      <c r="A1502" s="204" t="str">
        <f>+IFERROR(VALUE(MID(AB1502,4,4)),"")</f>
        <v/>
      </c>
      <c r="B1502" s="204">
        <f>VALUE(RIGHT(C1502,LEN(C1502)-2))</f>
        <v>1222</v>
      </c>
      <c r="C1502" s="74" t="s">
        <v>5563</v>
      </c>
      <c r="D1502" s="75">
        <v>44110</v>
      </c>
      <c r="E1502" s="70" t="s">
        <v>479</v>
      </c>
      <c r="F1502" s="70" t="s">
        <v>479</v>
      </c>
      <c r="G1502" s="68" t="s">
        <v>5480</v>
      </c>
      <c r="H1502" s="59"/>
      <c r="I1502" s="69" t="s">
        <v>5564</v>
      </c>
      <c r="J1502" s="69"/>
      <c r="K1502" s="68" t="s">
        <v>11</v>
      </c>
      <c r="L1502" s="69" t="s">
        <v>120</v>
      </c>
      <c r="M1502" s="71" t="s">
        <v>113</v>
      </c>
      <c r="N1502" s="69" t="e" vm="2">
        <v>#VALUE!</v>
      </c>
      <c r="O1502" s="84">
        <v>44110</v>
      </c>
      <c r="P1502" s="72" t="s">
        <v>402</v>
      </c>
      <c r="Q1502" s="72" t="s">
        <v>229</v>
      </c>
      <c r="R1502" s="162"/>
      <c r="S1502" s="146"/>
      <c r="T1502" s="68" t="s">
        <v>165</v>
      </c>
      <c r="U1502" s="87"/>
      <c r="V1502" s="80">
        <v>44117</v>
      </c>
      <c r="W1502" s="73">
        <v>1500</v>
      </c>
      <c r="X1502" s="73">
        <f>750*132600/1000000</f>
        <v>99.45</v>
      </c>
      <c r="Y1502" s="83">
        <f>IF(SUM(W1502:W1502)&gt;0,X1502/SUM(W1502:W1502)*1000000,"N/A")</f>
        <v>66300</v>
      </c>
      <c r="Z1502" s="80"/>
      <c r="AA1502" s="80"/>
      <c r="AB1502" s="73"/>
      <c r="AC1502" s="153"/>
      <c r="AD1502" s="331"/>
      <c r="AE1502" s="57"/>
      <c r="AF1502" s="88"/>
      <c r="AG1502" s="182">
        <f>YEAR(D1502)</f>
        <v>2020</v>
      </c>
      <c r="AH1502" s="86" t="str">
        <f>+IF(AE1502=$AJ$22,MONTH(T1502),"")</f>
        <v/>
      </c>
      <c r="AI1502" s="86" t="str">
        <f>+IF(AF1502=$AJ$22,MONTH(U1502),"")</f>
        <v/>
      </c>
      <c r="AJ1502" s="86" t="str">
        <f>+IF(AG1502=$AJ$22,MONTH(V1502),"")</f>
        <v/>
      </c>
      <c r="AK1502" s="86" t="str">
        <f>+IF(AG1502=$AK$22,MONTH(V1502),"")</f>
        <v/>
      </c>
      <c r="AL1502" s="86" t="str">
        <f>+IF(AG1502=$AL$22,MONTH(V1502),"")</f>
        <v/>
      </c>
      <c r="AM1502" s="86" t="str">
        <f>+IF($AG1502=$AM$22,MONTH($D1502),"")</f>
        <v/>
      </c>
      <c r="AN1502" s="89">
        <f>+IF($AG1502=AN$22,MONTH($D1502),"")</f>
        <v>10</v>
      </c>
      <c r="AO1502" s="89" t="str">
        <f>+IF($AG1502=AO$22,MONTH($D1502),"")</f>
        <v/>
      </c>
      <c r="AP1502" s="89" t="str">
        <f>+IF($AG1502=AP$22,MONTH($D1502),"")</f>
        <v/>
      </c>
      <c r="AQ1502" s="89" t="str">
        <f>+IF($AG1502=AQ$22,MONTH($D1502),"")</f>
        <v/>
      </c>
      <c r="AR1502" s="89" t="str">
        <f>+IF($AG1502=AR$22,MONTH($D1502),"")</f>
        <v/>
      </c>
      <c r="AS1502" s="89" t="str">
        <f>+IF($AG1502=AS$22,MONTH($D1502),"")</f>
        <v/>
      </c>
      <c r="AT1502" s="89" t="str">
        <f>+IF($AG1502=AT$22,MONTH($D1502),"")</f>
        <v/>
      </c>
      <c r="AU1502" s="89" t="str">
        <f>+IF($AG1502=AU$22,MONTH($D1502),"")</f>
        <v/>
      </c>
      <c r="AV1502" s="89" t="str">
        <f>+IF($AG1502=AV$22,MONTH($D1502),"")</f>
        <v/>
      </c>
      <c r="AW1502" s="86"/>
      <c r="AX1502" s="86"/>
      <c r="AY1502" s="89"/>
      <c r="AZ1502" s="89"/>
      <c r="BA1502" s="89"/>
      <c r="BB1502" s="89"/>
      <c r="BC1502" s="89"/>
      <c r="BD1502" s="89"/>
      <c r="BE1502" s="89"/>
      <c r="BF1502" s="89"/>
      <c r="BG1502" s="89"/>
      <c r="BH1502" s="89"/>
      <c r="BI1502" s="89"/>
      <c r="BJ1502" s="89"/>
      <c r="BK1502" s="89"/>
      <c r="BL1502" s="89"/>
      <c r="BM1502" s="89"/>
      <c r="BN1502" s="89"/>
      <c r="BO1502" s="89"/>
      <c r="BP1502" s="89"/>
    </row>
    <row r="1503" spans="1:68" s="56" customFormat="1" ht="13.5" hidden="1">
      <c r="A1503" s="204" t="str">
        <f>+IFERROR(VALUE(MID(AB1503,4,4)),"")</f>
        <v/>
      </c>
      <c r="B1503" s="204">
        <f>VALUE(RIGHT(C1503,LEN(C1503)-2))</f>
        <v>1221</v>
      </c>
      <c r="C1503" s="74" t="s">
        <v>5565</v>
      </c>
      <c r="D1503" s="75">
        <v>44109</v>
      </c>
      <c r="E1503" s="70" t="s">
        <v>101</v>
      </c>
      <c r="F1503" s="70" t="s">
        <v>479</v>
      </c>
      <c r="G1503" s="68" t="s">
        <v>5566</v>
      </c>
      <c r="H1503" s="59"/>
      <c r="I1503" s="69" t="s">
        <v>5567</v>
      </c>
      <c r="J1503" s="69"/>
      <c r="K1503" s="68" t="s">
        <v>11</v>
      </c>
      <c r="L1503" s="69" t="s">
        <v>120</v>
      </c>
      <c r="M1503" s="71" t="s">
        <v>141</v>
      </c>
      <c r="N1503" s="69" t="e" vm="2">
        <v>#VALUE!</v>
      </c>
      <c r="O1503" s="84">
        <v>44109</v>
      </c>
      <c r="P1503" s="72" t="s">
        <v>402</v>
      </c>
      <c r="Q1503" s="72" t="s">
        <v>259</v>
      </c>
      <c r="R1503" s="162"/>
      <c r="S1503" s="146"/>
      <c r="T1503" s="68" t="s">
        <v>3</v>
      </c>
      <c r="U1503" s="87"/>
      <c r="V1503" s="80">
        <v>44117</v>
      </c>
      <c r="W1503" s="73">
        <v>76</v>
      </c>
      <c r="X1503" s="73">
        <f>10623*140/1000000</f>
        <v>1.48722</v>
      </c>
      <c r="Y1503" s="83">
        <f>IF(SUM(W1503:W1503)&gt;0,X1503/SUM(W1503:W1503)*1000000,"N/A")</f>
        <v>19568.684210526313</v>
      </c>
      <c r="Z1503" s="80"/>
      <c r="AA1503" s="80"/>
      <c r="AB1503" s="73"/>
      <c r="AC1503" s="153"/>
      <c r="AD1503" s="331"/>
      <c r="AE1503" s="57"/>
      <c r="AF1503" s="88"/>
      <c r="AG1503" s="182">
        <f>YEAR(D1503)</f>
        <v>2020</v>
      </c>
      <c r="AH1503" s="86" t="str">
        <f>+IF(AE1503=$AJ$22,MONTH(T1503),"")</f>
        <v/>
      </c>
      <c r="AI1503" s="86" t="str">
        <f>+IF(AF1503=$AJ$22,MONTH(U1503),"")</f>
        <v/>
      </c>
      <c r="AJ1503" s="86" t="str">
        <f>+IF(AG1503=$AJ$22,MONTH(V1503),"")</f>
        <v/>
      </c>
      <c r="AK1503" s="86" t="str">
        <f>+IF(AG1503=$AK$22,MONTH(V1503),"")</f>
        <v/>
      </c>
      <c r="AL1503" s="86" t="str">
        <f>+IF(AG1503=$AL$22,MONTH(V1503),"")</f>
        <v/>
      </c>
      <c r="AM1503" s="86" t="str">
        <f>+IF($AG1503=$AM$22,MONTH($D1503),"")</f>
        <v/>
      </c>
      <c r="AN1503" s="89">
        <f>+IF($AG1503=AN$22,MONTH($D1503),"")</f>
        <v>10</v>
      </c>
      <c r="AO1503" s="89" t="str">
        <f>+IF($AG1503=AO$22,MONTH($D1503),"")</f>
        <v/>
      </c>
      <c r="AP1503" s="89" t="str">
        <f>+IF($AG1503=AP$22,MONTH($D1503),"")</f>
        <v/>
      </c>
      <c r="AQ1503" s="89" t="str">
        <f>+IF($AG1503=AQ$22,MONTH($D1503),"")</f>
        <v/>
      </c>
      <c r="AR1503" s="89" t="str">
        <f>+IF($AG1503=AR$22,MONTH($D1503),"")</f>
        <v/>
      </c>
      <c r="AS1503" s="89" t="str">
        <f>+IF($AG1503=AS$22,MONTH($D1503),"")</f>
        <v/>
      </c>
      <c r="AT1503" s="89" t="str">
        <f>+IF($AG1503=AT$22,MONTH($D1503),"")</f>
        <v/>
      </c>
      <c r="AU1503" s="89" t="str">
        <f>+IF($AG1503=AU$22,MONTH($D1503),"")</f>
        <v/>
      </c>
      <c r="AV1503" s="89" t="str">
        <f>+IF($AG1503=AV$22,MONTH($D1503),"")</f>
        <v/>
      </c>
      <c r="AW1503" s="86" t="str">
        <f>+IF($AG1503=AW$22,MONTH($D1503),"")</f>
        <v/>
      </c>
      <c r="AX1503" s="86" t="str">
        <f>+IF($AG1503=AX$22,MONTH($D1503),"")</f>
        <v/>
      </c>
      <c r="AY1503" s="89"/>
      <c r="AZ1503" s="89"/>
      <c r="BA1503" s="89"/>
      <c r="BB1503" s="89"/>
      <c r="BC1503" s="89"/>
      <c r="BD1503" s="89"/>
      <c r="BE1503" s="89"/>
      <c r="BF1503" s="89"/>
      <c r="BG1503" s="89"/>
      <c r="BH1503" s="89"/>
      <c r="BI1503" s="89"/>
      <c r="BJ1503" s="89"/>
      <c r="BK1503" s="89"/>
      <c r="BL1503" s="89"/>
      <c r="BM1503" s="89"/>
      <c r="BN1503" s="89"/>
      <c r="BO1503" s="89"/>
      <c r="BP1503" s="89"/>
    </row>
    <row r="1504" spans="1:68" s="56" customFormat="1" ht="27" hidden="1">
      <c r="A1504" s="204" t="str">
        <f>+IFERROR(VALUE(MID(AB1504,4,4)),"")</f>
        <v/>
      </c>
      <c r="B1504" s="204">
        <f>VALUE(RIGHT(C1504,LEN(C1504)-2))</f>
        <v>1220</v>
      </c>
      <c r="C1504" s="74" t="s">
        <v>5568</v>
      </c>
      <c r="D1504" s="75">
        <v>44102</v>
      </c>
      <c r="E1504" s="70" t="s">
        <v>53</v>
      </c>
      <c r="F1504" s="70" t="s">
        <v>252</v>
      </c>
      <c r="G1504" s="68"/>
      <c r="H1504" s="59"/>
      <c r="I1504" s="69" t="s">
        <v>5569</v>
      </c>
      <c r="J1504" s="69"/>
      <c r="K1504" s="68" t="s">
        <v>13</v>
      </c>
      <c r="L1504" s="69" t="s">
        <v>123</v>
      </c>
      <c r="M1504" s="71" t="s">
        <v>141</v>
      </c>
      <c r="N1504" s="69" t="e" vm="1">
        <v>#VALUE!</v>
      </c>
      <c r="O1504" s="84">
        <v>44130</v>
      </c>
      <c r="P1504" s="72" t="s">
        <v>4567</v>
      </c>
      <c r="Q1504" s="72"/>
      <c r="R1504" s="162"/>
      <c r="S1504" s="146" t="s">
        <v>5570</v>
      </c>
      <c r="T1504" s="68" t="s">
        <v>165</v>
      </c>
      <c r="U1504" s="87"/>
      <c r="V1504" s="80">
        <v>44144</v>
      </c>
      <c r="W1504" s="73">
        <v>6455</v>
      </c>
      <c r="X1504" s="73">
        <v>211.65671499999999</v>
      </c>
      <c r="Y1504" s="83">
        <f>IF(SUM(W1504:W1504)&gt;0,X1504/SUM(W1504:W1504)*1000000,"N/A")</f>
        <v>32789.57629744384</v>
      </c>
      <c r="Z1504" s="80"/>
      <c r="AA1504" s="80"/>
      <c r="AB1504" s="73"/>
      <c r="AC1504" s="153"/>
      <c r="AD1504" s="331"/>
      <c r="AE1504" s="57"/>
      <c r="AF1504" s="88"/>
      <c r="AG1504" s="182">
        <f>YEAR(D1504)</f>
        <v>2020</v>
      </c>
      <c r="AH1504" s="86" t="str">
        <f>+IF(AE1504=$AJ$22,MONTH(T1504),"")</f>
        <v/>
      </c>
      <c r="AI1504" s="86" t="str">
        <f>+IF(AF1504=$AJ$22,MONTH(U1504),"")</f>
        <v/>
      </c>
      <c r="AJ1504" s="86" t="str">
        <f>+IF(AG1504=$AJ$22,MONTH(V1504),"")</f>
        <v/>
      </c>
      <c r="AK1504" s="86" t="str">
        <f>+IF(AG1504=$AK$22,MONTH(V1504),"")</f>
        <v/>
      </c>
      <c r="AL1504" s="86" t="str">
        <f>+IF(AG1504=$AL$22,MONTH(V1504),"")</f>
        <v/>
      </c>
      <c r="AM1504" s="86" t="str">
        <f>+IF($AG1504=$AM$22,MONTH($D1504),"")</f>
        <v/>
      </c>
      <c r="AN1504" s="89">
        <f>+IF($AG1504=AN$22,MONTH($D1504),"")</f>
        <v>9</v>
      </c>
      <c r="AO1504" s="89" t="str">
        <f>+IF($AG1504=AO$22,MONTH($D1504),"")</f>
        <v/>
      </c>
      <c r="AP1504" s="89" t="str">
        <f>+IF($AG1504=AP$22,MONTH($D1504),"")</f>
        <v/>
      </c>
      <c r="AQ1504" s="89" t="str">
        <f>+IF($AG1504=AQ$22,MONTH($D1504),"")</f>
        <v/>
      </c>
      <c r="AR1504" s="89" t="str">
        <f>+IF($AG1504=AR$22,MONTH($D1504),"")</f>
        <v/>
      </c>
      <c r="AS1504" s="89" t="str">
        <f>+IF($AG1504=AS$22,MONTH($D1504),"")</f>
        <v/>
      </c>
      <c r="AT1504" s="89" t="str">
        <f>+IF($AG1504=AT$22,MONTH($D1504),"")</f>
        <v/>
      </c>
      <c r="AU1504" s="89" t="str">
        <f>+IF($AG1504=AU$22,MONTH($D1504),"")</f>
        <v/>
      </c>
      <c r="AV1504" s="89" t="str">
        <f>+IF($AG1504=AV$22,MONTH($D1504),"")</f>
        <v/>
      </c>
      <c r="AW1504" s="86" t="str">
        <f>+IF($AG1504=AW$22,MONTH($D1504),"")</f>
        <v/>
      </c>
      <c r="AX1504" s="86" t="str">
        <f>+IF($AG1504=AX$22,MONTH($D1504),"")</f>
        <v/>
      </c>
      <c r="AY1504" s="89"/>
      <c r="AZ1504" s="89"/>
      <c r="BA1504" s="89"/>
      <c r="BB1504" s="89"/>
      <c r="BC1504" s="89"/>
      <c r="BD1504" s="89"/>
      <c r="BE1504" s="89"/>
      <c r="BF1504" s="89"/>
      <c r="BG1504" s="89"/>
      <c r="BH1504" s="89"/>
      <c r="BI1504" s="89"/>
      <c r="BJ1504" s="89"/>
      <c r="BK1504" s="89"/>
      <c r="BL1504" s="89"/>
      <c r="BM1504" s="89"/>
      <c r="BN1504" s="89"/>
      <c r="BO1504" s="89"/>
      <c r="BP1504" s="89"/>
    </row>
    <row r="1505" spans="1:68" s="56" customFormat="1" ht="13.5" hidden="1">
      <c r="A1505" s="204" t="str">
        <f>+IFERROR(VALUE(MID(AB1505,4,4)),"")</f>
        <v/>
      </c>
      <c r="B1505" s="204">
        <f>VALUE(RIGHT(C1505,LEN(C1505)-2))</f>
        <v>1219</v>
      </c>
      <c r="C1505" s="74" t="s">
        <v>5571</v>
      </c>
      <c r="D1505" s="75">
        <v>44099</v>
      </c>
      <c r="E1505" s="70" t="s">
        <v>5572</v>
      </c>
      <c r="F1505" s="70" t="s">
        <v>5573</v>
      </c>
      <c r="G1505" s="68" t="s">
        <v>5574</v>
      </c>
      <c r="H1505" s="59"/>
      <c r="I1505" s="69" t="s">
        <v>5575</v>
      </c>
      <c r="J1505" s="69"/>
      <c r="K1505" s="68" t="s">
        <v>30</v>
      </c>
      <c r="L1505" s="69" t="s">
        <v>120</v>
      </c>
      <c r="M1505" s="71" t="s">
        <v>141</v>
      </c>
      <c r="N1505" s="69" t="e" vm="1">
        <v>#VALUE!</v>
      </c>
      <c r="O1505" s="84">
        <v>44104</v>
      </c>
      <c r="P1505" s="72" t="s">
        <v>4567</v>
      </c>
      <c r="Q1505" s="72"/>
      <c r="R1505" s="162"/>
      <c r="S1505" s="146" t="s">
        <v>5576</v>
      </c>
      <c r="T1505" s="68" t="s">
        <v>165</v>
      </c>
      <c r="U1505" s="87"/>
      <c r="V1505" s="80">
        <v>44117</v>
      </c>
      <c r="W1505" s="73">
        <v>1650</v>
      </c>
      <c r="X1505" s="73">
        <f>1959*28200/1000000</f>
        <v>55.2438</v>
      </c>
      <c r="Y1505" s="83">
        <f>IF(SUM(W1505:W1505)&gt;0,X1505/SUM(W1505:W1505)*1000000,"N/A")</f>
        <v>33481.090909090912</v>
      </c>
      <c r="Z1505" s="80"/>
      <c r="AA1505" s="80"/>
      <c r="AB1505" s="73"/>
      <c r="AC1505" s="153"/>
      <c r="AD1505" s="331"/>
      <c r="AE1505" s="57"/>
      <c r="AF1505" s="88"/>
      <c r="AG1505" s="182">
        <f>YEAR(D1505)</f>
        <v>2020</v>
      </c>
      <c r="AH1505" s="86" t="str">
        <f>+IF(AE1505=$AJ$22,MONTH(T1505),"")</f>
        <v/>
      </c>
      <c r="AI1505" s="86" t="str">
        <f>+IF(AF1505=$AJ$22,MONTH(U1505),"")</f>
        <v/>
      </c>
      <c r="AJ1505" s="86" t="str">
        <f>+IF(AG1505=$AJ$22,MONTH(V1505),"")</f>
        <v/>
      </c>
      <c r="AK1505" s="86" t="str">
        <f>+IF(AG1505=$AK$22,MONTH(V1505),"")</f>
        <v/>
      </c>
      <c r="AL1505" s="86" t="str">
        <f>+IF(AG1505=$AL$22,MONTH(V1505),"")</f>
        <v/>
      </c>
      <c r="AM1505" s="86" t="str">
        <f>+IF($AG1505=$AM$22,MONTH($D1505),"")</f>
        <v/>
      </c>
      <c r="AN1505" s="89">
        <f>+IF($AG1505=AN$22,MONTH($D1505),"")</f>
        <v>9</v>
      </c>
      <c r="AO1505" s="89" t="str">
        <f>+IF($AG1505=AO$22,MONTH($D1505),"")</f>
        <v/>
      </c>
      <c r="AP1505" s="89" t="str">
        <f>+IF($AG1505=AP$22,MONTH($D1505),"")</f>
        <v/>
      </c>
      <c r="AQ1505" s="89" t="str">
        <f>+IF($AG1505=AQ$22,MONTH($D1505),"")</f>
        <v/>
      </c>
      <c r="AR1505" s="89" t="str">
        <f>+IF($AG1505=AR$22,MONTH($D1505),"")</f>
        <v/>
      </c>
      <c r="AS1505" s="89" t="str">
        <f>+IF($AG1505=AS$22,MONTH($D1505),"")</f>
        <v/>
      </c>
      <c r="AT1505" s="89" t="str">
        <f>+IF($AG1505=AT$22,MONTH($D1505),"")</f>
        <v/>
      </c>
      <c r="AU1505" s="89" t="str">
        <f>+IF($AG1505=AU$22,MONTH($D1505),"")</f>
        <v/>
      </c>
      <c r="AV1505" s="89" t="str">
        <f>+IF($AG1505=AV$22,MONTH($D1505),"")</f>
        <v/>
      </c>
      <c r="AW1505" s="86"/>
      <c r="AX1505" s="86"/>
      <c r="AY1505" s="89"/>
      <c r="AZ1505" s="89"/>
      <c r="BA1505" s="89"/>
      <c r="BB1505" s="89"/>
      <c r="BC1505" s="89"/>
      <c r="BD1505" s="89"/>
      <c r="BE1505" s="89"/>
      <c r="BF1505" s="89"/>
      <c r="BG1505" s="89"/>
      <c r="BH1505" s="89"/>
      <c r="BI1505" s="89"/>
      <c r="BJ1505" s="89"/>
      <c r="BK1505" s="89"/>
      <c r="BL1505" s="89"/>
      <c r="BM1505" s="89"/>
      <c r="BN1505" s="89"/>
      <c r="BO1505" s="89"/>
      <c r="BP1505" s="89"/>
    </row>
    <row r="1506" spans="1:68" s="56" customFormat="1" ht="27" hidden="1">
      <c r="A1506" s="204" t="str">
        <f>+IFERROR(VALUE(MID(AB1506,4,4)),"")</f>
        <v/>
      </c>
      <c r="B1506" s="204">
        <f>VALUE(RIGHT(C1506,LEN(C1506)-2))</f>
        <v>1218</v>
      </c>
      <c r="C1506" s="74" t="s">
        <v>5577</v>
      </c>
      <c r="D1506" s="75">
        <v>44098</v>
      </c>
      <c r="E1506" s="70" t="s">
        <v>96</v>
      </c>
      <c r="F1506" s="70" t="s">
        <v>96</v>
      </c>
      <c r="G1506" s="68" t="s">
        <v>1433</v>
      </c>
      <c r="H1506" s="59"/>
      <c r="I1506" s="69" t="s">
        <v>5578</v>
      </c>
      <c r="J1506" s="69"/>
      <c r="K1506" s="68" t="s">
        <v>12</v>
      </c>
      <c r="L1506" s="69" t="s">
        <v>123</v>
      </c>
      <c r="M1506" s="71" t="s">
        <v>141</v>
      </c>
      <c r="N1506" s="69" t="e" vm="1">
        <v>#VALUE!</v>
      </c>
      <c r="O1506" s="84">
        <v>44109</v>
      </c>
      <c r="P1506" s="72" t="s">
        <v>402</v>
      </c>
      <c r="Q1506" s="72"/>
      <c r="R1506" s="162"/>
      <c r="S1506" s="146" t="s">
        <v>5579</v>
      </c>
      <c r="T1506" s="68" t="s">
        <v>165</v>
      </c>
      <c r="U1506" s="87"/>
      <c r="V1506" s="80">
        <v>44117</v>
      </c>
      <c r="W1506" s="73">
        <v>3594</v>
      </c>
      <c r="X1506" s="73">
        <f>125.521871</f>
        <v>125.521871</v>
      </c>
      <c r="Y1506" s="83">
        <f>IF(SUM(W1506:W1506)&gt;0,X1506/SUM(W1506:W1506)*1000000,"N/A")</f>
        <v>34925.395381190872</v>
      </c>
      <c r="Z1506" s="80"/>
      <c r="AA1506" s="80"/>
      <c r="AB1506" s="73"/>
      <c r="AC1506" s="153"/>
      <c r="AD1506" s="331"/>
      <c r="AE1506" s="57"/>
      <c r="AF1506" s="88"/>
      <c r="AG1506" s="182">
        <f>YEAR(D1506)</f>
        <v>2020</v>
      </c>
      <c r="AH1506" s="86" t="str">
        <f>+IF(AE1506=$AJ$22,MONTH(T1506),"")</f>
        <v/>
      </c>
      <c r="AI1506" s="86" t="str">
        <f>+IF(AF1506=$AJ$22,MONTH(U1506),"")</f>
        <v/>
      </c>
      <c r="AJ1506" s="86" t="str">
        <f>+IF(AG1506=$AJ$22,MONTH(V1506),"")</f>
        <v/>
      </c>
      <c r="AK1506" s="86" t="str">
        <f>+IF(AG1506=$AK$22,MONTH(V1506),"")</f>
        <v/>
      </c>
      <c r="AL1506" s="86" t="str">
        <f>+IF(AG1506=$AL$22,MONTH(V1506),"")</f>
        <v/>
      </c>
      <c r="AM1506" s="86" t="str">
        <f>+IF($AG1506=$AM$22,MONTH($D1506),"")</f>
        <v/>
      </c>
      <c r="AN1506" s="89">
        <f>+IF($AG1506=AN$22,MONTH($D1506),"")</f>
        <v>9</v>
      </c>
      <c r="AO1506" s="89" t="str">
        <f>+IF($AG1506=AO$22,MONTH($D1506),"")</f>
        <v/>
      </c>
      <c r="AP1506" s="89" t="str">
        <f>+IF($AG1506=AP$22,MONTH($D1506),"")</f>
        <v/>
      </c>
      <c r="AQ1506" s="89" t="str">
        <f>+IF($AG1506=AQ$22,MONTH($D1506),"")</f>
        <v/>
      </c>
      <c r="AR1506" s="89" t="str">
        <f>+IF($AG1506=AR$22,MONTH($D1506),"")</f>
        <v/>
      </c>
      <c r="AS1506" s="89" t="str">
        <f>+IF($AG1506=AS$22,MONTH($D1506),"")</f>
        <v/>
      </c>
      <c r="AT1506" s="89" t="str">
        <f>+IF($AG1506=AT$22,MONTH($D1506),"")</f>
        <v/>
      </c>
      <c r="AU1506" s="89" t="str">
        <f>+IF($AG1506=AU$22,MONTH($D1506),"")</f>
        <v/>
      </c>
      <c r="AV1506" s="89" t="str">
        <f>+IF($AG1506=AV$22,MONTH($D1506),"")</f>
        <v/>
      </c>
      <c r="AW1506" s="86"/>
      <c r="AX1506" s="86"/>
      <c r="AY1506" s="89"/>
      <c r="AZ1506" s="89"/>
      <c r="BA1506" s="89"/>
      <c r="BB1506" s="89"/>
      <c r="BC1506" s="89"/>
      <c r="BD1506" s="89"/>
      <c r="BE1506" s="89"/>
      <c r="BF1506" s="89"/>
      <c r="BG1506" s="89"/>
      <c r="BH1506" s="89"/>
      <c r="BI1506" s="89"/>
      <c r="BJ1506" s="89"/>
      <c r="BK1506" s="89"/>
      <c r="BL1506" s="89"/>
      <c r="BM1506" s="89"/>
      <c r="BN1506" s="89"/>
      <c r="BO1506" s="89"/>
      <c r="BP1506" s="89"/>
    </row>
    <row r="1507" spans="1:68" s="56" customFormat="1" ht="13.5" hidden="1">
      <c r="A1507" s="204">
        <f>+IFERROR(VALUE(MID(AB1507,4,4)),"")</f>
        <v>256</v>
      </c>
      <c r="B1507" s="204">
        <f>VALUE(RIGHT(C1507,LEN(C1507)-2))</f>
        <v>1217</v>
      </c>
      <c r="C1507" s="74" t="s">
        <v>5580</v>
      </c>
      <c r="D1507" s="75">
        <v>44097</v>
      </c>
      <c r="E1507" s="70" t="s">
        <v>255</v>
      </c>
      <c r="F1507" s="70" t="s">
        <v>255</v>
      </c>
      <c r="G1507" s="68"/>
      <c r="H1507" s="59"/>
      <c r="I1507" s="69" t="s">
        <v>5581</v>
      </c>
      <c r="J1507" s="69"/>
      <c r="K1507" s="68" t="s">
        <v>275</v>
      </c>
      <c r="L1507" s="69" t="s">
        <v>123</v>
      </c>
      <c r="M1507" s="71" t="s">
        <v>141</v>
      </c>
      <c r="N1507" s="69" t="e" vm="1">
        <v>#VALUE!</v>
      </c>
      <c r="O1507" s="84">
        <v>44126</v>
      </c>
      <c r="P1507" s="72" t="s">
        <v>4897</v>
      </c>
      <c r="Q1507" s="72" t="s">
        <v>316</v>
      </c>
      <c r="R1507" s="162"/>
      <c r="S1507" s="146" t="s">
        <v>5582</v>
      </c>
      <c r="T1507" s="68" t="s">
        <v>3</v>
      </c>
      <c r="U1507" s="87"/>
      <c r="V1507" s="80">
        <v>44144</v>
      </c>
      <c r="W1507" s="73">
        <v>3356</v>
      </c>
      <c r="X1507" s="73">
        <f>5738.6*28700/1000000</f>
        <v>164.69782000000001</v>
      </c>
      <c r="Y1507" s="83">
        <f>IF(SUM(W1507:W1507)&gt;0,X1507/SUM(W1507:W1507)*1000000,"N/A")</f>
        <v>49075.631704410014</v>
      </c>
      <c r="Z1507" s="80"/>
      <c r="AA1507" s="80"/>
      <c r="AB1507" s="73" t="s">
        <v>4437</v>
      </c>
      <c r="AC1507" s="153"/>
      <c r="AD1507" s="331"/>
      <c r="AE1507" s="57"/>
      <c r="AF1507" s="88"/>
      <c r="AG1507" s="182">
        <f>YEAR(D1507)</f>
        <v>2020</v>
      </c>
      <c r="AH1507" s="86" t="str">
        <f>+IF(AE1507=$AJ$22,MONTH(T1507),"")</f>
        <v/>
      </c>
      <c r="AI1507" s="86" t="str">
        <f>+IF(AF1507=$AJ$22,MONTH(U1507),"")</f>
        <v/>
      </c>
      <c r="AJ1507" s="86" t="str">
        <f>+IF(AG1507=$AJ$22,MONTH(V1507),"")</f>
        <v/>
      </c>
      <c r="AK1507" s="86" t="str">
        <f>+IF(AG1507=$AK$22,MONTH(V1507),"")</f>
        <v/>
      </c>
      <c r="AL1507" s="86" t="str">
        <f>+IF(AG1507=$AL$22,MONTH(V1507),"")</f>
        <v/>
      </c>
      <c r="AM1507" s="86" t="str">
        <f>+IF($AG1507=$AM$22,MONTH($D1507),"")</f>
        <v/>
      </c>
      <c r="AN1507" s="89">
        <f>+IF($AG1507=AN$22,MONTH($D1507),"")</f>
        <v>9</v>
      </c>
      <c r="AO1507" s="89" t="str">
        <f>+IF($AG1507=AO$22,MONTH($D1507),"")</f>
        <v/>
      </c>
      <c r="AP1507" s="89" t="str">
        <f>+IF($AG1507=AP$22,MONTH($D1507),"")</f>
        <v/>
      </c>
      <c r="AQ1507" s="89" t="str">
        <f>+IF($AG1507=AQ$22,MONTH($D1507),"")</f>
        <v/>
      </c>
      <c r="AR1507" s="89" t="str">
        <f>+IF($AG1507=AR$22,MONTH($D1507),"")</f>
        <v/>
      </c>
      <c r="AS1507" s="89" t="str">
        <f>+IF($AG1507=AS$22,MONTH($D1507),"")</f>
        <v/>
      </c>
      <c r="AT1507" s="89" t="str">
        <f>+IF($AG1507=AT$22,MONTH($D1507),"")</f>
        <v/>
      </c>
      <c r="AU1507" s="89" t="str">
        <f>+IF($AG1507=AU$22,MONTH($D1507),"")</f>
        <v/>
      </c>
      <c r="AV1507" s="89" t="str">
        <f>+IF($AG1507=AV$22,MONTH($D1507),"")</f>
        <v/>
      </c>
      <c r="AW1507" s="86"/>
      <c r="AX1507" s="86"/>
      <c r="AY1507" s="89"/>
      <c r="AZ1507" s="89"/>
      <c r="BA1507" s="89"/>
      <c r="BB1507" s="89"/>
      <c r="BC1507" s="89"/>
      <c r="BD1507" s="89"/>
      <c r="BE1507" s="89"/>
      <c r="BF1507" s="89"/>
      <c r="BG1507" s="89"/>
      <c r="BH1507" s="89"/>
      <c r="BI1507" s="89"/>
      <c r="BJ1507" s="89"/>
      <c r="BK1507" s="89"/>
      <c r="BL1507" s="89"/>
      <c r="BM1507" s="89"/>
      <c r="BN1507" s="89"/>
      <c r="BO1507" s="89"/>
      <c r="BP1507" s="89"/>
    </row>
    <row r="1508" spans="1:68" s="56" customFormat="1" ht="67.5" hidden="1">
      <c r="A1508" s="204" t="str">
        <f>+IFERROR(VALUE(MID(AB1508,4,4)),"")</f>
        <v/>
      </c>
      <c r="B1508" s="204">
        <f>VALUE(RIGHT(C1508,LEN(C1508)-2))</f>
        <v>1216</v>
      </c>
      <c r="C1508" s="74" t="s">
        <v>5583</v>
      </c>
      <c r="D1508" s="75">
        <v>44096</v>
      </c>
      <c r="E1508" s="70" t="s">
        <v>53</v>
      </c>
      <c r="F1508" s="70" t="s">
        <v>252</v>
      </c>
      <c r="G1508" s="68"/>
      <c r="H1508" s="59"/>
      <c r="I1508" s="69" t="s">
        <v>5584</v>
      </c>
      <c r="J1508" s="69"/>
      <c r="K1508" s="68" t="s">
        <v>9</v>
      </c>
      <c r="L1508" s="69" t="s">
        <v>123</v>
      </c>
      <c r="M1508" s="71" t="s">
        <v>141</v>
      </c>
      <c r="N1508" s="69" t="e" vm="1">
        <v>#VALUE!</v>
      </c>
      <c r="O1508" s="84">
        <v>44138</v>
      </c>
      <c r="P1508" s="72" t="s">
        <v>4567</v>
      </c>
      <c r="Q1508" s="72"/>
      <c r="R1508" s="162"/>
      <c r="S1508" s="146" t="s">
        <v>5585</v>
      </c>
      <c r="T1508" s="68" t="s">
        <v>155</v>
      </c>
      <c r="U1508" s="87"/>
      <c r="V1508" s="80"/>
      <c r="W1508" s="73"/>
      <c r="X1508" s="73"/>
      <c r="Y1508" s="83" t="str">
        <f>IF(SUM(W1508:W1508)&gt;0,X1508/SUM(W1508:W1508)*1000000,"N/A")</f>
        <v>N/A</v>
      </c>
      <c r="Z1508" s="80"/>
      <c r="AA1508" s="80"/>
      <c r="AB1508" s="73"/>
      <c r="AC1508" s="153"/>
      <c r="AD1508" s="331"/>
      <c r="AE1508" s="57"/>
      <c r="AF1508" s="88"/>
      <c r="AG1508" s="182">
        <f>YEAR(D1508)</f>
        <v>2020</v>
      </c>
      <c r="AH1508" s="86" t="str">
        <f>+IF(AE1508=$AJ$22,MONTH(T1508),"")</f>
        <v/>
      </c>
      <c r="AI1508" s="86" t="str">
        <f>+IF(AF1508=$AJ$22,MONTH(U1508),"")</f>
        <v/>
      </c>
      <c r="AJ1508" s="86" t="str">
        <f>+IF(AG1508=$AJ$22,MONTH(V1508),"")</f>
        <v/>
      </c>
      <c r="AK1508" s="86" t="str">
        <f>+IF(AG1508=$AK$22,MONTH(V1508),"")</f>
        <v/>
      </c>
      <c r="AL1508" s="86" t="str">
        <f>+IF(AG1508=$AL$22,MONTH(V1508),"")</f>
        <v/>
      </c>
      <c r="AM1508" s="86" t="str">
        <f>+IF($AG1508=$AM$22,MONTH($D1508),"")</f>
        <v/>
      </c>
      <c r="AN1508" s="89">
        <f>+IF($AG1508=AN$22,MONTH($D1508),"")</f>
        <v>9</v>
      </c>
      <c r="AO1508" s="89" t="str">
        <f>+IF($AG1508=AO$22,MONTH($D1508),"")</f>
        <v/>
      </c>
      <c r="AP1508" s="89" t="str">
        <f>+IF($AG1508=AP$22,MONTH($D1508),"")</f>
        <v/>
      </c>
      <c r="AQ1508" s="89" t="str">
        <f>+IF($AG1508=AQ$22,MONTH($D1508),"")</f>
        <v/>
      </c>
      <c r="AR1508" s="89" t="str">
        <f>+IF($AG1508=AR$22,MONTH($D1508),"")</f>
        <v/>
      </c>
      <c r="AS1508" s="89" t="str">
        <f>+IF($AG1508=AS$22,MONTH($D1508),"")</f>
        <v/>
      </c>
      <c r="AT1508" s="89" t="str">
        <f>+IF($AG1508=AT$22,MONTH($D1508),"")</f>
        <v/>
      </c>
      <c r="AU1508" s="89" t="str">
        <f>+IF($AG1508=AU$22,MONTH($D1508),"")</f>
        <v/>
      </c>
      <c r="AV1508" s="89" t="str">
        <f>+IF($AG1508=AV$22,MONTH($D1508),"")</f>
        <v/>
      </c>
      <c r="AW1508" s="86"/>
      <c r="AX1508" s="86"/>
      <c r="AY1508" s="89"/>
      <c r="AZ1508" s="89"/>
      <c r="BA1508" s="89"/>
      <c r="BB1508" s="89"/>
      <c r="BC1508" s="89"/>
      <c r="BD1508" s="89"/>
      <c r="BE1508" s="89"/>
      <c r="BF1508" s="89"/>
      <c r="BG1508" s="89"/>
      <c r="BH1508" s="89"/>
      <c r="BI1508" s="89"/>
      <c r="BJ1508" s="89"/>
      <c r="BK1508" s="89"/>
      <c r="BL1508" s="89"/>
      <c r="BM1508" s="89"/>
      <c r="BN1508" s="89"/>
      <c r="BO1508" s="89"/>
      <c r="BP1508" s="89"/>
    </row>
    <row r="1509" spans="1:68" s="56" customFormat="1" ht="27" hidden="1">
      <c r="A1509" s="204">
        <f>+IFERROR(VALUE(MID(AB1509,4,4)),"")</f>
        <v>274</v>
      </c>
      <c r="B1509" s="204">
        <f>VALUE(RIGHT(C1509,LEN(C1509)-2))</f>
        <v>1215</v>
      </c>
      <c r="C1509" s="74" t="s">
        <v>5586</v>
      </c>
      <c r="D1509" s="75">
        <v>44096</v>
      </c>
      <c r="E1509" s="70" t="s">
        <v>1054</v>
      </c>
      <c r="F1509" s="70" t="s">
        <v>252</v>
      </c>
      <c r="G1509" s="68"/>
      <c r="H1509" s="59"/>
      <c r="I1509" s="380" t="s">
        <v>5587</v>
      </c>
      <c r="J1509" s="380"/>
      <c r="K1509" s="68" t="s">
        <v>13</v>
      </c>
      <c r="L1509" s="69" t="s">
        <v>123</v>
      </c>
      <c r="M1509" s="71" t="s">
        <v>141</v>
      </c>
      <c r="N1509" s="69" t="e" vm="1">
        <v>#VALUE!</v>
      </c>
      <c r="O1509" s="84">
        <v>44112</v>
      </c>
      <c r="P1509" s="72" t="s">
        <v>402</v>
      </c>
      <c r="Q1509" s="72" t="s">
        <v>623</v>
      </c>
      <c r="R1509" s="162"/>
      <c r="S1509" s="146"/>
      <c r="T1509" s="68" t="s">
        <v>3</v>
      </c>
      <c r="U1509" s="87"/>
      <c r="V1509" s="80">
        <v>44113</v>
      </c>
      <c r="W1509" s="73">
        <v>16034</v>
      </c>
      <c r="X1509" s="73">
        <v>550</v>
      </c>
      <c r="Y1509" s="83">
        <f>IF(SUM(W1509:W1509)&gt;0,X1509/SUM(W1509:W1509)*1000000,"N/A")</f>
        <v>34302.10802045653</v>
      </c>
      <c r="Z1509" s="80"/>
      <c r="AA1509" s="80"/>
      <c r="AB1509" s="73" t="s">
        <v>5588</v>
      </c>
      <c r="AC1509" s="153"/>
      <c r="AD1509" s="331"/>
      <c r="AE1509" s="57"/>
      <c r="AF1509" s="88"/>
      <c r="AG1509" s="182">
        <f>YEAR(D1509)</f>
        <v>2020</v>
      </c>
      <c r="AH1509" s="86" t="str">
        <f>+IF(AE1509=$AJ$22,MONTH(T1509),"")</f>
        <v/>
      </c>
      <c r="AI1509" s="86" t="str">
        <f>+IF(AF1509=$AJ$22,MONTH(U1509),"")</f>
        <v/>
      </c>
      <c r="AJ1509" s="86" t="str">
        <f>+IF(AG1509=$AJ$22,MONTH(V1509),"")</f>
        <v/>
      </c>
      <c r="AK1509" s="86" t="str">
        <f>+IF(AG1509=$AK$22,MONTH(V1509),"")</f>
        <v/>
      </c>
      <c r="AL1509" s="86" t="str">
        <f>+IF(AG1509=$AL$22,MONTH(V1509),"")</f>
        <v/>
      </c>
      <c r="AM1509" s="86" t="str">
        <f>+IF($AG1509=$AM$22,MONTH($D1509),"")</f>
        <v/>
      </c>
      <c r="AN1509" s="89">
        <f>+IF($AG1509=AN$22,MONTH($D1509),"")</f>
        <v>9</v>
      </c>
      <c r="AO1509" s="89" t="str">
        <f>+IF($AG1509=AO$22,MONTH($D1509),"")</f>
        <v/>
      </c>
      <c r="AP1509" s="89" t="str">
        <f>+IF($AG1509=AP$22,MONTH($D1509),"")</f>
        <v/>
      </c>
      <c r="AQ1509" s="89" t="str">
        <f>+IF($AG1509=AQ$22,MONTH($D1509),"")</f>
        <v/>
      </c>
      <c r="AR1509" s="89" t="str">
        <f>+IF($AG1509=AR$22,MONTH($D1509),"")</f>
        <v/>
      </c>
      <c r="AS1509" s="89" t="str">
        <f>+IF($AG1509=AS$22,MONTH($D1509),"")</f>
        <v/>
      </c>
      <c r="AT1509" s="89" t="str">
        <f>+IF($AG1509=AT$22,MONTH($D1509),"")</f>
        <v/>
      </c>
      <c r="AU1509" s="89" t="str">
        <f>+IF($AG1509=AU$22,MONTH($D1509),"")</f>
        <v/>
      </c>
      <c r="AV1509" s="89" t="str">
        <f>+IF($AG1509=AV$22,MONTH($D1509),"")</f>
        <v/>
      </c>
      <c r="AW1509" s="86"/>
      <c r="AX1509" s="86"/>
      <c r="AY1509" s="89"/>
      <c r="AZ1509" s="89"/>
      <c r="BA1509" s="89"/>
      <c r="BB1509" s="89"/>
      <c r="BC1509" s="89"/>
      <c r="BD1509" s="89"/>
      <c r="BE1509" s="89"/>
      <c r="BF1509" s="89"/>
      <c r="BG1509" s="89"/>
      <c r="BH1509" s="89"/>
      <c r="BI1509" s="89"/>
      <c r="BJ1509" s="89"/>
      <c r="BK1509" s="89"/>
      <c r="BL1509" s="89"/>
      <c r="BM1509" s="89"/>
      <c r="BN1509" s="89"/>
      <c r="BO1509" s="89"/>
      <c r="BP1509" s="89"/>
    </row>
    <row r="1510" spans="1:68" s="56" customFormat="1" ht="13.5" hidden="1">
      <c r="A1510" s="204">
        <f>+IFERROR(VALUE(MID(AB1510,4,4)),"")</f>
        <v>254</v>
      </c>
      <c r="B1510" s="204">
        <f>VALUE(RIGHT(C1510,LEN(C1510)-2))</f>
        <v>1214</v>
      </c>
      <c r="C1510" s="74" t="s">
        <v>5589</v>
      </c>
      <c r="D1510" s="75">
        <v>44090</v>
      </c>
      <c r="E1510" s="70" t="s">
        <v>394</v>
      </c>
      <c r="F1510" s="70" t="s">
        <v>394</v>
      </c>
      <c r="G1510" s="68" t="s">
        <v>5421</v>
      </c>
      <c r="H1510" s="59"/>
      <c r="I1510" s="69" t="s">
        <v>5590</v>
      </c>
      <c r="J1510" s="69"/>
      <c r="K1510" s="68" t="s">
        <v>13</v>
      </c>
      <c r="L1510" s="69" t="s">
        <v>120</v>
      </c>
      <c r="M1510" s="71" t="s">
        <v>141</v>
      </c>
      <c r="N1510" s="69" t="e" vm="1">
        <v>#VALUE!</v>
      </c>
      <c r="O1510" s="84">
        <v>44091</v>
      </c>
      <c r="P1510" s="72" t="s">
        <v>402</v>
      </c>
      <c r="Q1510" s="72" t="s">
        <v>623</v>
      </c>
      <c r="R1510" s="162"/>
      <c r="S1510" s="146"/>
      <c r="T1510" s="68" t="s">
        <v>3</v>
      </c>
      <c r="U1510" s="87"/>
      <c r="V1510" s="80">
        <v>44123</v>
      </c>
      <c r="W1510" s="73">
        <v>7382</v>
      </c>
      <c r="X1510" s="73">
        <f>9941*28700/1000000</f>
        <v>285.30669999999998</v>
      </c>
      <c r="Y1510" s="83">
        <f>IF(SUM(W1510:W1510)&gt;0,X1510/SUM(W1510:W1510)*1000000,"N/A")</f>
        <v>38648.970468707666</v>
      </c>
      <c r="Z1510" s="80"/>
      <c r="AA1510" s="80"/>
      <c r="AB1510" s="73" t="s">
        <v>5591</v>
      </c>
      <c r="AC1510" s="153"/>
      <c r="AD1510" s="331"/>
      <c r="AE1510" s="57"/>
      <c r="AF1510" s="88"/>
      <c r="AG1510" s="182">
        <f>YEAR(D1510)</f>
        <v>2020</v>
      </c>
      <c r="AH1510" s="86" t="str">
        <f>+IF(AE1510=$AJ$22,MONTH(T1510),"")</f>
        <v/>
      </c>
      <c r="AI1510" s="86" t="str">
        <f>+IF(AF1510=$AJ$22,MONTH(U1510),"")</f>
        <v/>
      </c>
      <c r="AJ1510" s="86" t="str">
        <f>+IF(AG1510=$AJ$22,MONTH(V1510),"")</f>
        <v/>
      </c>
      <c r="AK1510" s="86" t="str">
        <f>+IF(AG1510=$AK$22,MONTH(V1510),"")</f>
        <v/>
      </c>
      <c r="AL1510" s="86" t="str">
        <f>+IF(AG1510=$AL$22,MONTH(V1510),"")</f>
        <v/>
      </c>
      <c r="AM1510" s="86" t="str">
        <f>+IF($AG1510=$AM$22,MONTH($D1510),"")</f>
        <v/>
      </c>
      <c r="AN1510" s="89">
        <f>+IF($AG1510=AN$22,MONTH($D1510),"")</f>
        <v>9</v>
      </c>
      <c r="AO1510" s="89" t="str">
        <f>+IF($AG1510=AO$22,MONTH($D1510),"")</f>
        <v/>
      </c>
      <c r="AP1510" s="89" t="str">
        <f>+IF($AG1510=AP$22,MONTH($D1510),"")</f>
        <v/>
      </c>
      <c r="AQ1510" s="89" t="str">
        <f>+IF($AG1510=AQ$22,MONTH($D1510),"")</f>
        <v/>
      </c>
      <c r="AR1510" s="89" t="str">
        <f>+IF($AG1510=AR$22,MONTH($D1510),"")</f>
        <v/>
      </c>
      <c r="AS1510" s="89" t="str">
        <f>+IF($AG1510=AS$22,MONTH($D1510),"")</f>
        <v/>
      </c>
      <c r="AT1510" s="89" t="str">
        <f>+IF($AG1510=AT$22,MONTH($D1510),"")</f>
        <v/>
      </c>
      <c r="AU1510" s="89" t="str">
        <f>+IF($AG1510=AU$22,MONTH($D1510),"")</f>
        <v/>
      </c>
      <c r="AV1510" s="89" t="str">
        <f>+IF($AG1510=AV$22,MONTH($D1510),"")</f>
        <v/>
      </c>
      <c r="AW1510" s="86"/>
      <c r="AX1510" s="86"/>
      <c r="AY1510" s="89"/>
      <c r="AZ1510" s="89"/>
      <c r="BA1510" s="89"/>
      <c r="BB1510" s="89"/>
      <c r="BC1510" s="89"/>
      <c r="BD1510" s="89"/>
      <c r="BE1510" s="89"/>
      <c r="BF1510" s="89"/>
      <c r="BG1510" s="89"/>
      <c r="BH1510" s="89"/>
      <c r="BI1510" s="89"/>
      <c r="BJ1510" s="89"/>
      <c r="BK1510" s="89"/>
      <c r="BL1510" s="89"/>
      <c r="BM1510" s="89"/>
      <c r="BN1510" s="89"/>
      <c r="BO1510" s="89"/>
      <c r="BP1510" s="89"/>
    </row>
    <row r="1511" spans="1:68" s="56" customFormat="1" ht="40.5" hidden="1">
      <c r="A1511" s="204" t="str">
        <f>+IFERROR(VALUE(MID(AB1511,4,4)),"")</f>
        <v/>
      </c>
      <c r="B1511" s="204">
        <f>VALUE(RIGHT(C1511,LEN(C1511)-2))</f>
        <v>1213</v>
      </c>
      <c r="C1511" s="74" t="s">
        <v>5592</v>
      </c>
      <c r="D1511" s="75">
        <v>44089</v>
      </c>
      <c r="E1511" s="70" t="s">
        <v>53</v>
      </c>
      <c r="F1511" s="70" t="s">
        <v>252</v>
      </c>
      <c r="G1511" s="68"/>
      <c r="H1511" s="59"/>
      <c r="I1511" s="69" t="s">
        <v>5593</v>
      </c>
      <c r="J1511" s="69"/>
      <c r="K1511" s="68" t="s">
        <v>212</v>
      </c>
      <c r="L1511" s="69" t="s">
        <v>123</v>
      </c>
      <c r="M1511" s="71" t="s">
        <v>141</v>
      </c>
      <c r="N1511" s="69" t="e" vm="1">
        <v>#VALUE!</v>
      </c>
      <c r="O1511" s="84">
        <v>44102</v>
      </c>
      <c r="P1511" s="72" t="s">
        <v>4897</v>
      </c>
      <c r="Q1511" s="72"/>
      <c r="R1511" s="162"/>
      <c r="S1511" s="146" t="s">
        <v>5594</v>
      </c>
      <c r="T1511" s="68" t="s">
        <v>165</v>
      </c>
      <c r="U1511" s="87"/>
      <c r="V1511" s="80">
        <v>44144</v>
      </c>
      <c r="W1511" s="73">
        <v>1</v>
      </c>
      <c r="X1511" s="73"/>
      <c r="Y1511" s="83">
        <f>IF(SUM(W1511:W1511)&gt;0,X1511/SUM(W1511:W1511)*1000000,"N/A")</f>
        <v>0</v>
      </c>
      <c r="Z1511" s="80"/>
      <c r="AA1511" s="80"/>
      <c r="AB1511" s="73"/>
      <c r="AC1511" s="153"/>
      <c r="AD1511" s="331"/>
      <c r="AE1511" s="57"/>
      <c r="AF1511" s="88"/>
      <c r="AG1511" s="182">
        <f>YEAR(D1511)</f>
        <v>2020</v>
      </c>
      <c r="AH1511" s="86" t="str">
        <f>+IF(AE1511=$AJ$22,MONTH(T1511),"")</f>
        <v/>
      </c>
      <c r="AI1511" s="86" t="str">
        <f>+IF(AF1511=$AJ$22,MONTH(U1511),"")</f>
        <v/>
      </c>
      <c r="AJ1511" s="86" t="str">
        <f>+IF(AG1511=$AJ$22,MONTH(V1511),"")</f>
        <v/>
      </c>
      <c r="AK1511" s="86" t="str">
        <f>+IF(AG1511=$AK$22,MONTH(V1511),"")</f>
        <v/>
      </c>
      <c r="AL1511" s="86" t="str">
        <f>+IF(AG1511=$AL$22,MONTH(V1511),"")</f>
        <v/>
      </c>
      <c r="AM1511" s="86" t="str">
        <f>+IF($AG1511=$AM$22,MONTH($D1511),"")</f>
        <v/>
      </c>
      <c r="AN1511" s="89">
        <f>+IF($AG1511=AN$22,MONTH($D1511),"")</f>
        <v>9</v>
      </c>
      <c r="AO1511" s="89" t="str">
        <f>+IF($AG1511=AO$22,MONTH($D1511),"")</f>
        <v/>
      </c>
      <c r="AP1511" s="89" t="str">
        <f>+IF($AG1511=AP$22,MONTH($D1511),"")</f>
        <v/>
      </c>
      <c r="AQ1511" s="89" t="str">
        <f>+IF($AG1511=AQ$22,MONTH($D1511),"")</f>
        <v/>
      </c>
      <c r="AR1511" s="89" t="str">
        <f>+IF($AG1511=AR$22,MONTH($D1511),"")</f>
        <v/>
      </c>
      <c r="AS1511" s="89" t="str">
        <f>+IF($AG1511=AS$22,MONTH($D1511),"")</f>
        <v/>
      </c>
      <c r="AT1511" s="89" t="str">
        <f>+IF($AG1511=AT$22,MONTH($D1511),"")</f>
        <v/>
      </c>
      <c r="AU1511" s="89" t="str">
        <f>+IF($AG1511=AU$22,MONTH($D1511),"")</f>
        <v/>
      </c>
      <c r="AV1511" s="89" t="str">
        <f>+IF($AG1511=AV$22,MONTH($D1511),"")</f>
        <v/>
      </c>
      <c r="AW1511" s="86" t="str">
        <f>+IF($AG1511=AW$22,MONTH($D1511),"")</f>
        <v/>
      </c>
      <c r="AX1511" s="86" t="str">
        <f>+IF($AG1511=AX$22,MONTH($D1511),"")</f>
        <v/>
      </c>
      <c r="AY1511" s="182"/>
      <c r="AZ1511" s="182"/>
      <c r="BA1511" s="182"/>
      <c r="BB1511" s="182"/>
      <c r="BC1511" s="182"/>
      <c r="BD1511" s="182"/>
      <c r="BE1511" s="182"/>
      <c r="BF1511" s="182"/>
      <c r="BG1511" s="182"/>
      <c r="BH1511" s="182"/>
      <c r="BI1511" s="182"/>
      <c r="BJ1511" s="89"/>
      <c r="BK1511" s="89"/>
      <c r="BL1511" s="89"/>
      <c r="BM1511" s="89"/>
      <c r="BN1511" s="89"/>
      <c r="BO1511" s="89"/>
      <c r="BP1511" s="89"/>
    </row>
    <row r="1512" spans="1:68" s="56" customFormat="1" ht="13.5" hidden="1">
      <c r="A1512" s="204">
        <f>+IFERROR(VALUE(MID(AB1512,4,4)),"")</f>
        <v>253</v>
      </c>
      <c r="B1512" s="204">
        <f>VALUE(RIGHT(C1512,LEN(C1512)-2))</f>
        <v>1212</v>
      </c>
      <c r="C1512" s="74" t="s">
        <v>5595</v>
      </c>
      <c r="D1512" s="75">
        <v>44083</v>
      </c>
      <c r="E1512" s="70" t="s">
        <v>394</v>
      </c>
      <c r="F1512" s="70" t="s">
        <v>2269</v>
      </c>
      <c r="G1512" s="68" t="s">
        <v>289</v>
      </c>
      <c r="H1512" s="59" t="s">
        <v>4800</v>
      </c>
      <c r="I1512" s="69" t="s">
        <v>5596</v>
      </c>
      <c r="J1512" s="69"/>
      <c r="K1512" s="68" t="s">
        <v>12</v>
      </c>
      <c r="L1512" s="69" t="s">
        <v>120</v>
      </c>
      <c r="M1512" s="71" t="s">
        <v>141</v>
      </c>
      <c r="N1512" s="69" t="e" vm="1">
        <v>#VALUE!</v>
      </c>
      <c r="O1512" s="84">
        <v>44084</v>
      </c>
      <c r="P1512" s="72" t="s">
        <v>402</v>
      </c>
      <c r="Q1512" s="72" t="s">
        <v>1097</v>
      </c>
      <c r="R1512" s="162"/>
      <c r="S1512" s="146"/>
      <c r="T1512" s="68" t="s">
        <v>3</v>
      </c>
      <c r="U1512" s="87"/>
      <c r="V1512" s="80">
        <v>44084</v>
      </c>
      <c r="W1512" s="73">
        <v>483</v>
      </c>
      <c r="X1512" s="73">
        <f>17519096/1000000</f>
        <v>17.519096000000001</v>
      </c>
      <c r="Y1512" s="83">
        <f>IF(SUM(W1512:W1512)&gt;0,X1512/SUM(W1512:W1512)*1000000,"N/A")</f>
        <v>36271.420289855079</v>
      </c>
      <c r="Z1512" s="80"/>
      <c r="AA1512" s="80"/>
      <c r="AB1512" s="73" t="s">
        <v>5597</v>
      </c>
      <c r="AC1512" s="153"/>
      <c r="AD1512" s="331"/>
      <c r="AE1512" s="57"/>
      <c r="AF1512" s="88"/>
      <c r="AG1512" s="182">
        <f>YEAR(D1512)</f>
        <v>2020</v>
      </c>
      <c r="AH1512" s="86" t="str">
        <f>+IF(AE1512=$AJ$22,MONTH(T1512),"")</f>
        <v/>
      </c>
      <c r="AI1512" s="86" t="str">
        <f>+IF(AF1512=$AJ$22,MONTH(U1512),"")</f>
        <v/>
      </c>
      <c r="AJ1512" s="86" t="str">
        <f>+IF(AG1512=$AJ$22,MONTH(V1512),"")</f>
        <v/>
      </c>
      <c r="AK1512" s="86" t="str">
        <f>+IF(AG1512=$AK$22,MONTH(V1512),"")</f>
        <v/>
      </c>
      <c r="AL1512" s="86" t="str">
        <f>+IF(AG1512=$AL$22,MONTH(V1512),"")</f>
        <v/>
      </c>
      <c r="AM1512" s="86" t="str">
        <f>+IF($AG1512=$AM$22,MONTH($D1512),"")</f>
        <v/>
      </c>
      <c r="AN1512" s="89">
        <f>+IF($AG1512=AN$22,MONTH($D1512),"")</f>
        <v>9</v>
      </c>
      <c r="AO1512" s="89" t="str">
        <f>+IF($AG1512=AO$22,MONTH($D1512),"")</f>
        <v/>
      </c>
      <c r="AP1512" s="89" t="str">
        <f>+IF($AG1512=AP$22,MONTH($D1512),"")</f>
        <v/>
      </c>
      <c r="AQ1512" s="89" t="str">
        <f>+IF($AG1512=AQ$22,MONTH($D1512),"")</f>
        <v/>
      </c>
      <c r="AR1512" s="89" t="str">
        <f>+IF($AG1512=AR$22,MONTH($D1512),"")</f>
        <v/>
      </c>
      <c r="AS1512" s="89" t="str">
        <f>+IF($AG1512=AS$22,MONTH($D1512),"")</f>
        <v/>
      </c>
      <c r="AT1512" s="89" t="str">
        <f>+IF($AG1512=AT$22,MONTH($D1512),"")</f>
        <v/>
      </c>
      <c r="AU1512" s="89" t="str">
        <f>+IF($AG1512=AU$22,MONTH($D1512),"")</f>
        <v/>
      </c>
      <c r="AV1512" s="89" t="str">
        <f>+IF($AG1512=AV$22,MONTH($D1512),"")</f>
        <v/>
      </c>
      <c r="AW1512" s="86" t="str">
        <f>+IF($AG1512=AW$22,MONTH($D1512),"")</f>
        <v/>
      </c>
      <c r="AX1512" s="86" t="str">
        <f>+IF($AG1512=AX$22,MONTH($D1512),"")</f>
        <v/>
      </c>
      <c r="AY1512" s="89"/>
      <c r="AZ1512" s="89"/>
      <c r="BA1512" s="89"/>
      <c r="BB1512" s="89"/>
      <c r="BC1512" s="89"/>
      <c r="BD1512" s="89"/>
      <c r="BE1512" s="89"/>
      <c r="BF1512" s="89"/>
      <c r="BG1512" s="89"/>
      <c r="BH1512" s="89"/>
      <c r="BI1512" s="89"/>
      <c r="BJ1512" s="89"/>
      <c r="BK1512" s="89"/>
      <c r="BL1512" s="89"/>
      <c r="BM1512" s="89"/>
      <c r="BN1512" s="89"/>
      <c r="BO1512" s="89"/>
      <c r="BP1512" s="89"/>
    </row>
    <row r="1513" spans="1:68" s="56" customFormat="1" ht="27" hidden="1">
      <c r="A1513" s="204" t="str">
        <f>+IFERROR(VALUE(MID(AB1513,4,4)),"")</f>
        <v/>
      </c>
      <c r="B1513" s="204">
        <f>VALUE(RIGHT(C1513,LEN(C1513)-2))</f>
        <v>1211</v>
      </c>
      <c r="C1513" s="74" t="s">
        <v>5598</v>
      </c>
      <c r="D1513" s="75">
        <v>44081</v>
      </c>
      <c r="E1513" s="70" t="s">
        <v>41</v>
      </c>
      <c r="F1513" s="70" t="s">
        <v>41</v>
      </c>
      <c r="G1513" s="68" t="s">
        <v>4713</v>
      </c>
      <c r="H1513" s="59"/>
      <c r="I1513" s="69" t="s">
        <v>5599</v>
      </c>
      <c r="J1513" s="69"/>
      <c r="K1513" s="68" t="s">
        <v>13</v>
      </c>
      <c r="L1513" s="69" t="s">
        <v>129</v>
      </c>
      <c r="M1513" s="71" t="s">
        <v>141</v>
      </c>
      <c r="N1513" s="69" t="e" vm="1">
        <v>#VALUE!</v>
      </c>
      <c r="O1513" s="84">
        <v>179</v>
      </c>
      <c r="P1513" s="72" t="s">
        <v>4567</v>
      </c>
      <c r="Q1513" s="72"/>
      <c r="R1513" s="162"/>
      <c r="S1513" s="146" t="s">
        <v>5600</v>
      </c>
      <c r="T1513" s="68" t="s">
        <v>165</v>
      </c>
      <c r="U1513" s="87"/>
      <c r="V1513" s="80">
        <v>44095</v>
      </c>
      <c r="W1513" s="73">
        <v>1226</v>
      </c>
      <c r="X1513" s="73">
        <f>1412*28700/1000000</f>
        <v>40.5244</v>
      </c>
      <c r="Y1513" s="83">
        <f>IF(SUM(W1513:W1513)&gt;0,X1513/SUM(W1513:W1513)*1000000,"N/A")</f>
        <v>33054.159869494288</v>
      </c>
      <c r="Z1513" s="80"/>
      <c r="AA1513" s="80"/>
      <c r="AB1513" s="73"/>
      <c r="AC1513" s="153"/>
      <c r="AD1513" s="331"/>
      <c r="AE1513" s="57"/>
      <c r="AF1513" s="88"/>
      <c r="AG1513" s="182">
        <f>YEAR(D1513)</f>
        <v>2020</v>
      </c>
      <c r="AH1513" s="86" t="str">
        <f>+IF(AE1513=$AJ$22,MONTH(T1513),"")</f>
        <v/>
      </c>
      <c r="AI1513" s="86" t="str">
        <f>+IF(AF1513=$AJ$22,MONTH(U1513),"")</f>
        <v/>
      </c>
      <c r="AJ1513" s="86" t="str">
        <f>+IF(AG1513=$AJ$22,MONTH(V1513),"")</f>
        <v/>
      </c>
      <c r="AK1513" s="86" t="str">
        <f>+IF(AG1513=$AK$22,MONTH(V1513),"")</f>
        <v/>
      </c>
      <c r="AL1513" s="86" t="str">
        <f>+IF(AG1513=$AL$22,MONTH(V1513),"")</f>
        <v/>
      </c>
      <c r="AM1513" s="86" t="str">
        <f>+IF($AG1513=$AM$22,MONTH($D1513),"")</f>
        <v/>
      </c>
      <c r="AN1513" s="89">
        <f>+IF($AG1513=AN$22,MONTH($D1513),"")</f>
        <v>9</v>
      </c>
      <c r="AO1513" s="89" t="str">
        <f>+IF($AG1513=AO$22,MONTH($D1513),"")</f>
        <v/>
      </c>
      <c r="AP1513" s="89" t="str">
        <f>+IF($AG1513=AP$22,MONTH($D1513),"")</f>
        <v/>
      </c>
      <c r="AQ1513" s="89" t="str">
        <f>+IF($AG1513=AQ$22,MONTH($D1513),"")</f>
        <v/>
      </c>
      <c r="AR1513" s="89" t="str">
        <f>+IF($AG1513=AR$22,MONTH($D1513),"")</f>
        <v/>
      </c>
      <c r="AS1513" s="89" t="str">
        <f>+IF($AG1513=AS$22,MONTH($D1513),"")</f>
        <v/>
      </c>
      <c r="AT1513" s="89" t="str">
        <f>+IF($AG1513=AT$22,MONTH($D1513),"")</f>
        <v/>
      </c>
      <c r="AU1513" s="89" t="str">
        <f>+IF($AG1513=AU$22,MONTH($D1513),"")</f>
        <v/>
      </c>
      <c r="AV1513" s="89" t="str">
        <f>+IF($AG1513=AV$22,MONTH($D1513),"")</f>
        <v/>
      </c>
      <c r="AW1513" s="86"/>
      <c r="AX1513" s="86"/>
      <c r="AY1513" s="89"/>
      <c r="AZ1513" s="89"/>
      <c r="BA1513" s="89"/>
      <c r="BB1513" s="89"/>
      <c r="BC1513" s="89"/>
      <c r="BD1513" s="89"/>
      <c r="BE1513" s="89"/>
      <c r="BF1513" s="89"/>
      <c r="BG1513" s="89"/>
      <c r="BH1513" s="89"/>
      <c r="BI1513" s="89"/>
      <c r="BJ1513" s="89"/>
      <c r="BK1513" s="89"/>
      <c r="BL1513" s="89"/>
      <c r="BM1513" s="89"/>
      <c r="BN1513" s="89"/>
      <c r="BO1513" s="89"/>
      <c r="BP1513" s="89"/>
    </row>
    <row r="1514" spans="1:68" s="56" customFormat="1" ht="27" hidden="1">
      <c r="A1514" s="204">
        <f>+IFERROR(VALUE(MID(AB1514,4,4)),"")</f>
        <v>219</v>
      </c>
      <c r="B1514" s="204">
        <f>VALUE(RIGHT(C1514,LEN(C1514)-2))</f>
        <v>1210</v>
      </c>
      <c r="C1514" s="74" t="s">
        <v>5601</v>
      </c>
      <c r="D1514" s="75">
        <v>44081</v>
      </c>
      <c r="E1514" s="70" t="s">
        <v>41</v>
      </c>
      <c r="F1514" s="70" t="s">
        <v>41</v>
      </c>
      <c r="G1514" s="68" t="s">
        <v>4713</v>
      </c>
      <c r="H1514" s="59"/>
      <c r="I1514" s="69" t="s">
        <v>5602</v>
      </c>
      <c r="J1514" s="69"/>
      <c r="K1514" s="68" t="s">
        <v>13</v>
      </c>
      <c r="L1514" s="69" t="s">
        <v>129</v>
      </c>
      <c r="M1514" s="71" t="s">
        <v>141</v>
      </c>
      <c r="N1514" s="69" t="e" vm="1">
        <v>#VALUE!</v>
      </c>
      <c r="O1514" s="84">
        <v>44084</v>
      </c>
      <c r="P1514" s="72" t="s">
        <v>402</v>
      </c>
      <c r="Q1514" s="72" t="s">
        <v>259</v>
      </c>
      <c r="R1514" s="162"/>
      <c r="S1514" s="146" t="s">
        <v>5603</v>
      </c>
      <c r="T1514" s="68" t="s">
        <v>3</v>
      </c>
      <c r="U1514" s="87"/>
      <c r="V1514" s="80">
        <v>44084</v>
      </c>
      <c r="W1514" s="73">
        <v>1476</v>
      </c>
      <c r="X1514" s="73">
        <f>1494*28700/1000000</f>
        <v>42.877800000000001</v>
      </c>
      <c r="Y1514" s="83">
        <f>IF(SUM(W1514:W1514)&gt;0,X1514/SUM(W1514:W1514)*1000000,"N/A")</f>
        <v>29050</v>
      </c>
      <c r="Z1514" s="80"/>
      <c r="AA1514" s="80"/>
      <c r="AB1514" s="73" t="s">
        <v>5604</v>
      </c>
      <c r="AC1514" s="153"/>
      <c r="AD1514" s="331"/>
      <c r="AE1514" s="57"/>
      <c r="AF1514" s="88"/>
      <c r="AG1514" s="182">
        <f>YEAR(D1514)</f>
        <v>2020</v>
      </c>
      <c r="AH1514" s="86" t="str">
        <f>+IF(AE1514=$AJ$22,MONTH(T1514),"")</f>
        <v/>
      </c>
      <c r="AI1514" s="86" t="str">
        <f>+IF(AF1514=$AJ$22,MONTH(U1514),"")</f>
        <v/>
      </c>
      <c r="AJ1514" s="86" t="str">
        <f>+IF(AG1514=$AJ$22,MONTH(V1514),"")</f>
        <v/>
      </c>
      <c r="AK1514" s="86" t="str">
        <f>+IF(AG1514=$AK$22,MONTH(V1514),"")</f>
        <v/>
      </c>
      <c r="AL1514" s="86" t="str">
        <f>+IF(AG1514=$AL$22,MONTH(V1514),"")</f>
        <v/>
      </c>
      <c r="AM1514" s="86" t="str">
        <f>+IF($AG1514=$AM$22,MONTH($D1514),"")</f>
        <v/>
      </c>
      <c r="AN1514" s="89">
        <f>+IF($AG1514=AN$22,MONTH($D1514),"")</f>
        <v>9</v>
      </c>
      <c r="AO1514" s="89" t="str">
        <f>+IF($AG1514=AO$22,MONTH($D1514),"")</f>
        <v/>
      </c>
      <c r="AP1514" s="89" t="str">
        <f>+IF($AG1514=AP$22,MONTH($D1514),"")</f>
        <v/>
      </c>
      <c r="AQ1514" s="89" t="str">
        <f>+IF($AG1514=AQ$22,MONTH($D1514),"")</f>
        <v/>
      </c>
      <c r="AR1514" s="89" t="str">
        <f>+IF($AG1514=AR$22,MONTH($D1514),"")</f>
        <v/>
      </c>
      <c r="AS1514" s="89" t="str">
        <f>+IF($AG1514=AS$22,MONTH($D1514),"")</f>
        <v/>
      </c>
      <c r="AT1514" s="89" t="str">
        <f>+IF($AG1514=AT$22,MONTH($D1514),"")</f>
        <v/>
      </c>
      <c r="AU1514" s="89" t="str">
        <f>+IF($AG1514=AU$22,MONTH($D1514),"")</f>
        <v/>
      </c>
      <c r="AV1514" s="89" t="str">
        <f>+IF($AG1514=AV$22,MONTH($D1514),"")</f>
        <v/>
      </c>
      <c r="AW1514" s="86"/>
      <c r="AX1514" s="86"/>
      <c r="AY1514" s="89"/>
      <c r="AZ1514" s="89"/>
      <c r="BA1514" s="89"/>
      <c r="BB1514" s="89"/>
      <c r="BC1514" s="89"/>
      <c r="BD1514" s="89"/>
      <c r="BE1514" s="89"/>
      <c r="BF1514" s="89"/>
      <c r="BG1514" s="89"/>
      <c r="BH1514" s="89"/>
      <c r="BI1514" s="89"/>
      <c r="BJ1514" s="89"/>
      <c r="BK1514" s="89"/>
      <c r="BL1514" s="89"/>
      <c r="BM1514" s="89"/>
      <c r="BN1514" s="89"/>
      <c r="BO1514" s="89"/>
      <c r="BP1514" s="89"/>
    </row>
    <row r="1515" spans="1:68" s="56" customFormat="1" ht="27" hidden="1">
      <c r="A1515" s="204">
        <f>+IFERROR(VALUE(MID(AB1515,4,4)),"")</f>
        <v>219</v>
      </c>
      <c r="B1515" s="204">
        <f>VALUE(RIGHT(C1515,LEN(C1515)-2))</f>
        <v>1209</v>
      </c>
      <c r="C1515" s="74" t="s">
        <v>5605</v>
      </c>
      <c r="D1515" s="75">
        <v>44081</v>
      </c>
      <c r="E1515" s="70" t="s">
        <v>41</v>
      </c>
      <c r="F1515" s="70" t="s">
        <v>41</v>
      </c>
      <c r="G1515" s="68" t="s">
        <v>4713</v>
      </c>
      <c r="H1515" s="59"/>
      <c r="I1515" s="69" t="s">
        <v>5606</v>
      </c>
      <c r="J1515" s="69"/>
      <c r="K1515" s="68" t="s">
        <v>13</v>
      </c>
      <c r="L1515" s="69" t="s">
        <v>129</v>
      </c>
      <c r="M1515" s="71" t="s">
        <v>141</v>
      </c>
      <c r="N1515" s="69" t="e" vm="1">
        <v>#VALUE!</v>
      </c>
      <c r="O1515" s="84">
        <v>44085</v>
      </c>
      <c r="P1515" s="72" t="s">
        <v>4897</v>
      </c>
      <c r="Q1515" s="72" t="s">
        <v>316</v>
      </c>
      <c r="R1515" s="162"/>
      <c r="S1515" s="146" t="s">
        <v>5607</v>
      </c>
      <c r="T1515" s="68" t="s">
        <v>3</v>
      </c>
      <c r="U1515" s="87"/>
      <c r="V1515" s="80">
        <v>44085</v>
      </c>
      <c r="W1515" s="73">
        <v>3030</v>
      </c>
      <c r="X1515" s="73">
        <f>2985*28700/1000000</f>
        <v>85.669499999999999</v>
      </c>
      <c r="Y1515" s="83">
        <f>IF(SUM(W1515:W1515)&gt;0,X1515/SUM(W1515:W1515)*1000000,"N/A")</f>
        <v>28273.762376237621</v>
      </c>
      <c r="Z1515" s="80"/>
      <c r="AA1515" s="80"/>
      <c r="AB1515" s="73" t="s">
        <v>5608</v>
      </c>
      <c r="AC1515" s="153"/>
      <c r="AD1515" s="331"/>
      <c r="AE1515" s="57"/>
      <c r="AF1515" s="88"/>
      <c r="AG1515" s="182">
        <f>YEAR(D1515)</f>
        <v>2020</v>
      </c>
      <c r="AH1515" s="86" t="str">
        <f>+IF(AE1515=$AJ$22,MONTH(T1515),"")</f>
        <v/>
      </c>
      <c r="AI1515" s="86" t="str">
        <f>+IF(AF1515=$AJ$22,MONTH(U1515),"")</f>
        <v/>
      </c>
      <c r="AJ1515" s="86" t="str">
        <f>+IF(AG1515=$AJ$22,MONTH(V1515),"")</f>
        <v/>
      </c>
      <c r="AK1515" s="86" t="str">
        <f>+IF(AG1515=$AK$22,MONTH(V1515),"")</f>
        <v/>
      </c>
      <c r="AL1515" s="86" t="str">
        <f>+IF(AG1515=$AL$22,MONTH(V1515),"")</f>
        <v/>
      </c>
      <c r="AM1515" s="86" t="str">
        <f>+IF($AG1515=$AM$22,MONTH($D1515),"")</f>
        <v/>
      </c>
      <c r="AN1515" s="89">
        <f>+IF($AG1515=AN$22,MONTH($D1515),"")</f>
        <v>9</v>
      </c>
      <c r="AO1515" s="89" t="str">
        <f>+IF($AG1515=AO$22,MONTH($D1515),"")</f>
        <v/>
      </c>
      <c r="AP1515" s="89" t="str">
        <f>+IF($AG1515=AP$22,MONTH($D1515),"")</f>
        <v/>
      </c>
      <c r="AQ1515" s="89" t="str">
        <f>+IF($AG1515=AQ$22,MONTH($D1515),"")</f>
        <v/>
      </c>
      <c r="AR1515" s="89" t="str">
        <f>+IF($AG1515=AR$22,MONTH($D1515),"")</f>
        <v/>
      </c>
      <c r="AS1515" s="89" t="str">
        <f>+IF($AG1515=AS$22,MONTH($D1515),"")</f>
        <v/>
      </c>
      <c r="AT1515" s="89" t="str">
        <f>+IF($AG1515=AT$22,MONTH($D1515),"")</f>
        <v/>
      </c>
      <c r="AU1515" s="89" t="str">
        <f>+IF($AG1515=AU$22,MONTH($D1515),"")</f>
        <v/>
      </c>
      <c r="AV1515" s="89" t="str">
        <f>+IF($AG1515=AV$22,MONTH($D1515),"")</f>
        <v/>
      </c>
      <c r="AW1515" s="86" t="str">
        <f>+IF($AG1515=AW$22,MONTH($D1515),"")</f>
        <v/>
      </c>
      <c r="AX1515" s="86" t="str">
        <f>+IF($AG1515=AX$22,MONTH($D1515),"")</f>
        <v/>
      </c>
      <c r="AY1515" s="89"/>
      <c r="AZ1515" s="89"/>
      <c r="BA1515" s="89"/>
      <c r="BB1515" s="89"/>
      <c r="BC1515" s="89"/>
      <c r="BD1515" s="89"/>
      <c r="BE1515" s="89"/>
      <c r="BF1515" s="89"/>
      <c r="BG1515" s="89"/>
      <c r="BH1515" s="89"/>
      <c r="BI1515" s="89"/>
      <c r="BJ1515" s="89"/>
      <c r="BK1515" s="89"/>
      <c r="BL1515" s="89"/>
      <c r="BM1515" s="89"/>
      <c r="BN1515" s="89"/>
      <c r="BO1515" s="89"/>
      <c r="BP1515" s="89"/>
    </row>
    <row r="1516" spans="1:68" s="56" customFormat="1" ht="13.5" hidden="1">
      <c r="A1516" s="204" t="str">
        <f>+IFERROR(VALUE(MID(AB1516,4,4)),"")</f>
        <v/>
      </c>
      <c r="B1516" s="204">
        <f>VALUE(RIGHT(C1516,LEN(C1516)-2))</f>
        <v>1208</v>
      </c>
      <c r="C1516" s="74" t="s">
        <v>5609</v>
      </c>
      <c r="D1516" s="75">
        <v>44081</v>
      </c>
      <c r="E1516" s="70" t="s">
        <v>394</v>
      </c>
      <c r="F1516" s="70" t="s">
        <v>394</v>
      </c>
      <c r="G1516" s="68" t="s">
        <v>5001</v>
      </c>
      <c r="H1516" s="59"/>
      <c r="I1516" s="69" t="s">
        <v>5610</v>
      </c>
      <c r="J1516" s="69"/>
      <c r="K1516" s="68" t="s">
        <v>18</v>
      </c>
      <c r="L1516" s="69" t="s">
        <v>120</v>
      </c>
      <c r="M1516" s="71" t="s">
        <v>141</v>
      </c>
      <c r="N1516" s="69" t="e" vm="1">
        <v>#VALUE!</v>
      </c>
      <c r="O1516" s="84">
        <v>44081</v>
      </c>
      <c r="P1516" s="72" t="s">
        <v>402</v>
      </c>
      <c r="Q1516" s="72"/>
      <c r="R1516" s="162"/>
      <c r="S1516" s="146"/>
      <c r="T1516" s="68" t="s">
        <v>165</v>
      </c>
      <c r="U1516" s="87"/>
      <c r="V1516" s="80">
        <v>44081</v>
      </c>
      <c r="W1516" s="73">
        <v>630</v>
      </c>
      <c r="X1516" s="73">
        <f>1134*28700/1000000</f>
        <v>32.5458</v>
      </c>
      <c r="Y1516" s="83">
        <f>IF(SUM(W1516:W1516)&gt;0,X1516/SUM(W1516:W1516)*1000000,"N/A")</f>
        <v>51660</v>
      </c>
      <c r="Z1516" s="80"/>
      <c r="AA1516" s="80"/>
      <c r="AB1516" s="73"/>
      <c r="AC1516" s="153"/>
      <c r="AD1516" s="331"/>
      <c r="AE1516" s="57"/>
      <c r="AF1516" s="88"/>
      <c r="AG1516" s="182">
        <f>YEAR(D1516)</f>
        <v>2020</v>
      </c>
      <c r="AH1516" s="86" t="str">
        <f>+IF(AE1516=$AJ$22,MONTH(T1516),"")</f>
        <v/>
      </c>
      <c r="AI1516" s="86" t="str">
        <f>+IF(AF1516=$AJ$22,MONTH(U1516),"")</f>
        <v/>
      </c>
      <c r="AJ1516" s="86" t="str">
        <f>+IF(AG1516=$AJ$22,MONTH(V1516),"")</f>
        <v/>
      </c>
      <c r="AK1516" s="86" t="str">
        <f>+IF(AG1516=$AK$22,MONTH(V1516),"")</f>
        <v/>
      </c>
      <c r="AL1516" s="86" t="str">
        <f>+IF(AG1516=$AL$22,MONTH(V1516),"")</f>
        <v/>
      </c>
      <c r="AM1516" s="86" t="str">
        <f>+IF($AG1516=$AM$22,MONTH($D1516),"")</f>
        <v/>
      </c>
      <c r="AN1516" s="89">
        <f>+IF($AG1516=AN$22,MONTH($D1516),"")</f>
        <v>9</v>
      </c>
      <c r="AO1516" s="89" t="str">
        <f>+IF($AG1516=AO$22,MONTH($D1516),"")</f>
        <v/>
      </c>
      <c r="AP1516" s="89" t="str">
        <f>+IF($AG1516=AP$22,MONTH($D1516),"")</f>
        <v/>
      </c>
      <c r="AQ1516" s="89" t="str">
        <f>+IF($AG1516=AQ$22,MONTH($D1516),"")</f>
        <v/>
      </c>
      <c r="AR1516" s="89" t="str">
        <f>+IF($AG1516=AR$22,MONTH($D1516),"")</f>
        <v/>
      </c>
      <c r="AS1516" s="89" t="str">
        <f>+IF($AG1516=AS$22,MONTH($D1516),"")</f>
        <v/>
      </c>
      <c r="AT1516" s="89" t="str">
        <f>+IF($AG1516=AT$22,MONTH($D1516),"")</f>
        <v/>
      </c>
      <c r="AU1516" s="89" t="str">
        <f>+IF($AG1516=AU$22,MONTH($D1516),"")</f>
        <v/>
      </c>
      <c r="AV1516" s="89" t="str">
        <f>+IF($AG1516=AV$22,MONTH($D1516),"")</f>
        <v/>
      </c>
      <c r="AW1516" s="86"/>
      <c r="AX1516" s="86"/>
      <c r="AY1516" s="89"/>
      <c r="AZ1516" s="89"/>
      <c r="BA1516" s="89"/>
      <c r="BB1516" s="89"/>
      <c r="BC1516" s="89"/>
      <c r="BD1516" s="89"/>
      <c r="BE1516" s="89"/>
      <c r="BF1516" s="89"/>
      <c r="BG1516" s="89"/>
      <c r="BH1516" s="89"/>
      <c r="BI1516" s="89"/>
      <c r="BJ1516" s="89"/>
      <c r="BK1516" s="89"/>
      <c r="BL1516" s="89"/>
      <c r="BM1516" s="89"/>
      <c r="BN1516" s="89"/>
      <c r="BO1516" s="89"/>
      <c r="BP1516" s="89"/>
    </row>
    <row r="1517" spans="1:68" s="56" customFormat="1" ht="13.5" hidden="1">
      <c r="A1517" s="204">
        <f>+IFERROR(VALUE(MID(AB1517,4,4)),"")</f>
        <v>252</v>
      </c>
      <c r="B1517" s="204">
        <f>VALUE(RIGHT(C1517,LEN(C1517)-2))</f>
        <v>1207</v>
      </c>
      <c r="C1517" s="74" t="s">
        <v>5611</v>
      </c>
      <c r="D1517" s="75">
        <v>44080</v>
      </c>
      <c r="E1517" s="70" t="s">
        <v>41</v>
      </c>
      <c r="F1517" s="70" t="s">
        <v>41</v>
      </c>
      <c r="G1517" s="68" t="s">
        <v>4713</v>
      </c>
      <c r="H1517" s="59"/>
      <c r="I1517" s="69" t="s">
        <v>5612</v>
      </c>
      <c r="J1517" s="69"/>
      <c r="K1517" s="68" t="s">
        <v>12</v>
      </c>
      <c r="L1517" s="69" t="s">
        <v>120</v>
      </c>
      <c r="M1517" s="71" t="s">
        <v>141</v>
      </c>
      <c r="N1517" s="69" t="e" vm="1">
        <v>#VALUE!</v>
      </c>
      <c r="O1517" s="84">
        <v>44081</v>
      </c>
      <c r="P1517" s="72" t="s">
        <v>402</v>
      </c>
      <c r="Q1517" s="72" t="s">
        <v>229</v>
      </c>
      <c r="R1517" s="162"/>
      <c r="S1517" s="146"/>
      <c r="T1517" s="68" t="s">
        <v>3</v>
      </c>
      <c r="U1517" s="87"/>
      <c r="V1517" s="80">
        <v>44081</v>
      </c>
      <c r="W1517" s="73">
        <v>150</v>
      </c>
      <c r="X1517" s="73">
        <f>191*28700/1000000</f>
        <v>5.4817</v>
      </c>
      <c r="Y1517" s="83">
        <f>IF(SUM(W1517:W1517)&gt;0,X1517/SUM(W1517:W1517)*1000000,"N/A")</f>
        <v>36544.666666666672</v>
      </c>
      <c r="Z1517" s="80"/>
      <c r="AA1517" s="80"/>
      <c r="AB1517" s="73" t="s">
        <v>5613</v>
      </c>
      <c r="AC1517" s="153"/>
      <c r="AD1517" s="331"/>
      <c r="AE1517" s="57"/>
      <c r="AF1517" s="88"/>
      <c r="AG1517" s="182">
        <f>YEAR(D1517)</f>
        <v>2020</v>
      </c>
      <c r="AH1517" s="86" t="str">
        <f>+IF(AE1517=$AJ$22,MONTH(T1517),"")</f>
        <v/>
      </c>
      <c r="AI1517" s="86" t="str">
        <f>+IF(AF1517=$AJ$22,MONTH(U1517),"")</f>
        <v/>
      </c>
      <c r="AJ1517" s="86" t="str">
        <f>+IF(AG1517=$AJ$22,MONTH(V1517),"")</f>
        <v/>
      </c>
      <c r="AK1517" s="86" t="str">
        <f>+IF(AG1517=$AK$22,MONTH(V1517),"")</f>
        <v/>
      </c>
      <c r="AL1517" s="86" t="str">
        <f>+IF(AG1517=$AL$22,MONTH(V1517),"")</f>
        <v/>
      </c>
      <c r="AM1517" s="86" t="str">
        <f>+IF($AG1517=$AM$22,MONTH($D1517),"")</f>
        <v/>
      </c>
      <c r="AN1517" s="89">
        <f>+IF($AG1517=AN$22,MONTH($D1517),"")</f>
        <v>9</v>
      </c>
      <c r="AO1517" s="89" t="str">
        <f>+IF($AG1517=AO$22,MONTH($D1517),"")</f>
        <v/>
      </c>
      <c r="AP1517" s="89" t="str">
        <f>+IF($AG1517=AP$22,MONTH($D1517),"")</f>
        <v/>
      </c>
      <c r="AQ1517" s="89" t="str">
        <f>+IF($AG1517=AQ$22,MONTH($D1517),"")</f>
        <v/>
      </c>
      <c r="AR1517" s="89" t="str">
        <f>+IF($AG1517=AR$22,MONTH($D1517),"")</f>
        <v/>
      </c>
      <c r="AS1517" s="89" t="str">
        <f>+IF($AG1517=AS$22,MONTH($D1517),"")</f>
        <v/>
      </c>
      <c r="AT1517" s="89" t="str">
        <f>+IF($AG1517=AT$22,MONTH($D1517),"")</f>
        <v/>
      </c>
      <c r="AU1517" s="89" t="str">
        <f>+IF($AG1517=AU$22,MONTH($D1517),"")</f>
        <v/>
      </c>
      <c r="AV1517" s="89" t="str">
        <f>+IF($AG1517=AV$22,MONTH($D1517),"")</f>
        <v/>
      </c>
      <c r="AW1517" s="86" t="str">
        <f>+IF($AG1517=AW$22,MONTH($D1517),"")</f>
        <v/>
      </c>
      <c r="AX1517" s="86" t="str">
        <f>+IF($AG1517=AX$22,MONTH($D1517),"")</f>
        <v/>
      </c>
      <c r="AY1517" s="89"/>
      <c r="AZ1517" s="89"/>
      <c r="BA1517" s="89"/>
      <c r="BB1517" s="89"/>
      <c r="BC1517" s="89"/>
      <c r="BD1517" s="89"/>
      <c r="BE1517" s="89"/>
      <c r="BF1517" s="89"/>
      <c r="BG1517" s="89"/>
      <c r="BH1517" s="89"/>
      <c r="BI1517" s="89"/>
      <c r="BJ1517" s="89"/>
      <c r="BK1517" s="89"/>
      <c r="BL1517" s="89"/>
      <c r="BM1517" s="89"/>
      <c r="BN1517" s="89"/>
      <c r="BO1517" s="89"/>
      <c r="BP1517" s="89"/>
    </row>
    <row r="1518" spans="1:68" s="56" customFormat="1" ht="13.5" hidden="1">
      <c r="A1518" s="204" t="str">
        <f>+IFERROR(VALUE(MID(AB1518,4,4)),"")</f>
        <v/>
      </c>
      <c r="B1518" s="204">
        <f>VALUE(RIGHT(C1518,LEN(C1518)-2))</f>
        <v>1206</v>
      </c>
      <c r="C1518" s="74" t="s">
        <v>5614</v>
      </c>
      <c r="D1518" s="75">
        <v>44075</v>
      </c>
      <c r="E1518" s="70" t="s">
        <v>101</v>
      </c>
      <c r="F1518" s="70" t="s">
        <v>479</v>
      </c>
      <c r="G1518" s="68" t="s">
        <v>5566</v>
      </c>
      <c r="H1518" s="59"/>
      <c r="I1518" s="69" t="s">
        <v>5615</v>
      </c>
      <c r="J1518" s="69"/>
      <c r="K1518" s="68" t="s">
        <v>13</v>
      </c>
      <c r="L1518" s="69" t="s">
        <v>120</v>
      </c>
      <c r="M1518" s="71" t="s">
        <v>113</v>
      </c>
      <c r="N1518" s="69" t="e" vm="2">
        <v>#VALUE!</v>
      </c>
      <c r="O1518" s="84"/>
      <c r="P1518" s="72" t="s">
        <v>483</v>
      </c>
      <c r="Q1518" s="72"/>
      <c r="R1518" s="162"/>
      <c r="S1518" s="146" t="s">
        <v>5616</v>
      </c>
      <c r="T1518" s="68" t="s">
        <v>165</v>
      </c>
      <c r="U1518" s="87"/>
      <c r="V1518" s="80"/>
      <c r="W1518" s="73">
        <v>313</v>
      </c>
      <c r="X1518" s="73">
        <f>43398*210/1000000</f>
        <v>9.1135800000000007</v>
      </c>
      <c r="Y1518" s="83">
        <f>IF(SUM(W1518:W1518)&gt;0,X1518/SUM(W1518:W1518)*1000000,"N/A")</f>
        <v>29116.869009584665</v>
      </c>
      <c r="Z1518" s="80"/>
      <c r="AA1518" s="80"/>
      <c r="AB1518" s="73"/>
      <c r="AC1518" s="153"/>
      <c r="AD1518" s="331"/>
      <c r="AE1518" s="57"/>
      <c r="AF1518" s="88"/>
      <c r="AG1518" s="182">
        <f>YEAR(D1518)</f>
        <v>2020</v>
      </c>
      <c r="AH1518" s="86" t="str">
        <f>+IF(AE1518=$AJ$22,MONTH(T1518),"")</f>
        <v/>
      </c>
      <c r="AI1518" s="86" t="str">
        <f>+IF(AF1518=$AJ$22,MONTH(U1518),"")</f>
        <v/>
      </c>
      <c r="AJ1518" s="86" t="str">
        <f>+IF(AG1518=$AJ$22,MONTH(V1518),"")</f>
        <v/>
      </c>
      <c r="AK1518" s="86" t="str">
        <f>+IF(AG1518=$AK$22,MONTH(V1518),"")</f>
        <v/>
      </c>
      <c r="AL1518" s="86" t="str">
        <f>+IF(AG1518=$AL$22,MONTH(V1518),"")</f>
        <v/>
      </c>
      <c r="AM1518" s="86" t="str">
        <f>+IF($AG1518=$AM$22,MONTH($D1518),"")</f>
        <v/>
      </c>
      <c r="AN1518" s="89">
        <f>+IF($AG1518=AN$22,MONTH($D1518),"")</f>
        <v>9</v>
      </c>
      <c r="AO1518" s="89" t="str">
        <f>+IF($AG1518=AO$22,MONTH($D1518),"")</f>
        <v/>
      </c>
      <c r="AP1518" s="89" t="str">
        <f>+IF($AG1518=AP$22,MONTH($D1518),"")</f>
        <v/>
      </c>
      <c r="AQ1518" s="89" t="str">
        <f>+IF($AG1518=AQ$22,MONTH($D1518),"")</f>
        <v/>
      </c>
      <c r="AR1518" s="89" t="str">
        <f>+IF($AG1518=AR$22,MONTH($D1518),"")</f>
        <v/>
      </c>
      <c r="AS1518" s="89" t="str">
        <f>+IF($AG1518=AS$22,MONTH($D1518),"")</f>
        <v/>
      </c>
      <c r="AT1518" s="89" t="str">
        <f>+IF($AG1518=AT$22,MONTH($D1518),"")</f>
        <v/>
      </c>
      <c r="AU1518" s="89" t="str">
        <f>+IF($AG1518=AU$22,MONTH($D1518),"")</f>
        <v/>
      </c>
      <c r="AV1518" s="89" t="str">
        <f>+IF($AG1518=AV$22,MONTH($D1518),"")</f>
        <v/>
      </c>
      <c r="AW1518" s="86" t="str">
        <f>+IF($AG1518=AW$22,MONTH($D1518),"")</f>
        <v/>
      </c>
      <c r="AX1518" s="86" t="str">
        <f>+IF($AG1518=AX$22,MONTH($D1518),"")</f>
        <v/>
      </c>
      <c r="AY1518" s="89"/>
      <c r="AZ1518" s="89"/>
      <c r="BA1518" s="89"/>
      <c r="BB1518" s="89"/>
      <c r="BC1518" s="89"/>
      <c r="BD1518" s="89"/>
      <c r="BE1518" s="89"/>
      <c r="BF1518" s="89"/>
      <c r="BG1518" s="89"/>
      <c r="BH1518" s="89"/>
      <c r="BI1518" s="89"/>
      <c r="BJ1518" s="89"/>
      <c r="BK1518" s="89"/>
      <c r="BL1518" s="89"/>
      <c r="BM1518" s="89"/>
      <c r="BN1518" s="89"/>
      <c r="BO1518" s="89"/>
      <c r="BP1518" s="89"/>
    </row>
    <row r="1519" spans="1:68" s="56" customFormat="1" ht="27" hidden="1">
      <c r="A1519" s="204">
        <f>+IFERROR(VALUE(MID(AB1519,4,4)),"")</f>
        <v>265</v>
      </c>
      <c r="B1519" s="204">
        <f>VALUE(RIGHT(C1519,LEN(C1519)-2))</f>
        <v>1205</v>
      </c>
      <c r="C1519" s="74" t="s">
        <v>5617</v>
      </c>
      <c r="D1519" s="75">
        <v>44210</v>
      </c>
      <c r="E1519" s="70" t="s">
        <v>41</v>
      </c>
      <c r="F1519" s="70" t="s">
        <v>41</v>
      </c>
      <c r="G1519" s="68" t="s">
        <v>4713</v>
      </c>
      <c r="H1519" s="59"/>
      <c r="I1519" s="69" t="s">
        <v>5618</v>
      </c>
      <c r="J1519" s="69"/>
      <c r="K1519" s="68" t="s">
        <v>13</v>
      </c>
      <c r="L1519" s="69" t="s">
        <v>129</v>
      </c>
      <c r="M1519" s="71" t="s">
        <v>141</v>
      </c>
      <c r="N1519" s="69" t="e" vm="1">
        <v>#VALUE!</v>
      </c>
      <c r="O1519" s="84">
        <v>44453</v>
      </c>
      <c r="P1519" s="72" t="s">
        <v>402</v>
      </c>
      <c r="Q1519" s="72" t="s">
        <v>1097</v>
      </c>
      <c r="R1519" s="162"/>
      <c r="S1519" s="146" t="s">
        <v>5619</v>
      </c>
      <c r="T1519" s="68" t="s">
        <v>3</v>
      </c>
      <c r="U1519" s="87"/>
      <c r="V1519" s="80">
        <v>44454</v>
      </c>
      <c r="W1519" s="73">
        <v>1040</v>
      </c>
      <c r="X1519" s="73">
        <f>956*30040/1000000</f>
        <v>28.718240000000002</v>
      </c>
      <c r="Y1519" s="83">
        <f>IF(SUM(W1519:W1519)&gt;0,X1519/SUM(W1519:W1519)*1000000,"N/A")</f>
        <v>27613.692307692309</v>
      </c>
      <c r="Z1519" s="80"/>
      <c r="AA1519" s="80"/>
      <c r="AB1519" s="73" t="s">
        <v>4332</v>
      </c>
      <c r="AC1519" s="153"/>
      <c r="AD1519" s="331"/>
      <c r="AE1519" s="57"/>
      <c r="AF1519" s="88"/>
      <c r="AG1519" s="182">
        <f>YEAR(D1519)</f>
        <v>2021</v>
      </c>
      <c r="AH1519" s="86" t="str">
        <f>+IF(AE1519=$AJ$22,MONTH(T1519),"")</f>
        <v/>
      </c>
      <c r="AI1519" s="86" t="str">
        <f>+IF(AF1519=$AJ$22,MONTH(U1519),"")</f>
        <v/>
      </c>
      <c r="AJ1519" s="86" t="str">
        <f>+IF(AG1519=$AJ$22,MONTH(V1519),"")</f>
        <v/>
      </c>
      <c r="AK1519" s="86" t="str">
        <f>+IF(AG1519=$AK$22,MONTH(V1519),"")</f>
        <v/>
      </c>
      <c r="AL1519" s="86" t="str">
        <f>+IF(AG1519=$AL$22,MONTH(V1519),"")</f>
        <v/>
      </c>
      <c r="AM1519" s="86">
        <f>+IF($AG1519=$AM$22,MONTH($D1519),"")</f>
        <v>1</v>
      </c>
      <c r="AN1519" s="89" t="str">
        <f>+IF($AG1519=AN$22,MONTH($D1519),"")</f>
        <v/>
      </c>
      <c r="AO1519" s="89" t="str">
        <f>+IF($AG1519=AO$22,MONTH($D1519),"")</f>
        <v/>
      </c>
      <c r="AP1519" s="89" t="str">
        <f>+IF($AG1519=AP$22,MONTH($D1519),"")</f>
        <v/>
      </c>
      <c r="AQ1519" s="89" t="str">
        <f>+IF($AG1519=AQ$22,MONTH($D1519),"")</f>
        <v/>
      </c>
      <c r="AR1519" s="89" t="str">
        <f>+IF($AG1519=AR$22,MONTH($D1519),"")</f>
        <v/>
      </c>
      <c r="AS1519" s="89" t="str">
        <f>+IF($AG1519=AS$22,MONTH($D1519),"")</f>
        <v/>
      </c>
      <c r="AT1519" s="89" t="str">
        <f>+IF($AG1519=AT$22,MONTH($D1519),"")</f>
        <v/>
      </c>
      <c r="AU1519" s="89" t="str">
        <f>+IF($AG1519=AU$22,MONTH($D1519),"")</f>
        <v/>
      </c>
      <c r="AV1519" s="89" t="str">
        <f>+IF($AG1519=AV$22,MONTH($D1519),"")</f>
        <v/>
      </c>
      <c r="AW1519" s="86" t="str">
        <f>+IF($AG1519=AW$22,MONTH($D1519),"")</f>
        <v/>
      </c>
      <c r="AX1519" s="86" t="str">
        <f>+IF($AG1519=AX$22,MONTH($D1519),"")</f>
        <v/>
      </c>
      <c r="AY1519" s="89"/>
      <c r="AZ1519" s="89"/>
      <c r="BA1519" s="89"/>
      <c r="BB1519" s="89"/>
      <c r="BC1519" s="89"/>
      <c r="BD1519" s="89"/>
      <c r="BE1519" s="89"/>
      <c r="BF1519" s="89"/>
      <c r="BG1519" s="89"/>
      <c r="BH1519" s="89"/>
      <c r="BI1519" s="89"/>
      <c r="BJ1519" s="89"/>
      <c r="BK1519" s="89"/>
      <c r="BL1519" s="89"/>
      <c r="BM1519" s="89"/>
      <c r="BN1519" s="89"/>
      <c r="BO1519" s="89"/>
      <c r="BP1519" s="89"/>
    </row>
    <row r="1520" spans="1:68" s="56" customFormat="1" ht="27" hidden="1">
      <c r="A1520" s="204">
        <f>+IFERROR(VALUE(MID(AB1520,4,4)),"")</f>
        <v>251</v>
      </c>
      <c r="B1520" s="204">
        <f>VALUE(RIGHT(C1520,LEN(C1520)-2))</f>
        <v>1204</v>
      </c>
      <c r="C1520" s="74" t="s">
        <v>5620</v>
      </c>
      <c r="D1520" s="75">
        <v>44071</v>
      </c>
      <c r="E1520" s="70" t="s">
        <v>96</v>
      </c>
      <c r="F1520" s="70" t="s">
        <v>5621</v>
      </c>
      <c r="G1520" s="68" t="s">
        <v>1433</v>
      </c>
      <c r="H1520" s="59"/>
      <c r="I1520" s="69" t="s">
        <v>5622</v>
      </c>
      <c r="J1520" s="69"/>
      <c r="K1520" s="68" t="s">
        <v>13</v>
      </c>
      <c r="L1520" s="69" t="s">
        <v>120</v>
      </c>
      <c r="M1520" s="71" t="s">
        <v>141</v>
      </c>
      <c r="N1520" s="69" t="e" vm="1">
        <v>#VALUE!</v>
      </c>
      <c r="O1520" s="84">
        <v>44070</v>
      </c>
      <c r="P1520" s="72" t="s">
        <v>402</v>
      </c>
      <c r="Q1520" s="72" t="s">
        <v>1097</v>
      </c>
      <c r="R1520" s="162"/>
      <c r="S1520" s="146"/>
      <c r="T1520" s="68" t="s">
        <v>3</v>
      </c>
      <c r="U1520" s="87"/>
      <c r="V1520" s="80">
        <v>44071</v>
      </c>
      <c r="W1520" s="73">
        <v>571</v>
      </c>
      <c r="X1520" s="73">
        <f>683.5*28700/1000000</f>
        <v>19.61645</v>
      </c>
      <c r="Y1520" s="83">
        <f>IF(SUM(W1520:W1520)&gt;0,X1520/SUM(W1520:W1520)*1000000,"N/A")</f>
        <v>34354.553415061295</v>
      </c>
      <c r="Z1520" s="80"/>
      <c r="AA1520" s="80"/>
      <c r="AB1520" s="73" t="s">
        <v>5623</v>
      </c>
      <c r="AC1520" s="153"/>
      <c r="AD1520" s="331"/>
      <c r="AE1520" s="57"/>
      <c r="AF1520" s="88"/>
      <c r="AG1520" s="182">
        <f>YEAR(D1520)</f>
        <v>2020</v>
      </c>
      <c r="AH1520" s="86" t="str">
        <f>+IF(AE1520=$AJ$22,MONTH(T1520),"")</f>
        <v/>
      </c>
      <c r="AI1520" s="86" t="str">
        <f>+IF(AF1520=$AJ$22,MONTH(U1520),"")</f>
        <v/>
      </c>
      <c r="AJ1520" s="86" t="str">
        <f>+IF(AG1520=$AJ$22,MONTH(V1520),"")</f>
        <v/>
      </c>
      <c r="AK1520" s="86" t="str">
        <f>+IF(AG1520=$AK$22,MONTH(V1520),"")</f>
        <v/>
      </c>
      <c r="AL1520" s="86" t="str">
        <f>+IF(AG1520=$AL$22,MONTH(V1520),"")</f>
        <v/>
      </c>
      <c r="AM1520" s="86" t="str">
        <f>+IF($AG1520=$AM$22,MONTH($D1520),"")</f>
        <v/>
      </c>
      <c r="AN1520" s="89">
        <f>+IF($AG1520=AN$22,MONTH($D1520),"")</f>
        <v>8</v>
      </c>
      <c r="AO1520" s="89" t="str">
        <f>+IF($AG1520=AO$22,MONTH($D1520),"")</f>
        <v/>
      </c>
      <c r="AP1520" s="89" t="str">
        <f>+IF($AG1520=AP$22,MONTH($D1520),"")</f>
        <v/>
      </c>
      <c r="AQ1520" s="89" t="str">
        <f>+IF($AG1520=AQ$22,MONTH($D1520),"")</f>
        <v/>
      </c>
      <c r="AR1520" s="89" t="str">
        <f>+IF($AG1520=AR$22,MONTH($D1520),"")</f>
        <v/>
      </c>
      <c r="AS1520" s="89" t="str">
        <f>+IF($AG1520=AS$22,MONTH($D1520),"")</f>
        <v/>
      </c>
      <c r="AT1520" s="89" t="str">
        <f>+IF($AG1520=AT$22,MONTH($D1520),"")</f>
        <v/>
      </c>
      <c r="AU1520" s="89" t="str">
        <f>+IF($AG1520=AU$22,MONTH($D1520),"")</f>
        <v/>
      </c>
      <c r="AV1520" s="89" t="str">
        <f>+IF($AG1520=AV$22,MONTH($D1520),"")</f>
        <v/>
      </c>
      <c r="AW1520" s="86"/>
      <c r="AX1520" s="86"/>
      <c r="AY1520" s="89"/>
      <c r="AZ1520" s="89"/>
      <c r="BA1520" s="89"/>
      <c r="BB1520" s="89"/>
      <c r="BC1520" s="89"/>
      <c r="BD1520" s="89"/>
      <c r="BE1520" s="89"/>
      <c r="BF1520" s="89"/>
      <c r="BG1520" s="89"/>
      <c r="BH1520" s="89"/>
      <c r="BI1520" s="89"/>
      <c r="BJ1520" s="89"/>
      <c r="BK1520" s="89"/>
      <c r="BL1520" s="89"/>
      <c r="BM1520" s="89"/>
      <c r="BN1520" s="89"/>
      <c r="BO1520" s="89"/>
      <c r="BP1520" s="89"/>
    </row>
    <row r="1521" spans="1:68" s="56" customFormat="1" ht="40.5" hidden="1">
      <c r="A1521" s="204" t="str">
        <f>+IFERROR(VALUE(MID(AB1521,4,4)),"")</f>
        <v/>
      </c>
      <c r="B1521" s="204">
        <f>VALUE(RIGHT(C1521,LEN(C1521)-2))</f>
        <v>1203</v>
      </c>
      <c r="C1521" s="74" t="s">
        <v>5624</v>
      </c>
      <c r="D1521" s="75">
        <v>44070</v>
      </c>
      <c r="E1521" s="70" t="s">
        <v>5625</v>
      </c>
      <c r="F1521" s="70" t="s">
        <v>3915</v>
      </c>
      <c r="G1521" s="68"/>
      <c r="H1521" s="59"/>
      <c r="I1521" s="69" t="s">
        <v>5626</v>
      </c>
      <c r="J1521" s="69"/>
      <c r="K1521" s="68" t="s">
        <v>13</v>
      </c>
      <c r="L1521" s="69" t="s">
        <v>123</v>
      </c>
      <c r="M1521" s="71" t="s">
        <v>141</v>
      </c>
      <c r="N1521" s="69" t="e" vm="1">
        <v>#VALUE!</v>
      </c>
      <c r="O1521" s="84"/>
      <c r="P1521" s="72" t="s">
        <v>4897</v>
      </c>
      <c r="Q1521" s="72"/>
      <c r="R1521" s="162"/>
      <c r="S1521" s="146" t="s">
        <v>5627</v>
      </c>
      <c r="T1521" s="68" t="s">
        <v>155</v>
      </c>
      <c r="U1521" s="87"/>
      <c r="V1521" s="80"/>
      <c r="W1521" s="73"/>
      <c r="X1521" s="73"/>
      <c r="Y1521" s="83" t="str">
        <f>IF(SUM(W1521:W1521)&gt;0,X1521/SUM(W1521:W1521)*1000000,"N/A")</f>
        <v>N/A</v>
      </c>
      <c r="Z1521" s="80"/>
      <c r="AA1521" s="80"/>
      <c r="AB1521" s="73"/>
      <c r="AC1521" s="153"/>
      <c r="AD1521" s="331"/>
      <c r="AE1521" s="57"/>
      <c r="AF1521" s="88"/>
      <c r="AG1521" s="182">
        <f>YEAR(D1521)</f>
        <v>2020</v>
      </c>
      <c r="AH1521" s="86" t="str">
        <f>+IF(AE1521=$AJ$22,MONTH(T1521),"")</f>
        <v/>
      </c>
      <c r="AI1521" s="86" t="str">
        <f>+IF(AF1521=$AJ$22,MONTH(U1521),"")</f>
        <v/>
      </c>
      <c r="AJ1521" s="86" t="str">
        <f>+IF(AG1521=$AJ$22,MONTH(V1521),"")</f>
        <v/>
      </c>
      <c r="AK1521" s="86" t="str">
        <f>+IF(AG1521=$AK$22,MONTH(V1521),"")</f>
        <v/>
      </c>
      <c r="AL1521" s="86" t="str">
        <f>+IF(AG1521=$AL$22,MONTH(V1521),"")</f>
        <v/>
      </c>
      <c r="AM1521" s="86" t="str">
        <f>+IF($AG1521=$AM$22,MONTH($D1521),"")</f>
        <v/>
      </c>
      <c r="AN1521" s="89">
        <f>+IF($AG1521=AN$22,MONTH($D1521),"")</f>
        <v>8</v>
      </c>
      <c r="AO1521" s="89" t="str">
        <f>+IF($AG1521=AO$22,MONTH($D1521),"")</f>
        <v/>
      </c>
      <c r="AP1521" s="89" t="str">
        <f>+IF($AG1521=AP$22,MONTH($D1521),"")</f>
        <v/>
      </c>
      <c r="AQ1521" s="89" t="str">
        <f>+IF($AG1521=AQ$22,MONTH($D1521),"")</f>
        <v/>
      </c>
      <c r="AR1521" s="89" t="str">
        <f>+IF($AG1521=AR$22,MONTH($D1521),"")</f>
        <v/>
      </c>
      <c r="AS1521" s="89" t="str">
        <f>+IF($AG1521=AS$22,MONTH($D1521),"")</f>
        <v/>
      </c>
      <c r="AT1521" s="89" t="str">
        <f>+IF($AG1521=AT$22,MONTH($D1521),"")</f>
        <v/>
      </c>
      <c r="AU1521" s="89" t="str">
        <f>+IF($AG1521=AU$22,MONTH($D1521),"")</f>
        <v/>
      </c>
      <c r="AV1521" s="89" t="str">
        <f>+IF($AG1521=AV$22,MONTH($D1521),"")</f>
        <v/>
      </c>
      <c r="AW1521" s="86" t="str">
        <f>+IF($AG1521=AW$22,MONTH($D1521),"")</f>
        <v/>
      </c>
      <c r="AX1521" s="86" t="str">
        <f>+IF($AG1521=AX$22,MONTH($D1521),"")</f>
        <v/>
      </c>
      <c r="AY1521" s="89"/>
      <c r="AZ1521" s="89"/>
      <c r="BA1521" s="89"/>
      <c r="BB1521" s="89"/>
      <c r="BC1521" s="89"/>
      <c r="BD1521" s="89"/>
      <c r="BE1521" s="89"/>
      <c r="BF1521" s="89"/>
      <c r="BG1521" s="89"/>
      <c r="BH1521" s="89"/>
      <c r="BI1521" s="89"/>
      <c r="BJ1521" s="89"/>
      <c r="BK1521" s="89"/>
      <c r="BL1521" s="89"/>
      <c r="BM1521" s="89"/>
      <c r="BN1521" s="89"/>
      <c r="BO1521" s="89"/>
      <c r="BP1521" s="89"/>
    </row>
    <row r="1522" spans="1:68" s="56" customFormat="1" ht="27" hidden="1">
      <c r="A1522" s="204" t="str">
        <f>+IFERROR(VALUE(MID(AB1522,4,4)),"")</f>
        <v/>
      </c>
      <c r="B1522" s="204">
        <f>VALUE(RIGHT(C1522,LEN(C1522)-2))</f>
        <v>1202</v>
      </c>
      <c r="C1522" s="74" t="s">
        <v>5628</v>
      </c>
      <c r="D1522" s="75">
        <v>44070</v>
      </c>
      <c r="E1522" s="70" t="s">
        <v>104</v>
      </c>
      <c r="F1522" s="70" t="s">
        <v>104</v>
      </c>
      <c r="G1522" s="68"/>
      <c r="H1522" s="59"/>
      <c r="I1522" s="69" t="s">
        <v>5629</v>
      </c>
      <c r="J1522" s="69"/>
      <c r="K1522" s="68" t="s">
        <v>11</v>
      </c>
      <c r="L1522" s="69" t="s">
        <v>120</v>
      </c>
      <c r="M1522" s="71" t="s">
        <v>141</v>
      </c>
      <c r="N1522" s="69" t="e" vm="1">
        <v>#VALUE!</v>
      </c>
      <c r="O1522" s="84">
        <v>44077</v>
      </c>
      <c r="P1522" s="72" t="s">
        <v>4567</v>
      </c>
      <c r="Q1522" s="72"/>
      <c r="R1522" s="162"/>
      <c r="S1522" s="146" t="s">
        <v>5630</v>
      </c>
      <c r="T1522" s="68" t="s">
        <v>165</v>
      </c>
      <c r="U1522" s="87">
        <v>0.01</v>
      </c>
      <c r="V1522" s="80">
        <v>44081</v>
      </c>
      <c r="W1522" s="73">
        <v>279</v>
      </c>
      <c r="X1522" s="73">
        <f>342*28700/1000000</f>
        <v>9.8154000000000003</v>
      </c>
      <c r="Y1522" s="83">
        <f>IF(SUM(W1522:W1522)&gt;0,X1522/SUM(W1522:W1522)*1000000,"N/A")</f>
        <v>35180.645161290326</v>
      </c>
      <c r="Z1522" s="80"/>
      <c r="AA1522" s="80"/>
      <c r="AB1522" s="73"/>
      <c r="AC1522" s="153"/>
      <c r="AD1522" s="331"/>
      <c r="AE1522" s="57"/>
      <c r="AF1522" s="88"/>
      <c r="AG1522" s="182">
        <f>YEAR(D1522)</f>
        <v>2020</v>
      </c>
      <c r="AH1522" s="86" t="str">
        <f>+IF(AE1522=$AJ$22,MONTH(T1522),"")</f>
        <v/>
      </c>
      <c r="AI1522" s="86" t="str">
        <f>+IF(AF1522=$AJ$22,MONTH(U1522),"")</f>
        <v/>
      </c>
      <c r="AJ1522" s="86" t="str">
        <f>+IF(AG1522=$AJ$22,MONTH(V1522),"")</f>
        <v/>
      </c>
      <c r="AK1522" s="86" t="str">
        <f>+IF(AG1522=$AK$22,MONTH(V1522),"")</f>
        <v/>
      </c>
      <c r="AL1522" s="86" t="str">
        <f>+IF(AG1522=$AL$22,MONTH(V1522),"")</f>
        <v/>
      </c>
      <c r="AM1522" s="86" t="str">
        <f>+IF($AG1522=$AM$22,MONTH($D1522),"")</f>
        <v/>
      </c>
      <c r="AN1522" s="89">
        <f>+IF($AG1522=AN$22,MONTH($D1522),"")</f>
        <v>8</v>
      </c>
      <c r="AO1522" s="89" t="str">
        <f>+IF($AG1522=AO$22,MONTH($D1522),"")</f>
        <v/>
      </c>
      <c r="AP1522" s="89" t="str">
        <f>+IF($AG1522=AP$22,MONTH($D1522),"")</f>
        <v/>
      </c>
      <c r="AQ1522" s="89" t="str">
        <f>+IF($AG1522=AQ$22,MONTH($D1522),"")</f>
        <v/>
      </c>
      <c r="AR1522" s="89" t="str">
        <f>+IF($AG1522=AR$22,MONTH($D1522),"")</f>
        <v/>
      </c>
      <c r="AS1522" s="89" t="str">
        <f>+IF($AG1522=AS$22,MONTH($D1522),"")</f>
        <v/>
      </c>
      <c r="AT1522" s="89" t="str">
        <f>+IF($AG1522=AT$22,MONTH($D1522),"")</f>
        <v/>
      </c>
      <c r="AU1522" s="89" t="str">
        <f>+IF($AG1522=AU$22,MONTH($D1522),"")</f>
        <v/>
      </c>
      <c r="AV1522" s="89" t="str">
        <f>+IF($AG1522=AV$22,MONTH($D1522),"")</f>
        <v/>
      </c>
      <c r="AW1522" s="86" t="str">
        <f>+IF($AG1522=AW$22,MONTH($D1522),"")</f>
        <v/>
      </c>
      <c r="AX1522" s="86" t="str">
        <f>+IF($AG1522=AX$22,MONTH($D1522),"")</f>
        <v/>
      </c>
      <c r="AY1522" s="89"/>
      <c r="AZ1522" s="89"/>
      <c r="BA1522" s="89"/>
      <c r="BB1522" s="89"/>
      <c r="BC1522" s="89"/>
      <c r="BD1522" s="89"/>
      <c r="BE1522" s="89"/>
      <c r="BF1522" s="89"/>
      <c r="BG1522" s="89"/>
      <c r="BH1522" s="89"/>
      <c r="BI1522" s="89"/>
      <c r="BJ1522" s="89"/>
      <c r="BK1522" s="89"/>
      <c r="BL1522" s="89"/>
      <c r="BM1522" s="89"/>
      <c r="BN1522" s="89"/>
      <c r="BO1522" s="89"/>
      <c r="BP1522" s="89"/>
    </row>
    <row r="1523" spans="1:68" s="56" customFormat="1" ht="27" hidden="1">
      <c r="A1523" s="204" t="str">
        <f>+IFERROR(VALUE(MID(AB1523,4,4)),"")</f>
        <v/>
      </c>
      <c r="B1523" s="204">
        <f>VALUE(RIGHT(C1523,LEN(C1523)-2))</f>
        <v>1201</v>
      </c>
      <c r="C1523" s="74" t="s">
        <v>5631</v>
      </c>
      <c r="D1523" s="75">
        <v>44069</v>
      </c>
      <c r="E1523" s="70" t="s">
        <v>41</v>
      </c>
      <c r="F1523" s="70" t="s">
        <v>41</v>
      </c>
      <c r="G1523" s="68" t="s">
        <v>4713</v>
      </c>
      <c r="H1523" s="59"/>
      <c r="I1523" s="69" t="s">
        <v>5632</v>
      </c>
      <c r="J1523" s="69"/>
      <c r="K1523" s="68" t="s">
        <v>13</v>
      </c>
      <c r="L1523" s="69" t="s">
        <v>129</v>
      </c>
      <c r="M1523" s="71" t="s">
        <v>141</v>
      </c>
      <c r="N1523" s="69" t="e" vm="1">
        <v>#VALUE!</v>
      </c>
      <c r="O1523" s="84">
        <v>44070</v>
      </c>
      <c r="P1523" s="72" t="s">
        <v>4567</v>
      </c>
      <c r="Q1523" s="72"/>
      <c r="R1523" s="162"/>
      <c r="S1523" s="146" t="s">
        <v>5600</v>
      </c>
      <c r="T1523" s="68" t="s">
        <v>165</v>
      </c>
      <c r="U1523" s="87"/>
      <c r="V1523" s="80">
        <v>44070</v>
      </c>
      <c r="W1523" s="73">
        <v>1399</v>
      </c>
      <c r="X1523" s="73">
        <f>1614*28700/1000000</f>
        <v>46.321800000000003</v>
      </c>
      <c r="Y1523" s="83">
        <f>IF(SUM(W1523:W1523)&gt;0,X1523/SUM(W1523:W1523)*1000000,"N/A")</f>
        <v>33110.650464617589</v>
      </c>
      <c r="Z1523" s="80"/>
      <c r="AA1523" s="80"/>
      <c r="AB1523" s="73"/>
      <c r="AC1523" s="153"/>
      <c r="AD1523" s="331"/>
      <c r="AE1523" s="57"/>
      <c r="AF1523" s="88"/>
      <c r="AG1523" s="182">
        <f>YEAR(D1523)</f>
        <v>2020</v>
      </c>
      <c r="AH1523" s="86" t="str">
        <f>+IF(AE1523=$AJ$22,MONTH(T1523),"")</f>
        <v/>
      </c>
      <c r="AI1523" s="86" t="str">
        <f>+IF(AF1523=$AJ$22,MONTH(U1523),"")</f>
        <v/>
      </c>
      <c r="AJ1523" s="86" t="str">
        <f>+IF(AG1523=$AJ$22,MONTH(V1523),"")</f>
        <v/>
      </c>
      <c r="AK1523" s="86" t="str">
        <f>+IF(AG1523=$AK$22,MONTH(V1523),"")</f>
        <v/>
      </c>
      <c r="AL1523" s="86" t="str">
        <f>+IF(AG1523=$AL$22,MONTH(V1523),"")</f>
        <v/>
      </c>
      <c r="AM1523" s="86" t="str">
        <f>+IF($AG1523=$AM$22,MONTH($D1523),"")</f>
        <v/>
      </c>
      <c r="AN1523" s="89">
        <f>+IF($AG1523=AN$22,MONTH($D1523),"")</f>
        <v>8</v>
      </c>
      <c r="AO1523" s="89" t="str">
        <f>+IF($AG1523=AO$22,MONTH($D1523),"")</f>
        <v/>
      </c>
      <c r="AP1523" s="89" t="str">
        <f>+IF($AG1523=AP$22,MONTH($D1523),"")</f>
        <v/>
      </c>
      <c r="AQ1523" s="89" t="str">
        <f>+IF($AG1523=AQ$22,MONTH($D1523),"")</f>
        <v/>
      </c>
      <c r="AR1523" s="89" t="str">
        <f>+IF($AG1523=AR$22,MONTH($D1523),"")</f>
        <v/>
      </c>
      <c r="AS1523" s="89" t="str">
        <f>+IF($AG1523=AS$22,MONTH($D1523),"")</f>
        <v/>
      </c>
      <c r="AT1523" s="89" t="str">
        <f>+IF($AG1523=AT$22,MONTH($D1523),"")</f>
        <v/>
      </c>
      <c r="AU1523" s="89" t="str">
        <f>+IF($AG1523=AU$22,MONTH($D1523),"")</f>
        <v/>
      </c>
      <c r="AV1523" s="89" t="str">
        <f>+IF($AG1523=AV$22,MONTH($D1523),"")</f>
        <v/>
      </c>
      <c r="AW1523" s="86" t="str">
        <f>+IF($AG1523=AW$22,MONTH($D1523),"")</f>
        <v/>
      </c>
      <c r="AX1523" s="86" t="str">
        <f>+IF($AG1523=AX$22,MONTH($D1523),"")</f>
        <v/>
      </c>
      <c r="AY1523" s="89"/>
      <c r="AZ1523" s="89"/>
      <c r="BA1523" s="89"/>
      <c r="BB1523" s="89"/>
      <c r="BC1523" s="89"/>
      <c r="BD1523" s="89"/>
      <c r="BE1523" s="89"/>
      <c r="BF1523" s="89"/>
      <c r="BG1523" s="89"/>
      <c r="BH1523" s="89"/>
      <c r="BI1523" s="89"/>
      <c r="BJ1523" s="89"/>
      <c r="BK1523" s="89"/>
      <c r="BL1523" s="89"/>
      <c r="BM1523" s="89"/>
      <c r="BN1523" s="89"/>
      <c r="BO1523" s="89"/>
      <c r="BP1523" s="89"/>
    </row>
    <row r="1524" spans="1:68" s="56" customFormat="1" ht="13.5" hidden="1">
      <c r="A1524" s="204" t="str">
        <f>+IFERROR(VALUE(MID(AB1524,4,4)),"")</f>
        <v/>
      </c>
      <c r="B1524" s="204">
        <f>VALUE(RIGHT(C1524,LEN(C1524)-2))</f>
        <v>1200</v>
      </c>
      <c r="C1524" s="74" t="s">
        <v>5633</v>
      </c>
      <c r="D1524" s="75">
        <v>44068</v>
      </c>
      <c r="E1524" s="70" t="s">
        <v>71</v>
      </c>
      <c r="F1524" s="70" t="s">
        <v>5382</v>
      </c>
      <c r="G1524" s="68"/>
      <c r="H1524" s="59"/>
      <c r="I1524" s="69" t="s">
        <v>5634</v>
      </c>
      <c r="J1524" s="69"/>
      <c r="K1524" s="68" t="s">
        <v>12</v>
      </c>
      <c r="L1524" s="69" t="s">
        <v>120</v>
      </c>
      <c r="M1524" s="71" t="s">
        <v>141</v>
      </c>
      <c r="N1524" s="69" t="e" vm="1">
        <v>#VALUE!</v>
      </c>
      <c r="O1524" s="84">
        <v>44069</v>
      </c>
      <c r="P1524" s="72" t="s">
        <v>402</v>
      </c>
      <c r="Q1524" s="72"/>
      <c r="R1524" s="162"/>
      <c r="S1524" s="146"/>
      <c r="T1524" s="68" t="s">
        <v>165</v>
      </c>
      <c r="U1524" s="87">
        <v>0.01</v>
      </c>
      <c r="V1524" s="80">
        <v>44069</v>
      </c>
      <c r="W1524" s="73">
        <v>165</v>
      </c>
      <c r="X1524" s="73">
        <f>5901000/1000000</f>
        <v>5.9009999999999998</v>
      </c>
      <c r="Y1524" s="83">
        <f>IF(SUM(W1524:W1524)&gt;0,X1524/SUM(W1524:W1524)*1000000,"N/A")</f>
        <v>35763.636363636368</v>
      </c>
      <c r="Z1524" s="80"/>
      <c r="AA1524" s="80"/>
      <c r="AB1524" s="73"/>
      <c r="AC1524" s="153"/>
      <c r="AD1524" s="331"/>
      <c r="AE1524" s="57"/>
      <c r="AF1524" s="88"/>
      <c r="AG1524" s="182">
        <f>YEAR(D1524)</f>
        <v>2020</v>
      </c>
      <c r="AH1524" s="86" t="str">
        <f>+IF(AE1524=$AJ$22,MONTH(T1524),"")</f>
        <v/>
      </c>
      <c r="AI1524" s="86" t="str">
        <f>+IF(AF1524=$AJ$22,MONTH(U1524),"")</f>
        <v/>
      </c>
      <c r="AJ1524" s="86" t="str">
        <f>+IF(AG1524=$AJ$22,MONTH(V1524),"")</f>
        <v/>
      </c>
      <c r="AK1524" s="86" t="str">
        <f>+IF(AG1524=$AK$22,MONTH(V1524),"")</f>
        <v/>
      </c>
      <c r="AL1524" s="86" t="str">
        <f>+IF(AG1524=$AL$22,MONTH(V1524),"")</f>
        <v/>
      </c>
      <c r="AM1524" s="86" t="str">
        <f>+IF($AG1524=$AM$22,MONTH($D1524),"")</f>
        <v/>
      </c>
      <c r="AN1524" s="89">
        <f>+IF($AG1524=AN$22,MONTH($D1524),"")</f>
        <v>8</v>
      </c>
      <c r="AO1524" s="89" t="str">
        <f>+IF($AG1524=AO$22,MONTH($D1524),"")</f>
        <v/>
      </c>
      <c r="AP1524" s="89" t="str">
        <f>+IF($AG1524=AP$22,MONTH($D1524),"")</f>
        <v/>
      </c>
      <c r="AQ1524" s="89" t="str">
        <f>+IF($AG1524=AQ$22,MONTH($D1524),"")</f>
        <v/>
      </c>
      <c r="AR1524" s="89" t="str">
        <f>+IF($AG1524=AR$22,MONTH($D1524),"")</f>
        <v/>
      </c>
      <c r="AS1524" s="89" t="str">
        <f>+IF($AG1524=AS$22,MONTH($D1524),"")</f>
        <v/>
      </c>
      <c r="AT1524" s="89" t="str">
        <f>+IF($AG1524=AT$22,MONTH($D1524),"")</f>
        <v/>
      </c>
      <c r="AU1524" s="89" t="str">
        <f>+IF($AG1524=AU$22,MONTH($D1524),"")</f>
        <v/>
      </c>
      <c r="AV1524" s="89" t="str">
        <f>+IF($AG1524=AV$22,MONTH($D1524),"")</f>
        <v/>
      </c>
      <c r="AW1524" s="86" t="str">
        <f>+IF($AG1524=AW$22,MONTH($D1524),"")</f>
        <v/>
      </c>
      <c r="AX1524" s="86" t="str">
        <f>+IF($AG1524=AX$22,MONTH($D1524),"")</f>
        <v/>
      </c>
      <c r="AY1524" s="89"/>
      <c r="AZ1524" s="89"/>
      <c r="BA1524" s="89"/>
      <c r="BB1524" s="89"/>
      <c r="BC1524" s="89"/>
      <c r="BD1524" s="89"/>
      <c r="BE1524" s="89"/>
      <c r="BF1524" s="89"/>
      <c r="BG1524" s="89"/>
      <c r="BH1524" s="89"/>
      <c r="BI1524" s="89"/>
      <c r="BJ1524" s="89"/>
      <c r="BK1524" s="89"/>
      <c r="BL1524" s="89"/>
      <c r="BM1524" s="89"/>
      <c r="BN1524" s="89"/>
      <c r="BO1524" s="89"/>
      <c r="BP1524" s="89"/>
    </row>
    <row r="1525" spans="1:68" s="56" customFormat="1" ht="27" hidden="1">
      <c r="A1525" s="204">
        <f>+IFERROR(VALUE(MID(AB1525,4,4)),"")</f>
        <v>219</v>
      </c>
      <c r="B1525" s="204">
        <f>VALUE(RIGHT(C1525,LEN(C1525)-2))</f>
        <v>1199</v>
      </c>
      <c r="C1525" s="74" t="s">
        <v>5635</v>
      </c>
      <c r="D1525" s="75">
        <v>44068</v>
      </c>
      <c r="E1525" s="70" t="s">
        <v>41</v>
      </c>
      <c r="F1525" s="70" t="s">
        <v>41</v>
      </c>
      <c r="G1525" s="68" t="s">
        <v>4713</v>
      </c>
      <c r="H1525" s="59"/>
      <c r="I1525" s="69" t="s">
        <v>5636</v>
      </c>
      <c r="J1525" s="69"/>
      <c r="K1525" s="68" t="s">
        <v>12</v>
      </c>
      <c r="L1525" s="69" t="s">
        <v>129</v>
      </c>
      <c r="M1525" s="71" t="s">
        <v>141</v>
      </c>
      <c r="N1525" s="69" t="e" vm="1">
        <v>#VALUE!</v>
      </c>
      <c r="O1525" s="84">
        <v>44068</v>
      </c>
      <c r="P1525" s="72" t="s">
        <v>4567</v>
      </c>
      <c r="Q1525" s="72" t="s">
        <v>259</v>
      </c>
      <c r="R1525" s="162"/>
      <c r="S1525" s="146"/>
      <c r="T1525" s="68" t="s">
        <v>3</v>
      </c>
      <c r="U1525" s="87"/>
      <c r="V1525" s="80">
        <v>44081</v>
      </c>
      <c r="W1525" s="73">
        <v>24</v>
      </c>
      <c r="X1525" s="73"/>
      <c r="Y1525" s="83"/>
      <c r="Z1525" s="80"/>
      <c r="AA1525" s="80"/>
      <c r="AB1525" s="73" t="s">
        <v>5637</v>
      </c>
      <c r="AC1525" s="153"/>
      <c r="AD1525" s="331"/>
      <c r="AE1525" s="57"/>
      <c r="AF1525" s="88"/>
      <c r="AG1525" s="182">
        <f>YEAR(D1525)</f>
        <v>2020</v>
      </c>
      <c r="AH1525" s="86" t="str">
        <f>+IF(AE1525=$AJ$22,MONTH(T1525),"")</f>
        <v/>
      </c>
      <c r="AI1525" s="86" t="str">
        <f>+IF(AF1525=$AJ$22,MONTH(U1525),"")</f>
        <v/>
      </c>
      <c r="AJ1525" s="86" t="str">
        <f>+IF(AG1525=$AJ$22,MONTH(V1525),"")</f>
        <v/>
      </c>
      <c r="AK1525" s="86" t="str">
        <f>+IF(AG1525=$AK$22,MONTH(V1525),"")</f>
        <v/>
      </c>
      <c r="AL1525" s="86" t="str">
        <f>+IF(AG1525=$AL$22,MONTH(V1525),"")</f>
        <v/>
      </c>
      <c r="AM1525" s="86" t="str">
        <f>+IF($AG1525=$AM$22,MONTH($D1525),"")</f>
        <v/>
      </c>
      <c r="AN1525" s="89">
        <f>+IF($AG1525=AN$22,MONTH($D1525),"")</f>
        <v>8</v>
      </c>
      <c r="AO1525" s="89" t="str">
        <f>+IF($AG1525=AO$22,MONTH($D1525),"")</f>
        <v/>
      </c>
      <c r="AP1525" s="89" t="str">
        <f>+IF($AG1525=AP$22,MONTH($D1525),"")</f>
        <v/>
      </c>
      <c r="AQ1525" s="89" t="str">
        <f>+IF($AG1525=AQ$22,MONTH($D1525),"")</f>
        <v/>
      </c>
      <c r="AR1525" s="89" t="str">
        <f>+IF($AG1525=AR$22,MONTH($D1525),"")</f>
        <v/>
      </c>
      <c r="AS1525" s="89" t="str">
        <f>+IF($AG1525=AS$22,MONTH($D1525),"")</f>
        <v/>
      </c>
      <c r="AT1525" s="89" t="str">
        <f>+IF($AG1525=AT$22,MONTH($D1525),"")</f>
        <v/>
      </c>
      <c r="AU1525" s="89" t="str">
        <f>+IF($AG1525=AU$22,MONTH($D1525),"")</f>
        <v/>
      </c>
      <c r="AV1525" s="89" t="str">
        <f>+IF($AG1525=AV$22,MONTH($D1525),"")</f>
        <v/>
      </c>
      <c r="AW1525" s="86"/>
      <c r="AX1525" s="86"/>
      <c r="AY1525" s="89"/>
      <c r="AZ1525" s="89"/>
      <c r="BA1525" s="89"/>
      <c r="BB1525" s="89"/>
      <c r="BC1525" s="89"/>
      <c r="BD1525" s="89"/>
      <c r="BE1525" s="89"/>
      <c r="BF1525" s="89"/>
      <c r="BG1525" s="89"/>
      <c r="BH1525" s="89"/>
      <c r="BI1525" s="89"/>
      <c r="BJ1525" s="89"/>
      <c r="BK1525" s="89"/>
      <c r="BL1525" s="89"/>
      <c r="BM1525" s="89"/>
      <c r="BN1525" s="89"/>
      <c r="BO1525" s="89"/>
      <c r="BP1525" s="89"/>
    </row>
    <row r="1526" spans="1:68" s="56" customFormat="1" ht="27" hidden="1">
      <c r="A1526" s="204">
        <f>+IFERROR(VALUE(MID(AB1526,4,4)),"")</f>
        <v>250</v>
      </c>
      <c r="B1526" s="204">
        <f>VALUE(RIGHT(C1526,LEN(C1526)-2))</f>
        <v>1198</v>
      </c>
      <c r="C1526" s="74" t="s">
        <v>5638</v>
      </c>
      <c r="D1526" s="75">
        <v>44066</v>
      </c>
      <c r="E1526" s="70" t="s">
        <v>83</v>
      </c>
      <c r="F1526" s="70" t="s">
        <v>83</v>
      </c>
      <c r="G1526" s="68"/>
      <c r="H1526" s="59"/>
      <c r="I1526" s="69" t="s">
        <v>5639</v>
      </c>
      <c r="J1526" s="69"/>
      <c r="K1526" s="68" t="s">
        <v>84</v>
      </c>
      <c r="L1526" s="69" t="s">
        <v>120</v>
      </c>
      <c r="M1526" s="71" t="s">
        <v>141</v>
      </c>
      <c r="N1526" s="69" t="e" vm="1">
        <v>#VALUE!</v>
      </c>
      <c r="O1526" s="84">
        <v>44064</v>
      </c>
      <c r="P1526" s="72" t="s">
        <v>4567</v>
      </c>
      <c r="Q1526" s="72" t="s">
        <v>623</v>
      </c>
      <c r="R1526" s="162"/>
      <c r="S1526" s="146"/>
      <c r="T1526" s="68" t="s">
        <v>3</v>
      </c>
      <c r="U1526" s="87"/>
      <c r="V1526" s="80">
        <v>44067</v>
      </c>
      <c r="W1526" s="73">
        <v>40</v>
      </c>
      <c r="X1526" s="73">
        <f>81*28700/1000000</f>
        <v>2.3247</v>
      </c>
      <c r="Y1526" s="83">
        <f>IF(SUM(W1526:W1526)&gt;0,X1526/SUM(W1526:W1526)*1000000,"N/A")</f>
        <v>58117.5</v>
      </c>
      <c r="Z1526" s="80"/>
      <c r="AA1526" s="80"/>
      <c r="AB1526" s="73" t="s">
        <v>5640</v>
      </c>
      <c r="AC1526" s="153"/>
      <c r="AD1526" s="331"/>
      <c r="AE1526" s="57"/>
      <c r="AF1526" s="88"/>
      <c r="AG1526" s="182">
        <f>YEAR(D1526)</f>
        <v>2020</v>
      </c>
      <c r="AH1526" s="86" t="str">
        <f>+IF(AE1526=$AJ$22,MONTH(T1526),"")</f>
        <v/>
      </c>
      <c r="AI1526" s="86" t="str">
        <f>+IF(AF1526=$AJ$22,MONTH(U1526),"")</f>
        <v/>
      </c>
      <c r="AJ1526" s="86" t="str">
        <f>+IF(AG1526=$AJ$22,MONTH(V1526),"")</f>
        <v/>
      </c>
      <c r="AK1526" s="86" t="str">
        <f>+IF(AG1526=$AK$22,MONTH(V1526),"")</f>
        <v/>
      </c>
      <c r="AL1526" s="86" t="str">
        <f>+IF(AG1526=$AL$22,MONTH(V1526),"")</f>
        <v/>
      </c>
      <c r="AM1526" s="86" t="str">
        <f>+IF($AG1526=$AM$22,MONTH($D1526),"")</f>
        <v/>
      </c>
      <c r="AN1526" s="89">
        <f>+IF($AG1526=AN$22,MONTH($D1526),"")</f>
        <v>8</v>
      </c>
      <c r="AO1526" s="89" t="str">
        <f>+IF($AG1526=AO$22,MONTH($D1526),"")</f>
        <v/>
      </c>
      <c r="AP1526" s="89" t="str">
        <f>+IF($AG1526=AP$22,MONTH($D1526),"")</f>
        <v/>
      </c>
      <c r="AQ1526" s="89" t="str">
        <f>+IF($AG1526=AQ$22,MONTH($D1526),"")</f>
        <v/>
      </c>
      <c r="AR1526" s="89" t="str">
        <f>+IF($AG1526=AR$22,MONTH($D1526),"")</f>
        <v/>
      </c>
      <c r="AS1526" s="89" t="str">
        <f>+IF($AG1526=AS$22,MONTH($D1526),"")</f>
        <v/>
      </c>
      <c r="AT1526" s="89" t="str">
        <f>+IF($AG1526=AT$22,MONTH($D1526),"")</f>
        <v/>
      </c>
      <c r="AU1526" s="89" t="str">
        <f>+IF($AG1526=AU$22,MONTH($D1526),"")</f>
        <v/>
      </c>
      <c r="AV1526" s="89" t="str">
        <f>+IF($AG1526=AV$22,MONTH($D1526),"")</f>
        <v/>
      </c>
      <c r="AW1526" s="86"/>
      <c r="AX1526" s="86"/>
      <c r="AY1526" s="89"/>
      <c r="AZ1526" s="89"/>
      <c r="BA1526" s="89"/>
      <c r="BB1526" s="89"/>
      <c r="BC1526" s="89"/>
      <c r="BD1526" s="89"/>
      <c r="BE1526" s="89"/>
      <c r="BF1526" s="89"/>
      <c r="BG1526" s="89"/>
      <c r="BH1526" s="89"/>
      <c r="BI1526" s="89"/>
      <c r="BJ1526" s="89"/>
      <c r="BK1526" s="89"/>
      <c r="BL1526" s="89"/>
      <c r="BM1526" s="89"/>
      <c r="BN1526" s="89"/>
      <c r="BO1526" s="89"/>
      <c r="BP1526" s="89"/>
    </row>
    <row r="1527" spans="1:68" s="56" customFormat="1" ht="27" hidden="1">
      <c r="A1527" s="204" t="str">
        <f>+IFERROR(VALUE(MID(AB1527,4,4)),"")</f>
        <v/>
      </c>
      <c r="B1527" s="204">
        <f>VALUE(RIGHT(C1527,LEN(C1527)-2))</f>
        <v>1197</v>
      </c>
      <c r="C1527" s="74" t="s">
        <v>5641</v>
      </c>
      <c r="D1527" s="75">
        <v>44064</v>
      </c>
      <c r="E1527" s="70" t="s">
        <v>5642</v>
      </c>
      <c r="F1527" s="70" t="s">
        <v>5642</v>
      </c>
      <c r="G1527" s="68"/>
      <c r="H1527" s="59"/>
      <c r="I1527" s="69" t="s">
        <v>5643</v>
      </c>
      <c r="J1527" s="69"/>
      <c r="K1527" s="68" t="s">
        <v>13</v>
      </c>
      <c r="L1527" s="69" t="s">
        <v>120</v>
      </c>
      <c r="M1527" s="71" t="s">
        <v>141</v>
      </c>
      <c r="N1527" s="69" t="e" vm="1">
        <v>#VALUE!</v>
      </c>
      <c r="O1527" s="84">
        <v>44064</v>
      </c>
      <c r="P1527" s="72" t="s">
        <v>4567</v>
      </c>
      <c r="Q1527" s="72"/>
      <c r="R1527" s="162"/>
      <c r="S1527" s="146" t="s">
        <v>5644</v>
      </c>
      <c r="T1527" s="68" t="s">
        <v>165</v>
      </c>
      <c r="U1527" s="87">
        <v>0.01</v>
      </c>
      <c r="V1527" s="80">
        <v>44081</v>
      </c>
      <c r="W1527" s="73">
        <v>37844</v>
      </c>
      <c r="X1527" s="73">
        <f>60550*28700/1000000</f>
        <v>1737.7850000000001</v>
      </c>
      <c r="Y1527" s="83">
        <f>IF(SUM(W1527:W1527)&gt;0,X1527/SUM(W1527:W1527)*1000000,"N/A")</f>
        <v>45919.696649402809</v>
      </c>
      <c r="Z1527" s="80"/>
      <c r="AA1527" s="80"/>
      <c r="AB1527" s="73"/>
      <c r="AC1527" s="153"/>
      <c r="AD1527" s="331"/>
      <c r="AE1527" s="57"/>
      <c r="AF1527" s="88"/>
      <c r="AG1527" s="182">
        <f>YEAR(D1527)</f>
        <v>2020</v>
      </c>
      <c r="AH1527" s="86" t="str">
        <f>+IF(AE1527=$AJ$22,MONTH(T1527),"")</f>
        <v/>
      </c>
      <c r="AI1527" s="86" t="str">
        <f>+IF(AF1527=$AJ$22,MONTH(U1527),"")</f>
        <v/>
      </c>
      <c r="AJ1527" s="86" t="str">
        <f>+IF(AG1527=$AJ$22,MONTH(V1527),"")</f>
        <v/>
      </c>
      <c r="AK1527" s="86" t="str">
        <f>+IF(AG1527=$AK$22,MONTH(V1527),"")</f>
        <v/>
      </c>
      <c r="AL1527" s="86" t="str">
        <f>+IF(AG1527=$AL$22,MONTH(V1527),"")</f>
        <v/>
      </c>
      <c r="AM1527" s="86" t="str">
        <f>+IF($AG1527=$AM$22,MONTH($D1527),"")</f>
        <v/>
      </c>
      <c r="AN1527" s="89">
        <f>+IF($AG1527=AN$22,MONTH($D1527),"")</f>
        <v>8</v>
      </c>
      <c r="AO1527" s="89" t="str">
        <f>+IF($AG1527=AO$22,MONTH($D1527),"")</f>
        <v/>
      </c>
      <c r="AP1527" s="89" t="str">
        <f>+IF($AG1527=AP$22,MONTH($D1527),"")</f>
        <v/>
      </c>
      <c r="AQ1527" s="89" t="str">
        <f>+IF($AG1527=AQ$22,MONTH($D1527),"")</f>
        <v/>
      </c>
      <c r="AR1527" s="89" t="str">
        <f>+IF($AG1527=AR$22,MONTH($D1527),"")</f>
        <v/>
      </c>
      <c r="AS1527" s="89" t="str">
        <f>+IF($AG1527=AS$22,MONTH($D1527),"")</f>
        <v/>
      </c>
      <c r="AT1527" s="89" t="str">
        <f>+IF($AG1527=AT$22,MONTH($D1527),"")</f>
        <v/>
      </c>
      <c r="AU1527" s="89" t="str">
        <f>+IF($AG1527=AU$22,MONTH($D1527),"")</f>
        <v/>
      </c>
      <c r="AV1527" s="89" t="str">
        <f>+IF($AG1527=AV$22,MONTH($D1527),"")</f>
        <v/>
      </c>
      <c r="AW1527" s="86"/>
      <c r="AX1527" s="86"/>
      <c r="AY1527" s="89"/>
      <c r="AZ1527" s="89"/>
      <c r="BA1527" s="89"/>
      <c r="BB1527" s="89"/>
      <c r="BC1527" s="89"/>
      <c r="BD1527" s="89"/>
      <c r="BE1527" s="89"/>
      <c r="BF1527" s="89"/>
      <c r="BG1527" s="89"/>
      <c r="BH1527" s="89"/>
      <c r="BI1527" s="89"/>
      <c r="BJ1527" s="89"/>
      <c r="BK1527" s="89"/>
      <c r="BL1527" s="89"/>
      <c r="BM1527" s="89"/>
      <c r="BN1527" s="89"/>
      <c r="BO1527" s="89"/>
      <c r="BP1527" s="89"/>
    </row>
    <row r="1528" spans="1:68" s="56" customFormat="1" ht="13.5" hidden="1">
      <c r="A1528" s="204" t="str">
        <f>+IFERROR(VALUE(MID(AB1528,4,4)),"")</f>
        <v/>
      </c>
      <c r="B1528" s="204">
        <f>VALUE(RIGHT(C1528,LEN(C1528)-2))</f>
        <v>1196</v>
      </c>
      <c r="C1528" s="74" t="s">
        <v>5645</v>
      </c>
      <c r="D1528" s="75">
        <v>44062</v>
      </c>
      <c r="E1528" s="70" t="s">
        <v>106</v>
      </c>
      <c r="F1528" s="70" t="s">
        <v>106</v>
      </c>
      <c r="G1528" s="68" t="s">
        <v>5646</v>
      </c>
      <c r="H1528" s="59"/>
      <c r="I1528" s="69" t="s">
        <v>5647</v>
      </c>
      <c r="J1528" s="69"/>
      <c r="K1528" s="68" t="s">
        <v>11</v>
      </c>
      <c r="L1528" s="69" t="s">
        <v>123</v>
      </c>
      <c r="M1528" s="71" t="s">
        <v>141</v>
      </c>
      <c r="N1528" s="69" t="e" vm="1">
        <v>#VALUE!</v>
      </c>
      <c r="O1528" s="84">
        <v>44076</v>
      </c>
      <c r="P1528" s="72" t="s">
        <v>4567</v>
      </c>
      <c r="Q1528" s="72"/>
      <c r="R1528" s="162"/>
      <c r="S1528" s="146"/>
      <c r="T1528" s="68" t="s">
        <v>155</v>
      </c>
      <c r="U1528" s="87"/>
      <c r="V1528" s="80"/>
      <c r="W1528" s="73"/>
      <c r="X1528" s="73"/>
      <c r="Y1528" s="83" t="str">
        <f>IF(SUM(W1528:W1528)&gt;0,X1528/SUM(W1528:W1528)*1000000,"N/A")</f>
        <v>N/A</v>
      </c>
      <c r="Z1528" s="80"/>
      <c r="AA1528" s="80"/>
      <c r="AB1528" s="73"/>
      <c r="AC1528" s="153"/>
      <c r="AD1528" s="331"/>
      <c r="AE1528" s="57"/>
      <c r="AF1528" s="88"/>
      <c r="AG1528" s="182">
        <f>YEAR(D1528)</f>
        <v>2020</v>
      </c>
      <c r="AH1528" s="86" t="str">
        <f>+IF(AE1528=$AJ$22,MONTH(T1528),"")</f>
        <v/>
      </c>
      <c r="AI1528" s="86" t="str">
        <f>+IF(AF1528=$AJ$22,MONTH(U1528),"")</f>
        <v/>
      </c>
      <c r="AJ1528" s="86" t="str">
        <f>+IF(AG1528=$AJ$22,MONTH(V1528),"")</f>
        <v/>
      </c>
      <c r="AK1528" s="86" t="str">
        <f>+IF(AG1528=$AK$22,MONTH(V1528),"")</f>
        <v/>
      </c>
      <c r="AL1528" s="86" t="str">
        <f>+IF(AG1528=$AL$22,MONTH(V1528),"")</f>
        <v/>
      </c>
      <c r="AM1528" s="86" t="str">
        <f>+IF($AG1528=$AM$22,MONTH($D1528),"")</f>
        <v/>
      </c>
      <c r="AN1528" s="89">
        <f>+IF($AG1528=AN$22,MONTH($D1528),"")</f>
        <v>8</v>
      </c>
      <c r="AO1528" s="89" t="str">
        <f>+IF($AG1528=AO$22,MONTH($D1528),"")</f>
        <v/>
      </c>
      <c r="AP1528" s="89" t="str">
        <f>+IF($AG1528=AP$22,MONTH($D1528),"")</f>
        <v/>
      </c>
      <c r="AQ1528" s="89" t="str">
        <f>+IF($AG1528=AQ$22,MONTH($D1528),"")</f>
        <v/>
      </c>
      <c r="AR1528" s="89" t="str">
        <f>+IF($AG1528=AR$22,MONTH($D1528),"")</f>
        <v/>
      </c>
      <c r="AS1528" s="89" t="str">
        <f>+IF($AG1528=AS$22,MONTH($D1528),"")</f>
        <v/>
      </c>
      <c r="AT1528" s="89" t="str">
        <f>+IF($AG1528=AT$22,MONTH($D1528),"")</f>
        <v/>
      </c>
      <c r="AU1528" s="89" t="str">
        <f>+IF($AG1528=AU$22,MONTH($D1528),"")</f>
        <v/>
      </c>
      <c r="AV1528" s="89" t="str">
        <f>+IF($AG1528=AV$22,MONTH($D1528),"")</f>
        <v/>
      </c>
      <c r="AW1528" s="86" t="str">
        <f>+IF($AG1528=AW$22,MONTH($D1528),"")</f>
        <v/>
      </c>
      <c r="AX1528" s="86" t="str">
        <f>+IF($AG1528=AX$22,MONTH($D1528),"")</f>
        <v/>
      </c>
      <c r="AY1528" s="89"/>
      <c r="AZ1528" s="89"/>
      <c r="BA1528" s="89"/>
      <c r="BB1528" s="89"/>
      <c r="BC1528" s="89"/>
      <c r="BD1528" s="89"/>
      <c r="BE1528" s="89"/>
      <c r="BF1528" s="89"/>
      <c r="BG1528" s="89"/>
      <c r="BH1528" s="89"/>
      <c r="BI1528" s="89"/>
      <c r="BJ1528" s="89"/>
      <c r="BK1528" s="89"/>
      <c r="BL1528" s="89"/>
      <c r="BM1528" s="89"/>
      <c r="BN1528" s="89"/>
      <c r="BO1528" s="89"/>
      <c r="BP1528" s="89"/>
    </row>
    <row r="1529" spans="1:68" s="56" customFormat="1" ht="27" hidden="1">
      <c r="A1529" s="204" t="str">
        <f>+IFERROR(VALUE(MID(AB1529,4,4)),"")</f>
        <v/>
      </c>
      <c r="B1529" s="204">
        <f>VALUE(RIGHT(C1529,LEN(C1529)-2))</f>
        <v>1195</v>
      </c>
      <c r="C1529" s="74" t="s">
        <v>5648</v>
      </c>
      <c r="D1529" s="75">
        <v>44061</v>
      </c>
      <c r="E1529" s="70" t="s">
        <v>5649</v>
      </c>
      <c r="F1529" s="70" t="s">
        <v>5649</v>
      </c>
      <c r="G1529" s="68"/>
      <c r="H1529" s="59"/>
      <c r="I1529" s="69" t="s">
        <v>5650</v>
      </c>
      <c r="J1529" s="69"/>
      <c r="K1529" s="68" t="s">
        <v>18</v>
      </c>
      <c r="L1529" s="69" t="s">
        <v>123</v>
      </c>
      <c r="M1529" s="71" t="s">
        <v>141</v>
      </c>
      <c r="N1529" s="69" t="e" vm="4">
        <v>#VALUE!</v>
      </c>
      <c r="O1529" s="84">
        <v>44109</v>
      </c>
      <c r="P1529" s="72" t="s">
        <v>4897</v>
      </c>
      <c r="Q1529" s="72"/>
      <c r="R1529" s="162"/>
      <c r="S1529" s="146" t="s">
        <v>5630</v>
      </c>
      <c r="T1529" s="68" t="s">
        <v>165</v>
      </c>
      <c r="U1529" s="87"/>
      <c r="V1529" s="80">
        <v>44144</v>
      </c>
      <c r="W1529" s="73">
        <v>6223</v>
      </c>
      <c r="X1529" s="73">
        <f>341066.7*780/1000000</f>
        <v>266.03202599999997</v>
      </c>
      <c r="Y1529" s="83"/>
      <c r="Z1529" s="80"/>
      <c r="AA1529" s="80"/>
      <c r="AB1529" s="73"/>
      <c r="AC1529" s="153"/>
      <c r="AD1529" s="331"/>
      <c r="AE1529" s="57"/>
      <c r="AF1529" s="88"/>
      <c r="AG1529" s="182">
        <f>YEAR(D1529)</f>
        <v>2020</v>
      </c>
      <c r="AH1529" s="86" t="str">
        <f>+IF(AE1529=$AJ$22,MONTH(T1529),"")</f>
        <v/>
      </c>
      <c r="AI1529" s="86" t="str">
        <f>+IF(AF1529=$AJ$22,MONTH(U1529),"")</f>
        <v/>
      </c>
      <c r="AJ1529" s="86" t="str">
        <f>+IF(AG1529=$AJ$22,MONTH(V1529),"")</f>
        <v/>
      </c>
      <c r="AK1529" s="86" t="str">
        <f>+IF(AG1529=$AK$22,MONTH(V1529),"")</f>
        <v/>
      </c>
      <c r="AL1529" s="86" t="str">
        <f>+IF(AG1529=$AL$22,MONTH(V1529),"")</f>
        <v/>
      </c>
      <c r="AM1529" s="86" t="str">
        <f>+IF($AG1529=$AM$22,MONTH($D1529),"")</f>
        <v/>
      </c>
      <c r="AN1529" s="89">
        <f>+IF($AG1529=AN$22,MONTH($D1529),"")</f>
        <v>8</v>
      </c>
      <c r="AO1529" s="89" t="str">
        <f>+IF($AG1529=AO$22,MONTH($D1529),"")</f>
        <v/>
      </c>
      <c r="AP1529" s="89" t="str">
        <f>+IF($AG1529=AP$22,MONTH($D1529),"")</f>
        <v/>
      </c>
      <c r="AQ1529" s="89" t="str">
        <f>+IF($AG1529=AQ$22,MONTH($D1529),"")</f>
        <v/>
      </c>
      <c r="AR1529" s="89" t="str">
        <f>+IF($AG1529=AR$22,MONTH($D1529),"")</f>
        <v/>
      </c>
      <c r="AS1529" s="89" t="str">
        <f>+IF($AG1529=AS$22,MONTH($D1529),"")</f>
        <v/>
      </c>
      <c r="AT1529" s="89" t="str">
        <f>+IF($AG1529=AT$22,MONTH($D1529),"")</f>
        <v/>
      </c>
      <c r="AU1529" s="89" t="str">
        <f>+IF($AG1529=AU$22,MONTH($D1529),"")</f>
        <v/>
      </c>
      <c r="AV1529" s="89" t="str">
        <f>+IF($AG1529=AV$22,MONTH($D1529),"")</f>
        <v/>
      </c>
      <c r="AW1529" s="86"/>
      <c r="AX1529" s="86"/>
      <c r="AY1529" s="89"/>
      <c r="AZ1529" s="89"/>
      <c r="BA1529" s="89"/>
      <c r="BB1529" s="89"/>
      <c r="BC1529" s="89"/>
      <c r="BD1529" s="89"/>
      <c r="BE1529" s="89"/>
      <c r="BF1529" s="89"/>
      <c r="BG1529" s="89"/>
      <c r="BH1529" s="89"/>
      <c r="BI1529" s="89"/>
      <c r="BJ1529" s="89"/>
      <c r="BK1529" s="89"/>
      <c r="BL1529" s="89"/>
      <c r="BM1529" s="89"/>
      <c r="BN1529" s="89"/>
      <c r="BO1529" s="89"/>
      <c r="BP1529" s="89"/>
    </row>
    <row r="1530" spans="1:68" s="56" customFormat="1" ht="27" hidden="1">
      <c r="A1530" s="204" t="str">
        <f>+IFERROR(VALUE(MID(AB1530,4,4)),"")</f>
        <v/>
      </c>
      <c r="B1530" s="204">
        <f>VALUE(RIGHT(C1530,LEN(C1530)-2))</f>
        <v>1194</v>
      </c>
      <c r="C1530" s="74" t="s">
        <v>5651</v>
      </c>
      <c r="D1530" s="75">
        <v>44057</v>
      </c>
      <c r="E1530" s="70" t="s">
        <v>277</v>
      </c>
      <c r="F1530" s="70" t="s">
        <v>277</v>
      </c>
      <c r="G1530" s="68"/>
      <c r="H1530" s="59"/>
      <c r="I1530" s="69" t="s">
        <v>5652</v>
      </c>
      <c r="J1530" s="69"/>
      <c r="K1530" s="68" t="s">
        <v>16</v>
      </c>
      <c r="L1530" s="69" t="s">
        <v>123</v>
      </c>
      <c r="M1530" s="71" t="s">
        <v>141</v>
      </c>
      <c r="N1530" s="69" t="e" vm="1">
        <v>#VALUE!</v>
      </c>
      <c r="O1530" s="84">
        <v>44071</v>
      </c>
      <c r="P1530" s="72" t="s">
        <v>4567</v>
      </c>
      <c r="Q1530" s="72"/>
      <c r="R1530" s="162"/>
      <c r="S1530" s="146" t="s">
        <v>5653</v>
      </c>
      <c r="T1530" s="68" t="s">
        <v>165</v>
      </c>
      <c r="U1530" s="87">
        <v>0.1</v>
      </c>
      <c r="V1530" s="80">
        <v>44081</v>
      </c>
      <c r="W1530" s="73">
        <v>1036</v>
      </c>
      <c r="X1530" s="73">
        <v>44.699060000000003</v>
      </c>
      <c r="Y1530" s="83">
        <f>IF(SUM(W1530:W1530)&gt;0,X1530/SUM(W1530:W1530)*1000000,"N/A")</f>
        <v>43145.810810810814</v>
      </c>
      <c r="Z1530" s="80"/>
      <c r="AA1530" s="80"/>
      <c r="AB1530" s="73"/>
      <c r="AC1530" s="153"/>
      <c r="AD1530" s="331"/>
      <c r="AE1530" s="57"/>
      <c r="AF1530" s="88"/>
      <c r="AG1530" s="182">
        <f>YEAR(D1530)</f>
        <v>2020</v>
      </c>
      <c r="AH1530" s="86" t="str">
        <f>+IF(AE1530=$AJ$22,MONTH(T1530),"")</f>
        <v/>
      </c>
      <c r="AI1530" s="86" t="str">
        <f>+IF(AF1530=$AJ$22,MONTH(U1530),"")</f>
        <v/>
      </c>
      <c r="AJ1530" s="86" t="str">
        <f>+IF(AG1530=$AJ$22,MONTH(V1530),"")</f>
        <v/>
      </c>
      <c r="AK1530" s="86" t="str">
        <f>+IF(AG1530=$AK$22,MONTH(V1530),"")</f>
        <v/>
      </c>
      <c r="AL1530" s="86" t="str">
        <f>+IF(AG1530=$AL$22,MONTH(V1530),"")</f>
        <v/>
      </c>
      <c r="AM1530" s="86" t="str">
        <f>+IF($AG1530=$AM$22,MONTH($D1530),"")</f>
        <v/>
      </c>
      <c r="AN1530" s="89">
        <f>+IF($AG1530=AN$22,MONTH($D1530),"")</f>
        <v>8</v>
      </c>
      <c r="AO1530" s="89" t="str">
        <f>+IF($AG1530=AO$22,MONTH($D1530),"")</f>
        <v/>
      </c>
      <c r="AP1530" s="89" t="str">
        <f>+IF($AG1530=AP$22,MONTH($D1530),"")</f>
        <v/>
      </c>
      <c r="AQ1530" s="89" t="str">
        <f>+IF($AG1530=AQ$22,MONTH($D1530),"")</f>
        <v/>
      </c>
      <c r="AR1530" s="89" t="str">
        <f>+IF($AG1530=AR$22,MONTH($D1530),"")</f>
        <v/>
      </c>
      <c r="AS1530" s="89" t="str">
        <f>+IF($AG1530=AS$22,MONTH($D1530),"")</f>
        <v/>
      </c>
      <c r="AT1530" s="89" t="str">
        <f>+IF($AG1530=AT$22,MONTH($D1530),"")</f>
        <v/>
      </c>
      <c r="AU1530" s="89" t="str">
        <f>+IF($AG1530=AU$22,MONTH($D1530),"")</f>
        <v/>
      </c>
      <c r="AV1530" s="89" t="str">
        <f>+IF($AG1530=AV$22,MONTH($D1530),"")</f>
        <v/>
      </c>
      <c r="AW1530" s="86" t="str">
        <f>+IF($AG1530=AW$22,MONTH($D1530),"")</f>
        <v/>
      </c>
      <c r="AX1530" s="86" t="str">
        <f>+IF($AG1530=AX$22,MONTH($D1530),"")</f>
        <v/>
      </c>
      <c r="AY1530" s="89"/>
      <c r="AZ1530" s="89"/>
      <c r="BA1530" s="89"/>
      <c r="BB1530" s="89"/>
      <c r="BC1530" s="89"/>
      <c r="BD1530" s="89"/>
      <c r="BE1530" s="89"/>
      <c r="BF1530" s="89"/>
      <c r="BG1530" s="89"/>
      <c r="BH1530" s="89"/>
      <c r="BI1530" s="89"/>
      <c r="BJ1530" s="89"/>
      <c r="BK1530" s="89"/>
      <c r="BL1530" s="89"/>
      <c r="BM1530" s="89"/>
      <c r="BN1530" s="89"/>
      <c r="BO1530" s="89"/>
      <c r="BP1530" s="89"/>
    </row>
    <row r="1531" spans="1:68" s="56" customFormat="1" ht="40.5" hidden="1">
      <c r="A1531" s="204" t="str">
        <f>+IFERROR(VALUE(MID(AB1531,4,4)),"")</f>
        <v/>
      </c>
      <c r="B1531" s="204">
        <f>VALUE(RIGHT(C1531,LEN(C1531)-2))</f>
        <v>1193</v>
      </c>
      <c r="C1531" s="74" t="s">
        <v>5654</v>
      </c>
      <c r="D1531" s="75">
        <v>44057</v>
      </c>
      <c r="E1531" s="70" t="s">
        <v>106</v>
      </c>
      <c r="F1531" s="70" t="s">
        <v>106</v>
      </c>
      <c r="G1531" s="68" t="s">
        <v>5655</v>
      </c>
      <c r="H1531" s="59"/>
      <c r="I1531" s="69" t="s">
        <v>5656</v>
      </c>
      <c r="J1531" s="69"/>
      <c r="K1531" s="68" t="s">
        <v>42</v>
      </c>
      <c r="L1531" s="69" t="s">
        <v>120</v>
      </c>
      <c r="M1531" s="71" t="s">
        <v>141</v>
      </c>
      <c r="N1531" s="69" t="e" vm="1">
        <v>#VALUE!</v>
      </c>
      <c r="O1531" s="84">
        <v>44060</v>
      </c>
      <c r="P1531" s="72" t="s">
        <v>402</v>
      </c>
      <c r="Q1531" s="72"/>
      <c r="R1531" s="162"/>
      <c r="S1531" s="146" t="s">
        <v>5657</v>
      </c>
      <c r="T1531" s="68" t="s">
        <v>165</v>
      </c>
      <c r="U1531" s="87"/>
      <c r="V1531" s="80">
        <v>44067</v>
      </c>
      <c r="W1531" s="73">
        <v>640</v>
      </c>
      <c r="X1531" s="73">
        <f>28700*896/1000000</f>
        <v>25.715199999999999</v>
      </c>
      <c r="Y1531" s="83">
        <f>IF(SUM(W1531:W1531)&gt;0,X1531/SUM(W1531:W1531)*1000000,"N/A")</f>
        <v>40180</v>
      </c>
      <c r="Z1531" s="80"/>
      <c r="AA1531" s="80"/>
      <c r="AB1531" s="73"/>
      <c r="AC1531" s="153"/>
      <c r="AD1531" s="331"/>
      <c r="AE1531" s="57"/>
      <c r="AF1531" s="88"/>
      <c r="AG1531" s="182">
        <f>YEAR(D1531)</f>
        <v>2020</v>
      </c>
      <c r="AH1531" s="86" t="str">
        <f>+IF(AE1531=$AJ$22,MONTH(T1531),"")</f>
        <v/>
      </c>
      <c r="AI1531" s="86" t="str">
        <f>+IF(AF1531=$AJ$22,MONTH(U1531),"")</f>
        <v/>
      </c>
      <c r="AJ1531" s="86" t="str">
        <f>+IF(AG1531=$AJ$22,MONTH(V1531),"")</f>
        <v/>
      </c>
      <c r="AK1531" s="86" t="str">
        <f>+IF(AG1531=$AK$22,MONTH(V1531),"")</f>
        <v/>
      </c>
      <c r="AL1531" s="86" t="str">
        <f>+IF(AG1531=$AL$22,MONTH(V1531),"")</f>
        <v/>
      </c>
      <c r="AM1531" s="86" t="str">
        <f>+IF($AG1531=$AM$22,MONTH($D1531),"")</f>
        <v/>
      </c>
      <c r="AN1531" s="89">
        <f>+IF($AG1531=AN$22,MONTH($D1531),"")</f>
        <v>8</v>
      </c>
      <c r="AO1531" s="89" t="str">
        <f>+IF($AG1531=AO$22,MONTH($D1531),"")</f>
        <v/>
      </c>
      <c r="AP1531" s="89" t="str">
        <f>+IF($AG1531=AP$22,MONTH($D1531),"")</f>
        <v/>
      </c>
      <c r="AQ1531" s="89" t="str">
        <f>+IF($AG1531=AQ$22,MONTH($D1531),"")</f>
        <v/>
      </c>
      <c r="AR1531" s="89" t="str">
        <f>+IF($AG1531=AR$22,MONTH($D1531),"")</f>
        <v/>
      </c>
      <c r="AS1531" s="89" t="str">
        <f>+IF($AG1531=AS$22,MONTH($D1531),"")</f>
        <v/>
      </c>
      <c r="AT1531" s="89" t="str">
        <f>+IF($AG1531=AT$22,MONTH($D1531),"")</f>
        <v/>
      </c>
      <c r="AU1531" s="89" t="str">
        <f>+IF($AG1531=AU$22,MONTH($D1531),"")</f>
        <v/>
      </c>
      <c r="AV1531" s="89" t="str">
        <f>+IF($AG1531=AV$22,MONTH($D1531),"")</f>
        <v/>
      </c>
      <c r="AW1531" s="86" t="str">
        <f>+IF($AG1531=AW$22,MONTH($D1531),"")</f>
        <v/>
      </c>
      <c r="AX1531" s="86" t="str">
        <f>+IF($AG1531=AX$22,MONTH($D1531),"")</f>
        <v/>
      </c>
      <c r="AY1531" s="89"/>
      <c r="AZ1531" s="89"/>
      <c r="BA1531" s="89"/>
      <c r="BB1531" s="89"/>
      <c r="BC1531" s="89"/>
      <c r="BD1531" s="89"/>
      <c r="BE1531" s="89"/>
      <c r="BF1531" s="89"/>
      <c r="BG1531" s="89"/>
      <c r="BH1531" s="89"/>
      <c r="BI1531" s="89"/>
      <c r="BJ1531" s="89"/>
      <c r="BK1531" s="89"/>
      <c r="BL1531" s="89"/>
      <c r="BM1531" s="89"/>
      <c r="BN1531" s="89"/>
      <c r="BO1531" s="89"/>
      <c r="BP1531" s="89"/>
    </row>
    <row r="1532" spans="1:68" s="56" customFormat="1" ht="13.5" hidden="1">
      <c r="A1532" s="204" t="str">
        <f>+IFERROR(VALUE(MID(AB1532,4,4)),"")</f>
        <v/>
      </c>
      <c r="B1532" s="204">
        <f>VALUE(RIGHT(C1532,LEN(C1532)-2))</f>
        <v>1192</v>
      </c>
      <c r="C1532" s="74" t="s">
        <v>5658</v>
      </c>
      <c r="D1532" s="75">
        <v>44057</v>
      </c>
      <c r="E1532" s="70" t="s">
        <v>53</v>
      </c>
      <c r="F1532" s="70" t="s">
        <v>209</v>
      </c>
      <c r="G1532" s="68"/>
      <c r="H1532" s="59"/>
      <c r="I1532" s="69" t="s">
        <v>5659</v>
      </c>
      <c r="J1532" s="69"/>
      <c r="K1532" s="68" t="s">
        <v>212</v>
      </c>
      <c r="L1532" s="69" t="s">
        <v>123</v>
      </c>
      <c r="M1532" s="71" t="s">
        <v>141</v>
      </c>
      <c r="N1532" s="69" t="e" vm="1">
        <v>#VALUE!</v>
      </c>
      <c r="O1532" s="84">
        <v>44117</v>
      </c>
      <c r="P1532" s="72" t="s">
        <v>4567</v>
      </c>
      <c r="Q1532" s="72"/>
      <c r="R1532" s="162"/>
      <c r="S1532" s="146" t="s">
        <v>5660</v>
      </c>
      <c r="T1532" s="68" t="s">
        <v>165</v>
      </c>
      <c r="U1532" s="87"/>
      <c r="V1532" s="80">
        <v>44067</v>
      </c>
      <c r="W1532" s="73">
        <f>229500/4</f>
        <v>57375</v>
      </c>
      <c r="X1532" s="73">
        <v>2748.75</v>
      </c>
      <c r="Y1532" s="83">
        <f>IF(SUM(W1532:W1532)&gt;0,X1532/SUM(W1532:W1532)*1000000,"N/A")</f>
        <v>47908.496732026142</v>
      </c>
      <c r="Z1532" s="80"/>
      <c r="AA1532" s="80"/>
      <c r="AB1532" s="73"/>
      <c r="AC1532" s="153"/>
      <c r="AD1532" s="331"/>
      <c r="AE1532" s="57"/>
      <c r="AF1532" s="88"/>
      <c r="AG1532" s="182">
        <f>YEAR(D1532)</f>
        <v>2020</v>
      </c>
      <c r="AH1532" s="86" t="str">
        <f>+IF(AE1532=$AJ$22,MONTH(T1532),"")</f>
        <v/>
      </c>
      <c r="AI1532" s="86" t="str">
        <f>+IF(AF1532=$AJ$22,MONTH(U1532),"")</f>
        <v/>
      </c>
      <c r="AJ1532" s="86" t="str">
        <f>+IF(AG1532=$AJ$22,MONTH(V1532),"")</f>
        <v/>
      </c>
      <c r="AK1532" s="86" t="str">
        <f>+IF(AG1532=$AK$22,MONTH(V1532),"")</f>
        <v/>
      </c>
      <c r="AL1532" s="86" t="str">
        <f>+IF(AG1532=$AL$22,MONTH(V1532),"")</f>
        <v/>
      </c>
      <c r="AM1532" s="86" t="str">
        <f>+IF($AG1532=$AM$22,MONTH($D1532),"")</f>
        <v/>
      </c>
      <c r="AN1532" s="89">
        <f>+IF($AG1532=AN$22,MONTH($D1532),"")</f>
        <v>8</v>
      </c>
      <c r="AO1532" s="89" t="str">
        <f>+IF($AG1532=AO$22,MONTH($D1532),"")</f>
        <v/>
      </c>
      <c r="AP1532" s="89" t="str">
        <f>+IF($AG1532=AP$22,MONTH($D1532),"")</f>
        <v/>
      </c>
      <c r="AQ1532" s="89" t="str">
        <f>+IF($AG1532=AQ$22,MONTH($D1532),"")</f>
        <v/>
      </c>
      <c r="AR1532" s="89" t="str">
        <f>+IF($AG1532=AR$22,MONTH($D1532),"")</f>
        <v/>
      </c>
      <c r="AS1532" s="89" t="str">
        <f>+IF($AG1532=AS$22,MONTH($D1532),"")</f>
        <v/>
      </c>
      <c r="AT1532" s="89" t="str">
        <f>+IF($AG1532=AT$22,MONTH($D1532),"")</f>
        <v/>
      </c>
      <c r="AU1532" s="89" t="str">
        <f>+IF($AG1532=AU$22,MONTH($D1532),"")</f>
        <v/>
      </c>
      <c r="AV1532" s="89" t="str">
        <f>+IF($AG1532=AV$22,MONTH($D1532),"")</f>
        <v/>
      </c>
      <c r="AW1532" s="86" t="str">
        <f>+IF($AG1532=AW$22,MONTH($D1532),"")</f>
        <v/>
      </c>
      <c r="AX1532" s="86" t="str">
        <f>+IF($AG1532=AX$22,MONTH($D1532),"")</f>
        <v/>
      </c>
      <c r="AY1532" s="89"/>
      <c r="AZ1532" s="89"/>
      <c r="BA1532" s="89"/>
      <c r="BB1532" s="89"/>
      <c r="BC1532" s="89"/>
      <c r="BD1532" s="89"/>
      <c r="BE1532" s="89"/>
      <c r="BF1532" s="89"/>
      <c r="BG1532" s="89"/>
      <c r="BH1532" s="89"/>
      <c r="BI1532" s="89"/>
      <c r="BJ1532" s="89"/>
      <c r="BK1532" s="89"/>
      <c r="BL1532" s="89"/>
      <c r="BM1532" s="89"/>
      <c r="BN1532" s="89"/>
      <c r="BO1532" s="89"/>
      <c r="BP1532" s="89"/>
    </row>
    <row r="1533" spans="1:68" s="56" customFormat="1" ht="13.5" hidden="1">
      <c r="A1533" s="204" t="str">
        <f>+IFERROR(VALUE(MID(AB1533,4,4)),"")</f>
        <v/>
      </c>
      <c r="B1533" s="204">
        <f>VALUE(RIGHT(C1533,LEN(C1533)-2))</f>
        <v>1191</v>
      </c>
      <c r="C1533" s="74" t="s">
        <v>5661</v>
      </c>
      <c r="D1533" s="75">
        <v>44057</v>
      </c>
      <c r="E1533" s="70" t="s">
        <v>5662</v>
      </c>
      <c r="F1533" s="70" t="s">
        <v>5662</v>
      </c>
      <c r="G1533" s="68"/>
      <c r="H1533" s="59"/>
      <c r="I1533" s="69" t="s">
        <v>5663</v>
      </c>
      <c r="J1533" s="69"/>
      <c r="K1533" s="68" t="s">
        <v>42</v>
      </c>
      <c r="L1533" s="69" t="s">
        <v>120</v>
      </c>
      <c r="M1533" s="71" t="s">
        <v>141</v>
      </c>
      <c r="N1533" s="69" t="e" vm="1">
        <v>#VALUE!</v>
      </c>
      <c r="O1533" s="84">
        <v>44060</v>
      </c>
      <c r="P1533" s="72" t="s">
        <v>666</v>
      </c>
      <c r="Q1533" s="72"/>
      <c r="R1533" s="162"/>
      <c r="S1533" s="146"/>
      <c r="T1533" s="68" t="s">
        <v>165</v>
      </c>
      <c r="U1533" s="87"/>
      <c r="V1533" s="80">
        <v>44067</v>
      </c>
      <c r="W1533" s="73">
        <v>200</v>
      </c>
      <c r="X1533" s="73">
        <f>340*28700/1000000</f>
        <v>9.7579999999999991</v>
      </c>
      <c r="Y1533" s="83">
        <f>IF(SUM(W1533:W1533)&gt;0,X1533/SUM(W1533:W1533)*1000000,"N/A")</f>
        <v>48789.999999999993</v>
      </c>
      <c r="Z1533" s="80"/>
      <c r="AA1533" s="80"/>
      <c r="AB1533" s="73"/>
      <c r="AC1533" s="153"/>
      <c r="AD1533" s="331"/>
      <c r="AE1533" s="57"/>
      <c r="AF1533" s="88"/>
      <c r="AG1533" s="182">
        <f>YEAR(D1533)</f>
        <v>2020</v>
      </c>
      <c r="AH1533" s="86" t="str">
        <f>+IF(AE1533=$AJ$22,MONTH(T1533),"")</f>
        <v/>
      </c>
      <c r="AI1533" s="86" t="str">
        <f>+IF(AF1533=$AJ$22,MONTH(U1533),"")</f>
        <v/>
      </c>
      <c r="AJ1533" s="86" t="str">
        <f>+IF(AG1533=$AJ$22,MONTH(V1533),"")</f>
        <v/>
      </c>
      <c r="AK1533" s="86" t="str">
        <f>+IF(AG1533=$AK$22,MONTH(V1533),"")</f>
        <v/>
      </c>
      <c r="AL1533" s="86" t="str">
        <f>+IF(AG1533=$AL$22,MONTH(V1533),"")</f>
        <v/>
      </c>
      <c r="AM1533" s="86" t="str">
        <f>+IF($AG1533=$AM$22,MONTH($D1533),"")</f>
        <v/>
      </c>
      <c r="AN1533" s="89">
        <f>+IF($AG1533=AN$22,MONTH($D1533),"")</f>
        <v>8</v>
      </c>
      <c r="AO1533" s="89" t="str">
        <f>+IF($AG1533=AO$22,MONTH($D1533),"")</f>
        <v/>
      </c>
      <c r="AP1533" s="89" t="str">
        <f>+IF($AG1533=AP$22,MONTH($D1533),"")</f>
        <v/>
      </c>
      <c r="AQ1533" s="89" t="str">
        <f>+IF($AG1533=AQ$22,MONTH($D1533),"")</f>
        <v/>
      </c>
      <c r="AR1533" s="89" t="str">
        <f>+IF($AG1533=AR$22,MONTH($D1533),"")</f>
        <v/>
      </c>
      <c r="AS1533" s="89" t="str">
        <f>+IF($AG1533=AS$22,MONTH($D1533),"")</f>
        <v/>
      </c>
      <c r="AT1533" s="89" t="str">
        <f>+IF($AG1533=AT$22,MONTH($D1533),"")</f>
        <v/>
      </c>
      <c r="AU1533" s="89" t="str">
        <f>+IF($AG1533=AU$22,MONTH($D1533),"")</f>
        <v/>
      </c>
      <c r="AV1533" s="89" t="str">
        <f>+IF($AG1533=AV$22,MONTH($D1533),"")</f>
        <v/>
      </c>
      <c r="AW1533" s="86"/>
      <c r="AX1533" s="86"/>
      <c r="AY1533" s="89"/>
      <c r="AZ1533" s="89"/>
      <c r="BA1533" s="89"/>
      <c r="BB1533" s="89"/>
      <c r="BC1533" s="89"/>
      <c r="BD1533" s="89"/>
      <c r="BE1533" s="89"/>
      <c r="BF1533" s="89"/>
      <c r="BG1533" s="89"/>
      <c r="BH1533" s="89"/>
      <c r="BI1533" s="89"/>
      <c r="BJ1533" s="89"/>
      <c r="BK1533" s="89"/>
      <c r="BL1533" s="89"/>
      <c r="BM1533" s="89"/>
      <c r="BN1533" s="89"/>
      <c r="BO1533" s="89"/>
      <c r="BP1533" s="89"/>
    </row>
    <row r="1534" spans="1:68" s="56" customFormat="1" ht="13.5" hidden="1">
      <c r="A1534" s="204">
        <f>+IFERROR(VALUE(MID(AB1534,4,4)),"")</f>
        <v>247</v>
      </c>
      <c r="B1534" s="204">
        <f>VALUE(RIGHT(C1534,LEN(C1534)-2))</f>
        <v>1190</v>
      </c>
      <c r="C1534" s="74" t="s">
        <v>5664</v>
      </c>
      <c r="D1534" s="75">
        <v>44055</v>
      </c>
      <c r="E1534" s="70" t="s">
        <v>277</v>
      </c>
      <c r="F1534" s="70" t="s">
        <v>277</v>
      </c>
      <c r="G1534" s="68" t="s">
        <v>1350</v>
      </c>
      <c r="H1534" s="59" t="s">
        <v>4327</v>
      </c>
      <c r="I1534" s="69" t="s">
        <v>5665</v>
      </c>
      <c r="J1534" s="69"/>
      <c r="K1534" s="68" t="s">
        <v>27</v>
      </c>
      <c r="L1534" s="69" t="s">
        <v>120</v>
      </c>
      <c r="M1534" s="71" t="s">
        <v>141</v>
      </c>
      <c r="N1534" s="69" t="e" vm="1">
        <v>#VALUE!</v>
      </c>
      <c r="O1534" s="84">
        <v>44057</v>
      </c>
      <c r="P1534" s="72" t="s">
        <v>402</v>
      </c>
      <c r="Q1534" s="72" t="s">
        <v>1097</v>
      </c>
      <c r="R1534" s="162"/>
      <c r="S1534" s="146" t="s">
        <v>5666</v>
      </c>
      <c r="T1534" s="68" t="s">
        <v>3</v>
      </c>
      <c r="U1534" s="87"/>
      <c r="V1534" s="80">
        <v>44060</v>
      </c>
      <c r="W1534" s="73">
        <v>590</v>
      </c>
      <c r="X1534" s="73">
        <v>19.984999999999999</v>
      </c>
      <c r="Y1534" s="83">
        <f>IF(SUM(W1534:W1534)&gt;0,X1534/SUM(W1534:W1534)*1000000,"N/A")</f>
        <v>33872.881355932201</v>
      </c>
      <c r="Z1534" s="80"/>
      <c r="AA1534" s="80"/>
      <c r="AB1534" s="73" t="s">
        <v>5667</v>
      </c>
      <c r="AC1534" s="153"/>
      <c r="AD1534" s="331"/>
      <c r="AE1534" s="57"/>
      <c r="AF1534" s="88"/>
      <c r="AG1534" s="182">
        <f>YEAR(D1534)</f>
        <v>2020</v>
      </c>
      <c r="AH1534" s="86" t="str">
        <f>+IF(AE1534=$AJ$22,MONTH(T1534),"")</f>
        <v/>
      </c>
      <c r="AI1534" s="86" t="str">
        <f>+IF(AF1534=$AJ$22,MONTH(U1534),"")</f>
        <v/>
      </c>
      <c r="AJ1534" s="86" t="str">
        <f>+IF(AG1534=$AJ$22,MONTH(V1534),"")</f>
        <v/>
      </c>
      <c r="AK1534" s="86" t="str">
        <f>+IF(AG1534=$AK$22,MONTH(V1534),"")</f>
        <v/>
      </c>
      <c r="AL1534" s="86" t="str">
        <f>+IF(AG1534=$AL$22,MONTH(V1534),"")</f>
        <v/>
      </c>
      <c r="AM1534" s="86" t="str">
        <f>+IF($AG1534=$AM$22,MONTH($D1534),"")</f>
        <v/>
      </c>
      <c r="AN1534" s="89">
        <f>+IF($AG1534=AN$22,MONTH($D1534),"")</f>
        <v>8</v>
      </c>
      <c r="AO1534" s="89" t="str">
        <f>+IF($AG1534=AO$22,MONTH($D1534),"")</f>
        <v/>
      </c>
      <c r="AP1534" s="89" t="str">
        <f>+IF($AG1534=AP$22,MONTH($D1534),"")</f>
        <v/>
      </c>
      <c r="AQ1534" s="89" t="str">
        <f>+IF($AG1534=AQ$22,MONTH($D1534),"")</f>
        <v/>
      </c>
      <c r="AR1534" s="89" t="str">
        <f>+IF($AG1534=AR$22,MONTH($D1534),"")</f>
        <v/>
      </c>
      <c r="AS1534" s="89" t="str">
        <f>+IF($AG1534=AS$22,MONTH($D1534),"")</f>
        <v/>
      </c>
      <c r="AT1534" s="89" t="str">
        <f>+IF($AG1534=AT$22,MONTH($D1534),"")</f>
        <v/>
      </c>
      <c r="AU1534" s="89" t="str">
        <f>+IF($AG1534=AU$22,MONTH($D1534),"")</f>
        <v/>
      </c>
      <c r="AV1534" s="89" t="str">
        <f>+IF($AG1534=AV$22,MONTH($D1534),"")</f>
        <v/>
      </c>
      <c r="AW1534" s="86"/>
      <c r="AX1534" s="86"/>
      <c r="AY1534" s="89"/>
      <c r="AZ1534" s="89"/>
      <c r="BA1534" s="89"/>
      <c r="BB1534" s="89"/>
      <c r="BC1534" s="89"/>
      <c r="BD1534" s="89"/>
      <c r="BE1534" s="89"/>
      <c r="BF1534" s="89"/>
      <c r="BG1534" s="89"/>
      <c r="BH1534" s="89"/>
      <c r="BI1534" s="89"/>
      <c r="BJ1534" s="89"/>
      <c r="BK1534" s="89"/>
      <c r="BL1534" s="89"/>
      <c r="BM1534" s="89"/>
      <c r="BN1534" s="89"/>
      <c r="BO1534" s="89"/>
      <c r="BP1534" s="89"/>
    </row>
    <row r="1535" spans="1:68" s="56" customFormat="1" ht="13.5" hidden="1">
      <c r="A1535" s="204" t="str">
        <f>+IFERROR(VALUE(MID(AB1535,4,4)),"")</f>
        <v/>
      </c>
      <c r="B1535" s="204">
        <f>VALUE(RIGHT(C1535,LEN(C1535)-2))</f>
        <v>1189</v>
      </c>
      <c r="C1535" s="74" t="s">
        <v>5668</v>
      </c>
      <c r="D1535" s="75">
        <v>44055</v>
      </c>
      <c r="E1535" s="70" t="s">
        <v>2961</v>
      </c>
      <c r="F1535" s="70" t="s">
        <v>51</v>
      </c>
      <c r="G1535" s="68" t="s">
        <v>364</v>
      </c>
      <c r="H1535" s="59"/>
      <c r="I1535" s="69" t="s">
        <v>5669</v>
      </c>
      <c r="J1535" s="69"/>
      <c r="K1535" s="68" t="s">
        <v>11</v>
      </c>
      <c r="L1535" s="69" t="s">
        <v>120</v>
      </c>
      <c r="M1535" s="71" t="s">
        <v>141</v>
      </c>
      <c r="N1535" s="69" t="e" vm="1">
        <v>#VALUE!</v>
      </c>
      <c r="O1535" s="84"/>
      <c r="P1535" s="72" t="s">
        <v>402</v>
      </c>
      <c r="Q1535" s="72"/>
      <c r="R1535" s="162"/>
      <c r="S1535" s="146"/>
      <c r="T1535" s="68" t="s">
        <v>165</v>
      </c>
      <c r="U1535" s="87"/>
      <c r="V1535" s="80">
        <v>44081</v>
      </c>
      <c r="W1535" s="73">
        <v>4576</v>
      </c>
      <c r="X1535" s="73">
        <v>188.15186</v>
      </c>
      <c r="Y1535" s="83">
        <f>IF(SUM(W1535:W1535)&gt;0,X1535/SUM(W1535:W1535)*1000000,"N/A")</f>
        <v>41117.102272727272</v>
      </c>
      <c r="Z1535" s="80"/>
      <c r="AA1535" s="80"/>
      <c r="AB1535" s="73"/>
      <c r="AC1535" s="153"/>
      <c r="AD1535" s="331"/>
      <c r="AE1535" s="57"/>
      <c r="AF1535" s="88"/>
      <c r="AG1535" s="182">
        <f>YEAR(D1535)</f>
        <v>2020</v>
      </c>
      <c r="AH1535" s="86" t="str">
        <f>+IF(AE1535=$AJ$22,MONTH(T1535),"")</f>
        <v/>
      </c>
      <c r="AI1535" s="86" t="str">
        <f>+IF(AF1535=$AJ$22,MONTH(U1535),"")</f>
        <v/>
      </c>
      <c r="AJ1535" s="86" t="str">
        <f>+IF(AG1535=$AJ$22,MONTH(V1535),"")</f>
        <v/>
      </c>
      <c r="AK1535" s="86" t="str">
        <f>+IF(AG1535=$AK$22,MONTH(V1535),"")</f>
        <v/>
      </c>
      <c r="AL1535" s="86" t="str">
        <f>+IF(AG1535=$AL$22,MONTH(V1535),"")</f>
        <v/>
      </c>
      <c r="AM1535" s="86" t="str">
        <f>+IF($AG1535=$AM$22,MONTH($D1535),"")</f>
        <v/>
      </c>
      <c r="AN1535" s="89">
        <f>+IF($AG1535=AN$22,MONTH($D1535),"")</f>
        <v>8</v>
      </c>
      <c r="AO1535" s="89" t="str">
        <f>+IF($AG1535=AO$22,MONTH($D1535),"")</f>
        <v/>
      </c>
      <c r="AP1535" s="89" t="str">
        <f>+IF($AG1535=AP$22,MONTH($D1535),"")</f>
        <v/>
      </c>
      <c r="AQ1535" s="89" t="str">
        <f>+IF($AG1535=AQ$22,MONTH($D1535),"")</f>
        <v/>
      </c>
      <c r="AR1535" s="89" t="str">
        <f>+IF($AG1535=AR$22,MONTH($D1535),"")</f>
        <v/>
      </c>
      <c r="AS1535" s="89" t="str">
        <f>+IF($AG1535=AS$22,MONTH($D1535),"")</f>
        <v/>
      </c>
      <c r="AT1535" s="89" t="str">
        <f>+IF($AG1535=AT$22,MONTH($D1535),"")</f>
        <v/>
      </c>
      <c r="AU1535" s="89" t="str">
        <f>+IF($AG1535=AU$22,MONTH($D1535),"")</f>
        <v/>
      </c>
      <c r="AV1535" s="89" t="str">
        <f>+IF($AG1535=AV$22,MONTH($D1535),"")</f>
        <v/>
      </c>
      <c r="AW1535" s="86"/>
      <c r="AX1535" s="86"/>
      <c r="AY1535" s="89"/>
      <c r="AZ1535" s="89"/>
      <c r="BA1535" s="89"/>
      <c r="BB1535" s="89"/>
      <c r="BC1535" s="89"/>
      <c r="BD1535" s="89"/>
      <c r="BE1535" s="89"/>
      <c r="BF1535" s="89"/>
      <c r="BG1535" s="89"/>
      <c r="BH1535" s="89"/>
      <c r="BI1535" s="89"/>
      <c r="BJ1535" s="89"/>
      <c r="BK1535" s="89"/>
      <c r="BL1535" s="89"/>
      <c r="BM1535" s="89"/>
      <c r="BN1535" s="89"/>
      <c r="BO1535" s="89"/>
      <c r="BP1535" s="89"/>
    </row>
    <row r="1536" spans="1:68" s="56" customFormat="1" ht="27" hidden="1">
      <c r="A1536" s="204">
        <f>+IFERROR(VALUE(MID(AB1536,4,4)),"")</f>
        <v>219</v>
      </c>
      <c r="B1536" s="204">
        <f>VALUE(RIGHT(C1536,LEN(C1536)-2))</f>
        <v>1188</v>
      </c>
      <c r="C1536" s="74" t="s">
        <v>5670</v>
      </c>
      <c r="D1536" s="75">
        <v>44053</v>
      </c>
      <c r="E1536" s="70" t="s">
        <v>41</v>
      </c>
      <c r="F1536" s="70" t="s">
        <v>41</v>
      </c>
      <c r="G1536" s="68" t="s">
        <v>4713</v>
      </c>
      <c r="H1536" s="59"/>
      <c r="I1536" s="69" t="s">
        <v>5671</v>
      </c>
      <c r="J1536" s="69"/>
      <c r="K1536" s="68" t="s">
        <v>13</v>
      </c>
      <c r="L1536" s="69" t="s">
        <v>129</v>
      </c>
      <c r="M1536" s="71" t="s">
        <v>141</v>
      </c>
      <c r="N1536" s="69" t="e" vm="1">
        <v>#VALUE!</v>
      </c>
      <c r="O1536" s="84">
        <v>44024</v>
      </c>
      <c r="P1536" s="72" t="s">
        <v>402</v>
      </c>
      <c r="Q1536" s="72" t="s">
        <v>1097</v>
      </c>
      <c r="R1536" s="162"/>
      <c r="S1536" s="146"/>
      <c r="T1536" s="68" t="s">
        <v>3</v>
      </c>
      <c r="U1536" s="87"/>
      <c r="V1536" s="80">
        <v>44060</v>
      </c>
      <c r="W1536" s="73">
        <v>1460</v>
      </c>
      <c r="X1536" s="73">
        <f>1437*28700/1000000</f>
        <v>41.241900000000001</v>
      </c>
      <c r="Y1536" s="83">
        <f>IF(SUM(W1536:W1536)&gt;0,X1536/SUM(W1536:W1536)*1000000,"N/A")</f>
        <v>28247.876712328765</v>
      </c>
      <c r="Z1536" s="80"/>
      <c r="AA1536" s="80"/>
      <c r="AB1536" s="73" t="s">
        <v>5374</v>
      </c>
      <c r="AC1536" s="153"/>
      <c r="AD1536" s="331"/>
      <c r="AE1536" s="57"/>
      <c r="AF1536" s="88"/>
      <c r="AG1536" s="182">
        <f>YEAR(D1536)</f>
        <v>2020</v>
      </c>
      <c r="AH1536" s="86" t="str">
        <f>+IF(AE1536=$AJ$22,MONTH(T1536),"")</f>
        <v/>
      </c>
      <c r="AI1536" s="86" t="str">
        <f>+IF(AF1536=$AJ$22,MONTH(U1536),"")</f>
        <v/>
      </c>
      <c r="AJ1536" s="86" t="str">
        <f>+IF(AG1536=$AJ$22,MONTH(V1536),"")</f>
        <v/>
      </c>
      <c r="AK1536" s="86" t="str">
        <f>+IF(AG1536=$AK$22,MONTH(V1536),"")</f>
        <v/>
      </c>
      <c r="AL1536" s="86" t="str">
        <f>+IF(AG1536=$AL$22,MONTH(V1536),"")</f>
        <v/>
      </c>
      <c r="AM1536" s="86" t="str">
        <f>+IF($AG1536=$AM$22,MONTH($D1536),"")</f>
        <v/>
      </c>
      <c r="AN1536" s="89">
        <f>+IF($AG1536=AN$22,MONTH($D1536),"")</f>
        <v>8</v>
      </c>
      <c r="AO1536" s="89" t="str">
        <f>+IF($AG1536=AO$22,MONTH($D1536),"")</f>
        <v/>
      </c>
      <c r="AP1536" s="89" t="str">
        <f>+IF($AG1536=AP$22,MONTH($D1536),"")</f>
        <v/>
      </c>
      <c r="AQ1536" s="89" t="str">
        <f>+IF($AG1536=AQ$22,MONTH($D1536),"")</f>
        <v/>
      </c>
      <c r="AR1536" s="89" t="str">
        <f>+IF($AG1536=AR$22,MONTH($D1536),"")</f>
        <v/>
      </c>
      <c r="AS1536" s="89" t="str">
        <f>+IF($AG1536=AS$22,MONTH($D1536),"")</f>
        <v/>
      </c>
      <c r="AT1536" s="89" t="str">
        <f>+IF($AG1536=AT$22,MONTH($D1536),"")</f>
        <v/>
      </c>
      <c r="AU1536" s="89" t="str">
        <f>+IF($AG1536=AU$22,MONTH($D1536),"")</f>
        <v/>
      </c>
      <c r="AV1536" s="89" t="str">
        <f>+IF($AG1536=AV$22,MONTH($D1536),"")</f>
        <v/>
      </c>
      <c r="AW1536" s="86" t="str">
        <f>+IF($AG1536=AW$22,MONTH($D1536),"")</f>
        <v/>
      </c>
      <c r="AX1536" s="86" t="str">
        <f>+IF($AG1536=AX$22,MONTH($D1536),"")</f>
        <v/>
      </c>
      <c r="AY1536" s="89"/>
      <c r="AZ1536" s="89"/>
      <c r="BA1536" s="89"/>
      <c r="BB1536" s="89"/>
      <c r="BC1536" s="89"/>
      <c r="BD1536" s="89"/>
      <c r="BE1536" s="89"/>
      <c r="BF1536" s="89"/>
      <c r="BG1536" s="89"/>
      <c r="BH1536" s="89"/>
      <c r="BI1536" s="89"/>
      <c r="BJ1536" s="89"/>
      <c r="BK1536" s="89"/>
      <c r="BL1536" s="89"/>
      <c r="BM1536" s="89"/>
      <c r="BN1536" s="89"/>
      <c r="BO1536" s="89"/>
      <c r="BP1536" s="89"/>
    </row>
    <row r="1537" spans="1:68" s="56" customFormat="1" ht="13.5" hidden="1">
      <c r="A1537" s="204" t="str">
        <f>+IFERROR(VALUE(MID(AB1537,4,4)),"")</f>
        <v/>
      </c>
      <c r="B1537" s="204">
        <f>VALUE(RIGHT(C1537,LEN(C1537)-2))</f>
        <v>1187</v>
      </c>
      <c r="C1537" s="74" t="s">
        <v>5672</v>
      </c>
      <c r="D1537" s="75">
        <v>44053</v>
      </c>
      <c r="E1537" s="70" t="s">
        <v>103</v>
      </c>
      <c r="F1537" s="70" t="s">
        <v>479</v>
      </c>
      <c r="G1537" s="68" t="s">
        <v>5566</v>
      </c>
      <c r="H1537" s="59"/>
      <c r="I1537" s="69" t="s">
        <v>5673</v>
      </c>
      <c r="J1537" s="69"/>
      <c r="K1537" s="68" t="s">
        <v>13</v>
      </c>
      <c r="L1537" s="69" t="s">
        <v>120</v>
      </c>
      <c r="M1537" s="71" t="s">
        <v>113</v>
      </c>
      <c r="N1537" s="69" t="e" vm="2">
        <v>#VALUE!</v>
      </c>
      <c r="O1537" s="84">
        <v>43992</v>
      </c>
      <c r="P1537" s="72" t="s">
        <v>402</v>
      </c>
      <c r="Q1537" s="72" t="s">
        <v>229</v>
      </c>
      <c r="R1537" s="162"/>
      <c r="S1537" s="146"/>
      <c r="T1537" s="68" t="s">
        <v>3</v>
      </c>
      <c r="U1537" s="87"/>
      <c r="V1537" s="80">
        <v>44060</v>
      </c>
      <c r="W1537" s="73">
        <v>15</v>
      </c>
      <c r="X1537" s="73">
        <f>1950*150/1000000</f>
        <v>0.29249999999999998</v>
      </c>
      <c r="Y1537" s="83">
        <f>IF(SUM(W1537:W1537)&gt;0,X1537/SUM(W1537:W1537)*1000000,"N/A")</f>
        <v>19500</v>
      </c>
      <c r="Z1537" s="80"/>
      <c r="AA1537" s="80"/>
      <c r="AB1537" s="73"/>
      <c r="AC1537" s="153"/>
      <c r="AD1537" s="331"/>
      <c r="AE1537" s="57"/>
      <c r="AF1537" s="88"/>
      <c r="AG1537" s="182">
        <f>YEAR(D1537)</f>
        <v>2020</v>
      </c>
      <c r="AH1537" s="86" t="str">
        <f>+IF(AE1537=$AJ$22,MONTH(T1537),"")</f>
        <v/>
      </c>
      <c r="AI1537" s="86" t="str">
        <f>+IF(AF1537=$AJ$22,MONTH(U1537),"")</f>
        <v/>
      </c>
      <c r="AJ1537" s="86" t="str">
        <f>+IF(AG1537=$AJ$22,MONTH(V1537),"")</f>
        <v/>
      </c>
      <c r="AK1537" s="86" t="str">
        <f>+IF(AG1537=$AK$22,MONTH(V1537),"")</f>
        <v/>
      </c>
      <c r="AL1537" s="86" t="str">
        <f>+IF(AG1537=$AL$22,MONTH(V1537),"")</f>
        <v/>
      </c>
      <c r="AM1537" s="86" t="str">
        <f>+IF($AG1537=$AM$22,MONTH($D1537),"")</f>
        <v/>
      </c>
      <c r="AN1537" s="89">
        <f>+IF($AG1537=AN$22,MONTH($D1537),"")</f>
        <v>8</v>
      </c>
      <c r="AO1537" s="89" t="str">
        <f>+IF($AG1537=AO$22,MONTH($D1537),"")</f>
        <v/>
      </c>
      <c r="AP1537" s="89" t="str">
        <f>+IF($AG1537=AP$22,MONTH($D1537),"")</f>
        <v/>
      </c>
      <c r="AQ1537" s="89" t="str">
        <f>+IF($AG1537=AQ$22,MONTH($D1537),"")</f>
        <v/>
      </c>
      <c r="AR1537" s="89" t="str">
        <f>+IF($AG1537=AR$22,MONTH($D1537),"")</f>
        <v/>
      </c>
      <c r="AS1537" s="89" t="str">
        <f>+IF($AG1537=AS$22,MONTH($D1537),"")</f>
        <v/>
      </c>
      <c r="AT1537" s="89" t="str">
        <f>+IF($AG1537=AT$22,MONTH($D1537),"")</f>
        <v/>
      </c>
      <c r="AU1537" s="89" t="str">
        <f>+IF($AG1537=AU$22,MONTH($D1537),"")</f>
        <v/>
      </c>
      <c r="AV1537" s="89" t="str">
        <f>+IF($AG1537=AV$22,MONTH($D1537),"")</f>
        <v/>
      </c>
      <c r="AW1537" s="86" t="str">
        <f>+IF($AG1537=AW$22,MONTH($D1537),"")</f>
        <v/>
      </c>
      <c r="AX1537" s="86" t="str">
        <f>+IF($AG1537=AX$22,MONTH($D1537),"")</f>
        <v/>
      </c>
      <c r="AY1537" s="89"/>
      <c r="AZ1537" s="89"/>
      <c r="BA1537" s="89"/>
      <c r="BB1537" s="89"/>
      <c r="BC1537" s="89"/>
      <c r="BD1537" s="89"/>
      <c r="BE1537" s="89"/>
      <c r="BF1537" s="89"/>
      <c r="BG1537" s="89"/>
      <c r="BH1537" s="89"/>
      <c r="BI1537" s="89"/>
      <c r="BJ1537" s="89"/>
      <c r="BK1537" s="89"/>
      <c r="BL1537" s="89"/>
      <c r="BM1537" s="89"/>
      <c r="BN1537" s="89"/>
      <c r="BO1537" s="89"/>
      <c r="BP1537" s="89"/>
    </row>
    <row r="1538" spans="1:68" s="56" customFormat="1" ht="67.5" hidden="1">
      <c r="A1538" s="204" t="str">
        <f>+IFERROR(VALUE(MID(AB1538,4,4)),"")</f>
        <v/>
      </c>
      <c r="B1538" s="204">
        <f>VALUE(RIGHT(C1538,LEN(C1538)-2))</f>
        <v>1186</v>
      </c>
      <c r="C1538" s="74" t="s">
        <v>5674</v>
      </c>
      <c r="D1538" s="75">
        <v>44049</v>
      </c>
      <c r="E1538" s="70" t="s">
        <v>394</v>
      </c>
      <c r="F1538" s="70" t="s">
        <v>2269</v>
      </c>
      <c r="G1538" s="68" t="s">
        <v>2270</v>
      </c>
      <c r="H1538" s="59"/>
      <c r="I1538" s="69" t="s">
        <v>5675</v>
      </c>
      <c r="J1538" s="69"/>
      <c r="K1538" s="68" t="s">
        <v>13</v>
      </c>
      <c r="L1538" s="69" t="s">
        <v>120</v>
      </c>
      <c r="M1538" s="71" t="s">
        <v>141</v>
      </c>
      <c r="N1538" s="69" t="e" vm="1">
        <v>#VALUE!</v>
      </c>
      <c r="O1538" s="84"/>
      <c r="P1538" s="72" t="s">
        <v>4567</v>
      </c>
      <c r="Q1538" s="72"/>
      <c r="R1538" s="162"/>
      <c r="S1538" s="146" t="s">
        <v>4557</v>
      </c>
      <c r="T1538" s="68" t="s">
        <v>165</v>
      </c>
      <c r="U1538" s="87"/>
      <c r="V1538" s="80">
        <v>44469</v>
      </c>
      <c r="W1538" s="73">
        <v>3838</v>
      </c>
      <c r="X1538" s="73">
        <v>116.63500000000001</v>
      </c>
      <c r="Y1538" s="83">
        <f>IF(SUM(W1538:W1538)&gt;0,X1538/SUM(W1538:W1538)*1000000,"N/A")</f>
        <v>30389.52579468473</v>
      </c>
      <c r="Z1538" s="80"/>
      <c r="AA1538" s="80"/>
      <c r="AB1538" s="73"/>
      <c r="AC1538" s="153"/>
      <c r="AD1538" s="331"/>
      <c r="AE1538" s="57"/>
      <c r="AF1538" s="88"/>
      <c r="AG1538" s="182">
        <f>YEAR(D1538)</f>
        <v>2020</v>
      </c>
      <c r="AH1538" s="86" t="str">
        <f>+IF(AE1538=$AJ$22,MONTH(T1538),"")</f>
        <v/>
      </c>
      <c r="AI1538" s="86" t="str">
        <f>+IF(AF1538=$AJ$22,MONTH(U1538),"")</f>
        <v/>
      </c>
      <c r="AJ1538" s="86" t="str">
        <f>+IF(AG1538=$AJ$22,MONTH(V1538),"")</f>
        <v/>
      </c>
      <c r="AK1538" s="86" t="str">
        <f>+IF(AG1538=$AK$22,MONTH(V1538),"")</f>
        <v/>
      </c>
      <c r="AL1538" s="86" t="str">
        <f>+IF(AG1538=$AL$22,MONTH(V1538),"")</f>
        <v/>
      </c>
      <c r="AM1538" s="86" t="str">
        <f>+IF($AG1538=$AM$22,MONTH($D1538),"")</f>
        <v/>
      </c>
      <c r="AN1538" s="89">
        <f>+IF($AG1538=AN$22,MONTH($D1538),"")</f>
        <v>8</v>
      </c>
      <c r="AO1538" s="89" t="str">
        <f>+IF($AG1538=AO$22,MONTH($D1538),"")</f>
        <v/>
      </c>
      <c r="AP1538" s="89" t="str">
        <f>+IF($AG1538=AP$22,MONTH($D1538),"")</f>
        <v/>
      </c>
      <c r="AQ1538" s="89" t="str">
        <f>+IF($AG1538=AQ$22,MONTH($D1538),"")</f>
        <v/>
      </c>
      <c r="AR1538" s="89" t="str">
        <f>+IF($AG1538=AR$22,MONTH($D1538),"")</f>
        <v/>
      </c>
      <c r="AS1538" s="89" t="str">
        <f>+IF($AG1538=AS$22,MONTH($D1538),"")</f>
        <v/>
      </c>
      <c r="AT1538" s="89" t="str">
        <f>+IF($AG1538=AT$22,MONTH($D1538),"")</f>
        <v/>
      </c>
      <c r="AU1538" s="89" t="str">
        <f>+IF($AG1538=AU$22,MONTH($D1538),"")</f>
        <v/>
      </c>
      <c r="AV1538" s="89" t="str">
        <f>+IF($AG1538=AV$22,MONTH($D1538),"")</f>
        <v/>
      </c>
      <c r="AW1538" s="86" t="str">
        <f>+IF($AG1538=AW$22,MONTH($D1538),"")</f>
        <v/>
      </c>
      <c r="AX1538" s="86" t="str">
        <f>+IF($AG1538=AX$22,MONTH($D1538),"")</f>
        <v/>
      </c>
      <c r="AY1538" s="89"/>
      <c r="AZ1538" s="89"/>
      <c r="BA1538" s="89"/>
      <c r="BB1538" s="89"/>
      <c r="BC1538" s="89"/>
      <c r="BD1538" s="89"/>
      <c r="BE1538" s="89"/>
      <c r="BF1538" s="89"/>
      <c r="BG1538" s="89"/>
      <c r="BH1538" s="89"/>
      <c r="BI1538" s="89"/>
      <c r="BJ1538" s="89"/>
      <c r="BK1538" s="89"/>
      <c r="BL1538" s="89"/>
      <c r="BM1538" s="89"/>
      <c r="BN1538" s="89"/>
      <c r="BO1538" s="89"/>
      <c r="BP1538" s="89"/>
    </row>
    <row r="1539" spans="1:68" s="56" customFormat="1" ht="67.5" hidden="1">
      <c r="A1539" s="204" t="str">
        <f>+IFERROR(VALUE(MID(AB1539,4,4)),"")</f>
        <v/>
      </c>
      <c r="B1539" s="204">
        <f>VALUE(RIGHT(C1539,LEN(C1539)-2))</f>
        <v>1185</v>
      </c>
      <c r="C1539" s="74" t="s">
        <v>5676</v>
      </c>
      <c r="D1539" s="75">
        <v>44048</v>
      </c>
      <c r="E1539" s="70" t="s">
        <v>394</v>
      </c>
      <c r="F1539" s="70" t="s">
        <v>2269</v>
      </c>
      <c r="G1539" s="68" t="s">
        <v>2270</v>
      </c>
      <c r="H1539" s="59"/>
      <c r="I1539" s="69" t="s">
        <v>5677</v>
      </c>
      <c r="J1539" s="69"/>
      <c r="K1539" s="68" t="s">
        <v>13</v>
      </c>
      <c r="L1539" s="69" t="s">
        <v>120</v>
      </c>
      <c r="M1539" s="71" t="s">
        <v>141</v>
      </c>
      <c r="N1539" s="69" t="e" vm="1">
        <v>#VALUE!</v>
      </c>
      <c r="O1539" s="84">
        <v>44048</v>
      </c>
      <c r="P1539" s="72" t="s">
        <v>4567</v>
      </c>
      <c r="Q1539" s="72"/>
      <c r="R1539" s="162"/>
      <c r="S1539" s="146" t="s">
        <v>4557</v>
      </c>
      <c r="T1539" s="68" t="s">
        <v>165</v>
      </c>
      <c r="U1539" s="87"/>
      <c r="V1539" s="80">
        <v>44469</v>
      </c>
      <c r="W1539" s="73">
        <v>149</v>
      </c>
      <c r="X1539" s="73">
        <v>4.7080000000000002</v>
      </c>
      <c r="Y1539" s="83">
        <f>IF(SUM(W1539:W1539)&gt;0,X1539/SUM(W1539:W1539)*1000000,"N/A")</f>
        <v>31597.315436241613</v>
      </c>
      <c r="Z1539" s="80"/>
      <c r="AA1539" s="80"/>
      <c r="AB1539" s="73"/>
      <c r="AC1539" s="153"/>
      <c r="AD1539" s="331"/>
      <c r="AE1539" s="57"/>
      <c r="AF1539" s="88"/>
      <c r="AG1539" s="182">
        <f>YEAR(D1539)</f>
        <v>2020</v>
      </c>
      <c r="AH1539" s="86" t="str">
        <f>+IF(AE1539=$AJ$22,MONTH(T1539),"")</f>
        <v/>
      </c>
      <c r="AI1539" s="86" t="str">
        <f>+IF(AF1539=$AJ$22,MONTH(U1539),"")</f>
        <v/>
      </c>
      <c r="AJ1539" s="86" t="str">
        <f>+IF(AG1539=$AJ$22,MONTH(V1539),"")</f>
        <v/>
      </c>
      <c r="AK1539" s="86" t="str">
        <f>+IF(AG1539=$AK$22,MONTH(V1539),"")</f>
        <v/>
      </c>
      <c r="AL1539" s="86" t="str">
        <f>+IF(AG1539=$AL$22,MONTH(V1539),"")</f>
        <v/>
      </c>
      <c r="AM1539" s="86" t="str">
        <f>+IF($AG1539=$AM$22,MONTH($D1539),"")</f>
        <v/>
      </c>
      <c r="AN1539" s="89">
        <f>+IF($AG1539=AN$22,MONTH($D1539),"")</f>
        <v>8</v>
      </c>
      <c r="AO1539" s="89" t="str">
        <f>+IF($AG1539=AO$22,MONTH($D1539),"")</f>
        <v/>
      </c>
      <c r="AP1539" s="89" t="str">
        <f>+IF($AG1539=AP$22,MONTH($D1539),"")</f>
        <v/>
      </c>
      <c r="AQ1539" s="89" t="str">
        <f>+IF($AG1539=AQ$22,MONTH($D1539),"")</f>
        <v/>
      </c>
      <c r="AR1539" s="89" t="str">
        <f>+IF($AG1539=AR$22,MONTH($D1539),"")</f>
        <v/>
      </c>
      <c r="AS1539" s="89" t="str">
        <f>+IF($AG1539=AS$22,MONTH($D1539),"")</f>
        <v/>
      </c>
      <c r="AT1539" s="89" t="str">
        <f>+IF($AG1539=AT$22,MONTH($D1539),"")</f>
        <v/>
      </c>
      <c r="AU1539" s="89" t="str">
        <f>+IF($AG1539=AU$22,MONTH($D1539),"")</f>
        <v/>
      </c>
      <c r="AV1539" s="89" t="str">
        <f>+IF($AG1539=AV$22,MONTH($D1539),"")</f>
        <v/>
      </c>
      <c r="AW1539" s="86"/>
      <c r="AX1539" s="86"/>
      <c r="AY1539" s="89"/>
      <c r="AZ1539" s="89"/>
      <c r="BA1539" s="89"/>
      <c r="BB1539" s="89"/>
      <c r="BC1539" s="89"/>
      <c r="BD1539" s="89"/>
      <c r="BE1539" s="89"/>
      <c r="BF1539" s="89"/>
      <c r="BG1539" s="89"/>
      <c r="BH1539" s="89"/>
      <c r="BI1539" s="89"/>
      <c r="BJ1539" s="89"/>
      <c r="BK1539" s="89"/>
      <c r="BL1539" s="89"/>
      <c r="BM1539" s="89"/>
      <c r="BN1539" s="89"/>
      <c r="BO1539" s="89"/>
      <c r="BP1539" s="89"/>
    </row>
    <row r="1540" spans="1:68" s="56" customFormat="1" ht="40.5" hidden="1">
      <c r="A1540" s="204" t="str">
        <f>+IFERROR(VALUE(MID(AB1540,4,4)),"")</f>
        <v/>
      </c>
      <c r="B1540" s="204">
        <f>VALUE(RIGHT(C1540,LEN(C1540)-2))</f>
        <v>1184</v>
      </c>
      <c r="C1540" s="74" t="s">
        <v>5678</v>
      </c>
      <c r="D1540" s="75">
        <v>44043</v>
      </c>
      <c r="E1540" s="70" t="s">
        <v>5621</v>
      </c>
      <c r="F1540" s="70" t="s">
        <v>5621</v>
      </c>
      <c r="G1540" s="68" t="s">
        <v>1433</v>
      </c>
      <c r="H1540" s="59"/>
      <c r="I1540" s="69" t="s">
        <v>5679</v>
      </c>
      <c r="J1540" s="69"/>
      <c r="K1540" s="68" t="s">
        <v>11</v>
      </c>
      <c r="L1540" s="69" t="s">
        <v>123</v>
      </c>
      <c r="M1540" s="71" t="s">
        <v>141</v>
      </c>
      <c r="N1540" s="69" t="e" vm="1">
        <v>#VALUE!</v>
      </c>
      <c r="O1540" s="84">
        <v>44090</v>
      </c>
      <c r="P1540" s="72" t="s">
        <v>4897</v>
      </c>
      <c r="Q1540" s="72"/>
      <c r="R1540" s="162"/>
      <c r="S1540" s="146" t="s">
        <v>5680</v>
      </c>
      <c r="T1540" s="68" t="s">
        <v>165</v>
      </c>
      <c r="U1540" s="87"/>
      <c r="V1540" s="80">
        <v>44102</v>
      </c>
      <c r="W1540" s="73">
        <v>20313</v>
      </c>
      <c r="X1540" s="73">
        <f>23560.91*28700/1000000</f>
        <v>676.19811700000002</v>
      </c>
      <c r="Y1540" s="83">
        <f>IF(SUM(W1540:W1540)&gt;0,X1540/SUM(W1540:W1540)*1000000,"N/A")</f>
        <v>33288.934032393052</v>
      </c>
      <c r="Z1540" s="80"/>
      <c r="AA1540" s="80"/>
      <c r="AB1540" s="73"/>
      <c r="AC1540" s="153"/>
      <c r="AD1540" s="331"/>
      <c r="AE1540" s="57"/>
      <c r="AF1540" s="88"/>
      <c r="AG1540" s="182">
        <f>YEAR(D1540)</f>
        <v>2020</v>
      </c>
      <c r="AH1540" s="86" t="str">
        <f>+IF(AE1540=$AJ$22,MONTH(T1540),"")</f>
        <v/>
      </c>
      <c r="AI1540" s="86" t="str">
        <f>+IF(AF1540=$AJ$22,MONTH(U1540),"")</f>
        <v/>
      </c>
      <c r="AJ1540" s="86" t="str">
        <f>+IF(AG1540=$AJ$22,MONTH(V1540),"")</f>
        <v/>
      </c>
      <c r="AK1540" s="86" t="str">
        <f>+IF(AG1540=$AK$22,MONTH(V1540),"")</f>
        <v/>
      </c>
      <c r="AL1540" s="86" t="str">
        <f>+IF(AG1540=$AL$22,MONTH(V1540),"")</f>
        <v/>
      </c>
      <c r="AM1540" s="86" t="str">
        <f>+IF($AG1540=$AM$22,MONTH($D1540),"")</f>
        <v/>
      </c>
      <c r="AN1540" s="89">
        <f>+IF($AG1540=AN$22,MONTH($D1540),"")</f>
        <v>7</v>
      </c>
      <c r="AO1540" s="89" t="str">
        <f>+IF($AG1540=AO$22,MONTH($D1540),"")</f>
        <v/>
      </c>
      <c r="AP1540" s="89" t="str">
        <f>+IF($AG1540=AP$22,MONTH($D1540),"")</f>
        <v/>
      </c>
      <c r="AQ1540" s="89" t="str">
        <f>+IF($AG1540=AQ$22,MONTH($D1540),"")</f>
        <v/>
      </c>
      <c r="AR1540" s="89" t="str">
        <f>+IF($AG1540=AR$22,MONTH($D1540),"")</f>
        <v/>
      </c>
      <c r="AS1540" s="89" t="str">
        <f>+IF($AG1540=AS$22,MONTH($D1540),"")</f>
        <v/>
      </c>
      <c r="AT1540" s="89" t="str">
        <f>+IF($AG1540=AT$22,MONTH($D1540),"")</f>
        <v/>
      </c>
      <c r="AU1540" s="89" t="str">
        <f>+IF($AG1540=AU$22,MONTH($D1540),"")</f>
        <v/>
      </c>
      <c r="AV1540" s="89" t="str">
        <f>+IF($AG1540=AV$22,MONTH($D1540),"")</f>
        <v/>
      </c>
      <c r="AW1540" s="86"/>
      <c r="AX1540" s="86"/>
      <c r="AY1540" s="89"/>
      <c r="AZ1540" s="89"/>
      <c r="BA1540" s="89"/>
      <c r="BB1540" s="89"/>
      <c r="BC1540" s="89"/>
      <c r="BD1540" s="89"/>
      <c r="BE1540" s="89"/>
      <c r="BF1540" s="89"/>
      <c r="BG1540" s="89"/>
      <c r="BH1540" s="89"/>
      <c r="BI1540" s="89"/>
      <c r="BJ1540" s="89"/>
      <c r="BK1540" s="89"/>
      <c r="BL1540" s="89"/>
      <c r="BM1540" s="89"/>
      <c r="BN1540" s="89"/>
      <c r="BO1540" s="89"/>
      <c r="BP1540" s="89"/>
    </row>
    <row r="1541" spans="1:68" s="56" customFormat="1" ht="40.5" hidden="1">
      <c r="A1541" s="204" t="str">
        <f>+IFERROR(VALUE(MID(AB1541,4,4)),"")</f>
        <v/>
      </c>
      <c r="B1541" s="204">
        <f>VALUE(RIGHT(C1541,LEN(C1541)-2))</f>
        <v>1183</v>
      </c>
      <c r="C1541" s="74" t="s">
        <v>5681</v>
      </c>
      <c r="D1541" s="75">
        <v>44041</v>
      </c>
      <c r="E1541" s="70" t="s">
        <v>5682</v>
      </c>
      <c r="F1541" s="70" t="s">
        <v>5682</v>
      </c>
      <c r="G1541" s="68"/>
      <c r="H1541" s="59"/>
      <c r="I1541" s="69" t="s">
        <v>5683</v>
      </c>
      <c r="J1541" s="69"/>
      <c r="K1541" s="68"/>
      <c r="L1541" s="69" t="s">
        <v>123</v>
      </c>
      <c r="M1541" s="71" t="s">
        <v>141</v>
      </c>
      <c r="N1541" s="69" t="e" vm="1">
        <v>#VALUE!</v>
      </c>
      <c r="O1541" s="84">
        <v>44078</v>
      </c>
      <c r="P1541" s="72" t="s">
        <v>274</v>
      </c>
      <c r="Q1541" s="72"/>
      <c r="R1541" s="162"/>
      <c r="S1541" s="146" t="s">
        <v>5684</v>
      </c>
      <c r="T1541" s="68" t="s">
        <v>155</v>
      </c>
      <c r="U1541" s="87"/>
      <c r="V1541" s="80"/>
      <c r="W1541" s="73"/>
      <c r="X1541" s="73"/>
      <c r="Y1541" s="83" t="str">
        <f>IF(SUM(W1541:W1541)&gt;0,X1541/SUM(W1541:W1541)*1000000,"N/A")</f>
        <v>N/A</v>
      </c>
      <c r="Z1541" s="80"/>
      <c r="AA1541" s="80"/>
      <c r="AB1541" s="73"/>
      <c r="AC1541" s="153"/>
      <c r="AD1541" s="331"/>
      <c r="AE1541" s="57"/>
      <c r="AF1541" s="88"/>
      <c r="AG1541" s="182">
        <f>YEAR(D1541)</f>
        <v>2020</v>
      </c>
      <c r="AH1541" s="86" t="str">
        <f>+IF(AE1541=$AJ$22,MONTH(T1541),"")</f>
        <v/>
      </c>
      <c r="AI1541" s="86" t="str">
        <f>+IF(AF1541=$AJ$22,MONTH(U1541),"")</f>
        <v/>
      </c>
      <c r="AJ1541" s="86" t="str">
        <f>+IF(AG1541=$AJ$22,MONTH(V1541),"")</f>
        <v/>
      </c>
      <c r="AK1541" s="86" t="str">
        <f>+IF(AG1541=$AK$22,MONTH(V1541),"")</f>
        <v/>
      </c>
      <c r="AL1541" s="86" t="str">
        <f>+IF(AG1541=$AL$22,MONTH(V1541),"")</f>
        <v/>
      </c>
      <c r="AM1541" s="86" t="str">
        <f>+IF($AG1541=$AM$22,MONTH($D1541),"")</f>
        <v/>
      </c>
      <c r="AN1541" s="89">
        <f>+IF($AG1541=AN$22,MONTH($D1541),"")</f>
        <v>7</v>
      </c>
      <c r="AO1541" s="89" t="str">
        <f>+IF($AG1541=AO$22,MONTH($D1541),"")</f>
        <v/>
      </c>
      <c r="AP1541" s="89" t="str">
        <f>+IF($AG1541=AP$22,MONTH($D1541),"")</f>
        <v/>
      </c>
      <c r="AQ1541" s="89" t="str">
        <f>+IF($AG1541=AQ$22,MONTH($D1541),"")</f>
        <v/>
      </c>
      <c r="AR1541" s="89" t="str">
        <f>+IF($AG1541=AR$22,MONTH($D1541),"")</f>
        <v/>
      </c>
      <c r="AS1541" s="89" t="str">
        <f>+IF($AG1541=AS$22,MONTH($D1541),"")</f>
        <v/>
      </c>
      <c r="AT1541" s="89" t="str">
        <f>+IF($AG1541=AT$22,MONTH($D1541),"")</f>
        <v/>
      </c>
      <c r="AU1541" s="89" t="str">
        <f>+IF($AG1541=AU$22,MONTH($D1541),"")</f>
        <v/>
      </c>
      <c r="AV1541" s="89" t="str">
        <f>+IF($AG1541=AV$22,MONTH($D1541),"")</f>
        <v/>
      </c>
      <c r="AW1541" s="86"/>
      <c r="AX1541" s="86"/>
      <c r="AY1541" s="89"/>
      <c r="AZ1541" s="89"/>
      <c r="BA1541" s="89"/>
      <c r="BB1541" s="89"/>
      <c r="BC1541" s="89"/>
      <c r="BD1541" s="89"/>
      <c r="BE1541" s="89"/>
      <c r="BF1541" s="89"/>
      <c r="BG1541" s="89"/>
      <c r="BH1541" s="89"/>
      <c r="BI1541" s="89"/>
      <c r="BJ1541" s="89"/>
      <c r="BK1541" s="89"/>
      <c r="BL1541" s="89"/>
      <c r="BM1541" s="89"/>
      <c r="BN1541" s="89"/>
      <c r="BO1541" s="89"/>
      <c r="BP1541" s="89"/>
    </row>
    <row r="1542" spans="1:68" s="56" customFormat="1" ht="13.5" hidden="1">
      <c r="A1542" s="204">
        <f>+IFERROR(VALUE(MID(AB1542,4,4)),"")</f>
        <v>245</v>
      </c>
      <c r="B1542" s="204">
        <f>VALUE(RIGHT(C1542,LEN(C1542)-2))</f>
        <v>1182</v>
      </c>
      <c r="C1542" s="74" t="s">
        <v>5685</v>
      </c>
      <c r="D1542" s="75">
        <v>44036</v>
      </c>
      <c r="E1542" s="70" t="s">
        <v>394</v>
      </c>
      <c r="F1542" s="70" t="s">
        <v>394</v>
      </c>
      <c r="G1542" s="68" t="s">
        <v>5001</v>
      </c>
      <c r="H1542" s="59"/>
      <c r="I1542" s="69" t="s">
        <v>5686</v>
      </c>
      <c r="J1542" s="69"/>
      <c r="K1542" s="68" t="s">
        <v>18</v>
      </c>
      <c r="L1542" s="69" t="s">
        <v>120</v>
      </c>
      <c r="M1542" s="71" t="s">
        <v>141</v>
      </c>
      <c r="N1542" s="69" t="e" vm="1">
        <v>#VALUE!</v>
      </c>
      <c r="O1542" s="84">
        <v>44042</v>
      </c>
      <c r="P1542" s="72" t="s">
        <v>402</v>
      </c>
      <c r="Q1542" s="72" t="s">
        <v>1097</v>
      </c>
      <c r="R1542" s="162"/>
      <c r="S1542" s="146"/>
      <c r="T1542" s="68" t="s">
        <v>3</v>
      </c>
      <c r="U1542" s="87"/>
      <c r="V1542" s="80">
        <v>44053</v>
      </c>
      <c r="W1542" s="73">
        <v>538</v>
      </c>
      <c r="X1542" s="73">
        <f>951*28700/1000000</f>
        <v>27.293700000000001</v>
      </c>
      <c r="Y1542" s="83">
        <f>IF(SUM(W1542:W1542)&gt;0,X1542/SUM(W1542:W1542)*1000000,"N/A")</f>
        <v>50731.784386617102</v>
      </c>
      <c r="Z1542" s="80"/>
      <c r="AA1542" s="80"/>
      <c r="AB1542" s="73" t="s">
        <v>5687</v>
      </c>
      <c r="AC1542" s="153"/>
      <c r="AD1542" s="331"/>
      <c r="AE1542" s="57"/>
      <c r="AF1542" s="88"/>
      <c r="AG1542" s="182">
        <f>YEAR(D1542)</f>
        <v>2020</v>
      </c>
      <c r="AH1542" s="86" t="str">
        <f>+IF(AE1542=$AJ$22,MONTH(T1542),"")</f>
        <v/>
      </c>
      <c r="AI1542" s="86" t="str">
        <f>+IF(AF1542=$AJ$22,MONTH(U1542),"")</f>
        <v/>
      </c>
      <c r="AJ1542" s="86" t="str">
        <f>+IF(AG1542=$AJ$22,MONTH(V1542),"")</f>
        <v/>
      </c>
      <c r="AK1542" s="86" t="str">
        <f>+IF(AG1542=$AK$22,MONTH(V1542),"")</f>
        <v/>
      </c>
      <c r="AL1542" s="86" t="str">
        <f>+IF(AG1542=$AL$22,MONTH(V1542),"")</f>
        <v/>
      </c>
      <c r="AM1542" s="86" t="str">
        <f>+IF($AG1542=$AM$22,MONTH($D1542),"")</f>
        <v/>
      </c>
      <c r="AN1542" s="89">
        <f>+IF($AG1542=AN$22,MONTH($D1542),"")</f>
        <v>7</v>
      </c>
      <c r="AO1542" s="89" t="str">
        <f>+IF($AG1542=AO$22,MONTH($D1542),"")</f>
        <v/>
      </c>
      <c r="AP1542" s="89" t="str">
        <f>+IF($AG1542=AP$22,MONTH($D1542),"")</f>
        <v/>
      </c>
      <c r="AQ1542" s="89" t="str">
        <f>+IF($AG1542=AQ$22,MONTH($D1542),"")</f>
        <v/>
      </c>
      <c r="AR1542" s="89" t="str">
        <f>+IF($AG1542=AR$22,MONTH($D1542),"")</f>
        <v/>
      </c>
      <c r="AS1542" s="89" t="str">
        <f>+IF($AG1542=AS$22,MONTH($D1542),"")</f>
        <v/>
      </c>
      <c r="AT1542" s="89" t="str">
        <f>+IF($AG1542=AT$22,MONTH($D1542),"")</f>
        <v/>
      </c>
      <c r="AU1542" s="89" t="str">
        <f>+IF($AG1542=AU$22,MONTH($D1542),"")</f>
        <v/>
      </c>
      <c r="AV1542" s="89" t="str">
        <f>+IF($AG1542=AV$22,MONTH($D1542),"")</f>
        <v/>
      </c>
      <c r="AW1542" s="86" t="str">
        <f>+IF($AG1542=AW$22,MONTH($D1542),"")</f>
        <v/>
      </c>
      <c r="AX1542" s="86" t="str">
        <f>+IF($AG1542=AX$22,MONTH($D1542),"")</f>
        <v/>
      </c>
      <c r="AY1542" s="89"/>
      <c r="AZ1542" s="89"/>
      <c r="BA1542" s="89"/>
      <c r="BB1542" s="89"/>
      <c r="BC1542" s="89"/>
      <c r="BD1542" s="89"/>
      <c r="BE1542" s="89"/>
      <c r="BF1542" s="89"/>
      <c r="BG1542" s="89"/>
      <c r="BH1542" s="89"/>
      <c r="BI1542" s="89"/>
      <c r="BJ1542" s="89"/>
      <c r="BK1542" s="89"/>
      <c r="BL1542" s="89"/>
      <c r="BM1542" s="89"/>
      <c r="BN1542" s="89"/>
      <c r="BO1542" s="89"/>
      <c r="BP1542" s="89"/>
    </row>
    <row r="1543" spans="1:68" s="56" customFormat="1" ht="27" hidden="1">
      <c r="A1543" s="204" t="str">
        <f>+IFERROR(VALUE(MID(AB1543,4,4)),"")</f>
        <v/>
      </c>
      <c r="B1543" s="204">
        <f>VALUE(RIGHT(C1543,LEN(C1543)-2))</f>
        <v>1181</v>
      </c>
      <c r="C1543" s="74" t="s">
        <v>5688</v>
      </c>
      <c r="D1543" s="75">
        <v>44036</v>
      </c>
      <c r="E1543" s="70" t="s">
        <v>5689</v>
      </c>
      <c r="F1543" s="70" t="s">
        <v>2639</v>
      </c>
      <c r="G1543" s="68" t="s">
        <v>5690</v>
      </c>
      <c r="H1543" s="59" t="s">
        <v>5691</v>
      </c>
      <c r="I1543" s="69" t="s">
        <v>5692</v>
      </c>
      <c r="J1543" s="69"/>
      <c r="K1543" s="68" t="s">
        <v>30</v>
      </c>
      <c r="L1543" s="69" t="s">
        <v>120</v>
      </c>
      <c r="M1543" s="71" t="s">
        <v>141</v>
      </c>
      <c r="N1543" s="69" t="e" vm="1">
        <v>#VALUE!</v>
      </c>
      <c r="O1543" s="84">
        <v>44048</v>
      </c>
      <c r="P1543" s="72" t="s">
        <v>4897</v>
      </c>
      <c r="Q1543" s="72"/>
      <c r="R1543" s="162"/>
      <c r="S1543" s="146" t="s">
        <v>5693</v>
      </c>
      <c r="T1543" s="68" t="s">
        <v>165</v>
      </c>
      <c r="U1543" s="87">
        <v>0.05</v>
      </c>
      <c r="V1543" s="80">
        <v>44049</v>
      </c>
      <c r="W1543" s="73">
        <v>2280</v>
      </c>
      <c r="X1543" s="73">
        <f>4150*28700/1000000</f>
        <v>119.105</v>
      </c>
      <c r="Y1543" s="83">
        <f>IF(SUM(W1543:W1543)&gt;0,X1543/SUM(W1543:W1543)*1000000,"N/A")</f>
        <v>52239.035087719298</v>
      </c>
      <c r="Z1543" s="80"/>
      <c r="AA1543" s="80"/>
      <c r="AB1543" s="73"/>
      <c r="AC1543" s="153"/>
      <c r="AD1543" s="331"/>
      <c r="AE1543" s="57"/>
      <c r="AF1543" s="88"/>
      <c r="AG1543" s="182">
        <f>YEAR(D1543)</f>
        <v>2020</v>
      </c>
      <c r="AH1543" s="86" t="str">
        <f>+IF(AE1543=$AJ$22,MONTH(T1543),"")</f>
        <v/>
      </c>
      <c r="AI1543" s="86" t="str">
        <f>+IF(AF1543=$AJ$22,MONTH(U1543),"")</f>
        <v/>
      </c>
      <c r="AJ1543" s="86" t="str">
        <f>+IF(AG1543=$AJ$22,MONTH(V1543),"")</f>
        <v/>
      </c>
      <c r="AK1543" s="86" t="str">
        <f>+IF(AG1543=$AK$22,MONTH(V1543),"")</f>
        <v/>
      </c>
      <c r="AL1543" s="86" t="str">
        <f>+IF(AG1543=$AL$22,MONTH(V1543),"")</f>
        <v/>
      </c>
      <c r="AM1543" s="86" t="str">
        <f>+IF($AG1543=$AM$22,MONTH($D1543),"")</f>
        <v/>
      </c>
      <c r="AN1543" s="89">
        <f>+IF($AG1543=AN$22,MONTH($D1543),"")</f>
        <v>7</v>
      </c>
      <c r="AO1543" s="89" t="str">
        <f>+IF($AG1543=AO$22,MONTH($D1543),"")</f>
        <v/>
      </c>
      <c r="AP1543" s="89" t="str">
        <f>+IF($AG1543=AP$22,MONTH($D1543),"")</f>
        <v/>
      </c>
      <c r="AQ1543" s="89" t="str">
        <f>+IF($AG1543=AQ$22,MONTH($D1543),"")</f>
        <v/>
      </c>
      <c r="AR1543" s="89" t="str">
        <f>+IF($AG1543=AR$22,MONTH($D1543),"")</f>
        <v/>
      </c>
      <c r="AS1543" s="89" t="str">
        <f>+IF($AG1543=AS$22,MONTH($D1543),"")</f>
        <v/>
      </c>
      <c r="AT1543" s="89" t="str">
        <f>+IF($AG1543=AT$22,MONTH($D1543),"")</f>
        <v/>
      </c>
      <c r="AU1543" s="89" t="str">
        <f>+IF($AG1543=AU$22,MONTH($D1543),"")</f>
        <v/>
      </c>
      <c r="AV1543" s="89" t="str">
        <f>+IF($AG1543=AV$22,MONTH($D1543),"")</f>
        <v/>
      </c>
      <c r="AW1543" s="86"/>
      <c r="AX1543" s="86"/>
      <c r="AY1543" s="89"/>
      <c r="AZ1543" s="89"/>
      <c r="BA1543" s="89"/>
      <c r="BB1543" s="89"/>
      <c r="BC1543" s="89"/>
      <c r="BD1543" s="89"/>
      <c r="BE1543" s="89"/>
      <c r="BF1543" s="89"/>
      <c r="BG1543" s="89"/>
      <c r="BH1543" s="89"/>
      <c r="BI1543" s="89"/>
      <c r="BJ1543" s="89"/>
      <c r="BK1543" s="89"/>
      <c r="BL1543" s="89"/>
      <c r="BM1543" s="89"/>
      <c r="BN1543" s="89"/>
      <c r="BO1543" s="89"/>
      <c r="BP1543" s="89"/>
    </row>
    <row r="1544" spans="1:68" s="56" customFormat="1" ht="27" hidden="1">
      <c r="A1544" s="204" t="str">
        <f>+IFERROR(VALUE(MID(AB1544,4,4)),"")</f>
        <v/>
      </c>
      <c r="B1544" s="204">
        <f>VALUE(RIGHT(C1544,LEN(C1544)-2))</f>
        <v>1180</v>
      </c>
      <c r="C1544" s="74" t="s">
        <v>5694</v>
      </c>
      <c r="D1544" s="75">
        <v>44035</v>
      </c>
      <c r="E1544" s="70" t="s">
        <v>5025</v>
      </c>
      <c r="F1544" s="70" t="s">
        <v>5695</v>
      </c>
      <c r="G1544" s="68"/>
      <c r="H1544" s="59" t="s">
        <v>5027</v>
      </c>
      <c r="I1544" s="69" t="s">
        <v>5696</v>
      </c>
      <c r="J1544" s="69"/>
      <c r="K1544" s="68" t="s">
        <v>45</v>
      </c>
      <c r="L1544" s="69" t="s">
        <v>123</v>
      </c>
      <c r="M1544" s="71" t="s">
        <v>141</v>
      </c>
      <c r="N1544" s="69" t="e" vm="1">
        <v>#VALUE!</v>
      </c>
      <c r="O1544" s="84">
        <v>44042</v>
      </c>
      <c r="P1544" s="72" t="s">
        <v>4567</v>
      </c>
      <c r="Q1544" s="72"/>
      <c r="R1544" s="162"/>
      <c r="S1544" s="146"/>
      <c r="T1544" s="68" t="s">
        <v>165</v>
      </c>
      <c r="U1544" s="87">
        <v>0.05</v>
      </c>
      <c r="V1544" s="80">
        <v>44067</v>
      </c>
      <c r="W1544" s="73">
        <v>16481</v>
      </c>
      <c r="X1544" s="73">
        <f>821.19296</f>
        <v>821.19295999999997</v>
      </c>
      <c r="Y1544" s="83">
        <f>IF(SUM(W1544:W1544)&gt;0,X1544/SUM(W1544:W1544)*1000000,"N/A")</f>
        <v>49826.646441356708</v>
      </c>
      <c r="Z1544" s="80"/>
      <c r="AA1544" s="80"/>
      <c r="AB1544" s="73"/>
      <c r="AC1544" s="153"/>
      <c r="AD1544" s="331"/>
      <c r="AE1544" s="57"/>
      <c r="AF1544" s="88"/>
      <c r="AG1544" s="182">
        <f>YEAR(D1544)</f>
        <v>2020</v>
      </c>
      <c r="AH1544" s="86" t="str">
        <f>+IF(AE1544=$AJ$22,MONTH(T1544),"")</f>
        <v/>
      </c>
      <c r="AI1544" s="86" t="str">
        <f>+IF(AF1544=$AJ$22,MONTH(U1544),"")</f>
        <v/>
      </c>
      <c r="AJ1544" s="86" t="str">
        <f>+IF(AG1544=$AJ$22,MONTH(V1544),"")</f>
        <v/>
      </c>
      <c r="AK1544" s="86" t="str">
        <f>+IF(AG1544=$AK$22,MONTH(V1544),"")</f>
        <v/>
      </c>
      <c r="AL1544" s="86" t="str">
        <f>+IF(AG1544=$AL$22,MONTH(V1544),"")</f>
        <v/>
      </c>
      <c r="AM1544" s="86" t="str">
        <f>+IF($AG1544=$AM$22,MONTH($D1544),"")</f>
        <v/>
      </c>
      <c r="AN1544" s="89">
        <f>+IF($AG1544=AN$22,MONTH($D1544),"")</f>
        <v>7</v>
      </c>
      <c r="AO1544" s="89" t="str">
        <f>+IF($AG1544=AO$22,MONTH($D1544),"")</f>
        <v/>
      </c>
      <c r="AP1544" s="89" t="str">
        <f>+IF($AG1544=AP$22,MONTH($D1544),"")</f>
        <v/>
      </c>
      <c r="AQ1544" s="89" t="str">
        <f>+IF($AG1544=AQ$22,MONTH($D1544),"")</f>
        <v/>
      </c>
      <c r="AR1544" s="89" t="str">
        <f>+IF($AG1544=AR$22,MONTH($D1544),"")</f>
        <v/>
      </c>
      <c r="AS1544" s="89" t="str">
        <f>+IF($AG1544=AS$22,MONTH($D1544),"")</f>
        <v/>
      </c>
      <c r="AT1544" s="89" t="str">
        <f>+IF($AG1544=AT$22,MONTH($D1544),"")</f>
        <v/>
      </c>
      <c r="AU1544" s="89" t="str">
        <f>+IF($AG1544=AU$22,MONTH($D1544),"")</f>
        <v/>
      </c>
      <c r="AV1544" s="89" t="str">
        <f>+IF($AG1544=AV$22,MONTH($D1544),"")</f>
        <v/>
      </c>
      <c r="AW1544" s="86"/>
      <c r="AX1544" s="86"/>
      <c r="AY1544" s="89"/>
      <c r="AZ1544" s="89"/>
      <c r="BA1544" s="89"/>
      <c r="BB1544" s="89"/>
      <c r="BC1544" s="89"/>
      <c r="BD1544" s="89"/>
      <c r="BE1544" s="89"/>
      <c r="BF1544" s="89"/>
      <c r="BG1544" s="89"/>
      <c r="BH1544" s="89"/>
      <c r="BI1544" s="89"/>
      <c r="BJ1544" s="89"/>
      <c r="BK1544" s="89"/>
      <c r="BL1544" s="89"/>
      <c r="BM1544" s="89"/>
      <c r="BN1544" s="89"/>
      <c r="BO1544" s="89"/>
      <c r="BP1544" s="89"/>
    </row>
    <row r="1545" spans="1:68" s="56" customFormat="1" ht="13.5" hidden="1">
      <c r="A1545" s="204">
        <f>+IFERROR(VALUE(MID(AB1545,4,4)),"")</f>
        <v>240</v>
      </c>
      <c r="B1545" s="204">
        <f>VALUE(RIGHT(C1545,LEN(C1545)-2))</f>
        <v>1179</v>
      </c>
      <c r="C1545" s="74" t="s">
        <v>5697</v>
      </c>
      <c r="D1545" s="75">
        <v>44032</v>
      </c>
      <c r="E1545" s="70" t="s">
        <v>71</v>
      </c>
      <c r="F1545" s="70" t="s">
        <v>53</v>
      </c>
      <c r="G1545" s="68"/>
      <c r="H1545" s="59" t="s">
        <v>5698</v>
      </c>
      <c r="I1545" s="69" t="s">
        <v>5699</v>
      </c>
      <c r="J1545" s="69"/>
      <c r="K1545" s="68" t="s">
        <v>11</v>
      </c>
      <c r="L1545" s="69" t="s">
        <v>120</v>
      </c>
      <c r="M1545" s="71" t="s">
        <v>141</v>
      </c>
      <c r="N1545" s="69" t="e" vm="1">
        <v>#VALUE!</v>
      </c>
      <c r="O1545" s="84">
        <v>44036</v>
      </c>
      <c r="P1545" s="72" t="s">
        <v>402</v>
      </c>
      <c r="Q1545" s="72" t="s">
        <v>623</v>
      </c>
      <c r="R1545" s="162"/>
      <c r="S1545" s="146"/>
      <c r="T1545" s="68" t="s">
        <v>3</v>
      </c>
      <c r="U1545" s="87"/>
      <c r="V1545" s="80">
        <v>44035</v>
      </c>
      <c r="W1545" s="73">
        <v>812</v>
      </c>
      <c r="X1545" s="73">
        <f>25388322/1000000</f>
        <v>25.388321999999999</v>
      </c>
      <c r="Y1545" s="83">
        <f>IF(SUM(W1545:W1545)&gt;0,X1545/SUM(W1545:W1545)*1000000,"N/A")</f>
        <v>31266.406403940884</v>
      </c>
      <c r="Z1545" s="80"/>
      <c r="AA1545" s="80"/>
      <c r="AB1545" s="73" t="s">
        <v>5700</v>
      </c>
      <c r="AC1545" s="153"/>
      <c r="AD1545" s="331"/>
      <c r="AE1545" s="57"/>
      <c r="AF1545" s="88"/>
      <c r="AG1545" s="182">
        <f>YEAR(D1545)</f>
        <v>2020</v>
      </c>
      <c r="AH1545" s="86" t="str">
        <f>+IF(AE1545=$AJ$22,MONTH(T1545),"")</f>
        <v/>
      </c>
      <c r="AI1545" s="86" t="str">
        <f>+IF(AF1545=$AJ$22,MONTH(U1545),"")</f>
        <v/>
      </c>
      <c r="AJ1545" s="86" t="str">
        <f>+IF(AG1545=$AJ$22,MONTH(V1545),"")</f>
        <v/>
      </c>
      <c r="AK1545" s="86" t="str">
        <f>+IF(AG1545=$AK$22,MONTH(V1545),"")</f>
        <v/>
      </c>
      <c r="AL1545" s="86" t="str">
        <f>+IF(AG1545=$AL$22,MONTH(V1545),"")</f>
        <v/>
      </c>
      <c r="AM1545" s="86" t="str">
        <f>+IF($AG1545=$AM$22,MONTH($D1545),"")</f>
        <v/>
      </c>
      <c r="AN1545" s="89">
        <f>+IF($AG1545=AN$22,MONTH($D1545),"")</f>
        <v>7</v>
      </c>
      <c r="AO1545" s="89" t="str">
        <f>+IF($AG1545=AO$22,MONTH($D1545),"")</f>
        <v/>
      </c>
      <c r="AP1545" s="89" t="str">
        <f>+IF($AG1545=AP$22,MONTH($D1545),"")</f>
        <v/>
      </c>
      <c r="AQ1545" s="89" t="str">
        <f>+IF($AG1545=AQ$22,MONTH($D1545),"")</f>
        <v/>
      </c>
      <c r="AR1545" s="89" t="str">
        <f>+IF($AG1545=AR$22,MONTH($D1545),"")</f>
        <v/>
      </c>
      <c r="AS1545" s="89" t="str">
        <f>+IF($AG1545=AS$22,MONTH($D1545),"")</f>
        <v/>
      </c>
      <c r="AT1545" s="89" t="str">
        <f>+IF($AG1545=AT$22,MONTH($D1545),"")</f>
        <v/>
      </c>
      <c r="AU1545" s="89" t="str">
        <f>+IF($AG1545=AU$22,MONTH($D1545),"")</f>
        <v/>
      </c>
      <c r="AV1545" s="89" t="str">
        <f>+IF($AG1545=AV$22,MONTH($D1545),"")</f>
        <v/>
      </c>
      <c r="AW1545" s="86" t="str">
        <f>+IF($AG1545=AW$22,MONTH($D1545),"")</f>
        <v/>
      </c>
      <c r="AX1545" s="86" t="str">
        <f>+IF($AG1545=AX$22,MONTH($D1545),"")</f>
        <v/>
      </c>
      <c r="AY1545" s="89"/>
      <c r="AZ1545" s="89"/>
      <c r="BA1545" s="89"/>
      <c r="BB1545" s="89"/>
      <c r="BC1545" s="89"/>
      <c r="BD1545" s="89"/>
      <c r="BE1545" s="89"/>
      <c r="BF1545" s="89"/>
      <c r="BG1545" s="89"/>
      <c r="BH1545" s="89"/>
      <c r="BI1545" s="89"/>
      <c r="BJ1545" s="89"/>
      <c r="BK1545" s="89"/>
      <c r="BL1545" s="89"/>
      <c r="BM1545" s="89"/>
      <c r="BN1545" s="89"/>
      <c r="BO1545" s="89"/>
      <c r="BP1545" s="89"/>
    </row>
    <row r="1546" spans="1:68" s="56" customFormat="1" ht="27" hidden="1">
      <c r="A1546" s="204" t="str">
        <f>+IFERROR(VALUE(MID(AB1546,4,4)),"")</f>
        <v/>
      </c>
      <c r="B1546" s="204">
        <f>VALUE(RIGHT(C1546,LEN(C1546)-2))</f>
        <v>1178</v>
      </c>
      <c r="C1546" s="74" t="s">
        <v>5701</v>
      </c>
      <c r="D1546" s="75">
        <v>44032</v>
      </c>
      <c r="E1546" s="70" t="s">
        <v>71</v>
      </c>
      <c r="F1546" s="70" t="s">
        <v>53</v>
      </c>
      <c r="G1546" s="68"/>
      <c r="H1546" s="59" t="s">
        <v>5698</v>
      </c>
      <c r="I1546" s="69" t="s">
        <v>5702</v>
      </c>
      <c r="J1546" s="69"/>
      <c r="K1546" s="68" t="s">
        <v>30</v>
      </c>
      <c r="L1546" s="69" t="s">
        <v>120</v>
      </c>
      <c r="M1546" s="71" t="s">
        <v>141</v>
      </c>
      <c r="N1546" s="69" t="e" vm="1">
        <v>#VALUE!</v>
      </c>
      <c r="O1546" s="84">
        <v>44036</v>
      </c>
      <c r="P1546" s="72" t="s">
        <v>402</v>
      </c>
      <c r="Q1546" s="72"/>
      <c r="R1546" s="162"/>
      <c r="S1546" s="146"/>
      <c r="T1546" s="68" t="s">
        <v>165</v>
      </c>
      <c r="U1546" s="87"/>
      <c r="V1546" s="80">
        <v>44033</v>
      </c>
      <c r="W1546" s="73">
        <v>850</v>
      </c>
      <c r="X1546" s="73">
        <f>29953500/1000000</f>
        <v>29.953499999999998</v>
      </c>
      <c r="Y1546" s="83">
        <f>IF(SUM(W1546:W1546)&gt;0,X1546/SUM(W1546:W1546)*1000000,"N/A")</f>
        <v>35239.411764705881</v>
      </c>
      <c r="Z1546" s="80"/>
      <c r="AA1546" s="80"/>
      <c r="AB1546" s="73"/>
      <c r="AC1546" s="153"/>
      <c r="AD1546" s="331"/>
      <c r="AE1546" s="57"/>
      <c r="AF1546" s="88"/>
      <c r="AG1546" s="182">
        <f>YEAR(D1546)</f>
        <v>2020</v>
      </c>
      <c r="AH1546" s="86" t="str">
        <f>+IF(AE1546=$AJ$22,MONTH(T1546),"")</f>
        <v/>
      </c>
      <c r="AI1546" s="86" t="str">
        <f>+IF(AF1546=$AJ$22,MONTH(U1546),"")</f>
        <v/>
      </c>
      <c r="AJ1546" s="86" t="str">
        <f>+IF(AG1546=$AJ$22,MONTH(V1546),"")</f>
        <v/>
      </c>
      <c r="AK1546" s="86" t="str">
        <f>+IF(AG1546=$AK$22,MONTH(V1546),"")</f>
        <v/>
      </c>
      <c r="AL1546" s="86" t="str">
        <f>+IF(AG1546=$AL$22,MONTH(V1546),"")</f>
        <v/>
      </c>
      <c r="AM1546" s="86" t="str">
        <f>+IF($AG1546=$AM$22,MONTH($D1546),"")</f>
        <v/>
      </c>
      <c r="AN1546" s="89">
        <f>+IF($AG1546=AN$22,MONTH($D1546),"")</f>
        <v>7</v>
      </c>
      <c r="AO1546" s="89" t="str">
        <f>+IF($AG1546=AO$22,MONTH($D1546),"")</f>
        <v/>
      </c>
      <c r="AP1546" s="89" t="str">
        <f>+IF($AG1546=AP$22,MONTH($D1546),"")</f>
        <v/>
      </c>
      <c r="AQ1546" s="89" t="str">
        <f>+IF($AG1546=AQ$22,MONTH($D1546),"")</f>
        <v/>
      </c>
      <c r="AR1546" s="89" t="str">
        <f>+IF($AG1546=AR$22,MONTH($D1546),"")</f>
        <v/>
      </c>
      <c r="AS1546" s="89" t="str">
        <f>+IF($AG1546=AS$22,MONTH($D1546),"")</f>
        <v/>
      </c>
      <c r="AT1546" s="89" t="str">
        <f>+IF($AG1546=AT$22,MONTH($D1546),"")</f>
        <v/>
      </c>
      <c r="AU1546" s="89" t="str">
        <f>+IF($AG1546=AU$22,MONTH($D1546),"")</f>
        <v/>
      </c>
      <c r="AV1546" s="89" t="str">
        <f>+IF($AG1546=AV$22,MONTH($D1546),"")</f>
        <v/>
      </c>
      <c r="AW1546" s="86" t="str">
        <f>+IF($AG1546=AW$22,MONTH($D1546),"")</f>
        <v/>
      </c>
      <c r="AX1546" s="86" t="str">
        <f>+IF($AG1546=AX$22,MONTH($D1546),"")</f>
        <v/>
      </c>
      <c r="AY1546" s="89"/>
      <c r="AZ1546" s="89"/>
      <c r="BA1546" s="89"/>
      <c r="BB1546" s="89"/>
      <c r="BC1546" s="89"/>
      <c r="BD1546" s="89"/>
      <c r="BE1546" s="89"/>
      <c r="BF1546" s="89"/>
      <c r="BG1546" s="89"/>
      <c r="BH1546" s="89"/>
      <c r="BI1546" s="89"/>
      <c r="BJ1546" s="89"/>
      <c r="BK1546" s="89"/>
      <c r="BL1546" s="89"/>
      <c r="BM1546" s="89"/>
      <c r="BN1546" s="89"/>
      <c r="BO1546" s="89"/>
      <c r="BP1546" s="89"/>
    </row>
    <row r="1547" spans="1:68" s="56" customFormat="1" ht="13.5" hidden="1">
      <c r="A1547" s="204" t="str">
        <f>+IFERROR(VALUE(MID(AB1547,4,4)),"")</f>
        <v/>
      </c>
      <c r="B1547" s="204">
        <f>VALUE(RIGHT(C1547,LEN(C1547)-2))</f>
        <v>1177</v>
      </c>
      <c r="C1547" s="74" t="s">
        <v>5703</v>
      </c>
      <c r="D1547" s="75">
        <v>44021</v>
      </c>
      <c r="E1547" s="70" t="s">
        <v>2263</v>
      </c>
      <c r="F1547" s="70" t="s">
        <v>53</v>
      </c>
      <c r="G1547" s="68"/>
      <c r="H1547" s="59"/>
      <c r="I1547" s="69" t="s">
        <v>5704</v>
      </c>
      <c r="J1547" s="69"/>
      <c r="K1547" s="68" t="s">
        <v>45</v>
      </c>
      <c r="L1547" s="69" t="s">
        <v>123</v>
      </c>
      <c r="M1547" s="71" t="s">
        <v>141</v>
      </c>
      <c r="N1547" s="69" t="e" vm="1">
        <v>#VALUE!</v>
      </c>
      <c r="O1547" s="84">
        <v>44046</v>
      </c>
      <c r="P1547" s="72" t="s">
        <v>4567</v>
      </c>
      <c r="Q1547" s="72"/>
      <c r="R1547" s="162"/>
      <c r="S1547" s="146"/>
      <c r="T1547" s="68" t="s">
        <v>165</v>
      </c>
      <c r="U1547" s="87">
        <v>0.05</v>
      </c>
      <c r="V1547" s="80">
        <v>44067</v>
      </c>
      <c r="W1547" s="73">
        <v>16481</v>
      </c>
      <c r="X1547" s="73">
        <f>707.71273</f>
        <v>707.71272999999997</v>
      </c>
      <c r="Y1547" s="83">
        <f>IF(SUM(W1547:W1547)&gt;0,X1547/SUM(W1547:W1547)*1000000,"N/A")</f>
        <v>42941.12796553607</v>
      </c>
      <c r="Z1547" s="80"/>
      <c r="AA1547" s="80"/>
      <c r="AB1547" s="73"/>
      <c r="AC1547" s="153"/>
      <c r="AD1547" s="331"/>
      <c r="AE1547" s="57"/>
      <c r="AF1547" s="88"/>
      <c r="AG1547" s="182">
        <f>YEAR(D1547)</f>
        <v>2020</v>
      </c>
      <c r="AH1547" s="86" t="str">
        <f>+IF(AE1547=$AJ$22,MONTH(T1547),"")</f>
        <v/>
      </c>
      <c r="AI1547" s="86" t="str">
        <f>+IF(AF1547=$AJ$22,MONTH(U1547),"")</f>
        <v/>
      </c>
      <c r="AJ1547" s="86" t="str">
        <f>+IF(AG1547=$AJ$22,MONTH(V1547),"")</f>
        <v/>
      </c>
      <c r="AK1547" s="86" t="str">
        <f>+IF(AG1547=$AK$22,MONTH(V1547),"")</f>
        <v/>
      </c>
      <c r="AL1547" s="86" t="str">
        <f>+IF(AG1547=$AL$22,MONTH(V1547),"")</f>
        <v/>
      </c>
      <c r="AM1547" s="86" t="str">
        <f>+IF($AG1547=$AM$22,MONTH($D1547),"")</f>
        <v/>
      </c>
      <c r="AN1547" s="89">
        <f>+IF($AG1547=AN$22,MONTH($D1547),"")</f>
        <v>7</v>
      </c>
      <c r="AO1547" s="89" t="str">
        <f>+IF($AG1547=AO$22,MONTH($D1547),"")</f>
        <v/>
      </c>
      <c r="AP1547" s="89" t="str">
        <f>+IF($AG1547=AP$22,MONTH($D1547),"")</f>
        <v/>
      </c>
      <c r="AQ1547" s="89" t="str">
        <f>+IF($AG1547=AQ$22,MONTH($D1547),"")</f>
        <v/>
      </c>
      <c r="AR1547" s="89" t="str">
        <f>+IF($AG1547=AR$22,MONTH($D1547),"")</f>
        <v/>
      </c>
      <c r="AS1547" s="89" t="str">
        <f>+IF($AG1547=AS$22,MONTH($D1547),"")</f>
        <v/>
      </c>
      <c r="AT1547" s="89" t="str">
        <f>+IF($AG1547=AT$22,MONTH($D1547),"")</f>
        <v/>
      </c>
      <c r="AU1547" s="89" t="str">
        <f>+IF($AG1547=AU$22,MONTH($D1547),"")</f>
        <v/>
      </c>
      <c r="AV1547" s="89" t="str">
        <f>+IF($AG1547=AV$22,MONTH($D1547),"")</f>
        <v/>
      </c>
      <c r="AW1547" s="86" t="str">
        <f>+IF($AG1547=AW$22,MONTH($D1547),"")</f>
        <v/>
      </c>
      <c r="AX1547" s="86" t="str">
        <f>+IF($AG1547=AX$22,MONTH($D1547),"")</f>
        <v/>
      </c>
      <c r="AY1547" s="89"/>
      <c r="AZ1547" s="89"/>
      <c r="BA1547" s="89"/>
      <c r="BB1547" s="89"/>
      <c r="BC1547" s="89"/>
      <c r="BD1547" s="89"/>
      <c r="BE1547" s="89"/>
      <c r="BF1547" s="89"/>
      <c r="BG1547" s="89"/>
      <c r="BH1547" s="89"/>
      <c r="BI1547" s="89"/>
      <c r="BJ1547" s="89"/>
      <c r="BK1547" s="89"/>
      <c r="BL1547" s="89"/>
      <c r="BM1547" s="89"/>
      <c r="BN1547" s="89"/>
      <c r="BO1547" s="89"/>
      <c r="BP1547" s="89"/>
    </row>
    <row r="1548" spans="1:68" s="56" customFormat="1" ht="40.5" hidden="1">
      <c r="A1548" s="204" t="str">
        <f>+IFERROR(VALUE(MID(AB1548,4,4)),"")</f>
        <v/>
      </c>
      <c r="B1548" s="204">
        <f>VALUE(RIGHT(C1548,LEN(C1548)-2))</f>
        <v>1176</v>
      </c>
      <c r="C1548" s="74" t="s">
        <v>5705</v>
      </c>
      <c r="D1548" s="75">
        <v>44029</v>
      </c>
      <c r="E1548" s="70" t="s">
        <v>479</v>
      </c>
      <c r="F1548" s="70" t="s">
        <v>479</v>
      </c>
      <c r="G1548" s="68"/>
      <c r="H1548" s="59"/>
      <c r="I1548" s="69" t="s">
        <v>5706</v>
      </c>
      <c r="J1548" s="69"/>
      <c r="K1548" s="68" t="s">
        <v>3286</v>
      </c>
      <c r="L1548" s="69" t="s">
        <v>123</v>
      </c>
      <c r="M1548" s="71" t="s">
        <v>113</v>
      </c>
      <c r="N1548" s="69" t="e" vm="2">
        <v>#VALUE!</v>
      </c>
      <c r="O1548" s="84">
        <v>44036</v>
      </c>
      <c r="P1548" s="72" t="s">
        <v>402</v>
      </c>
      <c r="Q1548" s="72"/>
      <c r="R1548" s="162"/>
      <c r="S1548" s="146" t="s">
        <v>5707</v>
      </c>
      <c r="T1548" s="68" t="s">
        <v>165</v>
      </c>
      <c r="U1548" s="87"/>
      <c r="V1548" s="80">
        <v>44036</v>
      </c>
      <c r="W1548" s="73">
        <v>4518</v>
      </c>
      <c r="X1548" s="73">
        <f>634511.72*140/1000000</f>
        <v>88.831640800000002</v>
      </c>
      <c r="Y1548" s="83">
        <f>IF(SUM(W1548:W1548)&gt;0,X1548/SUM(W1548:W1548)*1000000,"N/A")</f>
        <v>19661.717751217355</v>
      </c>
      <c r="Z1548" s="80"/>
      <c r="AA1548" s="80"/>
      <c r="AB1548" s="73"/>
      <c r="AC1548" s="153"/>
      <c r="AD1548" s="331"/>
      <c r="AE1548" s="57"/>
      <c r="AF1548" s="88"/>
      <c r="AG1548" s="182">
        <f>YEAR(D1548)</f>
        <v>2020</v>
      </c>
      <c r="AH1548" s="86" t="str">
        <f>+IF(AE1548=$AJ$22,MONTH(T1548),"")</f>
        <v/>
      </c>
      <c r="AI1548" s="86" t="str">
        <f>+IF(AF1548=$AJ$22,MONTH(U1548),"")</f>
        <v/>
      </c>
      <c r="AJ1548" s="86" t="str">
        <f>+IF(AG1548=$AJ$22,MONTH(V1548),"")</f>
        <v/>
      </c>
      <c r="AK1548" s="86" t="str">
        <f>+IF(AG1548=$AK$22,MONTH(V1548),"")</f>
        <v/>
      </c>
      <c r="AL1548" s="86" t="str">
        <f>+IF(AG1548=$AL$22,MONTH(V1548),"")</f>
        <v/>
      </c>
      <c r="AM1548" s="86" t="str">
        <f>+IF($AG1548=$AM$22,MONTH($D1548),"")</f>
        <v/>
      </c>
      <c r="AN1548" s="89">
        <f>+IF($AG1548=AN$22,MONTH($D1548),"")</f>
        <v>7</v>
      </c>
      <c r="AO1548" s="89" t="str">
        <f>+IF($AG1548=AO$22,MONTH($D1548),"")</f>
        <v/>
      </c>
      <c r="AP1548" s="89" t="str">
        <f>+IF($AG1548=AP$22,MONTH($D1548),"")</f>
        <v/>
      </c>
      <c r="AQ1548" s="89" t="str">
        <f>+IF($AG1548=AQ$22,MONTH($D1548),"")</f>
        <v/>
      </c>
      <c r="AR1548" s="89" t="str">
        <f>+IF($AG1548=AR$22,MONTH($D1548),"")</f>
        <v/>
      </c>
      <c r="AS1548" s="89" t="str">
        <f>+IF($AG1548=AS$22,MONTH($D1548),"")</f>
        <v/>
      </c>
      <c r="AT1548" s="89" t="str">
        <f>+IF($AG1548=AT$22,MONTH($D1548),"")</f>
        <v/>
      </c>
      <c r="AU1548" s="89" t="str">
        <f>+IF($AG1548=AU$22,MONTH($D1548),"")</f>
        <v/>
      </c>
      <c r="AV1548" s="89" t="str">
        <f>+IF($AG1548=AV$22,MONTH($D1548),"")</f>
        <v/>
      </c>
      <c r="AW1548" s="86" t="str">
        <f>+IF($AG1548=AW$22,MONTH($D1548),"")</f>
        <v/>
      </c>
      <c r="AX1548" s="86" t="str">
        <f>+IF($AG1548=AX$22,MONTH($D1548),"")</f>
        <v/>
      </c>
      <c r="AY1548" s="89"/>
      <c r="AZ1548" s="89"/>
      <c r="BA1548" s="89"/>
      <c r="BB1548" s="89"/>
      <c r="BC1548" s="89"/>
      <c r="BD1548" s="89"/>
      <c r="BE1548" s="89"/>
      <c r="BF1548" s="89"/>
      <c r="BG1548" s="89"/>
      <c r="BH1548" s="89"/>
      <c r="BI1548" s="89"/>
      <c r="BJ1548" s="89"/>
      <c r="BK1548" s="89"/>
      <c r="BL1548" s="89"/>
      <c r="BM1548" s="89"/>
      <c r="BN1548" s="89"/>
      <c r="BO1548" s="89"/>
      <c r="BP1548" s="89"/>
    </row>
    <row r="1549" spans="1:68" s="56" customFormat="1" ht="13.5" hidden="1">
      <c r="A1549" s="204">
        <f>+IFERROR(VALUE(MID(AB1549,4,4)),"")</f>
        <v>289</v>
      </c>
      <c r="B1549" s="204">
        <f>VALUE(RIGHT(C1549,LEN(C1549)-2))</f>
        <v>1175</v>
      </c>
      <c r="C1549" s="74" t="s">
        <v>5708</v>
      </c>
      <c r="D1549" s="75">
        <v>44027</v>
      </c>
      <c r="E1549" s="70" t="s">
        <v>479</v>
      </c>
      <c r="F1549" s="70" t="s">
        <v>479</v>
      </c>
      <c r="G1549" s="68"/>
      <c r="H1549" s="59" t="s">
        <v>5709</v>
      </c>
      <c r="I1549" s="69" t="s">
        <v>5710</v>
      </c>
      <c r="J1549" s="69"/>
      <c r="K1549" s="68" t="s">
        <v>212</v>
      </c>
      <c r="L1549" s="69" t="s">
        <v>123</v>
      </c>
      <c r="M1549" s="71" t="s">
        <v>113</v>
      </c>
      <c r="N1549" s="69" t="e" vm="2">
        <v>#VALUE!</v>
      </c>
      <c r="O1549" s="84">
        <v>44051</v>
      </c>
      <c r="P1549" s="72" t="s">
        <v>402</v>
      </c>
      <c r="Q1549" s="72" t="s">
        <v>229</v>
      </c>
      <c r="R1549" s="162"/>
      <c r="S1549" s="146" t="s">
        <v>5711</v>
      </c>
      <c r="T1549" s="68" t="s">
        <v>3</v>
      </c>
      <c r="U1549" s="87"/>
      <c r="V1549" s="80">
        <v>44049</v>
      </c>
      <c r="W1549" s="73">
        <v>1</v>
      </c>
      <c r="X1549" s="73"/>
      <c r="Y1549" s="83">
        <f>IF(SUM(W1549:W1549)&gt;0,X1549/SUM(W1549:W1549)*1000000,"N/A")</f>
        <v>0</v>
      </c>
      <c r="Z1549" s="80"/>
      <c r="AA1549" s="80"/>
      <c r="AB1549" s="73" t="s">
        <v>5712</v>
      </c>
      <c r="AC1549" s="153"/>
      <c r="AD1549" s="331"/>
      <c r="AE1549" s="57"/>
      <c r="AF1549" s="88"/>
      <c r="AG1549" s="182">
        <f>YEAR(D1549)</f>
        <v>2020</v>
      </c>
      <c r="AH1549" s="86" t="str">
        <f>+IF(AE1549=$AJ$22,MONTH(T1549),"")</f>
        <v/>
      </c>
      <c r="AI1549" s="86" t="str">
        <f>+IF(AF1549=$AJ$22,MONTH(U1549),"")</f>
        <v/>
      </c>
      <c r="AJ1549" s="86" t="str">
        <f>+IF(AG1549=$AJ$22,MONTH(V1549),"")</f>
        <v/>
      </c>
      <c r="AK1549" s="86" t="str">
        <f>+IF(AG1549=$AK$22,MONTH(V1549),"")</f>
        <v/>
      </c>
      <c r="AL1549" s="86" t="str">
        <f>+IF(AG1549=$AL$22,MONTH(V1549),"")</f>
        <v/>
      </c>
      <c r="AM1549" s="86" t="str">
        <f>+IF($AG1549=$AM$22,MONTH($D1549),"")</f>
        <v/>
      </c>
      <c r="AN1549" s="89">
        <f>+IF($AG1549=AN$22,MONTH($D1549),"")</f>
        <v>7</v>
      </c>
      <c r="AO1549" s="89" t="str">
        <f>+IF($AG1549=AO$22,MONTH($D1549),"")</f>
        <v/>
      </c>
      <c r="AP1549" s="89" t="str">
        <f>+IF($AG1549=AP$22,MONTH($D1549),"")</f>
        <v/>
      </c>
      <c r="AQ1549" s="89" t="str">
        <f>+IF($AG1549=AQ$22,MONTH($D1549),"")</f>
        <v/>
      </c>
      <c r="AR1549" s="89" t="str">
        <f>+IF($AG1549=AR$22,MONTH($D1549),"")</f>
        <v/>
      </c>
      <c r="AS1549" s="89" t="str">
        <f>+IF($AG1549=AS$22,MONTH($D1549),"")</f>
        <v/>
      </c>
      <c r="AT1549" s="89" t="str">
        <f>+IF($AG1549=AT$22,MONTH($D1549),"")</f>
        <v/>
      </c>
      <c r="AU1549" s="89" t="str">
        <f>+IF($AG1549=AU$22,MONTH($D1549),"")</f>
        <v/>
      </c>
      <c r="AV1549" s="89" t="str">
        <f>+IF($AG1549=AV$22,MONTH($D1549),"")</f>
        <v/>
      </c>
      <c r="AW1549" s="86"/>
      <c r="AX1549" s="86"/>
      <c r="AY1549" s="89"/>
      <c r="AZ1549" s="89"/>
      <c r="BA1549" s="89"/>
      <c r="BB1549" s="89"/>
      <c r="BC1549" s="89"/>
      <c r="BD1549" s="89"/>
      <c r="BE1549" s="89"/>
      <c r="BF1549" s="89"/>
      <c r="BG1549" s="89"/>
      <c r="BH1549" s="89"/>
      <c r="BI1549" s="89"/>
      <c r="BJ1549" s="89"/>
      <c r="BK1549" s="89"/>
      <c r="BL1549" s="89"/>
      <c r="BM1549" s="89"/>
      <c r="BN1549" s="89"/>
      <c r="BO1549" s="89"/>
      <c r="BP1549" s="89"/>
    </row>
    <row r="1550" spans="1:68" s="56" customFormat="1" ht="27" hidden="1">
      <c r="A1550" s="204">
        <f>+IFERROR(VALUE(MID(AB1550,4,4)),"")</f>
        <v>219</v>
      </c>
      <c r="B1550" s="204">
        <f>VALUE(RIGHT(C1550,LEN(C1550)-2))</f>
        <v>1174</v>
      </c>
      <c r="C1550" s="74" t="s">
        <v>5713</v>
      </c>
      <c r="D1550" s="75">
        <v>44026</v>
      </c>
      <c r="E1550" s="70" t="s">
        <v>41</v>
      </c>
      <c r="F1550" s="70" t="s">
        <v>41</v>
      </c>
      <c r="G1550" s="68"/>
      <c r="H1550" s="59"/>
      <c r="I1550" s="69" t="s">
        <v>5714</v>
      </c>
      <c r="J1550" s="69"/>
      <c r="K1550" s="68" t="s">
        <v>12</v>
      </c>
      <c r="L1550" s="69" t="s">
        <v>129</v>
      </c>
      <c r="M1550" s="71" t="s">
        <v>141</v>
      </c>
      <c r="N1550" s="69" t="e" vm="1">
        <v>#VALUE!</v>
      </c>
      <c r="O1550" s="84">
        <v>44060</v>
      </c>
      <c r="P1550" s="72" t="s">
        <v>402</v>
      </c>
      <c r="Q1550" s="72" t="s">
        <v>837</v>
      </c>
      <c r="R1550" s="162"/>
      <c r="S1550" s="146" t="s">
        <v>5715</v>
      </c>
      <c r="T1550" s="68" t="s">
        <v>3</v>
      </c>
      <c r="U1550" s="87"/>
      <c r="V1550" s="80"/>
      <c r="W1550" s="73">
        <v>439</v>
      </c>
      <c r="X1550" s="73">
        <f>548*28700/1000000</f>
        <v>15.727600000000001</v>
      </c>
      <c r="Y1550" s="83">
        <f>IF(SUM(W1550:W1550)&gt;0,X1550/SUM(W1550:W1550)*1000000,"N/A")</f>
        <v>35825.96810933941</v>
      </c>
      <c r="Z1550" s="80"/>
      <c r="AA1550" s="80"/>
      <c r="AB1550" s="73" t="s">
        <v>5716</v>
      </c>
      <c r="AC1550" s="153"/>
      <c r="AD1550" s="331"/>
      <c r="AE1550" s="57"/>
      <c r="AF1550" s="88"/>
      <c r="AG1550" s="182">
        <f>YEAR(D1550)</f>
        <v>2020</v>
      </c>
      <c r="AH1550" s="86" t="str">
        <f>+IF(AE1550=$AJ$22,MONTH(T1550),"")</f>
        <v/>
      </c>
      <c r="AI1550" s="86" t="str">
        <f>+IF(AF1550=$AJ$22,MONTH(U1550),"")</f>
        <v/>
      </c>
      <c r="AJ1550" s="86" t="str">
        <f>+IF(AG1550=$AJ$22,MONTH(V1550),"")</f>
        <v/>
      </c>
      <c r="AK1550" s="86" t="str">
        <f>+IF(AG1550=$AK$22,MONTH(V1550),"")</f>
        <v/>
      </c>
      <c r="AL1550" s="86" t="str">
        <f>+IF(AG1550=$AL$22,MONTH(V1550),"")</f>
        <v/>
      </c>
      <c r="AM1550" s="86" t="str">
        <f>+IF($AG1550=$AM$22,MONTH($D1550),"")</f>
        <v/>
      </c>
      <c r="AN1550" s="89">
        <f>+IF($AG1550=AN$22,MONTH($D1550),"")</f>
        <v>7</v>
      </c>
      <c r="AO1550" s="89" t="str">
        <f>+IF($AG1550=AO$22,MONTH($D1550),"")</f>
        <v/>
      </c>
      <c r="AP1550" s="89" t="str">
        <f>+IF($AG1550=AP$22,MONTH($D1550),"")</f>
        <v/>
      </c>
      <c r="AQ1550" s="89" t="str">
        <f>+IF($AG1550=AQ$22,MONTH($D1550),"")</f>
        <v/>
      </c>
      <c r="AR1550" s="89" t="str">
        <f>+IF($AG1550=AR$22,MONTH($D1550),"")</f>
        <v/>
      </c>
      <c r="AS1550" s="89" t="str">
        <f>+IF($AG1550=AS$22,MONTH($D1550),"")</f>
        <v/>
      </c>
      <c r="AT1550" s="89" t="str">
        <f>+IF($AG1550=AT$22,MONTH($D1550),"")</f>
        <v/>
      </c>
      <c r="AU1550" s="89" t="str">
        <f>+IF($AG1550=AU$22,MONTH($D1550),"")</f>
        <v/>
      </c>
      <c r="AV1550" s="89" t="str">
        <f>+IF($AG1550=AV$22,MONTH($D1550),"")</f>
        <v/>
      </c>
      <c r="AW1550" s="86" t="str">
        <f>+IF($AG1550=AW$22,MONTH($D1550),"")</f>
        <v/>
      </c>
      <c r="AX1550" s="86" t="str">
        <f>+IF($AG1550=AX$22,MONTH($D1550),"")</f>
        <v/>
      </c>
      <c r="AY1550" s="89"/>
      <c r="AZ1550" s="89"/>
      <c r="BA1550" s="89"/>
      <c r="BB1550" s="89"/>
      <c r="BC1550" s="89"/>
      <c r="BD1550" s="89"/>
      <c r="BE1550" s="89"/>
      <c r="BF1550" s="89"/>
      <c r="BG1550" s="89"/>
      <c r="BH1550" s="89"/>
      <c r="BI1550" s="89"/>
      <c r="BJ1550" s="89"/>
      <c r="BK1550" s="89"/>
      <c r="BL1550" s="89"/>
      <c r="BM1550" s="89"/>
      <c r="BN1550" s="89"/>
      <c r="BO1550" s="89"/>
      <c r="BP1550" s="89"/>
    </row>
    <row r="1551" spans="1:68" s="56" customFormat="1" ht="27" hidden="1">
      <c r="A1551" s="204">
        <f>+IFERROR(VALUE(MID(AB1551,4,4)),"")</f>
        <v>219</v>
      </c>
      <c r="B1551" s="204">
        <f>VALUE(RIGHT(C1551,LEN(C1551)-2))</f>
        <v>1174</v>
      </c>
      <c r="C1551" s="74" t="s">
        <v>5713</v>
      </c>
      <c r="D1551" s="75">
        <v>44026</v>
      </c>
      <c r="E1551" s="70" t="s">
        <v>41</v>
      </c>
      <c r="F1551" s="70" t="s">
        <v>41</v>
      </c>
      <c r="G1551" s="68"/>
      <c r="H1551" s="69" t="s">
        <v>13</v>
      </c>
      <c r="I1551" s="69" t="s">
        <v>5717</v>
      </c>
      <c r="J1551" s="69"/>
      <c r="K1551" s="68" t="s">
        <v>13</v>
      </c>
      <c r="L1551" s="69" t="s">
        <v>129</v>
      </c>
      <c r="M1551" s="71" t="s">
        <v>141</v>
      </c>
      <c r="N1551" s="69" t="e" vm="1">
        <v>#VALUE!</v>
      </c>
      <c r="O1551" s="84">
        <v>44182</v>
      </c>
      <c r="P1551" s="72" t="s">
        <v>402</v>
      </c>
      <c r="Q1551" s="72" t="s">
        <v>837</v>
      </c>
      <c r="R1551" s="162"/>
      <c r="S1551" s="267"/>
      <c r="T1551" s="68" t="s">
        <v>3</v>
      </c>
      <c r="U1551" s="73"/>
      <c r="V1551" s="80">
        <v>44196</v>
      </c>
      <c r="W1551" s="73">
        <v>5936</v>
      </c>
      <c r="X1551" s="73">
        <f>6373*28700/1000000</f>
        <v>182.9051</v>
      </c>
      <c r="Y1551" s="83">
        <f>IF(SUM(W1551:W1551)&gt;0,X1551/SUM(W1551:W1551)*1000000,"N/A")</f>
        <v>30812.853773584906</v>
      </c>
      <c r="Z1551" s="80"/>
      <c r="AA1551" s="80"/>
      <c r="AB1551" s="73" t="s">
        <v>5718</v>
      </c>
      <c r="AC1551" s="153"/>
      <c r="AD1551" s="331"/>
      <c r="AE1551" s="57"/>
      <c r="AF1551" s="88"/>
      <c r="AG1551" s="182">
        <f>YEAR(D1551)</f>
        <v>2020</v>
      </c>
      <c r="AH1551" s="86" t="str">
        <f>+IF(AE1551=$AJ$22,MONTH(T1551),"")</f>
        <v/>
      </c>
      <c r="AI1551" s="86" t="str">
        <f>+IF(AF1551=$AJ$22,MONTH(U1551),"")</f>
        <v/>
      </c>
      <c r="AJ1551" s="86" t="str">
        <f>+IF(AG1551=$AJ$22,MONTH(V1551),"")</f>
        <v/>
      </c>
      <c r="AK1551" s="86" t="str">
        <f>+IF(AG1551=$AK$22,MONTH(V1551),"")</f>
        <v/>
      </c>
      <c r="AL1551" s="86" t="str">
        <f>+IF(AG1551=$AL$22,MONTH(V1551),"")</f>
        <v/>
      </c>
      <c r="AM1551" s="86" t="str">
        <f>+IF($AG1551=$AM$22,MONTH($D1551),"")</f>
        <v/>
      </c>
      <c r="AN1551" s="89">
        <f>+IF($AG1551=AN$22,MONTH($D1551),"")</f>
        <v>7</v>
      </c>
      <c r="AO1551" s="89" t="str">
        <f>+IF($AG1551=AO$22,MONTH($D1551),"")</f>
        <v/>
      </c>
      <c r="AP1551" s="89" t="str">
        <f>+IF($AG1551=AP$22,MONTH($D1551),"")</f>
        <v/>
      </c>
      <c r="AQ1551" s="89" t="str">
        <f>+IF($AG1551=AQ$22,MONTH($D1551),"")</f>
        <v/>
      </c>
      <c r="AR1551" s="89" t="str">
        <f>+IF($AG1551=AR$22,MONTH($D1551),"")</f>
        <v/>
      </c>
      <c r="AS1551" s="89" t="str">
        <f>+IF($AG1551=AS$22,MONTH($D1551),"")</f>
        <v/>
      </c>
      <c r="AT1551" s="89" t="str">
        <f>+IF($AG1551=AT$22,MONTH($D1551),"")</f>
        <v/>
      </c>
      <c r="AU1551" s="89" t="str">
        <f>+IF($AG1551=AU$22,MONTH($D1551),"")</f>
        <v/>
      </c>
      <c r="AV1551" s="89" t="str">
        <f>+IF($AG1551=AV$22,MONTH($D1551),"")</f>
        <v/>
      </c>
      <c r="AW1551" s="86" t="str">
        <f>+IF($AG1551=AW$22,MONTH($D1551),"")</f>
        <v/>
      </c>
      <c r="AX1551" s="86" t="str">
        <f>+IF($AG1551=AX$22,MONTH($D1551),"")</f>
        <v/>
      </c>
      <c r="AY1551" s="89"/>
      <c r="AZ1551" s="89"/>
      <c r="BA1551" s="89"/>
      <c r="BB1551" s="89"/>
      <c r="BC1551" s="89"/>
      <c r="BD1551" s="89"/>
      <c r="BE1551" s="89"/>
      <c r="BF1551" s="89"/>
      <c r="BG1551" s="89"/>
      <c r="BH1551" s="89"/>
      <c r="BI1551" s="89"/>
      <c r="BJ1551" s="89"/>
      <c r="BK1551" s="89"/>
      <c r="BL1551" s="89"/>
      <c r="BM1551" s="89"/>
      <c r="BN1551" s="89"/>
      <c r="BO1551" s="89"/>
      <c r="BP1551" s="89"/>
    </row>
    <row r="1552" spans="1:68" s="56" customFormat="1" ht="13.5" hidden="1">
      <c r="A1552" s="204" t="str">
        <f>+IFERROR(VALUE(MID(AB1552,4,4)),"")</f>
        <v/>
      </c>
      <c r="B1552" s="204">
        <f>VALUE(RIGHT(C1552,LEN(C1552)-2))</f>
        <v>1173</v>
      </c>
      <c r="C1552" s="74" t="s">
        <v>5719</v>
      </c>
      <c r="D1552" s="75">
        <v>44025</v>
      </c>
      <c r="E1552" s="70" t="s">
        <v>53</v>
      </c>
      <c r="F1552" s="70" t="s">
        <v>252</v>
      </c>
      <c r="G1552" s="68"/>
      <c r="H1552" s="59"/>
      <c r="I1552" s="69" t="s">
        <v>5720</v>
      </c>
      <c r="J1552" s="69"/>
      <c r="K1552" s="68" t="s">
        <v>13</v>
      </c>
      <c r="L1552" s="69" t="s">
        <v>120</v>
      </c>
      <c r="M1552" s="71" t="s">
        <v>141</v>
      </c>
      <c r="N1552" s="69" t="e" vm="1">
        <v>#VALUE!</v>
      </c>
      <c r="O1552" s="84"/>
      <c r="P1552" s="72" t="s">
        <v>402</v>
      </c>
      <c r="Q1552" s="72"/>
      <c r="R1552" s="162"/>
      <c r="S1552" s="146" t="s">
        <v>5721</v>
      </c>
      <c r="T1552" s="68" t="s">
        <v>165</v>
      </c>
      <c r="U1552" s="87"/>
      <c r="V1552" s="80">
        <v>44029</v>
      </c>
      <c r="W1552" s="73">
        <v>1749</v>
      </c>
      <c r="X1552" s="73">
        <f>2447*28700/1000000</f>
        <v>70.228899999999996</v>
      </c>
      <c r="Y1552" s="83">
        <f>IF(SUM(W1552:W1552)&gt;0,X1552/SUM(W1552:W1552)*1000000,"N/A")</f>
        <v>40153.744997141221</v>
      </c>
      <c r="Z1552" s="80"/>
      <c r="AA1552" s="80"/>
      <c r="AB1552" s="73"/>
      <c r="AC1552" s="153"/>
      <c r="AD1552" s="331"/>
      <c r="AE1552" s="57"/>
      <c r="AF1552" s="88"/>
      <c r="AG1552" s="182">
        <f>YEAR(D1552)</f>
        <v>2020</v>
      </c>
      <c r="AH1552" s="86" t="str">
        <f>+IF(AE1552=$AJ$22,MONTH(T1552),"")</f>
        <v/>
      </c>
      <c r="AI1552" s="86" t="str">
        <f>+IF(AF1552=$AJ$22,MONTH(U1552),"")</f>
        <v/>
      </c>
      <c r="AJ1552" s="86" t="str">
        <f>+IF(AG1552=$AJ$22,MONTH(V1552),"")</f>
        <v/>
      </c>
      <c r="AK1552" s="86" t="str">
        <f>+IF(AG1552=$AK$22,MONTH(V1552),"")</f>
        <v/>
      </c>
      <c r="AL1552" s="86" t="str">
        <f>+IF(AG1552=$AL$22,MONTH(V1552),"")</f>
        <v/>
      </c>
      <c r="AM1552" s="86" t="str">
        <f>+IF($AG1552=$AM$22,MONTH($D1552),"")</f>
        <v/>
      </c>
      <c r="AN1552" s="89">
        <f>+IF($AG1552=AN$22,MONTH($D1552),"")</f>
        <v>7</v>
      </c>
      <c r="AO1552" s="89" t="str">
        <f>+IF($AG1552=AO$22,MONTH($D1552),"")</f>
        <v/>
      </c>
      <c r="AP1552" s="89" t="str">
        <f>+IF($AG1552=AP$22,MONTH($D1552),"")</f>
        <v/>
      </c>
      <c r="AQ1552" s="89" t="str">
        <f>+IF($AG1552=AQ$22,MONTH($D1552),"")</f>
        <v/>
      </c>
      <c r="AR1552" s="89" t="str">
        <f>+IF($AG1552=AR$22,MONTH($D1552),"")</f>
        <v/>
      </c>
      <c r="AS1552" s="89" t="str">
        <f>+IF($AG1552=AS$22,MONTH($D1552),"")</f>
        <v/>
      </c>
      <c r="AT1552" s="89" t="str">
        <f>+IF($AG1552=AT$22,MONTH($D1552),"")</f>
        <v/>
      </c>
      <c r="AU1552" s="89" t="str">
        <f>+IF($AG1552=AU$22,MONTH($D1552),"")</f>
        <v/>
      </c>
      <c r="AV1552" s="89" t="str">
        <f>+IF($AG1552=AV$22,MONTH($D1552),"")</f>
        <v/>
      </c>
      <c r="AW1552" s="86" t="str">
        <f>+IF($AG1552=AW$22,MONTH($D1552),"")</f>
        <v/>
      </c>
      <c r="AX1552" s="86" t="str">
        <f>+IF($AG1552=AX$22,MONTH($D1552),"")</f>
        <v/>
      </c>
      <c r="AY1552" s="89"/>
      <c r="AZ1552" s="89"/>
      <c r="BA1552" s="89"/>
      <c r="BB1552" s="89"/>
      <c r="BC1552" s="89"/>
      <c r="BD1552" s="89"/>
      <c r="BE1552" s="89"/>
      <c r="BF1552" s="89"/>
      <c r="BG1552" s="89"/>
      <c r="BH1552" s="89"/>
      <c r="BI1552" s="89"/>
      <c r="BJ1552" s="89"/>
      <c r="BK1552" s="89"/>
      <c r="BL1552" s="89"/>
      <c r="BM1552" s="89"/>
      <c r="BN1552" s="89"/>
      <c r="BO1552" s="89"/>
      <c r="BP1552" s="89"/>
    </row>
    <row r="1553" spans="1:68" s="56" customFormat="1" ht="27" hidden="1">
      <c r="A1553" s="204">
        <f>+IFERROR(VALUE(MID(AB1553,4,4)),"")</f>
        <v>235</v>
      </c>
      <c r="B1553" s="204">
        <f>VALUE(RIGHT(C1553,LEN(C1553)-2))</f>
        <v>1172</v>
      </c>
      <c r="C1553" s="74" t="s">
        <v>5722</v>
      </c>
      <c r="D1553" s="75">
        <v>44025</v>
      </c>
      <c r="E1553" s="70" t="s">
        <v>479</v>
      </c>
      <c r="F1553" s="70" t="s">
        <v>479</v>
      </c>
      <c r="G1553" s="68"/>
      <c r="H1553" s="59"/>
      <c r="I1553" s="69" t="s">
        <v>5723</v>
      </c>
      <c r="J1553" s="69"/>
      <c r="K1553" s="68" t="s">
        <v>30</v>
      </c>
      <c r="L1553" s="69" t="s">
        <v>120</v>
      </c>
      <c r="M1553" s="71" t="s">
        <v>113</v>
      </c>
      <c r="N1553" s="69" t="e" vm="2">
        <v>#VALUE!</v>
      </c>
      <c r="O1553" s="84"/>
      <c r="P1553" s="72" t="s">
        <v>402</v>
      </c>
      <c r="Q1553" s="72" t="s">
        <v>229</v>
      </c>
      <c r="R1553" s="162"/>
      <c r="S1553" s="146"/>
      <c r="T1553" s="68" t="s">
        <v>3</v>
      </c>
      <c r="U1553" s="87"/>
      <c r="V1553" s="80">
        <v>44029</v>
      </c>
      <c r="W1553" s="73">
        <v>180</v>
      </c>
      <c r="X1553" s="73">
        <f>16050*787.87/1000000</f>
        <v>12.6453135</v>
      </c>
      <c r="Y1553" s="83">
        <f>IF(SUM(W1553:W1553)&gt;0,X1553/SUM(W1553:W1553)*1000000,"N/A")</f>
        <v>70251.741666666669</v>
      </c>
      <c r="Z1553" s="80"/>
      <c r="AA1553" s="80"/>
      <c r="AB1553" s="73" t="s">
        <v>5484</v>
      </c>
      <c r="AC1553" s="153"/>
      <c r="AD1553" s="331"/>
      <c r="AE1553" s="57"/>
      <c r="AF1553" s="88"/>
      <c r="AG1553" s="182">
        <f>YEAR(D1553)</f>
        <v>2020</v>
      </c>
      <c r="AH1553" s="86" t="str">
        <f>+IF(AE1553=$AJ$22,MONTH(T1553),"")</f>
        <v/>
      </c>
      <c r="AI1553" s="86" t="str">
        <f>+IF(AF1553=$AJ$22,MONTH(U1553),"")</f>
        <v/>
      </c>
      <c r="AJ1553" s="86" t="str">
        <f>+IF(AG1553=$AJ$22,MONTH(V1553),"")</f>
        <v/>
      </c>
      <c r="AK1553" s="86" t="str">
        <f>+IF(AG1553=$AK$22,MONTH(V1553),"")</f>
        <v/>
      </c>
      <c r="AL1553" s="86" t="str">
        <f>+IF(AG1553=$AL$22,MONTH(V1553),"")</f>
        <v/>
      </c>
      <c r="AM1553" s="86" t="str">
        <f>+IF($AG1553=$AM$22,MONTH($D1553),"")</f>
        <v/>
      </c>
      <c r="AN1553" s="89">
        <f>+IF($AG1553=AN$22,MONTH($D1553),"")</f>
        <v>7</v>
      </c>
      <c r="AO1553" s="89" t="str">
        <f>+IF($AG1553=AO$22,MONTH($D1553),"")</f>
        <v/>
      </c>
      <c r="AP1553" s="89" t="str">
        <f>+IF($AG1553=AP$22,MONTH($D1553),"")</f>
        <v/>
      </c>
      <c r="AQ1553" s="89" t="str">
        <f>+IF($AG1553=AQ$22,MONTH($D1553),"")</f>
        <v/>
      </c>
      <c r="AR1553" s="89" t="str">
        <f>+IF($AG1553=AR$22,MONTH($D1553),"")</f>
        <v/>
      </c>
      <c r="AS1553" s="89" t="str">
        <f>+IF($AG1553=AS$22,MONTH($D1553),"")</f>
        <v/>
      </c>
      <c r="AT1553" s="89" t="str">
        <f>+IF($AG1553=AT$22,MONTH($D1553),"")</f>
        <v/>
      </c>
      <c r="AU1553" s="89" t="str">
        <f>+IF($AG1553=AU$22,MONTH($D1553),"")</f>
        <v/>
      </c>
      <c r="AV1553" s="89" t="str">
        <f>+IF($AG1553=AV$22,MONTH($D1553),"")</f>
        <v/>
      </c>
      <c r="AW1553" s="86" t="str">
        <f>+IF($AG1553=AW$22,MONTH($D1553),"")</f>
        <v/>
      </c>
      <c r="AX1553" s="86" t="str">
        <f>+IF($AG1553=AX$22,MONTH($D1553),"")</f>
        <v/>
      </c>
      <c r="AY1553" s="89"/>
      <c r="AZ1553" s="89"/>
      <c r="BA1553" s="89"/>
      <c r="BB1553" s="89"/>
      <c r="BC1553" s="89"/>
      <c r="BD1553" s="89"/>
      <c r="BE1553" s="89"/>
      <c r="BF1553" s="89"/>
      <c r="BG1553" s="89"/>
      <c r="BH1553" s="89"/>
      <c r="BI1553" s="89"/>
      <c r="BJ1553" s="89"/>
      <c r="BK1553" s="89"/>
      <c r="BL1553" s="89"/>
      <c r="BM1553" s="89"/>
      <c r="BN1553" s="89"/>
      <c r="BO1553" s="89"/>
      <c r="BP1553" s="89"/>
    </row>
    <row r="1554" spans="1:68" s="56" customFormat="1" ht="27" hidden="1">
      <c r="A1554" s="204" t="str">
        <f>+IFERROR(VALUE(MID(AB1554,4,4)),"")</f>
        <v/>
      </c>
      <c r="B1554" s="204">
        <f>VALUE(RIGHT(C1554,LEN(C1554)-2))</f>
        <v>1171</v>
      </c>
      <c r="C1554" s="74" t="s">
        <v>5724</v>
      </c>
      <c r="D1554" s="75">
        <v>44025</v>
      </c>
      <c r="E1554" s="70" t="s">
        <v>74</v>
      </c>
      <c r="F1554" s="70" t="s">
        <v>53</v>
      </c>
      <c r="G1554" s="68"/>
      <c r="H1554" s="59"/>
      <c r="I1554" s="69" t="s">
        <v>5725</v>
      </c>
      <c r="J1554" s="69"/>
      <c r="K1554" s="68" t="s">
        <v>13</v>
      </c>
      <c r="L1554" s="69" t="s">
        <v>123</v>
      </c>
      <c r="M1554" s="71" t="s">
        <v>141</v>
      </c>
      <c r="N1554" s="69" t="e" vm="1">
        <v>#VALUE!</v>
      </c>
      <c r="O1554" s="84"/>
      <c r="P1554" s="72" t="s">
        <v>4567</v>
      </c>
      <c r="Q1554" s="72"/>
      <c r="R1554" s="162"/>
      <c r="S1554" s="146" t="s">
        <v>5726</v>
      </c>
      <c r="T1554" s="68" t="s">
        <v>165</v>
      </c>
      <c r="U1554" s="87"/>
      <c r="V1554" s="80">
        <v>44040</v>
      </c>
      <c r="W1554" s="73">
        <v>1150</v>
      </c>
      <c r="X1554" s="73">
        <f>1310*28700/1000000</f>
        <v>37.597000000000001</v>
      </c>
      <c r="Y1554" s="83">
        <f>IF(SUM(W1554:W1554)&gt;0,X1554/SUM(W1554:W1554)*1000000,"N/A")</f>
        <v>32693.043478260872</v>
      </c>
      <c r="Z1554" s="80"/>
      <c r="AA1554" s="80"/>
      <c r="AB1554" s="73"/>
      <c r="AC1554" s="153"/>
      <c r="AD1554" s="331"/>
      <c r="AE1554" s="57"/>
      <c r="AF1554" s="88"/>
      <c r="AG1554" s="182">
        <f>YEAR(D1554)</f>
        <v>2020</v>
      </c>
      <c r="AH1554" s="86" t="str">
        <f>+IF(AE1554=$AJ$22,MONTH(T1554),"")</f>
        <v/>
      </c>
      <c r="AI1554" s="86" t="str">
        <f>+IF(AF1554=$AJ$22,MONTH(U1554),"")</f>
        <v/>
      </c>
      <c r="AJ1554" s="86" t="str">
        <f>+IF(AG1554=$AJ$22,MONTH(V1554),"")</f>
        <v/>
      </c>
      <c r="AK1554" s="86" t="str">
        <f>+IF(AG1554=$AK$22,MONTH(V1554),"")</f>
        <v/>
      </c>
      <c r="AL1554" s="86" t="str">
        <f>+IF(AG1554=$AL$22,MONTH(V1554),"")</f>
        <v/>
      </c>
      <c r="AM1554" s="86" t="str">
        <f>+IF($AG1554=$AM$22,MONTH($D1554),"")</f>
        <v/>
      </c>
      <c r="AN1554" s="89">
        <f>+IF($AG1554=AN$22,MONTH($D1554),"")</f>
        <v>7</v>
      </c>
      <c r="AO1554" s="89" t="str">
        <f>+IF($AG1554=AO$22,MONTH($D1554),"")</f>
        <v/>
      </c>
      <c r="AP1554" s="89" t="str">
        <f>+IF($AG1554=AP$22,MONTH($D1554),"")</f>
        <v/>
      </c>
      <c r="AQ1554" s="89" t="str">
        <f>+IF($AG1554=AQ$22,MONTH($D1554),"")</f>
        <v/>
      </c>
      <c r="AR1554" s="89" t="str">
        <f>+IF($AG1554=AR$22,MONTH($D1554),"")</f>
        <v/>
      </c>
      <c r="AS1554" s="89" t="str">
        <f>+IF($AG1554=AS$22,MONTH($D1554),"")</f>
        <v/>
      </c>
      <c r="AT1554" s="89" t="str">
        <f>+IF($AG1554=AT$22,MONTH($D1554),"")</f>
        <v/>
      </c>
      <c r="AU1554" s="89" t="str">
        <f>+IF($AG1554=AU$22,MONTH($D1554),"")</f>
        <v/>
      </c>
      <c r="AV1554" s="89" t="str">
        <f>+IF($AG1554=AV$22,MONTH($D1554),"")</f>
        <v/>
      </c>
      <c r="AW1554" s="86" t="str">
        <f>+IF($AG1554=AW$22,MONTH($D1554),"")</f>
        <v/>
      </c>
      <c r="AX1554" s="86" t="str">
        <f>+IF($AG1554=AX$22,MONTH($D1554),"")</f>
        <v/>
      </c>
      <c r="AY1554" s="89"/>
      <c r="AZ1554" s="89"/>
      <c r="BA1554" s="89"/>
      <c r="BB1554" s="89"/>
      <c r="BC1554" s="89"/>
      <c r="BD1554" s="89"/>
      <c r="BE1554" s="89"/>
      <c r="BF1554" s="89"/>
      <c r="BG1554" s="89"/>
      <c r="BH1554" s="89"/>
      <c r="BI1554" s="89"/>
      <c r="BJ1554" s="89"/>
      <c r="BK1554" s="89"/>
      <c r="BL1554" s="89"/>
      <c r="BM1554" s="89"/>
      <c r="BN1554" s="89"/>
      <c r="BO1554" s="89"/>
      <c r="BP1554" s="89"/>
    </row>
    <row r="1555" spans="1:68" s="56" customFormat="1" ht="13.5" hidden="1">
      <c r="A1555" s="204" t="str">
        <f>+IFERROR(VALUE(MID(AB1555,4,4)),"")</f>
        <v/>
      </c>
      <c r="B1555" s="204">
        <f>VALUE(RIGHT(C1555,LEN(C1555)-2))</f>
        <v>1170</v>
      </c>
      <c r="C1555" s="74" t="s">
        <v>5727</v>
      </c>
      <c r="D1555" s="75">
        <v>44021</v>
      </c>
      <c r="E1555" s="70" t="s">
        <v>5728</v>
      </c>
      <c r="F1555" s="70" t="s">
        <v>53</v>
      </c>
      <c r="G1555" s="68"/>
      <c r="H1555" s="59"/>
      <c r="I1555" s="69" t="s">
        <v>5704</v>
      </c>
      <c r="J1555" s="69"/>
      <c r="K1555" s="68" t="s">
        <v>45</v>
      </c>
      <c r="L1555" s="69" t="s">
        <v>123</v>
      </c>
      <c r="M1555" s="71" t="s">
        <v>141</v>
      </c>
      <c r="N1555" s="69" t="e" vm="1">
        <v>#VALUE!</v>
      </c>
      <c r="O1555" s="84">
        <v>44046</v>
      </c>
      <c r="P1555" s="72" t="s">
        <v>4567</v>
      </c>
      <c r="Q1555" s="72"/>
      <c r="R1555" s="162"/>
      <c r="S1555" s="146"/>
      <c r="T1555" s="68" t="s">
        <v>165</v>
      </c>
      <c r="U1555" s="87">
        <v>0.05</v>
      </c>
      <c r="V1555" s="80">
        <v>44060</v>
      </c>
      <c r="W1555" s="73">
        <v>16841</v>
      </c>
      <c r="X1555" s="73">
        <f>727.4</f>
        <v>727.4</v>
      </c>
      <c r="Y1555" s="83">
        <f>IF(SUM(W1555:W1555)&gt;0,X1555/SUM(W1555:W1555)*1000000,"N/A")</f>
        <v>43192.2094887477</v>
      </c>
      <c r="Z1555" s="80"/>
      <c r="AA1555" s="80"/>
      <c r="AB1555" s="73"/>
      <c r="AC1555" s="153"/>
      <c r="AD1555" s="331"/>
      <c r="AE1555" s="57"/>
      <c r="AF1555" s="88"/>
      <c r="AG1555" s="182">
        <f>YEAR(D1555)</f>
        <v>2020</v>
      </c>
      <c r="AH1555" s="86" t="str">
        <f>+IF(AE1555=$AJ$22,MONTH(T1555),"")</f>
        <v/>
      </c>
      <c r="AI1555" s="86" t="str">
        <f>+IF(AF1555=$AJ$22,MONTH(U1555),"")</f>
        <v/>
      </c>
      <c r="AJ1555" s="86" t="str">
        <f>+IF(AG1555=$AJ$22,MONTH(V1555),"")</f>
        <v/>
      </c>
      <c r="AK1555" s="86" t="str">
        <f>+IF(AG1555=$AK$22,MONTH(V1555),"")</f>
        <v/>
      </c>
      <c r="AL1555" s="86" t="str">
        <f>+IF(AG1555=$AL$22,MONTH(V1555),"")</f>
        <v/>
      </c>
      <c r="AM1555" s="86" t="str">
        <f>+IF($AG1555=$AM$22,MONTH($D1555),"")</f>
        <v/>
      </c>
      <c r="AN1555" s="89">
        <f>+IF($AG1555=AN$22,MONTH($D1555),"")</f>
        <v>7</v>
      </c>
      <c r="AO1555" s="89" t="str">
        <f>+IF($AG1555=AO$22,MONTH($D1555),"")</f>
        <v/>
      </c>
      <c r="AP1555" s="89" t="str">
        <f>+IF($AG1555=AP$22,MONTH($D1555),"")</f>
        <v/>
      </c>
      <c r="AQ1555" s="89" t="str">
        <f>+IF($AG1555=AQ$22,MONTH($D1555),"")</f>
        <v/>
      </c>
      <c r="AR1555" s="89" t="str">
        <f>+IF($AG1555=AR$22,MONTH($D1555),"")</f>
        <v/>
      </c>
      <c r="AS1555" s="89" t="str">
        <f>+IF($AG1555=AS$22,MONTH($D1555),"")</f>
        <v/>
      </c>
      <c r="AT1555" s="89" t="str">
        <f>+IF($AG1555=AT$22,MONTH($D1555),"")</f>
        <v/>
      </c>
      <c r="AU1555" s="89" t="str">
        <f>+IF($AG1555=AU$22,MONTH($D1555),"")</f>
        <v/>
      </c>
      <c r="AV1555" s="89" t="str">
        <f>+IF($AG1555=AV$22,MONTH($D1555),"")</f>
        <v/>
      </c>
      <c r="AW1555" s="86" t="str">
        <f>+IF($AG1555=AW$22,MONTH($D1555),"")</f>
        <v/>
      </c>
      <c r="AX1555" s="86" t="str">
        <f>+IF($AG1555=AX$22,MONTH($D1555),"")</f>
        <v/>
      </c>
      <c r="AY1555" s="89"/>
      <c r="AZ1555" s="89"/>
      <c r="BA1555" s="89"/>
      <c r="BB1555" s="89"/>
      <c r="BC1555" s="89"/>
      <c r="BD1555" s="89"/>
      <c r="BE1555" s="89"/>
      <c r="BF1555" s="89"/>
      <c r="BG1555" s="89"/>
      <c r="BH1555" s="89"/>
      <c r="BI1555" s="89"/>
      <c r="BJ1555" s="89"/>
      <c r="BK1555" s="89"/>
      <c r="BL1555" s="89"/>
      <c r="BM1555" s="89"/>
      <c r="BN1555" s="89"/>
      <c r="BO1555" s="89"/>
      <c r="BP1555" s="89"/>
    </row>
    <row r="1556" spans="1:68" s="56" customFormat="1" ht="13.5" hidden="1">
      <c r="A1556" s="204">
        <f>+IFERROR(VALUE(MID(AB1556,4,4)),"")</f>
        <v>233</v>
      </c>
      <c r="B1556" s="204">
        <f>VALUE(RIGHT(C1556,LEN(C1556)-2))</f>
        <v>1169</v>
      </c>
      <c r="C1556" s="74" t="s">
        <v>5729</v>
      </c>
      <c r="D1556" s="75">
        <v>44021</v>
      </c>
      <c r="E1556" s="70" t="s">
        <v>394</v>
      </c>
      <c r="F1556" s="70" t="s">
        <v>2269</v>
      </c>
      <c r="G1556" s="68" t="s">
        <v>5401</v>
      </c>
      <c r="H1556" s="59"/>
      <c r="I1556" s="69" t="s">
        <v>5730</v>
      </c>
      <c r="J1556" s="69"/>
      <c r="K1556" s="68" t="s">
        <v>13</v>
      </c>
      <c r="L1556" s="69" t="s">
        <v>120</v>
      </c>
      <c r="M1556" s="71" t="s">
        <v>141</v>
      </c>
      <c r="N1556" s="69" t="e" vm="1">
        <v>#VALUE!</v>
      </c>
      <c r="O1556" s="84">
        <v>44063</v>
      </c>
      <c r="P1556" s="72" t="s">
        <v>666</v>
      </c>
      <c r="Q1556" s="72" t="s">
        <v>259</v>
      </c>
      <c r="R1556" s="162"/>
      <c r="S1556" s="146"/>
      <c r="T1556" s="68" t="s">
        <v>3</v>
      </c>
      <c r="U1556" s="87"/>
      <c r="V1556" s="80">
        <v>44025</v>
      </c>
      <c r="W1556" s="73">
        <v>625</v>
      </c>
      <c r="X1556" s="73">
        <v>19.741</v>
      </c>
      <c r="Y1556" s="83">
        <f>IF(SUM(W1556:W1556)&gt;0,X1556/SUM(W1556:W1556)*1000000,"N/A")</f>
        <v>31585.599999999999</v>
      </c>
      <c r="Z1556" s="80"/>
      <c r="AA1556" s="80"/>
      <c r="AB1556" s="73" t="s">
        <v>5731</v>
      </c>
      <c r="AC1556" s="153"/>
      <c r="AD1556" s="331"/>
      <c r="AE1556" s="57"/>
      <c r="AF1556" s="88"/>
      <c r="AG1556" s="182">
        <f>YEAR(D1556)</f>
        <v>2020</v>
      </c>
      <c r="AH1556" s="86" t="str">
        <f>+IF(AE1556=$AJ$22,MONTH(T1556),"")</f>
        <v/>
      </c>
      <c r="AI1556" s="86" t="str">
        <f>+IF(AF1556=$AJ$22,MONTH(U1556),"")</f>
        <v/>
      </c>
      <c r="AJ1556" s="86" t="str">
        <f>+IF(AG1556=$AJ$22,MONTH(V1556),"")</f>
        <v/>
      </c>
      <c r="AK1556" s="86" t="str">
        <f>+IF(AG1556=$AK$22,MONTH(V1556),"")</f>
        <v/>
      </c>
      <c r="AL1556" s="86" t="str">
        <f>+IF(AG1556=$AL$22,MONTH(V1556),"")</f>
        <v/>
      </c>
      <c r="AM1556" s="86" t="str">
        <f>+IF($AG1556=$AM$22,MONTH($D1556),"")</f>
        <v/>
      </c>
      <c r="AN1556" s="89">
        <f>+IF($AG1556=AN$22,MONTH($D1556),"")</f>
        <v>7</v>
      </c>
      <c r="AO1556" s="89" t="str">
        <f>+IF($AG1556=AO$22,MONTH($D1556),"")</f>
        <v/>
      </c>
      <c r="AP1556" s="89" t="str">
        <f>+IF($AG1556=AP$22,MONTH($D1556),"")</f>
        <v/>
      </c>
      <c r="AQ1556" s="89" t="str">
        <f>+IF($AG1556=AQ$22,MONTH($D1556),"")</f>
        <v/>
      </c>
      <c r="AR1556" s="89" t="str">
        <f>+IF($AG1556=AR$22,MONTH($D1556),"")</f>
        <v/>
      </c>
      <c r="AS1556" s="89" t="str">
        <f>+IF($AG1556=AS$22,MONTH($D1556),"")</f>
        <v/>
      </c>
      <c r="AT1556" s="89" t="str">
        <f>+IF($AG1556=AT$22,MONTH($D1556),"")</f>
        <v/>
      </c>
      <c r="AU1556" s="89" t="str">
        <f>+IF($AG1556=AU$22,MONTH($D1556),"")</f>
        <v/>
      </c>
      <c r="AV1556" s="89" t="str">
        <f>+IF($AG1556=AV$22,MONTH($D1556),"")</f>
        <v/>
      </c>
      <c r="AW1556" s="86" t="str">
        <f>+IF($AG1556=AW$22,MONTH($D1556),"")</f>
        <v/>
      </c>
      <c r="AX1556" s="86" t="str">
        <f>+IF($AG1556=AX$22,MONTH($D1556),"")</f>
        <v/>
      </c>
      <c r="AY1556" s="89"/>
      <c r="AZ1556" s="89"/>
      <c r="BA1556" s="89"/>
      <c r="BB1556" s="89"/>
      <c r="BC1556" s="89"/>
      <c r="BD1556" s="89"/>
      <c r="BE1556" s="89"/>
      <c r="BF1556" s="89"/>
      <c r="BG1556" s="89"/>
      <c r="BH1556" s="89"/>
      <c r="BI1556" s="89"/>
      <c r="BJ1556" s="89"/>
      <c r="BK1556" s="89"/>
      <c r="BL1556" s="89"/>
      <c r="BM1556" s="89"/>
      <c r="BN1556" s="89"/>
      <c r="BO1556" s="89"/>
      <c r="BP1556" s="89"/>
    </row>
    <row r="1557" spans="1:68" s="56" customFormat="1" ht="40.5" hidden="1">
      <c r="A1557" s="204" t="str">
        <f>+IFERROR(VALUE(MID(AB1557,4,4)),"")</f>
        <v/>
      </c>
      <c r="B1557" s="204">
        <f>VALUE(RIGHT(C1557,LEN(C1557)-2))</f>
        <v>1168</v>
      </c>
      <c r="C1557" s="74" t="s">
        <v>5732</v>
      </c>
      <c r="D1557" s="75">
        <v>44013</v>
      </c>
      <c r="E1557" s="70" t="s">
        <v>53</v>
      </c>
      <c r="F1557" s="70" t="s">
        <v>53</v>
      </c>
      <c r="G1557" s="68"/>
      <c r="H1557" s="59"/>
      <c r="I1557" s="69" t="s">
        <v>5733</v>
      </c>
      <c r="J1557" s="69"/>
      <c r="K1557" s="68"/>
      <c r="L1557" s="69" t="s">
        <v>123</v>
      </c>
      <c r="M1557" s="71" t="s">
        <v>141</v>
      </c>
      <c r="N1557" s="69" t="e" vm="1">
        <v>#VALUE!</v>
      </c>
      <c r="O1557" s="84"/>
      <c r="P1557" s="72" t="s">
        <v>666</v>
      </c>
      <c r="Q1557" s="72"/>
      <c r="R1557" s="162"/>
      <c r="S1557" s="146" t="s">
        <v>5734</v>
      </c>
      <c r="T1557" s="68" t="s">
        <v>165</v>
      </c>
      <c r="U1557" s="87"/>
      <c r="V1557" s="80">
        <v>44144</v>
      </c>
      <c r="W1557" s="73">
        <f>168*2*24+168*2*8</f>
        <v>10752</v>
      </c>
      <c r="X1557" s="73">
        <v>761.66053199999999</v>
      </c>
      <c r="Y1557" s="83">
        <f>IF(SUM(W1557:W1557)&gt;0,X1557/SUM(W1557:W1557)*1000000,"N/A")</f>
        <v>70838.963169642855</v>
      </c>
      <c r="Z1557" s="80"/>
      <c r="AA1557" s="80"/>
      <c r="AB1557" s="73"/>
      <c r="AC1557" s="153"/>
      <c r="AD1557" s="331"/>
      <c r="AE1557" s="57"/>
      <c r="AF1557" s="88"/>
      <c r="AG1557" s="182">
        <f>YEAR(D1557)</f>
        <v>2020</v>
      </c>
      <c r="AH1557" s="86" t="str">
        <f>+IF(AE1557=$AJ$22,MONTH(T1557),"")</f>
        <v/>
      </c>
      <c r="AI1557" s="86" t="str">
        <f>+IF(AF1557=$AJ$22,MONTH(U1557),"")</f>
        <v/>
      </c>
      <c r="AJ1557" s="86" t="str">
        <f>+IF(AG1557=$AJ$22,MONTH(V1557),"")</f>
        <v/>
      </c>
      <c r="AK1557" s="86" t="str">
        <f>+IF(AG1557=$AK$22,MONTH(V1557),"")</f>
        <v/>
      </c>
      <c r="AL1557" s="86" t="str">
        <f>+IF(AG1557=$AL$22,MONTH(V1557),"")</f>
        <v/>
      </c>
      <c r="AM1557" s="86" t="str">
        <f>+IF($AG1557=$AM$22,MONTH($D1557),"")</f>
        <v/>
      </c>
      <c r="AN1557" s="89">
        <f>+IF($AG1557=AN$22,MONTH($D1557),"")</f>
        <v>7</v>
      </c>
      <c r="AO1557" s="89" t="str">
        <f>+IF($AG1557=AO$22,MONTH($D1557),"")</f>
        <v/>
      </c>
      <c r="AP1557" s="89" t="str">
        <f>+IF($AG1557=AP$22,MONTH($D1557),"")</f>
        <v/>
      </c>
      <c r="AQ1557" s="89" t="str">
        <f>+IF($AG1557=AQ$22,MONTH($D1557),"")</f>
        <v/>
      </c>
      <c r="AR1557" s="89" t="str">
        <f>+IF($AG1557=AR$22,MONTH($D1557),"")</f>
        <v/>
      </c>
      <c r="AS1557" s="89" t="str">
        <f>+IF($AG1557=AS$22,MONTH($D1557),"")</f>
        <v/>
      </c>
      <c r="AT1557" s="89" t="str">
        <f>+IF($AG1557=AT$22,MONTH($D1557),"")</f>
        <v/>
      </c>
      <c r="AU1557" s="89" t="str">
        <f>+IF($AG1557=AU$22,MONTH($D1557),"")</f>
        <v/>
      </c>
      <c r="AV1557" s="89" t="str">
        <f>+IF($AG1557=AV$22,MONTH($D1557),"")</f>
        <v/>
      </c>
      <c r="AW1557" s="86" t="str">
        <f>+IF($AG1557=AW$22,MONTH($D1557),"")</f>
        <v/>
      </c>
      <c r="AX1557" s="86" t="str">
        <f>+IF($AG1557=AX$22,MONTH($D1557),"")</f>
        <v/>
      </c>
      <c r="AY1557" s="89"/>
      <c r="AZ1557" s="89"/>
      <c r="BA1557" s="89"/>
      <c r="BB1557" s="89"/>
      <c r="BC1557" s="89"/>
      <c r="BD1557" s="89"/>
      <c r="BE1557" s="89"/>
      <c r="BF1557" s="89"/>
      <c r="BG1557" s="89"/>
      <c r="BH1557" s="89"/>
      <c r="BI1557" s="89"/>
      <c r="BJ1557" s="89"/>
      <c r="BK1557" s="89"/>
      <c r="BL1557" s="89"/>
      <c r="BM1557" s="89"/>
      <c r="BN1557" s="89"/>
      <c r="BO1557" s="89"/>
      <c r="BP1557" s="89"/>
    </row>
    <row r="1558" spans="1:68" s="56" customFormat="1" ht="24" hidden="1" customHeight="1">
      <c r="A1558" s="204" t="str">
        <f>+IFERROR(VALUE(MID(AB1558,4,4)),"")</f>
        <v/>
      </c>
      <c r="B1558" s="204">
        <f>VALUE(RIGHT(C1558,LEN(C1558)-2))</f>
        <v>1167</v>
      </c>
      <c r="C1558" s="74" t="s">
        <v>5735</v>
      </c>
      <c r="D1558" s="75">
        <v>44013</v>
      </c>
      <c r="E1558" s="70" t="s">
        <v>99</v>
      </c>
      <c r="F1558" s="70" t="s">
        <v>2639</v>
      </c>
      <c r="G1558" s="68"/>
      <c r="H1558" s="59"/>
      <c r="I1558" s="69" t="s">
        <v>5736</v>
      </c>
      <c r="J1558" s="69"/>
      <c r="K1558" s="68" t="s">
        <v>12</v>
      </c>
      <c r="L1558" s="69" t="s">
        <v>120</v>
      </c>
      <c r="M1558" s="71" t="s">
        <v>141</v>
      </c>
      <c r="N1558" s="69" t="e" vm="1">
        <v>#VALUE!</v>
      </c>
      <c r="O1558" s="84"/>
      <c r="P1558" s="72" t="s">
        <v>4567</v>
      </c>
      <c r="Q1558" s="72"/>
      <c r="R1558" s="162"/>
      <c r="S1558" s="146" t="s">
        <v>5737</v>
      </c>
      <c r="T1558" s="68" t="s">
        <v>165</v>
      </c>
      <c r="U1558" s="87"/>
      <c r="V1558" s="80">
        <v>44040</v>
      </c>
      <c r="W1558" s="73">
        <v>1509</v>
      </c>
      <c r="X1558" s="73">
        <f>3000*28700/1000000</f>
        <v>86.1</v>
      </c>
      <c r="Y1558" s="83">
        <f>IF(SUM(W1558:W1558)&gt;0,X1558/SUM(W1558:W1558)*1000000,"N/A")</f>
        <v>57057.654075546714</v>
      </c>
      <c r="Z1558" s="80"/>
      <c r="AA1558" s="80"/>
      <c r="AB1558" s="73"/>
      <c r="AC1558" s="153"/>
      <c r="AD1558" s="331"/>
      <c r="AE1558" s="57"/>
      <c r="AF1558" s="88"/>
      <c r="AG1558" s="182">
        <f>YEAR(D1558)</f>
        <v>2020</v>
      </c>
      <c r="AH1558" s="86" t="str">
        <f>+IF(AE1558=$AJ$22,MONTH(T1558),"")</f>
        <v/>
      </c>
      <c r="AI1558" s="86" t="str">
        <f>+IF(AF1558=$AJ$22,MONTH(U1558),"")</f>
        <v/>
      </c>
      <c r="AJ1558" s="86" t="str">
        <f>+IF(AG1558=$AJ$22,MONTH(V1558),"")</f>
        <v/>
      </c>
      <c r="AK1558" s="86" t="str">
        <f>+IF(AG1558=$AK$22,MONTH(V1558),"")</f>
        <v/>
      </c>
      <c r="AL1558" s="86" t="str">
        <f>+IF(AG1558=$AL$22,MONTH(V1558),"")</f>
        <v/>
      </c>
      <c r="AM1558" s="86" t="str">
        <f>+IF($AG1558=$AM$22,MONTH($D1558),"")</f>
        <v/>
      </c>
      <c r="AN1558" s="89">
        <f>+IF($AG1558=AN$22,MONTH($D1558),"")</f>
        <v>7</v>
      </c>
      <c r="AO1558" s="89" t="str">
        <f>+IF($AG1558=AO$22,MONTH($D1558),"")</f>
        <v/>
      </c>
      <c r="AP1558" s="89" t="str">
        <f>+IF($AG1558=AP$22,MONTH($D1558),"")</f>
        <v/>
      </c>
      <c r="AQ1558" s="89" t="str">
        <f>+IF($AG1558=AQ$22,MONTH($D1558),"")</f>
        <v/>
      </c>
      <c r="AR1558" s="89" t="str">
        <f>+IF($AG1558=AR$22,MONTH($D1558),"")</f>
        <v/>
      </c>
      <c r="AS1558" s="89" t="str">
        <f>+IF($AG1558=AS$22,MONTH($D1558),"")</f>
        <v/>
      </c>
      <c r="AT1558" s="89" t="str">
        <f>+IF($AG1558=AT$22,MONTH($D1558),"")</f>
        <v/>
      </c>
      <c r="AU1558" s="89" t="str">
        <f>+IF($AG1558=AU$22,MONTH($D1558),"")</f>
        <v/>
      </c>
      <c r="AV1558" s="89" t="str">
        <f>+IF($AG1558=AV$22,MONTH($D1558),"")</f>
        <v/>
      </c>
      <c r="AW1558" s="86"/>
      <c r="AX1558" s="86"/>
      <c r="AY1558" s="89"/>
      <c r="AZ1558" s="89"/>
      <c r="BA1558" s="89"/>
      <c r="BB1558" s="89"/>
      <c r="BC1558" s="89"/>
      <c r="BD1558" s="89"/>
      <c r="BE1558" s="89"/>
      <c r="BF1558" s="89"/>
      <c r="BG1558" s="89"/>
      <c r="BH1558" s="89"/>
      <c r="BI1558" s="89"/>
      <c r="BJ1558" s="89"/>
      <c r="BK1558" s="89"/>
      <c r="BL1558" s="89"/>
      <c r="BM1558" s="89"/>
      <c r="BN1558" s="89"/>
      <c r="BO1558" s="89"/>
      <c r="BP1558" s="89"/>
    </row>
    <row r="1559" spans="1:68" s="56" customFormat="1" ht="13.5" hidden="1">
      <c r="A1559" s="204">
        <f>+IFERROR(VALUE(MID(AB1559,4,4)),"")</f>
        <v>248</v>
      </c>
      <c r="B1559" s="204">
        <f>VALUE(RIGHT(C1559,LEN(C1559)-2))</f>
        <v>1166</v>
      </c>
      <c r="C1559" s="74" t="s">
        <v>5738</v>
      </c>
      <c r="D1559" s="75">
        <v>44013</v>
      </c>
      <c r="E1559" s="70" t="s">
        <v>41</v>
      </c>
      <c r="F1559" s="70" t="s">
        <v>41</v>
      </c>
      <c r="G1559" s="68"/>
      <c r="H1559" s="59"/>
      <c r="I1559" s="69" t="s">
        <v>5739</v>
      </c>
      <c r="J1559" s="69"/>
      <c r="K1559" s="68" t="s">
        <v>12</v>
      </c>
      <c r="L1559" s="69" t="s">
        <v>120</v>
      </c>
      <c r="M1559" s="71" t="s">
        <v>141</v>
      </c>
      <c r="N1559" s="69" t="e" vm="1">
        <v>#VALUE!</v>
      </c>
      <c r="O1559" s="84"/>
      <c r="P1559" s="72" t="s">
        <v>666</v>
      </c>
      <c r="Q1559" s="72" t="s">
        <v>1097</v>
      </c>
      <c r="R1559" s="162"/>
      <c r="S1559" s="146" t="s">
        <v>5740</v>
      </c>
      <c r="T1559" s="68" t="s">
        <v>3</v>
      </c>
      <c r="U1559" s="87"/>
      <c r="V1559" s="80">
        <v>44040</v>
      </c>
      <c r="W1559" s="73">
        <v>385</v>
      </c>
      <c r="X1559" s="73">
        <f>455*28700/1000000</f>
        <v>13.0585</v>
      </c>
      <c r="Y1559" s="83">
        <f>IF(SUM(W1559:W1559)&gt;0,X1559/SUM(W1559:W1559)*1000000,"N/A")</f>
        <v>33918.181818181816</v>
      </c>
      <c r="Z1559" s="80"/>
      <c r="AA1559" s="80"/>
      <c r="AB1559" s="73" t="s">
        <v>5741</v>
      </c>
      <c r="AC1559" s="153"/>
      <c r="AD1559" s="331"/>
      <c r="AE1559" s="57"/>
      <c r="AF1559" s="88"/>
      <c r="AG1559" s="182">
        <f>YEAR(D1559)</f>
        <v>2020</v>
      </c>
      <c r="AH1559" s="86" t="str">
        <f>+IF(AE1559=$AJ$22,MONTH(T1559),"")</f>
        <v/>
      </c>
      <c r="AI1559" s="86" t="str">
        <f>+IF(AF1559=$AJ$22,MONTH(U1559),"")</f>
        <v/>
      </c>
      <c r="AJ1559" s="86" t="str">
        <f>+IF(AG1559=$AJ$22,MONTH(V1559),"")</f>
        <v/>
      </c>
      <c r="AK1559" s="86" t="str">
        <f>+IF(AG1559=$AK$22,MONTH(V1559),"")</f>
        <v/>
      </c>
      <c r="AL1559" s="86" t="str">
        <f>+IF(AG1559=$AL$22,MONTH(V1559),"")</f>
        <v/>
      </c>
      <c r="AM1559" s="86" t="str">
        <f>+IF($AG1559=$AM$22,MONTH($D1559),"")</f>
        <v/>
      </c>
      <c r="AN1559" s="89">
        <f>+IF($AG1559=AN$22,MONTH($D1559),"")</f>
        <v>7</v>
      </c>
      <c r="AO1559" s="89" t="str">
        <f>+IF($AG1559=AO$22,MONTH($D1559),"")</f>
        <v/>
      </c>
      <c r="AP1559" s="89" t="str">
        <f>+IF($AG1559=AP$22,MONTH($D1559),"")</f>
        <v/>
      </c>
      <c r="AQ1559" s="89" t="str">
        <f>+IF($AG1559=AQ$22,MONTH($D1559),"")</f>
        <v/>
      </c>
      <c r="AR1559" s="89" t="str">
        <f>+IF($AG1559=AR$22,MONTH($D1559),"")</f>
        <v/>
      </c>
      <c r="AS1559" s="89" t="str">
        <f>+IF($AG1559=AS$22,MONTH($D1559),"")</f>
        <v/>
      </c>
      <c r="AT1559" s="89" t="str">
        <f>+IF($AG1559=AT$22,MONTH($D1559),"")</f>
        <v/>
      </c>
      <c r="AU1559" s="89" t="str">
        <f>+IF($AG1559=AU$22,MONTH($D1559),"")</f>
        <v/>
      </c>
      <c r="AV1559" s="89" t="str">
        <f>+IF($AG1559=AV$22,MONTH($D1559),"")</f>
        <v/>
      </c>
      <c r="AW1559" s="86" t="str">
        <f>+IF($AG1559=AW$22,MONTH($D1559),"")</f>
        <v/>
      </c>
      <c r="AX1559" s="86" t="str">
        <f>+IF($AG1559=AX$22,MONTH($D1559),"")</f>
        <v/>
      </c>
      <c r="AY1559" s="89"/>
      <c r="AZ1559" s="89"/>
      <c r="BA1559" s="89"/>
      <c r="BB1559" s="89"/>
      <c r="BC1559" s="89"/>
      <c r="BD1559" s="89"/>
      <c r="BE1559" s="89"/>
      <c r="BF1559" s="89"/>
      <c r="BG1559" s="89"/>
      <c r="BH1559" s="89"/>
      <c r="BI1559" s="89"/>
      <c r="BJ1559" s="89"/>
      <c r="BK1559" s="89"/>
      <c r="BL1559" s="89"/>
      <c r="BM1559" s="89"/>
      <c r="BN1559" s="89"/>
      <c r="BO1559" s="89"/>
      <c r="BP1559" s="89"/>
    </row>
    <row r="1560" spans="1:68" s="56" customFormat="1" ht="40.5" hidden="1">
      <c r="A1560" s="204" t="str">
        <f>+IFERROR(VALUE(MID(AB1560,4,4)),"")</f>
        <v/>
      </c>
      <c r="B1560" s="204">
        <f>VALUE(RIGHT(C1560,LEN(C1560)-2))</f>
        <v>1165</v>
      </c>
      <c r="C1560" s="74" t="s">
        <v>5742</v>
      </c>
      <c r="D1560" s="75">
        <v>44013</v>
      </c>
      <c r="E1560" s="70" t="s">
        <v>53</v>
      </c>
      <c r="F1560" s="70" t="s">
        <v>313</v>
      </c>
      <c r="G1560" s="68"/>
      <c r="H1560" s="59"/>
      <c r="I1560" s="69" t="s">
        <v>5743</v>
      </c>
      <c r="J1560" s="69"/>
      <c r="K1560" s="68"/>
      <c r="L1560" s="69" t="s">
        <v>123</v>
      </c>
      <c r="M1560" s="71" t="s">
        <v>141</v>
      </c>
      <c r="N1560" s="69" t="e" vm="1">
        <v>#VALUE!</v>
      </c>
      <c r="O1560" s="84"/>
      <c r="P1560" s="72" t="s">
        <v>666</v>
      </c>
      <c r="Q1560" s="72"/>
      <c r="R1560" s="162"/>
      <c r="S1560" s="146" t="s">
        <v>5550</v>
      </c>
      <c r="T1560" s="68" t="s">
        <v>165</v>
      </c>
      <c r="U1560" s="87"/>
      <c r="V1560" s="80">
        <v>44039</v>
      </c>
      <c r="W1560" s="73">
        <v>1</v>
      </c>
      <c r="X1560" s="73"/>
      <c r="Y1560" s="83">
        <f>IF(SUM(W1560:W1560)&gt;0,X1560/SUM(W1560:W1560)*1000000,"N/A")</f>
        <v>0</v>
      </c>
      <c r="Z1560" s="80"/>
      <c r="AA1560" s="80"/>
      <c r="AB1560" s="73"/>
      <c r="AC1560" s="153"/>
      <c r="AD1560" s="331"/>
      <c r="AE1560" s="57"/>
      <c r="AF1560" s="88"/>
      <c r="AG1560" s="182">
        <f>YEAR(D1560)</f>
        <v>2020</v>
      </c>
      <c r="AH1560" s="86" t="str">
        <f>+IF(AE1560=$AJ$22,MONTH(T1560),"")</f>
        <v/>
      </c>
      <c r="AI1560" s="86" t="str">
        <f>+IF(AF1560=$AJ$22,MONTH(U1560),"")</f>
        <v/>
      </c>
      <c r="AJ1560" s="86" t="str">
        <f>+IF(AG1560=$AJ$22,MONTH(V1560),"")</f>
        <v/>
      </c>
      <c r="AK1560" s="86" t="str">
        <f>+IF(AG1560=$AK$22,MONTH(V1560),"")</f>
        <v/>
      </c>
      <c r="AL1560" s="86" t="str">
        <f>+IF(AG1560=$AL$22,MONTH(V1560),"")</f>
        <v/>
      </c>
      <c r="AM1560" s="86" t="str">
        <f>+IF($AG1560=$AM$22,MONTH($D1560),"")</f>
        <v/>
      </c>
      <c r="AN1560" s="89">
        <f>+IF($AG1560=AN$22,MONTH($D1560),"")</f>
        <v>7</v>
      </c>
      <c r="AO1560" s="89" t="str">
        <f>+IF($AG1560=AO$22,MONTH($D1560),"")</f>
        <v/>
      </c>
      <c r="AP1560" s="89" t="str">
        <f>+IF($AG1560=AP$22,MONTH($D1560),"")</f>
        <v/>
      </c>
      <c r="AQ1560" s="89" t="str">
        <f>+IF($AG1560=AQ$22,MONTH($D1560),"")</f>
        <v/>
      </c>
      <c r="AR1560" s="89" t="str">
        <f>+IF($AG1560=AR$22,MONTH($D1560),"")</f>
        <v/>
      </c>
      <c r="AS1560" s="89" t="str">
        <f>+IF($AG1560=AS$22,MONTH($D1560),"")</f>
        <v/>
      </c>
      <c r="AT1560" s="89" t="str">
        <f>+IF($AG1560=AT$22,MONTH($D1560),"")</f>
        <v/>
      </c>
      <c r="AU1560" s="89" t="str">
        <f>+IF($AG1560=AU$22,MONTH($D1560),"")</f>
        <v/>
      </c>
      <c r="AV1560" s="89" t="str">
        <f>+IF($AG1560=AV$22,MONTH($D1560),"")</f>
        <v/>
      </c>
      <c r="AW1560" s="86" t="str">
        <f>+IF($AG1560=AW$22,MONTH($D1560),"")</f>
        <v/>
      </c>
      <c r="AX1560" s="86" t="str">
        <f>+IF($AG1560=AX$22,MONTH($D1560),"")</f>
        <v/>
      </c>
      <c r="AY1560" s="89"/>
      <c r="AZ1560" s="89"/>
      <c r="BA1560" s="89"/>
      <c r="BB1560" s="89"/>
      <c r="BC1560" s="89"/>
      <c r="BD1560" s="89"/>
      <c r="BE1560" s="89"/>
      <c r="BF1560" s="89"/>
      <c r="BG1560" s="89"/>
      <c r="BH1560" s="89"/>
      <c r="BI1560" s="89"/>
      <c r="BJ1560" s="89"/>
      <c r="BK1560" s="89"/>
      <c r="BL1560" s="89"/>
      <c r="BM1560" s="89"/>
      <c r="BN1560" s="89"/>
      <c r="BO1560" s="89"/>
      <c r="BP1560" s="89"/>
    </row>
    <row r="1561" spans="1:68" s="56" customFormat="1" ht="27" hidden="1">
      <c r="A1561" s="204" t="str">
        <f>+IFERROR(VALUE(MID(AB1561,4,4)),"")</f>
        <v/>
      </c>
      <c r="B1561" s="204">
        <f>VALUE(RIGHT(C1561,LEN(C1561)-2))</f>
        <v>1164</v>
      </c>
      <c r="C1561" s="74" t="s">
        <v>5744</v>
      </c>
      <c r="D1561" s="75">
        <v>44013</v>
      </c>
      <c r="E1561" s="70" t="s">
        <v>5243</v>
      </c>
      <c r="F1561" s="70" t="s">
        <v>5243</v>
      </c>
      <c r="G1561" s="68"/>
      <c r="H1561" s="59"/>
      <c r="I1561" s="69" t="s">
        <v>5745</v>
      </c>
      <c r="J1561" s="69"/>
      <c r="K1561" s="68" t="s">
        <v>12</v>
      </c>
      <c r="L1561" s="69"/>
      <c r="M1561" s="71" t="s">
        <v>141</v>
      </c>
      <c r="N1561" s="69" t="e" vm="1">
        <v>#VALUE!</v>
      </c>
      <c r="O1561" s="84">
        <v>44042</v>
      </c>
      <c r="P1561" s="72" t="s">
        <v>274</v>
      </c>
      <c r="Q1561" s="72"/>
      <c r="R1561" s="162"/>
      <c r="S1561" s="146" t="s">
        <v>5746</v>
      </c>
      <c r="T1561" s="68" t="s">
        <v>165</v>
      </c>
      <c r="U1561" s="87">
        <v>0.01</v>
      </c>
      <c r="V1561" s="80">
        <v>44046</v>
      </c>
      <c r="W1561" s="73">
        <v>110</v>
      </c>
      <c r="X1561" s="73">
        <f>124*28700/1000000</f>
        <v>3.5588000000000002</v>
      </c>
      <c r="Y1561" s="83">
        <f>IF(SUM(W1561:W1561)&gt;0,X1561/SUM(W1561:W1561)*1000000,"N/A")</f>
        <v>32352.727272727276</v>
      </c>
      <c r="Z1561" s="80"/>
      <c r="AA1561" s="80"/>
      <c r="AB1561" s="73"/>
      <c r="AC1561" s="153"/>
      <c r="AD1561" s="331"/>
      <c r="AE1561" s="57"/>
      <c r="AF1561" s="88"/>
      <c r="AG1561" s="182">
        <f>YEAR(D1561)</f>
        <v>2020</v>
      </c>
      <c r="AH1561" s="86" t="str">
        <f>+IF(AE1561=$AJ$22,MONTH(T1561),"")</f>
        <v/>
      </c>
      <c r="AI1561" s="86" t="str">
        <f>+IF(AF1561=$AJ$22,MONTH(U1561),"")</f>
        <v/>
      </c>
      <c r="AJ1561" s="86" t="str">
        <f>+IF(AG1561=$AJ$22,MONTH(V1561),"")</f>
        <v/>
      </c>
      <c r="AK1561" s="86" t="str">
        <f>+IF(AG1561=$AK$22,MONTH(V1561),"")</f>
        <v/>
      </c>
      <c r="AL1561" s="86" t="str">
        <f>+IF(AG1561=$AL$22,MONTH(V1561),"")</f>
        <v/>
      </c>
      <c r="AM1561" s="86" t="str">
        <f>+IF($AG1561=$AM$22,MONTH($D1561),"")</f>
        <v/>
      </c>
      <c r="AN1561" s="89">
        <f>+IF($AG1561=AN$22,MONTH($D1561),"")</f>
        <v>7</v>
      </c>
      <c r="AO1561" s="89" t="str">
        <f>+IF($AG1561=AO$22,MONTH($D1561),"")</f>
        <v/>
      </c>
      <c r="AP1561" s="89" t="str">
        <f>+IF($AG1561=AP$22,MONTH($D1561),"")</f>
        <v/>
      </c>
      <c r="AQ1561" s="89" t="str">
        <f>+IF($AG1561=AQ$22,MONTH($D1561),"")</f>
        <v/>
      </c>
      <c r="AR1561" s="89" t="str">
        <f>+IF($AG1561=AR$22,MONTH($D1561),"")</f>
        <v/>
      </c>
      <c r="AS1561" s="89" t="str">
        <f>+IF($AG1561=AS$22,MONTH($D1561),"")</f>
        <v/>
      </c>
      <c r="AT1561" s="89" t="str">
        <f>+IF($AG1561=AT$22,MONTH($D1561),"")</f>
        <v/>
      </c>
      <c r="AU1561" s="89" t="str">
        <f>+IF($AG1561=AU$22,MONTH($D1561),"")</f>
        <v/>
      </c>
      <c r="AV1561" s="89" t="str">
        <f>+IF($AG1561=AV$22,MONTH($D1561),"")</f>
        <v/>
      </c>
      <c r="AW1561" s="86" t="str">
        <f>+IF($AG1561=AW$22,MONTH($D1561),"")</f>
        <v/>
      </c>
      <c r="AX1561" s="86" t="str">
        <f>+IF($AG1561=AX$22,MONTH($D1561),"")</f>
        <v/>
      </c>
      <c r="AY1561" s="89"/>
      <c r="AZ1561" s="89"/>
      <c r="BA1561" s="89"/>
      <c r="BB1561" s="89"/>
      <c r="BC1561" s="89"/>
      <c r="BD1561" s="89"/>
      <c r="BE1561" s="89"/>
      <c r="BF1561" s="89"/>
      <c r="BG1561" s="89"/>
      <c r="BH1561" s="89"/>
      <c r="BI1561" s="89"/>
      <c r="BJ1561" s="89"/>
      <c r="BK1561" s="89"/>
      <c r="BL1561" s="89"/>
      <c r="BM1561" s="89"/>
      <c r="BN1561" s="89"/>
      <c r="BO1561" s="89"/>
      <c r="BP1561" s="89"/>
    </row>
    <row r="1562" spans="1:68" s="56" customFormat="1" ht="27" hidden="1">
      <c r="A1562" s="204">
        <f>+IFERROR(VALUE(MID(AB1562,4,4)),"")</f>
        <v>249</v>
      </c>
      <c r="B1562" s="204">
        <f>VALUE(RIGHT(C1562,LEN(C1562)-2))</f>
        <v>1163</v>
      </c>
      <c r="C1562" s="74" t="s">
        <v>5747</v>
      </c>
      <c r="D1562" s="75">
        <v>44014</v>
      </c>
      <c r="E1562" s="70" t="s">
        <v>262</v>
      </c>
      <c r="F1562" s="70" t="s">
        <v>270</v>
      </c>
      <c r="G1562" s="68"/>
      <c r="H1562" s="59"/>
      <c r="I1562" s="69" t="s">
        <v>5748</v>
      </c>
      <c r="J1562" s="69"/>
      <c r="K1562" s="68" t="s">
        <v>31</v>
      </c>
      <c r="L1562" s="69" t="s">
        <v>123</v>
      </c>
      <c r="M1562" s="71" t="s">
        <v>141</v>
      </c>
      <c r="N1562" s="69" t="e" vm="1">
        <v>#VALUE!</v>
      </c>
      <c r="O1562" s="84"/>
      <c r="P1562" s="72" t="s">
        <v>402</v>
      </c>
      <c r="Q1562" s="72" t="s">
        <v>1097</v>
      </c>
      <c r="R1562" s="162"/>
      <c r="S1562" s="146" t="s">
        <v>5749</v>
      </c>
      <c r="T1562" s="68" t="s">
        <v>3</v>
      </c>
      <c r="U1562" s="87"/>
      <c r="V1562" s="80">
        <v>44046</v>
      </c>
      <c r="W1562" s="73">
        <v>1272</v>
      </c>
      <c r="X1562" s="73">
        <v>60.262999999999998</v>
      </c>
      <c r="Y1562" s="83">
        <f>IF(SUM(W1562:W1562)&gt;0,X1562/SUM(W1562:W1562)*1000000,"N/A")</f>
        <v>47376.572327044021</v>
      </c>
      <c r="Z1562" s="80"/>
      <c r="AA1562" s="80"/>
      <c r="AB1562" s="73" t="s">
        <v>3988</v>
      </c>
      <c r="AC1562" s="153"/>
      <c r="AD1562" s="331"/>
      <c r="AE1562" s="57"/>
      <c r="AF1562" s="88"/>
      <c r="AG1562" s="182">
        <f>YEAR(D1562)</f>
        <v>2020</v>
      </c>
      <c r="AH1562" s="86" t="str">
        <f>+IF(AE1562=$AJ$22,MONTH(T1562),"")</f>
        <v/>
      </c>
      <c r="AI1562" s="86" t="str">
        <f>+IF(AF1562=$AJ$22,MONTH(U1562),"")</f>
        <v/>
      </c>
      <c r="AJ1562" s="86" t="str">
        <f>+IF(AG1562=$AJ$22,MONTH(V1562),"")</f>
        <v/>
      </c>
      <c r="AK1562" s="86" t="str">
        <f>+IF(AG1562=$AK$22,MONTH(V1562),"")</f>
        <v/>
      </c>
      <c r="AL1562" s="86" t="str">
        <f>+IF(AG1562=$AL$22,MONTH(V1562),"")</f>
        <v/>
      </c>
      <c r="AM1562" s="86" t="str">
        <f>+IF($AG1562=$AM$22,MONTH($D1562),"")</f>
        <v/>
      </c>
      <c r="AN1562" s="89">
        <f>+IF($AG1562=AN$22,MONTH($D1562),"")</f>
        <v>7</v>
      </c>
      <c r="AO1562" s="89" t="str">
        <f>+IF($AG1562=AO$22,MONTH($D1562),"")</f>
        <v/>
      </c>
      <c r="AP1562" s="89" t="str">
        <f>+IF($AG1562=AP$22,MONTH($D1562),"")</f>
        <v/>
      </c>
      <c r="AQ1562" s="89" t="str">
        <f>+IF($AG1562=AQ$22,MONTH($D1562),"")</f>
        <v/>
      </c>
      <c r="AR1562" s="89" t="str">
        <f>+IF($AG1562=AR$22,MONTH($D1562),"")</f>
        <v/>
      </c>
      <c r="AS1562" s="89" t="str">
        <f>+IF($AG1562=AS$22,MONTH($D1562),"")</f>
        <v/>
      </c>
      <c r="AT1562" s="89" t="str">
        <f>+IF($AG1562=AT$22,MONTH($D1562),"")</f>
        <v/>
      </c>
      <c r="AU1562" s="89" t="str">
        <f>+IF($AG1562=AU$22,MONTH($D1562),"")</f>
        <v/>
      </c>
      <c r="AV1562" s="89" t="str">
        <f>+IF($AG1562=AV$22,MONTH($D1562),"")</f>
        <v/>
      </c>
      <c r="AW1562" s="86" t="str">
        <f>+IF($AG1562=AW$22,MONTH($D1562),"")</f>
        <v/>
      </c>
      <c r="AX1562" s="86" t="str">
        <f>+IF($AG1562=AX$22,MONTH($D1562),"")</f>
        <v/>
      </c>
      <c r="AY1562" s="89"/>
      <c r="AZ1562" s="89"/>
      <c r="BA1562" s="89"/>
      <c r="BB1562" s="89"/>
      <c r="BC1562" s="89"/>
      <c r="BD1562" s="89"/>
      <c r="BE1562" s="89"/>
      <c r="BF1562" s="89"/>
      <c r="BG1562" s="89"/>
      <c r="BH1562" s="89"/>
      <c r="BI1562" s="89"/>
      <c r="BJ1562" s="89"/>
      <c r="BK1562" s="89"/>
      <c r="BL1562" s="89"/>
      <c r="BM1562" s="89"/>
      <c r="BN1562" s="89"/>
      <c r="BO1562" s="89"/>
      <c r="BP1562" s="89"/>
    </row>
    <row r="1563" spans="1:68" s="56" customFormat="1" ht="27" hidden="1">
      <c r="A1563" s="204" t="str">
        <f>+IFERROR(VALUE(MID(AB1563,4,4)),"")</f>
        <v/>
      </c>
      <c r="B1563" s="204">
        <f>VALUE(RIGHT(C1563,LEN(C1563)-2))</f>
        <v>1162</v>
      </c>
      <c r="C1563" s="74" t="s">
        <v>5750</v>
      </c>
      <c r="D1563" s="75">
        <v>44008</v>
      </c>
      <c r="E1563" s="70" t="s">
        <v>5751</v>
      </c>
      <c r="F1563" s="70" t="s">
        <v>5751</v>
      </c>
      <c r="G1563" s="68"/>
      <c r="H1563" s="59"/>
      <c r="I1563" s="69" t="s">
        <v>5752</v>
      </c>
      <c r="J1563" s="69"/>
      <c r="K1563" s="68" t="s">
        <v>13</v>
      </c>
      <c r="L1563" s="69" t="s">
        <v>120</v>
      </c>
      <c r="M1563" s="71" t="s">
        <v>141</v>
      </c>
      <c r="N1563" s="69" t="e" vm="1">
        <v>#VALUE!</v>
      </c>
      <c r="O1563" s="84"/>
      <c r="P1563" s="72" t="s">
        <v>4567</v>
      </c>
      <c r="Q1563" s="72"/>
      <c r="R1563" s="162"/>
      <c r="S1563" s="146" t="s">
        <v>5753</v>
      </c>
      <c r="T1563" s="68" t="s">
        <v>165</v>
      </c>
      <c r="U1563" s="87">
        <v>0.01</v>
      </c>
      <c r="V1563" s="80">
        <v>44039</v>
      </c>
      <c r="W1563" s="73">
        <v>3939</v>
      </c>
      <c r="X1563" s="73">
        <f>5546*27800/1000000</f>
        <v>154.1788</v>
      </c>
      <c r="Y1563" s="83">
        <f>IF(SUM(W1563:W1563)&gt;0,X1563/SUM(W1563:W1563)*1000000,"N/A")</f>
        <v>39141.60954556994</v>
      </c>
      <c r="Z1563" s="80"/>
      <c r="AA1563" s="80"/>
      <c r="AB1563" s="73"/>
      <c r="AC1563" s="153"/>
      <c r="AD1563" s="331"/>
      <c r="AE1563" s="57"/>
      <c r="AF1563" s="88"/>
      <c r="AG1563" s="182">
        <f>YEAR(D1563)</f>
        <v>2020</v>
      </c>
      <c r="AH1563" s="86" t="str">
        <f>+IF(AE1563=$AJ$22,MONTH(T1563),"")</f>
        <v/>
      </c>
      <c r="AI1563" s="86" t="str">
        <f>+IF(AF1563=$AJ$22,MONTH(U1563),"")</f>
        <v/>
      </c>
      <c r="AJ1563" s="86" t="str">
        <f>+IF(AG1563=$AJ$22,MONTH(V1563),"")</f>
        <v/>
      </c>
      <c r="AK1563" s="86" t="str">
        <f>+IF(AG1563=$AK$22,MONTH(V1563),"")</f>
        <v/>
      </c>
      <c r="AL1563" s="86" t="str">
        <f>+IF(AG1563=$AL$22,MONTH(V1563),"")</f>
        <v/>
      </c>
      <c r="AM1563" s="86" t="str">
        <f>+IF($AG1563=$AM$22,MONTH($D1563),"")</f>
        <v/>
      </c>
      <c r="AN1563" s="89">
        <f>+IF($AG1563=AN$22,MONTH($D1563),"")</f>
        <v>6</v>
      </c>
      <c r="AO1563" s="89" t="str">
        <f>+IF($AG1563=AO$22,MONTH($D1563),"")</f>
        <v/>
      </c>
      <c r="AP1563" s="89" t="str">
        <f>+IF($AG1563=AP$22,MONTH($D1563),"")</f>
        <v/>
      </c>
      <c r="AQ1563" s="89" t="str">
        <f>+IF($AG1563=AQ$22,MONTH($D1563),"")</f>
        <v/>
      </c>
      <c r="AR1563" s="89" t="str">
        <f>+IF($AG1563=AR$22,MONTH($D1563),"")</f>
        <v/>
      </c>
      <c r="AS1563" s="89" t="str">
        <f>+IF($AG1563=AS$22,MONTH($D1563),"")</f>
        <v/>
      </c>
      <c r="AT1563" s="89" t="str">
        <f>+IF($AG1563=AT$22,MONTH($D1563),"")</f>
        <v/>
      </c>
      <c r="AU1563" s="89" t="str">
        <f>+IF($AG1563=AU$22,MONTH($D1563),"")</f>
        <v/>
      </c>
      <c r="AV1563" s="89" t="str">
        <f>+IF($AG1563=AV$22,MONTH($D1563),"")</f>
        <v/>
      </c>
      <c r="AW1563" s="86" t="str">
        <f>+IF($AG1563=AW$22,MONTH($D1563),"")</f>
        <v/>
      </c>
      <c r="AX1563" s="86" t="str">
        <f>+IF($AG1563=AX$22,MONTH($D1563),"")</f>
        <v/>
      </c>
      <c r="AY1563" s="89"/>
      <c r="AZ1563" s="89"/>
      <c r="BA1563" s="89"/>
      <c r="BB1563" s="89"/>
      <c r="BC1563" s="89"/>
      <c r="BD1563" s="89"/>
      <c r="BE1563" s="89"/>
      <c r="BF1563" s="89"/>
      <c r="BG1563" s="89"/>
      <c r="BH1563" s="89"/>
      <c r="BI1563" s="89"/>
      <c r="BJ1563" s="89"/>
      <c r="BK1563" s="89"/>
      <c r="BL1563" s="89"/>
      <c r="BM1563" s="89"/>
      <c r="BN1563" s="89"/>
      <c r="BO1563" s="89"/>
      <c r="BP1563" s="89"/>
    </row>
    <row r="1564" spans="1:68" s="56" customFormat="1" ht="13.5" hidden="1">
      <c r="A1564" s="204" t="str">
        <f>+IFERROR(VALUE(MID(AB1564,4,4)),"")</f>
        <v/>
      </c>
      <c r="B1564" s="204">
        <f>VALUE(RIGHT(C1564,LEN(C1564)-2))</f>
        <v>1161</v>
      </c>
      <c r="C1564" s="74" t="s">
        <v>5754</v>
      </c>
      <c r="D1564" s="75">
        <v>44008</v>
      </c>
      <c r="E1564" s="70" t="s">
        <v>53</v>
      </c>
      <c r="F1564" s="70" t="s">
        <v>313</v>
      </c>
      <c r="G1564" s="68"/>
      <c r="H1564" s="59"/>
      <c r="I1564" s="69" t="s">
        <v>5755</v>
      </c>
      <c r="J1564" s="69"/>
      <c r="K1564" s="68"/>
      <c r="L1564" s="69" t="s">
        <v>123</v>
      </c>
      <c r="M1564" s="71" t="s">
        <v>141</v>
      </c>
      <c r="N1564" s="69" t="e" vm="1">
        <v>#VALUE!</v>
      </c>
      <c r="O1564" s="84"/>
      <c r="P1564" s="72" t="s">
        <v>4567</v>
      </c>
      <c r="Q1564" s="72"/>
      <c r="R1564" s="162"/>
      <c r="S1564" s="146" t="s">
        <v>5756</v>
      </c>
      <c r="T1564" s="68" t="s">
        <v>155</v>
      </c>
      <c r="U1564" s="87"/>
      <c r="V1564" s="80"/>
      <c r="W1564" s="73"/>
      <c r="X1564" s="73"/>
      <c r="Y1564" s="83" t="str">
        <f>IF(SUM(W1564:W1564)&gt;0,X1564/SUM(W1564:W1564)*1000000,"N/A")</f>
        <v>N/A</v>
      </c>
      <c r="Z1564" s="80"/>
      <c r="AA1564" s="80"/>
      <c r="AB1564" s="73"/>
      <c r="AC1564" s="153"/>
      <c r="AD1564" s="331"/>
      <c r="AE1564" s="57"/>
      <c r="AF1564" s="88"/>
      <c r="AG1564" s="182">
        <f>YEAR(D1564)</f>
        <v>2020</v>
      </c>
      <c r="AH1564" s="86" t="str">
        <f>+IF(AE1564=$AJ$22,MONTH(T1564),"")</f>
        <v/>
      </c>
      <c r="AI1564" s="86" t="str">
        <f>+IF(AF1564=$AJ$22,MONTH(U1564),"")</f>
        <v/>
      </c>
      <c r="AJ1564" s="86" t="str">
        <f>+IF(AG1564=$AJ$22,MONTH(V1564),"")</f>
        <v/>
      </c>
      <c r="AK1564" s="86" t="str">
        <f>+IF(AG1564=$AK$22,MONTH(V1564),"")</f>
        <v/>
      </c>
      <c r="AL1564" s="86" t="str">
        <f>+IF(AG1564=$AL$22,MONTH(V1564),"")</f>
        <v/>
      </c>
      <c r="AM1564" s="86" t="str">
        <f>+IF($AG1564=$AM$22,MONTH($D1564),"")</f>
        <v/>
      </c>
      <c r="AN1564" s="89">
        <f>+IF($AG1564=AN$22,MONTH($D1564),"")</f>
        <v>6</v>
      </c>
      <c r="AO1564" s="89" t="str">
        <f>+IF($AG1564=AO$22,MONTH($D1564),"")</f>
        <v/>
      </c>
      <c r="AP1564" s="89" t="str">
        <f>+IF($AG1564=AP$22,MONTH($D1564),"")</f>
        <v/>
      </c>
      <c r="AQ1564" s="89" t="str">
        <f>+IF($AG1564=AQ$22,MONTH($D1564),"")</f>
        <v/>
      </c>
      <c r="AR1564" s="89" t="str">
        <f>+IF($AG1564=AR$22,MONTH($D1564),"")</f>
        <v/>
      </c>
      <c r="AS1564" s="89" t="str">
        <f>+IF($AG1564=AS$22,MONTH($D1564),"")</f>
        <v/>
      </c>
      <c r="AT1564" s="89" t="str">
        <f>+IF($AG1564=AT$22,MONTH($D1564),"")</f>
        <v/>
      </c>
      <c r="AU1564" s="89" t="str">
        <f>+IF($AG1564=AU$22,MONTH($D1564),"")</f>
        <v/>
      </c>
      <c r="AV1564" s="89" t="str">
        <f>+IF($AG1564=AV$22,MONTH($D1564),"")</f>
        <v/>
      </c>
      <c r="AW1564" s="86" t="str">
        <f>+IF($AG1564=AW$22,MONTH($D1564),"")</f>
        <v/>
      </c>
      <c r="AX1564" s="86" t="str">
        <f>+IF($AG1564=AX$22,MONTH($D1564),"")</f>
        <v/>
      </c>
      <c r="AY1564" s="89"/>
      <c r="AZ1564" s="89"/>
      <c r="BA1564" s="89"/>
      <c r="BB1564" s="89"/>
      <c r="BC1564" s="89"/>
      <c r="BD1564" s="89"/>
      <c r="BE1564" s="89"/>
      <c r="BF1564" s="89"/>
      <c r="BG1564" s="89"/>
      <c r="BH1564" s="89"/>
      <c r="BI1564" s="89"/>
      <c r="BJ1564" s="89"/>
      <c r="BK1564" s="89"/>
      <c r="BL1564" s="89"/>
      <c r="BM1564" s="89"/>
      <c r="BN1564" s="89"/>
      <c r="BO1564" s="89"/>
      <c r="BP1564" s="89"/>
    </row>
    <row r="1565" spans="1:68" s="56" customFormat="1" ht="27" hidden="1">
      <c r="A1565" s="204" t="str">
        <f>+IFERROR(VALUE(MID(AB1565,4,4)),"")</f>
        <v/>
      </c>
      <c r="B1565" s="204">
        <f>VALUE(RIGHT(C1565,LEN(C1565)-2))</f>
        <v>1160</v>
      </c>
      <c r="C1565" s="74" t="s">
        <v>5757</v>
      </c>
      <c r="D1565" s="75">
        <v>44005</v>
      </c>
      <c r="E1565" s="70" t="s">
        <v>5758</v>
      </c>
      <c r="F1565" s="70" t="s">
        <v>53</v>
      </c>
      <c r="G1565" s="68"/>
      <c r="H1565" s="59"/>
      <c r="I1565" s="69" t="s">
        <v>5759</v>
      </c>
      <c r="J1565" s="69"/>
      <c r="K1565" s="68" t="s">
        <v>13</v>
      </c>
      <c r="L1565" s="69" t="s">
        <v>120</v>
      </c>
      <c r="M1565" s="71" t="s">
        <v>141</v>
      </c>
      <c r="N1565" s="69" t="e" vm="1">
        <v>#VALUE!</v>
      </c>
      <c r="O1565" s="84"/>
      <c r="P1565" s="72" t="s">
        <v>402</v>
      </c>
      <c r="Q1565" s="72"/>
      <c r="R1565" s="162"/>
      <c r="S1565" s="146" t="s">
        <v>5760</v>
      </c>
      <c r="T1565" s="68" t="s">
        <v>155</v>
      </c>
      <c r="U1565" s="87"/>
      <c r="V1565" s="80"/>
      <c r="W1565" s="73"/>
      <c r="X1565" s="73"/>
      <c r="Y1565" s="83" t="str">
        <f>IF(SUM(W1565:W1565)&gt;0,X1565/SUM(W1565:W1565)*1000000,"N/A")</f>
        <v>N/A</v>
      </c>
      <c r="Z1565" s="80"/>
      <c r="AA1565" s="80"/>
      <c r="AB1565" s="73"/>
      <c r="AC1565" s="153"/>
      <c r="AD1565" s="331"/>
      <c r="AE1565" s="57"/>
      <c r="AF1565" s="88"/>
      <c r="AG1565" s="182">
        <f>YEAR(D1565)</f>
        <v>2020</v>
      </c>
      <c r="AH1565" s="86" t="str">
        <f>+IF(AE1565=$AJ$22,MONTH(T1565),"")</f>
        <v/>
      </c>
      <c r="AI1565" s="86" t="str">
        <f>+IF(AF1565=$AJ$22,MONTH(U1565),"")</f>
        <v/>
      </c>
      <c r="AJ1565" s="86" t="str">
        <f>+IF(AG1565=$AJ$22,MONTH(V1565),"")</f>
        <v/>
      </c>
      <c r="AK1565" s="86" t="str">
        <f>+IF(AG1565=$AK$22,MONTH(V1565),"")</f>
        <v/>
      </c>
      <c r="AL1565" s="86" t="str">
        <f>+IF(AG1565=$AL$22,MONTH(V1565),"")</f>
        <v/>
      </c>
      <c r="AM1565" s="86" t="str">
        <f>+IF($AG1565=$AM$22,MONTH($D1565),"")</f>
        <v/>
      </c>
      <c r="AN1565" s="89">
        <f>+IF($AG1565=AN$22,MONTH($D1565),"")</f>
        <v>6</v>
      </c>
      <c r="AO1565" s="89" t="str">
        <f>+IF($AG1565=AO$22,MONTH($D1565),"")</f>
        <v/>
      </c>
      <c r="AP1565" s="89" t="str">
        <f>+IF($AG1565=AP$22,MONTH($D1565),"")</f>
        <v/>
      </c>
      <c r="AQ1565" s="89" t="str">
        <f>+IF($AG1565=AQ$22,MONTH($D1565),"")</f>
        <v/>
      </c>
      <c r="AR1565" s="89" t="str">
        <f>+IF($AG1565=AR$22,MONTH($D1565),"")</f>
        <v/>
      </c>
      <c r="AS1565" s="89" t="str">
        <f>+IF($AG1565=AS$22,MONTH($D1565),"")</f>
        <v/>
      </c>
      <c r="AT1565" s="89" t="str">
        <f>+IF($AG1565=AT$22,MONTH($D1565),"")</f>
        <v/>
      </c>
      <c r="AU1565" s="89" t="str">
        <f>+IF($AG1565=AU$22,MONTH($D1565),"")</f>
        <v/>
      </c>
      <c r="AV1565" s="89" t="str">
        <f>+IF($AG1565=AV$22,MONTH($D1565),"")</f>
        <v/>
      </c>
      <c r="AW1565" s="86" t="str">
        <f>+IF($AG1565=AW$22,MONTH($D1565),"")</f>
        <v/>
      </c>
      <c r="AX1565" s="86" t="str">
        <f>+IF($AG1565=AX$22,MONTH($D1565),"")</f>
        <v/>
      </c>
      <c r="AY1565" s="89"/>
      <c r="AZ1565" s="89"/>
      <c r="BA1565" s="89"/>
      <c r="BB1565" s="89"/>
      <c r="BC1565" s="89"/>
      <c r="BD1565" s="89"/>
      <c r="BE1565" s="89"/>
      <c r="BF1565" s="89"/>
      <c r="BG1565" s="89"/>
      <c r="BH1565" s="89"/>
      <c r="BI1565" s="89"/>
      <c r="BJ1565" s="89"/>
      <c r="BK1565" s="89"/>
      <c r="BL1565" s="89"/>
      <c r="BM1565" s="89"/>
      <c r="BN1565" s="89"/>
      <c r="BO1565" s="89"/>
      <c r="BP1565" s="89"/>
    </row>
    <row r="1566" spans="1:68" s="56" customFormat="1" ht="27" hidden="1">
      <c r="A1566" s="204" t="str">
        <f>+IFERROR(VALUE(MID(AB1566,4,4)),"")</f>
        <v/>
      </c>
      <c r="B1566" s="204">
        <f>VALUE(RIGHT(C1566,LEN(C1566)-2))</f>
        <v>1159</v>
      </c>
      <c r="C1566" s="74" t="s">
        <v>5761</v>
      </c>
      <c r="D1566" s="75">
        <v>44000</v>
      </c>
      <c r="E1566" s="70" t="s">
        <v>67</v>
      </c>
      <c r="F1566" s="70" t="s">
        <v>67</v>
      </c>
      <c r="G1566" s="68"/>
      <c r="H1566" s="59"/>
      <c r="I1566" s="69" t="s">
        <v>5762</v>
      </c>
      <c r="J1566" s="69"/>
      <c r="K1566" s="68" t="s">
        <v>13</v>
      </c>
      <c r="L1566" s="69" t="s">
        <v>123</v>
      </c>
      <c r="M1566" s="71" t="s">
        <v>141</v>
      </c>
      <c r="N1566" s="69" t="e" vm="1">
        <v>#VALUE!</v>
      </c>
      <c r="O1566" s="84"/>
      <c r="P1566" s="72" t="s">
        <v>4567</v>
      </c>
      <c r="Q1566" s="72"/>
      <c r="R1566" s="162"/>
      <c r="S1566" s="146" t="s">
        <v>5763</v>
      </c>
      <c r="T1566" s="68" t="s">
        <v>155</v>
      </c>
      <c r="U1566" s="87"/>
      <c r="V1566" s="80">
        <v>44032</v>
      </c>
      <c r="W1566" s="73"/>
      <c r="X1566" s="73"/>
      <c r="Y1566" s="83" t="str">
        <f>IF(SUM(W1566:W1566)&gt;0,X1566/SUM(W1566:W1566)*1000000,"N/A")</f>
        <v>N/A</v>
      </c>
      <c r="Z1566" s="80"/>
      <c r="AA1566" s="80"/>
      <c r="AB1566" s="73"/>
      <c r="AC1566" s="153"/>
      <c r="AD1566" s="331"/>
      <c r="AE1566" s="57"/>
      <c r="AF1566" s="88"/>
      <c r="AG1566" s="182">
        <f>YEAR(D1566)</f>
        <v>2020</v>
      </c>
      <c r="AH1566" s="86" t="str">
        <f>+IF(AE1566=$AJ$22,MONTH(T1566),"")</f>
        <v/>
      </c>
      <c r="AI1566" s="86" t="str">
        <f>+IF(AF1566=$AJ$22,MONTH(U1566),"")</f>
        <v/>
      </c>
      <c r="AJ1566" s="86" t="str">
        <f>+IF(AG1566=$AJ$22,MONTH(V1566),"")</f>
        <v/>
      </c>
      <c r="AK1566" s="86" t="str">
        <f>+IF(AG1566=$AK$22,MONTH(V1566),"")</f>
        <v/>
      </c>
      <c r="AL1566" s="86" t="str">
        <f>+IF(AG1566=$AL$22,MONTH(V1566),"")</f>
        <v/>
      </c>
      <c r="AM1566" s="86" t="str">
        <f>+IF($AG1566=$AM$22,MONTH($D1566),"")</f>
        <v/>
      </c>
      <c r="AN1566" s="89">
        <f>+IF($AG1566=AN$22,MONTH($D1566),"")</f>
        <v>6</v>
      </c>
      <c r="AO1566" s="89" t="str">
        <f>+IF($AG1566=AO$22,MONTH($D1566),"")</f>
        <v/>
      </c>
      <c r="AP1566" s="89" t="str">
        <f>+IF($AG1566=AP$22,MONTH($D1566),"")</f>
        <v/>
      </c>
      <c r="AQ1566" s="89" t="str">
        <f>+IF($AG1566=AQ$22,MONTH($D1566),"")</f>
        <v/>
      </c>
      <c r="AR1566" s="89" t="str">
        <f>+IF($AG1566=AR$22,MONTH($D1566),"")</f>
        <v/>
      </c>
      <c r="AS1566" s="89" t="str">
        <f>+IF($AG1566=AS$22,MONTH($D1566),"")</f>
        <v/>
      </c>
      <c r="AT1566" s="89" t="str">
        <f>+IF($AG1566=AT$22,MONTH($D1566),"")</f>
        <v/>
      </c>
      <c r="AU1566" s="89" t="str">
        <f>+IF($AG1566=AU$22,MONTH($D1566),"")</f>
        <v/>
      </c>
      <c r="AV1566" s="89" t="str">
        <f>+IF($AG1566=AV$22,MONTH($D1566),"")</f>
        <v/>
      </c>
      <c r="AW1566" s="86" t="str">
        <f>+IF($AG1566=AW$22,MONTH($D1566),"")</f>
        <v/>
      </c>
      <c r="AX1566" s="86" t="str">
        <f>+IF($AG1566=AX$22,MONTH($D1566),"")</f>
        <v/>
      </c>
      <c r="AY1566" s="89"/>
      <c r="AZ1566" s="89"/>
      <c r="BA1566" s="89"/>
      <c r="BB1566" s="89"/>
      <c r="BC1566" s="89"/>
      <c r="BD1566" s="89"/>
      <c r="BE1566" s="89"/>
      <c r="BF1566" s="89"/>
      <c r="BG1566" s="89"/>
      <c r="BH1566" s="89"/>
      <c r="BI1566" s="89"/>
      <c r="BJ1566" s="89"/>
      <c r="BK1566" s="89"/>
      <c r="BL1566" s="89"/>
      <c r="BM1566" s="89"/>
      <c r="BN1566" s="89"/>
      <c r="BO1566" s="89"/>
      <c r="BP1566" s="89"/>
    </row>
    <row r="1567" spans="1:68" s="56" customFormat="1" ht="27" hidden="1">
      <c r="A1567" s="204">
        <f>+IFERROR(VALUE(MID(AB1567,4,4)),"")</f>
        <v>219</v>
      </c>
      <c r="B1567" s="204">
        <f>VALUE(RIGHT(C1567,LEN(C1567)-2))</f>
        <v>1158</v>
      </c>
      <c r="C1567" s="74" t="s">
        <v>5764</v>
      </c>
      <c r="D1567" s="75">
        <v>43993</v>
      </c>
      <c r="E1567" s="70" t="s">
        <v>41</v>
      </c>
      <c r="F1567" s="70" t="s">
        <v>41</v>
      </c>
      <c r="G1567" s="68"/>
      <c r="H1567" s="59"/>
      <c r="I1567" s="82" t="s">
        <v>5765</v>
      </c>
      <c r="J1567" s="82"/>
      <c r="K1567" s="68" t="s">
        <v>12</v>
      </c>
      <c r="L1567" s="69" t="s">
        <v>129</v>
      </c>
      <c r="M1567" s="71" t="s">
        <v>141</v>
      </c>
      <c r="N1567" s="69" t="e" vm="1">
        <v>#VALUE!</v>
      </c>
      <c r="O1567" s="84"/>
      <c r="P1567" s="72" t="s">
        <v>402</v>
      </c>
      <c r="Q1567" s="72" t="s">
        <v>1097</v>
      </c>
      <c r="R1567" s="162"/>
      <c r="S1567" s="146"/>
      <c r="T1567" s="68" t="s">
        <v>3</v>
      </c>
      <c r="U1567" s="87"/>
      <c r="V1567" s="80">
        <v>43993</v>
      </c>
      <c r="W1567" s="73">
        <v>36</v>
      </c>
      <c r="X1567" s="73">
        <f>45*28700/1000000</f>
        <v>1.2915000000000001</v>
      </c>
      <c r="Y1567" s="83">
        <f>IF(SUM(W1567:W1567)&gt;0,X1567/SUM(W1567:W1567)*1000000,"N/A")</f>
        <v>35875.000000000007</v>
      </c>
      <c r="Z1567" s="80"/>
      <c r="AA1567" s="80"/>
      <c r="AB1567" s="73" t="s">
        <v>5766</v>
      </c>
      <c r="AC1567" s="153"/>
      <c r="AD1567" s="331"/>
      <c r="AE1567" s="57"/>
      <c r="AF1567" s="88"/>
      <c r="AG1567" s="182">
        <f>YEAR(D1567)</f>
        <v>2020</v>
      </c>
      <c r="AH1567" s="86" t="str">
        <f>+IF(AE1567=$AJ$22,MONTH(T1567),"")</f>
        <v/>
      </c>
      <c r="AI1567" s="86" t="str">
        <f>+IF(AF1567=$AJ$22,MONTH(U1567),"")</f>
        <v/>
      </c>
      <c r="AJ1567" s="86" t="str">
        <f>+IF(AG1567=$AJ$22,MONTH(V1567),"")</f>
        <v/>
      </c>
      <c r="AK1567" s="86" t="str">
        <f>+IF(AG1567=$AK$22,MONTH(V1567),"")</f>
        <v/>
      </c>
      <c r="AL1567" s="86" t="str">
        <f>+IF(AG1567=$AL$22,MONTH(V1567),"")</f>
        <v/>
      </c>
      <c r="AM1567" s="86" t="str">
        <f>+IF($AG1567=$AM$22,MONTH($D1567),"")</f>
        <v/>
      </c>
      <c r="AN1567" s="89">
        <f>+IF($AG1567=AN$22,MONTH($D1567),"")</f>
        <v>6</v>
      </c>
      <c r="AO1567" s="89" t="str">
        <f>+IF($AG1567=AO$22,MONTH($D1567),"")</f>
        <v/>
      </c>
      <c r="AP1567" s="89" t="str">
        <f>+IF($AG1567=AP$22,MONTH($D1567),"")</f>
        <v/>
      </c>
      <c r="AQ1567" s="89" t="str">
        <f>+IF($AG1567=AQ$22,MONTH($D1567),"")</f>
        <v/>
      </c>
      <c r="AR1567" s="89" t="str">
        <f>+IF($AG1567=AR$22,MONTH($D1567),"")</f>
        <v/>
      </c>
      <c r="AS1567" s="89" t="str">
        <f>+IF($AG1567=AS$22,MONTH($D1567),"")</f>
        <v/>
      </c>
      <c r="AT1567" s="89" t="str">
        <f>+IF($AG1567=AT$22,MONTH($D1567),"")</f>
        <v/>
      </c>
      <c r="AU1567" s="89" t="str">
        <f>+IF($AG1567=AU$22,MONTH($D1567),"")</f>
        <v/>
      </c>
      <c r="AV1567" s="89" t="str">
        <f>+IF($AG1567=AV$22,MONTH($D1567),"")</f>
        <v/>
      </c>
      <c r="AW1567" s="168"/>
      <c r="AX1567" s="168"/>
      <c r="AY1567" s="167"/>
      <c r="AZ1567" s="167"/>
      <c r="BA1567" s="167"/>
      <c r="BB1567" s="167"/>
      <c r="BC1567" s="167"/>
      <c r="BD1567" s="167"/>
      <c r="BE1567" s="167"/>
      <c r="BF1567" s="167"/>
      <c r="BG1567" s="167"/>
      <c r="BH1567" s="167"/>
      <c r="BI1567" s="167"/>
      <c r="BJ1567" s="89"/>
      <c r="BK1567" s="89"/>
      <c r="BL1567" s="89"/>
      <c r="BM1567" s="89"/>
      <c r="BN1567" s="89"/>
      <c r="BO1567" s="89"/>
      <c r="BP1567" s="89"/>
    </row>
    <row r="1568" spans="1:68" s="56" customFormat="1" ht="53.25" hidden="1">
      <c r="A1568" s="204" t="str">
        <f>+IFERROR(VALUE(MID(AB1568,4,4)),"")</f>
        <v/>
      </c>
      <c r="B1568" s="204">
        <f>VALUE(RIGHT(C1568,LEN(C1568)-2))</f>
        <v>1157</v>
      </c>
      <c r="C1568" s="74" t="s">
        <v>5767</v>
      </c>
      <c r="D1568" s="75">
        <v>43990</v>
      </c>
      <c r="E1568" s="70" t="s">
        <v>394</v>
      </c>
      <c r="F1568" s="70" t="s">
        <v>394</v>
      </c>
      <c r="G1568" s="68"/>
      <c r="H1568" s="59"/>
      <c r="I1568" s="82" t="s">
        <v>5768</v>
      </c>
      <c r="J1568" s="82"/>
      <c r="K1568" s="68" t="s">
        <v>12</v>
      </c>
      <c r="L1568" s="69" t="s">
        <v>123</v>
      </c>
      <c r="M1568" s="71" t="s">
        <v>141</v>
      </c>
      <c r="N1568" s="69" t="e" vm="1">
        <v>#VALUE!</v>
      </c>
      <c r="O1568" s="84"/>
      <c r="P1568" s="72" t="s">
        <v>4897</v>
      </c>
      <c r="Q1568" s="72"/>
      <c r="R1568" s="162"/>
      <c r="S1568" s="146" t="s">
        <v>5769</v>
      </c>
      <c r="T1568" s="68" t="s">
        <v>155</v>
      </c>
      <c r="U1568" s="87"/>
      <c r="V1568" s="80">
        <v>43993</v>
      </c>
      <c r="W1568" s="73"/>
      <c r="X1568" s="73"/>
      <c r="Y1568" s="83" t="str">
        <f>IF(SUM(W1568:W1568)&gt;0,X1568/SUM(W1568:W1568)*1000000,"N/A")</f>
        <v>N/A</v>
      </c>
      <c r="Z1568" s="80"/>
      <c r="AA1568" s="80"/>
      <c r="AB1568" s="73"/>
      <c r="AC1568" s="153"/>
      <c r="AD1568" s="331"/>
      <c r="AE1568" s="57"/>
      <c r="AF1568" s="88"/>
      <c r="AG1568" s="182">
        <f>YEAR(D1568)</f>
        <v>2020</v>
      </c>
      <c r="AH1568" s="86" t="str">
        <f>+IF(AE1568=$AJ$22,MONTH(T1568),"")</f>
        <v/>
      </c>
      <c r="AI1568" s="86" t="str">
        <f>+IF(AF1568=$AJ$22,MONTH(U1568),"")</f>
        <v/>
      </c>
      <c r="AJ1568" s="86" t="str">
        <f>+IF(AG1568=$AJ$22,MONTH(V1568),"")</f>
        <v/>
      </c>
      <c r="AK1568" s="86" t="str">
        <f>+IF(AG1568=$AK$22,MONTH(V1568),"")</f>
        <v/>
      </c>
      <c r="AL1568" s="86" t="str">
        <f>+IF(AG1568=$AL$22,MONTH(V1568),"")</f>
        <v/>
      </c>
      <c r="AM1568" s="86" t="str">
        <f>+IF($AG1568=$AM$22,MONTH($D1568),"")</f>
        <v/>
      </c>
      <c r="AN1568" s="89">
        <f>+IF($AG1568=AN$22,MONTH($D1568),"")</f>
        <v>6</v>
      </c>
      <c r="AO1568" s="89" t="str">
        <f>+IF($AG1568=AO$22,MONTH($D1568),"")</f>
        <v/>
      </c>
      <c r="AP1568" s="89" t="str">
        <f>+IF($AG1568=AP$22,MONTH($D1568),"")</f>
        <v/>
      </c>
      <c r="AQ1568" s="89" t="str">
        <f>+IF($AG1568=AQ$22,MONTH($D1568),"")</f>
        <v/>
      </c>
      <c r="AR1568" s="89" t="str">
        <f>+IF($AG1568=AR$22,MONTH($D1568),"")</f>
        <v/>
      </c>
      <c r="AS1568" s="89" t="str">
        <f>+IF($AG1568=AS$22,MONTH($D1568),"")</f>
        <v/>
      </c>
      <c r="AT1568" s="89" t="str">
        <f>+IF($AG1568=AT$22,MONTH($D1568),"")</f>
        <v/>
      </c>
      <c r="AU1568" s="89" t="str">
        <f>+IF($AG1568=AU$22,MONTH($D1568),"")</f>
        <v/>
      </c>
      <c r="AV1568" s="89" t="str">
        <f>+IF($AG1568=AV$22,MONTH($D1568),"")</f>
        <v/>
      </c>
      <c r="AW1568" s="168" t="str">
        <f>+IF($AG1568=AW$22,MONTH($D1568),"")</f>
        <v/>
      </c>
      <c r="AX1568" s="168" t="str">
        <f>+IF($AG1568=AX$22,MONTH($D1568),"")</f>
        <v/>
      </c>
      <c r="AY1568" s="167"/>
      <c r="AZ1568" s="167"/>
      <c r="BA1568" s="167"/>
      <c r="BB1568" s="167"/>
      <c r="BC1568" s="167"/>
      <c r="BD1568" s="167"/>
      <c r="BE1568" s="167"/>
      <c r="BF1568" s="167"/>
      <c r="BG1568" s="167"/>
      <c r="BH1568" s="167"/>
      <c r="BI1568" s="167"/>
      <c r="BJ1568" s="89"/>
      <c r="BK1568" s="89"/>
      <c r="BL1568" s="89"/>
      <c r="BM1568" s="89"/>
      <c r="BN1568" s="89"/>
      <c r="BO1568" s="89"/>
      <c r="BP1568" s="89"/>
    </row>
    <row r="1569" spans="1:68" s="56" customFormat="1" ht="13.5" hidden="1">
      <c r="A1569" s="204">
        <f>+IFERROR(VALUE(MID(AB1569,4,4)),"")</f>
        <v>244</v>
      </c>
      <c r="B1569" s="204">
        <f>VALUE(RIGHT(C1569,LEN(C1569)-2))</f>
        <v>1156</v>
      </c>
      <c r="C1569" s="74" t="s">
        <v>5770</v>
      </c>
      <c r="D1569" s="75">
        <v>43983</v>
      </c>
      <c r="E1569" s="70" t="s">
        <v>848</v>
      </c>
      <c r="F1569" s="70" t="s">
        <v>848</v>
      </c>
      <c r="G1569" s="68"/>
      <c r="H1569" s="59"/>
      <c r="I1569" s="82" t="s">
        <v>5771</v>
      </c>
      <c r="J1569" s="82"/>
      <c r="K1569" s="68" t="s">
        <v>90</v>
      </c>
      <c r="L1569" s="69" t="s">
        <v>120</v>
      </c>
      <c r="M1569" s="71" t="s">
        <v>141</v>
      </c>
      <c r="N1569" s="69" t="e" vm="1">
        <v>#VALUE!</v>
      </c>
      <c r="O1569" s="84"/>
      <c r="P1569" s="72" t="s">
        <v>274</v>
      </c>
      <c r="Q1569" s="72" t="s">
        <v>275</v>
      </c>
      <c r="R1569" s="162"/>
      <c r="S1569" s="146"/>
      <c r="T1569" s="68" t="s">
        <v>3</v>
      </c>
      <c r="U1569" s="87"/>
      <c r="V1569" s="80">
        <v>44039</v>
      </c>
      <c r="W1569" s="73">
        <v>1349</v>
      </c>
      <c r="X1569" s="73">
        <f>2009*28700/1000000</f>
        <v>57.658299999999997</v>
      </c>
      <c r="Y1569" s="83">
        <f>IF(SUM(W1569:W1569)&gt;0,X1569/SUM(W1569:W1569)*1000000,"N/A")</f>
        <v>42741.512231282424</v>
      </c>
      <c r="Z1569" s="80"/>
      <c r="AA1569" s="80"/>
      <c r="AB1569" s="73" t="s">
        <v>5772</v>
      </c>
      <c r="AC1569" s="153"/>
      <c r="AD1569" s="331"/>
      <c r="AE1569" s="57"/>
      <c r="AF1569" s="88"/>
      <c r="AG1569" s="182">
        <f>YEAR(D1569)</f>
        <v>2020</v>
      </c>
      <c r="AH1569" s="86" t="str">
        <f>+IF(AE1569=$AJ$22,MONTH(T1569),"")</f>
        <v/>
      </c>
      <c r="AI1569" s="86" t="str">
        <f>+IF(AF1569=$AJ$22,MONTH(U1569),"")</f>
        <v/>
      </c>
      <c r="AJ1569" s="86" t="str">
        <f>+IF(AG1569=$AJ$22,MONTH(V1569),"")</f>
        <v/>
      </c>
      <c r="AK1569" s="86" t="str">
        <f>+IF(AG1569=$AK$22,MONTH(V1569),"")</f>
        <v/>
      </c>
      <c r="AL1569" s="86" t="str">
        <f>+IF(AG1569=$AL$22,MONTH(V1569),"")</f>
        <v/>
      </c>
      <c r="AM1569" s="86" t="str">
        <f>+IF($AG1569=$AM$22,MONTH($D1569),"")</f>
        <v/>
      </c>
      <c r="AN1569" s="89">
        <f>+IF($AG1569=AN$22,MONTH($D1569),"")</f>
        <v>6</v>
      </c>
      <c r="AO1569" s="89" t="str">
        <f>+IF($AG1569=AO$22,MONTH($D1569),"")</f>
        <v/>
      </c>
      <c r="AP1569" s="89" t="str">
        <f>+IF($AG1569=AP$22,MONTH($D1569),"")</f>
        <v/>
      </c>
      <c r="AQ1569" s="89" t="str">
        <f>+IF($AG1569=AQ$22,MONTH($D1569),"")</f>
        <v/>
      </c>
      <c r="AR1569" s="89" t="str">
        <f>+IF($AG1569=AR$22,MONTH($D1569),"")</f>
        <v/>
      </c>
      <c r="AS1569" s="89" t="str">
        <f>+IF($AG1569=AS$22,MONTH($D1569),"")</f>
        <v/>
      </c>
      <c r="AT1569" s="89" t="str">
        <f>+IF($AG1569=AT$22,MONTH($D1569),"")</f>
        <v/>
      </c>
      <c r="AU1569" s="89" t="str">
        <f>+IF($AG1569=AU$22,MONTH($D1569),"")</f>
        <v/>
      </c>
      <c r="AV1569" s="89" t="str">
        <f>+IF($AG1569=AV$22,MONTH($D1569),"")</f>
        <v/>
      </c>
      <c r="AW1569" s="168"/>
      <c r="AX1569" s="168"/>
      <c r="AY1569" s="167"/>
      <c r="AZ1569" s="167"/>
      <c r="BA1569" s="167"/>
      <c r="BB1569" s="167"/>
      <c r="BC1569" s="167"/>
      <c r="BD1569" s="167"/>
      <c r="BE1569" s="167"/>
      <c r="BF1569" s="167"/>
      <c r="BG1569" s="167"/>
      <c r="BH1569" s="167"/>
      <c r="BI1569" s="167"/>
      <c r="BJ1569" s="89"/>
      <c r="BK1569" s="89"/>
      <c r="BL1569" s="89"/>
      <c r="BM1569" s="89"/>
      <c r="BN1569" s="89"/>
      <c r="BO1569" s="89"/>
      <c r="BP1569" s="89"/>
    </row>
    <row r="1570" spans="1:68" s="56" customFormat="1" ht="13.5" hidden="1">
      <c r="A1570" s="204">
        <f>+IFERROR(VALUE(MID(AB1570,4,4)),"")</f>
        <v>246</v>
      </c>
      <c r="B1570" s="204">
        <f>VALUE(RIGHT(C1570,LEN(C1570)-2))</f>
        <v>1155</v>
      </c>
      <c r="C1570" s="74" t="s">
        <v>5773</v>
      </c>
      <c r="D1570" s="75">
        <v>43983</v>
      </c>
      <c r="E1570" s="70" t="s">
        <v>277</v>
      </c>
      <c r="F1570" s="70" t="s">
        <v>277</v>
      </c>
      <c r="G1570" s="68"/>
      <c r="H1570" s="59"/>
      <c r="I1570" s="82" t="s">
        <v>5774</v>
      </c>
      <c r="J1570" s="82"/>
      <c r="K1570" s="68" t="s">
        <v>45</v>
      </c>
      <c r="L1570" s="69" t="s">
        <v>120</v>
      </c>
      <c r="M1570" s="71" t="s">
        <v>141</v>
      </c>
      <c r="N1570" s="69" t="e" vm="1">
        <v>#VALUE!</v>
      </c>
      <c r="O1570" s="84"/>
      <c r="P1570" s="72" t="s">
        <v>402</v>
      </c>
      <c r="Q1570" s="72" t="s">
        <v>389</v>
      </c>
      <c r="R1570" s="162"/>
      <c r="S1570" s="146"/>
      <c r="T1570" s="68" t="s">
        <v>3</v>
      </c>
      <c r="U1570" s="87"/>
      <c r="V1570" s="80">
        <v>43993</v>
      </c>
      <c r="W1570" s="73">
        <v>873</v>
      </c>
      <c r="X1570" s="73">
        <v>41.078000000000003</v>
      </c>
      <c r="Y1570" s="83">
        <f>IF(SUM(W1570:W1570)&gt;0,X1570/SUM(W1570:W1570)*1000000,"N/A")</f>
        <v>47053.837342497143</v>
      </c>
      <c r="Z1570" s="80"/>
      <c r="AA1570" s="80"/>
      <c r="AB1570" s="73" t="s">
        <v>5349</v>
      </c>
      <c r="AC1570" s="153"/>
      <c r="AD1570" s="331"/>
      <c r="AE1570" s="57"/>
      <c r="AF1570" s="88"/>
      <c r="AG1570" s="182">
        <f>YEAR(D1570)</f>
        <v>2020</v>
      </c>
      <c r="AH1570" s="86" t="str">
        <f>+IF(AE1570=$AJ$22,MONTH(T1570),"")</f>
        <v/>
      </c>
      <c r="AI1570" s="86" t="str">
        <f>+IF(AF1570=$AJ$22,MONTH(U1570),"")</f>
        <v/>
      </c>
      <c r="AJ1570" s="86" t="str">
        <f>+IF(AG1570=$AJ$22,MONTH(V1570),"")</f>
        <v/>
      </c>
      <c r="AK1570" s="86" t="str">
        <f>+IF(AG1570=$AK$22,MONTH(V1570),"")</f>
        <v/>
      </c>
      <c r="AL1570" s="86" t="str">
        <f>+IF(AG1570=$AL$22,MONTH(V1570),"")</f>
        <v/>
      </c>
      <c r="AM1570" s="86" t="str">
        <f>+IF($AG1570=$AM$22,MONTH($D1570),"")</f>
        <v/>
      </c>
      <c r="AN1570" s="89">
        <f>+IF($AG1570=AN$22,MONTH($D1570),"")</f>
        <v>6</v>
      </c>
      <c r="AO1570" s="89" t="str">
        <f>+IF($AG1570=AO$22,MONTH($D1570),"")</f>
        <v/>
      </c>
      <c r="AP1570" s="89" t="str">
        <f>+IF($AG1570=AP$22,MONTH($D1570),"")</f>
        <v/>
      </c>
      <c r="AQ1570" s="89" t="str">
        <f>+IF($AG1570=AQ$22,MONTH($D1570),"")</f>
        <v/>
      </c>
      <c r="AR1570" s="89" t="str">
        <f>+IF($AG1570=AR$22,MONTH($D1570),"")</f>
        <v/>
      </c>
      <c r="AS1570" s="89" t="str">
        <f>+IF($AG1570=AS$22,MONTH($D1570),"")</f>
        <v/>
      </c>
      <c r="AT1570" s="89" t="str">
        <f>+IF($AG1570=AT$22,MONTH($D1570),"")</f>
        <v/>
      </c>
      <c r="AU1570" s="89" t="str">
        <f>+IF($AG1570=AU$22,MONTH($D1570),"")</f>
        <v/>
      </c>
      <c r="AV1570" s="89" t="str">
        <f>+IF($AG1570=AV$22,MONTH($D1570),"")</f>
        <v/>
      </c>
      <c r="AW1570" s="86"/>
      <c r="AX1570" s="86"/>
      <c r="AY1570" s="89"/>
      <c r="AZ1570" s="89"/>
      <c r="BA1570" s="89"/>
      <c r="BB1570" s="89"/>
      <c r="BC1570" s="89"/>
      <c r="BD1570" s="89"/>
      <c r="BE1570" s="89"/>
      <c r="BF1570" s="89"/>
      <c r="BG1570" s="89"/>
      <c r="BH1570" s="89"/>
      <c r="BI1570" s="89"/>
      <c r="BJ1570" s="89"/>
      <c r="BK1570" s="89"/>
      <c r="BL1570" s="89"/>
      <c r="BM1570" s="89"/>
      <c r="BN1570" s="89"/>
      <c r="BO1570" s="89"/>
      <c r="BP1570" s="89"/>
    </row>
    <row r="1571" spans="1:68" s="56" customFormat="1" ht="27" hidden="1">
      <c r="A1571" s="204">
        <f>+IFERROR(VALUE(MID(AB1571,4,4)),"")</f>
        <v>233</v>
      </c>
      <c r="B1571" s="204">
        <f>VALUE(RIGHT(C1571,LEN(C1571)-2))</f>
        <v>1154</v>
      </c>
      <c r="C1571" s="74" t="s">
        <v>5775</v>
      </c>
      <c r="D1571" s="75">
        <v>43979</v>
      </c>
      <c r="E1571" s="70" t="s">
        <v>394</v>
      </c>
      <c r="F1571" s="70" t="s">
        <v>2269</v>
      </c>
      <c r="G1571" s="68" t="s">
        <v>5401</v>
      </c>
      <c r="H1571" s="59"/>
      <c r="I1571" s="82" t="s">
        <v>5776</v>
      </c>
      <c r="J1571" s="82"/>
      <c r="K1571" s="68" t="s">
        <v>13</v>
      </c>
      <c r="L1571" s="69" t="s">
        <v>120</v>
      </c>
      <c r="M1571" s="71" t="s">
        <v>141</v>
      </c>
      <c r="N1571" s="69" t="e" vm="1">
        <v>#VALUE!</v>
      </c>
      <c r="O1571" s="84"/>
      <c r="P1571" s="72" t="s">
        <v>666</v>
      </c>
      <c r="Q1571" s="72" t="s">
        <v>229</v>
      </c>
      <c r="R1571" s="162"/>
      <c r="S1571" s="146"/>
      <c r="T1571" s="68" t="s">
        <v>3</v>
      </c>
      <c r="U1571" s="87"/>
      <c r="V1571" s="80">
        <v>43993</v>
      </c>
      <c r="W1571" s="73">
        <v>845</v>
      </c>
      <c r="X1571" s="73">
        <v>25.6</v>
      </c>
      <c r="Y1571" s="83">
        <f>IF(SUM(W1571:W1571)&gt;0,X1571/SUM(W1571:W1571)*1000000,"N/A")</f>
        <v>30295.857988165684</v>
      </c>
      <c r="Z1571" s="80"/>
      <c r="AA1571" s="80"/>
      <c r="AB1571" s="73" t="s">
        <v>5777</v>
      </c>
      <c r="AC1571" s="153"/>
      <c r="AD1571" s="331"/>
      <c r="AE1571" s="57"/>
      <c r="AF1571" s="88"/>
      <c r="AG1571" s="182">
        <f>YEAR(D1571)</f>
        <v>2020</v>
      </c>
      <c r="AH1571" s="86" t="str">
        <f>+IF(AE1571=$AJ$22,MONTH(T1571),"")</f>
        <v/>
      </c>
      <c r="AI1571" s="86" t="str">
        <f>+IF(AF1571=$AJ$22,MONTH(U1571),"")</f>
        <v/>
      </c>
      <c r="AJ1571" s="86" t="str">
        <f>+IF(AG1571=$AJ$22,MONTH(V1571),"")</f>
        <v/>
      </c>
      <c r="AK1571" s="86" t="str">
        <f>+IF(AG1571=$AK$22,MONTH(V1571),"")</f>
        <v/>
      </c>
      <c r="AL1571" s="86" t="str">
        <f>+IF(AG1571=$AL$22,MONTH(V1571),"")</f>
        <v/>
      </c>
      <c r="AM1571" s="86" t="str">
        <f>+IF($AG1571=$AM$22,MONTH($D1571),"")</f>
        <v/>
      </c>
      <c r="AN1571" s="89">
        <f>+IF($AG1571=AN$22,MONTH($D1571),"")</f>
        <v>5</v>
      </c>
      <c r="AO1571" s="89" t="str">
        <f>+IF($AG1571=AO$22,MONTH($D1571),"")</f>
        <v/>
      </c>
      <c r="AP1571" s="89" t="str">
        <f>+IF($AG1571=AP$22,MONTH($D1571),"")</f>
        <v/>
      </c>
      <c r="AQ1571" s="89" t="str">
        <f>+IF($AG1571=AQ$22,MONTH($D1571),"")</f>
        <v/>
      </c>
      <c r="AR1571" s="89" t="str">
        <f>+IF($AG1571=AR$22,MONTH($D1571),"")</f>
        <v/>
      </c>
      <c r="AS1571" s="89" t="str">
        <f>+IF($AG1571=AS$22,MONTH($D1571),"")</f>
        <v/>
      </c>
      <c r="AT1571" s="89" t="str">
        <f>+IF($AG1571=AT$22,MONTH($D1571),"")</f>
        <v/>
      </c>
      <c r="AU1571" s="89" t="str">
        <f>+IF($AG1571=AU$22,MONTH($D1571),"")</f>
        <v/>
      </c>
      <c r="AV1571" s="89" t="str">
        <f>+IF($AG1571=AV$22,MONTH($D1571),"")</f>
        <v/>
      </c>
      <c r="AW1571" s="86"/>
      <c r="AX1571" s="86"/>
      <c r="AY1571" s="89"/>
      <c r="AZ1571" s="89"/>
      <c r="BA1571" s="89"/>
      <c r="BB1571" s="89"/>
      <c r="BC1571" s="89"/>
      <c r="BD1571" s="89"/>
      <c r="BE1571" s="89"/>
      <c r="BF1571" s="89"/>
      <c r="BG1571" s="89"/>
      <c r="BH1571" s="89"/>
      <c r="BI1571" s="89"/>
      <c r="BJ1571" s="89"/>
      <c r="BK1571" s="89"/>
      <c r="BL1571" s="89"/>
      <c r="BM1571" s="89"/>
      <c r="BN1571" s="89"/>
      <c r="BO1571" s="89"/>
      <c r="BP1571" s="89"/>
    </row>
    <row r="1572" spans="1:68" s="56" customFormat="1" ht="27" hidden="1">
      <c r="A1572" s="204" t="str">
        <f>+IFERROR(VALUE(MID(AB1572,4,4)),"")</f>
        <v/>
      </c>
      <c r="B1572" s="204">
        <f>VALUE(RIGHT(C1572,LEN(C1572)-2))</f>
        <v>1153</v>
      </c>
      <c r="C1572" s="74" t="s">
        <v>5778</v>
      </c>
      <c r="D1572" s="75">
        <v>43971</v>
      </c>
      <c r="E1572" s="70" t="s">
        <v>5779</v>
      </c>
      <c r="F1572" s="70" t="s">
        <v>67</v>
      </c>
      <c r="G1572" s="68"/>
      <c r="H1572" s="59"/>
      <c r="I1572" s="82" t="s">
        <v>5780</v>
      </c>
      <c r="J1572" s="82"/>
      <c r="K1572" s="68" t="s">
        <v>13</v>
      </c>
      <c r="L1572" s="69" t="s">
        <v>123</v>
      </c>
      <c r="M1572" s="71" t="s">
        <v>141</v>
      </c>
      <c r="N1572" s="69" t="e" vm="1">
        <v>#VALUE!</v>
      </c>
      <c r="O1572" s="84"/>
      <c r="P1572" s="72" t="s">
        <v>4567</v>
      </c>
      <c r="Q1572" s="72"/>
      <c r="R1572" s="162"/>
      <c r="S1572" s="146"/>
      <c r="T1572" s="68" t="s">
        <v>165</v>
      </c>
      <c r="U1572" s="87"/>
      <c r="V1572" s="80"/>
      <c r="W1572" s="73">
        <v>4735</v>
      </c>
      <c r="X1572" s="73">
        <v>203.8</v>
      </c>
      <c r="Y1572" s="83">
        <f>IF(SUM(W1572:W1572)&gt;0,X1572/SUM(W1572:W1572)*1000000,"N/A")</f>
        <v>43041.182682154169</v>
      </c>
      <c r="Z1572" s="80"/>
      <c r="AA1572" s="80"/>
      <c r="AB1572" s="73"/>
      <c r="AC1572" s="153"/>
      <c r="AD1572" s="331"/>
      <c r="AE1572" s="57"/>
      <c r="AF1572" s="88"/>
      <c r="AG1572" s="182">
        <f>YEAR(D1572)</f>
        <v>2020</v>
      </c>
      <c r="AH1572" s="86" t="str">
        <f>+IF(AE1572=$AJ$22,MONTH(T1572),"")</f>
        <v/>
      </c>
      <c r="AI1572" s="86" t="str">
        <f>+IF(AF1572=$AJ$22,MONTH(U1572),"")</f>
        <v/>
      </c>
      <c r="AJ1572" s="86" t="str">
        <f>+IF(AG1572=$AJ$22,MONTH(V1572),"")</f>
        <v/>
      </c>
      <c r="AK1572" s="86" t="str">
        <f>+IF(AG1572=$AK$22,MONTH(V1572),"")</f>
        <v/>
      </c>
      <c r="AL1572" s="86" t="str">
        <f>+IF(AG1572=$AL$22,MONTH(V1572),"")</f>
        <v/>
      </c>
      <c r="AM1572" s="86" t="str">
        <f>+IF($AG1572=$AM$22,MONTH($D1572),"")</f>
        <v/>
      </c>
      <c r="AN1572" s="89">
        <f>+IF($AG1572=AN$22,MONTH($D1572),"")</f>
        <v>5</v>
      </c>
      <c r="AO1572" s="89" t="str">
        <f>+IF($AG1572=AO$22,MONTH($D1572),"")</f>
        <v/>
      </c>
      <c r="AP1572" s="89" t="str">
        <f>+IF($AG1572=AP$22,MONTH($D1572),"")</f>
        <v/>
      </c>
      <c r="AQ1572" s="89" t="str">
        <f>+IF($AG1572=AQ$22,MONTH($D1572),"")</f>
        <v/>
      </c>
      <c r="AR1572" s="89" t="str">
        <f>+IF($AG1572=AR$22,MONTH($D1572),"")</f>
        <v/>
      </c>
      <c r="AS1572" s="89" t="str">
        <f>+IF($AG1572=AS$22,MONTH($D1572),"")</f>
        <v/>
      </c>
      <c r="AT1572" s="89" t="str">
        <f>+IF($AG1572=AT$22,MONTH($D1572),"")</f>
        <v/>
      </c>
      <c r="AU1572" s="89" t="str">
        <f>+IF($AG1572=AU$22,MONTH($D1572),"")</f>
        <v/>
      </c>
      <c r="AV1572" s="89" t="str">
        <f>+IF($AG1572=AV$22,MONTH($D1572),"")</f>
        <v/>
      </c>
      <c r="AW1572" s="86"/>
      <c r="AX1572" s="86"/>
      <c r="AY1572" s="89"/>
      <c r="AZ1572" s="89"/>
      <c r="BA1572" s="89"/>
      <c r="BB1572" s="89"/>
      <c r="BC1572" s="89"/>
      <c r="BD1572" s="89"/>
      <c r="BE1572" s="89"/>
      <c r="BF1572" s="89"/>
      <c r="BG1572" s="89"/>
      <c r="BH1572" s="89"/>
      <c r="BI1572" s="89"/>
      <c r="BJ1572" s="89"/>
      <c r="BK1572" s="89"/>
      <c r="BL1572" s="89"/>
      <c r="BM1572" s="89"/>
      <c r="BN1572" s="89"/>
      <c r="BO1572" s="89"/>
      <c r="BP1572" s="89"/>
    </row>
    <row r="1573" spans="1:68" s="56" customFormat="1" ht="27" hidden="1">
      <c r="A1573" s="204" t="str">
        <f>+IFERROR(VALUE(MID(AB1573,4,4)),"")</f>
        <v/>
      </c>
      <c r="B1573" s="204">
        <f>VALUE(RIGHT(C1573,LEN(C1573)-2))</f>
        <v>1152</v>
      </c>
      <c r="C1573" s="74" t="s">
        <v>5781</v>
      </c>
      <c r="D1573" s="75">
        <v>43971</v>
      </c>
      <c r="E1573" s="70" t="s">
        <v>394</v>
      </c>
      <c r="F1573" s="70" t="s">
        <v>394</v>
      </c>
      <c r="G1573" s="68"/>
      <c r="H1573" s="59"/>
      <c r="I1573" s="82" t="s">
        <v>5782</v>
      </c>
      <c r="J1573" s="82"/>
      <c r="K1573" s="68" t="s">
        <v>13</v>
      </c>
      <c r="L1573" s="69" t="s">
        <v>120</v>
      </c>
      <c r="M1573" s="71" t="s">
        <v>141</v>
      </c>
      <c r="N1573" s="69" t="e" vm="1">
        <v>#VALUE!</v>
      </c>
      <c r="O1573" s="84"/>
      <c r="P1573" s="72" t="s">
        <v>666</v>
      </c>
      <c r="Q1573" s="72"/>
      <c r="R1573" s="162"/>
      <c r="S1573" s="146"/>
      <c r="T1573" s="68" t="s">
        <v>165</v>
      </c>
      <c r="U1573" s="87"/>
      <c r="V1573" s="80">
        <v>43977</v>
      </c>
      <c r="W1573" s="73">
        <v>1095</v>
      </c>
      <c r="X1573" s="73">
        <v>31.5</v>
      </c>
      <c r="Y1573" s="83">
        <f>IF(SUM(W1573:W1573)&gt;0,X1573/SUM(W1573:W1573)*1000000,"N/A")</f>
        <v>28767.123287671231</v>
      </c>
      <c r="Z1573" s="80"/>
      <c r="AA1573" s="80"/>
      <c r="AB1573" s="73"/>
      <c r="AC1573" s="153"/>
      <c r="AD1573" s="331"/>
      <c r="AE1573" s="57"/>
      <c r="AF1573" s="88"/>
      <c r="AG1573" s="182">
        <f>YEAR(D1573)</f>
        <v>2020</v>
      </c>
      <c r="AH1573" s="86" t="str">
        <f>+IF(AE1573=$AJ$22,MONTH(T1573),"")</f>
        <v/>
      </c>
      <c r="AI1573" s="86" t="str">
        <f>+IF(AF1573=$AJ$22,MONTH(U1573),"")</f>
        <v/>
      </c>
      <c r="AJ1573" s="86" t="str">
        <f>+IF(AG1573=$AJ$22,MONTH(V1573),"")</f>
        <v/>
      </c>
      <c r="AK1573" s="86" t="str">
        <f>+IF(AG1573=$AK$22,MONTH(V1573),"")</f>
        <v/>
      </c>
      <c r="AL1573" s="86" t="str">
        <f>+IF(AG1573=$AL$22,MONTH(V1573),"")</f>
        <v/>
      </c>
      <c r="AM1573" s="86" t="str">
        <f>+IF($AG1573=$AM$22,MONTH($D1573),"")</f>
        <v/>
      </c>
      <c r="AN1573" s="89">
        <f>+IF($AG1573=AN$22,MONTH($D1573),"")</f>
        <v>5</v>
      </c>
      <c r="AO1573" s="89" t="str">
        <f>+IF($AG1573=AO$22,MONTH($D1573),"")</f>
        <v/>
      </c>
      <c r="AP1573" s="89" t="str">
        <f>+IF($AG1573=AP$22,MONTH($D1573),"")</f>
        <v/>
      </c>
      <c r="AQ1573" s="89" t="str">
        <f>+IF($AG1573=AQ$22,MONTH($D1573),"")</f>
        <v/>
      </c>
      <c r="AR1573" s="89" t="str">
        <f>+IF($AG1573=AR$22,MONTH($D1573),"")</f>
        <v/>
      </c>
      <c r="AS1573" s="89" t="str">
        <f>+IF($AG1573=AS$22,MONTH($D1573),"")</f>
        <v/>
      </c>
      <c r="AT1573" s="89" t="str">
        <f>+IF($AG1573=AT$22,MONTH($D1573),"")</f>
        <v/>
      </c>
      <c r="AU1573" s="89" t="str">
        <f>+IF($AG1573=AU$22,MONTH($D1573),"")</f>
        <v/>
      </c>
      <c r="AV1573" s="89" t="str">
        <f>+IF($AG1573=AV$22,MONTH($D1573),"")</f>
        <v/>
      </c>
      <c r="AW1573" s="86"/>
      <c r="AX1573" s="86"/>
      <c r="AY1573" s="89"/>
      <c r="AZ1573" s="89"/>
      <c r="BA1573" s="89"/>
      <c r="BB1573" s="89"/>
      <c r="BC1573" s="89"/>
      <c r="BD1573" s="89"/>
      <c r="BE1573" s="89"/>
      <c r="BF1573" s="89"/>
      <c r="BG1573" s="89"/>
      <c r="BH1573" s="89"/>
      <c r="BI1573" s="89"/>
      <c r="BJ1573" s="89"/>
      <c r="BK1573" s="89"/>
      <c r="BL1573" s="89"/>
      <c r="BM1573" s="89"/>
      <c r="BN1573" s="89"/>
      <c r="BO1573" s="89"/>
      <c r="BP1573" s="89"/>
    </row>
    <row r="1574" spans="1:68" s="56" customFormat="1" ht="27" hidden="1">
      <c r="A1574" s="204" t="str">
        <f>+IFERROR(VALUE(MID(AB1574,4,4)),"")</f>
        <v/>
      </c>
      <c r="B1574" s="204">
        <f>VALUE(RIGHT(C1574,LEN(C1574)-2))</f>
        <v>1151</v>
      </c>
      <c r="C1574" s="74" t="s">
        <v>5783</v>
      </c>
      <c r="D1574" s="75">
        <v>43971</v>
      </c>
      <c r="E1574" s="70" t="s">
        <v>5784</v>
      </c>
      <c r="F1574" s="70" t="s">
        <v>5785</v>
      </c>
      <c r="G1574" s="68" t="s">
        <v>5786</v>
      </c>
      <c r="H1574" s="59"/>
      <c r="I1574" s="82" t="s">
        <v>5787</v>
      </c>
      <c r="J1574" s="82"/>
      <c r="K1574" s="68" t="s">
        <v>13</v>
      </c>
      <c r="L1574" s="69" t="s">
        <v>123</v>
      </c>
      <c r="M1574" s="71" t="s">
        <v>141</v>
      </c>
      <c r="N1574" s="69" t="e" vm="1">
        <v>#VALUE!</v>
      </c>
      <c r="O1574" s="84"/>
      <c r="P1574" s="72" t="s">
        <v>4567</v>
      </c>
      <c r="Q1574" s="72"/>
      <c r="R1574" s="162"/>
      <c r="S1574" s="146" t="s">
        <v>5788</v>
      </c>
      <c r="T1574" s="68" t="s">
        <v>165</v>
      </c>
      <c r="U1574" s="87">
        <v>0</v>
      </c>
      <c r="V1574" s="80">
        <v>44424</v>
      </c>
      <c r="W1574" s="73">
        <v>24921</v>
      </c>
      <c r="X1574" s="73">
        <f>72.192*12</f>
        <v>866.30399999999986</v>
      </c>
      <c r="Y1574" s="83">
        <f>IF(SUM(W1574:W1574)&gt;0,X1574/SUM(W1574:W1574)*1000000,"N/A")</f>
        <v>34762.007945106532</v>
      </c>
      <c r="Z1574" s="80"/>
      <c r="AA1574" s="80"/>
      <c r="AB1574" s="73"/>
      <c r="AC1574" s="153"/>
      <c r="AD1574" s="331"/>
      <c r="AE1574" s="57"/>
      <c r="AF1574" s="88"/>
      <c r="AG1574" s="182">
        <f>YEAR(D1574)</f>
        <v>2020</v>
      </c>
      <c r="AH1574" s="86" t="str">
        <f>+IF(AE1574=$AJ$22,MONTH(T1574),"")</f>
        <v/>
      </c>
      <c r="AI1574" s="86" t="str">
        <f>+IF(AF1574=$AJ$22,MONTH(U1574),"")</f>
        <v/>
      </c>
      <c r="AJ1574" s="86" t="str">
        <f>+IF(AG1574=$AJ$22,MONTH(V1574),"")</f>
        <v/>
      </c>
      <c r="AK1574" s="86" t="str">
        <f>+IF(AG1574=$AK$22,MONTH(V1574),"")</f>
        <v/>
      </c>
      <c r="AL1574" s="86" t="str">
        <f>+IF(AG1574=$AL$22,MONTH(V1574),"")</f>
        <v/>
      </c>
      <c r="AM1574" s="86" t="str">
        <f>+IF($AG1574=$AM$22,MONTH($D1574),"")</f>
        <v/>
      </c>
      <c r="AN1574" s="89">
        <f>+IF($AG1574=AN$22,MONTH($D1574),"")</f>
        <v>5</v>
      </c>
      <c r="AO1574" s="89" t="str">
        <f>+IF($AG1574=AO$22,MONTH($D1574),"")</f>
        <v/>
      </c>
      <c r="AP1574" s="89" t="str">
        <f>+IF($AG1574=AP$22,MONTH($D1574),"")</f>
        <v/>
      </c>
      <c r="AQ1574" s="89" t="str">
        <f>+IF($AG1574=AQ$22,MONTH($D1574),"")</f>
        <v/>
      </c>
      <c r="AR1574" s="89" t="str">
        <f>+IF($AG1574=AR$22,MONTH($D1574),"")</f>
        <v/>
      </c>
      <c r="AS1574" s="89" t="str">
        <f>+IF($AG1574=AS$22,MONTH($D1574),"")</f>
        <v/>
      </c>
      <c r="AT1574" s="89" t="str">
        <f>+IF($AG1574=AT$22,MONTH($D1574),"")</f>
        <v/>
      </c>
      <c r="AU1574" s="89" t="str">
        <f>+IF($AG1574=AU$22,MONTH($D1574),"")</f>
        <v/>
      </c>
      <c r="AV1574" s="89" t="str">
        <f>+IF($AG1574=AV$22,MONTH($D1574),"")</f>
        <v/>
      </c>
      <c r="AW1574" s="86" t="str">
        <f>+IF($AG1574=AW$22,MONTH($D1574),"")</f>
        <v/>
      </c>
      <c r="AX1574" s="86" t="str">
        <f>+IF($AG1574=AX$22,MONTH($D1574),"")</f>
        <v/>
      </c>
      <c r="AY1574" s="89"/>
      <c r="AZ1574" s="89"/>
      <c r="BA1574" s="89"/>
      <c r="BB1574" s="89"/>
      <c r="BC1574" s="89"/>
      <c r="BD1574" s="89"/>
      <c r="BE1574" s="89"/>
      <c r="BF1574" s="89"/>
      <c r="BG1574" s="89"/>
      <c r="BH1574" s="89"/>
      <c r="BI1574" s="89"/>
      <c r="BJ1574" s="89"/>
      <c r="BK1574" s="89"/>
      <c r="BL1574" s="89"/>
      <c r="BM1574" s="89"/>
      <c r="BN1574" s="89"/>
      <c r="BO1574" s="89"/>
      <c r="BP1574" s="89"/>
    </row>
    <row r="1575" spans="1:68" s="56" customFormat="1" ht="13.5" hidden="1">
      <c r="A1575" s="204" t="str">
        <f>+IFERROR(VALUE(MID(AB1575,4,4)),"")</f>
        <v/>
      </c>
      <c r="B1575" s="204">
        <f>VALUE(RIGHT(C1575,LEN(C1575)-2))</f>
        <v>1150</v>
      </c>
      <c r="C1575" s="74" t="s">
        <v>5789</v>
      </c>
      <c r="D1575" s="75">
        <v>43971</v>
      </c>
      <c r="E1575" s="70" t="s">
        <v>5790</v>
      </c>
      <c r="F1575" s="70" t="s">
        <v>67</v>
      </c>
      <c r="G1575" s="68"/>
      <c r="H1575" s="59"/>
      <c r="I1575" s="82" t="s">
        <v>5791</v>
      </c>
      <c r="J1575" s="82"/>
      <c r="K1575" s="68" t="s">
        <v>13</v>
      </c>
      <c r="L1575" s="69" t="s">
        <v>123</v>
      </c>
      <c r="M1575" s="71" t="s">
        <v>141</v>
      </c>
      <c r="N1575" s="69" t="e" vm="1">
        <v>#VALUE!</v>
      </c>
      <c r="O1575" s="84"/>
      <c r="P1575" s="72" t="s">
        <v>4567</v>
      </c>
      <c r="Q1575" s="72"/>
      <c r="R1575" s="162"/>
      <c r="S1575" s="146"/>
      <c r="T1575" s="68" t="s">
        <v>165</v>
      </c>
      <c r="U1575" s="87"/>
      <c r="V1575" s="80"/>
      <c r="W1575" s="73">
        <v>4735</v>
      </c>
      <c r="X1575" s="73">
        <v>203.8</v>
      </c>
      <c r="Y1575" s="83">
        <f>IF(SUM(W1575:W1575)&gt;0,X1575/SUM(W1575:W1575)*1000000,"N/A")</f>
        <v>43041.182682154169</v>
      </c>
      <c r="Z1575" s="80"/>
      <c r="AA1575" s="80"/>
      <c r="AB1575" s="73"/>
      <c r="AC1575" s="153"/>
      <c r="AD1575" s="331"/>
      <c r="AE1575" s="57"/>
      <c r="AF1575" s="88"/>
      <c r="AG1575" s="182">
        <f>YEAR(D1575)</f>
        <v>2020</v>
      </c>
      <c r="AH1575" s="86" t="str">
        <f>+IF(AE1575=$AJ$22,MONTH(T1575),"")</f>
        <v/>
      </c>
      <c r="AI1575" s="86" t="str">
        <f>+IF(AF1575=$AJ$22,MONTH(U1575),"")</f>
        <v/>
      </c>
      <c r="AJ1575" s="86" t="str">
        <f>+IF(AG1575=$AJ$22,MONTH(V1575),"")</f>
        <v/>
      </c>
      <c r="AK1575" s="86" t="str">
        <f>+IF(AG1575=$AK$22,MONTH(V1575),"")</f>
        <v/>
      </c>
      <c r="AL1575" s="86" t="str">
        <f>+IF(AG1575=$AL$22,MONTH(V1575),"")</f>
        <v/>
      </c>
      <c r="AM1575" s="86" t="str">
        <f>+IF($AG1575=$AM$22,MONTH($D1575),"")</f>
        <v/>
      </c>
      <c r="AN1575" s="89">
        <f>+IF($AG1575=AN$22,MONTH($D1575),"")</f>
        <v>5</v>
      </c>
      <c r="AO1575" s="89" t="str">
        <f>+IF($AG1575=AO$22,MONTH($D1575),"")</f>
        <v/>
      </c>
      <c r="AP1575" s="89" t="str">
        <f>+IF($AG1575=AP$22,MONTH($D1575),"")</f>
        <v/>
      </c>
      <c r="AQ1575" s="89" t="str">
        <f>+IF($AG1575=AQ$22,MONTH($D1575),"")</f>
        <v/>
      </c>
      <c r="AR1575" s="89" t="str">
        <f>+IF($AG1575=AR$22,MONTH($D1575),"")</f>
        <v/>
      </c>
      <c r="AS1575" s="89" t="str">
        <f>+IF($AG1575=AS$22,MONTH($D1575),"")</f>
        <v/>
      </c>
      <c r="AT1575" s="89" t="str">
        <f>+IF($AG1575=AT$22,MONTH($D1575),"")</f>
        <v/>
      </c>
      <c r="AU1575" s="89" t="str">
        <f>+IF($AG1575=AU$22,MONTH($D1575),"")</f>
        <v/>
      </c>
      <c r="AV1575" s="89" t="str">
        <f>+IF($AG1575=AV$22,MONTH($D1575),"")</f>
        <v/>
      </c>
      <c r="AW1575" s="86"/>
      <c r="AX1575" s="86"/>
      <c r="AY1575" s="89"/>
      <c r="AZ1575" s="89"/>
      <c r="BA1575" s="89"/>
      <c r="BB1575" s="89"/>
      <c r="BC1575" s="89"/>
      <c r="BD1575" s="89"/>
      <c r="BE1575" s="89"/>
      <c r="BF1575" s="89"/>
      <c r="BG1575" s="89"/>
      <c r="BH1575" s="89"/>
      <c r="BI1575" s="89"/>
      <c r="BJ1575" s="89"/>
      <c r="BK1575" s="89"/>
      <c r="BL1575" s="89"/>
      <c r="BM1575" s="89"/>
      <c r="BN1575" s="89"/>
      <c r="BO1575" s="89"/>
      <c r="BP1575" s="89"/>
    </row>
    <row r="1576" spans="1:68" s="56" customFormat="1" ht="27" hidden="1">
      <c r="A1576" s="204" t="str">
        <f>+IFERROR(VALUE(MID(AB1576,4,4)),"")</f>
        <v/>
      </c>
      <c r="B1576" s="204">
        <f>VALUE(RIGHT(C1576,LEN(C1576)-2))</f>
        <v>1149</v>
      </c>
      <c r="C1576" s="74" t="s">
        <v>5792</v>
      </c>
      <c r="D1576" s="75">
        <v>43971</v>
      </c>
      <c r="E1576" s="70" t="s">
        <v>5758</v>
      </c>
      <c r="F1576" s="70" t="s">
        <v>67</v>
      </c>
      <c r="G1576" s="68"/>
      <c r="H1576" s="59"/>
      <c r="I1576" s="82" t="s">
        <v>5793</v>
      </c>
      <c r="J1576" s="82"/>
      <c r="K1576" s="68" t="s">
        <v>13</v>
      </c>
      <c r="L1576" s="69" t="s">
        <v>123</v>
      </c>
      <c r="M1576" s="71" t="s">
        <v>141</v>
      </c>
      <c r="N1576" s="69" t="e" vm="1">
        <v>#VALUE!</v>
      </c>
      <c r="O1576" s="84"/>
      <c r="P1576" s="72" t="s">
        <v>402</v>
      </c>
      <c r="Q1576" s="72"/>
      <c r="R1576" s="162"/>
      <c r="S1576" s="146"/>
      <c r="T1576" s="68" t="s">
        <v>165</v>
      </c>
      <c r="U1576" s="87"/>
      <c r="V1576" s="80"/>
      <c r="W1576" s="73">
        <v>4735</v>
      </c>
      <c r="X1576" s="73">
        <v>203.8</v>
      </c>
      <c r="Y1576" s="83">
        <f>IF(SUM(W1576:W1576)&gt;0,X1576/SUM(W1576:W1576)*1000000,"N/A")</f>
        <v>43041.182682154169</v>
      </c>
      <c r="Z1576" s="80"/>
      <c r="AA1576" s="80"/>
      <c r="AB1576" s="73"/>
      <c r="AC1576" s="153"/>
      <c r="AD1576" s="331"/>
      <c r="AE1576" s="57"/>
      <c r="AF1576" s="88"/>
      <c r="AG1576" s="182">
        <f>YEAR(D1576)</f>
        <v>2020</v>
      </c>
      <c r="AH1576" s="86" t="str">
        <f>+IF(AE1576=$AJ$22,MONTH(T1576),"")</f>
        <v/>
      </c>
      <c r="AI1576" s="86" t="str">
        <f>+IF(AF1576=$AJ$22,MONTH(U1576),"")</f>
        <v/>
      </c>
      <c r="AJ1576" s="86" t="str">
        <f>+IF(AG1576=$AJ$22,MONTH(V1576),"")</f>
        <v/>
      </c>
      <c r="AK1576" s="86" t="str">
        <f>+IF(AG1576=$AK$22,MONTH(V1576),"")</f>
        <v/>
      </c>
      <c r="AL1576" s="86" t="str">
        <f>+IF(AG1576=$AL$22,MONTH(V1576),"")</f>
        <v/>
      </c>
      <c r="AM1576" s="86" t="str">
        <f>+IF($AG1576=$AM$22,MONTH($D1576),"")</f>
        <v/>
      </c>
      <c r="AN1576" s="89">
        <f>+IF($AG1576=AN$22,MONTH($D1576),"")</f>
        <v>5</v>
      </c>
      <c r="AO1576" s="89" t="str">
        <f>+IF($AG1576=AO$22,MONTH($D1576),"")</f>
        <v/>
      </c>
      <c r="AP1576" s="89" t="str">
        <f>+IF($AG1576=AP$22,MONTH($D1576),"")</f>
        <v/>
      </c>
      <c r="AQ1576" s="89" t="str">
        <f>+IF($AG1576=AQ$22,MONTH($D1576),"")</f>
        <v/>
      </c>
      <c r="AR1576" s="89" t="str">
        <f>+IF($AG1576=AR$22,MONTH($D1576),"")</f>
        <v/>
      </c>
      <c r="AS1576" s="89" t="str">
        <f>+IF($AG1576=AS$22,MONTH($D1576),"")</f>
        <v/>
      </c>
      <c r="AT1576" s="89" t="str">
        <f>+IF($AG1576=AT$22,MONTH($D1576),"")</f>
        <v/>
      </c>
      <c r="AU1576" s="89" t="str">
        <f>+IF($AG1576=AU$22,MONTH($D1576),"")</f>
        <v/>
      </c>
      <c r="AV1576" s="89" t="str">
        <f>+IF($AG1576=AV$22,MONTH($D1576),"")</f>
        <v/>
      </c>
      <c r="AW1576" s="86"/>
      <c r="AX1576" s="86"/>
      <c r="AY1576" s="89"/>
      <c r="AZ1576" s="89"/>
      <c r="BA1576" s="89"/>
      <c r="BB1576" s="89"/>
      <c r="BC1576" s="89"/>
      <c r="BD1576" s="89"/>
      <c r="BE1576" s="89"/>
      <c r="BF1576" s="89"/>
      <c r="BG1576" s="89"/>
      <c r="BH1576" s="89"/>
      <c r="BI1576" s="89"/>
      <c r="BJ1576" s="89"/>
      <c r="BK1576" s="89"/>
      <c r="BL1576" s="89"/>
      <c r="BM1576" s="89"/>
      <c r="BN1576" s="89"/>
      <c r="BO1576" s="89"/>
      <c r="BP1576" s="89"/>
    </row>
    <row r="1577" spans="1:68" s="56" customFormat="1" ht="27" hidden="1">
      <c r="A1577" s="204">
        <f>+IFERROR(VALUE(MID(AB1577,4,4)),"")</f>
        <v>243</v>
      </c>
      <c r="B1577" s="204">
        <f>VALUE(RIGHT(C1577,LEN(C1577)-2))</f>
        <v>1148</v>
      </c>
      <c r="C1577" s="74" t="s">
        <v>5794</v>
      </c>
      <c r="D1577" s="75">
        <v>43971</v>
      </c>
      <c r="E1577" s="70" t="s">
        <v>74</v>
      </c>
      <c r="F1577" s="70" t="s">
        <v>67</v>
      </c>
      <c r="G1577" s="68"/>
      <c r="H1577" s="59"/>
      <c r="I1577" s="69" t="s">
        <v>5795</v>
      </c>
      <c r="J1577" s="69"/>
      <c r="K1577" s="68" t="s">
        <v>13</v>
      </c>
      <c r="L1577" s="69" t="s">
        <v>123</v>
      </c>
      <c r="M1577" s="71" t="s">
        <v>141</v>
      </c>
      <c r="N1577" s="69" t="e" vm="1">
        <v>#VALUE!</v>
      </c>
      <c r="O1577" s="84"/>
      <c r="P1577" s="72" t="s">
        <v>402</v>
      </c>
      <c r="Q1577" s="72"/>
      <c r="R1577" s="162"/>
      <c r="S1577" s="146"/>
      <c r="T1577" s="68" t="s">
        <v>155</v>
      </c>
      <c r="U1577" s="87"/>
      <c r="V1577" s="80">
        <v>43973</v>
      </c>
      <c r="W1577" s="73">
        <v>4775</v>
      </c>
      <c r="X1577" s="73">
        <f>7099*28700/1000000</f>
        <v>203.7413</v>
      </c>
      <c r="Y1577" s="83">
        <f>IF(SUM(W1577:W1577)&gt;0,X1577/SUM(W1577:W1577)*1000000,"N/A")</f>
        <v>42668.33507853403</v>
      </c>
      <c r="Z1577" s="80"/>
      <c r="AA1577" s="80"/>
      <c r="AB1577" s="73" t="s">
        <v>5796</v>
      </c>
      <c r="AC1577" s="153"/>
      <c r="AD1577" s="331"/>
      <c r="AE1577" s="57"/>
      <c r="AF1577" s="88"/>
      <c r="AG1577" s="182">
        <f>YEAR(D1577)</f>
        <v>2020</v>
      </c>
      <c r="AH1577" s="86" t="str">
        <f>+IF(AE1577=$AJ$22,MONTH(T1577),"")</f>
        <v/>
      </c>
      <c r="AI1577" s="86" t="str">
        <f>+IF(AF1577=$AJ$22,MONTH(U1577),"")</f>
        <v/>
      </c>
      <c r="AJ1577" s="86" t="str">
        <f>+IF(AG1577=$AJ$22,MONTH(V1577),"")</f>
        <v/>
      </c>
      <c r="AK1577" s="86" t="str">
        <f>+IF(AG1577=$AK$22,MONTH(V1577),"")</f>
        <v/>
      </c>
      <c r="AL1577" s="86" t="str">
        <f>+IF(AG1577=$AL$22,MONTH(V1577),"")</f>
        <v/>
      </c>
      <c r="AM1577" s="86" t="str">
        <f>+IF($AG1577=$AM$22,MONTH($D1577),"")</f>
        <v/>
      </c>
      <c r="AN1577" s="89">
        <f>+IF($AG1577=AN$22,MONTH($D1577),"")</f>
        <v>5</v>
      </c>
      <c r="AO1577" s="89" t="str">
        <f>+IF($AG1577=AO$22,MONTH($D1577),"")</f>
        <v/>
      </c>
      <c r="AP1577" s="89" t="str">
        <f>+IF($AG1577=AP$22,MONTH($D1577),"")</f>
        <v/>
      </c>
      <c r="AQ1577" s="89" t="str">
        <f>+IF($AG1577=AQ$22,MONTH($D1577),"")</f>
        <v/>
      </c>
      <c r="AR1577" s="89" t="str">
        <f>+IF($AG1577=AR$22,MONTH($D1577),"")</f>
        <v/>
      </c>
      <c r="AS1577" s="89" t="str">
        <f>+IF($AG1577=AS$22,MONTH($D1577),"")</f>
        <v/>
      </c>
      <c r="AT1577" s="89" t="str">
        <f>+IF($AG1577=AT$22,MONTH($D1577),"")</f>
        <v/>
      </c>
      <c r="AU1577" s="89" t="str">
        <f>+IF($AG1577=AU$22,MONTH($D1577),"")</f>
        <v/>
      </c>
      <c r="AV1577" s="89" t="str">
        <f>+IF($AG1577=AV$22,MONTH($D1577),"")</f>
        <v/>
      </c>
      <c r="AW1577" s="86" t="str">
        <f>+IF($AG1577=AW$22,MONTH($D1577),"")</f>
        <v/>
      </c>
      <c r="AX1577" s="86" t="str">
        <f>+IF($AG1577=AX$22,MONTH($D1577),"")</f>
        <v/>
      </c>
      <c r="AY1577" s="89"/>
      <c r="AZ1577" s="89"/>
      <c r="BA1577" s="89"/>
      <c r="BB1577" s="89"/>
      <c r="BC1577" s="89"/>
      <c r="BD1577" s="89"/>
      <c r="BE1577" s="89"/>
      <c r="BF1577" s="89"/>
      <c r="BG1577" s="89"/>
      <c r="BH1577" s="89"/>
      <c r="BI1577" s="89"/>
      <c r="BJ1577" s="89"/>
      <c r="BK1577" s="89"/>
      <c r="BL1577" s="89"/>
      <c r="BM1577" s="89"/>
      <c r="BN1577" s="89"/>
      <c r="BO1577" s="89"/>
      <c r="BP1577" s="89"/>
    </row>
    <row r="1578" spans="1:68" s="56" customFormat="1" ht="27" hidden="1">
      <c r="A1578" s="204">
        <f>+IFERROR(VALUE(MID(AB1578,4,4)),"")</f>
        <v>219</v>
      </c>
      <c r="B1578" s="204">
        <f>VALUE(RIGHT(C1578,LEN(C1578)-2))</f>
        <v>1147</v>
      </c>
      <c r="C1578" s="74" t="s">
        <v>5797</v>
      </c>
      <c r="D1578" s="75">
        <v>43970</v>
      </c>
      <c r="E1578" s="70" t="s">
        <v>41</v>
      </c>
      <c r="F1578" s="70" t="s">
        <v>41</v>
      </c>
      <c r="G1578" s="68"/>
      <c r="H1578" s="59"/>
      <c r="I1578" s="69" t="s">
        <v>5798</v>
      </c>
      <c r="J1578" s="69"/>
      <c r="K1578" s="68" t="s">
        <v>13</v>
      </c>
      <c r="L1578" s="69" t="s">
        <v>129</v>
      </c>
      <c r="M1578" s="71" t="s">
        <v>141</v>
      </c>
      <c r="N1578" s="69" t="e" vm="1">
        <v>#VALUE!</v>
      </c>
      <c r="O1578" s="84"/>
      <c r="P1578" s="72" t="s">
        <v>402</v>
      </c>
      <c r="Q1578" s="72" t="s">
        <v>623</v>
      </c>
      <c r="R1578" s="162"/>
      <c r="S1578" s="146"/>
      <c r="T1578" s="68" t="s">
        <v>3</v>
      </c>
      <c r="U1578" s="87"/>
      <c r="V1578" s="80">
        <v>43983</v>
      </c>
      <c r="W1578" s="73">
        <v>917</v>
      </c>
      <c r="X1578" s="73">
        <f>1000*28700/1000000</f>
        <v>28.7</v>
      </c>
      <c r="Y1578" s="83">
        <f>IF(SUM(W1578:W1578)&gt;0,X1578/SUM(W1578:W1578)*1000000,"N/A")</f>
        <v>31297.709923664126</v>
      </c>
      <c r="Z1578" s="80"/>
      <c r="AA1578" s="80"/>
      <c r="AB1578" s="73" t="s">
        <v>5799</v>
      </c>
      <c r="AC1578" s="153"/>
      <c r="AD1578" s="331"/>
      <c r="AE1578" s="57"/>
      <c r="AF1578" s="88"/>
      <c r="AG1578" s="182">
        <f>YEAR(D1578)</f>
        <v>2020</v>
      </c>
      <c r="AH1578" s="86" t="str">
        <f>+IF(AE1578=$AJ$22,MONTH(T1578),"")</f>
        <v/>
      </c>
      <c r="AI1578" s="86" t="str">
        <f>+IF(AF1578=$AJ$22,MONTH(U1578),"")</f>
        <v/>
      </c>
      <c r="AJ1578" s="86" t="str">
        <f>+IF(AG1578=$AJ$22,MONTH(V1578),"")</f>
        <v/>
      </c>
      <c r="AK1578" s="86" t="str">
        <f>+IF(AG1578=$AK$22,MONTH(V1578),"")</f>
        <v/>
      </c>
      <c r="AL1578" s="86" t="str">
        <f>+IF(AG1578=$AL$22,MONTH(V1578),"")</f>
        <v/>
      </c>
      <c r="AM1578" s="86" t="str">
        <f>+IF($AG1578=$AM$22,MONTH($D1578),"")</f>
        <v/>
      </c>
      <c r="AN1578" s="89">
        <f>+IF($AG1578=AN$22,MONTH($D1578),"")</f>
        <v>5</v>
      </c>
      <c r="AO1578" s="89" t="str">
        <f>+IF($AG1578=AO$22,MONTH($D1578),"")</f>
        <v/>
      </c>
      <c r="AP1578" s="89" t="str">
        <f>+IF($AG1578=AP$22,MONTH($D1578),"")</f>
        <v/>
      </c>
      <c r="AQ1578" s="89" t="str">
        <f>+IF($AG1578=AQ$22,MONTH($D1578),"")</f>
        <v/>
      </c>
      <c r="AR1578" s="89" t="str">
        <f>+IF($AG1578=AR$22,MONTH($D1578),"")</f>
        <v/>
      </c>
      <c r="AS1578" s="89" t="str">
        <f>+IF($AG1578=AS$22,MONTH($D1578),"")</f>
        <v/>
      </c>
      <c r="AT1578" s="89" t="str">
        <f>+IF($AG1578=AT$22,MONTH($D1578),"")</f>
        <v/>
      </c>
      <c r="AU1578" s="89" t="str">
        <f>+IF($AG1578=AU$22,MONTH($D1578),"")</f>
        <v/>
      </c>
      <c r="AV1578" s="89" t="str">
        <f>+IF($AG1578=AV$22,MONTH($D1578),"")</f>
        <v/>
      </c>
      <c r="AW1578" s="86" t="str">
        <f>+IF($AG1578=AW$22,MONTH($D1578),"")</f>
        <v/>
      </c>
      <c r="AX1578" s="86" t="str">
        <f>+IF($AG1578=AX$22,MONTH($D1578),"")</f>
        <v/>
      </c>
      <c r="AY1578" s="89"/>
      <c r="AZ1578" s="89"/>
      <c r="BA1578" s="89"/>
      <c r="BB1578" s="89"/>
      <c r="BC1578" s="89"/>
      <c r="BD1578" s="89"/>
      <c r="BE1578" s="89"/>
      <c r="BF1578" s="89"/>
      <c r="BG1578" s="89"/>
      <c r="BH1578" s="89"/>
      <c r="BI1578" s="89"/>
      <c r="BJ1578" s="89"/>
      <c r="BK1578" s="89"/>
      <c r="BL1578" s="89"/>
      <c r="BM1578" s="89"/>
      <c r="BN1578" s="89"/>
      <c r="BO1578" s="89"/>
      <c r="BP1578" s="89"/>
    </row>
    <row r="1579" spans="1:68" s="56" customFormat="1" ht="13.5" hidden="1">
      <c r="A1579" s="204">
        <f>+IFERROR(VALUE(MID(AB1579,4,4)),"")</f>
        <v>240</v>
      </c>
      <c r="B1579" s="204">
        <f>VALUE(RIGHT(C1579,LEN(C1579)-2))</f>
        <v>1146</v>
      </c>
      <c r="C1579" s="74" t="s">
        <v>5800</v>
      </c>
      <c r="D1579" s="75">
        <v>43957</v>
      </c>
      <c r="E1579" s="70" t="s">
        <v>71</v>
      </c>
      <c r="F1579" s="70" t="s">
        <v>5382</v>
      </c>
      <c r="G1579" s="68"/>
      <c r="H1579" s="59"/>
      <c r="I1579" s="69" t="s">
        <v>5801</v>
      </c>
      <c r="J1579" s="69"/>
      <c r="K1579" s="68" t="s">
        <v>13</v>
      </c>
      <c r="L1579" s="69" t="s">
        <v>120</v>
      </c>
      <c r="M1579" s="71" t="s">
        <v>141</v>
      </c>
      <c r="N1579" s="69" t="e" vm="1">
        <v>#VALUE!</v>
      </c>
      <c r="O1579" s="84">
        <v>43957</v>
      </c>
      <c r="P1579" s="72" t="s">
        <v>4567</v>
      </c>
      <c r="Q1579" s="72" t="s">
        <v>623</v>
      </c>
      <c r="R1579" s="162"/>
      <c r="S1579" s="146"/>
      <c r="T1579" s="68" t="s">
        <v>3</v>
      </c>
      <c r="U1579" s="87"/>
      <c r="V1579" s="80">
        <v>43957</v>
      </c>
      <c r="W1579" s="73">
        <v>1189</v>
      </c>
      <c r="X1579" s="73">
        <f>33.947</f>
        <v>33.947000000000003</v>
      </c>
      <c r="Y1579" s="83">
        <f>IF(SUM(W1579:W1579)&gt;0,X1579/SUM(W1579:W1579)*1000000,"N/A")</f>
        <v>28550.883095037847</v>
      </c>
      <c r="Z1579" s="80"/>
      <c r="AA1579" s="80"/>
      <c r="AB1579" s="73" t="s">
        <v>5700</v>
      </c>
      <c r="AC1579" s="153"/>
      <c r="AD1579" s="331"/>
      <c r="AE1579" s="57"/>
      <c r="AF1579" s="88"/>
      <c r="AG1579" s="182">
        <f>YEAR(D1579)</f>
        <v>2020</v>
      </c>
      <c r="AH1579" s="86" t="str">
        <f>+IF(AE1579=$AJ$22,MONTH(T1579),"")</f>
        <v/>
      </c>
      <c r="AI1579" s="86" t="str">
        <f>+IF(AF1579=$AJ$22,MONTH(U1579),"")</f>
        <v/>
      </c>
      <c r="AJ1579" s="86" t="str">
        <f>+IF(AG1579=$AJ$22,MONTH(V1579),"")</f>
        <v/>
      </c>
      <c r="AK1579" s="86" t="str">
        <f>+IF(AG1579=$AK$22,MONTH(V1579),"")</f>
        <v/>
      </c>
      <c r="AL1579" s="86" t="str">
        <f>+IF(AG1579=$AL$22,MONTH(V1579),"")</f>
        <v/>
      </c>
      <c r="AM1579" s="86" t="str">
        <f>+IF($AG1579=$AM$22,MONTH($D1579),"")</f>
        <v/>
      </c>
      <c r="AN1579" s="89">
        <f>+IF($AG1579=AN$22,MONTH($D1579),"")</f>
        <v>5</v>
      </c>
      <c r="AO1579" s="89" t="str">
        <f>+IF($AG1579=AO$22,MONTH($D1579),"")</f>
        <v/>
      </c>
      <c r="AP1579" s="89" t="str">
        <f>+IF($AG1579=AP$22,MONTH($D1579),"")</f>
        <v/>
      </c>
      <c r="AQ1579" s="89" t="str">
        <f>+IF($AG1579=AQ$22,MONTH($D1579),"")</f>
        <v/>
      </c>
      <c r="AR1579" s="89" t="str">
        <f>+IF($AG1579=AR$22,MONTH($D1579),"")</f>
        <v/>
      </c>
      <c r="AS1579" s="89" t="str">
        <f>+IF($AG1579=AS$22,MONTH($D1579),"")</f>
        <v/>
      </c>
      <c r="AT1579" s="89" t="str">
        <f>+IF($AG1579=AT$22,MONTH($D1579),"")</f>
        <v/>
      </c>
      <c r="AU1579" s="89" t="str">
        <f>+IF($AG1579=AU$22,MONTH($D1579),"")</f>
        <v/>
      </c>
      <c r="AV1579" s="89" t="str">
        <f>+IF($AG1579=AV$22,MONTH($D1579),"")</f>
        <v/>
      </c>
      <c r="AW1579" s="86"/>
      <c r="AX1579" s="86"/>
      <c r="AY1579" s="89"/>
      <c r="AZ1579" s="89"/>
      <c r="BA1579" s="89"/>
      <c r="BB1579" s="89"/>
      <c r="BC1579" s="89"/>
      <c r="BD1579" s="89"/>
      <c r="BE1579" s="89"/>
      <c r="BF1579" s="89"/>
      <c r="BG1579" s="89"/>
      <c r="BH1579" s="89"/>
      <c r="BI1579" s="89"/>
      <c r="BJ1579" s="89"/>
      <c r="BK1579" s="89"/>
      <c r="BL1579" s="89"/>
      <c r="BM1579" s="89"/>
      <c r="BN1579" s="89"/>
      <c r="BO1579" s="89"/>
      <c r="BP1579" s="89"/>
    </row>
    <row r="1580" spans="1:68" s="56" customFormat="1" ht="13.5" hidden="1">
      <c r="A1580" s="204" t="str">
        <f>+IFERROR(VALUE(MID(AB1580,4,4)),"")</f>
        <v/>
      </c>
      <c r="B1580" s="204">
        <f>VALUE(RIGHT(C1580,LEN(C1580)-2))</f>
        <v>1145</v>
      </c>
      <c r="C1580" s="74" t="s">
        <v>5802</v>
      </c>
      <c r="D1580" s="75">
        <v>43956</v>
      </c>
      <c r="E1580" s="70" t="s">
        <v>394</v>
      </c>
      <c r="F1580" s="70" t="s">
        <v>394</v>
      </c>
      <c r="G1580" s="68"/>
      <c r="H1580" s="59"/>
      <c r="I1580" s="69" t="s">
        <v>5803</v>
      </c>
      <c r="J1580" s="69"/>
      <c r="K1580" s="68" t="s">
        <v>13</v>
      </c>
      <c r="L1580" s="69" t="s">
        <v>120</v>
      </c>
      <c r="M1580" s="71" t="s">
        <v>141</v>
      </c>
      <c r="N1580" s="69" t="e" vm="1">
        <v>#VALUE!</v>
      </c>
      <c r="O1580" s="84">
        <v>43957</v>
      </c>
      <c r="P1580" s="72" t="s">
        <v>4567</v>
      </c>
      <c r="Q1580" s="72"/>
      <c r="R1580" s="162"/>
      <c r="S1580" s="146"/>
      <c r="T1580" s="68" t="s">
        <v>165</v>
      </c>
      <c r="U1580" s="87"/>
      <c r="V1580" s="80">
        <v>43957</v>
      </c>
      <c r="W1580" s="73">
        <v>275</v>
      </c>
      <c r="X1580" s="73">
        <f>7625214/1000000</f>
        <v>7.6252139999999997</v>
      </c>
      <c r="Y1580" s="83">
        <f>IF(SUM(W1580:W1580)&gt;0,X1580/SUM(W1580:W1580)*1000000,"N/A")</f>
        <v>27728.050909090907</v>
      </c>
      <c r="Z1580" s="80"/>
      <c r="AA1580" s="80"/>
      <c r="AB1580" s="73"/>
      <c r="AC1580" s="153"/>
      <c r="AD1580" s="331"/>
      <c r="AE1580" s="57"/>
      <c r="AF1580" s="88"/>
      <c r="AG1580" s="182">
        <f>YEAR(D1580)</f>
        <v>2020</v>
      </c>
      <c r="AH1580" s="86" t="str">
        <f>+IF(AE1580=$AJ$22,MONTH(T1580),"")</f>
        <v/>
      </c>
      <c r="AI1580" s="86" t="str">
        <f>+IF(AF1580=$AJ$22,MONTH(U1580),"")</f>
        <v/>
      </c>
      <c r="AJ1580" s="86" t="str">
        <f>+IF(AG1580=$AJ$22,MONTH(V1580),"")</f>
        <v/>
      </c>
      <c r="AK1580" s="86" t="str">
        <f>+IF(AG1580=$AK$22,MONTH(V1580),"")</f>
        <v/>
      </c>
      <c r="AL1580" s="86" t="str">
        <f>+IF(AG1580=$AL$22,MONTH(V1580),"")</f>
        <v/>
      </c>
      <c r="AM1580" s="86" t="str">
        <f>+IF($AG1580=$AM$22,MONTH($D1580),"")</f>
        <v/>
      </c>
      <c r="AN1580" s="89">
        <f>+IF($AG1580=AN$22,MONTH($D1580),"")</f>
        <v>5</v>
      </c>
      <c r="AO1580" s="89" t="str">
        <f>+IF($AG1580=AO$22,MONTH($D1580),"")</f>
        <v/>
      </c>
      <c r="AP1580" s="89" t="str">
        <f>+IF($AG1580=AP$22,MONTH($D1580),"")</f>
        <v/>
      </c>
      <c r="AQ1580" s="89" t="str">
        <f>+IF($AG1580=AQ$22,MONTH($D1580),"")</f>
        <v/>
      </c>
      <c r="AR1580" s="89" t="str">
        <f>+IF($AG1580=AR$22,MONTH($D1580),"")</f>
        <v/>
      </c>
      <c r="AS1580" s="89" t="str">
        <f>+IF($AG1580=AS$22,MONTH($D1580),"")</f>
        <v/>
      </c>
      <c r="AT1580" s="89" t="str">
        <f>+IF($AG1580=AT$22,MONTH($D1580),"")</f>
        <v/>
      </c>
      <c r="AU1580" s="89" t="str">
        <f>+IF($AG1580=AU$22,MONTH($D1580),"")</f>
        <v/>
      </c>
      <c r="AV1580" s="89" t="str">
        <f>+IF($AG1580=AV$22,MONTH($D1580),"")</f>
        <v/>
      </c>
      <c r="AW1580" s="86"/>
      <c r="AX1580" s="86"/>
      <c r="AY1580" s="89"/>
      <c r="AZ1580" s="89"/>
      <c r="BA1580" s="89"/>
      <c r="BB1580" s="89"/>
      <c r="BC1580" s="89"/>
      <c r="BD1580" s="89"/>
      <c r="BE1580" s="89"/>
      <c r="BF1580" s="89"/>
      <c r="BG1580" s="89"/>
      <c r="BH1580" s="89"/>
      <c r="BI1580" s="89"/>
      <c r="BJ1580" s="89"/>
      <c r="BK1580" s="89"/>
      <c r="BL1580" s="89"/>
      <c r="BM1580" s="89"/>
      <c r="BN1580" s="89"/>
      <c r="BO1580" s="89"/>
      <c r="BP1580" s="89"/>
    </row>
    <row r="1581" spans="1:68" s="56" customFormat="1" ht="13.5" hidden="1">
      <c r="A1581" s="204" t="str">
        <f>+IFERROR(VALUE(MID(AB1581,4,4)),"")</f>
        <v/>
      </c>
      <c r="B1581" s="204">
        <f>VALUE(RIGHT(C1581,LEN(C1581)-2))</f>
        <v>1144</v>
      </c>
      <c r="C1581" s="74" t="s">
        <v>5804</v>
      </c>
      <c r="D1581" s="75">
        <v>43955</v>
      </c>
      <c r="E1581" s="70" t="s">
        <v>2961</v>
      </c>
      <c r="F1581" s="70" t="s">
        <v>2961</v>
      </c>
      <c r="G1581" s="68"/>
      <c r="H1581" s="59"/>
      <c r="I1581" s="69" t="s">
        <v>5805</v>
      </c>
      <c r="J1581" s="69"/>
      <c r="K1581" s="68" t="s">
        <v>24</v>
      </c>
      <c r="L1581" s="69" t="s">
        <v>120</v>
      </c>
      <c r="M1581" s="71" t="s">
        <v>141</v>
      </c>
      <c r="N1581" s="69" t="e" vm="1">
        <v>#VALUE!</v>
      </c>
      <c r="O1581" s="84"/>
      <c r="P1581" s="72" t="s">
        <v>4567</v>
      </c>
      <c r="Q1581" s="72"/>
      <c r="R1581" s="162"/>
      <c r="S1581" s="146"/>
      <c r="T1581" s="68" t="s">
        <v>155</v>
      </c>
      <c r="U1581" s="87"/>
      <c r="V1581" s="80">
        <v>43957</v>
      </c>
      <c r="W1581" s="73"/>
      <c r="X1581" s="73"/>
      <c r="Y1581" s="83" t="str">
        <f>IF(SUM(W1581:W1581)&gt;0,X1581/SUM(W1581:W1581)*1000000,"N/A")</f>
        <v>N/A</v>
      </c>
      <c r="Z1581" s="80"/>
      <c r="AA1581" s="80"/>
      <c r="AB1581" s="73"/>
      <c r="AC1581" s="153"/>
      <c r="AD1581" s="331"/>
      <c r="AE1581" s="57"/>
      <c r="AF1581" s="88"/>
      <c r="AG1581" s="182">
        <f>YEAR(D1581)</f>
        <v>2020</v>
      </c>
      <c r="AH1581" s="86" t="str">
        <f>+IF(AE1581=$AJ$22,MONTH(T1581),"")</f>
        <v/>
      </c>
      <c r="AI1581" s="86" t="str">
        <f>+IF(AF1581=$AJ$22,MONTH(U1581),"")</f>
        <v/>
      </c>
      <c r="AJ1581" s="86" t="str">
        <f>+IF(AG1581=$AJ$22,MONTH(V1581),"")</f>
        <v/>
      </c>
      <c r="AK1581" s="86" t="str">
        <f>+IF(AG1581=$AK$22,MONTH(V1581),"")</f>
        <v/>
      </c>
      <c r="AL1581" s="86" t="str">
        <f>+IF(AG1581=$AL$22,MONTH(V1581),"")</f>
        <v/>
      </c>
      <c r="AM1581" s="86" t="str">
        <f>+IF($AG1581=$AM$22,MONTH($D1581),"")</f>
        <v/>
      </c>
      <c r="AN1581" s="89">
        <f>+IF($AG1581=AN$22,MONTH($D1581),"")</f>
        <v>5</v>
      </c>
      <c r="AO1581" s="89" t="str">
        <f>+IF($AG1581=AO$22,MONTH($D1581),"")</f>
        <v/>
      </c>
      <c r="AP1581" s="89" t="str">
        <f>+IF($AG1581=AP$22,MONTH($D1581),"")</f>
        <v/>
      </c>
      <c r="AQ1581" s="89" t="str">
        <f>+IF($AG1581=AQ$22,MONTH($D1581),"")</f>
        <v/>
      </c>
      <c r="AR1581" s="89" t="str">
        <f>+IF($AG1581=AR$22,MONTH($D1581),"")</f>
        <v/>
      </c>
      <c r="AS1581" s="89" t="str">
        <f>+IF($AG1581=AS$22,MONTH($D1581),"")</f>
        <v/>
      </c>
      <c r="AT1581" s="89" t="str">
        <f>+IF($AG1581=AT$22,MONTH($D1581),"")</f>
        <v/>
      </c>
      <c r="AU1581" s="89" t="str">
        <f>+IF($AG1581=AU$22,MONTH($D1581),"")</f>
        <v/>
      </c>
      <c r="AV1581" s="89" t="str">
        <f>+IF($AG1581=AV$22,MONTH($D1581),"")</f>
        <v/>
      </c>
      <c r="AW1581" s="86"/>
      <c r="AX1581" s="86"/>
      <c r="AY1581" s="89"/>
      <c r="AZ1581" s="89"/>
      <c r="BA1581" s="89"/>
      <c r="BB1581" s="89"/>
      <c r="BC1581" s="89"/>
      <c r="BD1581" s="89"/>
      <c r="BE1581" s="89"/>
      <c r="BF1581" s="89"/>
      <c r="BG1581" s="89"/>
      <c r="BH1581" s="89"/>
      <c r="BI1581" s="89"/>
      <c r="BJ1581" s="89"/>
      <c r="BK1581" s="89"/>
      <c r="BL1581" s="89"/>
      <c r="BM1581" s="89"/>
      <c r="BN1581" s="89"/>
      <c r="BO1581" s="89"/>
      <c r="BP1581" s="89"/>
    </row>
    <row r="1582" spans="1:68" s="56" customFormat="1" ht="27" hidden="1">
      <c r="A1582" s="204" t="str">
        <f>+IFERROR(VALUE(MID(AB1582,4,4)),"")</f>
        <v/>
      </c>
      <c r="B1582" s="204">
        <f>VALUE(RIGHT(C1582,LEN(C1582)-2))</f>
        <v>1143</v>
      </c>
      <c r="C1582" s="74" t="s">
        <v>5806</v>
      </c>
      <c r="D1582" s="75">
        <v>43951</v>
      </c>
      <c r="E1582" s="70" t="s">
        <v>41</v>
      </c>
      <c r="F1582" s="70" t="s">
        <v>41</v>
      </c>
      <c r="G1582" s="68"/>
      <c r="H1582" s="59"/>
      <c r="I1582" s="69" t="s">
        <v>5807</v>
      </c>
      <c r="J1582" s="69"/>
      <c r="K1582" s="68" t="s">
        <v>13</v>
      </c>
      <c r="L1582" s="69" t="s">
        <v>129</v>
      </c>
      <c r="M1582" s="71" t="s">
        <v>141</v>
      </c>
      <c r="N1582" s="69" t="e" vm="1">
        <v>#VALUE!</v>
      </c>
      <c r="O1582" s="84">
        <v>43951</v>
      </c>
      <c r="P1582" s="72" t="s">
        <v>4567</v>
      </c>
      <c r="Q1582" s="72"/>
      <c r="R1582" s="162"/>
      <c r="S1582" s="146"/>
      <c r="T1582" s="68" t="s">
        <v>165</v>
      </c>
      <c r="U1582" s="87"/>
      <c r="V1582" s="80">
        <v>43957</v>
      </c>
      <c r="W1582" s="73">
        <v>116</v>
      </c>
      <c r="X1582" s="73">
        <f>175*28700/1000000</f>
        <v>5.0225</v>
      </c>
      <c r="Y1582" s="83">
        <f>IF(SUM(W1582:W1582)&gt;0,X1582/SUM(W1582:W1582)*1000000,"N/A")</f>
        <v>43297.413793103449</v>
      </c>
      <c r="Z1582" s="80"/>
      <c r="AA1582" s="80"/>
      <c r="AB1582" s="73"/>
      <c r="AC1582" s="153"/>
      <c r="AD1582" s="331"/>
      <c r="AE1582" s="57"/>
      <c r="AF1582" s="88"/>
      <c r="AG1582" s="182">
        <f>YEAR(D1582)</f>
        <v>2020</v>
      </c>
      <c r="AH1582" s="86" t="str">
        <f>+IF(AE1582=$AJ$22,MONTH(T1582),"")</f>
        <v/>
      </c>
      <c r="AI1582" s="86" t="str">
        <f>+IF(AF1582=$AJ$22,MONTH(U1582),"")</f>
        <v/>
      </c>
      <c r="AJ1582" s="86" t="str">
        <f>+IF(AG1582=$AJ$22,MONTH(V1582),"")</f>
        <v/>
      </c>
      <c r="AK1582" s="86" t="str">
        <f>+IF(AG1582=$AK$22,MONTH(V1582),"")</f>
        <v/>
      </c>
      <c r="AL1582" s="86" t="str">
        <f>+IF(AG1582=$AL$22,MONTH(V1582),"")</f>
        <v/>
      </c>
      <c r="AM1582" s="86" t="str">
        <f>+IF($AG1582=$AM$22,MONTH($D1582),"")</f>
        <v/>
      </c>
      <c r="AN1582" s="89">
        <f>+IF($AG1582=AN$22,MONTH($D1582),"")</f>
        <v>4</v>
      </c>
      <c r="AO1582" s="89" t="str">
        <f>+IF($AG1582=AO$22,MONTH($D1582),"")</f>
        <v/>
      </c>
      <c r="AP1582" s="89" t="str">
        <f>+IF($AG1582=AP$22,MONTH($D1582),"")</f>
        <v/>
      </c>
      <c r="AQ1582" s="89" t="str">
        <f>+IF($AG1582=AQ$22,MONTH($D1582),"")</f>
        <v/>
      </c>
      <c r="AR1582" s="89" t="str">
        <f>+IF($AG1582=AR$22,MONTH($D1582),"")</f>
        <v/>
      </c>
      <c r="AS1582" s="89" t="str">
        <f>+IF($AG1582=AS$22,MONTH($D1582),"")</f>
        <v/>
      </c>
      <c r="AT1582" s="89" t="str">
        <f>+IF($AG1582=AT$22,MONTH($D1582),"")</f>
        <v/>
      </c>
      <c r="AU1582" s="89" t="str">
        <f>+IF($AG1582=AU$22,MONTH($D1582),"")</f>
        <v/>
      </c>
      <c r="AV1582" s="89" t="str">
        <f>+IF($AG1582=AV$22,MONTH($D1582),"")</f>
        <v/>
      </c>
      <c r="AW1582" s="86"/>
      <c r="AX1582" s="86"/>
      <c r="AY1582" s="89"/>
      <c r="AZ1582" s="89"/>
      <c r="BA1582" s="89"/>
      <c r="BB1582" s="89"/>
      <c r="BC1582" s="89"/>
      <c r="BD1582" s="89"/>
      <c r="BE1582" s="89"/>
      <c r="BF1582" s="89"/>
      <c r="BG1582" s="89"/>
      <c r="BH1582" s="89"/>
      <c r="BI1582" s="89"/>
      <c r="BJ1582" s="89"/>
      <c r="BK1582" s="89"/>
      <c r="BL1582" s="89"/>
      <c r="BM1582" s="89"/>
      <c r="BN1582" s="89"/>
      <c r="BO1582" s="89"/>
      <c r="BP1582" s="89"/>
    </row>
    <row r="1583" spans="1:68" s="56" customFormat="1" ht="27" hidden="1">
      <c r="A1583" s="204" t="str">
        <f>+IFERROR(VALUE(MID(AB1583,4,4)),"")</f>
        <v/>
      </c>
      <c r="B1583" s="204">
        <f>VALUE(RIGHT(C1583,LEN(C1583)-2))</f>
        <v>1142</v>
      </c>
      <c r="C1583" s="74" t="s">
        <v>5808</v>
      </c>
      <c r="D1583" s="75">
        <v>43899</v>
      </c>
      <c r="E1583" s="70" t="s">
        <v>262</v>
      </c>
      <c r="F1583" s="70" t="s">
        <v>262</v>
      </c>
      <c r="G1583" s="68"/>
      <c r="H1583" s="59"/>
      <c r="I1583" s="69" t="s">
        <v>5809</v>
      </c>
      <c r="J1583" s="69"/>
      <c r="K1583" s="68" t="s">
        <v>30</v>
      </c>
      <c r="L1583" s="69" t="s">
        <v>120</v>
      </c>
      <c r="M1583" s="71" t="s">
        <v>141</v>
      </c>
      <c r="N1583" s="69" t="e" vm="1">
        <v>#VALUE!</v>
      </c>
      <c r="O1583" s="84"/>
      <c r="P1583" s="72" t="s">
        <v>274</v>
      </c>
      <c r="Q1583" s="72"/>
      <c r="R1583" s="162"/>
      <c r="S1583" s="146" t="s">
        <v>5810</v>
      </c>
      <c r="T1583" s="68" t="s">
        <v>165</v>
      </c>
      <c r="U1583" s="87"/>
      <c r="V1583" s="80">
        <v>43997</v>
      </c>
      <c r="W1583" s="73">
        <v>1377</v>
      </c>
      <c r="X1583" s="73">
        <f>2213*28100/1000000</f>
        <v>62.185299999999998</v>
      </c>
      <c r="Y1583" s="83">
        <f>IF(SUM(W1583:W1583)&gt;0,X1583/SUM(W1583:W1583)*1000000,"N/A")</f>
        <v>45159.985475671754</v>
      </c>
      <c r="Z1583" s="80"/>
      <c r="AA1583" s="80"/>
      <c r="AB1583" s="73"/>
      <c r="AC1583" s="153"/>
      <c r="AD1583" s="331"/>
      <c r="AE1583" s="57"/>
      <c r="AF1583" s="88"/>
      <c r="AG1583" s="182">
        <f>YEAR(D1583)</f>
        <v>2020</v>
      </c>
      <c r="AH1583" s="86" t="str">
        <f>+IF(AE1583=$AJ$22,MONTH(T1583),"")</f>
        <v/>
      </c>
      <c r="AI1583" s="86" t="str">
        <f>+IF(AF1583=$AJ$22,MONTH(U1583),"")</f>
        <v/>
      </c>
      <c r="AJ1583" s="86" t="str">
        <f>+IF(AG1583=$AJ$22,MONTH(V1583),"")</f>
        <v/>
      </c>
      <c r="AK1583" s="86" t="str">
        <f>+IF(AG1583=$AK$22,MONTH(V1583),"")</f>
        <v/>
      </c>
      <c r="AL1583" s="86" t="str">
        <f>+IF(AG1583=$AL$22,MONTH(V1583),"")</f>
        <v/>
      </c>
      <c r="AM1583" s="86" t="str">
        <f>+IF($AG1583=$AM$22,MONTH($D1583),"")</f>
        <v/>
      </c>
      <c r="AN1583" s="89">
        <f>+IF($AG1583=AN$22,MONTH($D1583),"")</f>
        <v>3</v>
      </c>
      <c r="AO1583" s="89" t="str">
        <f>+IF($AG1583=AO$22,MONTH($D1583),"")</f>
        <v/>
      </c>
      <c r="AP1583" s="89" t="str">
        <f>+IF($AG1583=AP$22,MONTH($D1583),"")</f>
        <v/>
      </c>
      <c r="AQ1583" s="89" t="str">
        <f>+IF($AG1583=AQ$22,MONTH($D1583),"")</f>
        <v/>
      </c>
      <c r="AR1583" s="89" t="str">
        <f>+IF($AG1583=AR$22,MONTH($D1583),"")</f>
        <v/>
      </c>
      <c r="AS1583" s="89" t="str">
        <f>+IF($AG1583=AS$22,MONTH($D1583),"")</f>
        <v/>
      </c>
      <c r="AT1583" s="89" t="str">
        <f>+IF($AG1583=AT$22,MONTH($D1583),"")</f>
        <v/>
      </c>
      <c r="AU1583" s="89" t="str">
        <f>+IF($AG1583=AU$22,MONTH($D1583),"")</f>
        <v/>
      </c>
      <c r="AV1583" s="89" t="str">
        <f>+IF($AG1583=AV$22,MONTH($D1583),"")</f>
        <v/>
      </c>
      <c r="AW1583" s="86"/>
      <c r="AX1583" s="86"/>
      <c r="AY1583" s="89"/>
      <c r="AZ1583" s="89"/>
      <c r="BA1583" s="89"/>
      <c r="BB1583" s="89"/>
      <c r="BC1583" s="89"/>
      <c r="BD1583" s="89"/>
      <c r="BE1583" s="89"/>
      <c r="BF1583" s="89"/>
      <c r="BG1583" s="89"/>
      <c r="BH1583" s="89"/>
      <c r="BI1583" s="89"/>
      <c r="BJ1583" s="89"/>
      <c r="BK1583" s="89"/>
      <c r="BL1583" s="89"/>
      <c r="BM1583" s="89"/>
      <c r="BN1583" s="89"/>
      <c r="BO1583" s="89"/>
      <c r="BP1583" s="89"/>
    </row>
    <row r="1584" spans="1:68" s="56" customFormat="1" ht="13.5" hidden="1">
      <c r="A1584" s="204" t="str">
        <f>+IFERROR(VALUE(MID(AB1584,4,4)),"")</f>
        <v/>
      </c>
      <c r="B1584" s="204">
        <f>VALUE(RIGHT(C1584,LEN(C1584)-2))</f>
        <v>1141</v>
      </c>
      <c r="C1584" s="74" t="s">
        <v>5811</v>
      </c>
      <c r="D1584" s="75">
        <v>43943</v>
      </c>
      <c r="E1584" s="70" t="s">
        <v>41</v>
      </c>
      <c r="F1584" s="70" t="s">
        <v>41</v>
      </c>
      <c r="G1584" s="68"/>
      <c r="H1584" s="59"/>
      <c r="I1584" s="69" t="s">
        <v>5812</v>
      </c>
      <c r="J1584" s="69"/>
      <c r="K1584" s="68" t="s">
        <v>13</v>
      </c>
      <c r="L1584" s="69" t="s">
        <v>129</v>
      </c>
      <c r="M1584" s="71" t="s">
        <v>141</v>
      </c>
      <c r="N1584" s="69" t="e" vm="1">
        <v>#VALUE!</v>
      </c>
      <c r="O1584" s="84">
        <v>43945</v>
      </c>
      <c r="P1584" s="72" t="s">
        <v>4567</v>
      </c>
      <c r="Q1584" s="72"/>
      <c r="R1584" s="162"/>
      <c r="S1584" s="146"/>
      <c r="T1584" s="68" t="s">
        <v>165</v>
      </c>
      <c r="U1584" s="87"/>
      <c r="V1584" s="80">
        <v>43957</v>
      </c>
      <c r="W1584" s="73">
        <v>780</v>
      </c>
      <c r="X1584" s="73">
        <f>895*28700/1000000</f>
        <v>25.686499999999999</v>
      </c>
      <c r="Y1584" s="83">
        <f>IF(SUM(W1584:W1584)&gt;0,X1584/SUM(W1584:W1584)*1000000,"N/A")</f>
        <v>32931.410256410258</v>
      </c>
      <c r="Z1584" s="80"/>
      <c r="AA1584" s="80"/>
      <c r="AB1584" s="73"/>
      <c r="AC1584" s="153"/>
      <c r="AD1584" s="331"/>
      <c r="AE1584" s="57"/>
      <c r="AF1584" s="88"/>
      <c r="AG1584" s="182">
        <f>YEAR(D1584)</f>
        <v>2020</v>
      </c>
      <c r="AH1584" s="86" t="str">
        <f>+IF(AE1584=$AJ$22,MONTH(T1584),"")</f>
        <v/>
      </c>
      <c r="AI1584" s="86" t="str">
        <f>+IF(AF1584=$AJ$22,MONTH(U1584),"")</f>
        <v/>
      </c>
      <c r="AJ1584" s="86" t="str">
        <f>+IF(AG1584=$AJ$22,MONTH(V1584),"")</f>
        <v/>
      </c>
      <c r="AK1584" s="86" t="str">
        <f>+IF(AG1584=$AK$22,MONTH(V1584),"")</f>
        <v/>
      </c>
      <c r="AL1584" s="86" t="str">
        <f>+IF(AG1584=$AL$22,MONTH(V1584),"")</f>
        <v/>
      </c>
      <c r="AM1584" s="86" t="str">
        <f>+IF($AG1584=$AM$22,MONTH($D1584),"")</f>
        <v/>
      </c>
      <c r="AN1584" s="89">
        <f>+IF($AG1584=AN$22,MONTH($D1584),"")</f>
        <v>4</v>
      </c>
      <c r="AO1584" s="89" t="str">
        <f>+IF($AG1584=AO$22,MONTH($D1584),"")</f>
        <v/>
      </c>
      <c r="AP1584" s="89" t="str">
        <f>+IF($AG1584=AP$22,MONTH($D1584),"")</f>
        <v/>
      </c>
      <c r="AQ1584" s="89" t="str">
        <f>+IF($AG1584=AQ$22,MONTH($D1584),"")</f>
        <v/>
      </c>
      <c r="AR1584" s="89" t="str">
        <f>+IF($AG1584=AR$22,MONTH($D1584),"")</f>
        <v/>
      </c>
      <c r="AS1584" s="89" t="str">
        <f>+IF($AG1584=AS$22,MONTH($D1584),"")</f>
        <v/>
      </c>
      <c r="AT1584" s="89" t="str">
        <f>+IF($AG1584=AT$22,MONTH($D1584),"")</f>
        <v/>
      </c>
      <c r="AU1584" s="89" t="str">
        <f>+IF($AG1584=AU$22,MONTH($D1584),"")</f>
        <v/>
      </c>
      <c r="AV1584" s="89" t="str">
        <f>+IF($AG1584=AV$22,MONTH($D1584),"")</f>
        <v/>
      </c>
      <c r="AW1584" s="86"/>
      <c r="AX1584" s="86"/>
      <c r="AY1584" s="89"/>
      <c r="AZ1584" s="89"/>
      <c r="BA1584" s="89"/>
      <c r="BB1584" s="89"/>
      <c r="BC1584" s="89"/>
      <c r="BD1584" s="89"/>
      <c r="BE1584" s="89"/>
      <c r="BF1584" s="89"/>
      <c r="BG1584" s="89"/>
      <c r="BH1584" s="89"/>
      <c r="BI1584" s="89"/>
      <c r="BJ1584" s="89"/>
      <c r="BK1584" s="89"/>
      <c r="BL1584" s="89"/>
      <c r="BM1584" s="89"/>
      <c r="BN1584" s="89"/>
      <c r="BO1584" s="89"/>
      <c r="BP1584" s="89"/>
    </row>
    <row r="1585" spans="1:68" s="56" customFormat="1" ht="13.5" hidden="1">
      <c r="A1585" s="204" t="str">
        <f>+IFERROR(VALUE(MID(AB1585,4,4)),"")</f>
        <v/>
      </c>
      <c r="B1585" s="204">
        <f>VALUE(RIGHT(C1585,LEN(C1585)-2))</f>
        <v>1140</v>
      </c>
      <c r="C1585" s="74" t="s">
        <v>5813</v>
      </c>
      <c r="D1585" s="75">
        <v>43943</v>
      </c>
      <c r="E1585" s="70" t="s">
        <v>41</v>
      </c>
      <c r="F1585" s="70" t="s">
        <v>41</v>
      </c>
      <c r="G1585" s="68"/>
      <c r="H1585" s="59"/>
      <c r="I1585" s="69" t="s">
        <v>5814</v>
      </c>
      <c r="J1585" s="69"/>
      <c r="K1585" s="68" t="s">
        <v>13</v>
      </c>
      <c r="L1585" s="69" t="s">
        <v>129</v>
      </c>
      <c r="M1585" s="71" t="s">
        <v>141</v>
      </c>
      <c r="N1585" s="69" t="e" vm="1">
        <v>#VALUE!</v>
      </c>
      <c r="O1585" s="84">
        <v>43943</v>
      </c>
      <c r="P1585" s="72" t="s">
        <v>4567</v>
      </c>
      <c r="Q1585" s="72"/>
      <c r="R1585" s="162"/>
      <c r="S1585" s="146"/>
      <c r="T1585" s="68" t="s">
        <v>165</v>
      </c>
      <c r="U1585" s="87"/>
      <c r="V1585" s="80">
        <v>43957</v>
      </c>
      <c r="W1585" s="73">
        <v>250</v>
      </c>
      <c r="X1585" s="73">
        <f>275*28700/1000000</f>
        <v>7.8925000000000001</v>
      </c>
      <c r="Y1585" s="83">
        <f>IF(SUM(W1585:W1585)&gt;0,X1585/SUM(W1585:W1585)*1000000,"N/A")</f>
        <v>31570</v>
      </c>
      <c r="Z1585" s="80"/>
      <c r="AA1585" s="80"/>
      <c r="AB1585" s="73"/>
      <c r="AC1585" s="153"/>
      <c r="AD1585" s="331"/>
      <c r="AE1585" s="57"/>
      <c r="AF1585" s="88"/>
      <c r="AG1585" s="182">
        <f>YEAR(D1585)</f>
        <v>2020</v>
      </c>
      <c r="AH1585" s="86" t="str">
        <f>+IF(AE1585=$AJ$22,MONTH(T1585),"")</f>
        <v/>
      </c>
      <c r="AI1585" s="86" t="str">
        <f>+IF(AF1585=$AJ$22,MONTH(U1585),"")</f>
        <v/>
      </c>
      <c r="AJ1585" s="86" t="str">
        <f>+IF(AG1585=$AJ$22,MONTH(V1585),"")</f>
        <v/>
      </c>
      <c r="AK1585" s="86" t="str">
        <f>+IF(AG1585=$AK$22,MONTH(V1585),"")</f>
        <v/>
      </c>
      <c r="AL1585" s="86" t="str">
        <f>+IF(AG1585=$AL$22,MONTH(V1585),"")</f>
        <v/>
      </c>
      <c r="AM1585" s="86" t="str">
        <f>+IF($AG1585=$AM$22,MONTH($D1585),"")</f>
        <v/>
      </c>
      <c r="AN1585" s="89">
        <f>+IF($AG1585=AN$22,MONTH($D1585),"")</f>
        <v>4</v>
      </c>
      <c r="AO1585" s="89" t="str">
        <f>+IF($AG1585=AO$22,MONTH($D1585),"")</f>
        <v/>
      </c>
      <c r="AP1585" s="89" t="str">
        <f>+IF($AG1585=AP$22,MONTH($D1585),"")</f>
        <v/>
      </c>
      <c r="AQ1585" s="89" t="str">
        <f>+IF($AG1585=AQ$22,MONTH($D1585),"")</f>
        <v/>
      </c>
      <c r="AR1585" s="89" t="str">
        <f>+IF($AG1585=AR$22,MONTH($D1585),"")</f>
        <v/>
      </c>
      <c r="AS1585" s="89" t="str">
        <f>+IF($AG1585=AS$22,MONTH($D1585),"")</f>
        <v/>
      </c>
      <c r="AT1585" s="89" t="str">
        <f>+IF($AG1585=AT$22,MONTH($D1585),"")</f>
        <v/>
      </c>
      <c r="AU1585" s="89" t="str">
        <f>+IF($AG1585=AU$22,MONTH($D1585),"")</f>
        <v/>
      </c>
      <c r="AV1585" s="89" t="str">
        <f>+IF($AG1585=AV$22,MONTH($D1585),"")</f>
        <v/>
      </c>
      <c r="AW1585" s="86" t="str">
        <f>+IF($AG1585=AW$22,MONTH($D1585),"")</f>
        <v/>
      </c>
      <c r="AX1585" s="86" t="str">
        <f>+IF($AG1585=AX$22,MONTH($D1585),"")</f>
        <v/>
      </c>
      <c r="AY1585" s="89"/>
      <c r="AZ1585" s="89"/>
      <c r="BA1585" s="89"/>
      <c r="BB1585" s="89"/>
      <c r="BC1585" s="89"/>
      <c r="BD1585" s="89"/>
      <c r="BE1585" s="89"/>
      <c r="BF1585" s="89"/>
      <c r="BG1585" s="89"/>
      <c r="BH1585" s="89"/>
      <c r="BI1585" s="89"/>
      <c r="BJ1585" s="89"/>
      <c r="BK1585" s="89"/>
      <c r="BL1585" s="89"/>
      <c r="BM1585" s="89"/>
      <c r="BN1585" s="89"/>
      <c r="BO1585" s="89"/>
      <c r="BP1585" s="89"/>
    </row>
    <row r="1586" spans="1:68" s="56" customFormat="1" ht="27" hidden="1">
      <c r="A1586" s="204">
        <f>+IFERROR(VALUE(MID(AB1586,4,4)),"")</f>
        <v>236</v>
      </c>
      <c r="B1586" s="204">
        <f>VALUE(RIGHT(C1586,LEN(C1586)-2))</f>
        <v>1139</v>
      </c>
      <c r="C1586" s="74" t="s">
        <v>5815</v>
      </c>
      <c r="D1586" s="75">
        <v>43943</v>
      </c>
      <c r="E1586" s="70" t="s">
        <v>74</v>
      </c>
      <c r="F1586" s="70" t="s">
        <v>394</v>
      </c>
      <c r="G1586" s="68"/>
      <c r="H1586" s="59"/>
      <c r="I1586" s="69" t="s">
        <v>5816</v>
      </c>
      <c r="J1586" s="69"/>
      <c r="K1586" s="68" t="s">
        <v>16</v>
      </c>
      <c r="L1586" s="69" t="s">
        <v>120</v>
      </c>
      <c r="M1586" s="71" t="s">
        <v>141</v>
      </c>
      <c r="N1586" s="69" t="e" vm="1">
        <v>#VALUE!</v>
      </c>
      <c r="O1586" s="84">
        <v>43938</v>
      </c>
      <c r="P1586" s="72" t="s">
        <v>4567</v>
      </c>
      <c r="Q1586" s="72" t="s">
        <v>229</v>
      </c>
      <c r="R1586" s="162"/>
      <c r="S1586" s="146"/>
      <c r="T1586" s="68" t="s">
        <v>3</v>
      </c>
      <c r="U1586" s="87"/>
      <c r="V1586" s="80">
        <v>43957</v>
      </c>
      <c r="W1586" s="73">
        <v>169</v>
      </c>
      <c r="X1586" s="73">
        <f>260*28700/1000000</f>
        <v>7.4619999999999997</v>
      </c>
      <c r="Y1586" s="83">
        <f>IF(SUM(W1586:W1586)&gt;0,X1586/SUM(W1586:W1586)*1000000,"N/A")</f>
        <v>44153.846153846156</v>
      </c>
      <c r="Z1586" s="80"/>
      <c r="AA1586" s="80"/>
      <c r="AB1586" s="73" t="s">
        <v>5817</v>
      </c>
      <c r="AC1586" s="153"/>
      <c r="AD1586" s="331"/>
      <c r="AE1586" s="57"/>
      <c r="AF1586" s="88"/>
      <c r="AG1586" s="182">
        <f>YEAR(D1586)</f>
        <v>2020</v>
      </c>
      <c r="AH1586" s="86" t="str">
        <f>+IF(AE1586=$AJ$22,MONTH(T1586),"")</f>
        <v/>
      </c>
      <c r="AI1586" s="86" t="str">
        <f>+IF(AF1586=$AJ$22,MONTH(U1586),"")</f>
        <v/>
      </c>
      <c r="AJ1586" s="86" t="str">
        <f>+IF(AG1586=$AJ$22,MONTH(V1586),"")</f>
        <v/>
      </c>
      <c r="AK1586" s="86" t="str">
        <f>+IF(AG1586=$AK$22,MONTH(V1586),"")</f>
        <v/>
      </c>
      <c r="AL1586" s="86" t="str">
        <f>+IF(AG1586=$AL$22,MONTH(V1586),"")</f>
        <v/>
      </c>
      <c r="AM1586" s="86" t="str">
        <f>+IF($AG1586=$AM$22,MONTH($D1586),"")</f>
        <v/>
      </c>
      <c r="AN1586" s="89">
        <f>+IF($AG1586=AN$22,MONTH($D1586),"")</f>
        <v>4</v>
      </c>
      <c r="AO1586" s="89" t="str">
        <f>+IF($AG1586=AO$22,MONTH($D1586),"")</f>
        <v/>
      </c>
      <c r="AP1586" s="89" t="str">
        <f>+IF($AG1586=AP$22,MONTH($D1586),"")</f>
        <v/>
      </c>
      <c r="AQ1586" s="89" t="str">
        <f>+IF($AG1586=AQ$22,MONTH($D1586),"")</f>
        <v/>
      </c>
      <c r="AR1586" s="89" t="str">
        <f>+IF($AG1586=AR$22,MONTH($D1586),"")</f>
        <v/>
      </c>
      <c r="AS1586" s="89" t="str">
        <f>+IF($AG1586=AS$22,MONTH($D1586),"")</f>
        <v/>
      </c>
      <c r="AT1586" s="89" t="str">
        <f>+IF($AG1586=AT$22,MONTH($D1586),"")</f>
        <v/>
      </c>
      <c r="AU1586" s="89" t="str">
        <f>+IF($AG1586=AU$22,MONTH($D1586),"")</f>
        <v/>
      </c>
      <c r="AV1586" s="89" t="str">
        <f>+IF($AG1586=AV$22,MONTH($D1586),"")</f>
        <v/>
      </c>
      <c r="AW1586" s="86" t="str">
        <f>+IF($AG1586=AW$22,MONTH($D1586),"")</f>
        <v/>
      </c>
      <c r="AX1586" s="86" t="str">
        <f>+IF($AG1586=AX$22,MONTH($D1586),"")</f>
        <v/>
      </c>
      <c r="AY1586" s="89"/>
      <c r="AZ1586" s="89"/>
      <c r="BA1586" s="89"/>
      <c r="BB1586" s="89"/>
      <c r="BC1586" s="89"/>
      <c r="BD1586" s="89"/>
      <c r="BE1586" s="89"/>
      <c r="BF1586" s="89"/>
      <c r="BG1586" s="89"/>
      <c r="BH1586" s="89"/>
      <c r="BI1586" s="89"/>
      <c r="BJ1586" s="89"/>
      <c r="BK1586" s="89"/>
      <c r="BL1586" s="89"/>
      <c r="BM1586" s="89"/>
      <c r="BN1586" s="89"/>
      <c r="BO1586" s="89"/>
      <c r="BP1586" s="89"/>
    </row>
    <row r="1587" spans="1:68" s="56" customFormat="1" ht="34.5" hidden="1" customHeight="1">
      <c r="A1587" s="204">
        <f>+IFERROR(VALUE(MID(AB1587,4,4)),"")</f>
        <v>241</v>
      </c>
      <c r="B1587" s="204">
        <f>VALUE(RIGHT(C1587,LEN(C1587)-2))</f>
        <v>1138</v>
      </c>
      <c r="C1587" s="74" t="s">
        <v>5818</v>
      </c>
      <c r="D1587" s="75">
        <v>43941</v>
      </c>
      <c r="E1587" s="70" t="s">
        <v>53</v>
      </c>
      <c r="F1587" s="70" t="s">
        <v>53</v>
      </c>
      <c r="G1587" s="68"/>
      <c r="H1587" s="59"/>
      <c r="I1587" s="69" t="s">
        <v>5819</v>
      </c>
      <c r="J1587" s="69"/>
      <c r="K1587" s="68" t="s">
        <v>13</v>
      </c>
      <c r="L1587" s="69" t="s">
        <v>120</v>
      </c>
      <c r="M1587" s="71" t="s">
        <v>141</v>
      </c>
      <c r="N1587" s="69" t="e" vm="1">
        <v>#VALUE!</v>
      </c>
      <c r="O1587" s="84">
        <v>43956</v>
      </c>
      <c r="P1587" s="72" t="s">
        <v>4567</v>
      </c>
      <c r="Q1587" s="72" t="s">
        <v>229</v>
      </c>
      <c r="R1587" s="162"/>
      <c r="S1587" s="146"/>
      <c r="T1587" s="68" t="s">
        <v>3</v>
      </c>
      <c r="U1587" s="87"/>
      <c r="V1587" s="80">
        <v>43957</v>
      </c>
      <c r="W1587" s="73">
        <v>397</v>
      </c>
      <c r="X1587" s="73">
        <f>459*28700/1000000</f>
        <v>13.173299999999999</v>
      </c>
      <c r="Y1587" s="83">
        <f>IF(SUM(W1587:W1587)&gt;0,X1587/SUM(W1587:W1587)*1000000,"N/A")</f>
        <v>33182.115869017631</v>
      </c>
      <c r="Z1587" s="80"/>
      <c r="AA1587" s="80"/>
      <c r="AB1587" s="73" t="s">
        <v>5553</v>
      </c>
      <c r="AC1587" s="153"/>
      <c r="AD1587" s="331"/>
      <c r="AE1587" s="57"/>
      <c r="AF1587" s="88"/>
      <c r="AG1587" s="182">
        <f>YEAR(D1587)</f>
        <v>2020</v>
      </c>
      <c r="AH1587" s="86" t="str">
        <f>+IF(AE1587=$AJ$22,MONTH(T1587),"")</f>
        <v/>
      </c>
      <c r="AI1587" s="86" t="str">
        <f>+IF(AF1587=$AJ$22,MONTH(U1587),"")</f>
        <v/>
      </c>
      <c r="AJ1587" s="86" t="str">
        <f>+IF(AG1587=$AJ$22,MONTH(V1587),"")</f>
        <v/>
      </c>
      <c r="AK1587" s="86" t="str">
        <f>+IF(AG1587=$AK$22,MONTH(V1587),"")</f>
        <v/>
      </c>
      <c r="AL1587" s="86" t="str">
        <f>+IF(AG1587=$AL$22,MONTH(V1587),"")</f>
        <v/>
      </c>
      <c r="AM1587" s="86" t="str">
        <f>+IF($AG1587=$AM$22,MONTH($D1587),"")</f>
        <v/>
      </c>
      <c r="AN1587" s="89">
        <f>+IF($AG1587=AN$22,MONTH($D1587),"")</f>
        <v>4</v>
      </c>
      <c r="AO1587" s="89" t="str">
        <f>+IF($AG1587=AO$22,MONTH($D1587),"")</f>
        <v/>
      </c>
      <c r="AP1587" s="89" t="str">
        <f>+IF($AG1587=AP$22,MONTH($D1587),"")</f>
        <v/>
      </c>
      <c r="AQ1587" s="89" t="str">
        <f>+IF($AG1587=AQ$22,MONTH($D1587),"")</f>
        <v/>
      </c>
      <c r="AR1587" s="89" t="str">
        <f>+IF($AG1587=AR$22,MONTH($D1587),"")</f>
        <v/>
      </c>
      <c r="AS1587" s="89" t="str">
        <f>+IF($AG1587=AS$22,MONTH($D1587),"")</f>
        <v/>
      </c>
      <c r="AT1587" s="89" t="str">
        <f>+IF($AG1587=AT$22,MONTH($D1587),"")</f>
        <v/>
      </c>
      <c r="AU1587" s="89" t="str">
        <f>+IF($AG1587=AU$22,MONTH($D1587),"")</f>
        <v/>
      </c>
      <c r="AV1587" s="89" t="str">
        <f>+IF($AG1587=AV$22,MONTH($D1587),"")</f>
        <v/>
      </c>
      <c r="AW1587" s="168"/>
      <c r="AX1587" s="168"/>
      <c r="AY1587" s="167"/>
      <c r="AZ1587" s="167"/>
      <c r="BA1587" s="167"/>
      <c r="BB1587" s="167"/>
      <c r="BC1587" s="167"/>
      <c r="BD1587" s="167"/>
      <c r="BE1587" s="167"/>
      <c r="BF1587" s="167"/>
      <c r="BG1587" s="167"/>
      <c r="BH1587" s="167"/>
      <c r="BI1587" s="167"/>
      <c r="BJ1587" s="89"/>
      <c r="BK1587" s="89"/>
      <c r="BL1587" s="89"/>
      <c r="BM1587" s="89"/>
      <c r="BN1587" s="89"/>
      <c r="BO1587" s="89"/>
      <c r="BP1587" s="89"/>
    </row>
    <row r="1588" spans="1:68" s="56" customFormat="1" ht="27" hidden="1">
      <c r="A1588" s="204" t="str">
        <f>+IFERROR(VALUE(MID(AB1588,4,4)),"")</f>
        <v/>
      </c>
      <c r="B1588" s="204">
        <f>VALUE(RIGHT(C1588,LEN(C1588)-2))</f>
        <v>1137</v>
      </c>
      <c r="C1588" s="74" t="s">
        <v>5820</v>
      </c>
      <c r="D1588" s="75">
        <v>43936</v>
      </c>
      <c r="E1588" s="70" t="s">
        <v>5728</v>
      </c>
      <c r="F1588" s="70" t="s">
        <v>67</v>
      </c>
      <c r="G1588" s="68"/>
      <c r="H1588" s="59"/>
      <c r="I1588" s="69" t="s">
        <v>5821</v>
      </c>
      <c r="J1588" s="69"/>
      <c r="K1588" s="68" t="s">
        <v>13</v>
      </c>
      <c r="L1588" s="69" t="s">
        <v>123</v>
      </c>
      <c r="M1588" s="71" t="s">
        <v>141</v>
      </c>
      <c r="N1588" s="69" t="e" vm="1">
        <v>#VALUE!</v>
      </c>
      <c r="O1588" s="84"/>
      <c r="P1588" s="72" t="s">
        <v>4567</v>
      </c>
      <c r="Q1588" s="72"/>
      <c r="R1588" s="162"/>
      <c r="S1588" s="146"/>
      <c r="T1588" s="68" t="s">
        <v>165</v>
      </c>
      <c r="U1588" s="87"/>
      <c r="V1588" s="80">
        <v>43957</v>
      </c>
      <c r="W1588" s="73">
        <v>3800</v>
      </c>
      <c r="X1588" s="73">
        <f>4800*28100/1000000</f>
        <v>134.88</v>
      </c>
      <c r="Y1588" s="83">
        <f>IF(SUM(W1588:W1588)&gt;0,X1588/SUM(W1588:W1588)*1000000,"N/A")</f>
        <v>35494.73684210526</v>
      </c>
      <c r="Z1588" s="80"/>
      <c r="AA1588" s="80"/>
      <c r="AB1588" s="73"/>
      <c r="AC1588" s="153"/>
      <c r="AD1588" s="331"/>
      <c r="AE1588" s="57"/>
      <c r="AF1588" s="88"/>
      <c r="AG1588" s="182">
        <f>YEAR(D1588)</f>
        <v>2020</v>
      </c>
      <c r="AH1588" s="86" t="str">
        <f>+IF(AE1588=$AJ$22,MONTH(T1588),"")</f>
        <v/>
      </c>
      <c r="AI1588" s="86" t="str">
        <f>+IF(AF1588=$AJ$22,MONTH(U1588),"")</f>
        <v/>
      </c>
      <c r="AJ1588" s="86" t="str">
        <f>+IF(AG1588=$AJ$22,MONTH(V1588),"")</f>
        <v/>
      </c>
      <c r="AK1588" s="86" t="str">
        <f>+IF(AG1588=$AK$22,MONTH(V1588),"")</f>
        <v/>
      </c>
      <c r="AL1588" s="86" t="str">
        <f>+IF(AG1588=$AL$22,MONTH(V1588),"")</f>
        <v/>
      </c>
      <c r="AM1588" s="86" t="str">
        <f>+IF($AG1588=$AM$22,MONTH($D1588),"")</f>
        <v/>
      </c>
      <c r="AN1588" s="89">
        <f>+IF($AG1588=AN$22,MONTH($D1588),"")</f>
        <v>4</v>
      </c>
      <c r="AO1588" s="89" t="str">
        <f>+IF($AG1588=AO$22,MONTH($D1588),"")</f>
        <v/>
      </c>
      <c r="AP1588" s="89" t="str">
        <f>+IF($AG1588=AP$22,MONTH($D1588),"")</f>
        <v/>
      </c>
      <c r="AQ1588" s="89" t="str">
        <f>+IF($AG1588=AQ$22,MONTH($D1588),"")</f>
        <v/>
      </c>
      <c r="AR1588" s="89" t="str">
        <f>+IF($AG1588=AR$22,MONTH($D1588),"")</f>
        <v/>
      </c>
      <c r="AS1588" s="89" t="str">
        <f>+IF($AG1588=AS$22,MONTH($D1588),"")</f>
        <v/>
      </c>
      <c r="AT1588" s="89" t="str">
        <f>+IF($AG1588=AT$22,MONTH($D1588),"")</f>
        <v/>
      </c>
      <c r="AU1588" s="89" t="str">
        <f>+IF($AG1588=AU$22,MONTH($D1588),"")</f>
        <v/>
      </c>
      <c r="AV1588" s="89" t="str">
        <f>+IF($AG1588=AV$22,MONTH($D1588),"")</f>
        <v/>
      </c>
      <c r="AW1588" s="86" t="str">
        <f>+IF($AG1588=AW$22,MONTH($D1588),"")</f>
        <v/>
      </c>
      <c r="AX1588" s="86" t="str">
        <f>+IF($AG1588=AX$22,MONTH($D1588),"")</f>
        <v/>
      </c>
      <c r="AY1588" s="89"/>
      <c r="AZ1588" s="89"/>
      <c r="BA1588" s="89"/>
      <c r="BB1588" s="89"/>
      <c r="BC1588" s="89"/>
      <c r="BD1588" s="89"/>
      <c r="BE1588" s="89"/>
      <c r="BF1588" s="89"/>
      <c r="BG1588" s="89"/>
      <c r="BH1588" s="89"/>
      <c r="BI1588" s="89"/>
      <c r="BJ1588" s="89"/>
      <c r="BK1588" s="89"/>
      <c r="BL1588" s="89"/>
      <c r="BM1588" s="89"/>
      <c r="BN1588" s="89"/>
      <c r="BO1588" s="89"/>
      <c r="BP1588" s="89"/>
    </row>
    <row r="1589" spans="1:68" s="56" customFormat="1" ht="13.5" hidden="1">
      <c r="A1589" s="204" t="str">
        <f>+IFERROR(VALUE(MID(AB1589,4,4)),"")</f>
        <v/>
      </c>
      <c r="B1589" s="204">
        <f>VALUE(RIGHT(C1589,LEN(C1589)-2))</f>
        <v>1136</v>
      </c>
      <c r="C1589" s="74" t="s">
        <v>5822</v>
      </c>
      <c r="D1589" s="75">
        <v>43934</v>
      </c>
      <c r="E1589" s="70" t="s">
        <v>5823</v>
      </c>
      <c r="F1589" s="70" t="s">
        <v>5476</v>
      </c>
      <c r="G1589" s="68"/>
      <c r="H1589" s="59"/>
      <c r="I1589" s="69" t="s">
        <v>5824</v>
      </c>
      <c r="J1589" s="69"/>
      <c r="K1589" s="68" t="s">
        <v>30</v>
      </c>
      <c r="L1589" s="69" t="s">
        <v>120</v>
      </c>
      <c r="M1589" s="71" t="s">
        <v>141</v>
      </c>
      <c r="N1589" s="69" t="e" vm="1">
        <v>#VALUE!</v>
      </c>
      <c r="O1589" s="84">
        <v>43937</v>
      </c>
      <c r="P1589" s="72" t="s">
        <v>666</v>
      </c>
      <c r="Q1589" s="72"/>
      <c r="R1589" s="162"/>
      <c r="S1589" s="146"/>
      <c r="T1589" s="68" t="s">
        <v>165</v>
      </c>
      <c r="U1589" s="87"/>
      <c r="V1589" s="80">
        <v>43957</v>
      </c>
      <c r="W1589" s="73">
        <v>550</v>
      </c>
      <c r="X1589" s="73">
        <f>745*28700/1000000</f>
        <v>21.381499999999999</v>
      </c>
      <c r="Y1589" s="83">
        <f>IF(SUM(W1589:W1589)&gt;0,X1589/SUM(W1589:W1589)*1000000,"N/A")</f>
        <v>38875.454545454544</v>
      </c>
      <c r="Z1589" s="80"/>
      <c r="AA1589" s="80"/>
      <c r="AB1589" s="73"/>
      <c r="AC1589" s="153"/>
      <c r="AD1589" s="331"/>
      <c r="AE1589" s="57"/>
      <c r="AF1589" s="88"/>
      <c r="AG1589" s="182">
        <f>YEAR(D1589)</f>
        <v>2020</v>
      </c>
      <c r="AH1589" s="86" t="str">
        <f>+IF(AE1589=$AJ$22,MONTH(T1589),"")</f>
        <v/>
      </c>
      <c r="AI1589" s="86" t="str">
        <f>+IF(AF1589=$AJ$22,MONTH(U1589),"")</f>
        <v/>
      </c>
      <c r="AJ1589" s="86" t="str">
        <f>+IF(AG1589=$AJ$22,MONTH(V1589),"")</f>
        <v/>
      </c>
      <c r="AK1589" s="86" t="str">
        <f>+IF(AG1589=$AK$22,MONTH(V1589),"")</f>
        <v/>
      </c>
      <c r="AL1589" s="86" t="str">
        <f>+IF(AG1589=$AL$22,MONTH(V1589),"")</f>
        <v/>
      </c>
      <c r="AM1589" s="86" t="str">
        <f>+IF($AG1589=$AM$22,MONTH($D1589),"")</f>
        <v/>
      </c>
      <c r="AN1589" s="89">
        <f>+IF($AG1589=AN$22,MONTH($D1589),"")</f>
        <v>4</v>
      </c>
      <c r="AO1589" s="89" t="str">
        <f>+IF($AG1589=AO$22,MONTH($D1589),"")</f>
        <v/>
      </c>
      <c r="AP1589" s="89" t="str">
        <f>+IF($AG1589=AP$22,MONTH($D1589),"")</f>
        <v/>
      </c>
      <c r="AQ1589" s="89" t="str">
        <f>+IF($AG1589=AQ$22,MONTH($D1589),"")</f>
        <v/>
      </c>
      <c r="AR1589" s="89" t="str">
        <f>+IF($AG1589=AR$22,MONTH($D1589),"")</f>
        <v/>
      </c>
      <c r="AS1589" s="89" t="str">
        <f>+IF($AG1589=AS$22,MONTH($D1589),"")</f>
        <v/>
      </c>
      <c r="AT1589" s="89" t="str">
        <f>+IF($AG1589=AT$22,MONTH($D1589),"")</f>
        <v/>
      </c>
      <c r="AU1589" s="89" t="str">
        <f>+IF($AG1589=AU$22,MONTH($D1589),"")</f>
        <v/>
      </c>
      <c r="AV1589" s="89" t="str">
        <f>+IF($AG1589=AV$22,MONTH($D1589),"")</f>
        <v/>
      </c>
      <c r="AW1589" s="86"/>
      <c r="AX1589" s="86"/>
      <c r="AY1589" s="89"/>
      <c r="AZ1589" s="89"/>
      <c r="BA1589" s="89"/>
      <c r="BB1589" s="89"/>
      <c r="BC1589" s="89"/>
      <c r="BD1589" s="89"/>
      <c r="BE1589" s="89"/>
      <c r="BF1589" s="89"/>
      <c r="BG1589" s="89"/>
      <c r="BH1589" s="89"/>
      <c r="BI1589" s="89"/>
      <c r="BJ1589" s="89"/>
      <c r="BK1589" s="89"/>
      <c r="BL1589" s="89"/>
      <c r="BM1589" s="89"/>
      <c r="BN1589" s="89"/>
      <c r="BO1589" s="89"/>
      <c r="BP1589" s="89"/>
    </row>
    <row r="1590" spans="1:68" s="56" customFormat="1" ht="27" hidden="1">
      <c r="A1590" s="204" t="str">
        <f>+IFERROR(VALUE(MID(AB1590,4,4)),"")</f>
        <v/>
      </c>
      <c r="B1590" s="204">
        <f>VALUE(RIGHT(C1590,LEN(C1590)-2))</f>
        <v>1135</v>
      </c>
      <c r="C1590" s="74" t="s">
        <v>5825</v>
      </c>
      <c r="D1590" s="75">
        <v>43934</v>
      </c>
      <c r="E1590" s="70" t="s">
        <v>262</v>
      </c>
      <c r="F1590" s="70" t="s">
        <v>262</v>
      </c>
      <c r="G1590" s="68"/>
      <c r="H1590" s="59"/>
      <c r="I1590" s="69" t="s">
        <v>5826</v>
      </c>
      <c r="J1590" s="69"/>
      <c r="K1590" s="68" t="s">
        <v>31</v>
      </c>
      <c r="L1590" s="69" t="s">
        <v>120</v>
      </c>
      <c r="M1590" s="71" t="s">
        <v>141</v>
      </c>
      <c r="N1590" s="69" t="e" vm="1">
        <v>#VALUE!</v>
      </c>
      <c r="O1590" s="84"/>
      <c r="P1590" s="72" t="s">
        <v>274</v>
      </c>
      <c r="Q1590" s="72"/>
      <c r="R1590" s="162"/>
      <c r="S1590" s="146" t="s">
        <v>5810</v>
      </c>
      <c r="T1590" s="68" t="s">
        <v>165</v>
      </c>
      <c r="U1590" s="87"/>
      <c r="V1590" s="80">
        <v>43997</v>
      </c>
      <c r="W1590" s="73">
        <v>552</v>
      </c>
      <c r="X1590" s="73">
        <f>1001*28700/1000000</f>
        <v>28.7287</v>
      </c>
      <c r="Y1590" s="169">
        <f>IF(SUM(W1590:W1590)&gt;0,X1590/SUM(W1590:W1590)*1000000,"N/A")</f>
        <v>52044.746376811592</v>
      </c>
      <c r="Z1590" s="80"/>
      <c r="AA1590" s="80"/>
      <c r="AB1590" s="73"/>
      <c r="AC1590" s="153"/>
      <c r="AD1590" s="331"/>
      <c r="AE1590" s="57"/>
      <c r="AF1590" s="88"/>
      <c r="AG1590" s="182">
        <f>YEAR(D1590)</f>
        <v>2020</v>
      </c>
      <c r="AH1590" s="86" t="str">
        <f>+IF(AE1590=$AJ$22,MONTH(T1590),"")</f>
        <v/>
      </c>
      <c r="AI1590" s="86" t="str">
        <f>+IF(AF1590=$AJ$22,MONTH(U1590),"")</f>
        <v/>
      </c>
      <c r="AJ1590" s="86" t="str">
        <f>+IF(AG1590=$AJ$22,MONTH(V1590),"")</f>
        <v/>
      </c>
      <c r="AK1590" s="86" t="str">
        <f>+IF(AG1590=$AK$22,MONTH(V1590),"")</f>
        <v/>
      </c>
      <c r="AL1590" s="86" t="str">
        <f>+IF(AG1590=$AL$22,MONTH(V1590),"")</f>
        <v/>
      </c>
      <c r="AM1590" s="86" t="str">
        <f>+IF($AG1590=$AM$22,MONTH($D1590),"")</f>
        <v/>
      </c>
      <c r="AN1590" s="89">
        <f>+IF($AG1590=AN$22,MONTH($D1590),"")</f>
        <v>4</v>
      </c>
      <c r="AO1590" s="89" t="str">
        <f>+IF($AG1590=AO$22,MONTH($D1590),"")</f>
        <v/>
      </c>
      <c r="AP1590" s="89" t="str">
        <f>+IF($AG1590=AP$22,MONTH($D1590),"")</f>
        <v/>
      </c>
      <c r="AQ1590" s="89" t="str">
        <f>+IF($AG1590=AQ$22,MONTH($D1590),"")</f>
        <v/>
      </c>
      <c r="AR1590" s="89" t="str">
        <f>+IF($AG1590=AR$22,MONTH($D1590),"")</f>
        <v/>
      </c>
      <c r="AS1590" s="89" t="str">
        <f>+IF($AG1590=AS$22,MONTH($D1590),"")</f>
        <v/>
      </c>
      <c r="AT1590" s="89" t="str">
        <f>+IF($AG1590=AT$22,MONTH($D1590),"")</f>
        <v/>
      </c>
      <c r="AU1590" s="89" t="str">
        <f>+IF($AG1590=AU$22,MONTH($D1590),"")</f>
        <v/>
      </c>
      <c r="AV1590" s="89" t="str">
        <f>+IF($AG1590=AV$22,MONTH($D1590),"")</f>
        <v/>
      </c>
      <c r="AW1590" s="86" t="str">
        <f>+IF($AG1590=AW$22,MONTH($D1590),"")</f>
        <v/>
      </c>
      <c r="AX1590" s="86" t="str">
        <f>+IF($AG1590=AX$22,MONTH($D1590),"")</f>
        <v/>
      </c>
      <c r="AY1590" s="89"/>
      <c r="AZ1590" s="89"/>
      <c r="BA1590" s="89"/>
      <c r="BB1590" s="89"/>
      <c r="BC1590" s="89"/>
      <c r="BD1590" s="89"/>
      <c r="BE1590" s="89"/>
      <c r="BF1590" s="89"/>
      <c r="BG1590" s="89"/>
      <c r="BH1590" s="89"/>
      <c r="BI1590" s="89"/>
      <c r="BJ1590" s="89"/>
      <c r="BK1590" s="89"/>
      <c r="BL1590" s="89"/>
      <c r="BM1590" s="89"/>
      <c r="BN1590" s="89"/>
      <c r="BO1590" s="89"/>
      <c r="BP1590" s="89"/>
    </row>
    <row r="1591" spans="1:68" s="56" customFormat="1" ht="13.5" hidden="1">
      <c r="A1591" s="204" t="str">
        <f>+IFERROR(VALUE(MID(AB1591,4,4)),"")</f>
        <v/>
      </c>
      <c r="B1591" s="204">
        <f>VALUE(RIGHT(C1591,LEN(C1591)-2))</f>
        <v>1134</v>
      </c>
      <c r="C1591" s="74" t="s">
        <v>5827</v>
      </c>
      <c r="D1591" s="75">
        <v>43934</v>
      </c>
      <c r="E1591" s="70" t="s">
        <v>41</v>
      </c>
      <c r="F1591" s="70" t="s">
        <v>41</v>
      </c>
      <c r="G1591" s="68"/>
      <c r="H1591" s="59"/>
      <c r="I1591" s="69" t="s">
        <v>5828</v>
      </c>
      <c r="J1591" s="69"/>
      <c r="K1591" s="68" t="s">
        <v>5829</v>
      </c>
      <c r="L1591" s="69" t="s">
        <v>129</v>
      </c>
      <c r="M1591" s="71" t="s">
        <v>141</v>
      </c>
      <c r="N1591" s="69" t="e" vm="1">
        <v>#VALUE!</v>
      </c>
      <c r="O1591" s="84">
        <v>43936</v>
      </c>
      <c r="P1591" s="72" t="s">
        <v>402</v>
      </c>
      <c r="Q1591" s="72"/>
      <c r="R1591" s="162"/>
      <c r="S1591" s="146"/>
      <c r="T1591" s="68" t="s">
        <v>165</v>
      </c>
      <c r="U1591" s="87"/>
      <c r="V1591" s="80">
        <v>43957</v>
      </c>
      <c r="W1591" s="73">
        <v>1627</v>
      </c>
      <c r="X1591" s="73">
        <f>1799*28700/1000000</f>
        <v>51.631300000000003</v>
      </c>
      <c r="Y1591" s="83">
        <f>IF(SUM(W1591:W1591)&gt;0,X1591/SUM(W1591:W1591)*1000000,"N/A")</f>
        <v>31734.050399508302</v>
      </c>
      <c r="Z1591" s="80"/>
      <c r="AA1591" s="80"/>
      <c r="AB1591" s="73"/>
      <c r="AC1591" s="153"/>
      <c r="AD1591" s="331"/>
      <c r="AE1591" s="57"/>
      <c r="AF1591" s="88"/>
      <c r="AG1591" s="182">
        <f>YEAR(D1591)</f>
        <v>2020</v>
      </c>
      <c r="AH1591" s="86" t="str">
        <f>+IF(AE1591=$AJ$22,MONTH(T1591),"")</f>
        <v/>
      </c>
      <c r="AI1591" s="86" t="str">
        <f>+IF(AF1591=$AJ$22,MONTH(U1591),"")</f>
        <v/>
      </c>
      <c r="AJ1591" s="86" t="str">
        <f>+IF(AG1591=$AJ$22,MONTH(V1591),"")</f>
        <v/>
      </c>
      <c r="AK1591" s="86" t="str">
        <f>+IF(AG1591=$AK$22,MONTH(V1591),"")</f>
        <v/>
      </c>
      <c r="AL1591" s="86" t="str">
        <f>+IF(AG1591=$AL$22,MONTH(V1591),"")</f>
        <v/>
      </c>
      <c r="AM1591" s="86" t="str">
        <f>+IF($AG1591=$AM$22,MONTH($D1591),"")</f>
        <v/>
      </c>
      <c r="AN1591" s="89">
        <f>+IF($AG1591=AN$22,MONTH($D1591),"")</f>
        <v>4</v>
      </c>
      <c r="AO1591" s="89" t="str">
        <f>+IF($AG1591=AO$22,MONTH($D1591),"")</f>
        <v/>
      </c>
      <c r="AP1591" s="89" t="str">
        <f>+IF($AG1591=AP$22,MONTH($D1591),"")</f>
        <v/>
      </c>
      <c r="AQ1591" s="89" t="str">
        <f>+IF($AG1591=AQ$22,MONTH($D1591),"")</f>
        <v/>
      </c>
      <c r="AR1591" s="89" t="str">
        <f>+IF($AG1591=AR$22,MONTH($D1591),"")</f>
        <v/>
      </c>
      <c r="AS1591" s="89" t="str">
        <f>+IF($AG1591=AS$22,MONTH($D1591),"")</f>
        <v/>
      </c>
      <c r="AT1591" s="89" t="str">
        <f>+IF($AG1591=AT$22,MONTH($D1591),"")</f>
        <v/>
      </c>
      <c r="AU1591" s="89" t="str">
        <f>+IF($AG1591=AU$22,MONTH($D1591),"")</f>
        <v/>
      </c>
      <c r="AV1591" s="89" t="str">
        <f>+IF($AG1591=AV$22,MONTH($D1591),"")</f>
        <v/>
      </c>
      <c r="AW1591" s="86"/>
      <c r="AX1591" s="86"/>
      <c r="AY1591" s="89"/>
      <c r="AZ1591" s="89"/>
      <c r="BA1591" s="89"/>
      <c r="BB1591" s="89"/>
      <c r="BC1591" s="89"/>
      <c r="BD1591" s="89"/>
      <c r="BE1591" s="89"/>
      <c r="BF1591" s="89"/>
      <c r="BG1591" s="89"/>
      <c r="BH1591" s="89"/>
      <c r="BI1591" s="89"/>
      <c r="BJ1591" s="89"/>
      <c r="BK1591" s="89"/>
      <c r="BL1591" s="89"/>
      <c r="BM1591" s="89"/>
      <c r="BN1591" s="89"/>
      <c r="BO1591" s="89"/>
      <c r="BP1591" s="89"/>
    </row>
    <row r="1592" spans="1:68" s="56" customFormat="1" ht="13.5" hidden="1">
      <c r="A1592" s="204" t="str">
        <f>+IFERROR(VALUE(MID(AB1592,4,4)),"")</f>
        <v/>
      </c>
      <c r="B1592" s="204">
        <f>VALUE(RIGHT(C1592,LEN(C1592)-2))</f>
        <v>1133</v>
      </c>
      <c r="C1592" s="74" t="s">
        <v>5830</v>
      </c>
      <c r="D1592" s="75">
        <v>43934</v>
      </c>
      <c r="E1592" s="70" t="s">
        <v>41</v>
      </c>
      <c r="F1592" s="70" t="s">
        <v>41</v>
      </c>
      <c r="G1592" s="68"/>
      <c r="H1592" s="59"/>
      <c r="I1592" s="69" t="s">
        <v>5831</v>
      </c>
      <c r="J1592" s="69"/>
      <c r="K1592" s="68" t="s">
        <v>13</v>
      </c>
      <c r="L1592" s="69" t="s">
        <v>129</v>
      </c>
      <c r="M1592" s="71" t="s">
        <v>141</v>
      </c>
      <c r="N1592" s="69" t="e" vm="1">
        <v>#VALUE!</v>
      </c>
      <c r="O1592" s="84">
        <v>43936</v>
      </c>
      <c r="P1592" s="72" t="s">
        <v>4567</v>
      </c>
      <c r="Q1592" s="72"/>
      <c r="R1592" s="162"/>
      <c r="S1592" s="146"/>
      <c r="T1592" s="68" t="s">
        <v>155</v>
      </c>
      <c r="U1592" s="87"/>
      <c r="V1592" s="80">
        <v>43957</v>
      </c>
      <c r="W1592" s="73"/>
      <c r="X1592" s="73"/>
      <c r="Y1592" s="83" t="str">
        <f>IF(SUM(W1592:W1592)&gt;0,X1592/SUM(W1592:W1592)*1000000,"N/A")</f>
        <v>N/A</v>
      </c>
      <c r="Z1592" s="80"/>
      <c r="AA1592" s="80"/>
      <c r="AB1592" s="73"/>
      <c r="AC1592" s="153"/>
      <c r="AD1592" s="331"/>
      <c r="AE1592" s="57"/>
      <c r="AF1592" s="88"/>
      <c r="AG1592" s="182">
        <f>YEAR(D1592)</f>
        <v>2020</v>
      </c>
      <c r="AH1592" s="86" t="str">
        <f>+IF(AE1592=$AJ$22,MONTH(T1592),"")</f>
        <v/>
      </c>
      <c r="AI1592" s="86" t="str">
        <f>+IF(AF1592=$AJ$22,MONTH(U1592),"")</f>
        <v/>
      </c>
      <c r="AJ1592" s="86" t="str">
        <f>+IF(AG1592=$AJ$22,MONTH(V1592),"")</f>
        <v/>
      </c>
      <c r="AK1592" s="86" t="str">
        <f>+IF(AG1592=$AK$22,MONTH(V1592),"")</f>
        <v/>
      </c>
      <c r="AL1592" s="86" t="str">
        <f>+IF(AG1592=$AL$22,MONTH(V1592),"")</f>
        <v/>
      </c>
      <c r="AM1592" s="86" t="str">
        <f>+IF($AG1592=$AM$22,MONTH($D1592),"")</f>
        <v/>
      </c>
      <c r="AN1592" s="89">
        <f>+IF($AG1592=AN$22,MONTH($D1592),"")</f>
        <v>4</v>
      </c>
      <c r="AO1592" s="89" t="str">
        <f>+IF($AG1592=AO$22,MONTH($D1592),"")</f>
        <v/>
      </c>
      <c r="AP1592" s="89" t="str">
        <f>+IF($AG1592=AP$22,MONTH($D1592),"")</f>
        <v/>
      </c>
      <c r="AQ1592" s="89" t="str">
        <f>+IF($AG1592=AQ$22,MONTH($D1592),"")</f>
        <v/>
      </c>
      <c r="AR1592" s="89" t="str">
        <f>+IF($AG1592=AR$22,MONTH($D1592),"")</f>
        <v/>
      </c>
      <c r="AS1592" s="89" t="str">
        <f>+IF($AG1592=AS$22,MONTH($D1592),"")</f>
        <v/>
      </c>
      <c r="AT1592" s="89" t="str">
        <f>+IF($AG1592=AT$22,MONTH($D1592),"")</f>
        <v/>
      </c>
      <c r="AU1592" s="89" t="str">
        <f>+IF($AG1592=AU$22,MONTH($D1592),"")</f>
        <v/>
      </c>
      <c r="AV1592" s="89" t="str">
        <f>+IF($AG1592=AV$22,MONTH($D1592),"")</f>
        <v/>
      </c>
      <c r="AW1592" s="86"/>
      <c r="AX1592" s="86"/>
      <c r="AY1592" s="89"/>
      <c r="AZ1592" s="89"/>
      <c r="BA1592" s="89"/>
      <c r="BB1592" s="89"/>
      <c r="BC1592" s="89"/>
      <c r="BD1592" s="89"/>
      <c r="BE1592" s="89"/>
      <c r="BF1592" s="89"/>
      <c r="BG1592" s="89"/>
      <c r="BH1592" s="89"/>
      <c r="BI1592" s="89"/>
      <c r="BJ1592" s="89"/>
      <c r="BK1592" s="89"/>
      <c r="BL1592" s="89"/>
      <c r="BM1592" s="89"/>
      <c r="BN1592" s="89"/>
      <c r="BO1592" s="89"/>
      <c r="BP1592" s="89"/>
    </row>
    <row r="1593" spans="1:68" s="56" customFormat="1" ht="13.5" hidden="1">
      <c r="A1593" s="204">
        <f>+IFERROR(VALUE(MID(AB1593,4,4)),"")</f>
        <v>239</v>
      </c>
      <c r="B1593" s="204">
        <f>VALUE(RIGHT(C1593,LEN(C1593)-2))</f>
        <v>1132</v>
      </c>
      <c r="C1593" s="74" t="s">
        <v>5832</v>
      </c>
      <c r="D1593" s="75">
        <v>43929</v>
      </c>
      <c r="E1593" s="70" t="s">
        <v>685</v>
      </c>
      <c r="F1593" s="70" t="s">
        <v>685</v>
      </c>
      <c r="G1593" s="68"/>
      <c r="H1593" s="59"/>
      <c r="I1593" s="69" t="s">
        <v>5833</v>
      </c>
      <c r="J1593" s="69"/>
      <c r="K1593" s="68" t="s">
        <v>45</v>
      </c>
      <c r="L1593" s="69" t="s">
        <v>129</v>
      </c>
      <c r="M1593" s="71" t="s">
        <v>141</v>
      </c>
      <c r="N1593" s="69" t="e" vm="1">
        <v>#VALUE!</v>
      </c>
      <c r="O1593" s="84">
        <v>43943</v>
      </c>
      <c r="P1593" s="72" t="s">
        <v>4567</v>
      </c>
      <c r="Q1593" s="72" t="s">
        <v>389</v>
      </c>
      <c r="R1593" s="162"/>
      <c r="S1593" s="146"/>
      <c r="T1593" s="68" t="s">
        <v>3</v>
      </c>
      <c r="U1593" s="87"/>
      <c r="V1593" s="80">
        <v>43957</v>
      </c>
      <c r="W1593" s="73">
        <f>(180+25)*12</f>
        <v>2460</v>
      </c>
      <c r="X1593" s="73">
        <v>99.120649999999998</v>
      </c>
      <c r="Y1593" s="83">
        <f>IF(SUM(W1593:W1593)&gt;0,X1593/SUM(W1593:W1593)*1000000,"N/A")</f>
        <v>40292.947154471542</v>
      </c>
      <c r="Z1593" s="80"/>
      <c r="AA1593" s="80"/>
      <c r="AB1593" s="73" t="s">
        <v>5834</v>
      </c>
      <c r="AC1593" s="153"/>
      <c r="AD1593" s="331"/>
      <c r="AE1593" s="57"/>
      <c r="AF1593" s="88"/>
      <c r="AG1593" s="182">
        <f>YEAR(D1593)</f>
        <v>2020</v>
      </c>
      <c r="AH1593" s="86" t="str">
        <f>+IF(AE1593=$AJ$22,MONTH(T1593),"")</f>
        <v/>
      </c>
      <c r="AI1593" s="86" t="str">
        <f>+IF(AF1593=$AJ$22,MONTH(U1593),"")</f>
        <v/>
      </c>
      <c r="AJ1593" s="86" t="str">
        <f>+IF(AG1593=$AJ$22,MONTH(V1593),"")</f>
        <v/>
      </c>
      <c r="AK1593" s="86" t="str">
        <f>+IF(AG1593=$AK$22,MONTH(V1593),"")</f>
        <v/>
      </c>
      <c r="AL1593" s="86" t="str">
        <f>+IF(AG1593=$AL$22,MONTH(V1593),"")</f>
        <v/>
      </c>
      <c r="AM1593" s="86" t="str">
        <f>+IF($AG1593=$AM$22,MONTH($D1593),"")</f>
        <v/>
      </c>
      <c r="AN1593" s="89">
        <f>+IF($AG1593=AN$22,MONTH($D1593),"")</f>
        <v>4</v>
      </c>
      <c r="AO1593" s="89" t="str">
        <f>+IF($AG1593=AO$22,MONTH($D1593),"")</f>
        <v/>
      </c>
      <c r="AP1593" s="89" t="str">
        <f>+IF($AG1593=AP$22,MONTH($D1593),"")</f>
        <v/>
      </c>
      <c r="AQ1593" s="89" t="str">
        <f>+IF($AG1593=AQ$22,MONTH($D1593),"")</f>
        <v/>
      </c>
      <c r="AR1593" s="89" t="str">
        <f>+IF($AG1593=AR$22,MONTH($D1593),"")</f>
        <v/>
      </c>
      <c r="AS1593" s="89" t="str">
        <f>+IF($AG1593=AS$22,MONTH($D1593),"")</f>
        <v/>
      </c>
      <c r="AT1593" s="89" t="str">
        <f>+IF($AG1593=AT$22,MONTH($D1593),"")</f>
        <v/>
      </c>
      <c r="AU1593" s="89" t="str">
        <f>+IF($AG1593=AU$22,MONTH($D1593),"")</f>
        <v/>
      </c>
      <c r="AV1593" s="89" t="str">
        <f>+IF($AG1593=AV$22,MONTH($D1593),"")</f>
        <v/>
      </c>
      <c r="AW1593" s="86"/>
      <c r="AX1593" s="86"/>
      <c r="AY1593" s="89"/>
      <c r="AZ1593" s="89"/>
      <c r="BA1593" s="89"/>
      <c r="BB1593" s="89"/>
      <c r="BC1593" s="89"/>
      <c r="BD1593" s="89"/>
      <c r="BE1593" s="89"/>
      <c r="BF1593" s="89"/>
      <c r="BG1593" s="89"/>
      <c r="BH1593" s="89"/>
      <c r="BI1593" s="89"/>
      <c r="BJ1593" s="89"/>
      <c r="BK1593" s="89"/>
      <c r="BL1593" s="89"/>
      <c r="BM1593" s="89"/>
      <c r="BN1593" s="89"/>
      <c r="BO1593" s="89"/>
      <c r="BP1593" s="89"/>
    </row>
    <row r="1594" spans="1:68" s="56" customFormat="1" ht="13.5" hidden="1">
      <c r="A1594" s="204">
        <f>+IFERROR(VALUE(MID(AB1594,4,4)),"")</f>
        <v>237</v>
      </c>
      <c r="B1594" s="204">
        <f>VALUE(RIGHT(C1594,LEN(C1594)-2))</f>
        <v>1131</v>
      </c>
      <c r="C1594" s="74" t="s">
        <v>5835</v>
      </c>
      <c r="D1594" s="75">
        <v>43927</v>
      </c>
      <c r="E1594" s="70" t="s">
        <v>74</v>
      </c>
      <c r="F1594" s="70" t="s">
        <v>394</v>
      </c>
      <c r="G1594" s="68"/>
      <c r="H1594" s="59"/>
      <c r="I1594" s="69" t="s">
        <v>5836</v>
      </c>
      <c r="J1594" s="69"/>
      <c r="K1594" s="68" t="s">
        <v>16</v>
      </c>
      <c r="L1594" s="69" t="s">
        <v>120</v>
      </c>
      <c r="M1594" s="71" t="s">
        <v>141</v>
      </c>
      <c r="N1594" s="69" t="e" vm="1">
        <v>#VALUE!</v>
      </c>
      <c r="O1594" s="84">
        <v>43936</v>
      </c>
      <c r="P1594" s="72" t="s">
        <v>402</v>
      </c>
      <c r="Q1594" s="72" t="s">
        <v>229</v>
      </c>
      <c r="R1594" s="162"/>
      <c r="S1594" s="146"/>
      <c r="T1594" s="68" t="s">
        <v>3</v>
      </c>
      <c r="U1594" s="87"/>
      <c r="V1594" s="80">
        <v>43957</v>
      </c>
      <c r="W1594" s="73">
        <v>815</v>
      </c>
      <c r="X1594" s="73">
        <f>1475*28700/1000000</f>
        <v>42.332500000000003</v>
      </c>
      <c r="Y1594" s="169">
        <f>IF(SUM(W1594:W1594)&gt;0,X1594/SUM(W1594:W1594)*1000000,"N/A")</f>
        <v>51941.717791411043</v>
      </c>
      <c r="Z1594" s="80"/>
      <c r="AA1594" s="80"/>
      <c r="AB1594" s="73" t="s">
        <v>5837</v>
      </c>
      <c r="AC1594" s="153"/>
      <c r="AD1594" s="331"/>
      <c r="AE1594" s="57"/>
      <c r="AF1594" s="88"/>
      <c r="AG1594" s="182">
        <f>YEAR(D1594)</f>
        <v>2020</v>
      </c>
      <c r="AH1594" s="86" t="str">
        <f>+IF(AE1594=$AJ$22,MONTH(T1594),"")</f>
        <v/>
      </c>
      <c r="AI1594" s="86" t="str">
        <f>+IF(AF1594=$AJ$22,MONTH(U1594),"")</f>
        <v/>
      </c>
      <c r="AJ1594" s="86" t="str">
        <f>+IF(AG1594=$AJ$22,MONTH(V1594),"")</f>
        <v/>
      </c>
      <c r="AK1594" s="86" t="str">
        <f>+IF(AG1594=$AK$22,MONTH(V1594),"")</f>
        <v/>
      </c>
      <c r="AL1594" s="86" t="str">
        <f>+IF(AG1594=$AL$22,MONTH(V1594),"")</f>
        <v/>
      </c>
      <c r="AM1594" s="86" t="str">
        <f>+IF($AG1594=$AM$22,MONTH($D1594),"")</f>
        <v/>
      </c>
      <c r="AN1594" s="89">
        <f>+IF($AG1594=AN$22,MONTH($D1594),"")</f>
        <v>4</v>
      </c>
      <c r="AO1594" s="89" t="str">
        <f>+IF($AG1594=AO$22,MONTH($D1594),"")</f>
        <v/>
      </c>
      <c r="AP1594" s="89" t="str">
        <f>+IF($AG1594=AP$22,MONTH($D1594),"")</f>
        <v/>
      </c>
      <c r="AQ1594" s="89" t="str">
        <f>+IF($AG1594=AQ$22,MONTH($D1594),"")</f>
        <v/>
      </c>
      <c r="AR1594" s="89" t="str">
        <f>+IF($AG1594=AR$22,MONTH($D1594),"")</f>
        <v/>
      </c>
      <c r="AS1594" s="89" t="str">
        <f>+IF($AG1594=AS$22,MONTH($D1594),"")</f>
        <v/>
      </c>
      <c r="AT1594" s="89" t="str">
        <f>+IF($AG1594=AT$22,MONTH($D1594),"")</f>
        <v/>
      </c>
      <c r="AU1594" s="89" t="str">
        <f>+IF($AG1594=AU$22,MONTH($D1594),"")</f>
        <v/>
      </c>
      <c r="AV1594" s="89" t="str">
        <f>+IF($AG1594=AV$22,MONTH($D1594),"")</f>
        <v/>
      </c>
      <c r="AW1594" s="86"/>
      <c r="AX1594" s="86"/>
      <c r="AY1594" s="89"/>
      <c r="AZ1594" s="89"/>
      <c r="BA1594" s="89"/>
      <c r="BB1594" s="89"/>
      <c r="BC1594" s="89"/>
      <c r="BD1594" s="89"/>
      <c r="BE1594" s="89"/>
      <c r="BF1594" s="89"/>
      <c r="BG1594" s="89"/>
      <c r="BH1594" s="89"/>
      <c r="BI1594" s="89"/>
      <c r="BJ1594" s="89"/>
      <c r="BK1594" s="89"/>
      <c r="BL1594" s="89"/>
      <c r="BM1594" s="89"/>
      <c r="BN1594" s="89"/>
      <c r="BO1594" s="89"/>
      <c r="BP1594" s="89"/>
    </row>
    <row r="1595" spans="1:68" s="56" customFormat="1" ht="27" hidden="1">
      <c r="A1595" s="204">
        <f>+IFERROR(VALUE(MID(AB1595,4,4)),"")</f>
        <v>235</v>
      </c>
      <c r="B1595" s="204">
        <f>VALUE(RIGHT(C1595,LEN(C1595)-2))</f>
        <v>1130</v>
      </c>
      <c r="C1595" s="74" t="s">
        <v>5838</v>
      </c>
      <c r="D1595" s="75">
        <v>43923</v>
      </c>
      <c r="E1595" s="70" t="s">
        <v>479</v>
      </c>
      <c r="F1595" s="70" t="s">
        <v>479</v>
      </c>
      <c r="G1595" s="68"/>
      <c r="H1595" s="59"/>
      <c r="I1595" s="69" t="s">
        <v>5839</v>
      </c>
      <c r="J1595" s="69"/>
      <c r="K1595" s="68" t="s">
        <v>30</v>
      </c>
      <c r="L1595" s="69" t="s">
        <v>120</v>
      </c>
      <c r="M1595" s="71" t="s">
        <v>113</v>
      </c>
      <c r="N1595" s="69" t="e" vm="2">
        <v>#VALUE!</v>
      </c>
      <c r="O1595" s="84">
        <v>43938</v>
      </c>
      <c r="P1595" s="72" t="s">
        <v>402</v>
      </c>
      <c r="Q1595" s="72" t="s">
        <v>229</v>
      </c>
      <c r="R1595" s="162"/>
      <c r="S1595" s="146" t="s">
        <v>5840</v>
      </c>
      <c r="T1595" s="68" t="s">
        <v>3</v>
      </c>
      <c r="U1595" s="87"/>
      <c r="V1595" s="80">
        <v>43957</v>
      </c>
      <c r="W1595" s="73">
        <v>989</v>
      </c>
      <c r="X1595" s="73">
        <f>78125*800/1000000</f>
        <v>62.5</v>
      </c>
      <c r="Y1595" s="83">
        <f>IF(SUM(W1595:W1595)&gt;0,X1595/SUM(W1595:W1595)*1000000,"N/A")</f>
        <v>63195.146612740144</v>
      </c>
      <c r="Z1595" s="80"/>
      <c r="AA1595" s="80"/>
      <c r="AB1595" s="73" t="s">
        <v>5841</v>
      </c>
      <c r="AC1595" s="153"/>
      <c r="AD1595" s="331"/>
      <c r="AE1595" s="57"/>
      <c r="AF1595" s="88"/>
      <c r="AG1595" s="182">
        <f>YEAR(D1595)</f>
        <v>2020</v>
      </c>
      <c r="AH1595" s="86" t="str">
        <f>+IF(AE1595=$AJ$22,MONTH(T1595),"")</f>
        <v/>
      </c>
      <c r="AI1595" s="86" t="str">
        <f>+IF(AF1595=$AJ$22,MONTH(U1595),"")</f>
        <v/>
      </c>
      <c r="AJ1595" s="86" t="str">
        <f>+IF(AG1595=$AJ$22,MONTH(V1595),"")</f>
        <v/>
      </c>
      <c r="AK1595" s="86" t="str">
        <f>+IF(AG1595=$AK$22,MONTH(V1595),"")</f>
        <v/>
      </c>
      <c r="AL1595" s="86" t="str">
        <f>+IF(AG1595=$AL$22,MONTH(V1595),"")</f>
        <v/>
      </c>
      <c r="AM1595" s="86" t="str">
        <f>+IF($AG1595=$AM$22,MONTH($D1595),"")</f>
        <v/>
      </c>
      <c r="AN1595" s="89">
        <f>+IF($AG1595=AN$22,MONTH($D1595),"")</f>
        <v>4</v>
      </c>
      <c r="AO1595" s="89" t="str">
        <f>+IF($AG1595=AO$22,MONTH($D1595),"")</f>
        <v/>
      </c>
      <c r="AP1595" s="89" t="str">
        <f>+IF($AG1595=AP$22,MONTH($D1595),"")</f>
        <v/>
      </c>
      <c r="AQ1595" s="89" t="str">
        <f>+IF($AG1595=AQ$22,MONTH($D1595),"")</f>
        <v/>
      </c>
      <c r="AR1595" s="89" t="str">
        <f>+IF($AG1595=AR$22,MONTH($D1595),"")</f>
        <v/>
      </c>
      <c r="AS1595" s="89" t="str">
        <f>+IF($AG1595=AS$22,MONTH($D1595),"")</f>
        <v/>
      </c>
      <c r="AT1595" s="89" t="str">
        <f>+IF($AG1595=AT$22,MONTH($D1595),"")</f>
        <v/>
      </c>
      <c r="AU1595" s="89" t="str">
        <f>+IF($AG1595=AU$22,MONTH($D1595),"")</f>
        <v/>
      </c>
      <c r="AV1595" s="89" t="str">
        <f>+IF($AG1595=AV$22,MONTH($D1595),"")</f>
        <v/>
      </c>
      <c r="AW1595" s="86" t="str">
        <f>+IF($AG1595=AW$22,MONTH($D1595),"")</f>
        <v/>
      </c>
      <c r="AX1595" s="86" t="str">
        <f>+IF($AG1595=AX$22,MONTH($D1595),"")</f>
        <v/>
      </c>
      <c r="AY1595" s="89"/>
      <c r="AZ1595" s="89"/>
      <c r="BA1595" s="89"/>
      <c r="BB1595" s="89"/>
      <c r="BC1595" s="89"/>
      <c r="BD1595" s="89"/>
      <c r="BE1595" s="89"/>
      <c r="BF1595" s="89"/>
      <c r="BG1595" s="89"/>
      <c r="BH1595" s="89"/>
      <c r="BI1595" s="89"/>
      <c r="BJ1595" s="89"/>
      <c r="BK1595" s="89"/>
      <c r="BL1595" s="89"/>
      <c r="BM1595" s="89"/>
      <c r="BN1595" s="89"/>
      <c r="BO1595" s="89"/>
      <c r="BP1595" s="89"/>
    </row>
    <row r="1596" spans="1:68" s="56" customFormat="1" ht="29.25" hidden="1" customHeight="1">
      <c r="A1596" s="204">
        <f>+IFERROR(VALUE(MID(AB1596,4,4)),"")</f>
        <v>235</v>
      </c>
      <c r="B1596" s="204">
        <f>VALUE(RIGHT(C1596,LEN(C1596)-2))</f>
        <v>1129</v>
      </c>
      <c r="C1596" s="74" t="s">
        <v>5842</v>
      </c>
      <c r="D1596" s="75">
        <v>43923</v>
      </c>
      <c r="E1596" s="70" t="s">
        <v>479</v>
      </c>
      <c r="F1596" s="70" t="s">
        <v>479</v>
      </c>
      <c r="G1596" s="68"/>
      <c r="H1596" s="59"/>
      <c r="I1596" s="69" t="s">
        <v>5843</v>
      </c>
      <c r="J1596" s="69"/>
      <c r="K1596" s="68" t="s">
        <v>30</v>
      </c>
      <c r="L1596" s="69" t="s">
        <v>120</v>
      </c>
      <c r="M1596" s="71" t="s">
        <v>113</v>
      </c>
      <c r="N1596" s="69" t="e" vm="2">
        <v>#VALUE!</v>
      </c>
      <c r="O1596" s="84">
        <v>43938</v>
      </c>
      <c r="P1596" s="72" t="s">
        <v>402</v>
      </c>
      <c r="Q1596" s="72" t="s">
        <v>229</v>
      </c>
      <c r="R1596" s="162"/>
      <c r="S1596" s="146"/>
      <c r="T1596" s="68" t="s">
        <v>3</v>
      </c>
      <c r="U1596" s="87"/>
      <c r="V1596" s="80">
        <v>43957</v>
      </c>
      <c r="W1596" s="73">
        <v>210</v>
      </c>
      <c r="X1596" s="73">
        <f>19020*800/1000000</f>
        <v>15.215999999999999</v>
      </c>
      <c r="Y1596" s="83">
        <f>IF(SUM(W1596:W1596)&gt;0,X1596/SUM(W1596:W1596)*1000000,"N/A")</f>
        <v>72457.142857142855</v>
      </c>
      <c r="Z1596" s="80"/>
      <c r="AA1596" s="80"/>
      <c r="AB1596" s="73" t="s">
        <v>5844</v>
      </c>
      <c r="AC1596" s="153"/>
      <c r="AD1596" s="331"/>
      <c r="AE1596" s="57"/>
      <c r="AF1596" s="88"/>
      <c r="AG1596" s="182">
        <f>YEAR(D1596)</f>
        <v>2020</v>
      </c>
      <c r="AH1596" s="86" t="str">
        <f>+IF(AE1596=$AJ$22,MONTH(T1596),"")</f>
        <v/>
      </c>
      <c r="AI1596" s="86" t="str">
        <f>+IF(AF1596=$AJ$22,MONTH(U1596),"")</f>
        <v/>
      </c>
      <c r="AJ1596" s="86" t="str">
        <f>+IF(AG1596=$AJ$22,MONTH(V1596),"")</f>
        <v/>
      </c>
      <c r="AK1596" s="86" t="str">
        <f>+IF(AG1596=$AK$22,MONTH(V1596),"")</f>
        <v/>
      </c>
      <c r="AL1596" s="86" t="str">
        <f>+IF(AG1596=$AL$22,MONTH(V1596),"")</f>
        <v/>
      </c>
      <c r="AM1596" s="86" t="str">
        <f>+IF($AG1596=$AM$22,MONTH($D1596),"")</f>
        <v/>
      </c>
      <c r="AN1596" s="89">
        <f>+IF($AG1596=AN$22,MONTH($D1596),"")</f>
        <v>4</v>
      </c>
      <c r="AO1596" s="89" t="str">
        <f>+IF($AG1596=AO$22,MONTH($D1596),"")</f>
        <v/>
      </c>
      <c r="AP1596" s="89" t="str">
        <f>+IF($AG1596=AP$22,MONTH($D1596),"")</f>
        <v/>
      </c>
      <c r="AQ1596" s="89" t="str">
        <f>+IF($AG1596=AQ$22,MONTH($D1596),"")</f>
        <v/>
      </c>
      <c r="AR1596" s="89" t="str">
        <f>+IF($AG1596=AR$22,MONTH($D1596),"")</f>
        <v/>
      </c>
      <c r="AS1596" s="89" t="str">
        <f>+IF($AG1596=AS$22,MONTH($D1596),"")</f>
        <v/>
      </c>
      <c r="AT1596" s="89" t="str">
        <f>+IF($AG1596=AT$22,MONTH($D1596),"")</f>
        <v/>
      </c>
      <c r="AU1596" s="89" t="str">
        <f>+IF($AG1596=AU$22,MONTH($D1596),"")</f>
        <v/>
      </c>
      <c r="AV1596" s="89" t="str">
        <f>+IF($AG1596=AV$22,MONTH($D1596),"")</f>
        <v/>
      </c>
      <c r="AW1596" s="86" t="str">
        <f>+IF($AG1596=AW$22,MONTH($D1596),"")</f>
        <v/>
      </c>
      <c r="AX1596" s="86" t="str">
        <f>+IF($AG1596=AX$22,MONTH($D1596),"")</f>
        <v/>
      </c>
      <c r="AY1596" s="89"/>
      <c r="AZ1596" s="89"/>
      <c r="BA1596" s="89"/>
      <c r="BB1596" s="89"/>
      <c r="BC1596" s="89"/>
      <c r="BD1596" s="89"/>
      <c r="BE1596" s="89"/>
      <c r="BF1596" s="89"/>
      <c r="BG1596" s="89"/>
      <c r="BH1596" s="89"/>
      <c r="BI1596" s="89"/>
      <c r="BJ1596" s="89"/>
      <c r="BK1596" s="89"/>
      <c r="BL1596" s="89"/>
      <c r="BM1596" s="89"/>
      <c r="BN1596" s="89"/>
      <c r="BO1596" s="89"/>
      <c r="BP1596" s="89"/>
    </row>
    <row r="1597" spans="1:68" s="56" customFormat="1" ht="24" hidden="1" customHeight="1">
      <c r="A1597" s="204" t="str">
        <f>+IFERROR(VALUE(MID(AB1597,4,4)),"")</f>
        <v/>
      </c>
      <c r="B1597" s="204">
        <f>VALUE(RIGHT(C1597,LEN(C1597)-2))</f>
        <v>1128</v>
      </c>
      <c r="C1597" s="74" t="s">
        <v>5845</v>
      </c>
      <c r="D1597" s="75">
        <v>43899</v>
      </c>
      <c r="E1597" s="70" t="s">
        <v>41</v>
      </c>
      <c r="F1597" s="70" t="s">
        <v>41</v>
      </c>
      <c r="G1597" s="68"/>
      <c r="H1597" s="59"/>
      <c r="I1597" s="69" t="s">
        <v>5846</v>
      </c>
      <c r="J1597" s="69"/>
      <c r="K1597" s="68" t="s">
        <v>13</v>
      </c>
      <c r="L1597" s="69" t="s">
        <v>129</v>
      </c>
      <c r="M1597" s="71" t="s">
        <v>141</v>
      </c>
      <c r="N1597" s="69" t="e" vm="1">
        <v>#VALUE!</v>
      </c>
      <c r="O1597" s="84"/>
      <c r="P1597" s="72" t="s">
        <v>402</v>
      </c>
      <c r="Q1597" s="72" t="s">
        <v>316</v>
      </c>
      <c r="R1597" s="162"/>
      <c r="S1597" s="146"/>
      <c r="T1597" s="68" t="s">
        <v>165</v>
      </c>
      <c r="U1597" s="87"/>
      <c r="V1597" s="80">
        <v>43908</v>
      </c>
      <c r="W1597" s="73">
        <v>329</v>
      </c>
      <c r="X1597" s="73">
        <f>389*28500/1000000</f>
        <v>11.086499999999999</v>
      </c>
      <c r="Y1597" s="83">
        <f>IF(SUM(W1597:W1597)&gt;0,X1597/SUM(W1597:W1597)*1000000,"N/A")</f>
        <v>33697.568389057749</v>
      </c>
      <c r="Z1597" s="80"/>
      <c r="AA1597" s="80"/>
      <c r="AB1597" s="73"/>
      <c r="AC1597" s="153"/>
      <c r="AD1597" s="331"/>
      <c r="AE1597" s="57"/>
      <c r="AF1597" s="88"/>
      <c r="AG1597" s="182">
        <f>YEAR(D1597)</f>
        <v>2020</v>
      </c>
      <c r="AH1597" s="86" t="str">
        <f>+IF(AE1597=$AJ$22,MONTH(T1597),"")</f>
        <v/>
      </c>
      <c r="AI1597" s="86" t="str">
        <f>+IF(AF1597=$AJ$22,MONTH(U1597),"")</f>
        <v/>
      </c>
      <c r="AJ1597" s="86" t="str">
        <f>+IF(AG1597=$AJ$22,MONTH(V1597),"")</f>
        <v/>
      </c>
      <c r="AK1597" s="86" t="str">
        <f>+IF(AG1597=$AK$22,MONTH(V1597),"")</f>
        <v/>
      </c>
      <c r="AL1597" s="86" t="str">
        <f>+IF(AG1597=$AL$22,MONTH(V1597),"")</f>
        <v/>
      </c>
      <c r="AM1597" s="86" t="str">
        <f>+IF($AG1597=$AM$22,MONTH($D1597),"")</f>
        <v/>
      </c>
      <c r="AN1597" s="89">
        <f>+IF($AG1597=AN$22,MONTH($D1597),"")</f>
        <v>3</v>
      </c>
      <c r="AO1597" s="89" t="str">
        <f>+IF($AG1597=AO$22,MONTH($D1597),"")</f>
        <v/>
      </c>
      <c r="AP1597" s="89" t="str">
        <f>+IF($AG1597=AP$22,MONTH($D1597),"")</f>
        <v/>
      </c>
      <c r="AQ1597" s="89" t="str">
        <f>+IF($AG1597=AQ$22,MONTH($D1597),"")</f>
        <v/>
      </c>
      <c r="AR1597" s="89" t="str">
        <f>+IF($AG1597=AR$22,MONTH($D1597),"")</f>
        <v/>
      </c>
      <c r="AS1597" s="89" t="str">
        <f>+IF($AG1597=AS$22,MONTH($D1597),"")</f>
        <v/>
      </c>
      <c r="AT1597" s="89" t="str">
        <f>+IF($AG1597=AT$22,MONTH($D1597),"")</f>
        <v/>
      </c>
      <c r="AU1597" s="89" t="str">
        <f>+IF($AG1597=AU$22,MONTH($D1597),"")</f>
        <v/>
      </c>
      <c r="AV1597" s="89" t="str">
        <f>+IF($AG1597=AV$22,MONTH($D1597),"")</f>
        <v/>
      </c>
      <c r="AW1597" s="86" t="str">
        <f>+IF($AG1597=AW$22,MONTH($D1597),"")</f>
        <v/>
      </c>
      <c r="AX1597" s="86" t="str">
        <f>+IF($AG1597=AX$22,MONTH($D1597),"")</f>
        <v/>
      </c>
      <c r="AY1597" s="89"/>
      <c r="AZ1597" s="89"/>
      <c r="BA1597" s="89"/>
      <c r="BB1597" s="89"/>
      <c r="BC1597" s="89"/>
      <c r="BD1597" s="89"/>
      <c r="BE1597" s="89"/>
      <c r="BF1597" s="89"/>
      <c r="BG1597" s="89"/>
      <c r="BH1597" s="89"/>
      <c r="BI1597" s="89"/>
      <c r="BJ1597" s="89"/>
      <c r="BK1597" s="89"/>
      <c r="BL1597" s="89"/>
      <c r="BM1597" s="89"/>
      <c r="BN1597" s="89"/>
      <c r="BO1597" s="89"/>
      <c r="BP1597" s="89"/>
    </row>
    <row r="1598" spans="1:68" s="56" customFormat="1" ht="27" hidden="1">
      <c r="A1598" s="204">
        <f>+IFERROR(VALUE(MID(AB1598,4,4)),"")</f>
        <v>219</v>
      </c>
      <c r="B1598" s="204">
        <f>VALUE(RIGHT(C1598,LEN(C1598)-2))</f>
        <v>1127</v>
      </c>
      <c r="C1598" s="74" t="s">
        <v>5847</v>
      </c>
      <c r="D1598" s="75">
        <v>43899</v>
      </c>
      <c r="E1598" s="70" t="s">
        <v>41</v>
      </c>
      <c r="F1598" s="70" t="s">
        <v>41</v>
      </c>
      <c r="G1598" s="68"/>
      <c r="H1598" s="59"/>
      <c r="I1598" s="69" t="s">
        <v>5848</v>
      </c>
      <c r="J1598" s="69"/>
      <c r="K1598" s="68" t="s">
        <v>12</v>
      </c>
      <c r="L1598" s="69" t="s">
        <v>129</v>
      </c>
      <c r="M1598" s="71" t="s">
        <v>141</v>
      </c>
      <c r="N1598" s="69" t="e" vm="1">
        <v>#VALUE!</v>
      </c>
      <c r="O1598" s="84"/>
      <c r="P1598" s="72" t="s">
        <v>402</v>
      </c>
      <c r="Q1598" s="72" t="s">
        <v>316</v>
      </c>
      <c r="R1598" s="162"/>
      <c r="S1598" s="146"/>
      <c r="T1598" s="68" t="s">
        <v>3</v>
      </c>
      <c r="U1598" s="87"/>
      <c r="V1598" s="80">
        <v>43908</v>
      </c>
      <c r="W1598" s="73">
        <v>370</v>
      </c>
      <c r="X1598" s="73">
        <f>441*28500/1000000</f>
        <v>12.5685</v>
      </c>
      <c r="Y1598" s="83">
        <f>IF(SUM(W1598:W1598)&gt;0,X1598/SUM(W1598:W1598)*1000000,"N/A")</f>
        <v>33968.91891891892</v>
      </c>
      <c r="Z1598" s="80"/>
      <c r="AA1598" s="80"/>
      <c r="AB1598" s="73" t="s">
        <v>5849</v>
      </c>
      <c r="AC1598" s="153"/>
      <c r="AD1598" s="331"/>
      <c r="AE1598" s="57"/>
      <c r="AF1598" s="88"/>
      <c r="AG1598" s="182">
        <f>YEAR(D1598)</f>
        <v>2020</v>
      </c>
      <c r="AH1598" s="86" t="str">
        <f>+IF(AE1598=$AJ$22,MONTH(T1598),"")</f>
        <v/>
      </c>
      <c r="AI1598" s="86" t="str">
        <f>+IF(AF1598=$AJ$22,MONTH(U1598),"")</f>
        <v/>
      </c>
      <c r="AJ1598" s="86" t="str">
        <f>+IF(AG1598=$AJ$22,MONTH(V1598),"")</f>
        <v/>
      </c>
      <c r="AK1598" s="86" t="str">
        <f>+IF(AG1598=$AK$22,MONTH(V1598),"")</f>
        <v/>
      </c>
      <c r="AL1598" s="86" t="str">
        <f>+IF(AG1598=$AL$22,MONTH(V1598),"")</f>
        <v/>
      </c>
      <c r="AM1598" s="86" t="str">
        <f>+IF($AG1598=$AM$22,MONTH($D1598),"")</f>
        <v/>
      </c>
      <c r="AN1598" s="89">
        <f>+IF($AG1598=AN$22,MONTH($D1598),"")</f>
        <v>3</v>
      </c>
      <c r="AO1598" s="89" t="str">
        <f>+IF($AG1598=AO$22,MONTH($D1598),"")</f>
        <v/>
      </c>
      <c r="AP1598" s="89" t="str">
        <f>+IF($AG1598=AP$22,MONTH($D1598),"")</f>
        <v/>
      </c>
      <c r="AQ1598" s="89" t="str">
        <f>+IF($AG1598=AQ$22,MONTH($D1598),"")</f>
        <v/>
      </c>
      <c r="AR1598" s="89" t="str">
        <f>+IF($AG1598=AR$22,MONTH($D1598),"")</f>
        <v/>
      </c>
      <c r="AS1598" s="89" t="str">
        <f>+IF($AG1598=AS$22,MONTH($D1598),"")</f>
        <v/>
      </c>
      <c r="AT1598" s="89" t="str">
        <f>+IF($AG1598=AT$22,MONTH($D1598),"")</f>
        <v/>
      </c>
      <c r="AU1598" s="89" t="str">
        <f>+IF($AG1598=AU$22,MONTH($D1598),"")</f>
        <v/>
      </c>
      <c r="AV1598" s="89" t="str">
        <f>+IF($AG1598=AV$22,MONTH($D1598),"")</f>
        <v/>
      </c>
      <c r="AW1598" s="86" t="str">
        <f>+IF($AG1598=AW$22,MONTH($D1598),"")</f>
        <v/>
      </c>
      <c r="AX1598" s="86" t="str">
        <f>+IF($AG1598=AX$22,MONTH($D1598),"")</f>
        <v/>
      </c>
      <c r="AY1598" s="89"/>
      <c r="AZ1598" s="89"/>
      <c r="BA1598" s="89"/>
      <c r="BB1598" s="89"/>
      <c r="BC1598" s="89"/>
      <c r="BD1598" s="89"/>
      <c r="BE1598" s="89"/>
      <c r="BF1598" s="89"/>
      <c r="BG1598" s="89"/>
      <c r="BH1598" s="89"/>
      <c r="BI1598" s="89"/>
      <c r="BJ1598" s="89"/>
      <c r="BK1598" s="89"/>
      <c r="BL1598" s="89"/>
      <c r="BM1598" s="89"/>
      <c r="BN1598" s="89"/>
      <c r="BO1598" s="89"/>
      <c r="BP1598" s="89"/>
    </row>
    <row r="1599" spans="1:68" s="56" customFormat="1" ht="13.5" hidden="1">
      <c r="A1599" s="204" t="str">
        <f>+IFERROR(VALUE(MID(AB1599,4,4)),"")</f>
        <v/>
      </c>
      <c r="B1599" s="204">
        <f>VALUE(RIGHT(C1599,LEN(C1599)-2))</f>
        <v>1126</v>
      </c>
      <c r="C1599" s="74" t="s">
        <v>5850</v>
      </c>
      <c r="D1599" s="75">
        <v>43899</v>
      </c>
      <c r="E1599" s="70" t="s">
        <v>41</v>
      </c>
      <c r="F1599" s="70" t="s">
        <v>41</v>
      </c>
      <c r="G1599" s="68"/>
      <c r="H1599" s="59"/>
      <c r="I1599" s="69" t="s">
        <v>5851</v>
      </c>
      <c r="J1599" s="69"/>
      <c r="K1599" s="68" t="s">
        <v>13</v>
      </c>
      <c r="L1599" s="69" t="s">
        <v>129</v>
      </c>
      <c r="M1599" s="71" t="s">
        <v>141</v>
      </c>
      <c r="N1599" s="69" t="e" vm="1">
        <v>#VALUE!</v>
      </c>
      <c r="O1599" s="84"/>
      <c r="P1599" s="72"/>
      <c r="Q1599" s="72" t="s">
        <v>316</v>
      </c>
      <c r="R1599" s="162"/>
      <c r="S1599" s="146"/>
      <c r="T1599" s="68" t="s">
        <v>155</v>
      </c>
      <c r="U1599" s="87"/>
      <c r="V1599" s="80">
        <v>43901</v>
      </c>
      <c r="W1599" s="73"/>
      <c r="X1599" s="73"/>
      <c r="Y1599" s="83" t="str">
        <f>IF(SUM(W1599:W1599)&gt;0,X1599/SUM(W1599:W1599)*1000000,"N/A")</f>
        <v>N/A</v>
      </c>
      <c r="Z1599" s="80"/>
      <c r="AA1599" s="80"/>
      <c r="AB1599" s="73"/>
      <c r="AC1599" s="153"/>
      <c r="AD1599" s="331"/>
      <c r="AE1599" s="57"/>
      <c r="AF1599" s="88"/>
      <c r="AG1599" s="182">
        <f>YEAR(D1599)</f>
        <v>2020</v>
      </c>
      <c r="AH1599" s="86" t="str">
        <f>+IF(AE1599=$AJ$22,MONTH(T1599),"")</f>
        <v/>
      </c>
      <c r="AI1599" s="86" t="str">
        <f>+IF(AF1599=$AJ$22,MONTH(U1599),"")</f>
        <v/>
      </c>
      <c r="AJ1599" s="86" t="str">
        <f>+IF(AG1599=$AJ$22,MONTH(V1599),"")</f>
        <v/>
      </c>
      <c r="AK1599" s="86" t="str">
        <f>+IF(AG1599=$AK$22,MONTH(V1599),"")</f>
        <v/>
      </c>
      <c r="AL1599" s="86" t="str">
        <f>+IF(AG1599=$AL$22,MONTH(V1599),"")</f>
        <v/>
      </c>
      <c r="AM1599" s="86" t="str">
        <f>+IF($AG1599=$AM$22,MONTH($D1599),"")</f>
        <v/>
      </c>
      <c r="AN1599" s="89">
        <f>+IF($AG1599=AN$22,MONTH($D1599),"")</f>
        <v>3</v>
      </c>
      <c r="AO1599" s="89" t="str">
        <f>+IF($AG1599=AO$22,MONTH($D1599),"")</f>
        <v/>
      </c>
      <c r="AP1599" s="89" t="str">
        <f>+IF($AG1599=AP$22,MONTH($D1599),"")</f>
        <v/>
      </c>
      <c r="AQ1599" s="89" t="str">
        <f>+IF($AG1599=AQ$22,MONTH($D1599),"")</f>
        <v/>
      </c>
      <c r="AR1599" s="89" t="str">
        <f>+IF($AG1599=AR$22,MONTH($D1599),"")</f>
        <v/>
      </c>
      <c r="AS1599" s="89" t="str">
        <f>+IF($AG1599=AS$22,MONTH($D1599),"")</f>
        <v/>
      </c>
      <c r="AT1599" s="89" t="str">
        <f>+IF($AG1599=AT$22,MONTH($D1599),"")</f>
        <v/>
      </c>
      <c r="AU1599" s="89" t="str">
        <f>+IF($AG1599=AU$22,MONTH($D1599),"")</f>
        <v/>
      </c>
      <c r="AV1599" s="89" t="str">
        <f>+IF($AG1599=AV$22,MONTH($D1599),"")</f>
        <v/>
      </c>
      <c r="AW1599" s="86" t="str">
        <f>+IF($AG1599=AW$22,MONTH($D1599),"")</f>
        <v/>
      </c>
      <c r="AX1599" s="86" t="str">
        <f>+IF($AG1599=AX$22,MONTH($D1599),"")</f>
        <v/>
      </c>
      <c r="AY1599" s="89"/>
      <c r="AZ1599" s="89"/>
      <c r="BA1599" s="89"/>
      <c r="BB1599" s="89"/>
      <c r="BC1599" s="89"/>
      <c r="BD1599" s="89"/>
      <c r="BE1599" s="89"/>
      <c r="BF1599" s="89"/>
      <c r="BG1599" s="89"/>
      <c r="BH1599" s="89"/>
      <c r="BI1599" s="89"/>
      <c r="BJ1599" s="89"/>
      <c r="BK1599" s="89"/>
      <c r="BL1599" s="89"/>
      <c r="BM1599" s="89"/>
      <c r="BN1599" s="89"/>
      <c r="BO1599" s="89"/>
      <c r="BP1599" s="89"/>
    </row>
    <row r="1600" spans="1:68" s="56" customFormat="1" ht="13.5" hidden="1">
      <c r="A1600" s="204" t="str">
        <f>+IFERROR(VALUE(MID(AB1600,4,4)),"")</f>
        <v/>
      </c>
      <c r="B1600" s="204">
        <f>VALUE(RIGHT(C1600,LEN(C1600)-2))</f>
        <v>1125</v>
      </c>
      <c r="C1600" s="74" t="s">
        <v>5852</v>
      </c>
      <c r="D1600" s="75">
        <v>43899</v>
      </c>
      <c r="E1600" s="70" t="s">
        <v>41</v>
      </c>
      <c r="F1600" s="70" t="s">
        <v>41</v>
      </c>
      <c r="G1600" s="68"/>
      <c r="H1600" s="59"/>
      <c r="I1600" s="69" t="s">
        <v>5853</v>
      </c>
      <c r="J1600" s="69"/>
      <c r="K1600" s="68" t="s">
        <v>13</v>
      </c>
      <c r="L1600" s="69" t="s">
        <v>129</v>
      </c>
      <c r="M1600" s="71" t="s">
        <v>141</v>
      </c>
      <c r="N1600" s="69" t="e" vm="1">
        <v>#VALUE!</v>
      </c>
      <c r="O1600" s="84"/>
      <c r="P1600" s="72" t="s">
        <v>402</v>
      </c>
      <c r="Q1600" s="72"/>
      <c r="R1600" s="162"/>
      <c r="S1600" s="146"/>
      <c r="T1600" s="68" t="s">
        <v>155</v>
      </c>
      <c r="U1600" s="87"/>
      <c r="V1600" s="80">
        <v>43901</v>
      </c>
      <c r="W1600" s="73"/>
      <c r="X1600" s="73"/>
      <c r="Y1600" s="83" t="str">
        <f>IF(SUM(W1600:W1600)&gt;0,X1600/SUM(W1600:W1600)*1000000,"N/A")</f>
        <v>N/A</v>
      </c>
      <c r="Z1600" s="80"/>
      <c r="AA1600" s="80"/>
      <c r="AB1600" s="73"/>
      <c r="AC1600" s="153"/>
      <c r="AD1600" s="331"/>
      <c r="AE1600" s="57"/>
      <c r="AF1600" s="88"/>
      <c r="AG1600" s="182">
        <f>YEAR(D1600)</f>
        <v>2020</v>
      </c>
      <c r="AH1600" s="86" t="str">
        <f>+IF(AE1600=$AJ$22,MONTH(T1600),"")</f>
        <v/>
      </c>
      <c r="AI1600" s="86" t="str">
        <f>+IF(AF1600=$AJ$22,MONTH(U1600),"")</f>
        <v/>
      </c>
      <c r="AJ1600" s="86" t="str">
        <f>+IF(AG1600=$AJ$22,MONTH(V1600),"")</f>
        <v/>
      </c>
      <c r="AK1600" s="86" t="str">
        <f>+IF(AG1600=$AK$22,MONTH(V1600),"")</f>
        <v/>
      </c>
      <c r="AL1600" s="86" t="str">
        <f>+IF(AG1600=$AL$22,MONTH(V1600),"")</f>
        <v/>
      </c>
      <c r="AM1600" s="86" t="str">
        <f>+IF($AG1600=$AM$22,MONTH($D1600),"")</f>
        <v/>
      </c>
      <c r="AN1600" s="89">
        <f>+IF($AG1600=AN$22,MONTH($D1600),"")</f>
        <v>3</v>
      </c>
      <c r="AO1600" s="89" t="str">
        <f>+IF($AG1600=AO$22,MONTH($D1600),"")</f>
        <v/>
      </c>
      <c r="AP1600" s="89" t="str">
        <f>+IF($AG1600=AP$22,MONTH($D1600),"")</f>
        <v/>
      </c>
      <c r="AQ1600" s="89" t="str">
        <f>+IF($AG1600=AQ$22,MONTH($D1600),"")</f>
        <v/>
      </c>
      <c r="AR1600" s="89" t="str">
        <f>+IF($AG1600=AR$22,MONTH($D1600),"")</f>
        <v/>
      </c>
      <c r="AS1600" s="89" t="str">
        <f>+IF($AG1600=AS$22,MONTH($D1600),"")</f>
        <v/>
      </c>
      <c r="AT1600" s="89" t="str">
        <f>+IF($AG1600=AT$22,MONTH($D1600),"")</f>
        <v/>
      </c>
      <c r="AU1600" s="89" t="str">
        <f>+IF($AG1600=AU$22,MONTH($D1600),"")</f>
        <v/>
      </c>
      <c r="AV1600" s="89" t="str">
        <f>+IF($AG1600=AV$22,MONTH($D1600),"")</f>
        <v/>
      </c>
      <c r="AW1600" s="86" t="str">
        <f>+IF($AG1600=AW$22,MONTH($D1600),"")</f>
        <v/>
      </c>
      <c r="AX1600" s="86" t="str">
        <f>+IF($AG1600=AX$22,MONTH($D1600),"")</f>
        <v/>
      </c>
      <c r="AY1600" s="89"/>
      <c r="AZ1600" s="89"/>
      <c r="BA1600" s="89"/>
      <c r="BB1600" s="89"/>
      <c r="BC1600" s="89"/>
      <c r="BD1600" s="89"/>
      <c r="BE1600" s="89"/>
      <c r="BF1600" s="89"/>
      <c r="BG1600" s="89"/>
      <c r="BH1600" s="89"/>
      <c r="BI1600" s="89"/>
      <c r="BJ1600" s="89"/>
      <c r="BK1600" s="89"/>
      <c r="BL1600" s="89"/>
      <c r="BM1600" s="89"/>
      <c r="BN1600" s="89"/>
      <c r="BO1600" s="89"/>
      <c r="BP1600" s="89"/>
    </row>
    <row r="1601" spans="1:68" s="56" customFormat="1" ht="27" hidden="1">
      <c r="A1601" s="204">
        <f>+IFERROR(VALUE(MID(AB1601,4,4)),"")</f>
        <v>219</v>
      </c>
      <c r="B1601" s="204">
        <f>VALUE(RIGHT(C1601,LEN(C1601)-2))</f>
        <v>1124</v>
      </c>
      <c r="C1601" s="74" t="s">
        <v>5854</v>
      </c>
      <c r="D1601" s="75">
        <v>43899</v>
      </c>
      <c r="E1601" s="70" t="s">
        <v>41</v>
      </c>
      <c r="F1601" s="70" t="s">
        <v>41</v>
      </c>
      <c r="G1601" s="68"/>
      <c r="H1601" s="59"/>
      <c r="I1601" s="69" t="s">
        <v>5855</v>
      </c>
      <c r="J1601" s="69"/>
      <c r="K1601" s="68" t="s">
        <v>12</v>
      </c>
      <c r="L1601" s="69" t="s">
        <v>129</v>
      </c>
      <c r="M1601" s="71" t="s">
        <v>141</v>
      </c>
      <c r="N1601" s="69" t="e" vm="1">
        <v>#VALUE!</v>
      </c>
      <c r="O1601" s="84">
        <v>43900</v>
      </c>
      <c r="P1601" s="72" t="s">
        <v>4567</v>
      </c>
      <c r="Q1601" s="72" t="s">
        <v>316</v>
      </c>
      <c r="R1601" s="162"/>
      <c r="S1601" s="146"/>
      <c r="T1601" s="68" t="s">
        <v>3</v>
      </c>
      <c r="U1601" s="87"/>
      <c r="V1601" s="80">
        <v>43901</v>
      </c>
      <c r="W1601" s="73">
        <v>516</v>
      </c>
      <c r="X1601" s="73">
        <f>595*28523.91/1000000</f>
        <v>16.971726449999998</v>
      </c>
      <c r="Y1601" s="83">
        <f>IF(SUM(W1601:W1601)&gt;0,X1601/SUM(W1601:W1601)*1000000,"N/A")</f>
        <v>32890.942732558142</v>
      </c>
      <c r="Z1601" s="80"/>
      <c r="AA1601" s="80"/>
      <c r="AB1601" s="73" t="s">
        <v>5856</v>
      </c>
      <c r="AC1601" s="153"/>
      <c r="AD1601" s="331"/>
      <c r="AE1601" s="57"/>
      <c r="AF1601" s="88"/>
      <c r="AG1601" s="182">
        <f>YEAR(D1601)</f>
        <v>2020</v>
      </c>
      <c r="AH1601" s="86" t="str">
        <f>+IF(AE1601=$AJ$22,MONTH(T1601),"")</f>
        <v/>
      </c>
      <c r="AI1601" s="86" t="str">
        <f>+IF(AF1601=$AJ$22,MONTH(U1601),"")</f>
        <v/>
      </c>
      <c r="AJ1601" s="86" t="str">
        <f>+IF(AG1601=$AJ$22,MONTH(V1601),"")</f>
        <v/>
      </c>
      <c r="AK1601" s="86" t="str">
        <f>+IF(AG1601=$AK$22,MONTH(V1601),"")</f>
        <v/>
      </c>
      <c r="AL1601" s="86" t="str">
        <f>+IF(AG1601=$AL$22,MONTH(V1601),"")</f>
        <v/>
      </c>
      <c r="AM1601" s="86" t="str">
        <f>+IF($AG1601=$AM$22,MONTH($D1601),"")</f>
        <v/>
      </c>
      <c r="AN1601" s="89">
        <f>+IF($AG1601=AN$22,MONTH($D1601),"")</f>
        <v>3</v>
      </c>
      <c r="AO1601" s="89" t="str">
        <f>+IF($AG1601=AO$22,MONTH($D1601),"")</f>
        <v/>
      </c>
      <c r="AP1601" s="89" t="str">
        <f>+IF($AG1601=AP$22,MONTH($D1601),"")</f>
        <v/>
      </c>
      <c r="AQ1601" s="89" t="str">
        <f>+IF($AG1601=AQ$22,MONTH($D1601),"")</f>
        <v/>
      </c>
      <c r="AR1601" s="89" t="str">
        <f>+IF($AG1601=AR$22,MONTH($D1601),"")</f>
        <v/>
      </c>
      <c r="AS1601" s="89" t="str">
        <f>+IF($AG1601=AS$22,MONTH($D1601),"")</f>
        <v/>
      </c>
      <c r="AT1601" s="89" t="str">
        <f>+IF($AG1601=AT$22,MONTH($D1601),"")</f>
        <v/>
      </c>
      <c r="AU1601" s="89" t="str">
        <f>+IF($AG1601=AU$22,MONTH($D1601),"")</f>
        <v/>
      </c>
      <c r="AV1601" s="89" t="str">
        <f>+IF($AG1601=AV$22,MONTH($D1601),"")</f>
        <v/>
      </c>
      <c r="AW1601" s="86" t="str">
        <f>+IF($AG1601=AW$22,MONTH($D1601),"")</f>
        <v/>
      </c>
      <c r="AX1601" s="86" t="str">
        <f>+IF($AG1601=AX$22,MONTH($D1601),"")</f>
        <v/>
      </c>
      <c r="AY1601" s="89"/>
      <c r="AZ1601" s="89"/>
      <c r="BA1601" s="89"/>
      <c r="BB1601" s="89"/>
      <c r="BC1601" s="89"/>
      <c r="BD1601" s="89"/>
      <c r="BE1601" s="89"/>
      <c r="BF1601" s="89"/>
      <c r="BG1601" s="89"/>
      <c r="BH1601" s="89"/>
      <c r="BI1601" s="89"/>
      <c r="BJ1601" s="89"/>
      <c r="BK1601" s="89"/>
      <c r="BL1601" s="89"/>
      <c r="BM1601" s="89"/>
      <c r="BN1601" s="89"/>
      <c r="BO1601" s="89"/>
      <c r="BP1601" s="89"/>
    </row>
    <row r="1602" spans="1:68" s="56" customFormat="1" ht="13.5" hidden="1">
      <c r="A1602" s="204" t="str">
        <f>+IFERROR(VALUE(MID(AB1602,4,4)),"")</f>
        <v/>
      </c>
      <c r="B1602" s="204">
        <f>VALUE(RIGHT(C1602,LEN(C1602)-2))</f>
        <v>1123</v>
      </c>
      <c r="C1602" s="74" t="s">
        <v>5857</v>
      </c>
      <c r="D1602" s="75">
        <v>43873</v>
      </c>
      <c r="E1602" s="70" t="s">
        <v>41</v>
      </c>
      <c r="F1602" s="70" t="s">
        <v>41</v>
      </c>
      <c r="G1602" s="68"/>
      <c r="H1602" s="59"/>
      <c r="I1602" s="69" t="s">
        <v>5858</v>
      </c>
      <c r="J1602" s="69"/>
      <c r="K1602" s="68" t="s">
        <v>13</v>
      </c>
      <c r="L1602" s="69" t="s">
        <v>129</v>
      </c>
      <c r="M1602" s="71" t="s">
        <v>141</v>
      </c>
      <c r="N1602" s="69" t="e" vm="1">
        <v>#VALUE!</v>
      </c>
      <c r="O1602" s="84"/>
      <c r="P1602" s="72" t="s">
        <v>402</v>
      </c>
      <c r="Q1602" s="72"/>
      <c r="R1602" s="162"/>
      <c r="S1602" s="146"/>
      <c r="T1602" s="68" t="s">
        <v>155</v>
      </c>
      <c r="U1602" s="87"/>
      <c r="V1602" s="80">
        <v>43901</v>
      </c>
      <c r="W1602" s="73"/>
      <c r="X1602" s="73"/>
      <c r="Y1602" s="83" t="str">
        <f>IF(SUM(W1602:W1602)&gt;0,X1602/SUM(W1602:W1602)*1000000,"N/A")</f>
        <v>N/A</v>
      </c>
      <c r="Z1602" s="80"/>
      <c r="AA1602" s="80"/>
      <c r="AB1602" s="73"/>
      <c r="AC1602" s="153"/>
      <c r="AD1602" s="331"/>
      <c r="AE1602" s="57"/>
      <c r="AF1602" s="88"/>
      <c r="AG1602" s="182">
        <f>YEAR(D1602)</f>
        <v>2020</v>
      </c>
      <c r="AH1602" s="86" t="str">
        <f>+IF(AE1602=$AJ$22,MONTH(T1602),"")</f>
        <v/>
      </c>
      <c r="AI1602" s="86" t="str">
        <f>+IF(AF1602=$AJ$22,MONTH(U1602),"")</f>
        <v/>
      </c>
      <c r="AJ1602" s="86" t="str">
        <f>+IF(AG1602=$AJ$22,MONTH(V1602),"")</f>
        <v/>
      </c>
      <c r="AK1602" s="86" t="str">
        <f>+IF(AG1602=$AK$22,MONTH(V1602),"")</f>
        <v/>
      </c>
      <c r="AL1602" s="86" t="str">
        <f>+IF(AG1602=$AL$22,MONTH(V1602),"")</f>
        <v/>
      </c>
      <c r="AM1602" s="86" t="str">
        <f>+IF($AG1602=$AM$22,MONTH($D1602),"")</f>
        <v/>
      </c>
      <c r="AN1602" s="89">
        <f>+IF($AG1602=AN$22,MONTH($D1602),"")</f>
        <v>2</v>
      </c>
      <c r="AO1602" s="89" t="str">
        <f>+IF($AG1602=AO$22,MONTH($D1602),"")</f>
        <v/>
      </c>
      <c r="AP1602" s="89" t="str">
        <f>+IF($AG1602=AP$22,MONTH($D1602),"")</f>
        <v/>
      </c>
      <c r="AQ1602" s="89" t="str">
        <f>+IF($AG1602=AQ$22,MONTH($D1602),"")</f>
        <v/>
      </c>
      <c r="AR1602" s="89" t="str">
        <f>+IF($AG1602=AR$22,MONTH($D1602),"")</f>
        <v/>
      </c>
      <c r="AS1602" s="89" t="str">
        <f>+IF($AG1602=AS$22,MONTH($D1602),"")</f>
        <v/>
      </c>
      <c r="AT1602" s="89" t="str">
        <f>+IF($AG1602=AT$22,MONTH($D1602),"")</f>
        <v/>
      </c>
      <c r="AU1602" s="89" t="str">
        <f>+IF($AG1602=AU$22,MONTH($D1602),"")</f>
        <v/>
      </c>
      <c r="AV1602" s="89" t="str">
        <f>+IF($AG1602=AV$22,MONTH($D1602),"")</f>
        <v/>
      </c>
      <c r="AW1602" s="86" t="str">
        <f>+IF($AG1602=AW$22,MONTH($D1602),"")</f>
        <v/>
      </c>
      <c r="AX1602" s="86" t="str">
        <f>+IF($AG1602=AX$22,MONTH($D1602),"")</f>
        <v/>
      </c>
      <c r="AY1602" s="89"/>
      <c r="AZ1602" s="89"/>
      <c r="BA1602" s="89"/>
      <c r="BB1602" s="89"/>
      <c r="BC1602" s="89"/>
      <c r="BD1602" s="89"/>
      <c r="BE1602" s="89"/>
      <c r="BF1602" s="89"/>
      <c r="BG1602" s="89"/>
      <c r="BH1602" s="89"/>
      <c r="BI1602" s="89"/>
      <c r="BJ1602" s="89"/>
      <c r="BK1602" s="89"/>
      <c r="BL1602" s="89"/>
      <c r="BM1602" s="89"/>
      <c r="BN1602" s="89"/>
      <c r="BO1602" s="89"/>
      <c r="BP1602" s="89"/>
    </row>
    <row r="1603" spans="1:68" s="89" customFormat="1" ht="27" hidden="1">
      <c r="A1603" s="204" t="str">
        <f>+IFERROR(VALUE(MID(AB1603,4,4)),"")</f>
        <v/>
      </c>
      <c r="B1603" s="204">
        <f>VALUE(RIGHT(C1603,LEN(C1603)-2))</f>
        <v>1122</v>
      </c>
      <c r="C1603" s="74" t="s">
        <v>5859</v>
      </c>
      <c r="D1603" s="75">
        <v>43899</v>
      </c>
      <c r="E1603" s="70" t="s">
        <v>41</v>
      </c>
      <c r="F1603" s="70" t="s">
        <v>41</v>
      </c>
      <c r="G1603" s="68"/>
      <c r="H1603" s="59"/>
      <c r="I1603" s="69" t="s">
        <v>5860</v>
      </c>
      <c r="J1603" s="69"/>
      <c r="K1603" s="68" t="s">
        <v>11</v>
      </c>
      <c r="L1603" s="69" t="s">
        <v>129</v>
      </c>
      <c r="M1603" s="71" t="s">
        <v>141</v>
      </c>
      <c r="N1603" s="69" t="e" vm="1">
        <v>#VALUE!</v>
      </c>
      <c r="O1603" s="84"/>
      <c r="P1603" s="72" t="s">
        <v>402</v>
      </c>
      <c r="Q1603" s="72"/>
      <c r="R1603" s="162"/>
      <c r="S1603" s="146"/>
      <c r="T1603" s="68" t="s">
        <v>165</v>
      </c>
      <c r="U1603" s="87"/>
      <c r="V1603" s="80">
        <v>43901</v>
      </c>
      <c r="W1603" s="73">
        <v>183</v>
      </c>
      <c r="X1603" s="73">
        <f>236*28523.91/1000000</f>
        <v>6.7316427599999997</v>
      </c>
      <c r="Y1603" s="83">
        <f>IF(SUM(W1603:W1603)&gt;0,X1603/SUM(W1603:W1603)*1000000,"N/A")</f>
        <v>36784.933114754094</v>
      </c>
      <c r="Z1603" s="80"/>
      <c r="AA1603" s="80"/>
      <c r="AB1603" s="73"/>
      <c r="AC1603" s="153"/>
      <c r="AD1603" s="331"/>
      <c r="AE1603" s="57"/>
      <c r="AF1603" s="88"/>
      <c r="AG1603" s="182">
        <f>YEAR(D1603)</f>
        <v>2020</v>
      </c>
      <c r="AH1603" s="86" t="str">
        <f>+IF(AE1603=$AJ$22,MONTH(T1603),"")</f>
        <v/>
      </c>
      <c r="AI1603" s="86" t="str">
        <f>+IF(AF1603=$AJ$22,MONTH(U1603),"")</f>
        <v/>
      </c>
      <c r="AJ1603" s="86" t="str">
        <f>+IF(AG1603=$AJ$22,MONTH(V1603),"")</f>
        <v/>
      </c>
      <c r="AK1603" s="86" t="str">
        <f>+IF(AG1603=$AK$22,MONTH(V1603),"")</f>
        <v/>
      </c>
      <c r="AL1603" s="86" t="str">
        <f>+IF(AG1603=$AL$22,MONTH(V1603),"")</f>
        <v/>
      </c>
      <c r="AM1603" s="86" t="str">
        <f>+IF($AG1603=$AM$22,MONTH($D1603),"")</f>
        <v/>
      </c>
      <c r="AN1603" s="89">
        <f>+IF($AG1603=AN$22,MONTH($D1603),"")</f>
        <v>3</v>
      </c>
      <c r="AO1603" s="89" t="str">
        <f>+IF($AG1603=AO$22,MONTH($D1603),"")</f>
        <v/>
      </c>
      <c r="AP1603" s="89" t="str">
        <f>+IF($AG1603=AP$22,MONTH($D1603),"")</f>
        <v/>
      </c>
      <c r="AQ1603" s="89" t="str">
        <f>+IF($AG1603=AQ$22,MONTH($D1603),"")</f>
        <v/>
      </c>
      <c r="AR1603" s="89" t="str">
        <f>+IF($AG1603=AR$22,MONTH($D1603),"")</f>
        <v/>
      </c>
      <c r="AS1603" s="89" t="str">
        <f>+IF($AG1603=AS$22,MONTH($D1603),"")</f>
        <v/>
      </c>
      <c r="AT1603" s="89" t="str">
        <f>+IF($AG1603=AT$22,MONTH($D1603),"")</f>
        <v/>
      </c>
      <c r="AU1603" s="89" t="str">
        <f>+IF($AG1603=AU$22,MONTH($D1603),"")</f>
        <v/>
      </c>
      <c r="AV1603" s="89" t="str">
        <f>+IF($AG1603=AV$22,MONTH($D1603),"")</f>
        <v/>
      </c>
      <c r="AW1603" s="86" t="str">
        <f>+IF($AG1603=AW$22,MONTH($D1603),"")</f>
        <v/>
      </c>
      <c r="AX1603" s="86" t="str">
        <f>+IF($AG1603=AX$22,MONTH($D1603),"")</f>
        <v/>
      </c>
    </row>
    <row r="1604" spans="1:68" s="89" customFormat="1" ht="13.5" hidden="1">
      <c r="A1604" s="204" t="str">
        <f>+IFERROR(VALUE(MID(AB1604,4,4)),"")</f>
        <v/>
      </c>
      <c r="B1604" s="204">
        <f>VALUE(RIGHT(C1604,LEN(C1604)-2))</f>
        <v>1121</v>
      </c>
      <c r="C1604" s="74" t="s">
        <v>5861</v>
      </c>
      <c r="D1604" s="75">
        <v>43896</v>
      </c>
      <c r="E1604" s="70" t="s">
        <v>99</v>
      </c>
      <c r="F1604" s="70" t="s">
        <v>99</v>
      </c>
      <c r="G1604" s="68"/>
      <c r="H1604" s="59"/>
      <c r="I1604" s="69" t="s">
        <v>5862</v>
      </c>
      <c r="J1604" s="69"/>
      <c r="K1604" s="68"/>
      <c r="L1604" s="69" t="s">
        <v>120</v>
      </c>
      <c r="M1604" s="71" t="s">
        <v>141</v>
      </c>
      <c r="N1604" s="69" t="e" vm="1">
        <v>#VALUE!</v>
      </c>
      <c r="O1604" s="84">
        <v>43896</v>
      </c>
      <c r="P1604" s="72" t="s">
        <v>402</v>
      </c>
      <c r="Q1604" s="72"/>
      <c r="R1604" s="162"/>
      <c r="S1604" s="146"/>
      <c r="T1604" s="68" t="s">
        <v>165</v>
      </c>
      <c r="U1604" s="87"/>
      <c r="V1604" s="80">
        <v>43908</v>
      </c>
      <c r="W1604" s="73">
        <v>1180</v>
      </c>
      <c r="X1604" s="73">
        <f>1699*28500/1000000</f>
        <v>48.421500000000002</v>
      </c>
      <c r="Y1604" s="83">
        <f>IF(SUM(W1604:W1604)&gt;0,X1604/SUM(W1604:W1604)*1000000,"N/A")</f>
        <v>41035.169491525427</v>
      </c>
      <c r="Z1604" s="80"/>
      <c r="AA1604" s="80"/>
      <c r="AB1604" s="73"/>
      <c r="AC1604" s="153"/>
      <c r="AD1604" s="331"/>
      <c r="AE1604" s="57"/>
      <c r="AF1604" s="88"/>
      <c r="AG1604" s="182">
        <f>YEAR(D1604)</f>
        <v>2020</v>
      </c>
      <c r="AH1604" s="86" t="str">
        <f>+IF(AE1604=$AJ$22,MONTH(T1604),"")</f>
        <v/>
      </c>
      <c r="AI1604" s="86" t="str">
        <f>+IF(AF1604=$AJ$22,MONTH(U1604),"")</f>
        <v/>
      </c>
      <c r="AJ1604" s="86" t="str">
        <f>+IF(AG1604=$AJ$22,MONTH(V1604),"")</f>
        <v/>
      </c>
      <c r="AK1604" s="86" t="str">
        <f>+IF(AG1604=$AK$22,MONTH(V1604),"")</f>
        <v/>
      </c>
      <c r="AL1604" s="86" t="str">
        <f>+IF(AG1604=$AL$22,MONTH(V1604),"")</f>
        <v/>
      </c>
      <c r="AM1604" s="86" t="str">
        <f>+IF($AG1604=$AM$22,MONTH($D1604),"")</f>
        <v/>
      </c>
      <c r="AN1604" s="89">
        <f>+IF($AG1604=AN$22,MONTH($D1604),"")</f>
        <v>3</v>
      </c>
      <c r="AO1604" s="89" t="str">
        <f>+IF($AG1604=AO$22,MONTH($D1604),"")</f>
        <v/>
      </c>
      <c r="AP1604" s="89" t="str">
        <f>+IF($AG1604=AP$22,MONTH($D1604),"")</f>
        <v/>
      </c>
      <c r="AQ1604" s="89" t="str">
        <f>+IF($AG1604=AQ$22,MONTH($D1604),"")</f>
        <v/>
      </c>
      <c r="AR1604" s="89" t="str">
        <f>+IF($AG1604=AR$22,MONTH($D1604),"")</f>
        <v/>
      </c>
      <c r="AS1604" s="89" t="str">
        <f>+IF($AG1604=AS$22,MONTH($D1604),"")</f>
        <v/>
      </c>
      <c r="AT1604" s="89" t="str">
        <f>+IF($AG1604=AT$22,MONTH($D1604),"")</f>
        <v/>
      </c>
      <c r="AU1604" s="89" t="str">
        <f>+IF($AG1604=AU$22,MONTH($D1604),"")</f>
        <v/>
      </c>
      <c r="AV1604" s="89" t="str">
        <f>+IF($AG1604=AV$22,MONTH($D1604),"")</f>
        <v/>
      </c>
      <c r="AW1604" s="86" t="str">
        <f>+IF($AG1604=AW$22,MONTH($D1604),"")</f>
        <v/>
      </c>
      <c r="AX1604" s="86" t="str">
        <f>+IF($AG1604=AX$22,MONTH($D1604),"")</f>
        <v/>
      </c>
    </row>
    <row r="1605" spans="1:68" s="89" customFormat="1" ht="13.5" hidden="1">
      <c r="A1605" s="204" t="str">
        <f>+IFERROR(VALUE(MID(AB1605,4,4)),"")</f>
        <v/>
      </c>
      <c r="B1605" s="204">
        <f>VALUE(RIGHT(C1605,LEN(C1605)-2))</f>
        <v>1120</v>
      </c>
      <c r="C1605" s="74" t="s">
        <v>5863</v>
      </c>
      <c r="D1605" s="75">
        <v>43886</v>
      </c>
      <c r="E1605" s="70" t="s">
        <v>2639</v>
      </c>
      <c r="F1605" s="70" t="s">
        <v>2639</v>
      </c>
      <c r="G1605" s="68"/>
      <c r="H1605" s="59"/>
      <c r="I1605" s="69" t="s">
        <v>5864</v>
      </c>
      <c r="J1605" s="69"/>
      <c r="K1605" s="68"/>
      <c r="L1605" s="69"/>
      <c r="M1605" s="71"/>
      <c r="N1605" s="69"/>
      <c r="O1605" s="84"/>
      <c r="P1605" s="72"/>
      <c r="Q1605" s="72"/>
      <c r="R1605" s="162"/>
      <c r="S1605" s="146"/>
      <c r="T1605" s="68" t="s">
        <v>155</v>
      </c>
      <c r="U1605" s="87"/>
      <c r="V1605" s="80">
        <v>43901</v>
      </c>
      <c r="W1605" s="73"/>
      <c r="X1605" s="73"/>
      <c r="Y1605" s="83" t="str">
        <f>IF(SUM(W1605:W1605)&gt;0,X1605/SUM(W1605:W1605)*1000000,"N/A")</f>
        <v>N/A</v>
      </c>
      <c r="Z1605" s="80"/>
      <c r="AA1605" s="80"/>
      <c r="AB1605" s="73"/>
      <c r="AC1605" s="153"/>
      <c r="AD1605" s="331"/>
      <c r="AE1605" s="57"/>
      <c r="AF1605" s="88"/>
      <c r="AG1605" s="182">
        <f>YEAR(D1605)</f>
        <v>2020</v>
      </c>
      <c r="AH1605" s="86" t="str">
        <f>+IF(AE1605=$AJ$22,MONTH(T1605),"")</f>
        <v/>
      </c>
      <c r="AI1605" s="86" t="str">
        <f>+IF(AF1605=$AJ$22,MONTH(U1605),"")</f>
        <v/>
      </c>
      <c r="AJ1605" s="86" t="str">
        <f>+IF(AG1605=$AJ$22,MONTH(V1605),"")</f>
        <v/>
      </c>
      <c r="AK1605" s="86" t="str">
        <f>+IF(AG1605=$AK$22,MONTH(V1605),"")</f>
        <v/>
      </c>
      <c r="AL1605" s="86" t="str">
        <f>+IF(AG1605=$AL$22,MONTH(V1605),"")</f>
        <v/>
      </c>
      <c r="AM1605" s="86" t="str">
        <f>+IF($AG1605=$AM$22,MONTH($D1605),"")</f>
        <v/>
      </c>
      <c r="AN1605" s="89">
        <f>+IF($AG1605=AN$22,MONTH($D1605),"")</f>
        <v>2</v>
      </c>
      <c r="AO1605" s="89" t="str">
        <f>+IF($AG1605=AO$22,MONTH($D1605),"")</f>
        <v/>
      </c>
      <c r="AP1605" s="89" t="str">
        <f>+IF($AG1605=AP$22,MONTH($D1605),"")</f>
        <v/>
      </c>
      <c r="AQ1605" s="89" t="str">
        <f>+IF($AG1605=AQ$22,MONTH($D1605),"")</f>
        <v/>
      </c>
      <c r="AR1605" s="89" t="str">
        <f>+IF($AG1605=AR$22,MONTH($D1605),"")</f>
        <v/>
      </c>
      <c r="AS1605" s="89" t="str">
        <f>+IF($AG1605=AS$22,MONTH($D1605),"")</f>
        <v/>
      </c>
      <c r="AT1605" s="89" t="str">
        <f>+IF($AG1605=AT$22,MONTH($D1605),"")</f>
        <v/>
      </c>
      <c r="AU1605" s="89" t="str">
        <f>+IF($AG1605=AU$22,MONTH($D1605),"")</f>
        <v/>
      </c>
      <c r="AV1605" s="89" t="str">
        <f>+IF($AG1605=AV$22,MONTH($D1605),"")</f>
        <v/>
      </c>
      <c r="AW1605" s="86" t="str">
        <f>+IF($AG1605=AW$22,MONTH($D1605),"")</f>
        <v/>
      </c>
      <c r="AX1605" s="86" t="str">
        <f>+IF($AG1605=AX$22,MONTH($D1605),"")</f>
        <v/>
      </c>
    </row>
    <row r="1606" spans="1:68" s="89" customFormat="1" ht="13.5" hidden="1">
      <c r="A1606" s="204" t="str">
        <f>+IFERROR(VALUE(MID(AB1606,4,4)),"")</f>
        <v/>
      </c>
      <c r="B1606" s="204">
        <f>VALUE(RIGHT(C1606,LEN(C1606)-2))</f>
        <v>1119</v>
      </c>
      <c r="C1606" s="74" t="s">
        <v>5865</v>
      </c>
      <c r="D1606" s="75">
        <v>43880</v>
      </c>
      <c r="E1606" s="70" t="s">
        <v>346</v>
      </c>
      <c r="F1606" s="70" t="s">
        <v>346</v>
      </c>
      <c r="G1606" s="68"/>
      <c r="H1606" s="59"/>
      <c r="I1606" s="69" t="s">
        <v>5866</v>
      </c>
      <c r="J1606" s="69"/>
      <c r="K1606" s="68" t="s">
        <v>13</v>
      </c>
      <c r="L1606" s="69" t="s">
        <v>123</v>
      </c>
      <c r="M1606" s="71" t="s">
        <v>141</v>
      </c>
      <c r="N1606" s="69" t="e" vm="1">
        <v>#VALUE!</v>
      </c>
      <c r="O1606" s="84">
        <v>43894</v>
      </c>
      <c r="P1606" s="72" t="s">
        <v>402</v>
      </c>
      <c r="Q1606" s="72"/>
      <c r="R1606" s="162"/>
      <c r="S1606" s="146"/>
      <c r="T1606" s="68" t="s">
        <v>165</v>
      </c>
      <c r="U1606" s="87"/>
      <c r="V1606" s="80">
        <v>43997</v>
      </c>
      <c r="W1606" s="73">
        <v>11724</v>
      </c>
      <c r="X1606" s="73">
        <f>517919626/1000000</f>
        <v>517.91962599999999</v>
      </c>
      <c r="Y1606" s="83">
        <f>IF(SUM(W1606:W1606)&gt;0,X1606/SUM(W1606:W1606)*1000000,"N/A")</f>
        <v>44176.017229614466</v>
      </c>
      <c r="Z1606" s="80"/>
      <c r="AA1606" s="80"/>
      <c r="AB1606" s="73"/>
      <c r="AC1606" s="153"/>
      <c r="AD1606" s="331"/>
      <c r="AE1606" s="57"/>
      <c r="AF1606" s="88"/>
      <c r="AG1606" s="182">
        <f>YEAR(D1606)</f>
        <v>2020</v>
      </c>
      <c r="AH1606" s="86" t="str">
        <f>+IF(AE1606=$AJ$22,MONTH(T1606),"")</f>
        <v/>
      </c>
      <c r="AI1606" s="86" t="str">
        <f>+IF(AF1606=$AJ$22,MONTH(U1606),"")</f>
        <v/>
      </c>
      <c r="AJ1606" s="86" t="str">
        <f>+IF(AG1606=$AJ$22,MONTH(V1606),"")</f>
        <v/>
      </c>
      <c r="AK1606" s="86" t="str">
        <f>+IF(AG1606=$AK$22,MONTH(V1606),"")</f>
        <v/>
      </c>
      <c r="AL1606" s="86" t="str">
        <f>+IF(AG1606=$AL$22,MONTH(V1606),"")</f>
        <v/>
      </c>
      <c r="AM1606" s="86" t="str">
        <f>+IF($AG1606=$AM$22,MONTH($D1606),"")</f>
        <v/>
      </c>
      <c r="AN1606" s="89">
        <f>+IF($AG1606=AN$22,MONTH($D1606),"")</f>
        <v>2</v>
      </c>
      <c r="AO1606" s="89" t="str">
        <f>+IF($AG1606=AO$22,MONTH($D1606),"")</f>
        <v/>
      </c>
      <c r="AP1606" s="89" t="str">
        <f>+IF($AG1606=AP$22,MONTH($D1606),"")</f>
        <v/>
      </c>
      <c r="AQ1606" s="89" t="str">
        <f>+IF($AG1606=AQ$22,MONTH($D1606),"")</f>
        <v/>
      </c>
      <c r="AR1606" s="89" t="str">
        <f>+IF($AG1606=AR$22,MONTH($D1606),"")</f>
        <v/>
      </c>
      <c r="AS1606" s="89" t="str">
        <f>+IF($AG1606=AS$22,MONTH($D1606),"")</f>
        <v/>
      </c>
      <c r="AT1606" s="89" t="str">
        <f>+IF($AG1606=AT$22,MONTH($D1606),"")</f>
        <v/>
      </c>
      <c r="AU1606" s="89" t="str">
        <f>+IF($AG1606=AU$22,MONTH($D1606),"")</f>
        <v/>
      </c>
      <c r="AV1606" s="89" t="str">
        <f>+IF($AG1606=AV$22,MONTH($D1606),"")</f>
        <v/>
      </c>
      <c r="AW1606" s="86" t="str">
        <f>+IF($AG1606=AW$22,MONTH($D1606),"")</f>
        <v/>
      </c>
      <c r="AX1606" s="86" t="str">
        <f>+IF($AG1606=AX$22,MONTH($D1606),"")</f>
        <v/>
      </c>
    </row>
    <row r="1607" spans="1:68" s="89" customFormat="1" ht="13.5" hidden="1">
      <c r="A1607" s="204" t="str">
        <f>+IFERROR(VALUE(MID(AB1607,4,4)),"")</f>
        <v/>
      </c>
      <c r="B1607" s="204">
        <f>VALUE(RIGHT(C1607,LEN(C1607)-2))</f>
        <v>1118</v>
      </c>
      <c r="C1607" s="74" t="s">
        <v>5867</v>
      </c>
      <c r="D1607" s="75">
        <v>43879</v>
      </c>
      <c r="E1607" s="70" t="s">
        <v>53</v>
      </c>
      <c r="F1607" s="70" t="s">
        <v>53</v>
      </c>
      <c r="G1607" s="68"/>
      <c r="H1607" s="59"/>
      <c r="I1607" s="69" t="s">
        <v>5868</v>
      </c>
      <c r="J1607" s="69"/>
      <c r="K1607" s="68"/>
      <c r="L1607" s="69"/>
      <c r="M1607" s="71"/>
      <c r="N1607" s="69"/>
      <c r="O1607" s="84"/>
      <c r="P1607" s="72"/>
      <c r="Q1607" s="72"/>
      <c r="R1607" s="162"/>
      <c r="S1607" s="146"/>
      <c r="T1607" s="68" t="s">
        <v>155</v>
      </c>
      <c r="U1607" s="87"/>
      <c r="V1607" s="80">
        <v>43901</v>
      </c>
      <c r="W1607" s="73"/>
      <c r="X1607" s="73"/>
      <c r="Y1607" s="83" t="str">
        <f>IF(SUM(W1607:W1607)&gt;0,X1607/SUM(W1607:W1607)*1000000,"N/A")</f>
        <v>N/A</v>
      </c>
      <c r="Z1607" s="80"/>
      <c r="AA1607" s="80"/>
      <c r="AB1607" s="73"/>
      <c r="AC1607" s="153"/>
      <c r="AD1607" s="331"/>
      <c r="AE1607" s="57"/>
      <c r="AF1607" s="88"/>
      <c r="AG1607" s="182">
        <f>YEAR(D1607)</f>
        <v>2020</v>
      </c>
      <c r="AH1607" s="86" t="str">
        <f>+IF(AE1607=$AJ$22,MONTH(T1607),"")</f>
        <v/>
      </c>
      <c r="AI1607" s="86" t="str">
        <f>+IF(AF1607=$AJ$22,MONTH(U1607),"")</f>
        <v/>
      </c>
      <c r="AJ1607" s="86" t="str">
        <f>+IF(AG1607=$AJ$22,MONTH(V1607),"")</f>
        <v/>
      </c>
      <c r="AK1607" s="86" t="str">
        <f>+IF(AG1607=$AK$22,MONTH(V1607),"")</f>
        <v/>
      </c>
      <c r="AL1607" s="86" t="str">
        <f>+IF(AG1607=$AL$22,MONTH(V1607),"")</f>
        <v/>
      </c>
      <c r="AM1607" s="86" t="str">
        <f>+IF($AG1607=$AM$22,MONTH($D1607),"")</f>
        <v/>
      </c>
      <c r="AN1607" s="89">
        <f>+IF($AG1607=AN$22,MONTH($D1607),"")</f>
        <v>2</v>
      </c>
      <c r="AO1607" s="89" t="str">
        <f>+IF($AG1607=AO$22,MONTH($D1607),"")</f>
        <v/>
      </c>
      <c r="AP1607" s="89" t="str">
        <f>+IF($AG1607=AP$22,MONTH($D1607),"")</f>
        <v/>
      </c>
      <c r="AQ1607" s="89" t="str">
        <f>+IF($AG1607=AQ$22,MONTH($D1607),"")</f>
        <v/>
      </c>
      <c r="AR1607" s="89" t="str">
        <f>+IF($AG1607=AR$22,MONTH($D1607),"")</f>
        <v/>
      </c>
      <c r="AS1607" s="89" t="str">
        <f>+IF($AG1607=AS$22,MONTH($D1607),"")</f>
        <v/>
      </c>
      <c r="AT1607" s="89" t="str">
        <f>+IF($AG1607=AT$22,MONTH($D1607),"")</f>
        <v/>
      </c>
      <c r="AU1607" s="89" t="str">
        <f>+IF($AG1607=AU$22,MONTH($D1607),"")</f>
        <v/>
      </c>
      <c r="AV1607" s="89" t="str">
        <f>+IF($AG1607=AV$22,MONTH($D1607),"")</f>
        <v/>
      </c>
      <c r="AW1607" s="86"/>
      <c r="AX1607" s="86"/>
    </row>
    <row r="1608" spans="1:68" s="89" customFormat="1" ht="13.5" hidden="1">
      <c r="A1608" s="204">
        <f>+IFERROR(VALUE(MID(AB1608,4,4)),"")</f>
        <v>223</v>
      </c>
      <c r="B1608" s="204">
        <f>VALUE(RIGHT(C1608,LEN(C1608)-2))</f>
        <v>1117</v>
      </c>
      <c r="C1608" s="74" t="s">
        <v>5869</v>
      </c>
      <c r="D1608" s="75">
        <v>43878</v>
      </c>
      <c r="E1608" s="70" t="s">
        <v>103</v>
      </c>
      <c r="F1608" s="70" t="s">
        <v>479</v>
      </c>
      <c r="G1608" s="68"/>
      <c r="H1608" s="59"/>
      <c r="I1608" s="69" t="s">
        <v>5870</v>
      </c>
      <c r="J1608" s="69"/>
      <c r="K1608" s="68" t="s">
        <v>31</v>
      </c>
      <c r="L1608" s="69" t="s">
        <v>120</v>
      </c>
      <c r="M1608" s="71" t="s">
        <v>113</v>
      </c>
      <c r="N1608" s="69" t="e" vm="2">
        <v>#VALUE!</v>
      </c>
      <c r="O1608" s="84">
        <v>43879</v>
      </c>
      <c r="P1608" s="72" t="s">
        <v>402</v>
      </c>
      <c r="Q1608" s="72" t="s">
        <v>229</v>
      </c>
      <c r="R1608" s="162"/>
      <c r="S1608" s="146"/>
      <c r="T1608" s="68" t="s">
        <v>3</v>
      </c>
      <c r="U1608" s="87"/>
      <c r="V1608" s="80">
        <v>43901</v>
      </c>
      <c r="W1608" s="73">
        <v>369</v>
      </c>
      <c r="X1608" s="73">
        <f>51765*179/1000000</f>
        <v>9.2659350000000007</v>
      </c>
      <c r="Y1608" s="83">
        <f>IF(SUM(W1608:W1608)&gt;0,X1608/SUM(W1608:W1608)*1000000,"N/A")</f>
        <v>25110.934959349594</v>
      </c>
      <c r="Z1608" s="80"/>
      <c r="AA1608" s="80"/>
      <c r="AB1608" s="73" t="s">
        <v>5871</v>
      </c>
      <c r="AC1608" s="153"/>
      <c r="AD1608" s="331"/>
      <c r="AE1608" s="57"/>
      <c r="AF1608" s="88"/>
      <c r="AG1608" s="182">
        <f>YEAR(D1608)</f>
        <v>2020</v>
      </c>
      <c r="AH1608" s="86" t="str">
        <f>+IF(AE1608=$AJ$22,MONTH(T1608),"")</f>
        <v/>
      </c>
      <c r="AI1608" s="86" t="str">
        <f>+IF(AF1608=$AJ$22,MONTH(U1608),"")</f>
        <v/>
      </c>
      <c r="AJ1608" s="86" t="str">
        <f>+IF(AG1608=$AJ$22,MONTH(V1608),"")</f>
        <v/>
      </c>
      <c r="AK1608" s="86" t="str">
        <f>+IF(AG1608=$AK$22,MONTH(V1608),"")</f>
        <v/>
      </c>
      <c r="AL1608" s="86" t="str">
        <f>+IF(AG1608=$AL$22,MONTH(V1608),"")</f>
        <v/>
      </c>
      <c r="AM1608" s="86" t="str">
        <f>+IF($AG1608=$AM$22,MONTH($D1608),"")</f>
        <v/>
      </c>
      <c r="AN1608" s="89">
        <f>+IF($AG1608=AN$22,MONTH($D1608),"")</f>
        <v>2</v>
      </c>
      <c r="AO1608" s="89" t="str">
        <f>+IF($AG1608=AO$22,MONTH($D1608),"")</f>
        <v/>
      </c>
      <c r="AP1608" s="89" t="str">
        <f>+IF($AG1608=AP$22,MONTH($D1608),"")</f>
        <v/>
      </c>
      <c r="AQ1608" s="89" t="str">
        <f>+IF($AG1608=AQ$22,MONTH($D1608),"")</f>
        <v/>
      </c>
      <c r="AR1608" s="89" t="str">
        <f>+IF($AG1608=AR$22,MONTH($D1608),"")</f>
        <v/>
      </c>
      <c r="AS1608" s="89" t="str">
        <f>+IF($AG1608=AS$22,MONTH($D1608),"")</f>
        <v/>
      </c>
      <c r="AT1608" s="89" t="str">
        <f>+IF($AG1608=AT$22,MONTH($D1608),"")</f>
        <v/>
      </c>
      <c r="AU1608" s="89" t="str">
        <f>+IF($AG1608=AU$22,MONTH($D1608),"")</f>
        <v/>
      </c>
      <c r="AV1608" s="89" t="str">
        <f>+IF($AG1608=AV$22,MONTH($D1608),"")</f>
        <v/>
      </c>
      <c r="AW1608" s="86"/>
      <c r="AX1608" s="86"/>
    </row>
    <row r="1609" spans="1:68" s="89" customFormat="1" ht="13.5" hidden="1">
      <c r="A1609" s="204" t="str">
        <f>+IFERROR(VALUE(MID(AB1609,4,4)),"")</f>
        <v/>
      </c>
      <c r="B1609" s="204">
        <f>VALUE(RIGHT(C1609,LEN(C1609)-2))</f>
        <v>1116</v>
      </c>
      <c r="C1609" s="74" t="s">
        <v>5872</v>
      </c>
      <c r="D1609" s="75">
        <v>43885</v>
      </c>
      <c r="E1609" s="70" t="s">
        <v>53</v>
      </c>
      <c r="F1609" s="70" t="s">
        <v>460</v>
      </c>
      <c r="G1609" s="68"/>
      <c r="H1609" s="59"/>
      <c r="I1609" s="69" t="s">
        <v>5873</v>
      </c>
      <c r="J1609" s="69"/>
      <c r="K1609" s="68"/>
      <c r="L1609" s="69" t="s">
        <v>120</v>
      </c>
      <c r="M1609" s="71" t="s">
        <v>141</v>
      </c>
      <c r="N1609" s="69" t="e" vm="1">
        <v>#VALUE!</v>
      </c>
      <c r="O1609" s="84">
        <v>43880</v>
      </c>
      <c r="P1609" s="72" t="s">
        <v>402</v>
      </c>
      <c r="Q1609" s="72"/>
      <c r="R1609" s="162"/>
      <c r="S1609" s="146"/>
      <c r="T1609" s="68" t="s">
        <v>165</v>
      </c>
      <c r="U1609" s="87"/>
      <c r="V1609" s="80">
        <v>43997</v>
      </c>
      <c r="W1609" s="73">
        <v>542</v>
      </c>
      <c r="X1609" s="73">
        <f>1346*28523.91/1000000</f>
        <v>38.393182859999996</v>
      </c>
      <c r="Y1609" s="83">
        <f>IF(SUM(W1609:W1609)&gt;0,X1609/SUM(W1609:W1609)*1000000,"N/A")</f>
        <v>70836.13073800737</v>
      </c>
      <c r="Z1609" s="80"/>
      <c r="AA1609" s="80"/>
      <c r="AB1609" s="73"/>
      <c r="AC1609" s="153"/>
      <c r="AD1609" s="331"/>
      <c r="AE1609" s="57"/>
      <c r="AF1609" s="88"/>
      <c r="AG1609" s="182">
        <f>YEAR(D1609)</f>
        <v>2020</v>
      </c>
      <c r="AH1609" s="86" t="str">
        <f>+IF(AE1609=$AJ$22,MONTH(T1609),"")</f>
        <v/>
      </c>
      <c r="AI1609" s="86" t="str">
        <f>+IF(AF1609=$AJ$22,MONTH(U1609),"")</f>
        <v/>
      </c>
      <c r="AJ1609" s="86" t="str">
        <f>+IF(AG1609=$AJ$22,MONTH(V1609),"")</f>
        <v/>
      </c>
      <c r="AK1609" s="86" t="str">
        <f>+IF(AG1609=$AK$22,MONTH(V1609),"")</f>
        <v/>
      </c>
      <c r="AL1609" s="86" t="str">
        <f>+IF(AG1609=$AL$22,MONTH(V1609),"")</f>
        <v/>
      </c>
      <c r="AM1609" s="86" t="str">
        <f>+IF($AG1609=$AM$22,MONTH($D1609),"")</f>
        <v/>
      </c>
      <c r="AN1609" s="89">
        <f>+IF($AG1609=AN$22,MONTH($D1609),"")</f>
        <v>2</v>
      </c>
      <c r="AO1609" s="89" t="str">
        <f>+IF($AG1609=AO$22,MONTH($D1609),"")</f>
        <v/>
      </c>
      <c r="AP1609" s="89" t="str">
        <f>+IF($AG1609=AP$22,MONTH($D1609),"")</f>
        <v/>
      </c>
      <c r="AQ1609" s="89" t="str">
        <f>+IF($AG1609=AQ$22,MONTH($D1609),"")</f>
        <v/>
      </c>
      <c r="AR1609" s="89" t="str">
        <f>+IF($AG1609=AR$22,MONTH($D1609),"")</f>
        <v/>
      </c>
      <c r="AS1609" s="89" t="str">
        <f>+IF($AG1609=AS$22,MONTH($D1609),"")</f>
        <v/>
      </c>
      <c r="AT1609" s="89" t="str">
        <f>+IF($AG1609=AT$22,MONTH($D1609),"")</f>
        <v/>
      </c>
      <c r="AU1609" s="89" t="str">
        <f>+IF($AG1609=AU$22,MONTH($D1609),"")</f>
        <v/>
      </c>
      <c r="AV1609" s="89" t="str">
        <f>+IF($AG1609=AV$22,MONTH($D1609),"")</f>
        <v/>
      </c>
      <c r="AW1609" s="86" t="str">
        <f>+IF($AG1609=AW$22,MONTH($D1609),"")</f>
        <v/>
      </c>
      <c r="AX1609" s="86" t="str">
        <f>+IF($AG1609=AX$22,MONTH($D1609),"")</f>
        <v/>
      </c>
    </row>
    <row r="1610" spans="1:68" s="89" customFormat="1" ht="13.5" hidden="1">
      <c r="A1610" s="204">
        <f>+IFERROR(VALUE(MID(AB1610,4,4)),"")</f>
        <v>197</v>
      </c>
      <c r="B1610" s="204">
        <f>VALUE(RIGHT(C1610,LEN(C1610)-2))</f>
        <v>1115</v>
      </c>
      <c r="C1610" s="74" t="s">
        <v>5874</v>
      </c>
      <c r="D1610" s="75">
        <v>43873</v>
      </c>
      <c r="E1610" s="70" t="s">
        <v>103</v>
      </c>
      <c r="F1610" s="70" t="s">
        <v>103</v>
      </c>
      <c r="G1610" s="68"/>
      <c r="H1610" s="59"/>
      <c r="I1610" s="69" t="s">
        <v>5875</v>
      </c>
      <c r="J1610" s="69"/>
      <c r="K1610" s="68" t="s">
        <v>11</v>
      </c>
      <c r="L1610" s="69" t="s">
        <v>120</v>
      </c>
      <c r="M1610" s="71" t="s">
        <v>113</v>
      </c>
      <c r="N1610" s="69" t="e" vm="2">
        <v>#VALUE!</v>
      </c>
      <c r="O1610" s="84">
        <v>43873</v>
      </c>
      <c r="P1610" s="72" t="s">
        <v>402</v>
      </c>
      <c r="Q1610" s="72" t="s">
        <v>229</v>
      </c>
      <c r="R1610" s="162"/>
      <c r="S1610" s="146"/>
      <c r="T1610" s="68" t="s">
        <v>3</v>
      </c>
      <c r="U1610" s="87"/>
      <c r="V1610" s="80">
        <v>43901</v>
      </c>
      <c r="W1610" s="73">
        <v>67</v>
      </c>
      <c r="X1610" s="73">
        <f>8000*179/1000000</f>
        <v>1.4319999999999999</v>
      </c>
      <c r="Y1610" s="83">
        <f>IF(SUM(W1610:W1610)&gt;0,X1610/SUM(W1610:W1610)*1000000,"N/A")</f>
        <v>21373.134328358206</v>
      </c>
      <c r="Z1610" s="80"/>
      <c r="AA1610" s="80"/>
      <c r="AB1610" s="73" t="s">
        <v>5876</v>
      </c>
      <c r="AC1610" s="153"/>
      <c r="AD1610" s="331"/>
      <c r="AE1610" s="57"/>
      <c r="AF1610" s="88"/>
      <c r="AG1610" s="182">
        <f>YEAR(D1610)</f>
        <v>2020</v>
      </c>
      <c r="AH1610" s="86" t="str">
        <f>+IF(AE1610=$AJ$22,MONTH(T1610),"")</f>
        <v/>
      </c>
      <c r="AI1610" s="86" t="str">
        <f>+IF(AF1610=$AJ$22,MONTH(U1610),"")</f>
        <v/>
      </c>
      <c r="AJ1610" s="86" t="str">
        <f>+IF(AG1610=$AJ$22,MONTH(V1610),"")</f>
        <v/>
      </c>
      <c r="AK1610" s="86" t="str">
        <f>+IF(AG1610=$AK$22,MONTH(V1610),"")</f>
        <v/>
      </c>
      <c r="AL1610" s="86" t="str">
        <f>+IF(AG1610=$AL$22,MONTH(V1610),"")</f>
        <v/>
      </c>
      <c r="AM1610" s="86" t="str">
        <f>+IF($AG1610=$AM$22,MONTH($D1610),"")</f>
        <v/>
      </c>
      <c r="AN1610" s="89">
        <f>+IF($AG1610=AN$22,MONTH($D1610),"")</f>
        <v>2</v>
      </c>
      <c r="AO1610" s="89" t="str">
        <f>+IF($AG1610=AO$22,MONTH($D1610),"")</f>
        <v/>
      </c>
      <c r="AP1610" s="89" t="str">
        <f>+IF($AG1610=AP$22,MONTH($D1610),"")</f>
        <v/>
      </c>
      <c r="AQ1610" s="89" t="str">
        <f>+IF($AG1610=AQ$22,MONTH($D1610),"")</f>
        <v/>
      </c>
      <c r="AR1610" s="89" t="str">
        <f>+IF($AG1610=AR$22,MONTH($D1610),"")</f>
        <v/>
      </c>
      <c r="AS1610" s="89" t="str">
        <f>+IF($AG1610=AS$22,MONTH($D1610),"")</f>
        <v/>
      </c>
      <c r="AT1610" s="89" t="str">
        <f>+IF($AG1610=AT$22,MONTH($D1610),"")</f>
        <v/>
      </c>
      <c r="AU1610" s="89" t="str">
        <f>+IF($AG1610=AU$22,MONTH($D1610),"")</f>
        <v/>
      </c>
      <c r="AV1610" s="89" t="str">
        <f>+IF($AG1610=AV$22,MONTH($D1610),"")</f>
        <v/>
      </c>
      <c r="AW1610" s="86" t="str">
        <f>+IF($AG1610=AW$22,MONTH($D1610),"")</f>
        <v/>
      </c>
      <c r="AX1610" s="86" t="str">
        <f>+IF($AG1610=AX$22,MONTH($D1610),"")</f>
        <v/>
      </c>
    </row>
    <row r="1611" spans="1:68" s="56" customFormat="1" ht="13.5" hidden="1">
      <c r="A1611" s="204" t="str">
        <f>+IFERROR(VALUE(MID(AB1611,4,4)),"")</f>
        <v/>
      </c>
      <c r="B1611" s="204">
        <f>VALUE(RIGHT(C1611,LEN(C1611)-2))</f>
        <v>1114</v>
      </c>
      <c r="C1611" s="74" t="s">
        <v>5877</v>
      </c>
      <c r="D1611" s="75">
        <v>43867</v>
      </c>
      <c r="E1611" s="70" t="s">
        <v>103</v>
      </c>
      <c r="F1611" s="70" t="s">
        <v>479</v>
      </c>
      <c r="G1611" s="68"/>
      <c r="H1611" s="59"/>
      <c r="I1611" s="69" t="s">
        <v>5878</v>
      </c>
      <c r="J1611" s="69"/>
      <c r="K1611" s="68" t="s">
        <v>11</v>
      </c>
      <c r="L1611" s="69" t="s">
        <v>120</v>
      </c>
      <c r="M1611" s="71" t="s">
        <v>113</v>
      </c>
      <c r="N1611" s="69" t="e" vm="2">
        <v>#VALUE!</v>
      </c>
      <c r="O1611" s="84"/>
      <c r="P1611" s="72" t="s">
        <v>402</v>
      </c>
      <c r="Q1611" s="72"/>
      <c r="R1611" s="162"/>
      <c r="S1611" s="146"/>
      <c r="T1611" s="68" t="s">
        <v>155</v>
      </c>
      <c r="U1611" s="87"/>
      <c r="V1611" s="80">
        <v>43901</v>
      </c>
      <c r="W1611" s="73"/>
      <c r="X1611" s="73"/>
      <c r="Y1611" s="83" t="str">
        <f>IF(SUM(W1611:W1611)&gt;0,X1611/SUM(W1611:W1611)*1000000,"N/A")</f>
        <v>N/A</v>
      </c>
      <c r="Z1611" s="80"/>
      <c r="AA1611" s="80"/>
      <c r="AB1611" s="73"/>
      <c r="AC1611" s="153"/>
      <c r="AD1611" s="331"/>
      <c r="AE1611" s="57"/>
      <c r="AF1611" s="88"/>
      <c r="AG1611" s="182">
        <f>YEAR(D1611)</f>
        <v>2020</v>
      </c>
      <c r="AH1611" s="86" t="str">
        <f>+IF(AE1611=$AJ$22,MONTH(T1611),"")</f>
        <v/>
      </c>
      <c r="AI1611" s="86" t="str">
        <f>+IF(AF1611=$AJ$22,MONTH(U1611),"")</f>
        <v/>
      </c>
      <c r="AJ1611" s="86" t="str">
        <f>+IF(AG1611=$AJ$22,MONTH(V1611),"")</f>
        <v/>
      </c>
      <c r="AK1611" s="86" t="str">
        <f>+IF(AG1611=$AK$22,MONTH(V1611),"")</f>
        <v/>
      </c>
      <c r="AL1611" s="86" t="str">
        <f>+IF(AG1611=$AL$22,MONTH(V1611),"")</f>
        <v/>
      </c>
      <c r="AM1611" s="86" t="str">
        <f>+IF($AG1611=$AM$22,MONTH($D1611),"")</f>
        <v/>
      </c>
      <c r="AN1611" s="89">
        <f>+IF($AG1611=AN$22,MONTH($D1611),"")</f>
        <v>2</v>
      </c>
      <c r="AO1611" s="89" t="str">
        <f>+IF($AG1611=AO$22,MONTH($D1611),"")</f>
        <v/>
      </c>
      <c r="AP1611" s="89" t="str">
        <f>+IF($AG1611=AP$22,MONTH($D1611),"")</f>
        <v/>
      </c>
      <c r="AQ1611" s="89" t="str">
        <f>+IF($AG1611=AQ$22,MONTH($D1611),"")</f>
        <v/>
      </c>
      <c r="AR1611" s="89" t="str">
        <f>+IF($AG1611=AR$22,MONTH($D1611),"")</f>
        <v/>
      </c>
      <c r="AS1611" s="89" t="str">
        <f>+IF($AG1611=AS$22,MONTH($D1611),"")</f>
        <v/>
      </c>
      <c r="AT1611" s="89" t="str">
        <f>+IF($AG1611=AT$22,MONTH($D1611),"")</f>
        <v/>
      </c>
      <c r="AU1611" s="89" t="str">
        <f>+IF($AG1611=AU$22,MONTH($D1611),"")</f>
        <v/>
      </c>
      <c r="AV1611" s="89" t="str">
        <f>+IF($AG1611=AV$22,MONTH($D1611),"")</f>
        <v/>
      </c>
      <c r="AW1611" s="86" t="str">
        <f>+IF($AG1611=AW$22,MONTH($D1611),"")</f>
        <v/>
      </c>
      <c r="AX1611" s="86" t="str">
        <f>+IF($AG1611=AX$22,MONTH($D1611),"")</f>
        <v/>
      </c>
      <c r="AY1611" s="89"/>
      <c r="AZ1611" s="89"/>
      <c r="BA1611" s="89"/>
      <c r="BB1611" s="89"/>
      <c r="BC1611" s="89"/>
      <c r="BD1611" s="89"/>
      <c r="BE1611" s="89"/>
      <c r="BF1611" s="89"/>
      <c r="BG1611" s="89"/>
      <c r="BH1611" s="89"/>
      <c r="BI1611" s="89"/>
      <c r="BJ1611" s="89"/>
      <c r="BK1611" s="89"/>
      <c r="BL1611" s="89"/>
      <c r="BM1611" s="89"/>
      <c r="BN1611" s="89"/>
      <c r="BO1611" s="89"/>
      <c r="BP1611" s="89"/>
    </row>
    <row r="1612" spans="1:68" s="56" customFormat="1" ht="27" hidden="1">
      <c r="A1612" s="204" t="str">
        <f>+IFERROR(VALUE(MID(AB1612,4,4)),"")</f>
        <v/>
      </c>
      <c r="B1612" s="204">
        <f>VALUE(RIGHT(C1612,LEN(C1612)-2))</f>
        <v>1113</v>
      </c>
      <c r="C1612" s="74" t="s">
        <v>5879</v>
      </c>
      <c r="D1612" s="75">
        <v>43889</v>
      </c>
      <c r="E1612" s="70" t="s">
        <v>262</v>
      </c>
      <c r="F1612" s="70" t="s">
        <v>262</v>
      </c>
      <c r="G1612" s="68"/>
      <c r="H1612" s="59"/>
      <c r="I1612" s="69" t="s">
        <v>5880</v>
      </c>
      <c r="J1612" s="69"/>
      <c r="K1612" s="68"/>
      <c r="L1612" s="69" t="s">
        <v>123</v>
      </c>
      <c r="M1612" s="71" t="s">
        <v>141</v>
      </c>
      <c r="N1612" s="69" t="e" vm="1">
        <v>#VALUE!</v>
      </c>
      <c r="O1612" s="84">
        <v>43889</v>
      </c>
      <c r="P1612" s="72" t="s">
        <v>4567</v>
      </c>
      <c r="Q1612" s="72"/>
      <c r="R1612" s="162"/>
      <c r="S1612" s="146" t="s">
        <v>5881</v>
      </c>
      <c r="T1612" s="68" t="s">
        <v>165</v>
      </c>
      <c r="U1612" s="87"/>
      <c r="V1612" s="80">
        <v>44040</v>
      </c>
      <c r="W1612" s="73">
        <v>3121</v>
      </c>
      <c r="X1612" s="73">
        <f>132011376/1000000</f>
        <v>132.01137600000001</v>
      </c>
      <c r="Y1612" s="83">
        <f>IF(SUM(W1612:W1612)&gt;0,X1612/SUM(W1612:W1612)*1000000,"N/A")</f>
        <v>42297.781480294783</v>
      </c>
      <c r="Z1612" s="80"/>
      <c r="AA1612" s="80"/>
      <c r="AB1612" s="73"/>
      <c r="AC1612" s="153"/>
      <c r="AD1612" s="331"/>
      <c r="AE1612" s="57"/>
      <c r="AF1612" s="88"/>
      <c r="AG1612" s="182">
        <f>YEAR(D1612)</f>
        <v>2020</v>
      </c>
      <c r="AH1612" s="86" t="str">
        <f>+IF(AE1612=$AJ$22,MONTH(T1612),"")</f>
        <v/>
      </c>
      <c r="AI1612" s="86" t="str">
        <f>+IF(AF1612=$AJ$22,MONTH(U1612),"")</f>
        <v/>
      </c>
      <c r="AJ1612" s="86" t="str">
        <f>+IF(AG1612=$AJ$22,MONTH(V1612),"")</f>
        <v/>
      </c>
      <c r="AK1612" s="86" t="str">
        <f>+IF(AG1612=$AK$22,MONTH(V1612),"")</f>
        <v/>
      </c>
      <c r="AL1612" s="86" t="str">
        <f>+IF(AG1612=$AL$22,MONTH(V1612),"")</f>
        <v/>
      </c>
      <c r="AM1612" s="86" t="str">
        <f>+IF($AG1612=$AM$22,MONTH($D1612),"")</f>
        <v/>
      </c>
      <c r="AN1612" s="89">
        <f>+IF($AG1612=AN$22,MONTH($D1612),"")</f>
        <v>2</v>
      </c>
      <c r="AO1612" s="89" t="str">
        <f>+IF($AG1612=AO$22,MONTH($D1612),"")</f>
        <v/>
      </c>
      <c r="AP1612" s="89" t="str">
        <f>+IF($AG1612=AP$22,MONTH($D1612),"")</f>
        <v/>
      </c>
      <c r="AQ1612" s="89" t="str">
        <f>+IF($AG1612=AQ$22,MONTH($D1612),"")</f>
        <v/>
      </c>
      <c r="AR1612" s="89" t="str">
        <f>+IF($AG1612=AR$22,MONTH($D1612),"")</f>
        <v/>
      </c>
      <c r="AS1612" s="89" t="str">
        <f>+IF($AG1612=AS$22,MONTH($D1612),"")</f>
        <v/>
      </c>
      <c r="AT1612" s="89" t="str">
        <f>+IF($AG1612=AT$22,MONTH($D1612),"")</f>
        <v/>
      </c>
      <c r="AU1612" s="89" t="str">
        <f>+IF($AG1612=AU$22,MONTH($D1612),"")</f>
        <v/>
      </c>
      <c r="AV1612" s="89" t="str">
        <f>+IF($AG1612=AV$22,MONTH($D1612),"")</f>
        <v/>
      </c>
      <c r="AW1612" s="86" t="str">
        <f>+IF($AG1612=AW$22,MONTH($D1612),"")</f>
        <v/>
      </c>
      <c r="AX1612" s="86" t="str">
        <f>+IF($AG1612=AX$22,MONTH($D1612),"")</f>
        <v/>
      </c>
      <c r="AY1612" s="89"/>
      <c r="AZ1612" s="89"/>
      <c r="BA1612" s="89"/>
      <c r="BB1612" s="89"/>
      <c r="BC1612" s="89"/>
      <c r="BD1612" s="89"/>
      <c r="BE1612" s="89"/>
      <c r="BF1612" s="89"/>
      <c r="BG1612" s="89"/>
      <c r="BH1612" s="89"/>
      <c r="BI1612" s="89"/>
      <c r="BJ1612" s="89"/>
      <c r="BK1612" s="89"/>
      <c r="BL1612" s="89"/>
      <c r="BM1612" s="89"/>
      <c r="BN1612" s="89"/>
      <c r="BO1612" s="89"/>
      <c r="BP1612" s="89"/>
    </row>
    <row r="1613" spans="1:68" s="56" customFormat="1" ht="40.5" hidden="1">
      <c r="A1613" s="204" t="str">
        <f>+IFERROR(VALUE(MID(AB1613,4,4)),"")</f>
        <v/>
      </c>
      <c r="B1613" s="204">
        <f>VALUE(RIGHT(C1613,LEN(C1613)-2))</f>
        <v>1112</v>
      </c>
      <c r="C1613" s="74" t="s">
        <v>5882</v>
      </c>
      <c r="D1613" s="75">
        <v>43867</v>
      </c>
      <c r="E1613" s="70" t="s">
        <v>53</v>
      </c>
      <c r="F1613" s="70" t="s">
        <v>313</v>
      </c>
      <c r="G1613" s="68"/>
      <c r="H1613" s="59"/>
      <c r="I1613" s="69" t="s">
        <v>5883</v>
      </c>
      <c r="J1613" s="69"/>
      <c r="K1613" s="68"/>
      <c r="L1613" s="69" t="s">
        <v>123</v>
      </c>
      <c r="M1613" s="71" t="s">
        <v>141</v>
      </c>
      <c r="N1613" s="69" t="e" vm="1">
        <v>#VALUE!</v>
      </c>
      <c r="O1613" s="84">
        <v>43873</v>
      </c>
      <c r="P1613" s="72" t="s">
        <v>402</v>
      </c>
      <c r="Q1613" s="72"/>
      <c r="R1613" s="162"/>
      <c r="S1613" s="146" t="s">
        <v>5884</v>
      </c>
      <c r="T1613" s="68" t="s">
        <v>165</v>
      </c>
      <c r="U1613" s="87"/>
      <c r="V1613" s="80">
        <v>44040</v>
      </c>
      <c r="W1613" s="73">
        <v>1</v>
      </c>
      <c r="X1613" s="73"/>
      <c r="Y1613" s="83">
        <f>IF(SUM(W1613:W1613)&gt;0,X1613/SUM(W1613:W1613)*1000000,"N/A")</f>
        <v>0</v>
      </c>
      <c r="Z1613" s="80"/>
      <c r="AA1613" s="80"/>
      <c r="AB1613" s="73"/>
      <c r="AC1613" s="153"/>
      <c r="AD1613" s="331"/>
      <c r="AE1613" s="57"/>
      <c r="AF1613" s="88"/>
      <c r="AG1613" s="182">
        <f>YEAR(D1613)</f>
        <v>2020</v>
      </c>
      <c r="AH1613" s="86" t="str">
        <f>+IF(AE1613=$AJ$22,MONTH(T1613),"")</f>
        <v/>
      </c>
      <c r="AI1613" s="86" t="str">
        <f>+IF(AF1613=$AJ$22,MONTH(U1613),"")</f>
        <v/>
      </c>
      <c r="AJ1613" s="86" t="str">
        <f>+IF(AG1613=$AJ$22,MONTH(V1613),"")</f>
        <v/>
      </c>
      <c r="AK1613" s="86" t="str">
        <f>+IF(AG1613=$AK$22,MONTH(V1613),"")</f>
        <v/>
      </c>
      <c r="AL1613" s="86" t="str">
        <f>+IF(AG1613=$AL$22,MONTH(V1613),"")</f>
        <v/>
      </c>
      <c r="AM1613" s="86" t="str">
        <f>+IF($AG1613=$AM$22,MONTH($D1613),"")</f>
        <v/>
      </c>
      <c r="AN1613" s="89">
        <f>+IF($AG1613=AN$22,MONTH($D1613),"")</f>
        <v>2</v>
      </c>
      <c r="AO1613" s="89" t="str">
        <f>+IF($AG1613=AO$22,MONTH($D1613),"")</f>
        <v/>
      </c>
      <c r="AP1613" s="89" t="str">
        <f>+IF($AG1613=AP$22,MONTH($D1613),"")</f>
        <v/>
      </c>
      <c r="AQ1613" s="89" t="str">
        <f>+IF($AG1613=AQ$22,MONTH($D1613),"")</f>
        <v/>
      </c>
      <c r="AR1613" s="89" t="str">
        <f>+IF($AG1613=AR$22,MONTH($D1613),"")</f>
        <v/>
      </c>
      <c r="AS1613" s="89" t="str">
        <f>+IF($AG1613=AS$22,MONTH($D1613),"")</f>
        <v/>
      </c>
      <c r="AT1613" s="89" t="str">
        <f>+IF($AG1613=AT$22,MONTH($D1613),"")</f>
        <v/>
      </c>
      <c r="AU1613" s="89" t="str">
        <f>+IF($AG1613=AU$22,MONTH($D1613),"")</f>
        <v/>
      </c>
      <c r="AV1613" s="89" t="str">
        <f>+IF($AG1613=AV$22,MONTH($D1613),"")</f>
        <v/>
      </c>
      <c r="AW1613" s="86" t="str">
        <f>+IF($AG1613=AW$22,MONTH($D1613),"")</f>
        <v/>
      </c>
      <c r="AX1613" s="86" t="str">
        <f>+IF($AG1613=AX$22,MONTH($D1613),"")</f>
        <v/>
      </c>
      <c r="AY1613" s="89"/>
      <c r="AZ1613" s="89"/>
      <c r="BA1613" s="89"/>
      <c r="BB1613" s="89"/>
      <c r="BC1613" s="89"/>
      <c r="BD1613" s="89"/>
      <c r="BE1613" s="89"/>
      <c r="BF1613" s="89"/>
      <c r="BG1613" s="89"/>
      <c r="BH1613" s="89"/>
      <c r="BI1613" s="89"/>
      <c r="BJ1613" s="89"/>
      <c r="BK1613" s="89"/>
      <c r="BL1613" s="89"/>
      <c r="BM1613" s="89"/>
      <c r="BN1613" s="89"/>
      <c r="BO1613" s="89"/>
      <c r="BP1613" s="89"/>
    </row>
    <row r="1614" spans="1:68" s="56" customFormat="1" ht="27" hidden="1">
      <c r="A1614" s="204" t="str">
        <f>+IFERROR(VALUE(MID(AB1614,4,4)),"")</f>
        <v/>
      </c>
      <c r="B1614" s="204">
        <f>VALUE(RIGHT(C1614,LEN(C1614)-2))</f>
        <v>1111</v>
      </c>
      <c r="C1614" s="74" t="s">
        <v>5885</v>
      </c>
      <c r="D1614" s="75">
        <v>43866</v>
      </c>
      <c r="E1614" s="70" t="s">
        <v>53</v>
      </c>
      <c r="F1614" s="70" t="s">
        <v>313</v>
      </c>
      <c r="G1614" s="68"/>
      <c r="H1614" s="59"/>
      <c r="I1614" s="69" t="s">
        <v>5886</v>
      </c>
      <c r="J1614" s="69"/>
      <c r="K1614" s="68" t="s">
        <v>315</v>
      </c>
      <c r="L1614" s="69" t="s">
        <v>123</v>
      </c>
      <c r="M1614" s="71" t="s">
        <v>141</v>
      </c>
      <c r="N1614" s="69" t="e" vm="1">
        <v>#VALUE!</v>
      </c>
      <c r="O1614" s="84">
        <v>43871</v>
      </c>
      <c r="P1614" s="72" t="s">
        <v>402</v>
      </c>
      <c r="Q1614" s="72"/>
      <c r="R1614" s="162"/>
      <c r="S1614" s="146"/>
      <c r="T1614" s="68" t="s">
        <v>165</v>
      </c>
      <c r="U1614" s="87"/>
      <c r="V1614" s="80">
        <v>44040</v>
      </c>
      <c r="W1614" s="73">
        <v>4419.75</v>
      </c>
      <c r="X1614" s="73">
        <f>+(24000*28200/1000000)/4</f>
        <v>169.2</v>
      </c>
      <c r="Y1614" s="83">
        <f>IF(SUM(W1614:W1614)&gt;0,X1614/SUM(W1614:W1614)*1000000,"N/A")</f>
        <v>38282.708297980651</v>
      </c>
      <c r="Z1614" s="80"/>
      <c r="AA1614" s="80"/>
      <c r="AB1614" s="73"/>
      <c r="AC1614" s="153"/>
      <c r="AD1614" s="331"/>
      <c r="AE1614" s="57"/>
      <c r="AF1614" s="88"/>
      <c r="AG1614" s="182">
        <f>YEAR(D1614)</f>
        <v>2020</v>
      </c>
      <c r="AH1614" s="86" t="str">
        <f>+IF(AE1614=$AJ$22,MONTH(T1614),"")</f>
        <v/>
      </c>
      <c r="AI1614" s="86" t="str">
        <f>+IF(AF1614=$AJ$22,MONTH(U1614),"")</f>
        <v/>
      </c>
      <c r="AJ1614" s="86" t="str">
        <f>+IF(AG1614=$AJ$22,MONTH(V1614),"")</f>
        <v/>
      </c>
      <c r="AK1614" s="86" t="str">
        <f>+IF(AG1614=$AK$22,MONTH(V1614),"")</f>
        <v/>
      </c>
      <c r="AL1614" s="86" t="str">
        <f>+IF(AG1614=$AL$22,MONTH(V1614),"")</f>
        <v/>
      </c>
      <c r="AM1614" s="86" t="str">
        <f>+IF($AG1614=$AM$22,MONTH($D1614),"")</f>
        <v/>
      </c>
      <c r="AN1614" s="89">
        <f>+IF($AG1614=AN$22,MONTH($D1614),"")</f>
        <v>2</v>
      </c>
      <c r="AO1614" s="89" t="str">
        <f>+IF($AG1614=AO$22,MONTH($D1614),"")</f>
        <v/>
      </c>
      <c r="AP1614" s="89" t="str">
        <f>+IF($AG1614=AP$22,MONTH($D1614),"")</f>
        <v/>
      </c>
      <c r="AQ1614" s="89" t="str">
        <f>+IF($AG1614=AQ$22,MONTH($D1614),"")</f>
        <v/>
      </c>
      <c r="AR1614" s="89" t="str">
        <f>+IF($AG1614=AR$22,MONTH($D1614),"")</f>
        <v/>
      </c>
      <c r="AS1614" s="89" t="str">
        <f>+IF($AG1614=AS$22,MONTH($D1614),"")</f>
        <v/>
      </c>
      <c r="AT1614" s="89" t="str">
        <f>+IF($AG1614=AT$22,MONTH($D1614),"")</f>
        <v/>
      </c>
      <c r="AU1614" s="89" t="str">
        <f>+IF($AG1614=AU$22,MONTH($D1614),"")</f>
        <v/>
      </c>
      <c r="AV1614" s="89" t="str">
        <f>+IF($AG1614=AV$22,MONTH($D1614),"")</f>
        <v/>
      </c>
      <c r="AW1614" s="86" t="str">
        <f>+IF($AG1614=AW$22,MONTH($D1614),"")</f>
        <v/>
      </c>
      <c r="AX1614" s="86" t="str">
        <f>+IF($AG1614=AX$22,MONTH($D1614),"")</f>
        <v/>
      </c>
      <c r="AY1614" s="89"/>
      <c r="AZ1614" s="89"/>
      <c r="BA1614" s="89"/>
      <c r="BB1614" s="89"/>
      <c r="BC1614" s="89"/>
      <c r="BD1614" s="89"/>
      <c r="BE1614" s="89"/>
      <c r="BF1614" s="89"/>
      <c r="BG1614" s="89"/>
      <c r="BH1614" s="89"/>
      <c r="BI1614" s="89"/>
      <c r="BJ1614" s="89"/>
      <c r="BK1614" s="89"/>
      <c r="BL1614" s="89"/>
      <c r="BM1614" s="89"/>
      <c r="BN1614" s="89"/>
      <c r="BO1614" s="89"/>
      <c r="BP1614" s="89"/>
    </row>
    <row r="1615" spans="1:68" s="56" customFormat="1" ht="27" hidden="1">
      <c r="A1615" s="204">
        <f>+IFERROR(VALUE(MID(AB1615,4,4)),"")</f>
        <v>233</v>
      </c>
      <c r="B1615" s="204">
        <f>VALUE(RIGHT(C1615,LEN(C1615)-2))</f>
        <v>1110</v>
      </c>
      <c r="C1615" s="74" t="s">
        <v>5887</v>
      </c>
      <c r="D1615" s="75">
        <v>43860</v>
      </c>
      <c r="E1615" s="70" t="s">
        <v>394</v>
      </c>
      <c r="F1615" s="70" t="s">
        <v>2269</v>
      </c>
      <c r="G1615" s="68" t="s">
        <v>5401</v>
      </c>
      <c r="H1615" s="59"/>
      <c r="I1615" s="69" t="s">
        <v>5888</v>
      </c>
      <c r="J1615" s="69"/>
      <c r="K1615" s="68" t="s">
        <v>13</v>
      </c>
      <c r="L1615" s="69" t="s">
        <v>120</v>
      </c>
      <c r="M1615" s="71" t="s">
        <v>141</v>
      </c>
      <c r="N1615" s="69" t="e" vm="1">
        <v>#VALUE!</v>
      </c>
      <c r="O1615" s="84">
        <v>43864</v>
      </c>
      <c r="P1615" s="72" t="s">
        <v>402</v>
      </c>
      <c r="Q1615" s="72" t="s">
        <v>229</v>
      </c>
      <c r="R1615" s="162"/>
      <c r="S1615" s="146"/>
      <c r="T1615" s="68" t="s">
        <v>3</v>
      </c>
      <c r="U1615" s="87"/>
      <c r="V1615" s="80">
        <v>43901</v>
      </c>
      <c r="W1615" s="73">
        <v>2540</v>
      </c>
      <c r="X1615" s="73">
        <f>70426218/1000000</f>
        <v>70.426218000000006</v>
      </c>
      <c r="Y1615" s="83">
        <f>IF(SUM(W1615:W1615)&gt;0,X1615/SUM(W1615:W1615)*1000000,"N/A")</f>
        <v>27726.85748031496</v>
      </c>
      <c r="Z1615" s="80"/>
      <c r="AA1615" s="80"/>
      <c r="AB1615" s="73" t="s">
        <v>5731</v>
      </c>
      <c r="AC1615" s="153"/>
      <c r="AD1615" s="331"/>
      <c r="AE1615" s="57"/>
      <c r="AF1615" s="88"/>
      <c r="AG1615" s="182">
        <f>YEAR(D1615)</f>
        <v>2020</v>
      </c>
      <c r="AH1615" s="86" t="str">
        <f>+IF(AE1615=$AJ$22,MONTH(T1615),"")</f>
        <v/>
      </c>
      <c r="AI1615" s="86" t="str">
        <f>+IF(AF1615=$AJ$22,MONTH(U1615),"")</f>
        <v/>
      </c>
      <c r="AJ1615" s="86" t="str">
        <f>+IF(AG1615=$AJ$22,MONTH(V1615),"")</f>
        <v/>
      </c>
      <c r="AK1615" s="86" t="str">
        <f>+IF(AG1615=$AK$22,MONTH(V1615),"")</f>
        <v/>
      </c>
      <c r="AL1615" s="86" t="str">
        <f>+IF(AG1615=$AL$22,MONTH(V1615),"")</f>
        <v/>
      </c>
      <c r="AM1615" s="86" t="str">
        <f>+IF($AG1615=$AM$22,MONTH($D1615),"")</f>
        <v/>
      </c>
      <c r="AN1615" s="89">
        <f>+IF($AG1615=AN$22,MONTH($D1615),"")</f>
        <v>1</v>
      </c>
      <c r="AO1615" s="89" t="str">
        <f>+IF($AG1615=AO$22,MONTH($D1615),"")</f>
        <v/>
      </c>
      <c r="AP1615" s="89" t="str">
        <f>+IF($AG1615=AP$22,MONTH($D1615),"")</f>
        <v/>
      </c>
      <c r="AQ1615" s="89" t="str">
        <f>+IF($AG1615=AQ$22,MONTH($D1615),"")</f>
        <v/>
      </c>
      <c r="AR1615" s="89" t="str">
        <f>+IF($AG1615=AR$22,MONTH($D1615),"")</f>
        <v/>
      </c>
      <c r="AS1615" s="89" t="str">
        <f>+IF($AG1615=AS$22,MONTH($D1615),"")</f>
        <v/>
      </c>
      <c r="AT1615" s="89" t="str">
        <f>+IF($AG1615=AT$22,MONTH($D1615),"")</f>
        <v/>
      </c>
      <c r="AU1615" s="89" t="str">
        <f>+IF($AG1615=AU$22,MONTH($D1615),"")</f>
        <v/>
      </c>
      <c r="AV1615" s="89" t="str">
        <f>+IF($AG1615=AV$22,MONTH($D1615),"")</f>
        <v/>
      </c>
      <c r="AW1615" s="86" t="str">
        <f>+IF($AG1615=AW$22,MONTH($D1615),"")</f>
        <v/>
      </c>
      <c r="AX1615" s="86" t="str">
        <f>+IF($AG1615=AX$22,MONTH($D1615),"")</f>
        <v/>
      </c>
      <c r="AY1615" s="89"/>
      <c r="AZ1615" s="89"/>
      <c r="BA1615" s="89"/>
      <c r="BB1615" s="89"/>
      <c r="BC1615" s="89"/>
      <c r="BD1615" s="89"/>
      <c r="BE1615" s="89"/>
      <c r="BF1615" s="89"/>
      <c r="BG1615" s="89"/>
      <c r="BH1615" s="89"/>
      <c r="BI1615" s="89"/>
      <c r="BJ1615" s="89"/>
      <c r="BK1615" s="89"/>
      <c r="BL1615" s="89"/>
      <c r="BM1615" s="89"/>
      <c r="BN1615" s="89"/>
      <c r="BO1615" s="89"/>
      <c r="BP1615" s="89"/>
    </row>
    <row r="1616" spans="1:68" s="56" customFormat="1" ht="13.5" hidden="1">
      <c r="A1616" s="204">
        <f>+IFERROR(VALUE(MID(AB1616,4,4)),"")</f>
        <v>232</v>
      </c>
      <c r="B1616" s="204">
        <f>VALUE(RIGHT(C1616,LEN(C1616)-2))</f>
        <v>1109</v>
      </c>
      <c r="C1616" s="74" t="s">
        <v>5889</v>
      </c>
      <c r="D1616" s="75">
        <v>43858</v>
      </c>
      <c r="E1616" s="70" t="s">
        <v>2961</v>
      </c>
      <c r="F1616" s="70" t="s">
        <v>313</v>
      </c>
      <c r="G1616" s="68"/>
      <c r="H1616" s="59"/>
      <c r="I1616" s="69" t="s">
        <v>5890</v>
      </c>
      <c r="J1616" s="69"/>
      <c r="K1616" s="68"/>
      <c r="L1616" s="69" t="s">
        <v>120</v>
      </c>
      <c r="M1616" s="71" t="s">
        <v>141</v>
      </c>
      <c r="N1616" s="69" t="e" vm="1">
        <v>#VALUE!</v>
      </c>
      <c r="O1616" s="84">
        <v>43865</v>
      </c>
      <c r="P1616" s="72" t="s">
        <v>402</v>
      </c>
      <c r="Q1616" s="72" t="s">
        <v>623</v>
      </c>
      <c r="R1616" s="162"/>
      <c r="S1616" s="146"/>
      <c r="T1616" s="68" t="s">
        <v>3</v>
      </c>
      <c r="U1616" s="87"/>
      <c r="V1616" s="80">
        <v>43901</v>
      </c>
      <c r="W1616" s="73">
        <v>292</v>
      </c>
      <c r="X1616" s="73">
        <f>437*28523.91/1000000</f>
        <v>12.46494867</v>
      </c>
      <c r="Y1616" s="83">
        <f>IF(SUM(W1616:W1616)&gt;0,X1616/SUM(W1616:W1616)*1000000,"N/A")</f>
        <v>42688.180376712327</v>
      </c>
      <c r="Z1616" s="80"/>
      <c r="AA1616" s="80"/>
      <c r="AB1616" s="73" t="s">
        <v>5891</v>
      </c>
      <c r="AC1616" s="153"/>
      <c r="AD1616" s="331"/>
      <c r="AE1616" s="57"/>
      <c r="AF1616" s="88"/>
      <c r="AG1616" s="182">
        <f>YEAR(D1616)</f>
        <v>2020</v>
      </c>
      <c r="AH1616" s="86" t="str">
        <f>+IF(AE1616=$AJ$22,MONTH(T1616),"")</f>
        <v/>
      </c>
      <c r="AI1616" s="86" t="str">
        <f>+IF(AF1616=$AJ$22,MONTH(U1616),"")</f>
        <v/>
      </c>
      <c r="AJ1616" s="86" t="str">
        <f>+IF(AG1616=$AJ$22,MONTH(V1616),"")</f>
        <v/>
      </c>
      <c r="AK1616" s="86" t="str">
        <f>+IF(AG1616=$AK$22,MONTH(V1616),"")</f>
        <v/>
      </c>
      <c r="AL1616" s="86" t="str">
        <f>+IF(AG1616=$AL$22,MONTH(V1616),"")</f>
        <v/>
      </c>
      <c r="AM1616" s="86" t="str">
        <f>+IF($AG1616=$AM$22,MONTH($D1616),"")</f>
        <v/>
      </c>
      <c r="AN1616" s="89">
        <f>+IF($AG1616=AN$22,MONTH($D1616),"")</f>
        <v>1</v>
      </c>
      <c r="AO1616" s="89" t="str">
        <f>+IF($AG1616=AO$22,MONTH($D1616),"")</f>
        <v/>
      </c>
      <c r="AP1616" s="89" t="str">
        <f>+IF($AG1616=AP$22,MONTH($D1616),"")</f>
        <v/>
      </c>
      <c r="AQ1616" s="89" t="str">
        <f>+IF($AG1616=AQ$22,MONTH($D1616),"")</f>
        <v/>
      </c>
      <c r="AR1616" s="89" t="str">
        <f>+IF($AG1616=AR$22,MONTH($D1616),"")</f>
        <v/>
      </c>
      <c r="AS1616" s="89" t="str">
        <f>+IF($AG1616=AS$22,MONTH($D1616),"")</f>
        <v/>
      </c>
      <c r="AT1616" s="89" t="str">
        <f>+IF($AG1616=AT$22,MONTH($D1616),"")</f>
        <v/>
      </c>
      <c r="AU1616" s="89" t="str">
        <f>+IF($AG1616=AU$22,MONTH($D1616),"")</f>
        <v/>
      </c>
      <c r="AV1616" s="89" t="str">
        <f>+IF($AG1616=AV$22,MONTH($D1616),"")</f>
        <v/>
      </c>
      <c r="AW1616" s="86" t="str">
        <f>+IF($AG1616=AW$22,MONTH($D1616),"")</f>
        <v/>
      </c>
      <c r="AX1616" s="86" t="str">
        <f>+IF($AG1616=AX$22,MONTH($D1616),"")</f>
        <v/>
      </c>
      <c r="AY1616" s="89"/>
      <c r="AZ1616" s="89"/>
      <c r="BA1616" s="89"/>
      <c r="BB1616" s="89"/>
      <c r="BC1616" s="89"/>
      <c r="BD1616" s="89"/>
      <c r="BE1616" s="89"/>
      <c r="BF1616" s="89"/>
      <c r="BG1616" s="89"/>
      <c r="BH1616" s="89"/>
      <c r="BI1616" s="89"/>
      <c r="BJ1616" s="89"/>
      <c r="BK1616" s="89"/>
      <c r="BL1616" s="89"/>
      <c r="BM1616" s="89"/>
      <c r="BN1616" s="89"/>
      <c r="BO1616" s="89"/>
      <c r="BP1616" s="89"/>
    </row>
    <row r="1617" spans="1:68" s="56" customFormat="1" ht="27" hidden="1">
      <c r="A1617" s="204">
        <f>+IFERROR(VALUE(MID(AB1617,4,4)),"")</f>
        <v>242</v>
      </c>
      <c r="B1617" s="204">
        <f>VALUE(RIGHT(C1617,LEN(C1617)-2))</f>
        <v>1108</v>
      </c>
      <c r="C1617" s="74" t="s">
        <v>5892</v>
      </c>
      <c r="D1617" s="75">
        <v>43857</v>
      </c>
      <c r="E1617" s="70" t="s">
        <v>5893</v>
      </c>
      <c r="F1617" s="70" t="s">
        <v>3742</v>
      </c>
      <c r="G1617" s="68"/>
      <c r="H1617" s="59"/>
      <c r="I1617" s="69" t="s">
        <v>5894</v>
      </c>
      <c r="J1617" s="69"/>
      <c r="K1617" s="68" t="s">
        <v>12</v>
      </c>
      <c r="L1617" s="69" t="s">
        <v>120</v>
      </c>
      <c r="M1617" s="71" t="s">
        <v>113</v>
      </c>
      <c r="N1617" s="69" t="e" vm="2">
        <v>#VALUE!</v>
      </c>
      <c r="O1617" s="84">
        <v>43875</v>
      </c>
      <c r="P1617" s="72" t="s">
        <v>402</v>
      </c>
      <c r="Q1617" s="72" t="s">
        <v>837</v>
      </c>
      <c r="R1617" s="162"/>
      <c r="S1617" s="146"/>
      <c r="T1617" s="68" t="s">
        <v>3</v>
      </c>
      <c r="U1617" s="87"/>
      <c r="V1617" s="80">
        <v>43901</v>
      </c>
      <c r="W1617" s="73">
        <v>2095</v>
      </c>
      <c r="X1617" s="73">
        <f>329800*150/1000000</f>
        <v>49.47</v>
      </c>
      <c r="Y1617" s="83">
        <f>IF(SUM(W1617:W1617)&gt;0,X1617/SUM(W1617:W1617)*1000000,"N/A")</f>
        <v>23613.365155131261</v>
      </c>
      <c r="Z1617" s="80"/>
      <c r="AA1617" s="80"/>
      <c r="AB1617" s="73" t="s">
        <v>5895</v>
      </c>
      <c r="AC1617" s="153"/>
      <c r="AD1617" s="331"/>
      <c r="AE1617" s="57"/>
      <c r="AF1617" s="88"/>
      <c r="AG1617" s="182">
        <f>YEAR(D1617)</f>
        <v>2020</v>
      </c>
      <c r="AH1617" s="86" t="str">
        <f>+IF(AE1617=$AJ$22,MONTH(T1617),"")</f>
        <v/>
      </c>
      <c r="AI1617" s="86" t="str">
        <f>+IF(AF1617=$AJ$22,MONTH(U1617),"")</f>
        <v/>
      </c>
      <c r="AJ1617" s="86" t="str">
        <f>+IF(AG1617=$AJ$22,MONTH(V1617),"")</f>
        <v/>
      </c>
      <c r="AK1617" s="86" t="str">
        <f>+IF(AG1617=$AK$22,MONTH(V1617),"")</f>
        <v/>
      </c>
      <c r="AL1617" s="86" t="str">
        <f>+IF(AG1617=$AL$22,MONTH(V1617),"")</f>
        <v/>
      </c>
      <c r="AM1617" s="86" t="str">
        <f>+IF($AG1617=$AM$22,MONTH($D1617),"")</f>
        <v/>
      </c>
      <c r="AN1617" s="89">
        <f>+IF($AG1617=AN$22,MONTH($D1617),"")</f>
        <v>1</v>
      </c>
      <c r="AO1617" s="89" t="str">
        <f>+IF($AG1617=AO$22,MONTH($D1617),"")</f>
        <v/>
      </c>
      <c r="AP1617" s="89" t="str">
        <f>+IF($AG1617=AP$22,MONTH($D1617),"")</f>
        <v/>
      </c>
      <c r="AQ1617" s="89" t="str">
        <f>+IF($AG1617=AQ$22,MONTH($D1617),"")</f>
        <v/>
      </c>
      <c r="AR1617" s="89" t="str">
        <f>+IF($AG1617=AR$22,MONTH($D1617),"")</f>
        <v/>
      </c>
      <c r="AS1617" s="89" t="str">
        <f>+IF($AG1617=AS$22,MONTH($D1617),"")</f>
        <v/>
      </c>
      <c r="AT1617" s="89" t="str">
        <f>+IF($AG1617=AT$22,MONTH($D1617),"")</f>
        <v/>
      </c>
      <c r="AU1617" s="89" t="str">
        <f>+IF($AG1617=AU$22,MONTH($D1617),"")</f>
        <v/>
      </c>
      <c r="AV1617" s="89" t="str">
        <f>+IF($AG1617=AV$22,MONTH($D1617),"")</f>
        <v/>
      </c>
      <c r="AW1617" s="86" t="str">
        <f>+IF($AG1617=AW$22,MONTH($D1617),"")</f>
        <v/>
      </c>
      <c r="AX1617" s="86" t="str">
        <f>+IF($AG1617=AX$22,MONTH($D1617),"")</f>
        <v/>
      </c>
      <c r="AY1617" s="89"/>
      <c r="AZ1617" s="89"/>
      <c r="BA1617" s="89"/>
      <c r="BB1617" s="89"/>
      <c r="BC1617" s="89"/>
      <c r="BD1617" s="89"/>
      <c r="BE1617" s="89"/>
      <c r="BF1617" s="89"/>
      <c r="BG1617" s="89"/>
      <c r="BH1617" s="89"/>
      <c r="BI1617" s="89"/>
      <c r="BJ1617" s="89"/>
      <c r="BK1617" s="89"/>
      <c r="BL1617" s="89"/>
      <c r="BM1617" s="89"/>
      <c r="BN1617" s="89"/>
      <c r="BO1617" s="89"/>
      <c r="BP1617" s="89"/>
    </row>
    <row r="1618" spans="1:68" s="56" customFormat="1" ht="53.25" hidden="1">
      <c r="A1618" s="204" t="str">
        <f>+IFERROR(VALUE(MID(AB1618,4,4)),"")</f>
        <v/>
      </c>
      <c r="B1618" s="204">
        <f>VALUE(RIGHT(C1618,LEN(C1618)-2))</f>
        <v>1107</v>
      </c>
      <c r="C1618" s="74" t="s">
        <v>5896</v>
      </c>
      <c r="D1618" s="75">
        <v>43857</v>
      </c>
      <c r="E1618" s="70" t="s">
        <v>394</v>
      </c>
      <c r="F1618" s="70" t="s">
        <v>394</v>
      </c>
      <c r="G1618" s="68"/>
      <c r="H1618" s="59"/>
      <c r="I1618" s="69" t="s">
        <v>5897</v>
      </c>
      <c r="J1618" s="69"/>
      <c r="K1618" s="68" t="s">
        <v>13</v>
      </c>
      <c r="L1618" s="69" t="s">
        <v>120</v>
      </c>
      <c r="M1618" s="71" t="s">
        <v>141</v>
      </c>
      <c r="N1618" s="69" t="e" vm="1">
        <v>#VALUE!</v>
      </c>
      <c r="O1618" s="84">
        <v>43886</v>
      </c>
      <c r="P1618" s="72" t="s">
        <v>402</v>
      </c>
      <c r="Q1618" s="72"/>
      <c r="R1618" s="162"/>
      <c r="S1618" s="146" t="s">
        <v>5898</v>
      </c>
      <c r="T1618" s="68" t="s">
        <v>168</v>
      </c>
      <c r="U1618" s="87"/>
      <c r="V1618" s="80">
        <v>43997</v>
      </c>
      <c r="W1618" s="73">
        <v>1400</v>
      </c>
      <c r="X1618" s="73">
        <f>46491512/1000000</f>
        <v>46.491512</v>
      </c>
      <c r="Y1618" s="83">
        <f>IF(SUM(W1618:W1618)&gt;0,X1618/SUM(W1618:W1618)*1000000,"N/A")</f>
        <v>33208.222857142857</v>
      </c>
      <c r="Z1618" s="80"/>
      <c r="AA1618" s="80"/>
      <c r="AB1618" s="73"/>
      <c r="AC1618" s="153"/>
      <c r="AD1618" s="331"/>
      <c r="AE1618" s="57"/>
      <c r="AF1618" s="88"/>
      <c r="AG1618" s="182">
        <f>YEAR(D1618)</f>
        <v>2020</v>
      </c>
      <c r="AH1618" s="86" t="str">
        <f>+IF(AE1618=$AJ$22,MONTH(T1618),"")</f>
        <v/>
      </c>
      <c r="AI1618" s="86" t="str">
        <f>+IF(AF1618=$AJ$22,MONTH(U1618),"")</f>
        <v/>
      </c>
      <c r="AJ1618" s="86" t="str">
        <f>+IF(AG1618=$AJ$22,MONTH(V1618),"")</f>
        <v/>
      </c>
      <c r="AK1618" s="86" t="str">
        <f>+IF(AG1618=$AK$22,MONTH(V1618),"")</f>
        <v/>
      </c>
      <c r="AL1618" s="86" t="str">
        <f>+IF(AG1618=$AL$22,MONTH(V1618),"")</f>
        <v/>
      </c>
      <c r="AM1618" s="86" t="str">
        <f>+IF($AG1618=$AM$22,MONTH($D1618),"")</f>
        <v/>
      </c>
      <c r="AN1618" s="89">
        <f>+IF($AG1618=AN$22,MONTH($D1618),"")</f>
        <v>1</v>
      </c>
      <c r="AO1618" s="89" t="str">
        <f>+IF($AG1618=AO$22,MONTH($D1618),"")</f>
        <v/>
      </c>
      <c r="AP1618" s="89" t="str">
        <f>+IF($AG1618=AP$22,MONTH($D1618),"")</f>
        <v/>
      </c>
      <c r="AQ1618" s="89" t="str">
        <f>+IF($AG1618=AQ$22,MONTH($D1618),"")</f>
        <v/>
      </c>
      <c r="AR1618" s="89" t="str">
        <f>+IF($AG1618=AR$22,MONTH($D1618),"")</f>
        <v/>
      </c>
      <c r="AS1618" s="89" t="str">
        <f>+IF($AG1618=AS$22,MONTH($D1618),"")</f>
        <v/>
      </c>
      <c r="AT1618" s="89" t="str">
        <f>+IF($AG1618=AT$22,MONTH($D1618),"")</f>
        <v/>
      </c>
      <c r="AU1618" s="89" t="str">
        <f>+IF($AG1618=AU$22,MONTH($D1618),"")</f>
        <v/>
      </c>
      <c r="AV1618" s="89" t="str">
        <f>+IF($AG1618=AV$22,MONTH($D1618),"")</f>
        <v/>
      </c>
      <c r="AW1618" s="86" t="str">
        <f>+IF($AG1618=AW$22,MONTH($D1618),"")</f>
        <v/>
      </c>
      <c r="AX1618" s="86" t="str">
        <f>+IF($AG1618=AX$22,MONTH($D1618),"")</f>
        <v/>
      </c>
      <c r="AY1618" s="89"/>
      <c r="AZ1618" s="89"/>
      <c r="BA1618" s="89"/>
      <c r="BB1618" s="89"/>
      <c r="BC1618" s="89"/>
      <c r="BD1618" s="89"/>
      <c r="BE1618" s="89"/>
      <c r="BF1618" s="89"/>
      <c r="BG1618" s="89"/>
      <c r="BH1618" s="89"/>
      <c r="BI1618" s="89"/>
      <c r="BJ1618" s="89"/>
      <c r="BK1618" s="89"/>
      <c r="BL1618" s="89"/>
      <c r="BM1618" s="89"/>
      <c r="BN1618" s="89"/>
      <c r="BO1618" s="89"/>
      <c r="BP1618" s="89"/>
    </row>
    <row r="1619" spans="1:68" s="56" customFormat="1" ht="53.25" hidden="1">
      <c r="A1619" s="204" t="str">
        <f>+IFERROR(VALUE(MID(AB1619,4,4)),"")</f>
        <v/>
      </c>
      <c r="B1619" s="204">
        <f>VALUE(RIGHT(C1619,LEN(C1619)-2))</f>
        <v>1106</v>
      </c>
      <c r="C1619" s="74" t="s">
        <v>5899</v>
      </c>
      <c r="D1619" s="75">
        <v>43854</v>
      </c>
      <c r="E1619" s="70" t="s">
        <v>262</v>
      </c>
      <c r="F1619" s="70" t="s">
        <v>262</v>
      </c>
      <c r="G1619" s="68"/>
      <c r="H1619" s="59"/>
      <c r="I1619" s="69" t="s">
        <v>5900</v>
      </c>
      <c r="J1619" s="69"/>
      <c r="K1619" s="68" t="s">
        <v>31</v>
      </c>
      <c r="L1619" s="69" t="s">
        <v>120</v>
      </c>
      <c r="M1619" s="71" t="s">
        <v>141</v>
      </c>
      <c r="N1619" s="69" t="e" vm="1">
        <v>#VALUE!</v>
      </c>
      <c r="O1619" s="84">
        <v>43857</v>
      </c>
      <c r="P1619" s="72" t="s">
        <v>274</v>
      </c>
      <c r="Q1619" s="72"/>
      <c r="R1619" s="162"/>
      <c r="S1619" s="146" t="s">
        <v>5901</v>
      </c>
      <c r="T1619" s="68" t="s">
        <v>165</v>
      </c>
      <c r="U1619" s="87"/>
      <c r="V1619" s="80">
        <v>43997</v>
      </c>
      <c r="W1619" s="73">
        <v>523</v>
      </c>
      <c r="X1619" s="73">
        <f>772*28523.91/1000000</f>
        <v>22.020458519999998</v>
      </c>
      <c r="Y1619" s="83">
        <f>IF(SUM(W1619:W1619)&gt;0,X1619/SUM(W1619:W1619)*1000000,"N/A")</f>
        <v>42104.127189292536</v>
      </c>
      <c r="Z1619" s="80"/>
      <c r="AA1619" s="80"/>
      <c r="AB1619" s="73"/>
      <c r="AC1619" s="153"/>
      <c r="AD1619" s="331"/>
      <c r="AE1619" s="57"/>
      <c r="AF1619" s="88"/>
      <c r="AG1619" s="182">
        <f>YEAR(D1619)</f>
        <v>2020</v>
      </c>
      <c r="AH1619" s="86" t="str">
        <f>+IF(AE1619=$AJ$22,MONTH(T1619),"")</f>
        <v/>
      </c>
      <c r="AI1619" s="86" t="str">
        <f>+IF(AF1619=$AJ$22,MONTH(U1619),"")</f>
        <v/>
      </c>
      <c r="AJ1619" s="86" t="str">
        <f>+IF(AG1619=$AJ$22,MONTH(V1619),"")</f>
        <v/>
      </c>
      <c r="AK1619" s="86" t="str">
        <f>+IF(AG1619=$AK$22,MONTH(V1619),"")</f>
        <v/>
      </c>
      <c r="AL1619" s="86" t="str">
        <f>+IF(AG1619=$AL$22,MONTH(V1619),"")</f>
        <v/>
      </c>
      <c r="AM1619" s="86" t="str">
        <f>+IF($AG1619=$AM$22,MONTH($D1619),"")</f>
        <v/>
      </c>
      <c r="AN1619" s="89">
        <f>+IF($AG1619=AN$22,MONTH($D1619),"")</f>
        <v>1</v>
      </c>
      <c r="AO1619" s="89" t="str">
        <f>+IF($AG1619=AO$22,MONTH($D1619),"")</f>
        <v/>
      </c>
      <c r="AP1619" s="89" t="str">
        <f>+IF($AG1619=AP$22,MONTH($D1619),"")</f>
        <v/>
      </c>
      <c r="AQ1619" s="89" t="str">
        <f>+IF($AG1619=AQ$22,MONTH($D1619),"")</f>
        <v/>
      </c>
      <c r="AR1619" s="89" t="str">
        <f>+IF($AG1619=AR$22,MONTH($D1619),"")</f>
        <v/>
      </c>
      <c r="AS1619" s="89" t="str">
        <f>+IF($AG1619=AS$22,MONTH($D1619),"")</f>
        <v/>
      </c>
      <c r="AT1619" s="89" t="str">
        <f>+IF($AG1619=AT$22,MONTH($D1619),"")</f>
        <v/>
      </c>
      <c r="AU1619" s="89" t="str">
        <f>+IF($AG1619=AU$22,MONTH($D1619),"")</f>
        <v/>
      </c>
      <c r="AV1619" s="89" t="str">
        <f>+IF($AG1619=AV$22,MONTH($D1619),"")</f>
        <v/>
      </c>
      <c r="AW1619" s="86"/>
      <c r="AX1619" s="86"/>
      <c r="AY1619" s="89"/>
      <c r="AZ1619" s="89"/>
      <c r="BA1619" s="89"/>
      <c r="BB1619" s="89"/>
      <c r="BC1619" s="89"/>
      <c r="BD1619" s="89"/>
      <c r="BE1619" s="89"/>
      <c r="BF1619" s="89"/>
      <c r="BG1619" s="89"/>
      <c r="BH1619" s="89"/>
      <c r="BI1619" s="89"/>
      <c r="BJ1619" s="89"/>
      <c r="BK1619" s="89"/>
      <c r="BL1619" s="89"/>
      <c r="BM1619" s="89"/>
      <c r="BN1619" s="89"/>
      <c r="BO1619" s="89"/>
      <c r="BP1619" s="89"/>
    </row>
    <row r="1620" spans="1:68" s="56" customFormat="1" ht="27" hidden="1">
      <c r="A1620" s="204" t="str">
        <f>+IFERROR(VALUE(MID(AB1620,4,4)),"")</f>
        <v/>
      </c>
      <c r="B1620" s="204">
        <f>VALUE(RIGHT(C1620,LEN(C1620)-2))</f>
        <v>1105</v>
      </c>
      <c r="C1620" s="74" t="s">
        <v>5902</v>
      </c>
      <c r="D1620" s="75">
        <v>43853</v>
      </c>
      <c r="E1620" s="70" t="s">
        <v>41</v>
      </c>
      <c r="F1620" s="70" t="s">
        <v>41</v>
      </c>
      <c r="G1620" s="68"/>
      <c r="H1620" s="59"/>
      <c r="I1620" s="69" t="s">
        <v>5903</v>
      </c>
      <c r="J1620" s="69"/>
      <c r="K1620" s="68" t="s">
        <v>29</v>
      </c>
      <c r="L1620" s="69" t="s">
        <v>129</v>
      </c>
      <c r="M1620" s="71" t="s">
        <v>141</v>
      </c>
      <c r="N1620" s="69" t="e" vm="1">
        <v>#VALUE!</v>
      </c>
      <c r="O1620" s="84">
        <v>43853</v>
      </c>
      <c r="P1620" s="72" t="s">
        <v>4567</v>
      </c>
      <c r="Q1620" s="72"/>
      <c r="R1620" s="162"/>
      <c r="S1620" s="146"/>
      <c r="T1620" s="68" t="s">
        <v>165</v>
      </c>
      <c r="U1620" s="87"/>
      <c r="V1620" s="80">
        <v>43997</v>
      </c>
      <c r="W1620" s="73">
        <v>160</v>
      </c>
      <c r="X1620" s="73">
        <f>249*28523.91/1000000</f>
        <v>7.1024535899999997</v>
      </c>
      <c r="Y1620" s="83">
        <f>IF(SUM(W1620:W1620)&gt;0,X1620/SUM(W1620:W1620)*1000000,"N/A")</f>
        <v>44390.334937499996</v>
      </c>
      <c r="Z1620" s="80"/>
      <c r="AA1620" s="80"/>
      <c r="AB1620" s="73"/>
      <c r="AC1620" s="153"/>
      <c r="AD1620" s="331"/>
      <c r="AE1620" s="57"/>
      <c r="AF1620" s="88"/>
      <c r="AG1620" s="182">
        <f>YEAR(D1620)</f>
        <v>2020</v>
      </c>
      <c r="AH1620" s="86" t="str">
        <f>+IF(AE1620=$AJ$22,MONTH(T1620),"")</f>
        <v/>
      </c>
      <c r="AI1620" s="86" t="str">
        <f>+IF(AF1620=$AJ$22,MONTH(U1620),"")</f>
        <v/>
      </c>
      <c r="AJ1620" s="86" t="str">
        <f>+IF(AG1620=$AJ$22,MONTH(V1620),"")</f>
        <v/>
      </c>
      <c r="AK1620" s="86" t="str">
        <f>+IF(AG1620=$AK$22,MONTH(V1620),"")</f>
        <v/>
      </c>
      <c r="AL1620" s="86" t="str">
        <f>+IF(AG1620=$AL$22,MONTH(V1620),"")</f>
        <v/>
      </c>
      <c r="AM1620" s="86" t="str">
        <f>+IF($AG1620=$AM$22,MONTH($D1620),"")</f>
        <v/>
      </c>
      <c r="AN1620" s="89">
        <f>+IF($AG1620=AN$22,MONTH($D1620),"")</f>
        <v>1</v>
      </c>
      <c r="AO1620" s="89" t="str">
        <f>+IF($AG1620=AO$22,MONTH($D1620),"")</f>
        <v/>
      </c>
      <c r="AP1620" s="89" t="str">
        <f>+IF($AG1620=AP$22,MONTH($D1620),"")</f>
        <v/>
      </c>
      <c r="AQ1620" s="89" t="str">
        <f>+IF($AG1620=AQ$22,MONTH($D1620),"")</f>
        <v/>
      </c>
      <c r="AR1620" s="89" t="str">
        <f>+IF($AG1620=AR$22,MONTH($D1620),"")</f>
        <v/>
      </c>
      <c r="AS1620" s="89" t="str">
        <f>+IF($AG1620=AS$22,MONTH($D1620),"")</f>
        <v/>
      </c>
      <c r="AT1620" s="89" t="str">
        <f>+IF($AG1620=AT$22,MONTH($D1620),"")</f>
        <v/>
      </c>
      <c r="AU1620" s="89" t="str">
        <f>+IF($AG1620=AU$22,MONTH($D1620),"")</f>
        <v/>
      </c>
      <c r="AV1620" s="89" t="str">
        <f>+IF($AG1620=AV$22,MONTH($D1620),"")</f>
        <v/>
      </c>
      <c r="AW1620" s="86" t="str">
        <f>+IF($AG1620=AW$22,MONTH($D1620),"")</f>
        <v/>
      </c>
      <c r="AX1620" s="86" t="str">
        <f>+IF($AG1620=AX$22,MONTH($D1620),"")</f>
        <v/>
      </c>
      <c r="AY1620" s="89"/>
      <c r="AZ1620" s="89"/>
      <c r="BA1620" s="89"/>
      <c r="BB1620" s="89"/>
      <c r="BC1620" s="89"/>
      <c r="BD1620" s="89"/>
      <c r="BE1620" s="89"/>
      <c r="BF1620" s="89"/>
      <c r="BG1620" s="89"/>
      <c r="BH1620" s="89"/>
      <c r="BI1620" s="89"/>
      <c r="BJ1620" s="89"/>
      <c r="BK1620" s="89"/>
      <c r="BL1620" s="89"/>
      <c r="BM1620" s="89"/>
      <c r="BN1620" s="89"/>
      <c r="BO1620" s="89"/>
      <c r="BP1620" s="89"/>
    </row>
    <row r="1621" spans="1:68" s="56" customFormat="1" ht="40.5" hidden="1">
      <c r="A1621" s="204" t="str">
        <f>+IFERROR(VALUE(MID(AB1621,4,4)),"")</f>
        <v/>
      </c>
      <c r="B1621" s="204">
        <f>VALUE(RIGHT(C1621,LEN(C1621)-2))</f>
        <v>1104</v>
      </c>
      <c r="C1621" s="74" t="s">
        <v>5904</v>
      </c>
      <c r="D1621" s="75">
        <v>43851</v>
      </c>
      <c r="E1621" s="70" t="s">
        <v>53</v>
      </c>
      <c r="F1621" s="70" t="s">
        <v>313</v>
      </c>
      <c r="G1621" s="68"/>
      <c r="H1621" s="59"/>
      <c r="I1621" s="69" t="s">
        <v>5905</v>
      </c>
      <c r="J1621" s="69"/>
      <c r="K1621" s="68" t="s">
        <v>13</v>
      </c>
      <c r="L1621" s="69" t="s">
        <v>123</v>
      </c>
      <c r="M1621" s="71" t="s">
        <v>141</v>
      </c>
      <c r="N1621" s="69" t="e" vm="1">
        <v>#VALUE!</v>
      </c>
      <c r="O1621" s="84"/>
      <c r="P1621" s="72" t="s">
        <v>402</v>
      </c>
      <c r="Q1621" s="72"/>
      <c r="R1621" s="162"/>
      <c r="S1621" s="146"/>
      <c r="T1621" s="68" t="s">
        <v>155</v>
      </c>
      <c r="U1621" s="87"/>
      <c r="V1621" s="80">
        <v>43901</v>
      </c>
      <c r="W1621" s="73"/>
      <c r="X1621" s="73"/>
      <c r="Y1621" s="83" t="str">
        <f>IF(SUM(W1621:W1621)&gt;0,X1621/SUM(W1621:W1621)*1000000,"N/A")</f>
        <v>N/A</v>
      </c>
      <c r="Z1621" s="80"/>
      <c r="AA1621" s="80"/>
      <c r="AB1621" s="73"/>
      <c r="AC1621" s="153"/>
      <c r="AD1621" s="331"/>
      <c r="AE1621" s="57"/>
      <c r="AF1621" s="88"/>
      <c r="AG1621" s="182">
        <f>YEAR(V1621)</f>
        <v>2020</v>
      </c>
      <c r="AH1621" s="86" t="str">
        <f>+IF(AE1621=$AJ$22,MONTH(T1621),"")</f>
        <v/>
      </c>
      <c r="AI1621" s="86" t="str">
        <f>+IF(AF1621=$AJ$22,MONTH(U1621),"")</f>
        <v/>
      </c>
      <c r="AJ1621" s="86" t="str">
        <f>+IF(AG1621=$AJ$22,MONTH(V1621),"")</f>
        <v/>
      </c>
      <c r="AK1621" s="86" t="str">
        <f>+IF(AG1621=$AK$22,MONTH(V1621),"")</f>
        <v/>
      </c>
      <c r="AL1621" s="86" t="str">
        <f>+IF(AG1621=$AL$22,MONTH(V1621),"")</f>
        <v/>
      </c>
      <c r="AM1621" s="86" t="str">
        <f>+IF($AG1621=$AM$22,MONTH($D1621),"")</f>
        <v/>
      </c>
      <c r="AN1621" s="89">
        <f>+IF($AG1621=AN$22,MONTH($D1621),"")</f>
        <v>1</v>
      </c>
      <c r="AO1621" s="89" t="str">
        <f>+IF($AG1621=AO$22,MONTH($D1621),"")</f>
        <v/>
      </c>
      <c r="AP1621" s="89" t="str">
        <f>+IF($AG1621=AP$22,MONTH($D1621),"")</f>
        <v/>
      </c>
      <c r="AQ1621" s="89" t="str">
        <f>+IF($AG1621=AQ$22,MONTH($D1621),"")</f>
        <v/>
      </c>
      <c r="AR1621" s="89" t="str">
        <f>+IF($AG1621=AR$22,MONTH($D1621),"")</f>
        <v/>
      </c>
      <c r="AS1621" s="89" t="str">
        <f>+IF($AG1621=AS$22,MONTH($D1621),"")</f>
        <v/>
      </c>
      <c r="AT1621" s="89" t="str">
        <f>+IF($AG1621=AT$22,MONTH($D1621),"")</f>
        <v/>
      </c>
      <c r="AU1621" s="89" t="str">
        <f>+IF($AG1621=AU$22,MONTH($D1621),"")</f>
        <v/>
      </c>
      <c r="AV1621" s="89" t="str">
        <f>+IF($AG1621=AV$22,MONTH($D1621),"")</f>
        <v/>
      </c>
      <c r="AW1621" s="86" t="str">
        <f>+IF($AG1621=AW$22,MONTH($D1621),"")</f>
        <v/>
      </c>
      <c r="AX1621" s="86" t="str">
        <f>+IF($AG1621=AX$22,MONTH($D1621),"")</f>
        <v/>
      </c>
      <c r="AY1621" s="89"/>
      <c r="AZ1621" s="89"/>
      <c r="BA1621" s="89"/>
      <c r="BB1621" s="89"/>
      <c r="BC1621" s="89"/>
      <c r="BD1621" s="89"/>
      <c r="BE1621" s="89"/>
      <c r="BF1621" s="89"/>
      <c r="BG1621" s="89"/>
      <c r="BH1621" s="89"/>
      <c r="BI1621" s="89"/>
      <c r="BJ1621" s="89"/>
      <c r="BK1621" s="89"/>
      <c r="BL1621" s="89"/>
      <c r="BM1621" s="89"/>
      <c r="BN1621" s="89"/>
      <c r="BO1621" s="89"/>
      <c r="BP1621" s="89"/>
    </row>
    <row r="1622" spans="1:68" s="56" customFormat="1" ht="13.5" hidden="1">
      <c r="A1622" s="204">
        <f>+IFERROR(VALUE(MID(AB1622,4,4)),"")</f>
        <v>233</v>
      </c>
      <c r="B1622" s="204">
        <f>VALUE(RIGHT(C1622,LEN(C1622)-2))</f>
        <v>1103</v>
      </c>
      <c r="C1622" s="74" t="s">
        <v>5906</v>
      </c>
      <c r="D1622" s="75">
        <v>43851</v>
      </c>
      <c r="E1622" s="70" t="s">
        <v>394</v>
      </c>
      <c r="F1622" s="70" t="s">
        <v>394</v>
      </c>
      <c r="G1622" s="68" t="s">
        <v>5401</v>
      </c>
      <c r="H1622" s="59"/>
      <c r="I1622" s="69" t="s">
        <v>5907</v>
      </c>
      <c r="J1622" s="69"/>
      <c r="K1622" s="68" t="s">
        <v>13</v>
      </c>
      <c r="L1622" s="69" t="s">
        <v>120</v>
      </c>
      <c r="M1622" s="71" t="s">
        <v>141</v>
      </c>
      <c r="N1622" s="69" t="e" vm="1">
        <v>#VALUE!</v>
      </c>
      <c r="O1622" s="84">
        <v>43851</v>
      </c>
      <c r="P1622" s="72" t="s">
        <v>402</v>
      </c>
      <c r="Q1622" s="72" t="s">
        <v>229</v>
      </c>
      <c r="R1622" s="162"/>
      <c r="S1622" s="146"/>
      <c r="T1622" s="68" t="s">
        <v>3</v>
      </c>
      <c r="U1622" s="87"/>
      <c r="V1622" s="80">
        <v>43901</v>
      </c>
      <c r="W1622" s="73">
        <v>3400</v>
      </c>
      <c r="X1622" s="73">
        <f>95503017/1000000</f>
        <v>95.503017</v>
      </c>
      <c r="Y1622" s="83">
        <f>IF(SUM(W1622:W1622)&gt;0,X1622/SUM(W1622:W1622)*1000000,"N/A")</f>
        <v>28089.122647058823</v>
      </c>
      <c r="Z1622" s="80"/>
      <c r="AA1622" s="80"/>
      <c r="AB1622" s="73" t="s">
        <v>5731</v>
      </c>
      <c r="AC1622" s="153"/>
      <c r="AD1622" s="331"/>
      <c r="AE1622" s="57"/>
      <c r="AF1622" s="88"/>
      <c r="AG1622" s="182">
        <f>YEAR(D1622)</f>
        <v>2020</v>
      </c>
      <c r="AH1622" s="86" t="str">
        <f>+IF(AE1622=$AJ$22,MONTH(T1622),"")</f>
        <v/>
      </c>
      <c r="AI1622" s="86" t="str">
        <f>+IF(AF1622=$AJ$22,MONTH(U1622),"")</f>
        <v/>
      </c>
      <c r="AJ1622" s="86" t="str">
        <f>+IF(AG1622=$AJ$22,MONTH(V1622),"")</f>
        <v/>
      </c>
      <c r="AK1622" s="86" t="str">
        <f>+IF(AG1622=$AK$22,MONTH(V1622),"")</f>
        <v/>
      </c>
      <c r="AL1622" s="86" t="str">
        <f>+IF(AG1622=$AL$22,MONTH(V1622),"")</f>
        <v/>
      </c>
      <c r="AM1622" s="86" t="str">
        <f>+IF($AG1622=$AM$22,MONTH($D1622),"")</f>
        <v/>
      </c>
      <c r="AN1622" s="89">
        <f>+IF($AG1622=AN$22,MONTH($D1622),"")</f>
        <v>1</v>
      </c>
      <c r="AO1622" s="89" t="str">
        <f>+IF($AG1622=AO$22,MONTH($D1622),"")</f>
        <v/>
      </c>
      <c r="AP1622" s="89" t="str">
        <f>+IF($AG1622=AP$22,MONTH($D1622),"")</f>
        <v/>
      </c>
      <c r="AQ1622" s="89" t="str">
        <f>+IF($AG1622=AQ$22,MONTH($D1622),"")</f>
        <v/>
      </c>
      <c r="AR1622" s="89" t="str">
        <f>+IF($AG1622=AR$22,MONTH($D1622),"")</f>
        <v/>
      </c>
      <c r="AS1622" s="89" t="str">
        <f>+IF($AG1622=AS$22,MONTH($D1622),"")</f>
        <v/>
      </c>
      <c r="AT1622" s="89" t="str">
        <f>+IF($AG1622=AT$22,MONTH($D1622),"")</f>
        <v/>
      </c>
      <c r="AU1622" s="89" t="str">
        <f>+IF($AG1622=AU$22,MONTH($D1622),"")</f>
        <v/>
      </c>
      <c r="AV1622" s="89" t="str">
        <f>+IF($AG1622=AV$22,MONTH($D1622),"")</f>
        <v/>
      </c>
      <c r="AW1622" s="86" t="str">
        <f>+IF($AG1622=AW$22,MONTH($D1622),"")</f>
        <v/>
      </c>
      <c r="AX1622" s="86" t="str">
        <f>+IF($AG1622=AX$22,MONTH($D1622),"")</f>
        <v/>
      </c>
      <c r="AY1622" s="89"/>
      <c r="AZ1622" s="89"/>
      <c r="BA1622" s="89"/>
      <c r="BB1622" s="89"/>
      <c r="BC1622" s="89"/>
      <c r="BD1622" s="89"/>
      <c r="BE1622" s="89"/>
      <c r="BF1622" s="89"/>
      <c r="BG1622" s="89"/>
      <c r="BH1622" s="89"/>
      <c r="BI1622" s="89"/>
      <c r="BJ1622" s="89"/>
      <c r="BK1622" s="89"/>
      <c r="BL1622" s="89"/>
      <c r="BM1622" s="89"/>
      <c r="BN1622" s="89"/>
      <c r="BO1622" s="89"/>
      <c r="BP1622" s="89"/>
    </row>
    <row r="1623" spans="1:68" s="56" customFormat="1" ht="13.5" hidden="1">
      <c r="A1623" s="204" t="str">
        <f>+IFERROR(VALUE(MID(AB1623,4,4)),"")</f>
        <v/>
      </c>
      <c r="B1623" s="204">
        <f>VALUE(RIGHT(C1623,LEN(C1623)-2))</f>
        <v>1102</v>
      </c>
      <c r="C1623" s="74" t="s">
        <v>5908</v>
      </c>
      <c r="D1623" s="75">
        <v>43846</v>
      </c>
      <c r="E1623" s="70" t="s">
        <v>41</v>
      </c>
      <c r="F1623" s="70" t="s">
        <v>41</v>
      </c>
      <c r="G1623" s="68"/>
      <c r="H1623" s="59"/>
      <c r="I1623" s="69" t="s">
        <v>5909</v>
      </c>
      <c r="J1623" s="69"/>
      <c r="K1623" s="68" t="s">
        <v>13</v>
      </c>
      <c r="L1623" s="69" t="s">
        <v>129</v>
      </c>
      <c r="M1623" s="71" t="s">
        <v>141</v>
      </c>
      <c r="N1623" s="69" t="e" vm="1">
        <v>#VALUE!</v>
      </c>
      <c r="O1623" s="84">
        <v>43887</v>
      </c>
      <c r="P1623" s="72" t="s">
        <v>402</v>
      </c>
      <c r="Q1623" s="72"/>
      <c r="R1623" s="162"/>
      <c r="S1623" s="146"/>
      <c r="T1623" s="68" t="s">
        <v>165</v>
      </c>
      <c r="U1623" s="87"/>
      <c r="V1623" s="80">
        <v>43997</v>
      </c>
      <c r="W1623" s="73">
        <v>3545</v>
      </c>
      <c r="X1623" s="73">
        <f>3924*28523.91/1000000</f>
        <v>111.92782284</v>
      </c>
      <c r="Y1623" s="83">
        <f>IF(SUM(W1623:W1623)&gt;0,X1623/SUM(W1623:W1623)*1000000,"N/A")</f>
        <v>31573.433805359666</v>
      </c>
      <c r="Z1623" s="80"/>
      <c r="AA1623" s="80"/>
      <c r="AB1623" s="73"/>
      <c r="AC1623" s="153"/>
      <c r="AD1623" s="331"/>
      <c r="AE1623" s="57"/>
      <c r="AF1623" s="88"/>
      <c r="AG1623" s="182">
        <f>YEAR(D1623)</f>
        <v>2020</v>
      </c>
      <c r="AH1623" s="86" t="str">
        <f>+IF(AE1623=$AJ$22,MONTH(T1623),"")</f>
        <v/>
      </c>
      <c r="AI1623" s="86" t="str">
        <f>+IF(AF1623=$AJ$22,MONTH(U1623),"")</f>
        <v/>
      </c>
      <c r="AJ1623" s="86" t="str">
        <f>+IF(AG1623=$AJ$22,MONTH(V1623),"")</f>
        <v/>
      </c>
      <c r="AK1623" s="86" t="str">
        <f>+IF(AG1623=$AK$22,MONTH(V1623),"")</f>
        <v/>
      </c>
      <c r="AL1623" s="86" t="str">
        <f>+IF(AG1623=$AL$22,MONTH(V1623),"")</f>
        <v/>
      </c>
      <c r="AM1623" s="86" t="str">
        <f>+IF($AG1623=$AM$22,MONTH($D1623),"")</f>
        <v/>
      </c>
      <c r="AN1623" s="89">
        <f>+IF($AG1623=AN$22,MONTH($D1623),"")</f>
        <v>1</v>
      </c>
      <c r="AO1623" s="89" t="str">
        <f>+IF($AG1623=AO$22,MONTH($D1623),"")</f>
        <v/>
      </c>
      <c r="AP1623" s="89" t="str">
        <f>+IF($AG1623=AP$22,MONTH($D1623),"")</f>
        <v/>
      </c>
      <c r="AQ1623" s="89" t="str">
        <f>+IF($AG1623=AQ$22,MONTH($D1623),"")</f>
        <v/>
      </c>
      <c r="AR1623" s="89" t="str">
        <f>+IF($AG1623=AR$22,MONTH($D1623),"")</f>
        <v/>
      </c>
      <c r="AS1623" s="89" t="str">
        <f>+IF($AG1623=AS$22,MONTH($D1623),"")</f>
        <v/>
      </c>
      <c r="AT1623" s="89" t="str">
        <f>+IF($AG1623=AT$22,MONTH($D1623),"")</f>
        <v/>
      </c>
      <c r="AU1623" s="89" t="str">
        <f>+IF($AG1623=AU$22,MONTH($D1623),"")</f>
        <v/>
      </c>
      <c r="AV1623" s="89" t="str">
        <f>+IF($AG1623=AV$22,MONTH($D1623),"")</f>
        <v/>
      </c>
      <c r="AW1623" s="86" t="str">
        <f>+IF($AG1623=AW$22,MONTH($D1623),"")</f>
        <v/>
      </c>
      <c r="AX1623" s="86" t="str">
        <f>+IF($AG1623=AX$22,MONTH($D1623),"")</f>
        <v/>
      </c>
      <c r="AY1623" s="89"/>
      <c r="AZ1623" s="89"/>
      <c r="BA1623" s="89"/>
      <c r="BB1623" s="89"/>
      <c r="BC1623" s="89"/>
      <c r="BD1623" s="89"/>
      <c r="BE1623" s="89"/>
      <c r="BF1623" s="89"/>
      <c r="BG1623" s="89"/>
      <c r="BH1623" s="89"/>
      <c r="BI1623" s="89"/>
      <c r="BJ1623" s="89"/>
      <c r="BK1623" s="89"/>
      <c r="BL1623" s="89"/>
      <c r="BM1623" s="89"/>
      <c r="BN1623" s="89"/>
      <c r="BO1623" s="89"/>
      <c r="BP1623" s="89"/>
    </row>
    <row r="1624" spans="1:68" s="56" customFormat="1" ht="27" hidden="1">
      <c r="A1624" s="204">
        <f>+IFERROR(VALUE(MID(AB1624,4,4)),"")</f>
        <v>219</v>
      </c>
      <c r="B1624" s="204">
        <f>VALUE(RIGHT(C1624,LEN(C1624)-2))</f>
        <v>1101</v>
      </c>
      <c r="C1624" s="74" t="s">
        <v>5910</v>
      </c>
      <c r="D1624" s="75">
        <v>43845</v>
      </c>
      <c r="E1624" s="70" t="s">
        <v>41</v>
      </c>
      <c r="F1624" s="70" t="s">
        <v>41</v>
      </c>
      <c r="G1624" s="68"/>
      <c r="H1624" s="59"/>
      <c r="I1624" s="69" t="s">
        <v>5911</v>
      </c>
      <c r="J1624" s="69"/>
      <c r="K1624" s="68" t="s">
        <v>13</v>
      </c>
      <c r="L1624" s="69" t="s">
        <v>129</v>
      </c>
      <c r="M1624" s="71" t="s">
        <v>141</v>
      </c>
      <c r="N1624" s="69" t="e" vm="1">
        <v>#VALUE!</v>
      </c>
      <c r="O1624" s="84">
        <v>43854</v>
      </c>
      <c r="P1624" s="72" t="s">
        <v>402</v>
      </c>
      <c r="Q1624" s="72" t="s">
        <v>1097</v>
      </c>
      <c r="R1624" s="162"/>
      <c r="S1624" s="146"/>
      <c r="T1624" s="68" t="s">
        <v>3</v>
      </c>
      <c r="U1624" s="87"/>
      <c r="V1624" s="80">
        <v>43901</v>
      </c>
      <c r="W1624" s="73">
        <v>175</v>
      </c>
      <c r="X1624" s="73">
        <f>180*28523.91/1000000</f>
        <v>5.1343037999999996</v>
      </c>
      <c r="Y1624" s="83">
        <f>IF(SUM(W1624:W1624)&gt;0,X1624/SUM(W1624:W1624)*1000000,"N/A")</f>
        <v>29338.878857142856</v>
      </c>
      <c r="Z1624" s="80"/>
      <c r="AA1624" s="80"/>
      <c r="AB1624" s="73" t="s">
        <v>5912</v>
      </c>
      <c r="AC1624" s="153"/>
      <c r="AD1624" s="331"/>
      <c r="AE1624" s="57"/>
      <c r="AF1624" s="88"/>
      <c r="AG1624" s="182">
        <f>YEAR(D1624)</f>
        <v>2020</v>
      </c>
      <c r="AH1624" s="86" t="str">
        <f>+IF(AE1624=$AJ$22,MONTH(T1624),"")</f>
        <v/>
      </c>
      <c r="AI1624" s="86" t="str">
        <f>+IF(AF1624=$AJ$22,MONTH(U1624),"")</f>
        <v/>
      </c>
      <c r="AJ1624" s="86" t="str">
        <f>+IF(AG1624=$AJ$22,MONTH(V1624),"")</f>
        <v/>
      </c>
      <c r="AK1624" s="86" t="str">
        <f>+IF(AG1624=$AK$22,MONTH(V1624),"")</f>
        <v/>
      </c>
      <c r="AL1624" s="86" t="str">
        <f>+IF(AG1624=$AL$22,MONTH(V1624),"")</f>
        <v/>
      </c>
      <c r="AM1624" s="86" t="str">
        <f>+IF($AG1624=$AM$22,MONTH($D1624),"")</f>
        <v/>
      </c>
      <c r="AN1624" s="89">
        <f>+IF($AG1624=AN$22,MONTH($D1624),"")</f>
        <v>1</v>
      </c>
      <c r="AO1624" s="89" t="str">
        <f>+IF($AG1624=AO$22,MONTH($D1624),"")</f>
        <v/>
      </c>
      <c r="AP1624" s="89" t="str">
        <f>+IF($AG1624=AP$22,MONTH($D1624),"")</f>
        <v/>
      </c>
      <c r="AQ1624" s="89" t="str">
        <f>+IF($AG1624=AQ$22,MONTH($D1624),"")</f>
        <v/>
      </c>
      <c r="AR1624" s="89" t="str">
        <f>+IF($AG1624=AR$22,MONTH($D1624),"")</f>
        <v/>
      </c>
      <c r="AS1624" s="89" t="str">
        <f>+IF($AG1624=AS$22,MONTH($D1624),"")</f>
        <v/>
      </c>
      <c r="AT1624" s="89" t="str">
        <f>+IF($AG1624=AT$22,MONTH($D1624),"")</f>
        <v/>
      </c>
      <c r="AU1624" s="89" t="str">
        <f>+IF($AG1624=AU$22,MONTH($D1624),"")</f>
        <v/>
      </c>
      <c r="AV1624" s="89" t="str">
        <f>+IF($AG1624=AV$22,MONTH($D1624),"")</f>
        <v/>
      </c>
      <c r="AW1624" s="86" t="str">
        <f>+IF($AG1624=AW$22,MONTH($D1624),"")</f>
        <v/>
      </c>
      <c r="AX1624" s="86" t="str">
        <f>+IF($AG1624=AX$22,MONTH($D1624),"")</f>
        <v/>
      </c>
      <c r="AY1624" s="89"/>
      <c r="AZ1624" s="89"/>
      <c r="BA1624" s="89"/>
      <c r="BB1624" s="89"/>
      <c r="BC1624" s="89"/>
      <c r="BD1624" s="89"/>
      <c r="BE1624" s="89"/>
      <c r="BF1624" s="89"/>
      <c r="BG1624" s="89"/>
      <c r="BH1624" s="89"/>
      <c r="BI1624" s="89"/>
      <c r="BJ1624" s="89"/>
      <c r="BK1624" s="89"/>
      <c r="BL1624" s="89"/>
      <c r="BM1624" s="89"/>
      <c r="BN1624" s="89"/>
      <c r="BO1624" s="89"/>
      <c r="BP1624" s="89"/>
    </row>
    <row r="1625" spans="1:68" s="56" customFormat="1" ht="13.5" hidden="1">
      <c r="A1625" s="204" t="str">
        <f>+IFERROR(VALUE(MID(AB1625,4,4)),"")</f>
        <v/>
      </c>
      <c r="B1625" s="204">
        <f>VALUE(RIGHT(C1625,LEN(C1625)-2))</f>
        <v>1100</v>
      </c>
      <c r="C1625" s="74" t="s">
        <v>5913</v>
      </c>
      <c r="D1625" s="75">
        <v>43845</v>
      </c>
      <c r="E1625" s="70" t="s">
        <v>4114</v>
      </c>
      <c r="F1625" s="70" t="s">
        <v>4114</v>
      </c>
      <c r="G1625" s="68"/>
      <c r="H1625" s="59"/>
      <c r="I1625" s="69" t="s">
        <v>5914</v>
      </c>
      <c r="J1625" s="69"/>
      <c r="K1625" s="68" t="s">
        <v>13</v>
      </c>
      <c r="L1625" s="69" t="s">
        <v>120</v>
      </c>
      <c r="M1625" s="71" t="s">
        <v>141</v>
      </c>
      <c r="N1625" s="69" t="e" vm="1">
        <v>#VALUE!</v>
      </c>
      <c r="O1625" s="84">
        <v>43850</v>
      </c>
      <c r="P1625" s="72" t="s">
        <v>402</v>
      </c>
      <c r="Q1625" s="72"/>
      <c r="R1625" s="162"/>
      <c r="S1625" s="146"/>
      <c r="T1625" s="68" t="s">
        <v>165</v>
      </c>
      <c r="U1625" s="87"/>
      <c r="V1625" s="80">
        <v>43901</v>
      </c>
      <c r="W1625" s="73">
        <v>1393</v>
      </c>
      <c r="X1625" s="73">
        <f>1830*28523.91/1000000</f>
        <v>52.198755299999995</v>
      </c>
      <c r="Y1625" s="83">
        <f>IF(SUM(W1625:W1625)&gt;0,X1625/SUM(W1625:W1625)*1000000,"N/A")</f>
        <v>37472.186145010768</v>
      </c>
      <c r="Z1625" s="80"/>
      <c r="AA1625" s="80"/>
      <c r="AB1625" s="73"/>
      <c r="AC1625" s="153"/>
      <c r="AD1625" s="331"/>
      <c r="AE1625" s="57"/>
      <c r="AF1625" s="88"/>
      <c r="AG1625" s="182">
        <f>YEAR(D1625)</f>
        <v>2020</v>
      </c>
      <c r="AH1625" s="86" t="str">
        <f>+IF(AE1625=$AJ$22,MONTH(T1625),"")</f>
        <v/>
      </c>
      <c r="AI1625" s="86" t="str">
        <f>+IF(AF1625=$AJ$22,MONTH(U1625),"")</f>
        <v/>
      </c>
      <c r="AJ1625" s="86" t="str">
        <f>+IF(AG1625=$AJ$22,MONTH(V1625),"")</f>
        <v/>
      </c>
      <c r="AK1625" s="86" t="str">
        <f>+IF(AG1625=$AK$22,MONTH(V1625),"")</f>
        <v/>
      </c>
      <c r="AL1625" s="86" t="str">
        <f>+IF(AG1625=$AL$22,MONTH(V1625),"")</f>
        <v/>
      </c>
      <c r="AM1625" s="86" t="str">
        <f>+IF($AG1625=$AM$22,MONTH($D1625),"")</f>
        <v/>
      </c>
      <c r="AN1625" s="89">
        <f>+IF($AG1625=AN$22,MONTH($D1625),"")</f>
        <v>1</v>
      </c>
      <c r="AO1625" s="89" t="str">
        <f>+IF($AG1625=AO$22,MONTH($D1625),"")</f>
        <v/>
      </c>
      <c r="AP1625" s="89" t="str">
        <f>+IF($AG1625=AP$22,MONTH($D1625),"")</f>
        <v/>
      </c>
      <c r="AQ1625" s="89" t="str">
        <f>+IF($AG1625=AQ$22,MONTH($D1625),"")</f>
        <v/>
      </c>
      <c r="AR1625" s="89" t="str">
        <f>+IF($AG1625=AR$22,MONTH($D1625),"")</f>
        <v/>
      </c>
      <c r="AS1625" s="89" t="str">
        <f>+IF($AG1625=AS$22,MONTH($D1625),"")</f>
        <v/>
      </c>
      <c r="AT1625" s="89" t="str">
        <f>+IF($AG1625=AT$22,MONTH($D1625),"")</f>
        <v/>
      </c>
      <c r="AU1625" s="89" t="str">
        <f>+IF($AG1625=AU$22,MONTH($D1625),"")</f>
        <v/>
      </c>
      <c r="AV1625" s="89" t="str">
        <f>+IF($AG1625=AV$22,MONTH($D1625),"")</f>
        <v/>
      </c>
      <c r="AW1625" s="86"/>
      <c r="AX1625" s="86"/>
      <c r="AY1625" s="89"/>
      <c r="AZ1625" s="89"/>
      <c r="BA1625" s="89"/>
      <c r="BB1625" s="89"/>
      <c r="BC1625" s="89"/>
      <c r="BD1625" s="89"/>
      <c r="BE1625" s="89"/>
      <c r="BF1625" s="89"/>
      <c r="BG1625" s="89"/>
      <c r="BH1625" s="89"/>
      <c r="BI1625" s="89"/>
      <c r="BJ1625" s="89"/>
      <c r="BK1625" s="89"/>
      <c r="BL1625" s="89"/>
      <c r="BM1625" s="89"/>
      <c r="BN1625" s="89"/>
      <c r="BO1625" s="89"/>
      <c r="BP1625" s="89"/>
    </row>
    <row r="1626" spans="1:68" s="56" customFormat="1" ht="40.5" hidden="1">
      <c r="A1626" s="204" t="str">
        <f>+IFERROR(VALUE(MID(AB1626,4,4)),"")</f>
        <v/>
      </c>
      <c r="B1626" s="204">
        <f>VALUE(RIGHT(C1626,LEN(C1626)-2))</f>
        <v>1099</v>
      </c>
      <c r="C1626" s="74" t="s">
        <v>5915</v>
      </c>
      <c r="D1626" s="75">
        <v>43845</v>
      </c>
      <c r="E1626" s="70" t="s">
        <v>394</v>
      </c>
      <c r="F1626" s="70" t="s">
        <v>394</v>
      </c>
      <c r="G1626" s="68"/>
      <c r="H1626" s="59"/>
      <c r="I1626" s="69" t="s">
        <v>5916</v>
      </c>
      <c r="J1626" s="69"/>
      <c r="K1626" s="68" t="s">
        <v>13</v>
      </c>
      <c r="L1626" s="69" t="s">
        <v>123</v>
      </c>
      <c r="M1626" s="71" t="s">
        <v>141</v>
      </c>
      <c r="N1626" s="69" t="e" vm="1">
        <v>#VALUE!</v>
      </c>
      <c r="O1626" s="84">
        <v>43850</v>
      </c>
      <c r="P1626" s="72" t="s">
        <v>402</v>
      </c>
      <c r="Q1626" s="72"/>
      <c r="R1626" s="162"/>
      <c r="S1626" s="146" t="s">
        <v>5917</v>
      </c>
      <c r="T1626" s="68" t="s">
        <v>165</v>
      </c>
      <c r="U1626" s="87"/>
      <c r="V1626" s="80">
        <v>43850</v>
      </c>
      <c r="W1626" s="73">
        <v>2236</v>
      </c>
      <c r="X1626" s="73">
        <f>64318177/1000000</f>
        <v>64.318177000000006</v>
      </c>
      <c r="Y1626" s="83">
        <f>IF(SUM(W1626:W1626)&gt;0,X1626/SUM(W1626:W1626)*1000000,"N/A")</f>
        <v>28764.837656529518</v>
      </c>
      <c r="Z1626" s="80"/>
      <c r="AA1626" s="80"/>
      <c r="AB1626" s="73"/>
      <c r="AC1626" s="153"/>
      <c r="AD1626" s="331"/>
      <c r="AE1626" s="57"/>
      <c r="AF1626" s="88"/>
      <c r="AG1626" s="182">
        <f>YEAR(D1626)</f>
        <v>2020</v>
      </c>
      <c r="AH1626" s="86" t="str">
        <f>+IF(AE1626=$AJ$22,MONTH(T1626),"")</f>
        <v/>
      </c>
      <c r="AI1626" s="86" t="str">
        <f>+IF(AF1626=$AJ$22,MONTH(U1626),"")</f>
        <v/>
      </c>
      <c r="AJ1626" s="86" t="str">
        <f>+IF(AG1626=$AJ$22,MONTH(V1626),"")</f>
        <v/>
      </c>
      <c r="AK1626" s="86" t="str">
        <f>+IF(AG1626=$AK$22,MONTH(V1626),"")</f>
        <v/>
      </c>
      <c r="AL1626" s="86" t="str">
        <f>+IF(AG1626=$AL$22,MONTH(V1626),"")</f>
        <v/>
      </c>
      <c r="AM1626" s="86" t="str">
        <f>+IF($AG1626=$AM$22,MONTH($D1626),"")</f>
        <v/>
      </c>
      <c r="AN1626" s="89">
        <f>+IF($AG1626=AN$22,MONTH($D1626),"")</f>
        <v>1</v>
      </c>
      <c r="AO1626" s="89" t="str">
        <f>+IF($AG1626=AO$22,MONTH($D1626),"")</f>
        <v/>
      </c>
      <c r="AP1626" s="89" t="str">
        <f>+IF($AG1626=AP$22,MONTH($D1626),"")</f>
        <v/>
      </c>
      <c r="AQ1626" s="89" t="str">
        <f>+IF($AG1626=AQ$22,MONTH($D1626),"")</f>
        <v/>
      </c>
      <c r="AR1626" s="89" t="str">
        <f>+IF($AG1626=AR$22,MONTH($D1626),"")</f>
        <v/>
      </c>
      <c r="AS1626" s="89" t="str">
        <f>+IF($AG1626=AS$22,MONTH($D1626),"")</f>
        <v/>
      </c>
      <c r="AT1626" s="89" t="str">
        <f>+IF($AG1626=AT$22,MONTH($D1626),"")</f>
        <v/>
      </c>
      <c r="AU1626" s="89" t="str">
        <f>+IF($AG1626=AU$22,MONTH($D1626),"")</f>
        <v/>
      </c>
      <c r="AV1626" s="89" t="str">
        <f>+IF($AG1626=AV$22,MONTH($D1626),"")</f>
        <v/>
      </c>
      <c r="AW1626" s="86"/>
      <c r="AX1626" s="86"/>
      <c r="AY1626" s="89"/>
      <c r="AZ1626" s="89"/>
      <c r="BA1626" s="89"/>
      <c r="BB1626" s="89"/>
      <c r="BC1626" s="89"/>
      <c r="BD1626" s="89"/>
      <c r="BE1626" s="89"/>
      <c r="BF1626" s="89"/>
      <c r="BG1626" s="89"/>
      <c r="BH1626" s="89"/>
      <c r="BI1626" s="89"/>
      <c r="BJ1626" s="89"/>
      <c r="BK1626" s="89"/>
      <c r="BL1626" s="89"/>
      <c r="BM1626" s="89"/>
      <c r="BN1626" s="89"/>
      <c r="BO1626" s="89"/>
      <c r="BP1626" s="89"/>
    </row>
    <row r="1627" spans="1:68" s="56" customFormat="1" ht="13.5" hidden="1">
      <c r="A1627" s="204">
        <f>+IFERROR(VALUE(MID(AB1627,4,4)),"")</f>
        <v>232</v>
      </c>
      <c r="B1627" s="204">
        <f>VALUE(RIGHT(C1627,LEN(C1627)-2))</f>
        <v>1098</v>
      </c>
      <c r="C1627" s="74" t="s">
        <v>5918</v>
      </c>
      <c r="D1627" s="75">
        <v>43838</v>
      </c>
      <c r="E1627" s="70" t="s">
        <v>2961</v>
      </c>
      <c r="F1627" s="70" t="s">
        <v>313</v>
      </c>
      <c r="G1627" s="68"/>
      <c r="H1627" s="59"/>
      <c r="I1627" s="69" t="s">
        <v>5919</v>
      </c>
      <c r="J1627" s="69"/>
      <c r="K1627" s="68" t="s">
        <v>25</v>
      </c>
      <c r="L1627" s="69" t="s">
        <v>120</v>
      </c>
      <c r="M1627" s="71" t="s">
        <v>141</v>
      </c>
      <c r="N1627" s="69" t="e" vm="1">
        <v>#VALUE!</v>
      </c>
      <c r="O1627" s="84">
        <v>43838</v>
      </c>
      <c r="P1627" s="72" t="s">
        <v>274</v>
      </c>
      <c r="Q1627" s="72" t="s">
        <v>623</v>
      </c>
      <c r="R1627" s="162"/>
      <c r="S1627" s="146"/>
      <c r="T1627" s="68" t="s">
        <v>3</v>
      </c>
      <c r="U1627" s="87"/>
      <c r="V1627" s="80">
        <v>43850</v>
      </c>
      <c r="W1627" s="73">
        <v>133</v>
      </c>
      <c r="X1627" s="73">
        <f>240*28300/1000000</f>
        <v>6.7919999999999998</v>
      </c>
      <c r="Y1627" s="83">
        <f>IF(SUM(W1627:W1627)&gt;0,X1627/SUM(W1627:W1627)*1000000,"N/A")</f>
        <v>51067.669172932328</v>
      </c>
      <c r="Z1627" s="80"/>
      <c r="AA1627" s="80"/>
      <c r="AB1627" s="73" t="s">
        <v>5891</v>
      </c>
      <c r="AC1627" s="153"/>
      <c r="AD1627" s="331"/>
      <c r="AE1627" s="57"/>
      <c r="AF1627" s="88"/>
      <c r="AG1627" s="182">
        <f>YEAR(D1627)</f>
        <v>2020</v>
      </c>
      <c r="AH1627" s="86" t="str">
        <f>+IF(AE1627=$AJ$22,MONTH(T1627),"")</f>
        <v/>
      </c>
      <c r="AI1627" s="86" t="str">
        <f>+IF(AF1627=$AJ$22,MONTH(U1627),"")</f>
        <v/>
      </c>
      <c r="AJ1627" s="86" t="str">
        <f>+IF(AG1627=$AJ$22,MONTH(V1627),"")</f>
        <v/>
      </c>
      <c r="AK1627" s="86" t="str">
        <f>+IF(AG1627=$AK$22,MONTH(V1627),"")</f>
        <v/>
      </c>
      <c r="AL1627" s="86" t="str">
        <f>+IF(AG1627=$AL$22,MONTH(V1627),"")</f>
        <v/>
      </c>
      <c r="AM1627" s="86" t="str">
        <f>+IF($AG1627=$AM$22,MONTH($D1627),"")</f>
        <v/>
      </c>
      <c r="AN1627" s="89">
        <f>+IF($AG1627=AN$22,MONTH($D1627),"")</f>
        <v>1</v>
      </c>
      <c r="AO1627" s="89" t="str">
        <f>+IF($AG1627=AO$22,MONTH($D1627),"")</f>
        <v/>
      </c>
      <c r="AP1627" s="89" t="str">
        <f>+IF($AG1627=AP$22,MONTH($D1627),"")</f>
        <v/>
      </c>
      <c r="AQ1627" s="89" t="str">
        <f>+IF($AG1627=AQ$22,MONTH($D1627),"")</f>
        <v/>
      </c>
      <c r="AR1627" s="89" t="str">
        <f>+IF($AG1627=AR$22,MONTH($D1627),"")</f>
        <v/>
      </c>
      <c r="AS1627" s="89" t="str">
        <f>+IF($AG1627=AS$22,MONTH($D1627),"")</f>
        <v/>
      </c>
      <c r="AT1627" s="89" t="str">
        <f>+IF($AG1627=AT$22,MONTH($D1627),"")</f>
        <v/>
      </c>
      <c r="AU1627" s="89" t="str">
        <f>+IF($AG1627=AU$22,MONTH($D1627),"")</f>
        <v/>
      </c>
      <c r="AV1627" s="89" t="str">
        <f>+IF($AG1627=AV$22,MONTH($D1627),"")</f>
        <v/>
      </c>
      <c r="AW1627" s="86"/>
      <c r="AX1627" s="86"/>
      <c r="AY1627" s="89"/>
      <c r="AZ1627" s="89"/>
      <c r="BA1627" s="89"/>
      <c r="BB1627" s="89"/>
      <c r="BC1627" s="89"/>
      <c r="BD1627" s="89"/>
      <c r="BE1627" s="89"/>
      <c r="BF1627" s="89"/>
      <c r="BG1627" s="89"/>
      <c r="BH1627" s="89"/>
      <c r="BI1627" s="89"/>
      <c r="BJ1627" s="89"/>
      <c r="BK1627" s="89"/>
      <c r="BL1627" s="89"/>
      <c r="BM1627" s="89"/>
      <c r="BN1627" s="89"/>
      <c r="BO1627" s="89"/>
      <c r="BP1627" s="89"/>
    </row>
    <row r="1628" spans="1:68" s="56" customFormat="1" ht="13.5" hidden="1">
      <c r="A1628" s="204" t="str">
        <f>+IFERROR(VALUE(MID(AB1628,4,4)),"")</f>
        <v/>
      </c>
      <c r="B1628" s="204">
        <f>VALUE(RIGHT(C1628,LEN(C1628)-2))</f>
        <v>1097</v>
      </c>
      <c r="C1628" s="74" t="s">
        <v>5920</v>
      </c>
      <c r="D1628" s="75">
        <v>43830</v>
      </c>
      <c r="E1628" s="70" t="s">
        <v>41</v>
      </c>
      <c r="F1628" s="70" t="s">
        <v>41</v>
      </c>
      <c r="G1628" s="68"/>
      <c r="H1628" s="59"/>
      <c r="I1628" s="69" t="s">
        <v>5921</v>
      </c>
      <c r="J1628" s="69"/>
      <c r="K1628" s="68" t="s">
        <v>30</v>
      </c>
      <c r="L1628" s="69" t="s">
        <v>129</v>
      </c>
      <c r="M1628" s="71" t="s">
        <v>141</v>
      </c>
      <c r="N1628" s="69" t="e" vm="1">
        <v>#VALUE!</v>
      </c>
      <c r="O1628" s="84">
        <v>43843</v>
      </c>
      <c r="P1628" s="72" t="s">
        <v>402</v>
      </c>
      <c r="Q1628" s="72"/>
      <c r="R1628" s="162"/>
      <c r="S1628" s="146"/>
      <c r="T1628" s="68" t="s">
        <v>165</v>
      </c>
      <c r="U1628" s="87"/>
      <c r="V1628" s="80">
        <v>43997</v>
      </c>
      <c r="W1628" s="73">
        <v>1110</v>
      </c>
      <c r="X1628" s="73">
        <f>1147*28300/1000000</f>
        <v>32.460099999999997</v>
      </c>
      <c r="Y1628" s="83">
        <f>IF(SUM(W1628:W1628)&gt;0,X1628/SUM(W1628:W1628)*1000000,"N/A")</f>
        <v>29243.333333333328</v>
      </c>
      <c r="Z1628" s="80"/>
      <c r="AA1628" s="80"/>
      <c r="AB1628" s="73"/>
      <c r="AC1628" s="153"/>
      <c r="AD1628" s="331"/>
      <c r="AE1628" s="57"/>
      <c r="AF1628" s="88"/>
      <c r="AG1628" s="182">
        <f>YEAR(D1628)</f>
        <v>2019</v>
      </c>
      <c r="AH1628" s="86" t="str">
        <f>+IF(AE1628=$AJ$22,MONTH(T1628),"")</f>
        <v/>
      </c>
      <c r="AI1628" s="86" t="str">
        <f>+IF(AF1628=$AJ$22,MONTH(U1628),"")</f>
        <v/>
      </c>
      <c r="AJ1628" s="86" t="str">
        <f>+IF(AG1628=$AJ$22,MONTH(V1628),"")</f>
        <v/>
      </c>
      <c r="AK1628" s="86" t="str">
        <f>+IF(AG1628=$AK$22,MONTH(V1628),"")</f>
        <v/>
      </c>
      <c r="AL1628" s="86" t="str">
        <f>+IF(AG1628=$AL$22,MONTH(V1628),"")</f>
        <v/>
      </c>
      <c r="AM1628" s="86" t="str">
        <f>+IF($AG1628=$AM$22,MONTH($D1628),"")</f>
        <v/>
      </c>
      <c r="AN1628" s="89" t="str">
        <f>+IF($AG1628=AN$22,MONTH($D1628),"")</f>
        <v/>
      </c>
      <c r="AO1628" s="89">
        <f>+IF($AG1628=AO$22,MONTH($D1628),"")</f>
        <v>12</v>
      </c>
      <c r="AP1628" s="89" t="str">
        <f>+IF($AG1628=AP$22,MONTH($D1628),"")</f>
        <v/>
      </c>
      <c r="AQ1628" s="89" t="str">
        <f>+IF($AG1628=AQ$22,MONTH($D1628),"")</f>
        <v/>
      </c>
      <c r="AR1628" s="89" t="str">
        <f>+IF($AG1628=AR$22,MONTH($D1628),"")</f>
        <v/>
      </c>
      <c r="AS1628" s="89" t="str">
        <f>+IF($AG1628=AS$22,MONTH($D1628),"")</f>
        <v/>
      </c>
      <c r="AT1628" s="89" t="str">
        <f>+IF($AG1628=AT$22,MONTH($D1628),"")</f>
        <v/>
      </c>
      <c r="AU1628" s="89" t="str">
        <f>+IF($AG1628=AU$22,MONTH($D1628),"")</f>
        <v/>
      </c>
      <c r="AV1628" s="89" t="str">
        <f>+IF($AG1628=AV$22,MONTH($D1628),"")</f>
        <v/>
      </c>
      <c r="AW1628" s="86"/>
      <c r="AX1628" s="86"/>
      <c r="AY1628" s="89"/>
      <c r="AZ1628" s="89"/>
      <c r="BA1628" s="89"/>
      <c r="BB1628" s="89"/>
      <c r="BC1628" s="89"/>
      <c r="BD1628" s="89"/>
      <c r="BE1628" s="89"/>
      <c r="BF1628" s="89"/>
      <c r="BG1628" s="89"/>
      <c r="BH1628" s="89"/>
      <c r="BI1628" s="89"/>
      <c r="BJ1628" s="89"/>
      <c r="BK1628" s="89"/>
      <c r="BL1628" s="89"/>
      <c r="BM1628" s="89"/>
      <c r="BN1628" s="89"/>
      <c r="BO1628" s="89"/>
      <c r="BP1628" s="89"/>
    </row>
    <row r="1629" spans="1:68" s="56" customFormat="1" ht="13.5" hidden="1">
      <c r="A1629" s="204" t="str">
        <f>+IFERROR(VALUE(MID(AB1629,4,4)),"")</f>
        <v/>
      </c>
      <c r="B1629" s="204">
        <f>VALUE(RIGHT(C1629,LEN(C1629)-2))</f>
        <v>1096</v>
      </c>
      <c r="C1629" s="74" t="s">
        <v>5922</v>
      </c>
      <c r="D1629" s="75">
        <v>43826</v>
      </c>
      <c r="E1629" s="70" t="s">
        <v>685</v>
      </c>
      <c r="F1629" s="70" t="s">
        <v>685</v>
      </c>
      <c r="G1629" s="68"/>
      <c r="H1629" s="59"/>
      <c r="I1629" s="69" t="s">
        <v>5923</v>
      </c>
      <c r="J1629" s="69"/>
      <c r="K1629" s="68" t="s">
        <v>9</v>
      </c>
      <c r="L1629" s="69" t="s">
        <v>120</v>
      </c>
      <c r="M1629" s="71" t="s">
        <v>141</v>
      </c>
      <c r="N1629" s="69" t="e" vm="1">
        <v>#VALUE!</v>
      </c>
      <c r="O1629" s="84">
        <v>43847</v>
      </c>
      <c r="P1629" s="72" t="s">
        <v>4567</v>
      </c>
      <c r="Q1629" s="72"/>
      <c r="R1629" s="162"/>
      <c r="S1629" s="146"/>
      <c r="T1629" s="68" t="s">
        <v>165</v>
      </c>
      <c r="U1629" s="87"/>
      <c r="V1629" s="80">
        <v>43997</v>
      </c>
      <c r="W1629" s="73">
        <v>3246</v>
      </c>
      <c r="X1629" s="73">
        <f>5998*28300/1000000</f>
        <v>169.74340000000001</v>
      </c>
      <c r="Y1629" s="83">
        <f>IF(SUM(W1629:W1629)&gt;0,X1629/SUM(W1629:W1629)*1000000,"N/A")</f>
        <v>52293.099199014177</v>
      </c>
      <c r="Z1629" s="80"/>
      <c r="AA1629" s="80"/>
      <c r="AB1629" s="73"/>
      <c r="AC1629" s="153"/>
      <c r="AD1629" s="331"/>
      <c r="AE1629" s="57"/>
      <c r="AF1629" s="88"/>
      <c r="AG1629" s="182">
        <f>YEAR(D1629)</f>
        <v>2019</v>
      </c>
      <c r="AH1629" s="86" t="str">
        <f>+IF(AE1629=$AJ$22,MONTH(T1629),"")</f>
        <v/>
      </c>
      <c r="AI1629" s="86" t="str">
        <f>+IF(AF1629=$AJ$22,MONTH(U1629),"")</f>
        <v/>
      </c>
      <c r="AJ1629" s="86" t="str">
        <f>+IF(AG1629=$AJ$22,MONTH(V1629),"")</f>
        <v/>
      </c>
      <c r="AK1629" s="86" t="str">
        <f>+IF(AG1629=$AK$22,MONTH(V1629),"")</f>
        <v/>
      </c>
      <c r="AL1629" s="86" t="str">
        <f>+IF(AG1629=$AL$22,MONTH(V1629),"")</f>
        <v/>
      </c>
      <c r="AM1629" s="86" t="str">
        <f>+IF($AG1629=$AM$22,MONTH($D1629),"")</f>
        <v/>
      </c>
      <c r="AN1629" s="89" t="str">
        <f>+IF($AG1629=AN$22,MONTH($D1629),"")</f>
        <v/>
      </c>
      <c r="AO1629" s="89">
        <f>+IF($AG1629=AO$22,MONTH($D1629),"")</f>
        <v>12</v>
      </c>
      <c r="AP1629" s="89" t="str">
        <f>+IF($AG1629=AP$22,MONTH($D1629),"")</f>
        <v/>
      </c>
      <c r="AQ1629" s="89" t="str">
        <f>+IF($AG1629=AQ$22,MONTH($D1629),"")</f>
        <v/>
      </c>
      <c r="AR1629" s="89" t="str">
        <f>+IF($AG1629=AR$22,MONTH($D1629),"")</f>
        <v/>
      </c>
      <c r="AS1629" s="89" t="str">
        <f>+IF($AG1629=AS$22,MONTH($D1629),"")</f>
        <v/>
      </c>
      <c r="AT1629" s="89" t="str">
        <f>+IF($AG1629=AT$22,MONTH($D1629),"")</f>
        <v/>
      </c>
      <c r="AU1629" s="89" t="str">
        <f>+IF($AG1629=AU$22,MONTH($D1629),"")</f>
        <v/>
      </c>
      <c r="AV1629" s="89" t="str">
        <f>+IF($AG1629=AV$22,MONTH($D1629),"")</f>
        <v/>
      </c>
      <c r="AW1629" s="86"/>
      <c r="AX1629" s="86"/>
      <c r="AY1629" s="89"/>
      <c r="AZ1629" s="89"/>
      <c r="BA1629" s="89"/>
      <c r="BB1629" s="89"/>
      <c r="BC1629" s="89"/>
      <c r="BD1629" s="89"/>
      <c r="BE1629" s="89"/>
      <c r="BF1629" s="89"/>
      <c r="BG1629" s="89"/>
      <c r="BH1629" s="89"/>
      <c r="BI1629" s="89"/>
      <c r="BJ1629" s="89"/>
      <c r="BK1629" s="89"/>
      <c r="BL1629" s="89"/>
      <c r="BM1629" s="89"/>
      <c r="BN1629" s="89"/>
      <c r="BO1629" s="89"/>
      <c r="BP1629" s="89"/>
    </row>
    <row r="1630" spans="1:68" s="56" customFormat="1" ht="40.5" hidden="1">
      <c r="A1630" s="204" t="str">
        <f>+IFERROR(VALUE(MID(AB1630,4,4)),"")</f>
        <v/>
      </c>
      <c r="B1630" s="204">
        <f>VALUE(RIGHT(C1630,LEN(C1630)-2))</f>
        <v>1095</v>
      </c>
      <c r="C1630" s="74" t="s">
        <v>5924</v>
      </c>
      <c r="D1630" s="75">
        <v>44183</v>
      </c>
      <c r="E1630" s="70" t="s">
        <v>394</v>
      </c>
      <c r="F1630" s="70" t="s">
        <v>394</v>
      </c>
      <c r="G1630" s="68"/>
      <c r="H1630" s="59"/>
      <c r="I1630" s="69" t="s">
        <v>5925</v>
      </c>
      <c r="J1630" s="69"/>
      <c r="K1630" s="68" t="s">
        <v>13</v>
      </c>
      <c r="L1630" s="69" t="s">
        <v>123</v>
      </c>
      <c r="M1630" s="71" t="s">
        <v>141</v>
      </c>
      <c r="N1630" s="69" t="e" vm="1">
        <v>#VALUE!</v>
      </c>
      <c r="O1630" s="84">
        <v>43823</v>
      </c>
      <c r="P1630" s="72" t="s">
        <v>402</v>
      </c>
      <c r="Q1630" s="72"/>
      <c r="R1630" s="162"/>
      <c r="S1630" s="146" t="s">
        <v>5917</v>
      </c>
      <c r="T1630" s="68" t="s">
        <v>165</v>
      </c>
      <c r="U1630" s="87"/>
      <c r="V1630" s="80">
        <v>43850</v>
      </c>
      <c r="W1630" s="73">
        <v>1849</v>
      </c>
      <c r="X1630" s="73">
        <f>58.714</f>
        <v>58.713999999999999</v>
      </c>
      <c r="Y1630" s="83">
        <f>IF(SUM(W1630:W1630)&gt;0,X1630/SUM(W1630:W1630)*1000000,"N/A")</f>
        <v>31754.461871281772</v>
      </c>
      <c r="Z1630" s="80"/>
      <c r="AA1630" s="80"/>
      <c r="AB1630" s="73"/>
      <c r="AC1630" s="153"/>
      <c r="AD1630" s="331"/>
      <c r="AE1630" s="57"/>
      <c r="AF1630" s="88"/>
      <c r="AG1630" s="182">
        <f>YEAR(D1630)</f>
        <v>2020</v>
      </c>
      <c r="AH1630" s="86" t="str">
        <f>+IF(AE1630=$AJ$22,MONTH(T1630),"")</f>
        <v/>
      </c>
      <c r="AI1630" s="86" t="str">
        <f>+IF(AF1630=$AJ$22,MONTH(U1630),"")</f>
        <v/>
      </c>
      <c r="AJ1630" s="86" t="str">
        <f>+IF(AG1630=$AJ$22,MONTH(V1630),"")</f>
        <v/>
      </c>
      <c r="AK1630" s="86" t="str">
        <f>+IF(AG1630=$AK$22,MONTH(V1630),"")</f>
        <v/>
      </c>
      <c r="AL1630" s="86" t="str">
        <f>+IF(AG1630=$AL$22,MONTH(V1630),"")</f>
        <v/>
      </c>
      <c r="AM1630" s="86" t="str">
        <f>+IF($AG1630=$AM$22,MONTH($D1630),"")</f>
        <v/>
      </c>
      <c r="AN1630" s="89">
        <f>+IF($AG1630=AN$22,MONTH($D1630),"")</f>
        <v>12</v>
      </c>
      <c r="AO1630" s="89" t="str">
        <f>+IF($AG1630=AO$22,MONTH($D1630),"")</f>
        <v/>
      </c>
      <c r="AP1630" s="89" t="str">
        <f>+IF($AG1630=AP$22,MONTH($D1630),"")</f>
        <v/>
      </c>
      <c r="AQ1630" s="89" t="str">
        <f>+IF($AG1630=AQ$22,MONTH($D1630),"")</f>
        <v/>
      </c>
      <c r="AR1630" s="89" t="str">
        <f>+IF($AG1630=AR$22,MONTH($D1630),"")</f>
        <v/>
      </c>
      <c r="AS1630" s="89" t="str">
        <f>+IF($AG1630=AS$22,MONTH($D1630),"")</f>
        <v/>
      </c>
      <c r="AT1630" s="89" t="str">
        <f>+IF($AG1630=AT$22,MONTH($D1630),"")</f>
        <v/>
      </c>
      <c r="AU1630" s="89" t="str">
        <f>+IF($AG1630=AU$22,MONTH($D1630),"")</f>
        <v/>
      </c>
      <c r="AV1630" s="89" t="str">
        <f>+IF($AG1630=AV$22,MONTH($D1630),"")</f>
        <v/>
      </c>
      <c r="AW1630" s="86"/>
      <c r="AX1630" s="86"/>
      <c r="AY1630" s="89"/>
      <c r="AZ1630" s="89"/>
      <c r="BA1630" s="89"/>
      <c r="BB1630" s="89"/>
      <c r="BC1630" s="89"/>
      <c r="BD1630" s="89"/>
      <c r="BE1630" s="89"/>
      <c r="BF1630" s="89"/>
      <c r="BG1630" s="89"/>
      <c r="BH1630" s="89"/>
      <c r="BI1630" s="89"/>
      <c r="BJ1630" s="89"/>
      <c r="BK1630" s="89"/>
      <c r="BL1630" s="89"/>
      <c r="BM1630" s="89"/>
      <c r="BN1630" s="89"/>
      <c r="BO1630" s="89"/>
      <c r="BP1630" s="89"/>
    </row>
    <row r="1631" spans="1:68" s="56" customFormat="1" ht="27" hidden="1">
      <c r="A1631" s="204">
        <f>+IFERROR(VALUE(MID(AB1631,4,4)),"")</f>
        <v>219</v>
      </c>
      <c r="B1631" s="204">
        <f>VALUE(RIGHT(C1631,LEN(C1631)-2))</f>
        <v>1094</v>
      </c>
      <c r="C1631" s="74" t="s">
        <v>5926</v>
      </c>
      <c r="D1631" s="75">
        <v>43817</v>
      </c>
      <c r="E1631" s="70" t="s">
        <v>41</v>
      </c>
      <c r="F1631" s="70" t="s">
        <v>41</v>
      </c>
      <c r="G1631" s="68"/>
      <c r="H1631" s="59"/>
      <c r="I1631" s="69" t="s">
        <v>5927</v>
      </c>
      <c r="J1631" s="69"/>
      <c r="K1631" s="68" t="s">
        <v>30</v>
      </c>
      <c r="L1631" s="69" t="s">
        <v>129</v>
      </c>
      <c r="M1631" s="71" t="s">
        <v>141</v>
      </c>
      <c r="N1631" s="69" t="e" vm="1">
        <v>#VALUE!</v>
      </c>
      <c r="O1631" s="84">
        <v>43822</v>
      </c>
      <c r="P1631" s="72" t="s">
        <v>402</v>
      </c>
      <c r="Q1631" s="72" t="s">
        <v>229</v>
      </c>
      <c r="R1631" s="162"/>
      <c r="S1631" s="146"/>
      <c r="T1631" s="68" t="s">
        <v>3</v>
      </c>
      <c r="U1631" s="87"/>
      <c r="V1631" s="80">
        <v>43850</v>
      </c>
      <c r="W1631" s="73">
        <v>258</v>
      </c>
      <c r="X1631" s="73">
        <f>348*28300/1000000</f>
        <v>9.8483999999999998</v>
      </c>
      <c r="Y1631" s="83">
        <f>IF(SUM(W1631:W1631)&gt;0,X1631/SUM(W1631:W1631)*1000000,"N/A")</f>
        <v>38172.093023255809</v>
      </c>
      <c r="Z1631" s="80"/>
      <c r="AA1631" s="80"/>
      <c r="AB1631" s="73" t="s">
        <v>5928</v>
      </c>
      <c r="AC1631" s="153"/>
      <c r="AD1631" s="331"/>
      <c r="AE1631" s="57"/>
      <c r="AF1631" s="88"/>
      <c r="AG1631" s="182">
        <f>YEAR(D1631)</f>
        <v>2019</v>
      </c>
      <c r="AH1631" s="86" t="str">
        <f>+IF(AE1631=$AJ$22,MONTH(T1631),"")</f>
        <v/>
      </c>
      <c r="AI1631" s="86" t="str">
        <f>+IF(AF1631=$AJ$22,MONTH(U1631),"")</f>
        <v/>
      </c>
      <c r="AJ1631" s="86" t="str">
        <f>+IF(AG1631=$AJ$22,MONTH(V1631),"")</f>
        <v/>
      </c>
      <c r="AK1631" s="86" t="str">
        <f>+IF(AG1631=$AK$22,MONTH(V1631),"")</f>
        <v/>
      </c>
      <c r="AL1631" s="86" t="str">
        <f>+IF(AG1631=$AL$22,MONTH(V1631),"")</f>
        <v/>
      </c>
      <c r="AM1631" s="86" t="str">
        <f>+IF($AG1631=$AM$22,MONTH($D1631),"")</f>
        <v/>
      </c>
      <c r="AN1631" s="89" t="str">
        <f>+IF($AG1631=AN$22,MONTH($D1631),"")</f>
        <v/>
      </c>
      <c r="AO1631" s="89">
        <f>+IF($AG1631=AO$22,MONTH($D1631),"")</f>
        <v>12</v>
      </c>
      <c r="AP1631" s="89" t="str">
        <f>+IF($AG1631=AP$22,MONTH($D1631),"")</f>
        <v/>
      </c>
      <c r="AQ1631" s="89" t="str">
        <f>+IF($AG1631=AQ$22,MONTH($D1631),"")</f>
        <v/>
      </c>
      <c r="AR1631" s="89" t="str">
        <f>+IF($AG1631=AR$22,MONTH($D1631),"")</f>
        <v/>
      </c>
      <c r="AS1631" s="89" t="str">
        <f>+IF($AG1631=AS$22,MONTH($D1631),"")</f>
        <v/>
      </c>
      <c r="AT1631" s="89" t="str">
        <f>+IF($AG1631=AT$22,MONTH($D1631),"")</f>
        <v/>
      </c>
      <c r="AU1631" s="89" t="str">
        <f>+IF($AG1631=AU$22,MONTH($D1631),"")</f>
        <v/>
      </c>
      <c r="AV1631" s="89" t="str">
        <f>+IF($AG1631=AV$22,MONTH($D1631),"")</f>
        <v/>
      </c>
      <c r="AW1631" s="86"/>
      <c r="AX1631" s="86"/>
      <c r="AY1631" s="89"/>
      <c r="AZ1631" s="89"/>
      <c r="BA1631" s="89"/>
      <c r="BB1631" s="89"/>
      <c r="BC1631" s="89"/>
      <c r="BD1631" s="89"/>
      <c r="BE1631" s="89"/>
      <c r="BF1631" s="89"/>
      <c r="BG1631" s="89"/>
      <c r="BH1631" s="89"/>
      <c r="BI1631" s="89"/>
      <c r="BJ1631" s="89"/>
      <c r="BK1631" s="89"/>
      <c r="BL1631" s="89"/>
      <c r="BM1631" s="89"/>
      <c r="BN1631" s="89"/>
      <c r="BO1631" s="89"/>
      <c r="BP1631" s="89"/>
    </row>
    <row r="1632" spans="1:68" s="56" customFormat="1" ht="27" hidden="1">
      <c r="A1632" s="204" t="str">
        <f>+IFERROR(VALUE(MID(AB1632,4,4)),"")</f>
        <v/>
      </c>
      <c r="B1632" s="204">
        <f>VALUE(RIGHT(C1632,LEN(C1632)-2))</f>
        <v>1093</v>
      </c>
      <c r="C1632" s="74" t="s">
        <v>5929</v>
      </c>
      <c r="D1632" s="75">
        <v>43808</v>
      </c>
      <c r="E1632" s="70" t="s">
        <v>262</v>
      </c>
      <c r="F1632" s="70" t="s">
        <v>262</v>
      </c>
      <c r="G1632" s="68"/>
      <c r="H1632" s="59"/>
      <c r="I1632" s="69" t="s">
        <v>5930</v>
      </c>
      <c r="J1632" s="69"/>
      <c r="K1632" s="68" t="s">
        <v>31</v>
      </c>
      <c r="L1632" s="69" t="s">
        <v>120</v>
      </c>
      <c r="M1632" s="71" t="s">
        <v>141</v>
      </c>
      <c r="N1632" s="69" t="e" vm="1">
        <v>#VALUE!</v>
      </c>
      <c r="O1632" s="84">
        <v>43810</v>
      </c>
      <c r="P1632" s="72" t="s">
        <v>402</v>
      </c>
      <c r="Q1632" s="72"/>
      <c r="R1632" s="162"/>
      <c r="S1632" s="146" t="s">
        <v>5931</v>
      </c>
      <c r="T1632" s="68" t="s">
        <v>165</v>
      </c>
      <c r="U1632" s="87"/>
      <c r="V1632" s="80">
        <v>43997</v>
      </c>
      <c r="W1632" s="73">
        <v>1462</v>
      </c>
      <c r="X1632" s="73">
        <f>2425*28292.61/1000000</f>
        <v>68.609579249999996</v>
      </c>
      <c r="Y1632" s="83">
        <f>IF(SUM(W1632:W1632)&gt;0,X1632/SUM(W1632:W1632)*1000000,"N/A")</f>
        <v>46928.576778385774</v>
      </c>
      <c r="Z1632" s="80"/>
      <c r="AA1632" s="80"/>
      <c r="AB1632" s="73"/>
      <c r="AC1632" s="153"/>
      <c r="AD1632" s="331"/>
      <c r="AE1632" s="57"/>
      <c r="AF1632" s="88"/>
      <c r="AG1632" s="182">
        <f>YEAR(D1632)</f>
        <v>2019</v>
      </c>
      <c r="AH1632" s="86" t="str">
        <f>+IF(AE1632=$AJ$22,MONTH(T1632),"")</f>
        <v/>
      </c>
      <c r="AI1632" s="86" t="str">
        <f>+IF(AF1632=$AJ$22,MONTH(U1632),"")</f>
        <v/>
      </c>
      <c r="AJ1632" s="86" t="str">
        <f>+IF(AG1632=$AJ$22,MONTH(V1632),"")</f>
        <v/>
      </c>
      <c r="AK1632" s="86" t="str">
        <f>+IF(AG1632=$AK$22,MONTH(V1632),"")</f>
        <v/>
      </c>
      <c r="AL1632" s="86" t="str">
        <f>+IF(AG1632=$AL$22,MONTH(V1632),"")</f>
        <v/>
      </c>
      <c r="AM1632" s="86" t="str">
        <f>+IF($AG1632=$AM$22,MONTH($D1632),"")</f>
        <v/>
      </c>
      <c r="AN1632" s="89" t="str">
        <f>+IF($AG1632=AN$22,MONTH($D1632),"")</f>
        <v/>
      </c>
      <c r="AO1632" s="89">
        <f>+IF($AG1632=AO$22,MONTH($D1632),"")</f>
        <v>12</v>
      </c>
      <c r="AP1632" s="89" t="str">
        <f>+IF($AG1632=AP$22,MONTH($D1632),"")</f>
        <v/>
      </c>
      <c r="AQ1632" s="89" t="str">
        <f>+IF($AG1632=AQ$22,MONTH($D1632),"")</f>
        <v/>
      </c>
      <c r="AR1632" s="89" t="str">
        <f>+IF($AG1632=AR$22,MONTH($D1632),"")</f>
        <v/>
      </c>
      <c r="AS1632" s="89" t="str">
        <f>+IF($AG1632=AS$22,MONTH($D1632),"")</f>
        <v/>
      </c>
      <c r="AT1632" s="89" t="str">
        <f>+IF($AG1632=AT$22,MONTH($D1632),"")</f>
        <v/>
      </c>
      <c r="AU1632" s="89" t="str">
        <f>+IF($AG1632=AU$22,MONTH($D1632),"")</f>
        <v/>
      </c>
      <c r="AV1632" s="89" t="str">
        <f>+IF($AG1632=AV$22,MONTH($D1632),"")</f>
        <v/>
      </c>
      <c r="AW1632" s="86"/>
      <c r="AX1632" s="86"/>
      <c r="AY1632" s="89"/>
      <c r="AZ1632" s="89"/>
      <c r="BA1632" s="89"/>
      <c r="BB1632" s="89"/>
      <c r="BC1632" s="89"/>
      <c r="BD1632" s="89"/>
      <c r="BE1632" s="89"/>
      <c r="BF1632" s="89"/>
      <c r="BG1632" s="89"/>
      <c r="BH1632" s="89"/>
      <c r="BI1632" s="89"/>
      <c r="BJ1632" s="89"/>
      <c r="BK1632" s="89"/>
      <c r="BL1632" s="89"/>
      <c r="BM1632" s="89"/>
      <c r="BN1632" s="89"/>
      <c r="BO1632" s="89"/>
      <c r="BP1632" s="89"/>
    </row>
    <row r="1633" spans="1:68" s="56" customFormat="1" ht="13.5" hidden="1">
      <c r="A1633" s="204" t="str">
        <f>+IFERROR(VALUE(MID(AB1633,4,4)),"")</f>
        <v/>
      </c>
      <c r="B1633" s="204">
        <f>VALUE(RIGHT(C1633,LEN(C1633)-2))</f>
        <v>1092</v>
      </c>
      <c r="C1633" s="74" t="s">
        <v>5932</v>
      </c>
      <c r="D1633" s="75">
        <v>43804</v>
      </c>
      <c r="E1633" s="70" t="s">
        <v>67</v>
      </c>
      <c r="F1633" s="70" t="s">
        <v>67</v>
      </c>
      <c r="G1633" s="68"/>
      <c r="H1633" s="59"/>
      <c r="I1633" s="69" t="s">
        <v>5933</v>
      </c>
      <c r="J1633" s="69"/>
      <c r="K1633" s="68" t="s">
        <v>13</v>
      </c>
      <c r="L1633" s="69" t="s">
        <v>123</v>
      </c>
      <c r="M1633" s="71" t="s">
        <v>141</v>
      </c>
      <c r="N1633" s="69" t="e" vm="1">
        <v>#VALUE!</v>
      </c>
      <c r="O1633" s="84">
        <v>43822</v>
      </c>
      <c r="P1633" s="72" t="s">
        <v>4567</v>
      </c>
      <c r="Q1633" s="72"/>
      <c r="R1633" s="162"/>
      <c r="S1633" s="146"/>
      <c r="T1633" s="68" t="s">
        <v>165</v>
      </c>
      <c r="U1633" s="87"/>
      <c r="V1633" s="80">
        <v>43811</v>
      </c>
      <c r="W1633" s="73">
        <v>23303</v>
      </c>
      <c r="X1633" s="73">
        <f>36673*28300/1000000</f>
        <v>1037.8459</v>
      </c>
      <c r="Y1633" s="83">
        <f>IF(SUM(W1633:W1633)&gt;0,X1633/SUM(W1633:W1633)*1000000,"N/A")</f>
        <v>44537.008110543706</v>
      </c>
      <c r="Z1633" s="80"/>
      <c r="AA1633" s="80"/>
      <c r="AB1633" s="73"/>
      <c r="AC1633" s="153"/>
      <c r="AD1633" s="331"/>
      <c r="AE1633" s="57"/>
      <c r="AF1633" s="88"/>
      <c r="AG1633" s="182">
        <f>YEAR(D1633)</f>
        <v>2019</v>
      </c>
      <c r="AH1633" s="86" t="str">
        <f>+IF(AE1633=$AJ$22,MONTH(T1633),"")</f>
        <v/>
      </c>
      <c r="AI1633" s="86" t="str">
        <f>+IF(AF1633=$AJ$22,MONTH(U1633),"")</f>
        <v/>
      </c>
      <c r="AJ1633" s="86" t="str">
        <f>+IF(AG1633=$AJ$22,MONTH(V1633),"")</f>
        <v/>
      </c>
      <c r="AK1633" s="86" t="str">
        <f>+IF(AG1633=$AK$22,MONTH(V1633),"")</f>
        <v/>
      </c>
      <c r="AL1633" s="86" t="str">
        <f>+IF(AG1633=$AL$22,MONTH(V1633),"")</f>
        <v/>
      </c>
      <c r="AM1633" s="86" t="str">
        <f>+IF($AG1633=$AM$22,MONTH($D1633),"")</f>
        <v/>
      </c>
      <c r="AN1633" s="89" t="str">
        <f>+IF($AG1633=AN$22,MONTH($D1633),"")</f>
        <v/>
      </c>
      <c r="AO1633" s="89">
        <f>+IF($AG1633=AO$22,MONTH($D1633),"")</f>
        <v>12</v>
      </c>
      <c r="AP1633" s="89" t="str">
        <f>+IF($AG1633=AP$22,MONTH($D1633),"")</f>
        <v/>
      </c>
      <c r="AQ1633" s="89" t="str">
        <f>+IF($AG1633=AQ$22,MONTH($D1633),"")</f>
        <v/>
      </c>
      <c r="AR1633" s="89" t="str">
        <f>+IF($AG1633=AR$22,MONTH($D1633),"")</f>
        <v/>
      </c>
      <c r="AS1633" s="89" t="str">
        <f>+IF($AG1633=AS$22,MONTH($D1633),"")</f>
        <v/>
      </c>
      <c r="AT1633" s="89" t="str">
        <f>+IF($AG1633=AT$22,MONTH($D1633),"")</f>
        <v/>
      </c>
      <c r="AU1633" s="89" t="str">
        <f>+IF($AG1633=AU$22,MONTH($D1633),"")</f>
        <v/>
      </c>
      <c r="AV1633" s="89" t="str">
        <f>+IF($AG1633=AV$22,MONTH($D1633),"")</f>
        <v/>
      </c>
      <c r="AW1633" s="86"/>
      <c r="AX1633" s="86"/>
      <c r="AY1633" s="89"/>
      <c r="AZ1633" s="89"/>
      <c r="BA1633" s="89"/>
      <c r="BB1633" s="89"/>
      <c r="BC1633" s="89"/>
      <c r="BD1633" s="89"/>
      <c r="BE1633" s="89"/>
      <c r="BF1633" s="89"/>
      <c r="BG1633" s="89"/>
      <c r="BH1633" s="89"/>
      <c r="BI1633" s="89"/>
      <c r="BJ1633" s="89"/>
      <c r="BK1633" s="89"/>
      <c r="BL1633" s="89"/>
      <c r="BM1633" s="89"/>
      <c r="BN1633" s="89"/>
      <c r="BO1633" s="89"/>
      <c r="BP1633" s="89"/>
    </row>
    <row r="1634" spans="1:68" s="56" customFormat="1" ht="13.5" hidden="1">
      <c r="A1634" s="204">
        <f>+IFERROR(VALUE(MID(AB1634,4,4)),"")</f>
        <v>231</v>
      </c>
      <c r="B1634" s="204">
        <f>VALUE(RIGHT(C1634,LEN(C1634)-2))</f>
        <v>1091</v>
      </c>
      <c r="C1634" s="74" t="s">
        <v>5934</v>
      </c>
      <c r="D1634" s="75">
        <v>43803</v>
      </c>
      <c r="E1634" s="70" t="s">
        <v>685</v>
      </c>
      <c r="F1634" s="70" t="s">
        <v>685</v>
      </c>
      <c r="G1634" s="68"/>
      <c r="H1634" s="59"/>
      <c r="I1634" s="69" t="s">
        <v>5935</v>
      </c>
      <c r="J1634" s="69"/>
      <c r="K1634" s="68" t="s">
        <v>11</v>
      </c>
      <c r="L1634" s="69" t="s">
        <v>120</v>
      </c>
      <c r="M1634" s="71" t="s">
        <v>141</v>
      </c>
      <c r="N1634" s="69" t="e" vm="1">
        <v>#VALUE!</v>
      </c>
      <c r="O1634" s="84">
        <v>43804</v>
      </c>
      <c r="P1634" s="72" t="s">
        <v>402</v>
      </c>
      <c r="Q1634" s="72" t="s">
        <v>1097</v>
      </c>
      <c r="R1634" s="162"/>
      <c r="S1634" s="146" t="s">
        <v>5936</v>
      </c>
      <c r="T1634" s="68" t="s">
        <v>3</v>
      </c>
      <c r="U1634" s="87"/>
      <c r="V1634" s="80">
        <v>43811</v>
      </c>
      <c r="W1634" s="73">
        <v>247</v>
      </c>
      <c r="X1634" s="73">
        <f>9967422/1000000</f>
        <v>9.9674219999999991</v>
      </c>
      <c r="Y1634" s="83">
        <f>IF(SUM(W1634:W1634)&gt;0,X1634/SUM(W1634:W1634)*1000000,"N/A")</f>
        <v>40353.935222672058</v>
      </c>
      <c r="Z1634" s="80"/>
      <c r="AA1634" s="80"/>
      <c r="AB1634" s="73" t="s">
        <v>5937</v>
      </c>
      <c r="AC1634" s="153"/>
      <c r="AD1634" s="331"/>
      <c r="AE1634" s="57"/>
      <c r="AF1634" s="88"/>
      <c r="AG1634" s="182">
        <f>YEAR(D1634)</f>
        <v>2019</v>
      </c>
      <c r="AH1634" s="86" t="str">
        <f>+IF(AE1634=$AJ$22,MONTH(T1634),"")</f>
        <v/>
      </c>
      <c r="AI1634" s="86" t="str">
        <f>+IF(AF1634=$AJ$22,MONTH(U1634),"")</f>
        <v/>
      </c>
      <c r="AJ1634" s="86" t="str">
        <f>+IF(AG1634=$AJ$22,MONTH(V1634),"")</f>
        <v/>
      </c>
      <c r="AK1634" s="86" t="str">
        <f>+IF(AG1634=$AK$22,MONTH(V1634),"")</f>
        <v/>
      </c>
      <c r="AL1634" s="86" t="str">
        <f>+IF(AG1634=$AL$22,MONTH(V1634),"")</f>
        <v/>
      </c>
      <c r="AM1634" s="86" t="str">
        <f>+IF($AG1634=$AM$22,MONTH($D1634),"")</f>
        <v/>
      </c>
      <c r="AN1634" s="89" t="str">
        <f>+IF($AG1634=AN$22,MONTH($D1634),"")</f>
        <v/>
      </c>
      <c r="AO1634" s="89">
        <f>+IF($AG1634=AO$22,MONTH($D1634),"")</f>
        <v>12</v>
      </c>
      <c r="AP1634" s="89" t="str">
        <f>+IF($AG1634=AP$22,MONTH($D1634),"")</f>
        <v/>
      </c>
      <c r="AQ1634" s="89" t="str">
        <f>+IF($AG1634=AQ$22,MONTH($D1634),"")</f>
        <v/>
      </c>
      <c r="AR1634" s="89" t="str">
        <f>+IF($AG1634=AR$22,MONTH($D1634),"")</f>
        <v/>
      </c>
      <c r="AS1634" s="89" t="str">
        <f>+IF($AG1634=AS$22,MONTH($D1634),"")</f>
        <v/>
      </c>
      <c r="AT1634" s="89" t="str">
        <f>+IF($AG1634=AT$22,MONTH($D1634),"")</f>
        <v/>
      </c>
      <c r="AU1634" s="89" t="str">
        <f>+IF($AG1634=AU$22,MONTH($D1634),"")</f>
        <v/>
      </c>
      <c r="AV1634" s="89" t="str">
        <f>+IF($AG1634=AV$22,MONTH($D1634),"")</f>
        <v/>
      </c>
      <c r="AW1634" s="86"/>
      <c r="AX1634" s="86"/>
      <c r="AY1634" s="89"/>
      <c r="AZ1634" s="89"/>
      <c r="BA1634" s="89"/>
      <c r="BB1634" s="89"/>
      <c r="BC1634" s="89"/>
      <c r="BD1634" s="89"/>
      <c r="BE1634" s="89"/>
      <c r="BF1634" s="89"/>
      <c r="BG1634" s="89"/>
      <c r="BH1634" s="89"/>
      <c r="BI1634" s="89"/>
      <c r="BJ1634" s="89"/>
      <c r="BK1634" s="89"/>
      <c r="BL1634" s="89"/>
      <c r="BM1634" s="89"/>
      <c r="BN1634" s="89"/>
      <c r="BO1634" s="89"/>
      <c r="BP1634" s="89"/>
    </row>
    <row r="1635" spans="1:68" s="56" customFormat="1" ht="27" hidden="1">
      <c r="A1635" s="204">
        <f>+IFERROR(VALUE(MID(AB1635,4,4)),"")</f>
        <v>238</v>
      </c>
      <c r="B1635" s="204">
        <f>VALUE(RIGHT(C1635,LEN(C1635)-2))</f>
        <v>1090</v>
      </c>
      <c r="C1635" s="74" t="s">
        <v>5938</v>
      </c>
      <c r="D1635" s="75">
        <v>43802</v>
      </c>
      <c r="E1635" s="70" t="s">
        <v>262</v>
      </c>
      <c r="F1635" s="70" t="s">
        <v>270</v>
      </c>
      <c r="G1635" s="68"/>
      <c r="H1635" s="59"/>
      <c r="I1635" s="69" t="s">
        <v>5939</v>
      </c>
      <c r="J1635" s="69"/>
      <c r="K1635" s="68" t="s">
        <v>31</v>
      </c>
      <c r="L1635" s="69" t="s">
        <v>120</v>
      </c>
      <c r="M1635" s="71" t="s">
        <v>141</v>
      </c>
      <c r="N1635" s="69" t="e" vm="1">
        <v>#VALUE!</v>
      </c>
      <c r="O1635" s="84">
        <v>43803</v>
      </c>
      <c r="P1635" s="72" t="s">
        <v>274</v>
      </c>
      <c r="Q1635" s="72" t="s">
        <v>275</v>
      </c>
      <c r="R1635" s="162"/>
      <c r="S1635" s="146"/>
      <c r="T1635" s="68" t="s">
        <v>3</v>
      </c>
      <c r="U1635" s="87"/>
      <c r="V1635" s="80">
        <v>43811</v>
      </c>
      <c r="W1635" s="73">
        <v>399</v>
      </c>
      <c r="X1635" s="73">
        <f>20461684/1000000</f>
        <v>20.461684000000002</v>
      </c>
      <c r="Y1635" s="83">
        <f>IF(SUM(W1635:W1635)&gt;0,X1635/SUM(W1635:W1635)*1000000,"N/A")</f>
        <v>51282.416040100252</v>
      </c>
      <c r="Z1635" s="80"/>
      <c r="AA1635" s="80"/>
      <c r="AB1635" s="73" t="s">
        <v>5940</v>
      </c>
      <c r="AC1635" s="153"/>
      <c r="AD1635" s="331"/>
      <c r="AE1635" s="57"/>
      <c r="AF1635" s="88"/>
      <c r="AG1635" s="182">
        <f>YEAR(D1635)</f>
        <v>2019</v>
      </c>
      <c r="AH1635" s="86" t="str">
        <f>+IF(AE1635=$AJ$22,MONTH(T1635),"")</f>
        <v/>
      </c>
      <c r="AI1635" s="86" t="str">
        <f>+IF(AF1635=$AJ$22,MONTH(U1635),"")</f>
        <v/>
      </c>
      <c r="AJ1635" s="86" t="str">
        <f>+IF(AG1635=$AJ$22,MONTH(V1635),"")</f>
        <v/>
      </c>
      <c r="AK1635" s="86" t="str">
        <f>+IF(AG1635=$AK$22,MONTH(V1635),"")</f>
        <v/>
      </c>
      <c r="AL1635" s="86" t="str">
        <f>+IF(AG1635=$AL$22,MONTH(V1635),"")</f>
        <v/>
      </c>
      <c r="AM1635" s="86" t="str">
        <f>+IF($AG1635=$AM$22,MONTH($D1635),"")</f>
        <v/>
      </c>
      <c r="AN1635" s="89" t="str">
        <f>+IF($AG1635=AN$22,MONTH($D1635),"")</f>
        <v/>
      </c>
      <c r="AO1635" s="89">
        <f>+IF($AG1635=AO$22,MONTH($D1635),"")</f>
        <v>12</v>
      </c>
      <c r="AP1635" s="89" t="str">
        <f>+IF($AG1635=AP$22,MONTH($D1635),"")</f>
        <v/>
      </c>
      <c r="AQ1635" s="89" t="str">
        <f>+IF($AG1635=AQ$22,MONTH($D1635),"")</f>
        <v/>
      </c>
      <c r="AR1635" s="89" t="str">
        <f>+IF($AG1635=AR$22,MONTH($D1635),"")</f>
        <v/>
      </c>
      <c r="AS1635" s="89" t="str">
        <f>+IF($AG1635=AS$22,MONTH($D1635),"")</f>
        <v/>
      </c>
      <c r="AT1635" s="89" t="str">
        <f>+IF($AG1635=AT$22,MONTH($D1635),"")</f>
        <v/>
      </c>
      <c r="AU1635" s="89" t="str">
        <f>+IF($AG1635=AU$22,MONTH($D1635),"")</f>
        <v/>
      </c>
      <c r="AV1635" s="89" t="str">
        <f>+IF($AG1635=AV$22,MONTH($D1635),"")</f>
        <v/>
      </c>
      <c r="AW1635" s="86"/>
      <c r="AX1635" s="86"/>
      <c r="AY1635" s="89"/>
      <c r="AZ1635" s="89"/>
      <c r="BA1635" s="89"/>
      <c r="BB1635" s="89"/>
      <c r="BC1635" s="89"/>
      <c r="BD1635" s="89"/>
      <c r="BE1635" s="89"/>
      <c r="BF1635" s="89"/>
      <c r="BG1635" s="89"/>
      <c r="BH1635" s="89"/>
      <c r="BI1635" s="89"/>
      <c r="BJ1635" s="89"/>
      <c r="BK1635" s="89"/>
      <c r="BL1635" s="89"/>
      <c r="BM1635" s="89"/>
      <c r="BN1635" s="89"/>
      <c r="BO1635" s="89"/>
      <c r="BP1635" s="89"/>
    </row>
    <row r="1636" spans="1:68" s="56" customFormat="1" ht="13.5" hidden="1">
      <c r="A1636" s="204" t="str">
        <f>+IFERROR(VALUE(MID(AB1636,4,4)),"")</f>
        <v/>
      </c>
      <c r="B1636" s="204">
        <f>VALUE(RIGHT(C1636,LEN(C1636)-2))</f>
        <v>1089</v>
      </c>
      <c r="C1636" s="74" t="s">
        <v>5941</v>
      </c>
      <c r="D1636" s="75">
        <v>43795</v>
      </c>
      <c r="E1636" s="70" t="s">
        <v>685</v>
      </c>
      <c r="F1636" s="70" t="s">
        <v>685</v>
      </c>
      <c r="G1636" s="68"/>
      <c r="H1636" s="59"/>
      <c r="I1636" s="69" t="s">
        <v>5942</v>
      </c>
      <c r="J1636" s="69"/>
      <c r="K1636" s="68" t="s">
        <v>30</v>
      </c>
      <c r="L1636" s="69" t="s">
        <v>120</v>
      </c>
      <c r="M1636" s="71" t="s">
        <v>141</v>
      </c>
      <c r="N1636" s="69" t="e" vm="1">
        <v>#VALUE!</v>
      </c>
      <c r="O1636" s="84">
        <v>43804</v>
      </c>
      <c r="P1636" s="72" t="s">
        <v>4567</v>
      </c>
      <c r="Q1636" s="72"/>
      <c r="R1636" s="162"/>
      <c r="S1636" s="146"/>
      <c r="T1636" s="68" t="s">
        <v>165</v>
      </c>
      <c r="U1636" s="87"/>
      <c r="V1636" s="80">
        <v>43997</v>
      </c>
      <c r="W1636" s="73">
        <v>570</v>
      </c>
      <c r="X1636" s="73">
        <f>23703705/1000000</f>
        <v>23.703704999999999</v>
      </c>
      <c r="Y1636" s="83">
        <f>IF(SUM(W1636:W1636)&gt;0,X1636/SUM(W1636:W1636)*1000000,"N/A")</f>
        <v>41585.447368421046</v>
      </c>
      <c r="Z1636" s="80"/>
      <c r="AA1636" s="80"/>
      <c r="AB1636" s="73"/>
      <c r="AC1636" s="153"/>
      <c r="AD1636" s="331"/>
      <c r="AE1636" s="57"/>
      <c r="AF1636" s="88"/>
      <c r="AG1636" s="182">
        <f>YEAR(D1636)</f>
        <v>2019</v>
      </c>
      <c r="AH1636" s="86" t="str">
        <f>+IF(AE1636=$AJ$22,MONTH(T1636),"")</f>
        <v/>
      </c>
      <c r="AI1636" s="86" t="str">
        <f>+IF(AF1636=$AJ$22,MONTH(U1636),"")</f>
        <v/>
      </c>
      <c r="AJ1636" s="86" t="str">
        <f>+IF(AG1636=$AJ$22,MONTH(V1636),"")</f>
        <v/>
      </c>
      <c r="AK1636" s="86" t="str">
        <f>+IF(AG1636=$AK$22,MONTH(V1636),"")</f>
        <v/>
      </c>
      <c r="AL1636" s="86" t="str">
        <f>+IF(AG1636=$AL$22,MONTH(V1636),"")</f>
        <v/>
      </c>
      <c r="AM1636" s="86" t="str">
        <f>+IF($AG1636=$AM$22,MONTH($D1636),"")</f>
        <v/>
      </c>
      <c r="AN1636" s="89" t="str">
        <f>+IF($AG1636=AN$22,MONTH($D1636),"")</f>
        <v/>
      </c>
      <c r="AO1636" s="89">
        <f>+IF($AG1636=AO$22,MONTH($D1636),"")</f>
        <v>11</v>
      </c>
      <c r="AP1636" s="89" t="str">
        <f>+IF($AG1636=AP$22,MONTH($D1636),"")</f>
        <v/>
      </c>
      <c r="AQ1636" s="89" t="str">
        <f>+IF($AG1636=AQ$22,MONTH($D1636),"")</f>
        <v/>
      </c>
      <c r="AR1636" s="89" t="str">
        <f>+IF($AG1636=AR$22,MONTH($D1636),"")</f>
        <v/>
      </c>
      <c r="AS1636" s="89" t="str">
        <f>+IF($AG1636=AS$22,MONTH($D1636),"")</f>
        <v/>
      </c>
      <c r="AT1636" s="89" t="str">
        <f>+IF($AG1636=AT$22,MONTH($D1636),"")</f>
        <v/>
      </c>
      <c r="AU1636" s="89" t="str">
        <f>+IF($AG1636=AU$22,MONTH($D1636),"")</f>
        <v/>
      </c>
      <c r="AV1636" s="89" t="str">
        <f>+IF($AG1636=AV$22,MONTH($D1636),"")</f>
        <v/>
      </c>
      <c r="AW1636" s="86"/>
      <c r="AX1636" s="86"/>
      <c r="AY1636" s="89"/>
      <c r="AZ1636" s="89"/>
      <c r="BA1636" s="89"/>
      <c r="BB1636" s="89"/>
      <c r="BC1636" s="89"/>
      <c r="BD1636" s="89"/>
      <c r="BE1636" s="89"/>
      <c r="BF1636" s="89"/>
      <c r="BG1636" s="89"/>
      <c r="BH1636" s="89"/>
      <c r="BI1636" s="89"/>
      <c r="BJ1636" s="89"/>
      <c r="BK1636" s="89"/>
      <c r="BL1636" s="89"/>
      <c r="BM1636" s="89"/>
      <c r="BN1636" s="89"/>
      <c r="BO1636" s="89"/>
      <c r="BP1636" s="89"/>
    </row>
    <row r="1637" spans="1:68" s="56" customFormat="1" ht="13.5" hidden="1">
      <c r="A1637" s="204" t="str">
        <f>+IFERROR(VALUE(MID(AB1637,4,4)),"")</f>
        <v/>
      </c>
      <c r="B1637" s="204">
        <f>VALUE(RIGHT(C1637,LEN(C1637)-2))</f>
        <v>1088</v>
      </c>
      <c r="C1637" s="74" t="s">
        <v>5943</v>
      </c>
      <c r="D1637" s="75">
        <v>43794</v>
      </c>
      <c r="E1637" s="70" t="s">
        <v>939</v>
      </c>
      <c r="F1637" s="70" t="s">
        <v>940</v>
      </c>
      <c r="G1637" s="68"/>
      <c r="H1637" s="59"/>
      <c r="I1637" s="69" t="s">
        <v>5944</v>
      </c>
      <c r="J1637" s="69"/>
      <c r="K1637" s="68" t="s">
        <v>31</v>
      </c>
      <c r="L1637" s="69" t="s">
        <v>120</v>
      </c>
      <c r="M1637" s="71" t="s">
        <v>141</v>
      </c>
      <c r="N1637" s="69" t="e" vm="1">
        <v>#VALUE!</v>
      </c>
      <c r="O1637" s="84"/>
      <c r="P1637" s="72"/>
      <c r="Q1637" s="72"/>
      <c r="R1637" s="162"/>
      <c r="S1637" s="146"/>
      <c r="T1637" s="68" t="s">
        <v>155</v>
      </c>
      <c r="U1637" s="87"/>
      <c r="V1637" s="80">
        <v>43811</v>
      </c>
      <c r="W1637" s="73"/>
      <c r="X1637" s="73"/>
      <c r="Y1637" s="83" t="str">
        <f>IF(SUM(W1637:W1637)&gt;0,X1637/SUM(W1637:W1637)*1000000,"N/A")</f>
        <v>N/A</v>
      </c>
      <c r="Z1637" s="80"/>
      <c r="AA1637" s="80"/>
      <c r="AB1637" s="73"/>
      <c r="AC1637" s="153"/>
      <c r="AD1637" s="331"/>
      <c r="AE1637" s="57"/>
      <c r="AF1637" s="88"/>
      <c r="AG1637" s="182">
        <f>YEAR(D1637)</f>
        <v>2019</v>
      </c>
      <c r="AH1637" s="86" t="str">
        <f>+IF(AE1637=$AJ$22,MONTH(T1637),"")</f>
        <v/>
      </c>
      <c r="AI1637" s="86" t="str">
        <f>+IF(AF1637=$AJ$22,MONTH(U1637),"")</f>
        <v/>
      </c>
      <c r="AJ1637" s="86" t="str">
        <f>+IF(AG1637=$AJ$22,MONTH(V1637),"")</f>
        <v/>
      </c>
      <c r="AK1637" s="86" t="str">
        <f>+IF(AG1637=$AK$22,MONTH(V1637),"")</f>
        <v/>
      </c>
      <c r="AL1637" s="86" t="str">
        <f>+IF(AG1637=$AL$22,MONTH(V1637),"")</f>
        <v/>
      </c>
      <c r="AM1637" s="86" t="str">
        <f>+IF($AG1637=$AM$22,MONTH($D1637),"")</f>
        <v/>
      </c>
      <c r="AN1637" s="89" t="str">
        <f>+IF($AG1637=AN$22,MONTH($D1637),"")</f>
        <v/>
      </c>
      <c r="AO1637" s="89">
        <f>+IF($AG1637=AO$22,MONTH($D1637),"")</f>
        <v>11</v>
      </c>
      <c r="AP1637" s="89" t="str">
        <f>+IF($AG1637=AP$22,MONTH($D1637),"")</f>
        <v/>
      </c>
      <c r="AQ1637" s="89" t="str">
        <f>+IF($AG1637=AQ$22,MONTH($D1637),"")</f>
        <v/>
      </c>
      <c r="AR1637" s="89" t="str">
        <f>+IF($AG1637=AR$22,MONTH($D1637),"")</f>
        <v/>
      </c>
      <c r="AS1637" s="89" t="str">
        <f>+IF($AG1637=AS$22,MONTH($D1637),"")</f>
        <v/>
      </c>
      <c r="AT1637" s="89" t="str">
        <f>+IF($AG1637=AT$22,MONTH($D1637),"")</f>
        <v/>
      </c>
      <c r="AU1637" s="89" t="str">
        <f>+IF($AG1637=AU$22,MONTH($D1637),"")</f>
        <v/>
      </c>
      <c r="AV1637" s="89" t="str">
        <f>+IF($AG1637=AV$22,MONTH($D1637),"")</f>
        <v/>
      </c>
      <c r="AW1637" s="86"/>
      <c r="AX1637" s="86"/>
      <c r="AY1637" s="89"/>
      <c r="AZ1637" s="89"/>
      <c r="BA1637" s="89"/>
      <c r="BB1637" s="89"/>
      <c r="BC1637" s="89"/>
      <c r="BD1637" s="89"/>
      <c r="BE1637" s="89"/>
      <c r="BF1637" s="89"/>
      <c r="BG1637" s="89"/>
      <c r="BH1637" s="89"/>
      <c r="BI1637" s="89"/>
      <c r="BJ1637" s="89"/>
      <c r="BK1637" s="89"/>
      <c r="BL1637" s="89"/>
      <c r="BM1637" s="89"/>
      <c r="BN1637" s="89"/>
      <c r="BO1637" s="89"/>
      <c r="BP1637" s="89"/>
    </row>
    <row r="1638" spans="1:68" s="56" customFormat="1" ht="40.5" hidden="1">
      <c r="A1638" s="204" t="str">
        <f>+IFERROR(VALUE(MID(AB1638,4,4)),"")</f>
        <v/>
      </c>
      <c r="B1638" s="204">
        <f>VALUE(RIGHT(C1638,LEN(C1638)-2))</f>
        <v>1087</v>
      </c>
      <c r="C1638" s="74" t="s">
        <v>5945</v>
      </c>
      <c r="D1638" s="75">
        <v>43788</v>
      </c>
      <c r="E1638" s="70" t="s">
        <v>5946</v>
      </c>
      <c r="F1638" s="70" t="s">
        <v>5621</v>
      </c>
      <c r="G1638" s="68"/>
      <c r="H1638" s="59"/>
      <c r="I1638" s="69" t="s">
        <v>5947</v>
      </c>
      <c r="J1638" s="69"/>
      <c r="K1638" s="68" t="s">
        <v>13</v>
      </c>
      <c r="L1638" s="69" t="s">
        <v>120</v>
      </c>
      <c r="M1638" s="71" t="s">
        <v>141</v>
      </c>
      <c r="N1638" s="69" t="e" vm="1">
        <v>#VALUE!</v>
      </c>
      <c r="O1638" s="84">
        <v>43801</v>
      </c>
      <c r="P1638" s="72" t="s">
        <v>402</v>
      </c>
      <c r="Q1638" s="72"/>
      <c r="R1638" s="162"/>
      <c r="S1638" s="146" t="s">
        <v>5948</v>
      </c>
      <c r="T1638" s="68" t="s">
        <v>155</v>
      </c>
      <c r="U1638" s="87"/>
      <c r="V1638" s="80">
        <v>44040</v>
      </c>
      <c r="W1638" s="73">
        <v>51121</v>
      </c>
      <c r="X1638" s="73">
        <f>97713*28300/1000000</f>
        <v>2765.2779</v>
      </c>
      <c r="Y1638" s="83">
        <f>IF(SUM(W1638:W1638)&gt;0,X1638/SUM(W1638:W1638)*1000000,"N/A")</f>
        <v>54092.797480487476</v>
      </c>
      <c r="Z1638" s="80"/>
      <c r="AA1638" s="80"/>
      <c r="AB1638" s="73"/>
      <c r="AC1638" s="153"/>
      <c r="AD1638" s="331"/>
      <c r="AE1638" s="57"/>
      <c r="AF1638" s="88"/>
      <c r="AG1638" s="182">
        <f>YEAR(D1638)</f>
        <v>2019</v>
      </c>
      <c r="AH1638" s="86" t="str">
        <f>+IF(AE1638=$AJ$22,MONTH(T1638),"")</f>
        <v/>
      </c>
      <c r="AI1638" s="86" t="str">
        <f>+IF(AF1638=$AJ$22,MONTH(U1638),"")</f>
        <v/>
      </c>
      <c r="AJ1638" s="86" t="str">
        <f>+IF(AG1638=$AJ$22,MONTH(V1638),"")</f>
        <v/>
      </c>
      <c r="AK1638" s="86" t="str">
        <f>+IF(AG1638=$AK$22,MONTH(V1638),"")</f>
        <v/>
      </c>
      <c r="AL1638" s="86" t="str">
        <f>+IF(AG1638=$AL$22,MONTH(V1638),"")</f>
        <v/>
      </c>
      <c r="AM1638" s="86" t="str">
        <f>+IF($AG1638=$AM$22,MONTH($D1638),"")</f>
        <v/>
      </c>
      <c r="AN1638" s="89" t="str">
        <f>+IF($AG1638=AN$22,MONTH($D1638),"")</f>
        <v/>
      </c>
      <c r="AO1638" s="89">
        <f>+IF($AG1638=AO$22,MONTH($D1638),"")</f>
        <v>11</v>
      </c>
      <c r="AP1638" s="89" t="str">
        <f>+IF($AG1638=AP$22,MONTH($D1638),"")</f>
        <v/>
      </c>
      <c r="AQ1638" s="89" t="str">
        <f>+IF($AG1638=AQ$22,MONTH($D1638),"")</f>
        <v/>
      </c>
      <c r="AR1638" s="89" t="str">
        <f>+IF($AG1638=AR$22,MONTH($D1638),"")</f>
        <v/>
      </c>
      <c r="AS1638" s="89" t="str">
        <f>+IF($AG1638=AS$22,MONTH($D1638),"")</f>
        <v/>
      </c>
      <c r="AT1638" s="89" t="str">
        <f>+IF($AG1638=AT$22,MONTH($D1638),"")</f>
        <v/>
      </c>
      <c r="AU1638" s="89" t="str">
        <f>+IF($AG1638=AU$22,MONTH($D1638),"")</f>
        <v/>
      </c>
      <c r="AV1638" s="89" t="str">
        <f>+IF($AG1638=AV$22,MONTH($D1638),"")</f>
        <v/>
      </c>
      <c r="AW1638" s="86"/>
      <c r="AX1638" s="86"/>
      <c r="AY1638" s="89"/>
      <c r="AZ1638" s="89"/>
      <c r="BA1638" s="89"/>
      <c r="BB1638" s="89"/>
      <c r="BC1638" s="89"/>
      <c r="BD1638" s="89"/>
      <c r="BE1638" s="89"/>
      <c r="BF1638" s="89"/>
      <c r="BG1638" s="89"/>
      <c r="BH1638" s="89"/>
      <c r="BI1638" s="89"/>
      <c r="BJ1638" s="89"/>
      <c r="BK1638" s="89"/>
      <c r="BL1638" s="89"/>
      <c r="BM1638" s="89"/>
      <c r="BN1638" s="89"/>
      <c r="BO1638" s="89"/>
      <c r="BP1638" s="89"/>
    </row>
    <row r="1639" spans="1:68" s="56" customFormat="1" ht="13.5" hidden="1">
      <c r="A1639" s="204" t="str">
        <f>+IFERROR(VALUE(MID(AB1639,4,4)),"")</f>
        <v/>
      </c>
      <c r="B1639" s="204">
        <f>VALUE(RIGHT(C1639,LEN(C1639)-2))</f>
        <v>1086</v>
      </c>
      <c r="C1639" s="74" t="s">
        <v>5949</v>
      </c>
      <c r="D1639" s="75">
        <v>43777</v>
      </c>
      <c r="E1639" s="70" t="s">
        <v>5823</v>
      </c>
      <c r="F1639" s="70" t="s">
        <v>5382</v>
      </c>
      <c r="G1639" s="68"/>
      <c r="H1639" s="59"/>
      <c r="I1639" s="69" t="s">
        <v>5950</v>
      </c>
      <c r="J1639" s="69"/>
      <c r="K1639" s="68" t="s">
        <v>30</v>
      </c>
      <c r="L1639" s="69" t="s">
        <v>120</v>
      </c>
      <c r="M1639" s="71" t="s">
        <v>141</v>
      </c>
      <c r="N1639" s="69" t="e" vm="1">
        <v>#VALUE!</v>
      </c>
      <c r="O1639" s="84">
        <v>43782</v>
      </c>
      <c r="P1639" s="72" t="s">
        <v>402</v>
      </c>
      <c r="Q1639" s="72"/>
      <c r="R1639" s="162"/>
      <c r="S1639" s="146"/>
      <c r="T1639" s="68" t="s">
        <v>165</v>
      </c>
      <c r="U1639" s="87"/>
      <c r="V1639" s="80">
        <v>43783</v>
      </c>
      <c r="W1639" s="73">
        <v>935</v>
      </c>
      <c r="X1639" s="73">
        <f>1531*28000/1000000</f>
        <v>42.868000000000002</v>
      </c>
      <c r="Y1639" s="83">
        <f>IF(SUM(W1639:W1639)&gt;0,X1639/SUM(W1639:W1639)*1000000,"N/A")</f>
        <v>45848.128342245989</v>
      </c>
      <c r="Z1639" s="80"/>
      <c r="AA1639" s="80"/>
      <c r="AB1639" s="73"/>
      <c r="AC1639" s="153"/>
      <c r="AD1639" s="331"/>
      <c r="AE1639" s="57"/>
      <c r="AF1639" s="88"/>
      <c r="AG1639" s="182">
        <f>YEAR(D1639)</f>
        <v>2019</v>
      </c>
      <c r="AH1639" s="86" t="str">
        <f>+IF(AE1639=$AJ$22,MONTH(T1639),"")</f>
        <v/>
      </c>
      <c r="AI1639" s="86" t="str">
        <f>+IF(AF1639=$AJ$22,MONTH(U1639),"")</f>
        <v/>
      </c>
      <c r="AJ1639" s="86" t="str">
        <f>+IF(AG1639=$AJ$22,MONTH(V1639),"")</f>
        <v/>
      </c>
      <c r="AK1639" s="86" t="str">
        <f>+IF(AG1639=$AK$22,MONTH(V1639),"")</f>
        <v/>
      </c>
      <c r="AL1639" s="86" t="str">
        <f>+IF(AG1639=$AL$22,MONTH(V1639),"")</f>
        <v/>
      </c>
      <c r="AM1639" s="86" t="str">
        <f>+IF($AG1639=$AM$22,MONTH($D1639),"")</f>
        <v/>
      </c>
      <c r="AN1639" s="89" t="str">
        <f>+IF($AG1639=AN$22,MONTH($D1639),"")</f>
        <v/>
      </c>
      <c r="AO1639" s="89">
        <f>+IF($AG1639=AO$22,MONTH($D1639),"")</f>
        <v>11</v>
      </c>
      <c r="AP1639" s="89" t="str">
        <f>+IF($AG1639=AP$22,MONTH($D1639),"")</f>
        <v/>
      </c>
      <c r="AQ1639" s="89" t="str">
        <f>+IF($AG1639=AQ$22,MONTH($D1639),"")</f>
        <v/>
      </c>
      <c r="AR1639" s="89" t="str">
        <f>+IF($AG1639=AR$22,MONTH($D1639),"")</f>
        <v/>
      </c>
      <c r="AS1639" s="89" t="str">
        <f>+IF($AG1639=AS$22,MONTH($D1639),"")</f>
        <v/>
      </c>
      <c r="AT1639" s="89" t="str">
        <f>+IF($AG1639=AT$22,MONTH($D1639),"")</f>
        <v/>
      </c>
      <c r="AU1639" s="89" t="str">
        <f>+IF($AG1639=AU$22,MONTH($D1639),"")</f>
        <v/>
      </c>
      <c r="AV1639" s="89" t="str">
        <f>+IF($AG1639=AV$22,MONTH($D1639),"")</f>
        <v/>
      </c>
      <c r="AW1639" s="86" t="str">
        <f>+IF($AG1639=AW$22,MONTH($D1639),"")</f>
        <v/>
      </c>
      <c r="AX1639" s="86" t="str">
        <f>+IF($AG1639=AX$22,MONTH($D1639),"")</f>
        <v/>
      </c>
      <c r="AY1639" s="89"/>
      <c r="AZ1639" s="89"/>
      <c r="BA1639" s="89"/>
      <c r="BB1639" s="89"/>
      <c r="BC1639" s="89"/>
      <c r="BD1639" s="89"/>
      <c r="BE1639" s="89"/>
      <c r="BF1639" s="89"/>
      <c r="BG1639" s="89"/>
      <c r="BH1639" s="89"/>
      <c r="BI1639" s="89"/>
      <c r="BJ1639" s="89"/>
      <c r="BK1639" s="89"/>
      <c r="BL1639" s="89"/>
      <c r="BM1639" s="89"/>
      <c r="BN1639" s="89"/>
      <c r="BO1639" s="89"/>
      <c r="BP1639" s="89"/>
    </row>
    <row r="1640" spans="1:68" s="56" customFormat="1" ht="67.5" hidden="1">
      <c r="A1640" s="204" t="str">
        <f>+IFERROR(VALUE(MID(AB1640,4,4)),"")</f>
        <v/>
      </c>
      <c r="B1640" s="204">
        <f>VALUE(RIGHT(C1640,LEN(C1640)-2))</f>
        <v>1085</v>
      </c>
      <c r="C1640" s="74" t="s">
        <v>5951</v>
      </c>
      <c r="D1640" s="75">
        <v>43773</v>
      </c>
      <c r="E1640" s="70" t="s">
        <v>277</v>
      </c>
      <c r="F1640" s="70" t="s">
        <v>277</v>
      </c>
      <c r="G1640" s="68"/>
      <c r="H1640" s="59"/>
      <c r="I1640" s="69" t="s">
        <v>5952</v>
      </c>
      <c r="J1640" s="69"/>
      <c r="K1640" s="68" t="s">
        <v>275</v>
      </c>
      <c r="L1640" s="69" t="s">
        <v>120</v>
      </c>
      <c r="M1640" s="71" t="s">
        <v>141</v>
      </c>
      <c r="N1640" s="69" t="e" vm="1">
        <v>#VALUE!</v>
      </c>
      <c r="O1640" s="84">
        <v>43781</v>
      </c>
      <c r="P1640" s="72" t="s">
        <v>402</v>
      </c>
      <c r="Q1640" s="72"/>
      <c r="R1640" s="162"/>
      <c r="S1640" s="146" t="s">
        <v>5953</v>
      </c>
      <c r="T1640" s="68" t="s">
        <v>165</v>
      </c>
      <c r="U1640" s="87"/>
      <c r="V1640" s="80">
        <v>44040</v>
      </c>
      <c r="W1640" s="73">
        <v>931</v>
      </c>
      <c r="X1640" s="73">
        <v>39.348478</v>
      </c>
      <c r="Y1640" s="83">
        <f>IF(SUM(W1640:W1640)&gt;0,X1640/SUM(W1640:W1640)*1000000,"N/A")</f>
        <v>42264.745435016113</v>
      </c>
      <c r="Z1640" s="80"/>
      <c r="AA1640" s="80"/>
      <c r="AB1640" s="73"/>
      <c r="AC1640" s="153"/>
      <c r="AD1640" s="331"/>
      <c r="AE1640" s="57"/>
      <c r="AF1640" s="88"/>
      <c r="AG1640" s="182">
        <f>YEAR(D1640)</f>
        <v>2019</v>
      </c>
      <c r="AH1640" s="86" t="str">
        <f>+IF(AE1640=$AJ$22,MONTH(T1640),"")</f>
        <v/>
      </c>
      <c r="AI1640" s="86" t="str">
        <f>+IF(AF1640=$AJ$22,MONTH(U1640),"")</f>
        <v/>
      </c>
      <c r="AJ1640" s="86" t="str">
        <f>+IF(AG1640=$AJ$22,MONTH(V1640),"")</f>
        <v/>
      </c>
      <c r="AK1640" s="86" t="str">
        <f>+IF(AG1640=$AK$22,MONTH(V1640),"")</f>
        <v/>
      </c>
      <c r="AL1640" s="86" t="str">
        <f>+IF(AG1640=$AL$22,MONTH(V1640),"")</f>
        <v/>
      </c>
      <c r="AM1640" s="86" t="str">
        <f>+IF($AG1640=$AM$22,MONTH($D1640),"")</f>
        <v/>
      </c>
      <c r="AN1640" s="89" t="str">
        <f>+IF($AG1640=AN$22,MONTH($D1640),"")</f>
        <v/>
      </c>
      <c r="AO1640" s="89">
        <f>+IF($AG1640=AO$22,MONTH($D1640),"")</f>
        <v>11</v>
      </c>
      <c r="AP1640" s="89" t="str">
        <f>+IF($AG1640=AP$22,MONTH($D1640),"")</f>
        <v/>
      </c>
      <c r="AQ1640" s="89" t="str">
        <f>+IF($AG1640=AQ$22,MONTH($D1640),"")</f>
        <v/>
      </c>
      <c r="AR1640" s="89" t="str">
        <f>+IF($AG1640=AR$22,MONTH($D1640),"")</f>
        <v/>
      </c>
      <c r="AS1640" s="89" t="str">
        <f>+IF($AG1640=AS$22,MONTH($D1640),"")</f>
        <v/>
      </c>
      <c r="AT1640" s="89" t="str">
        <f>+IF($AG1640=AT$22,MONTH($D1640),"")</f>
        <v/>
      </c>
      <c r="AU1640" s="89" t="str">
        <f>+IF($AG1640=AU$22,MONTH($D1640),"")</f>
        <v/>
      </c>
      <c r="AV1640" s="89" t="str">
        <f>+IF($AG1640=AV$22,MONTH($D1640),"")</f>
        <v/>
      </c>
      <c r="AW1640" s="86"/>
      <c r="AX1640" s="86"/>
      <c r="AY1640" s="89"/>
      <c r="AZ1640" s="89"/>
      <c r="BA1640" s="89"/>
      <c r="BB1640" s="89"/>
      <c r="BC1640" s="89"/>
      <c r="BD1640" s="89"/>
      <c r="BE1640" s="89"/>
      <c r="BF1640" s="89"/>
      <c r="BG1640" s="89"/>
      <c r="BH1640" s="89"/>
      <c r="BI1640" s="89"/>
      <c r="BJ1640" s="89"/>
      <c r="BK1640" s="89"/>
      <c r="BL1640" s="89"/>
      <c r="BM1640" s="89"/>
      <c r="BN1640" s="89"/>
      <c r="BO1640" s="89"/>
      <c r="BP1640" s="89"/>
    </row>
    <row r="1641" spans="1:68" s="56" customFormat="1" ht="27" hidden="1">
      <c r="A1641" s="204">
        <f>+IFERROR(VALUE(MID(AB1641,4,4)),"")</f>
        <v>193</v>
      </c>
      <c r="B1641" s="204">
        <f>VALUE(RIGHT(C1641,LEN(C1641)-2))</f>
        <v>1084</v>
      </c>
      <c r="C1641" s="74" t="s">
        <v>5954</v>
      </c>
      <c r="D1641" s="75">
        <v>43773</v>
      </c>
      <c r="E1641" s="70" t="s">
        <v>277</v>
      </c>
      <c r="F1641" s="70" t="s">
        <v>277</v>
      </c>
      <c r="G1641" s="68"/>
      <c r="H1641" s="59"/>
      <c r="I1641" s="69" t="s">
        <v>5955</v>
      </c>
      <c r="J1641" s="69"/>
      <c r="K1641" s="68" t="s">
        <v>13</v>
      </c>
      <c r="L1641" s="69" t="s">
        <v>120</v>
      </c>
      <c r="M1641" s="71" t="s">
        <v>141</v>
      </c>
      <c r="N1641" s="69" t="e" vm="1">
        <v>#VALUE!</v>
      </c>
      <c r="O1641" s="84">
        <v>43773</v>
      </c>
      <c r="P1641" s="72" t="s">
        <v>402</v>
      </c>
      <c r="Q1641" s="72" t="s">
        <v>623</v>
      </c>
      <c r="R1641" s="162"/>
      <c r="S1641" s="146"/>
      <c r="T1641" s="68" t="s">
        <v>3</v>
      </c>
      <c r="U1641" s="87"/>
      <c r="V1641" s="80">
        <v>43783</v>
      </c>
      <c r="W1641" s="73">
        <v>245</v>
      </c>
      <c r="X1641" s="73">
        <f>8.76935</f>
        <v>8.7693499999999993</v>
      </c>
      <c r="Y1641" s="83">
        <f>IF(SUM(W1641:W1641)&gt;0,X1641/SUM(W1641:W1641)*1000000,"N/A")</f>
        <v>35793.265306122441</v>
      </c>
      <c r="Z1641" s="80"/>
      <c r="AA1641" s="80"/>
      <c r="AB1641" s="73" t="s">
        <v>5956</v>
      </c>
      <c r="AC1641" s="153"/>
      <c r="AD1641" s="331"/>
      <c r="AE1641" s="57"/>
      <c r="AF1641" s="88"/>
      <c r="AG1641" s="182">
        <f>YEAR(D1641)</f>
        <v>2019</v>
      </c>
      <c r="AH1641" s="86" t="str">
        <f>+IF(AE1641=$AJ$22,MONTH(T1641),"")</f>
        <v/>
      </c>
      <c r="AI1641" s="86" t="str">
        <f>+IF(AF1641=$AJ$22,MONTH(U1641),"")</f>
        <v/>
      </c>
      <c r="AJ1641" s="86" t="str">
        <f>+IF(AG1641=$AJ$22,MONTH(V1641),"")</f>
        <v/>
      </c>
      <c r="AK1641" s="86" t="str">
        <f>+IF(AG1641=$AK$22,MONTH(V1641),"")</f>
        <v/>
      </c>
      <c r="AL1641" s="86" t="str">
        <f>+IF(AG1641=$AL$22,MONTH(V1641),"")</f>
        <v/>
      </c>
      <c r="AM1641" s="86" t="str">
        <f>+IF($AG1641=$AM$22,MONTH($D1641),"")</f>
        <v/>
      </c>
      <c r="AN1641" s="89" t="str">
        <f>+IF($AG1641=AN$22,MONTH($D1641),"")</f>
        <v/>
      </c>
      <c r="AO1641" s="89">
        <f>+IF($AG1641=AO$22,MONTH($D1641),"")</f>
        <v>11</v>
      </c>
      <c r="AP1641" s="89" t="str">
        <f>+IF($AG1641=AP$22,MONTH($D1641),"")</f>
        <v/>
      </c>
      <c r="AQ1641" s="89" t="str">
        <f>+IF($AG1641=AQ$22,MONTH($D1641),"")</f>
        <v/>
      </c>
      <c r="AR1641" s="89" t="str">
        <f>+IF($AG1641=AR$22,MONTH($D1641),"")</f>
        <v/>
      </c>
      <c r="AS1641" s="89" t="str">
        <f>+IF($AG1641=AS$22,MONTH($D1641),"")</f>
        <v/>
      </c>
      <c r="AT1641" s="89" t="str">
        <f>+IF($AG1641=AT$22,MONTH($D1641),"")</f>
        <v/>
      </c>
      <c r="AU1641" s="89" t="str">
        <f>+IF($AG1641=AU$22,MONTH($D1641),"")</f>
        <v/>
      </c>
      <c r="AV1641" s="89" t="str">
        <f>+IF($AG1641=AV$22,MONTH($D1641),"")</f>
        <v/>
      </c>
      <c r="AW1641" s="86"/>
      <c r="AX1641" s="86"/>
      <c r="AY1641" s="89"/>
      <c r="AZ1641" s="89"/>
      <c r="BA1641" s="89"/>
      <c r="BB1641" s="89"/>
      <c r="BC1641" s="89"/>
      <c r="BD1641" s="89"/>
      <c r="BE1641" s="89"/>
      <c r="BF1641" s="89"/>
      <c r="BG1641" s="89"/>
      <c r="BH1641" s="89"/>
      <c r="BI1641" s="89"/>
      <c r="BJ1641" s="89"/>
      <c r="BK1641" s="89"/>
      <c r="BL1641" s="89"/>
      <c r="BM1641" s="89"/>
      <c r="BN1641" s="89"/>
      <c r="BO1641" s="89"/>
      <c r="BP1641" s="89"/>
    </row>
    <row r="1642" spans="1:68" s="56" customFormat="1" ht="27" hidden="1">
      <c r="A1642" s="204">
        <f>+IFERROR(VALUE(MID(AB1642,4,4)),"")</f>
        <v>219</v>
      </c>
      <c r="B1642" s="204">
        <f>VALUE(RIGHT(C1642,LEN(C1642)-2))</f>
        <v>1083</v>
      </c>
      <c r="C1642" s="74" t="s">
        <v>5957</v>
      </c>
      <c r="D1642" s="75">
        <v>43768</v>
      </c>
      <c r="E1642" s="70" t="s">
        <v>41</v>
      </c>
      <c r="F1642" s="70" t="s">
        <v>41</v>
      </c>
      <c r="G1642" s="68"/>
      <c r="H1642" s="59"/>
      <c r="I1642" s="69" t="s">
        <v>5958</v>
      </c>
      <c r="J1642" s="69"/>
      <c r="K1642" s="68" t="s">
        <v>13</v>
      </c>
      <c r="L1642" s="69" t="s">
        <v>129</v>
      </c>
      <c r="M1642" s="71" t="s">
        <v>141</v>
      </c>
      <c r="N1642" s="69" t="e" vm="1">
        <v>#VALUE!</v>
      </c>
      <c r="O1642" s="84">
        <v>43768</v>
      </c>
      <c r="P1642" s="72" t="s">
        <v>402</v>
      </c>
      <c r="Q1642" s="72" t="s">
        <v>229</v>
      </c>
      <c r="R1642" s="162"/>
      <c r="S1642" s="146"/>
      <c r="T1642" s="68" t="s">
        <v>3</v>
      </c>
      <c r="U1642" s="87"/>
      <c r="V1642" s="80">
        <v>44175</v>
      </c>
      <c r="W1642" s="73">
        <v>513</v>
      </c>
      <c r="X1642" s="73">
        <f>525*28298.08/1000000</f>
        <v>14.856491999999999</v>
      </c>
      <c r="Y1642" s="83">
        <f>IF(SUM(W1642:W1642)&gt;0,X1642/SUM(W1642:W1642)*1000000,"N/A")</f>
        <v>28960.023391812865</v>
      </c>
      <c r="Z1642" s="80"/>
      <c r="AA1642" s="80"/>
      <c r="AB1642" s="73" t="s">
        <v>5959</v>
      </c>
      <c r="AC1642" s="153"/>
      <c r="AD1642" s="331"/>
      <c r="AE1642" s="57"/>
      <c r="AF1642" s="88"/>
      <c r="AG1642" s="182">
        <f>YEAR(D1642)</f>
        <v>2019</v>
      </c>
      <c r="AH1642" s="86" t="str">
        <f>+IF(AE1642=$AJ$22,MONTH(T1642),"")</f>
        <v/>
      </c>
      <c r="AI1642" s="86" t="str">
        <f>+IF(AF1642=$AJ$22,MONTH(U1642),"")</f>
        <v/>
      </c>
      <c r="AJ1642" s="86" t="str">
        <f>+IF(AG1642=$AJ$22,MONTH(V1642),"")</f>
        <v/>
      </c>
      <c r="AK1642" s="86" t="str">
        <f>+IF(AG1642=$AK$22,MONTH(V1642),"")</f>
        <v/>
      </c>
      <c r="AL1642" s="86" t="str">
        <f>+IF(AG1642=$AL$22,MONTH(V1642),"")</f>
        <v/>
      </c>
      <c r="AM1642" s="86" t="str">
        <f>+IF($AG1642=$AM$22,MONTH($D1642),"")</f>
        <v/>
      </c>
      <c r="AN1642" s="89" t="str">
        <f>+IF($AG1642=AN$22,MONTH($D1642),"")</f>
        <v/>
      </c>
      <c r="AO1642" s="89">
        <f>+IF($AG1642=AO$22,MONTH($D1642),"")</f>
        <v>10</v>
      </c>
      <c r="AP1642" s="89" t="str">
        <f>+IF($AG1642=AP$22,MONTH($D1642),"")</f>
        <v/>
      </c>
      <c r="AQ1642" s="89" t="str">
        <f>+IF($AG1642=AQ$22,MONTH($D1642),"")</f>
        <v/>
      </c>
      <c r="AR1642" s="89" t="str">
        <f>+IF($AG1642=AR$22,MONTH($D1642),"")</f>
        <v/>
      </c>
      <c r="AS1642" s="89" t="str">
        <f>+IF($AG1642=AS$22,MONTH($D1642),"")</f>
        <v/>
      </c>
      <c r="AT1642" s="89" t="str">
        <f>+IF($AG1642=AT$22,MONTH($D1642),"")</f>
        <v/>
      </c>
      <c r="AU1642" s="89" t="str">
        <f>+IF($AG1642=AU$22,MONTH($D1642),"")</f>
        <v/>
      </c>
      <c r="AV1642" s="89" t="str">
        <f>+IF($AG1642=AV$22,MONTH($D1642),"")</f>
        <v/>
      </c>
      <c r="AW1642" s="86"/>
      <c r="AX1642" s="86"/>
      <c r="AY1642" s="89"/>
      <c r="AZ1642" s="89"/>
      <c r="BA1642" s="89"/>
      <c r="BB1642" s="89"/>
      <c r="BC1642" s="89"/>
      <c r="BD1642" s="89"/>
      <c r="BE1642" s="89"/>
      <c r="BF1642" s="89"/>
      <c r="BG1642" s="89"/>
      <c r="BH1642" s="89"/>
      <c r="BI1642" s="89"/>
      <c r="BJ1642" s="89"/>
      <c r="BK1642" s="89"/>
      <c r="BL1642" s="89"/>
      <c r="BM1642" s="89"/>
      <c r="BN1642" s="89"/>
      <c r="BO1642" s="89"/>
      <c r="BP1642" s="89"/>
    </row>
    <row r="1643" spans="1:68" s="56" customFormat="1" ht="13.5" hidden="1">
      <c r="A1643" s="204" t="str">
        <f>+IFERROR(VALUE(MID(AB1643,4,4)),"")</f>
        <v/>
      </c>
      <c r="B1643" s="204">
        <f>VALUE(RIGHT(C1643,LEN(C1643)-2))</f>
        <v>1082</v>
      </c>
      <c r="C1643" s="74" t="s">
        <v>5960</v>
      </c>
      <c r="D1643" s="75">
        <v>43762</v>
      </c>
      <c r="E1643" s="70" t="s">
        <v>5621</v>
      </c>
      <c r="F1643" s="70" t="s">
        <v>5621</v>
      </c>
      <c r="G1643" s="68"/>
      <c r="H1643" s="59"/>
      <c r="I1643" s="69" t="s">
        <v>5961</v>
      </c>
      <c r="J1643" s="69"/>
      <c r="K1643" s="68" t="s">
        <v>13</v>
      </c>
      <c r="L1643" s="69" t="s">
        <v>120</v>
      </c>
      <c r="M1643" s="71" t="s">
        <v>141</v>
      </c>
      <c r="N1643" s="69" t="e" vm="1">
        <v>#VALUE!</v>
      </c>
      <c r="O1643" s="84">
        <v>43763</v>
      </c>
      <c r="P1643" s="72" t="s">
        <v>402</v>
      </c>
      <c r="Q1643" s="72"/>
      <c r="R1643" s="162"/>
      <c r="S1643" s="146"/>
      <c r="T1643" s="68" t="s">
        <v>165</v>
      </c>
      <c r="U1643" s="87"/>
      <c r="V1643" s="80">
        <v>43763</v>
      </c>
      <c r="W1643" s="73">
        <v>766</v>
      </c>
      <c r="X1643" s="73">
        <f>998*28000/1000000</f>
        <v>27.943999999999999</v>
      </c>
      <c r="Y1643" s="83">
        <f>IF(SUM(W1643:W1643)&gt;0,X1643/SUM(W1643:W1643)*1000000,"N/A")</f>
        <v>36480.417754569185</v>
      </c>
      <c r="Z1643" s="80"/>
      <c r="AA1643" s="80"/>
      <c r="AB1643" s="73"/>
      <c r="AC1643" s="153"/>
      <c r="AD1643" s="331"/>
      <c r="AE1643" s="57"/>
      <c r="AF1643" s="88"/>
      <c r="AG1643" s="182">
        <f>YEAR(D1643)</f>
        <v>2019</v>
      </c>
      <c r="AH1643" s="86" t="str">
        <f>+IF(AE1643=$AJ$22,MONTH(T1643),"")</f>
        <v/>
      </c>
      <c r="AI1643" s="86" t="str">
        <f>+IF(AF1643=$AJ$22,MONTH(U1643),"")</f>
        <v/>
      </c>
      <c r="AJ1643" s="86" t="str">
        <f>+IF(AG1643=$AJ$22,MONTH(V1643),"")</f>
        <v/>
      </c>
      <c r="AK1643" s="86" t="str">
        <f>+IF(AG1643=$AK$22,MONTH(V1643),"")</f>
        <v/>
      </c>
      <c r="AL1643" s="86" t="str">
        <f>+IF(AG1643=$AL$22,MONTH(V1643),"")</f>
        <v/>
      </c>
      <c r="AM1643" s="86" t="str">
        <f>+IF($AG1643=$AM$22,MONTH($D1643),"")</f>
        <v/>
      </c>
      <c r="AN1643" s="89" t="str">
        <f>+IF($AG1643=AN$22,MONTH($D1643),"")</f>
        <v/>
      </c>
      <c r="AO1643" s="89">
        <f>+IF($AG1643=AO$22,MONTH($D1643),"")</f>
        <v>10</v>
      </c>
      <c r="AP1643" s="89" t="str">
        <f>+IF($AG1643=AP$22,MONTH($D1643),"")</f>
        <v/>
      </c>
      <c r="AQ1643" s="89" t="str">
        <f>+IF($AG1643=AQ$22,MONTH($D1643),"")</f>
        <v/>
      </c>
      <c r="AR1643" s="89" t="str">
        <f>+IF($AG1643=AR$22,MONTH($D1643),"")</f>
        <v/>
      </c>
      <c r="AS1643" s="89" t="str">
        <f>+IF($AG1643=AS$22,MONTH($D1643),"")</f>
        <v/>
      </c>
      <c r="AT1643" s="89" t="str">
        <f>+IF($AG1643=AT$22,MONTH($D1643),"")</f>
        <v/>
      </c>
      <c r="AU1643" s="89" t="str">
        <f>+IF($AG1643=AU$22,MONTH($D1643),"")</f>
        <v/>
      </c>
      <c r="AV1643" s="89" t="str">
        <f>+IF($AG1643=AV$22,MONTH($D1643),"")</f>
        <v/>
      </c>
      <c r="AW1643" s="86"/>
      <c r="AX1643" s="86"/>
      <c r="AY1643" s="89"/>
      <c r="AZ1643" s="89"/>
      <c r="BA1643" s="89"/>
      <c r="BB1643" s="89"/>
      <c r="BC1643" s="89"/>
      <c r="BD1643" s="89"/>
      <c r="BE1643" s="89"/>
      <c r="BF1643" s="89"/>
      <c r="BG1643" s="89"/>
      <c r="BH1643" s="89"/>
      <c r="BI1643" s="89"/>
      <c r="BJ1643" s="89"/>
      <c r="BK1643" s="89"/>
      <c r="BL1643" s="89"/>
      <c r="BM1643" s="89"/>
      <c r="BN1643" s="89"/>
      <c r="BO1643" s="89"/>
      <c r="BP1643" s="89"/>
    </row>
    <row r="1644" spans="1:68" s="56" customFormat="1" ht="13.5" hidden="1">
      <c r="A1644" s="204" t="str">
        <f>+IFERROR(VALUE(MID(AB1644,4,4)),"")</f>
        <v/>
      </c>
      <c r="B1644" s="204">
        <f>VALUE(RIGHT(C1644,LEN(C1644)-2))</f>
        <v>1081</v>
      </c>
      <c r="C1644" s="74" t="s">
        <v>5962</v>
      </c>
      <c r="D1644" s="75">
        <v>43754</v>
      </c>
      <c r="E1644" s="70" t="s">
        <v>685</v>
      </c>
      <c r="F1644" s="70" t="s">
        <v>685</v>
      </c>
      <c r="G1644" s="68"/>
      <c r="H1644" s="59"/>
      <c r="I1644" s="69" t="s">
        <v>5963</v>
      </c>
      <c r="J1644" s="69"/>
      <c r="K1644" s="68" t="s">
        <v>45</v>
      </c>
      <c r="L1644" s="69" t="s">
        <v>120</v>
      </c>
      <c r="M1644" s="71" t="s">
        <v>141</v>
      </c>
      <c r="N1644" s="69" t="e" vm="1">
        <v>#VALUE!</v>
      </c>
      <c r="O1644" s="84">
        <v>43759</v>
      </c>
      <c r="P1644" s="72" t="s">
        <v>402</v>
      </c>
      <c r="Q1644" s="72"/>
      <c r="R1644" s="162"/>
      <c r="S1644" s="146"/>
      <c r="T1644" s="68" t="s">
        <v>165</v>
      </c>
      <c r="U1644" s="87"/>
      <c r="V1644" s="80">
        <v>43763</v>
      </c>
      <c r="W1644" s="73">
        <v>420</v>
      </c>
      <c r="X1644" s="73">
        <f>15900000/1000000</f>
        <v>15.9</v>
      </c>
      <c r="Y1644" s="83">
        <f>IF(SUM(W1644:W1644)&gt;0,X1644/SUM(W1644:W1644)*1000000,"N/A")</f>
        <v>37857.142857142862</v>
      </c>
      <c r="Z1644" s="80"/>
      <c r="AA1644" s="80"/>
      <c r="AB1644" s="73"/>
      <c r="AC1644" s="153"/>
      <c r="AD1644" s="331"/>
      <c r="AE1644" s="57"/>
      <c r="AF1644" s="88"/>
      <c r="AG1644" s="182">
        <f>YEAR(D1644)</f>
        <v>2019</v>
      </c>
      <c r="AH1644" s="86" t="str">
        <f>+IF(AE1644=$AJ$22,MONTH(T1644),"")</f>
        <v/>
      </c>
      <c r="AI1644" s="86" t="str">
        <f>+IF(AF1644=$AJ$22,MONTH(U1644),"")</f>
        <v/>
      </c>
      <c r="AJ1644" s="86" t="str">
        <f>+IF(AG1644=$AJ$22,MONTH(V1644),"")</f>
        <v/>
      </c>
      <c r="AK1644" s="86" t="str">
        <f>+IF(AG1644=$AK$22,MONTH(V1644),"")</f>
        <v/>
      </c>
      <c r="AL1644" s="86" t="str">
        <f>+IF(AG1644=$AL$22,MONTH(V1644),"")</f>
        <v/>
      </c>
      <c r="AM1644" s="86" t="str">
        <f>+IF($AG1644=$AM$22,MONTH($D1644),"")</f>
        <v/>
      </c>
      <c r="AN1644" s="89" t="str">
        <f>+IF($AG1644=AN$22,MONTH($D1644),"")</f>
        <v/>
      </c>
      <c r="AO1644" s="89">
        <f>+IF($AG1644=AO$22,MONTH($D1644),"")</f>
        <v>10</v>
      </c>
      <c r="AP1644" s="89" t="str">
        <f>+IF($AG1644=AP$22,MONTH($D1644),"")</f>
        <v/>
      </c>
      <c r="AQ1644" s="89" t="str">
        <f>+IF($AG1644=AQ$22,MONTH($D1644),"")</f>
        <v/>
      </c>
      <c r="AR1644" s="89" t="str">
        <f>+IF($AG1644=AR$22,MONTH($D1644),"")</f>
        <v/>
      </c>
      <c r="AS1644" s="89" t="str">
        <f>+IF($AG1644=AS$22,MONTH($D1644),"")</f>
        <v/>
      </c>
      <c r="AT1644" s="89" t="str">
        <f>+IF($AG1644=AT$22,MONTH($D1644),"")</f>
        <v/>
      </c>
      <c r="AU1644" s="89" t="str">
        <f>+IF($AG1644=AU$22,MONTH($D1644),"")</f>
        <v/>
      </c>
      <c r="AV1644" s="89" t="str">
        <f>+IF($AG1644=AV$22,MONTH($D1644),"")</f>
        <v/>
      </c>
      <c r="AW1644" s="86"/>
      <c r="AX1644" s="86"/>
      <c r="AY1644" s="89"/>
      <c r="AZ1644" s="89"/>
      <c r="BA1644" s="89"/>
      <c r="BB1644" s="89"/>
      <c r="BC1644" s="89"/>
      <c r="BD1644" s="89"/>
      <c r="BE1644" s="89"/>
      <c r="BF1644" s="89"/>
      <c r="BG1644" s="89"/>
      <c r="BH1644" s="89"/>
      <c r="BI1644" s="89"/>
      <c r="BJ1644" s="89"/>
      <c r="BK1644" s="89"/>
      <c r="BL1644" s="89"/>
      <c r="BM1644" s="89"/>
      <c r="BN1644" s="89"/>
      <c r="BO1644" s="89"/>
      <c r="BP1644" s="89"/>
    </row>
    <row r="1645" spans="1:68" s="56" customFormat="1" ht="27" hidden="1">
      <c r="A1645" s="204" t="str">
        <f>+IFERROR(VALUE(MID(AB1645,4,4)),"")</f>
        <v/>
      </c>
      <c r="B1645" s="204">
        <f>VALUE(RIGHT(C1645,LEN(C1645)-2))</f>
        <v>1080</v>
      </c>
      <c r="C1645" s="74" t="s">
        <v>5964</v>
      </c>
      <c r="D1645" s="75">
        <v>43752</v>
      </c>
      <c r="E1645" s="70" t="s">
        <v>53</v>
      </c>
      <c r="F1645" s="70" t="s">
        <v>53</v>
      </c>
      <c r="G1645" s="68"/>
      <c r="H1645" s="59"/>
      <c r="I1645" s="69" t="s">
        <v>5965</v>
      </c>
      <c r="J1645" s="69"/>
      <c r="K1645" s="68" t="s">
        <v>13</v>
      </c>
      <c r="L1645" s="69" t="s">
        <v>123</v>
      </c>
      <c r="M1645" s="71" t="s">
        <v>141</v>
      </c>
      <c r="N1645" s="69" t="e" vm="1">
        <v>#VALUE!</v>
      </c>
      <c r="O1645" s="84">
        <v>43760</v>
      </c>
      <c r="P1645" s="72" t="s">
        <v>402</v>
      </c>
      <c r="Q1645" s="72"/>
      <c r="R1645" s="162"/>
      <c r="S1645" s="146" t="s">
        <v>5763</v>
      </c>
      <c r="T1645" s="68" t="s">
        <v>168</v>
      </c>
      <c r="U1645" s="87"/>
      <c r="V1645" s="80">
        <v>43997</v>
      </c>
      <c r="W1645" s="73">
        <v>1</v>
      </c>
      <c r="X1645" s="73"/>
      <c r="Y1645" s="83">
        <f>IF(SUM(W1645:W1645)&gt;0,X1645/SUM(W1645:W1645)*1000000,"N/A")</f>
        <v>0</v>
      </c>
      <c r="Z1645" s="80"/>
      <c r="AA1645" s="80"/>
      <c r="AB1645" s="73"/>
      <c r="AC1645" s="153"/>
      <c r="AD1645" s="331"/>
      <c r="AE1645" s="57"/>
      <c r="AF1645" s="88"/>
      <c r="AG1645" s="182">
        <f>YEAR(D1645)</f>
        <v>2019</v>
      </c>
      <c r="AH1645" s="86" t="str">
        <f>+IF(AE1645=$AJ$22,MONTH(T1645),"")</f>
        <v/>
      </c>
      <c r="AI1645" s="86" t="str">
        <f>+IF(AF1645=$AJ$22,MONTH(U1645),"")</f>
        <v/>
      </c>
      <c r="AJ1645" s="86" t="str">
        <f>+IF(AG1645=$AJ$22,MONTH(V1645),"")</f>
        <v/>
      </c>
      <c r="AK1645" s="86" t="str">
        <f>+IF(AG1645=$AK$22,MONTH(V1645),"")</f>
        <v/>
      </c>
      <c r="AL1645" s="86" t="str">
        <f>+IF(AG1645=$AL$22,MONTH(V1645),"")</f>
        <v/>
      </c>
      <c r="AM1645" s="86" t="str">
        <f>+IF($AG1645=$AM$22,MONTH($D1645),"")</f>
        <v/>
      </c>
      <c r="AN1645" s="89" t="str">
        <f>+IF($AG1645=AN$22,MONTH($D1645),"")</f>
        <v/>
      </c>
      <c r="AO1645" s="89">
        <f>+IF($AG1645=AO$22,MONTH($D1645),"")</f>
        <v>10</v>
      </c>
      <c r="AP1645" s="89" t="str">
        <f>+IF($AG1645=AP$22,MONTH($D1645),"")</f>
        <v/>
      </c>
      <c r="AQ1645" s="89" t="str">
        <f>+IF($AG1645=AQ$22,MONTH($D1645),"")</f>
        <v/>
      </c>
      <c r="AR1645" s="89" t="str">
        <f>+IF($AG1645=AR$22,MONTH($D1645),"")</f>
        <v/>
      </c>
      <c r="AS1645" s="89" t="str">
        <f>+IF($AG1645=AS$22,MONTH($D1645),"")</f>
        <v/>
      </c>
      <c r="AT1645" s="89" t="str">
        <f>+IF($AG1645=AT$22,MONTH($D1645),"")</f>
        <v/>
      </c>
      <c r="AU1645" s="89" t="str">
        <f>+IF($AG1645=AU$22,MONTH($D1645),"")</f>
        <v/>
      </c>
      <c r="AV1645" s="89" t="str">
        <f>+IF($AG1645=AV$22,MONTH($D1645),"")</f>
        <v/>
      </c>
      <c r="AW1645" s="86"/>
      <c r="AX1645" s="86"/>
      <c r="AY1645" s="89"/>
      <c r="AZ1645" s="89"/>
      <c r="BA1645" s="89"/>
      <c r="BB1645" s="89"/>
      <c r="BC1645" s="89"/>
      <c r="BD1645" s="89"/>
      <c r="BE1645" s="89"/>
      <c r="BF1645" s="89"/>
      <c r="BG1645" s="89"/>
      <c r="BH1645" s="89"/>
      <c r="BI1645" s="89"/>
      <c r="BJ1645" s="89"/>
      <c r="BK1645" s="89"/>
      <c r="BL1645" s="89"/>
      <c r="BM1645" s="89"/>
      <c r="BN1645" s="89"/>
      <c r="BO1645" s="89"/>
      <c r="BP1645" s="89"/>
    </row>
    <row r="1646" spans="1:68" s="56" customFormat="1" ht="13.5" hidden="1">
      <c r="A1646" s="204" t="str">
        <f>+IFERROR(VALUE(MID(AB1646,4,4)),"")</f>
        <v/>
      </c>
      <c r="B1646" s="204">
        <f>VALUE(RIGHT(C1646,LEN(C1646)-2))</f>
        <v>1079</v>
      </c>
      <c r="C1646" s="74" t="s">
        <v>5966</v>
      </c>
      <c r="D1646" s="75">
        <v>43749</v>
      </c>
      <c r="E1646" s="70" t="s">
        <v>5967</v>
      </c>
      <c r="F1646" s="70" t="s">
        <v>5967</v>
      </c>
      <c r="G1646" s="68"/>
      <c r="H1646" s="59"/>
      <c r="I1646" s="69" t="s">
        <v>5968</v>
      </c>
      <c r="J1646" s="69"/>
      <c r="K1646" s="68" t="s">
        <v>13</v>
      </c>
      <c r="L1646" s="69" t="s">
        <v>120</v>
      </c>
      <c r="M1646" s="71" t="s">
        <v>141</v>
      </c>
      <c r="N1646" s="69" t="e" vm="1">
        <v>#VALUE!</v>
      </c>
      <c r="O1646" s="84">
        <v>43754</v>
      </c>
      <c r="P1646" s="72" t="s">
        <v>4567</v>
      </c>
      <c r="Q1646" s="72"/>
      <c r="R1646" s="162"/>
      <c r="S1646" s="146"/>
      <c r="T1646" s="68" t="s">
        <v>165</v>
      </c>
      <c r="U1646" s="87"/>
      <c r="V1646" s="80">
        <v>43763</v>
      </c>
      <c r="W1646" s="73">
        <v>3812</v>
      </c>
      <c r="X1646" s="73">
        <f>1975*28000/1000000</f>
        <v>55.3</v>
      </c>
      <c r="Y1646" s="83">
        <f>IF(SUM(W1646:W1646)&gt;0,X1646/SUM(W1646:W1646)*1000000,"N/A")</f>
        <v>14506.820566631688</v>
      </c>
      <c r="Z1646" s="80"/>
      <c r="AA1646" s="80"/>
      <c r="AB1646" s="73"/>
      <c r="AC1646" s="153"/>
      <c r="AD1646" s="331"/>
      <c r="AE1646" s="57"/>
      <c r="AF1646" s="88"/>
      <c r="AG1646" s="182">
        <f>YEAR(D1646)</f>
        <v>2019</v>
      </c>
      <c r="AH1646" s="86" t="str">
        <f>+IF(AE1646=$AJ$22,MONTH(T1646),"")</f>
        <v/>
      </c>
      <c r="AI1646" s="86" t="str">
        <f>+IF(AF1646=$AJ$22,MONTH(U1646),"")</f>
        <v/>
      </c>
      <c r="AJ1646" s="86" t="str">
        <f>+IF(AG1646=$AJ$22,MONTH(V1646),"")</f>
        <v/>
      </c>
      <c r="AK1646" s="86" t="str">
        <f>+IF(AG1646=$AK$22,MONTH(V1646),"")</f>
        <v/>
      </c>
      <c r="AL1646" s="86" t="str">
        <f>+IF(AG1646=$AL$22,MONTH(V1646),"")</f>
        <v/>
      </c>
      <c r="AM1646" s="86" t="str">
        <f>+IF($AG1646=$AM$22,MONTH($D1646),"")</f>
        <v/>
      </c>
      <c r="AN1646" s="89" t="str">
        <f>+IF($AG1646=AN$22,MONTH($D1646),"")</f>
        <v/>
      </c>
      <c r="AO1646" s="89">
        <f>+IF($AG1646=AO$22,MONTH($D1646),"")</f>
        <v>10</v>
      </c>
      <c r="AP1646" s="89" t="str">
        <f>+IF($AG1646=AP$22,MONTH($D1646),"")</f>
        <v/>
      </c>
      <c r="AQ1646" s="89" t="str">
        <f>+IF($AG1646=AQ$22,MONTH($D1646),"")</f>
        <v/>
      </c>
      <c r="AR1646" s="89" t="str">
        <f>+IF($AG1646=AR$22,MONTH($D1646),"")</f>
        <v/>
      </c>
      <c r="AS1646" s="89" t="str">
        <f>+IF($AG1646=AS$22,MONTH($D1646),"")</f>
        <v/>
      </c>
      <c r="AT1646" s="89" t="str">
        <f>+IF($AG1646=AT$22,MONTH($D1646),"")</f>
        <v/>
      </c>
      <c r="AU1646" s="89" t="str">
        <f>+IF($AG1646=AU$22,MONTH($D1646),"")</f>
        <v/>
      </c>
      <c r="AV1646" s="89" t="str">
        <f>+IF($AG1646=AV$22,MONTH($D1646),"")</f>
        <v/>
      </c>
      <c r="AW1646" s="86" t="str">
        <f>+IF($AG1646=AW$22,MONTH($D1646),"")</f>
        <v/>
      </c>
      <c r="AX1646" s="86" t="str">
        <f>+IF($AG1646=AX$22,MONTH($D1646),"")</f>
        <v/>
      </c>
      <c r="AY1646" s="89"/>
      <c r="AZ1646" s="89"/>
      <c r="BA1646" s="89"/>
      <c r="BB1646" s="89"/>
      <c r="BC1646" s="89"/>
      <c r="BD1646" s="89"/>
      <c r="BE1646" s="89"/>
      <c r="BF1646" s="89"/>
      <c r="BG1646" s="89"/>
      <c r="BH1646" s="89"/>
      <c r="BI1646" s="89"/>
      <c r="BJ1646" s="89"/>
      <c r="BK1646" s="89"/>
      <c r="BL1646" s="89"/>
      <c r="BM1646" s="89"/>
      <c r="BN1646" s="89"/>
      <c r="BO1646" s="89"/>
      <c r="BP1646" s="89"/>
    </row>
    <row r="1647" spans="1:68" s="56" customFormat="1" ht="13.5" hidden="1">
      <c r="A1647" s="204">
        <f>+IFERROR(VALUE(MID(AB1647,4,4)),"")</f>
        <v>235</v>
      </c>
      <c r="B1647" s="204">
        <f>VALUE(RIGHT(C1647,LEN(C1647)-2))</f>
        <v>1078</v>
      </c>
      <c r="C1647" s="74" t="s">
        <v>5969</v>
      </c>
      <c r="D1647" s="75">
        <v>43740</v>
      </c>
      <c r="E1647" s="70" t="s">
        <v>479</v>
      </c>
      <c r="F1647" s="70" t="s">
        <v>479</v>
      </c>
      <c r="G1647" s="68"/>
      <c r="H1647" s="59"/>
      <c r="I1647" s="69" t="s">
        <v>5970</v>
      </c>
      <c r="J1647" s="69"/>
      <c r="K1647" s="68" t="s">
        <v>113</v>
      </c>
      <c r="L1647" s="69" t="s">
        <v>120</v>
      </c>
      <c r="M1647" s="71" t="s">
        <v>113</v>
      </c>
      <c r="N1647" s="69" t="e" vm="2">
        <v>#VALUE!</v>
      </c>
      <c r="O1647" s="84">
        <v>43763</v>
      </c>
      <c r="P1647" s="72" t="s">
        <v>402</v>
      </c>
      <c r="Q1647" s="72" t="s">
        <v>405</v>
      </c>
      <c r="R1647" s="162"/>
      <c r="S1647" s="146" t="s">
        <v>5971</v>
      </c>
      <c r="T1647" s="68" t="s">
        <v>3</v>
      </c>
      <c r="U1647" s="87"/>
      <c r="V1647" s="80">
        <v>43850</v>
      </c>
      <c r="W1647" s="73">
        <v>18026</v>
      </c>
      <c r="X1647" s="73">
        <f>4336612*180/1000000</f>
        <v>780.59015999999997</v>
      </c>
      <c r="Y1647" s="83">
        <f>IF(SUM(W1647:W1647)&gt;0,X1647/SUM(W1647:W1647)*1000000,"N/A")</f>
        <v>43303.570398313546</v>
      </c>
      <c r="Z1647" s="80"/>
      <c r="AA1647" s="80"/>
      <c r="AB1647" s="73" t="s">
        <v>5972</v>
      </c>
      <c r="AC1647" s="153"/>
      <c r="AD1647" s="331"/>
      <c r="AE1647" s="57"/>
      <c r="AF1647" s="88"/>
      <c r="AG1647" s="182">
        <f>YEAR(D1647)</f>
        <v>2019</v>
      </c>
      <c r="AH1647" s="86" t="str">
        <f>+IF(AE1647=$AJ$22,MONTH(T1647),"")</f>
        <v/>
      </c>
      <c r="AI1647" s="86" t="str">
        <f>+IF(AF1647=$AJ$22,MONTH(U1647),"")</f>
        <v/>
      </c>
      <c r="AJ1647" s="86" t="str">
        <f>+IF(AG1647=$AJ$22,MONTH(V1647),"")</f>
        <v/>
      </c>
      <c r="AK1647" s="86" t="str">
        <f>+IF(AG1647=$AK$22,MONTH(V1647),"")</f>
        <v/>
      </c>
      <c r="AL1647" s="86" t="str">
        <f>+IF(AG1647=$AL$22,MONTH(V1647),"")</f>
        <v/>
      </c>
      <c r="AM1647" s="86" t="str">
        <f>+IF($AG1647=$AM$22,MONTH($D1647),"")</f>
        <v/>
      </c>
      <c r="AN1647" s="89" t="str">
        <f>+IF($AG1647=AN$22,MONTH($D1647),"")</f>
        <v/>
      </c>
      <c r="AO1647" s="89">
        <f>+IF($AG1647=AO$22,MONTH($D1647),"")</f>
        <v>10</v>
      </c>
      <c r="AP1647" s="89" t="str">
        <f>+IF($AG1647=AP$22,MONTH($D1647),"")</f>
        <v/>
      </c>
      <c r="AQ1647" s="89" t="str">
        <f>+IF($AG1647=AQ$22,MONTH($D1647),"")</f>
        <v/>
      </c>
      <c r="AR1647" s="89" t="str">
        <f>+IF($AG1647=AR$22,MONTH($D1647),"")</f>
        <v/>
      </c>
      <c r="AS1647" s="89" t="str">
        <f>+IF($AG1647=AS$22,MONTH($D1647),"")</f>
        <v/>
      </c>
      <c r="AT1647" s="89" t="str">
        <f>+IF($AG1647=AT$22,MONTH($D1647),"")</f>
        <v/>
      </c>
      <c r="AU1647" s="89" t="str">
        <f>+IF($AG1647=AU$22,MONTH($D1647),"")</f>
        <v/>
      </c>
      <c r="AV1647" s="89" t="str">
        <f>+IF($AG1647=AV$22,MONTH($D1647),"")</f>
        <v/>
      </c>
      <c r="AW1647" s="86" t="str">
        <f>+IF($AG1647=AW$22,MONTH($D1647),"")</f>
        <v/>
      </c>
      <c r="AX1647" s="86" t="str">
        <f>+IF($AG1647=AX$22,MONTH($D1647),"")</f>
        <v/>
      </c>
      <c r="AY1647" s="89"/>
      <c r="AZ1647" s="89"/>
      <c r="BA1647" s="89"/>
      <c r="BB1647" s="89"/>
      <c r="BC1647" s="89"/>
      <c r="BD1647" s="89"/>
      <c r="BE1647" s="89"/>
      <c r="BF1647" s="89"/>
      <c r="BG1647" s="89"/>
      <c r="BH1647" s="89"/>
      <c r="BI1647" s="89"/>
      <c r="BJ1647" s="89"/>
      <c r="BK1647" s="89"/>
      <c r="BL1647" s="89"/>
      <c r="BM1647" s="89"/>
      <c r="BN1647" s="89"/>
      <c r="BO1647" s="89"/>
      <c r="BP1647" s="89"/>
    </row>
    <row r="1648" spans="1:68" s="56" customFormat="1" ht="26.25" hidden="1" customHeight="1">
      <c r="A1648" s="204" t="str">
        <f>+IFERROR(VALUE(MID(AB1648,4,4)),"")</f>
        <v/>
      </c>
      <c r="B1648" s="204">
        <f>VALUE(RIGHT(C1648,LEN(C1648)-2))</f>
        <v>1077</v>
      </c>
      <c r="C1648" s="74" t="s">
        <v>5973</v>
      </c>
      <c r="D1648" s="75">
        <v>43719</v>
      </c>
      <c r="E1648" s="70" t="s">
        <v>262</v>
      </c>
      <c r="F1648" s="70" t="s">
        <v>3971</v>
      </c>
      <c r="G1648" s="68"/>
      <c r="H1648" s="59"/>
      <c r="I1648" s="69" t="s">
        <v>5974</v>
      </c>
      <c r="J1648" s="69"/>
      <c r="K1648" s="68"/>
      <c r="L1648" s="69" t="s">
        <v>120</v>
      </c>
      <c r="M1648" s="71" t="s">
        <v>141</v>
      </c>
      <c r="N1648" s="69" t="e" vm="1">
        <v>#VALUE!</v>
      </c>
      <c r="O1648" s="84"/>
      <c r="P1648" s="72"/>
      <c r="Q1648" s="72"/>
      <c r="R1648" s="162"/>
      <c r="S1648" s="146"/>
      <c r="T1648" s="68" t="s">
        <v>155</v>
      </c>
      <c r="U1648" s="87"/>
      <c r="V1648" s="80"/>
      <c r="W1648" s="73"/>
      <c r="X1648" s="73"/>
      <c r="Y1648" s="83" t="str">
        <f>IF(SUM(W1648:W1648)&gt;0,X1648/SUM(W1648:W1648)*1000000,"N/A")</f>
        <v>N/A</v>
      </c>
      <c r="Z1648" s="80"/>
      <c r="AA1648" s="80"/>
      <c r="AB1648" s="73"/>
      <c r="AC1648" s="153"/>
      <c r="AD1648" s="331"/>
      <c r="AE1648" s="57"/>
      <c r="AF1648" s="88"/>
      <c r="AG1648" s="182">
        <f>YEAR(D1648)</f>
        <v>2019</v>
      </c>
      <c r="AH1648" s="86" t="str">
        <f>+IF(AE1648=$AJ$22,MONTH(T1648),"")</f>
        <v/>
      </c>
      <c r="AI1648" s="86" t="str">
        <f>+IF(AF1648=$AJ$22,MONTH(U1648),"")</f>
        <v/>
      </c>
      <c r="AJ1648" s="86" t="str">
        <f>+IF(AG1648=$AJ$22,MONTH(V1648),"")</f>
        <v/>
      </c>
      <c r="AK1648" s="86" t="str">
        <f>+IF(AG1648=$AK$22,MONTH(V1648),"")</f>
        <v/>
      </c>
      <c r="AL1648" s="86" t="str">
        <f>+IF(AG1648=$AL$22,MONTH(V1648),"")</f>
        <v/>
      </c>
      <c r="AM1648" s="86" t="str">
        <f>+IF($AG1648=$AM$22,MONTH($D1648),"")</f>
        <v/>
      </c>
      <c r="AN1648" s="89" t="str">
        <f>+IF($AG1648=AN$22,MONTH($D1648),"")</f>
        <v/>
      </c>
      <c r="AO1648" s="89">
        <f>+IF($AG1648=AO$22,MONTH($D1648),"")</f>
        <v>9</v>
      </c>
      <c r="AP1648" s="89" t="str">
        <f>+IF($AG1648=AP$22,MONTH($D1648),"")</f>
        <v/>
      </c>
      <c r="AQ1648" s="89" t="str">
        <f>+IF($AG1648=AQ$22,MONTH($D1648),"")</f>
        <v/>
      </c>
      <c r="AR1648" s="89" t="str">
        <f>+IF($AG1648=AR$22,MONTH($D1648),"")</f>
        <v/>
      </c>
      <c r="AS1648" s="89" t="str">
        <f>+IF($AG1648=AS$22,MONTH($D1648),"")</f>
        <v/>
      </c>
      <c r="AT1648" s="89" t="str">
        <f>+IF($AG1648=AT$22,MONTH($D1648),"")</f>
        <v/>
      </c>
      <c r="AU1648" s="89" t="str">
        <f>+IF($AG1648=AU$22,MONTH($D1648),"")</f>
        <v/>
      </c>
      <c r="AV1648" s="89" t="str">
        <f>+IF($AG1648=AV$22,MONTH($D1648),"")</f>
        <v/>
      </c>
      <c r="AW1648" s="86"/>
      <c r="AX1648" s="86"/>
      <c r="AY1648" s="89"/>
      <c r="AZ1648" s="89"/>
      <c r="BA1648" s="89"/>
      <c r="BB1648" s="89"/>
      <c r="BC1648" s="89"/>
      <c r="BD1648" s="89"/>
      <c r="BE1648" s="89"/>
      <c r="BF1648" s="89"/>
      <c r="BG1648" s="89"/>
      <c r="BH1648" s="89"/>
      <c r="BI1648" s="89"/>
      <c r="BJ1648" s="89"/>
      <c r="BK1648" s="89"/>
      <c r="BL1648" s="89"/>
      <c r="BM1648" s="89"/>
      <c r="BN1648" s="89"/>
      <c r="BO1648" s="89"/>
      <c r="BP1648" s="89"/>
    </row>
    <row r="1649" spans="1:68" s="56" customFormat="1" ht="13.5" hidden="1">
      <c r="A1649" s="204" t="str">
        <f>+IFERROR(VALUE(MID(AB1649,4,4)),"")</f>
        <v/>
      </c>
      <c r="B1649" s="204">
        <f>VALUE(RIGHT(C1649,LEN(C1649)-2))</f>
        <v>1076</v>
      </c>
      <c r="C1649" s="74" t="s">
        <v>5975</v>
      </c>
      <c r="D1649" s="75">
        <v>43713</v>
      </c>
      <c r="E1649" s="70" t="s">
        <v>4114</v>
      </c>
      <c r="F1649" s="70" t="s">
        <v>4114</v>
      </c>
      <c r="G1649" s="68"/>
      <c r="H1649" s="59"/>
      <c r="I1649" s="69" t="s">
        <v>5976</v>
      </c>
      <c r="J1649" s="69"/>
      <c r="K1649" s="68" t="s">
        <v>13</v>
      </c>
      <c r="L1649" s="69" t="s">
        <v>129</v>
      </c>
      <c r="M1649" s="71" t="s">
        <v>141</v>
      </c>
      <c r="N1649" s="69" t="e" vm="1">
        <v>#VALUE!</v>
      </c>
      <c r="O1649" s="84">
        <v>43777</v>
      </c>
      <c r="P1649" s="72" t="s">
        <v>5223</v>
      </c>
      <c r="Q1649" s="72"/>
      <c r="R1649" s="162"/>
      <c r="S1649" s="146"/>
      <c r="T1649" s="68" t="s">
        <v>165</v>
      </c>
      <c r="U1649" s="87"/>
      <c r="V1649" s="80">
        <v>43997</v>
      </c>
      <c r="W1649" s="73">
        <v>7609</v>
      </c>
      <c r="X1649" s="73">
        <f>9973.55*28000/1000000</f>
        <v>279.25940000000003</v>
      </c>
      <c r="Y1649" s="83">
        <f>IF(SUM(W1649:W1649)&gt;0,X1649/SUM(W1649:W1649)*1000000,"N/A")</f>
        <v>36701.195952161921</v>
      </c>
      <c r="Z1649" s="80"/>
      <c r="AA1649" s="80"/>
      <c r="AB1649" s="73"/>
      <c r="AC1649" s="153"/>
      <c r="AD1649" s="331"/>
      <c r="AE1649" s="57"/>
      <c r="AF1649" s="88"/>
      <c r="AG1649" s="182">
        <f>YEAR(D1649)</f>
        <v>2019</v>
      </c>
      <c r="AH1649" s="86" t="str">
        <f>+IF(AE1649=$AJ$22,MONTH(T1649),"")</f>
        <v/>
      </c>
      <c r="AI1649" s="86" t="str">
        <f>+IF(AF1649=$AJ$22,MONTH(U1649),"")</f>
        <v/>
      </c>
      <c r="AJ1649" s="86" t="str">
        <f>+IF(AG1649=$AJ$22,MONTH(V1649),"")</f>
        <v/>
      </c>
      <c r="AK1649" s="86" t="str">
        <f>+IF(AG1649=$AK$22,MONTH(V1649),"")</f>
        <v/>
      </c>
      <c r="AL1649" s="86" t="str">
        <f>+IF(AG1649=$AL$22,MONTH(V1649),"")</f>
        <v/>
      </c>
      <c r="AM1649" s="86" t="str">
        <f>+IF($AG1649=$AM$22,MONTH($D1649),"")</f>
        <v/>
      </c>
      <c r="AN1649" s="89" t="str">
        <f>+IF($AG1649=AN$22,MONTH($D1649),"")</f>
        <v/>
      </c>
      <c r="AO1649" s="89">
        <f>+IF($AG1649=AO$22,MONTH($D1649),"")</f>
        <v>9</v>
      </c>
      <c r="AP1649" s="89" t="str">
        <f>+IF($AG1649=AP$22,MONTH($D1649),"")</f>
        <v/>
      </c>
      <c r="AQ1649" s="89" t="str">
        <f>+IF($AG1649=AQ$22,MONTH($D1649),"")</f>
        <v/>
      </c>
      <c r="AR1649" s="89" t="str">
        <f>+IF($AG1649=AR$22,MONTH($D1649),"")</f>
        <v/>
      </c>
      <c r="AS1649" s="89" t="str">
        <f>+IF($AG1649=AS$22,MONTH($D1649),"")</f>
        <v/>
      </c>
      <c r="AT1649" s="89" t="str">
        <f>+IF($AG1649=AT$22,MONTH($D1649),"")</f>
        <v/>
      </c>
      <c r="AU1649" s="89" t="str">
        <f>+IF($AG1649=AU$22,MONTH($D1649),"")</f>
        <v/>
      </c>
      <c r="AV1649" s="89" t="str">
        <f>+IF($AG1649=AV$22,MONTH($D1649),"")</f>
        <v/>
      </c>
      <c r="AW1649" s="86"/>
      <c r="AX1649" s="86"/>
      <c r="AY1649" s="89"/>
      <c r="AZ1649" s="89"/>
      <c r="BA1649" s="89"/>
      <c r="BB1649" s="89"/>
      <c r="BC1649" s="89"/>
      <c r="BD1649" s="89"/>
      <c r="BE1649" s="89"/>
      <c r="BF1649" s="89"/>
      <c r="BG1649" s="89"/>
      <c r="BH1649" s="89"/>
      <c r="BI1649" s="89"/>
      <c r="BJ1649" s="89"/>
      <c r="BK1649" s="89"/>
      <c r="BL1649" s="89"/>
      <c r="BM1649" s="89"/>
      <c r="BN1649" s="89"/>
      <c r="BO1649" s="89"/>
      <c r="BP1649" s="89"/>
    </row>
    <row r="1650" spans="1:68" s="56" customFormat="1" ht="27" hidden="1">
      <c r="A1650" s="204">
        <f>+IFERROR(VALUE(MID(AB1650,4,4)),"")</f>
        <v>178</v>
      </c>
      <c r="B1650" s="204">
        <f>VALUE(RIGHT(C1650,LEN(C1650)-2))</f>
        <v>1075</v>
      </c>
      <c r="C1650" s="74" t="s">
        <v>5977</v>
      </c>
      <c r="D1650" s="75">
        <v>43700</v>
      </c>
      <c r="E1650" s="70" t="s">
        <v>262</v>
      </c>
      <c r="F1650" s="70" t="s">
        <v>270</v>
      </c>
      <c r="G1650" s="68" t="s">
        <v>5978</v>
      </c>
      <c r="H1650" s="59"/>
      <c r="I1650" s="69" t="s">
        <v>5979</v>
      </c>
      <c r="J1650" s="69"/>
      <c r="K1650" s="68"/>
      <c r="L1650" s="69" t="s">
        <v>120</v>
      </c>
      <c r="M1650" s="71" t="s">
        <v>141</v>
      </c>
      <c r="N1650" s="69" t="e" vm="1">
        <v>#VALUE!</v>
      </c>
      <c r="O1650" s="84">
        <v>43700</v>
      </c>
      <c r="P1650" s="72" t="s">
        <v>274</v>
      </c>
      <c r="Q1650" s="72" t="s">
        <v>623</v>
      </c>
      <c r="R1650" s="162"/>
      <c r="S1650" s="146" t="s">
        <v>5980</v>
      </c>
      <c r="T1650" s="68" t="s">
        <v>3</v>
      </c>
      <c r="U1650" s="87"/>
      <c r="V1650" s="80">
        <v>43703</v>
      </c>
      <c r="W1650" s="73">
        <v>840</v>
      </c>
      <c r="X1650" s="73">
        <f>37379476/1000000</f>
        <v>37.379475999999997</v>
      </c>
      <c r="Y1650" s="83">
        <f>IF(SUM(W1650:W1650)&gt;0,X1650/SUM(W1650:W1650)*1000000,"N/A")</f>
        <v>44499.376190476185</v>
      </c>
      <c r="Z1650" s="80"/>
      <c r="AA1650" s="80"/>
      <c r="AB1650" s="73" t="s">
        <v>5981</v>
      </c>
      <c r="AC1650" s="153"/>
      <c r="AD1650" s="331"/>
      <c r="AE1650" s="57"/>
      <c r="AF1650" s="88"/>
      <c r="AG1650" s="182">
        <f>YEAR(D1650)</f>
        <v>2019</v>
      </c>
      <c r="AH1650" s="86" t="str">
        <f>+IF(AE1650=$AJ$22,MONTH(T1650),"")</f>
        <v/>
      </c>
      <c r="AI1650" s="86" t="str">
        <f>+IF(AF1650=$AJ$22,MONTH(U1650),"")</f>
        <v/>
      </c>
      <c r="AJ1650" s="86" t="str">
        <f>+IF(AG1650=$AJ$22,MONTH(V1650),"")</f>
        <v/>
      </c>
      <c r="AK1650" s="86" t="str">
        <f>+IF(AG1650=$AK$22,MONTH(V1650),"")</f>
        <v/>
      </c>
      <c r="AL1650" s="86" t="str">
        <f>+IF(AG1650=$AL$22,MONTH(V1650),"")</f>
        <v/>
      </c>
      <c r="AM1650" s="86" t="str">
        <f>+IF($AG1650=$AM$22,MONTH($D1650),"")</f>
        <v/>
      </c>
      <c r="AN1650" s="89" t="str">
        <f>+IF($AG1650=AN$22,MONTH($D1650),"")</f>
        <v/>
      </c>
      <c r="AO1650" s="89">
        <f>+IF($AG1650=AO$22,MONTH($D1650),"")</f>
        <v>8</v>
      </c>
      <c r="AP1650" s="89" t="str">
        <f>+IF($AG1650=AP$22,MONTH($D1650),"")</f>
        <v/>
      </c>
      <c r="AQ1650" s="89" t="str">
        <f>+IF($AG1650=AQ$22,MONTH($D1650),"")</f>
        <v/>
      </c>
      <c r="AR1650" s="89" t="str">
        <f>+IF($AG1650=AR$22,MONTH($D1650),"")</f>
        <v/>
      </c>
      <c r="AS1650" s="89" t="str">
        <f>+IF($AG1650=AS$22,MONTH($D1650),"")</f>
        <v/>
      </c>
      <c r="AT1650" s="89" t="str">
        <f>+IF($AG1650=AT$22,MONTH($D1650),"")</f>
        <v/>
      </c>
      <c r="AU1650" s="89" t="str">
        <f>+IF($AG1650=AU$22,MONTH($D1650),"")</f>
        <v/>
      </c>
      <c r="AV1650" s="89" t="str">
        <f>+IF($AG1650=AV$22,MONTH($D1650),"")</f>
        <v/>
      </c>
      <c r="AW1650" s="86" t="str">
        <f>+IF($AG1650=AW$22,MONTH($D1650),"")</f>
        <v/>
      </c>
      <c r="AX1650" s="86" t="str">
        <f>+IF($AG1650=AX$22,MONTH($D1650),"")</f>
        <v/>
      </c>
      <c r="AY1650" s="89"/>
      <c r="AZ1650" s="89"/>
      <c r="BA1650" s="89"/>
      <c r="BB1650" s="89"/>
      <c r="BC1650" s="89"/>
      <c r="BD1650" s="89"/>
      <c r="BE1650" s="89"/>
      <c r="BF1650" s="89"/>
      <c r="BG1650" s="89"/>
      <c r="BH1650" s="89"/>
      <c r="BI1650" s="89"/>
      <c r="BJ1650" s="89"/>
      <c r="BK1650" s="89"/>
      <c r="BL1650" s="89"/>
      <c r="BM1650" s="89"/>
      <c r="BN1650" s="89"/>
      <c r="BO1650" s="89"/>
      <c r="BP1650" s="89"/>
    </row>
    <row r="1651" spans="1:68" s="56" customFormat="1" ht="13.5" hidden="1">
      <c r="A1651" s="204">
        <f>+IFERROR(VALUE(MID(AB1651,4,4)),"")</f>
        <v>230</v>
      </c>
      <c r="B1651" s="204">
        <f>VALUE(RIGHT(C1651,LEN(C1651)-2))</f>
        <v>1074</v>
      </c>
      <c r="C1651" s="74" t="s">
        <v>5982</v>
      </c>
      <c r="D1651" s="75">
        <v>43699</v>
      </c>
      <c r="E1651" s="70" t="s">
        <v>4114</v>
      </c>
      <c r="F1651" s="70" t="s">
        <v>4114</v>
      </c>
      <c r="G1651" s="68"/>
      <c r="H1651" s="59"/>
      <c r="I1651" s="69" t="s">
        <v>5983</v>
      </c>
      <c r="J1651" s="69"/>
      <c r="K1651" s="68" t="s">
        <v>11</v>
      </c>
      <c r="L1651" s="69" t="s">
        <v>120</v>
      </c>
      <c r="M1651" s="71" t="s">
        <v>141</v>
      </c>
      <c r="N1651" s="69" t="e" vm="1">
        <v>#VALUE!</v>
      </c>
      <c r="O1651" s="84">
        <v>43699</v>
      </c>
      <c r="P1651" s="72" t="s">
        <v>402</v>
      </c>
      <c r="Q1651" s="72" t="s">
        <v>316</v>
      </c>
      <c r="R1651" s="162"/>
      <c r="S1651" s="146" t="s">
        <v>5984</v>
      </c>
      <c r="T1651" s="68" t="s">
        <v>3</v>
      </c>
      <c r="U1651" s="87"/>
      <c r="V1651" s="80">
        <v>43783</v>
      </c>
      <c r="W1651" s="73">
        <v>2210</v>
      </c>
      <c r="X1651" s="73">
        <f>3118*27000/1000000</f>
        <v>84.186000000000007</v>
      </c>
      <c r="Y1651" s="83">
        <f>IF(SUM(W1651:W1651)&gt;0,X1651/SUM(W1651:W1651)*1000000,"N/A")</f>
        <v>38093.212669683264</v>
      </c>
      <c r="Z1651" s="80"/>
      <c r="AA1651" s="80"/>
      <c r="AB1651" s="73" t="s">
        <v>5985</v>
      </c>
      <c r="AC1651" s="153"/>
      <c r="AD1651" s="331"/>
      <c r="AE1651" s="57"/>
      <c r="AF1651" s="88"/>
      <c r="AG1651" s="182">
        <f>YEAR(D1651)</f>
        <v>2019</v>
      </c>
      <c r="AH1651" s="86" t="str">
        <f>+IF(AE1651=$AJ$22,MONTH(T1651),"")</f>
        <v/>
      </c>
      <c r="AI1651" s="86" t="str">
        <f>+IF(AF1651=$AJ$22,MONTH(U1651),"")</f>
        <v/>
      </c>
      <c r="AJ1651" s="86" t="str">
        <f>+IF(AG1651=$AJ$22,MONTH(V1651),"")</f>
        <v/>
      </c>
      <c r="AK1651" s="86" t="str">
        <f>+IF(AG1651=$AK$22,MONTH(V1651),"")</f>
        <v/>
      </c>
      <c r="AL1651" s="86" t="str">
        <f>+IF(AG1651=$AL$22,MONTH(V1651),"")</f>
        <v/>
      </c>
      <c r="AM1651" s="86" t="str">
        <f>+IF($AG1651=$AM$22,MONTH($D1651),"")</f>
        <v/>
      </c>
      <c r="AN1651" s="89" t="str">
        <f>+IF($AG1651=AN$22,MONTH($D1651),"")</f>
        <v/>
      </c>
      <c r="AO1651" s="89">
        <f>+IF($AG1651=AO$22,MONTH($D1651),"")</f>
        <v>8</v>
      </c>
      <c r="AP1651" s="89" t="str">
        <f>+IF($AG1651=AP$22,MONTH($D1651),"")</f>
        <v/>
      </c>
      <c r="AQ1651" s="89" t="str">
        <f>+IF($AG1651=AQ$22,MONTH($D1651),"")</f>
        <v/>
      </c>
      <c r="AR1651" s="89" t="str">
        <f>+IF($AG1651=AR$22,MONTH($D1651),"")</f>
        <v/>
      </c>
      <c r="AS1651" s="89" t="str">
        <f>+IF($AG1651=AS$22,MONTH($D1651),"")</f>
        <v/>
      </c>
      <c r="AT1651" s="89" t="str">
        <f>+IF($AG1651=AT$22,MONTH($D1651),"")</f>
        <v/>
      </c>
      <c r="AU1651" s="89" t="str">
        <f>+IF($AG1651=AU$22,MONTH($D1651),"")</f>
        <v/>
      </c>
      <c r="AV1651" s="89" t="str">
        <f>+IF($AG1651=AV$22,MONTH($D1651),"")</f>
        <v/>
      </c>
      <c r="AW1651" s="86" t="str">
        <f>+IF($AG1651=AW$22,MONTH($D1651),"")</f>
        <v/>
      </c>
      <c r="AX1651" s="86" t="str">
        <f>+IF($AG1651=AX$22,MONTH($D1651),"")</f>
        <v/>
      </c>
      <c r="AY1651" s="89"/>
      <c r="AZ1651" s="89"/>
      <c r="BA1651" s="89"/>
      <c r="BB1651" s="89"/>
      <c r="BC1651" s="89"/>
      <c r="BD1651" s="89"/>
      <c r="BE1651" s="89"/>
      <c r="BF1651" s="89"/>
      <c r="BG1651" s="89"/>
      <c r="BH1651" s="89"/>
      <c r="BI1651" s="89"/>
      <c r="BJ1651" s="89"/>
      <c r="BK1651" s="89"/>
      <c r="BL1651" s="89"/>
      <c r="BM1651" s="89"/>
      <c r="BN1651" s="89"/>
      <c r="BO1651" s="89"/>
      <c r="BP1651" s="89"/>
    </row>
    <row r="1652" spans="1:68" s="56" customFormat="1" ht="13.5" hidden="1">
      <c r="A1652" s="204" t="str">
        <f>+IFERROR(VALUE(MID(AB1652,4,4)),"")</f>
        <v/>
      </c>
      <c r="B1652" s="204">
        <f>VALUE(RIGHT(C1652,LEN(C1652)-2))</f>
        <v>1073</v>
      </c>
      <c r="C1652" s="74" t="s">
        <v>5986</v>
      </c>
      <c r="D1652" s="75">
        <v>43697</v>
      </c>
      <c r="E1652" s="70" t="s">
        <v>394</v>
      </c>
      <c r="F1652" s="70" t="s">
        <v>394</v>
      </c>
      <c r="G1652" s="68" t="s">
        <v>5987</v>
      </c>
      <c r="H1652" s="59"/>
      <c r="I1652" s="69" t="s">
        <v>5988</v>
      </c>
      <c r="J1652" s="69"/>
      <c r="K1652" s="68"/>
      <c r="L1652" s="69" t="s">
        <v>120</v>
      </c>
      <c r="M1652" s="71" t="s">
        <v>141</v>
      </c>
      <c r="N1652" s="69" t="e" vm="1">
        <v>#VALUE!</v>
      </c>
      <c r="O1652" s="84">
        <v>43697</v>
      </c>
      <c r="P1652" s="72" t="s">
        <v>402</v>
      </c>
      <c r="Q1652" s="72" t="s">
        <v>259</v>
      </c>
      <c r="R1652" s="162"/>
      <c r="S1652" s="146"/>
      <c r="T1652" s="68" t="s">
        <v>3</v>
      </c>
      <c r="U1652" s="87"/>
      <c r="V1652" s="80">
        <v>43703</v>
      </c>
      <c r="W1652" s="73">
        <v>10</v>
      </c>
      <c r="X1652" s="73">
        <f>34*27000/1000000</f>
        <v>0.91800000000000004</v>
      </c>
      <c r="Y1652" s="83">
        <f>IF(SUM(W1652:W1652)&gt;0,X1652/SUM(W1652:W1652)*1000000,"N/A")</f>
        <v>91800</v>
      </c>
      <c r="Z1652" s="80"/>
      <c r="AA1652" s="80"/>
      <c r="AB1652" s="73"/>
      <c r="AC1652" s="153"/>
      <c r="AD1652" s="331"/>
      <c r="AE1652" s="57"/>
      <c r="AF1652" s="88"/>
      <c r="AG1652" s="182">
        <f>YEAR(D1652)</f>
        <v>2019</v>
      </c>
      <c r="AH1652" s="86" t="str">
        <f>+IF(AE1652=$AJ$22,MONTH(T1652),"")</f>
        <v/>
      </c>
      <c r="AI1652" s="86" t="str">
        <f>+IF(AF1652=$AJ$22,MONTH(U1652),"")</f>
        <v/>
      </c>
      <c r="AJ1652" s="86" t="str">
        <f>+IF(AG1652=$AJ$22,MONTH(V1652),"")</f>
        <v/>
      </c>
      <c r="AK1652" s="86" t="str">
        <f>+IF(AG1652=$AK$22,MONTH(V1652),"")</f>
        <v/>
      </c>
      <c r="AL1652" s="86" t="str">
        <f>+IF(AG1652=$AL$22,MONTH(V1652),"")</f>
        <v/>
      </c>
      <c r="AM1652" s="86" t="str">
        <f>+IF($AG1652=$AM$22,MONTH($D1652),"")</f>
        <v/>
      </c>
      <c r="AN1652" s="89" t="str">
        <f>+IF($AG1652=AN$22,MONTH($D1652),"")</f>
        <v/>
      </c>
      <c r="AO1652" s="89">
        <f>+IF($AG1652=AO$22,MONTH($D1652),"")</f>
        <v>8</v>
      </c>
      <c r="AP1652" s="89" t="str">
        <f>+IF($AG1652=AP$22,MONTH($D1652),"")</f>
        <v/>
      </c>
      <c r="AQ1652" s="89" t="str">
        <f>+IF($AG1652=AQ$22,MONTH($D1652),"")</f>
        <v/>
      </c>
      <c r="AR1652" s="89" t="str">
        <f>+IF($AG1652=AR$22,MONTH($D1652),"")</f>
        <v/>
      </c>
      <c r="AS1652" s="89" t="str">
        <f>+IF($AG1652=AS$22,MONTH($D1652),"")</f>
        <v/>
      </c>
      <c r="AT1652" s="89" t="str">
        <f>+IF($AG1652=AT$22,MONTH($D1652),"")</f>
        <v/>
      </c>
      <c r="AU1652" s="89" t="str">
        <f>+IF($AG1652=AU$22,MONTH($D1652),"")</f>
        <v/>
      </c>
      <c r="AV1652" s="89" t="str">
        <f>+IF($AG1652=AV$22,MONTH($D1652),"")</f>
        <v/>
      </c>
      <c r="AW1652" s="86"/>
      <c r="AX1652" s="86"/>
      <c r="AY1652" s="89"/>
      <c r="AZ1652" s="89"/>
      <c r="BA1652" s="89"/>
      <c r="BB1652" s="89"/>
      <c r="BC1652" s="89"/>
      <c r="BD1652" s="89"/>
      <c r="BE1652" s="89"/>
      <c r="BF1652" s="89"/>
      <c r="BG1652" s="89"/>
      <c r="BH1652" s="89"/>
      <c r="BI1652" s="89"/>
      <c r="BJ1652" s="89"/>
      <c r="BK1652" s="89"/>
      <c r="BL1652" s="89"/>
      <c r="BM1652" s="89"/>
      <c r="BN1652" s="89"/>
      <c r="BO1652" s="89"/>
      <c r="BP1652" s="89"/>
    </row>
    <row r="1653" spans="1:68" s="56" customFormat="1" ht="135" hidden="1">
      <c r="A1653" s="204" t="str">
        <f>+IFERROR(VALUE(MID(AB1653,4,4)),"")</f>
        <v/>
      </c>
      <c r="B1653" s="204">
        <f>VALUE(RIGHT(C1653,LEN(C1653)-2))</f>
        <v>1072</v>
      </c>
      <c r="C1653" s="74" t="s">
        <v>5989</v>
      </c>
      <c r="D1653" s="75">
        <v>43689</v>
      </c>
      <c r="E1653" s="70" t="s">
        <v>53</v>
      </c>
      <c r="F1653" s="70" t="s">
        <v>53</v>
      </c>
      <c r="G1653" s="68"/>
      <c r="H1653" s="59"/>
      <c r="I1653" s="69" t="s">
        <v>5990</v>
      </c>
      <c r="J1653" s="69"/>
      <c r="K1653" s="68" t="s">
        <v>29</v>
      </c>
      <c r="L1653" s="69" t="s">
        <v>123</v>
      </c>
      <c r="M1653" s="71" t="s">
        <v>141</v>
      </c>
      <c r="N1653" s="69" t="e" vm="1">
        <v>#VALUE!</v>
      </c>
      <c r="O1653" s="84">
        <v>43718</v>
      </c>
      <c r="P1653" s="72" t="s">
        <v>4567</v>
      </c>
      <c r="Q1653" s="72"/>
      <c r="R1653" s="162"/>
      <c r="S1653" s="146" t="s">
        <v>5991</v>
      </c>
      <c r="T1653" s="68" t="s">
        <v>165</v>
      </c>
      <c r="U1653" s="87"/>
      <c r="V1653" s="80">
        <v>43703</v>
      </c>
      <c r="W1653" s="73">
        <v>20300</v>
      </c>
      <c r="X1653" s="73">
        <f>680324113.2/1000000</f>
        <v>680.32411320000006</v>
      </c>
      <c r="Y1653" s="83">
        <f>IF(SUM(W1653:W1653)&gt;0,X1653/SUM(W1653:W1653)*1000000,"N/A")</f>
        <v>33513.503113300496</v>
      </c>
      <c r="Z1653" s="80"/>
      <c r="AA1653" s="80"/>
      <c r="AB1653" s="73"/>
      <c r="AC1653" s="153"/>
      <c r="AD1653" s="331"/>
      <c r="AE1653" s="57"/>
      <c r="AF1653" s="88"/>
      <c r="AG1653" s="182">
        <f>YEAR(D1653)</f>
        <v>2019</v>
      </c>
      <c r="AH1653" s="86" t="str">
        <f>+IF(AE1653=$AJ$22,MONTH(T1653),"")</f>
        <v/>
      </c>
      <c r="AI1653" s="86" t="str">
        <f>+IF(AF1653=$AJ$22,MONTH(U1653),"")</f>
        <v/>
      </c>
      <c r="AJ1653" s="86" t="str">
        <f>+IF(AG1653=$AJ$22,MONTH(V1653),"")</f>
        <v/>
      </c>
      <c r="AK1653" s="86" t="str">
        <f>+IF(AG1653=$AK$22,MONTH(V1653),"")</f>
        <v/>
      </c>
      <c r="AL1653" s="86" t="str">
        <f>+IF(AG1653=$AL$22,MONTH(V1653),"")</f>
        <v/>
      </c>
      <c r="AM1653" s="86" t="str">
        <f>+IF($AG1653=$AM$22,MONTH($D1653),"")</f>
        <v/>
      </c>
      <c r="AN1653" s="89" t="str">
        <f>+IF($AG1653=AN$22,MONTH($D1653),"")</f>
        <v/>
      </c>
      <c r="AO1653" s="89">
        <f>+IF($AG1653=AO$22,MONTH($D1653),"")</f>
        <v>8</v>
      </c>
      <c r="AP1653" s="89" t="str">
        <f>+IF($AG1653=AP$22,MONTH($D1653),"")</f>
        <v/>
      </c>
      <c r="AQ1653" s="89" t="str">
        <f>+IF($AG1653=AQ$22,MONTH($D1653),"")</f>
        <v/>
      </c>
      <c r="AR1653" s="89" t="str">
        <f>+IF($AG1653=AR$22,MONTH($D1653),"")</f>
        <v/>
      </c>
      <c r="AS1653" s="89" t="str">
        <f>+IF($AG1653=AS$22,MONTH($D1653),"")</f>
        <v/>
      </c>
      <c r="AT1653" s="89" t="str">
        <f>+IF($AG1653=AT$22,MONTH($D1653),"")</f>
        <v/>
      </c>
      <c r="AU1653" s="89" t="str">
        <f>+IF($AG1653=AU$22,MONTH($D1653),"")</f>
        <v/>
      </c>
      <c r="AV1653" s="89" t="str">
        <f>+IF($AG1653=AV$22,MONTH($D1653),"")</f>
        <v/>
      </c>
      <c r="AW1653" s="86"/>
      <c r="AX1653" s="86"/>
      <c r="AY1653" s="89"/>
      <c r="AZ1653" s="89"/>
      <c r="BA1653" s="89"/>
      <c r="BB1653" s="89"/>
      <c r="BC1653" s="89"/>
      <c r="BD1653" s="89"/>
      <c r="BE1653" s="89"/>
      <c r="BF1653" s="89"/>
      <c r="BG1653" s="89"/>
      <c r="BH1653" s="89"/>
      <c r="BI1653" s="89"/>
      <c r="BJ1653" s="89"/>
      <c r="BK1653" s="89"/>
      <c r="BL1653" s="89"/>
      <c r="BM1653" s="89"/>
      <c r="BN1653" s="89"/>
      <c r="BO1653" s="89"/>
      <c r="BP1653" s="89"/>
    </row>
    <row r="1654" spans="1:68" s="56" customFormat="1" ht="13.5" hidden="1">
      <c r="A1654" s="204" t="str">
        <f>+IFERROR(VALUE(MID(AB1654,4,4)),"")</f>
        <v/>
      </c>
      <c r="B1654" s="204">
        <f>VALUE(RIGHT(C1654,LEN(C1654)-2))</f>
        <v>1071</v>
      </c>
      <c r="C1654" s="74" t="s">
        <v>5992</v>
      </c>
      <c r="D1654" s="75">
        <v>43685</v>
      </c>
      <c r="E1654" s="70" t="s">
        <v>4114</v>
      </c>
      <c r="F1654" s="70" t="s">
        <v>4114</v>
      </c>
      <c r="G1654" s="68" t="s">
        <v>5993</v>
      </c>
      <c r="H1654" s="59"/>
      <c r="I1654" s="69" t="s">
        <v>5994</v>
      </c>
      <c r="J1654" s="69"/>
      <c r="K1654" s="68" t="s">
        <v>29</v>
      </c>
      <c r="L1654" s="69" t="s">
        <v>120</v>
      </c>
      <c r="M1654" s="71" t="s">
        <v>141</v>
      </c>
      <c r="N1654" s="69" t="e" vm="1">
        <v>#VALUE!</v>
      </c>
      <c r="O1654" s="84">
        <v>43689</v>
      </c>
      <c r="P1654" s="72" t="s">
        <v>402</v>
      </c>
      <c r="Q1654" s="72"/>
      <c r="R1654" s="162"/>
      <c r="S1654" s="146"/>
      <c r="T1654" s="68" t="s">
        <v>155</v>
      </c>
      <c r="U1654" s="87"/>
      <c r="V1654" s="80">
        <v>43703</v>
      </c>
      <c r="W1654" s="73"/>
      <c r="X1654" s="73"/>
      <c r="Y1654" s="83" t="str">
        <f>IF(SUM(W1654:W1654)&gt;0,X1654/SUM(W1654:W1654)*1000000,"N/A")</f>
        <v>N/A</v>
      </c>
      <c r="Z1654" s="80"/>
      <c r="AA1654" s="80"/>
      <c r="AB1654" s="73"/>
      <c r="AC1654" s="153"/>
      <c r="AD1654" s="331"/>
      <c r="AE1654" s="57"/>
      <c r="AF1654" s="88"/>
      <c r="AG1654" s="182">
        <f>YEAR(D1654)</f>
        <v>2019</v>
      </c>
      <c r="AH1654" s="86" t="str">
        <f>+IF(AE1654=$AJ$22,MONTH(T1654),"")</f>
        <v/>
      </c>
      <c r="AI1654" s="86" t="str">
        <f>+IF(AF1654=$AJ$22,MONTH(U1654),"")</f>
        <v/>
      </c>
      <c r="AJ1654" s="86" t="str">
        <f>+IF(AG1654=$AJ$22,MONTH(V1654),"")</f>
        <v/>
      </c>
      <c r="AK1654" s="86" t="str">
        <f>+IF(AG1654=$AK$22,MONTH(V1654),"")</f>
        <v/>
      </c>
      <c r="AL1654" s="86" t="str">
        <f>+IF(AG1654=$AL$22,MONTH(V1654),"")</f>
        <v/>
      </c>
      <c r="AM1654" s="86" t="str">
        <f>+IF($AG1654=$AM$22,MONTH($D1654),"")</f>
        <v/>
      </c>
      <c r="AN1654" s="89" t="str">
        <f>+IF($AG1654=AN$22,MONTH($D1654),"")</f>
        <v/>
      </c>
      <c r="AO1654" s="89">
        <f>+IF($AG1654=AO$22,MONTH($D1654),"")</f>
        <v>8</v>
      </c>
      <c r="AP1654" s="89" t="str">
        <f>+IF($AG1654=AP$22,MONTH($D1654),"")</f>
        <v/>
      </c>
      <c r="AQ1654" s="89" t="str">
        <f>+IF($AG1654=AQ$22,MONTH($D1654),"")</f>
        <v/>
      </c>
      <c r="AR1654" s="89" t="str">
        <f>+IF($AG1654=AR$22,MONTH($D1654),"")</f>
        <v/>
      </c>
      <c r="AS1654" s="89" t="str">
        <f>+IF($AG1654=AS$22,MONTH($D1654),"")</f>
        <v/>
      </c>
      <c r="AT1654" s="89" t="str">
        <f>+IF($AG1654=AT$22,MONTH($D1654),"")</f>
        <v/>
      </c>
      <c r="AU1654" s="89" t="str">
        <f>+IF($AG1654=AU$22,MONTH($D1654),"")</f>
        <v/>
      </c>
      <c r="AV1654" s="89" t="str">
        <f>+IF($AG1654=AV$22,MONTH($D1654),"")</f>
        <v/>
      </c>
      <c r="AW1654" s="86"/>
      <c r="AX1654" s="86"/>
      <c r="AY1654" s="89"/>
      <c r="AZ1654" s="89"/>
      <c r="BA1654" s="89"/>
      <c r="BB1654" s="89"/>
      <c r="BC1654" s="89"/>
      <c r="BD1654" s="89"/>
      <c r="BE1654" s="89"/>
      <c r="BF1654" s="89"/>
      <c r="BG1654" s="89"/>
      <c r="BH1654" s="89"/>
      <c r="BI1654" s="89"/>
      <c r="BJ1654" s="89"/>
      <c r="BK1654" s="89"/>
      <c r="BL1654" s="89"/>
      <c r="BM1654" s="89"/>
      <c r="BN1654" s="89"/>
      <c r="BO1654" s="89"/>
      <c r="BP1654" s="89"/>
    </row>
    <row r="1655" spans="1:68" s="56" customFormat="1" ht="27" hidden="1">
      <c r="A1655" s="204" t="str">
        <f>+IFERROR(VALUE(MID(AB1655,4,4)),"")</f>
        <v/>
      </c>
      <c r="B1655" s="204">
        <f>VALUE(RIGHT(C1655,LEN(C1655)-2))</f>
        <v>1070</v>
      </c>
      <c r="C1655" s="74" t="s">
        <v>5995</v>
      </c>
      <c r="D1655" s="75">
        <v>43685</v>
      </c>
      <c r="E1655" s="70" t="s">
        <v>53</v>
      </c>
      <c r="F1655" s="70" t="s">
        <v>53</v>
      </c>
      <c r="G1655" s="68"/>
      <c r="H1655" s="59"/>
      <c r="I1655" s="69" t="s">
        <v>5996</v>
      </c>
      <c r="J1655" s="69"/>
      <c r="K1655" s="68" t="s">
        <v>29</v>
      </c>
      <c r="L1655" s="69" t="s">
        <v>123</v>
      </c>
      <c r="M1655" s="71" t="s">
        <v>141</v>
      </c>
      <c r="N1655" s="69" t="e" vm="1">
        <v>#VALUE!</v>
      </c>
      <c r="O1655" s="84">
        <v>43703</v>
      </c>
      <c r="P1655" s="72" t="s">
        <v>402</v>
      </c>
      <c r="Q1655" s="72"/>
      <c r="R1655" s="162"/>
      <c r="S1655" s="146" t="s">
        <v>5997</v>
      </c>
      <c r="T1655" s="68" t="s">
        <v>155</v>
      </c>
      <c r="U1655" s="87"/>
      <c r="V1655" s="80">
        <v>43703</v>
      </c>
      <c r="W1655" s="73"/>
      <c r="X1655" s="73"/>
      <c r="Y1655" s="83" t="str">
        <f>IF(SUM(W1655:W1655)&gt;0,X1655/SUM(W1655:W1655)*1000000,"N/A")</f>
        <v>N/A</v>
      </c>
      <c r="Z1655" s="80"/>
      <c r="AA1655" s="80"/>
      <c r="AB1655" s="73"/>
      <c r="AC1655" s="153"/>
      <c r="AD1655" s="331"/>
      <c r="AE1655" s="57"/>
      <c r="AF1655" s="88"/>
      <c r="AG1655" s="182">
        <f>YEAR(D1655)</f>
        <v>2019</v>
      </c>
      <c r="AH1655" s="86" t="str">
        <f>+IF(AE1655=$AJ$22,MONTH(T1655),"")</f>
        <v/>
      </c>
      <c r="AI1655" s="86" t="str">
        <f>+IF(AF1655=$AJ$22,MONTH(U1655),"")</f>
        <v/>
      </c>
      <c r="AJ1655" s="86" t="str">
        <f>+IF(AG1655=$AJ$22,MONTH(V1655),"")</f>
        <v/>
      </c>
      <c r="AK1655" s="86" t="str">
        <f>+IF(AG1655=$AK$22,MONTH(V1655),"")</f>
        <v/>
      </c>
      <c r="AL1655" s="86" t="str">
        <f>+IF(AG1655=$AL$22,MONTH(V1655),"")</f>
        <v/>
      </c>
      <c r="AM1655" s="86" t="str">
        <f>+IF($AG1655=$AM$22,MONTH($D1655),"")</f>
        <v/>
      </c>
      <c r="AN1655" s="89" t="str">
        <f>+IF($AG1655=AN$22,MONTH($D1655),"")</f>
        <v/>
      </c>
      <c r="AO1655" s="89">
        <f>+IF($AG1655=AO$22,MONTH($D1655),"")</f>
        <v>8</v>
      </c>
      <c r="AP1655" s="89" t="str">
        <f>+IF($AG1655=AP$22,MONTH($D1655),"")</f>
        <v/>
      </c>
      <c r="AQ1655" s="89" t="str">
        <f>+IF($AG1655=AQ$22,MONTH($D1655),"")</f>
        <v/>
      </c>
      <c r="AR1655" s="89" t="str">
        <f>+IF($AG1655=AR$22,MONTH($D1655),"")</f>
        <v/>
      </c>
      <c r="AS1655" s="89" t="str">
        <f>+IF($AG1655=AS$22,MONTH($D1655),"")</f>
        <v/>
      </c>
      <c r="AT1655" s="89" t="str">
        <f>+IF($AG1655=AT$22,MONTH($D1655),"")</f>
        <v/>
      </c>
      <c r="AU1655" s="89" t="str">
        <f>+IF($AG1655=AU$22,MONTH($D1655),"")</f>
        <v/>
      </c>
      <c r="AV1655" s="89" t="str">
        <f>+IF($AG1655=AV$22,MONTH($D1655),"")</f>
        <v/>
      </c>
      <c r="AW1655" s="86"/>
      <c r="AX1655" s="86"/>
      <c r="AY1655" s="89"/>
      <c r="AZ1655" s="89"/>
      <c r="BA1655" s="89"/>
      <c r="BB1655" s="89"/>
      <c r="BC1655" s="89"/>
      <c r="BD1655" s="89"/>
      <c r="BE1655" s="89"/>
      <c r="BF1655" s="89"/>
      <c r="BG1655" s="89"/>
      <c r="BH1655" s="89"/>
      <c r="BI1655" s="89"/>
      <c r="BJ1655" s="89"/>
      <c r="BK1655" s="89"/>
      <c r="BL1655" s="89"/>
      <c r="BM1655" s="89"/>
      <c r="BN1655" s="89"/>
      <c r="BO1655" s="89"/>
      <c r="BP1655" s="89"/>
    </row>
    <row r="1656" spans="1:68" s="56" customFormat="1" ht="13.5" hidden="1">
      <c r="A1656" s="204" t="str">
        <f>+IFERROR(VALUE(MID(AB1656,4,4)),"")</f>
        <v/>
      </c>
      <c r="B1656" s="204">
        <f>VALUE(RIGHT(C1656,LEN(C1656)-2))</f>
        <v>1069</v>
      </c>
      <c r="C1656" s="74" t="s">
        <v>5998</v>
      </c>
      <c r="D1656" s="75">
        <v>43682</v>
      </c>
      <c r="E1656" s="70" t="s">
        <v>41</v>
      </c>
      <c r="F1656" s="70" t="s">
        <v>41</v>
      </c>
      <c r="G1656" s="68"/>
      <c r="H1656" s="59"/>
      <c r="I1656" s="69" t="s">
        <v>5999</v>
      </c>
      <c r="J1656" s="69"/>
      <c r="K1656" s="68" t="s">
        <v>29</v>
      </c>
      <c r="L1656" s="69" t="s">
        <v>129</v>
      </c>
      <c r="M1656" s="71" t="s">
        <v>141</v>
      </c>
      <c r="N1656" s="69" t="e" vm="1">
        <v>#VALUE!</v>
      </c>
      <c r="O1656" s="84"/>
      <c r="P1656" s="72"/>
      <c r="Q1656" s="72"/>
      <c r="R1656" s="162"/>
      <c r="S1656" s="146"/>
      <c r="T1656" s="68" t="s">
        <v>155</v>
      </c>
      <c r="U1656" s="87"/>
      <c r="V1656" s="80">
        <v>43703</v>
      </c>
      <c r="W1656" s="73"/>
      <c r="X1656" s="73"/>
      <c r="Y1656" s="83" t="str">
        <f>IF(SUM(W1656:W1656)&gt;0,X1656/SUM(W1656:W1656)*1000000,"N/A")</f>
        <v>N/A</v>
      </c>
      <c r="Z1656" s="80"/>
      <c r="AA1656" s="80"/>
      <c r="AB1656" s="73"/>
      <c r="AC1656" s="153"/>
      <c r="AD1656" s="331"/>
      <c r="AE1656" s="57"/>
      <c r="AF1656" s="88"/>
      <c r="AG1656" s="182">
        <f>YEAR(D1656)</f>
        <v>2019</v>
      </c>
      <c r="AH1656" s="86" t="str">
        <f>+IF(AE1656=$AJ$22,MONTH(T1656),"")</f>
        <v/>
      </c>
      <c r="AI1656" s="86" t="str">
        <f>+IF(AF1656=$AJ$22,MONTH(U1656),"")</f>
        <v/>
      </c>
      <c r="AJ1656" s="86" t="str">
        <f>+IF(AG1656=$AJ$22,MONTH(V1656),"")</f>
        <v/>
      </c>
      <c r="AK1656" s="86" t="str">
        <f>+IF(AG1656=$AK$22,MONTH(V1656),"")</f>
        <v/>
      </c>
      <c r="AL1656" s="86" t="str">
        <f>+IF(AG1656=$AL$22,MONTH(V1656),"")</f>
        <v/>
      </c>
      <c r="AM1656" s="86" t="str">
        <f>+IF($AG1656=$AM$22,MONTH($D1656),"")</f>
        <v/>
      </c>
      <c r="AN1656" s="89" t="str">
        <f>+IF($AG1656=AN$22,MONTH($D1656),"")</f>
        <v/>
      </c>
      <c r="AO1656" s="89">
        <f>+IF($AG1656=AO$22,MONTH($D1656),"")</f>
        <v>8</v>
      </c>
      <c r="AP1656" s="89" t="str">
        <f>+IF($AG1656=AP$22,MONTH($D1656),"")</f>
        <v/>
      </c>
      <c r="AQ1656" s="89" t="str">
        <f>+IF($AG1656=AQ$22,MONTH($D1656),"")</f>
        <v/>
      </c>
      <c r="AR1656" s="89" t="str">
        <f>+IF($AG1656=AR$22,MONTH($D1656),"")</f>
        <v/>
      </c>
      <c r="AS1656" s="89" t="str">
        <f>+IF($AG1656=AS$22,MONTH($D1656),"")</f>
        <v/>
      </c>
      <c r="AT1656" s="89" t="str">
        <f>+IF($AG1656=AT$22,MONTH($D1656),"")</f>
        <v/>
      </c>
      <c r="AU1656" s="89" t="str">
        <f>+IF($AG1656=AU$22,MONTH($D1656),"")</f>
        <v/>
      </c>
      <c r="AV1656" s="89" t="str">
        <f>+IF($AG1656=AV$22,MONTH($D1656),"")</f>
        <v/>
      </c>
      <c r="AW1656" s="86"/>
      <c r="AX1656" s="86"/>
      <c r="AY1656" s="89"/>
      <c r="AZ1656" s="89"/>
      <c r="BA1656" s="89"/>
      <c r="BB1656" s="89"/>
      <c r="BC1656" s="89"/>
      <c r="BD1656" s="89"/>
      <c r="BE1656" s="89"/>
      <c r="BF1656" s="89"/>
      <c r="BG1656" s="89"/>
      <c r="BH1656" s="89"/>
      <c r="BI1656" s="89"/>
      <c r="BJ1656" s="89"/>
      <c r="BK1656" s="89"/>
      <c r="BL1656" s="89"/>
      <c r="BM1656" s="89"/>
      <c r="BN1656" s="89"/>
      <c r="BO1656" s="89"/>
      <c r="BP1656" s="89"/>
    </row>
    <row r="1657" spans="1:68" s="56" customFormat="1" ht="27" hidden="1">
      <c r="A1657" s="204">
        <f>+IFERROR(VALUE(MID(AB1657,4,4)),"")</f>
        <v>229</v>
      </c>
      <c r="B1657" s="204">
        <f>VALUE(RIGHT(C1657,LEN(C1657)-2))</f>
        <v>1068</v>
      </c>
      <c r="C1657" s="74" t="s">
        <v>6000</v>
      </c>
      <c r="D1657" s="75">
        <v>43682</v>
      </c>
      <c r="E1657" s="70" t="s">
        <v>4114</v>
      </c>
      <c r="F1657" s="70" t="s">
        <v>4114</v>
      </c>
      <c r="G1657" s="68" t="s">
        <v>6001</v>
      </c>
      <c r="H1657" s="59"/>
      <c r="I1657" s="69" t="s">
        <v>6002</v>
      </c>
      <c r="J1657" s="69"/>
      <c r="K1657" s="68" t="s">
        <v>29</v>
      </c>
      <c r="L1657" s="69" t="s">
        <v>120</v>
      </c>
      <c r="M1657" s="71" t="s">
        <v>141</v>
      </c>
      <c r="N1657" s="69" t="e" vm="1">
        <v>#VALUE!</v>
      </c>
      <c r="O1657" s="84">
        <v>43693</v>
      </c>
      <c r="P1657" s="72" t="s">
        <v>5223</v>
      </c>
      <c r="Q1657" s="72" t="s">
        <v>316</v>
      </c>
      <c r="R1657" s="162"/>
      <c r="S1657" s="146"/>
      <c r="T1657" s="68" t="s">
        <v>3</v>
      </c>
      <c r="U1657" s="87"/>
      <c r="V1657" s="80">
        <v>43703</v>
      </c>
      <c r="W1657" s="73">
        <f>(1127+225)</f>
        <v>1352</v>
      </c>
      <c r="X1657" s="73">
        <f>(1466+383)*28000/1000000</f>
        <v>51.771999999999998</v>
      </c>
      <c r="Y1657" s="83">
        <f>IF(SUM(W1657:W1657)&gt;0,X1657/SUM(W1657:W1657)*1000000,"N/A")</f>
        <v>38292.899408284022</v>
      </c>
      <c r="Z1657" s="80"/>
      <c r="AA1657" s="80"/>
      <c r="AB1657" s="73" t="s">
        <v>6003</v>
      </c>
      <c r="AC1657" s="153"/>
      <c r="AD1657" s="331"/>
      <c r="AE1657" s="57"/>
      <c r="AF1657" s="88"/>
      <c r="AG1657" s="182">
        <f>YEAR(D1657)</f>
        <v>2019</v>
      </c>
      <c r="AH1657" s="86" t="str">
        <f>+IF(AE1657=$AJ$22,MONTH(T1657),"")</f>
        <v/>
      </c>
      <c r="AI1657" s="86" t="str">
        <f>+IF(AF1657=$AJ$22,MONTH(U1657),"")</f>
        <v/>
      </c>
      <c r="AJ1657" s="86" t="str">
        <f>+IF(AG1657=$AJ$22,MONTH(V1657),"")</f>
        <v/>
      </c>
      <c r="AK1657" s="86" t="str">
        <f>+IF(AG1657=$AK$22,MONTH(V1657),"")</f>
        <v/>
      </c>
      <c r="AL1657" s="86" t="str">
        <f>+IF(AG1657=$AL$22,MONTH(V1657),"")</f>
        <v/>
      </c>
      <c r="AM1657" s="86" t="str">
        <f>+IF($AG1657=$AM$22,MONTH($D1657),"")</f>
        <v/>
      </c>
      <c r="AN1657" s="89" t="str">
        <f>+IF($AG1657=AN$22,MONTH($D1657),"")</f>
        <v/>
      </c>
      <c r="AO1657" s="89">
        <f>+IF($AG1657=AO$22,MONTH($D1657),"")</f>
        <v>8</v>
      </c>
      <c r="AP1657" s="89" t="str">
        <f>+IF($AG1657=AP$22,MONTH($D1657),"")</f>
        <v/>
      </c>
      <c r="AQ1657" s="89" t="str">
        <f>+IF($AG1657=AQ$22,MONTH($D1657),"")</f>
        <v/>
      </c>
      <c r="AR1657" s="89" t="str">
        <f>+IF($AG1657=AR$22,MONTH($D1657),"")</f>
        <v/>
      </c>
      <c r="AS1657" s="89" t="str">
        <f>+IF($AG1657=AS$22,MONTH($D1657),"")</f>
        <v/>
      </c>
      <c r="AT1657" s="89" t="str">
        <f>+IF($AG1657=AT$22,MONTH($D1657),"")</f>
        <v/>
      </c>
      <c r="AU1657" s="89" t="str">
        <f>+IF($AG1657=AU$22,MONTH($D1657),"")</f>
        <v/>
      </c>
      <c r="AV1657" s="89" t="str">
        <f>+IF($AG1657=AV$22,MONTH($D1657),"")</f>
        <v/>
      </c>
      <c r="AW1657" s="86"/>
      <c r="AX1657" s="86"/>
      <c r="AY1657" s="89"/>
      <c r="AZ1657" s="89"/>
      <c r="BA1657" s="89"/>
      <c r="BB1657" s="89"/>
      <c r="BC1657" s="89"/>
      <c r="BD1657" s="89"/>
      <c r="BE1657" s="89"/>
      <c r="BF1657" s="89"/>
      <c r="BG1657" s="89"/>
      <c r="BH1657" s="89"/>
      <c r="BI1657" s="89"/>
      <c r="BJ1657" s="89"/>
      <c r="BK1657" s="89"/>
      <c r="BL1657" s="89"/>
      <c r="BM1657" s="89"/>
      <c r="BN1657" s="89"/>
      <c r="BO1657" s="89"/>
      <c r="BP1657" s="89"/>
    </row>
    <row r="1658" spans="1:68" s="56" customFormat="1" ht="40.5" hidden="1">
      <c r="A1658" s="204" t="str">
        <f>+IFERROR(VALUE(MID(AB1658,4,4)),"")</f>
        <v/>
      </c>
      <c r="B1658" s="204">
        <f>VALUE(RIGHT(C1658,LEN(C1658)-2))</f>
        <v>1067</v>
      </c>
      <c r="C1658" s="74" t="s">
        <v>6004</v>
      </c>
      <c r="D1658" s="75">
        <v>43679</v>
      </c>
      <c r="E1658" s="70" t="s">
        <v>4114</v>
      </c>
      <c r="F1658" s="70" t="s">
        <v>4114</v>
      </c>
      <c r="G1658" s="68" t="s">
        <v>6005</v>
      </c>
      <c r="H1658" s="59"/>
      <c r="I1658" s="69" t="s">
        <v>6006</v>
      </c>
      <c r="J1658" s="69"/>
      <c r="K1658" s="68" t="s">
        <v>29</v>
      </c>
      <c r="L1658" s="69" t="s">
        <v>120</v>
      </c>
      <c r="M1658" s="71" t="s">
        <v>141</v>
      </c>
      <c r="N1658" s="69" t="e" vm="1">
        <v>#VALUE!</v>
      </c>
      <c r="O1658" s="84">
        <v>43682</v>
      </c>
      <c r="P1658" s="72" t="s">
        <v>402</v>
      </c>
      <c r="Q1658" s="72"/>
      <c r="R1658" s="162"/>
      <c r="S1658" s="146" t="s">
        <v>6007</v>
      </c>
      <c r="T1658" s="68" t="s">
        <v>155</v>
      </c>
      <c r="U1658" s="87"/>
      <c r="V1658" s="80">
        <v>43703</v>
      </c>
      <c r="W1658" s="73">
        <v>399</v>
      </c>
      <c r="X1658" s="73">
        <f>619*27000/1000000</f>
        <v>16.713000000000001</v>
      </c>
      <c r="Y1658" s="83">
        <f>IF(SUM(W1658:W1658)&gt;0,X1658/SUM(W1658:W1658)*1000000,"N/A")</f>
        <v>41887.218045112786</v>
      </c>
      <c r="Z1658" s="80"/>
      <c r="AA1658" s="80"/>
      <c r="AB1658" s="73"/>
      <c r="AC1658" s="153"/>
      <c r="AD1658" s="331"/>
      <c r="AE1658" s="57"/>
      <c r="AF1658" s="88"/>
      <c r="AG1658" s="182">
        <f>YEAR(D1658)</f>
        <v>2019</v>
      </c>
      <c r="AH1658" s="86" t="str">
        <f>+IF(AE1658=$AJ$22,MONTH(T1658),"")</f>
        <v/>
      </c>
      <c r="AI1658" s="86" t="str">
        <f>+IF(AF1658=$AJ$22,MONTH(U1658),"")</f>
        <v/>
      </c>
      <c r="AJ1658" s="86" t="str">
        <f>+IF(AG1658=$AJ$22,MONTH(V1658),"")</f>
        <v/>
      </c>
      <c r="AK1658" s="86" t="str">
        <f>+IF(AG1658=$AK$22,MONTH(V1658),"")</f>
        <v/>
      </c>
      <c r="AL1658" s="86" t="str">
        <f>+IF(AG1658=$AL$22,MONTH(V1658),"")</f>
        <v/>
      </c>
      <c r="AM1658" s="86" t="str">
        <f>+IF($AG1658=$AM$22,MONTH($D1658),"")</f>
        <v/>
      </c>
      <c r="AN1658" s="89" t="str">
        <f>+IF($AG1658=AN$22,MONTH($D1658),"")</f>
        <v/>
      </c>
      <c r="AO1658" s="89">
        <f>+IF($AG1658=AO$22,MONTH($D1658),"")</f>
        <v>8</v>
      </c>
      <c r="AP1658" s="89" t="str">
        <f>+IF($AG1658=AP$22,MONTH($D1658),"")</f>
        <v/>
      </c>
      <c r="AQ1658" s="89" t="str">
        <f>+IF($AG1658=AQ$22,MONTH($D1658),"")</f>
        <v/>
      </c>
      <c r="AR1658" s="89" t="str">
        <f>+IF($AG1658=AR$22,MONTH($D1658),"")</f>
        <v/>
      </c>
      <c r="AS1658" s="89" t="str">
        <f>+IF($AG1658=AS$22,MONTH($D1658),"")</f>
        <v/>
      </c>
      <c r="AT1658" s="89" t="str">
        <f>+IF($AG1658=AT$22,MONTH($D1658),"")</f>
        <v/>
      </c>
      <c r="AU1658" s="89" t="str">
        <f>+IF($AG1658=AU$22,MONTH($D1658),"")</f>
        <v/>
      </c>
      <c r="AV1658" s="89" t="str">
        <f>+IF($AG1658=AV$22,MONTH($D1658),"")</f>
        <v/>
      </c>
      <c r="AW1658" s="86"/>
      <c r="AX1658" s="86"/>
      <c r="AY1658" s="89"/>
      <c r="AZ1658" s="89"/>
      <c r="BA1658" s="89"/>
      <c r="BB1658" s="89"/>
      <c r="BC1658" s="89"/>
      <c r="BD1658" s="89"/>
      <c r="BE1658" s="89"/>
      <c r="BF1658" s="89"/>
      <c r="BG1658" s="89"/>
      <c r="BH1658" s="89"/>
      <c r="BI1658" s="89"/>
      <c r="BJ1658" s="89"/>
      <c r="BK1658" s="89"/>
      <c r="BL1658" s="89"/>
      <c r="BM1658" s="89"/>
      <c r="BN1658" s="89"/>
      <c r="BO1658" s="89"/>
      <c r="BP1658" s="89"/>
    </row>
    <row r="1659" spans="1:68" s="56" customFormat="1" ht="27" hidden="1">
      <c r="A1659" s="204" t="str">
        <f>+IFERROR(VALUE(MID(AB1659,4,4)),"")</f>
        <v/>
      </c>
      <c r="B1659" s="204">
        <f>VALUE(RIGHT(C1659,LEN(C1659)-2))</f>
        <v>1066</v>
      </c>
      <c r="C1659" s="74" t="s">
        <v>6008</v>
      </c>
      <c r="D1659" s="75">
        <v>43675</v>
      </c>
      <c r="E1659" s="70" t="s">
        <v>277</v>
      </c>
      <c r="F1659" s="70" t="s">
        <v>277</v>
      </c>
      <c r="G1659" s="68"/>
      <c r="H1659" s="59"/>
      <c r="I1659" s="69" t="s">
        <v>6009</v>
      </c>
      <c r="J1659" s="69"/>
      <c r="K1659" s="68" t="s">
        <v>29</v>
      </c>
      <c r="L1659" s="69" t="s">
        <v>120</v>
      </c>
      <c r="M1659" s="71" t="s">
        <v>141</v>
      </c>
      <c r="N1659" s="69" t="e" vm="1">
        <v>#VALUE!</v>
      </c>
      <c r="O1659" s="84">
        <v>43683</v>
      </c>
      <c r="P1659" s="72" t="s">
        <v>402</v>
      </c>
      <c r="Q1659" s="72"/>
      <c r="R1659" s="162"/>
      <c r="S1659" s="146"/>
      <c r="T1659" s="68" t="s">
        <v>165</v>
      </c>
      <c r="U1659" s="87"/>
      <c r="V1659" s="80">
        <v>43703</v>
      </c>
      <c r="W1659" s="73">
        <v>581</v>
      </c>
      <c r="X1659" s="73">
        <f>19987000/1000000</f>
        <v>19.986999999999998</v>
      </c>
      <c r="Y1659" s="83">
        <f>IF(SUM(W1659:W1659)&gt;0,X1659/SUM(W1659:W1659)*1000000,"N/A")</f>
        <v>34401.032702237513</v>
      </c>
      <c r="Z1659" s="80"/>
      <c r="AA1659" s="80"/>
      <c r="AB1659" s="73"/>
      <c r="AC1659" s="153"/>
      <c r="AD1659" s="331"/>
      <c r="AE1659" s="57"/>
      <c r="AF1659" s="88"/>
      <c r="AG1659" s="182">
        <f>YEAR(D1659)</f>
        <v>2019</v>
      </c>
      <c r="AH1659" s="86" t="str">
        <f>+IF(AE1659=$AJ$22,MONTH(T1659),"")</f>
        <v/>
      </c>
      <c r="AI1659" s="86" t="str">
        <f>+IF(AF1659=$AJ$22,MONTH(U1659),"")</f>
        <v/>
      </c>
      <c r="AJ1659" s="86" t="str">
        <f>+IF(AG1659=$AJ$22,MONTH(V1659),"")</f>
        <v/>
      </c>
      <c r="AK1659" s="86" t="str">
        <f>+IF(AG1659=$AK$22,MONTH(V1659),"")</f>
        <v/>
      </c>
      <c r="AL1659" s="86" t="str">
        <f>+IF(AG1659=$AL$22,MONTH(V1659),"")</f>
        <v/>
      </c>
      <c r="AM1659" s="86" t="str">
        <f>+IF($AG1659=$AM$22,MONTH($D1659),"")</f>
        <v/>
      </c>
      <c r="AN1659" s="89" t="str">
        <f>+IF($AG1659=AN$22,MONTH($D1659),"")</f>
        <v/>
      </c>
      <c r="AO1659" s="89">
        <f>+IF($AG1659=AO$22,MONTH($D1659),"")</f>
        <v>7</v>
      </c>
      <c r="AP1659" s="89" t="str">
        <f>+IF($AG1659=AP$22,MONTH($D1659),"")</f>
        <v/>
      </c>
      <c r="AQ1659" s="89" t="str">
        <f>+IF($AG1659=AQ$22,MONTH($D1659),"")</f>
        <v/>
      </c>
      <c r="AR1659" s="89" t="str">
        <f>+IF($AG1659=AR$22,MONTH($D1659),"")</f>
        <v/>
      </c>
      <c r="AS1659" s="89" t="str">
        <f>+IF($AG1659=AS$22,MONTH($D1659),"")</f>
        <v/>
      </c>
      <c r="AT1659" s="89" t="str">
        <f>+IF($AG1659=AT$22,MONTH($D1659),"")</f>
        <v/>
      </c>
      <c r="AU1659" s="89" t="str">
        <f>+IF($AG1659=AU$22,MONTH($D1659),"")</f>
        <v/>
      </c>
      <c r="AV1659" s="89" t="str">
        <f>+IF($AG1659=AV$22,MONTH($D1659),"")</f>
        <v/>
      </c>
      <c r="AW1659" s="86"/>
      <c r="AX1659" s="86"/>
      <c r="AY1659" s="89"/>
      <c r="AZ1659" s="89"/>
      <c r="BA1659" s="89"/>
      <c r="BB1659" s="89"/>
      <c r="BC1659" s="89"/>
      <c r="BD1659" s="89"/>
      <c r="BE1659" s="89"/>
      <c r="BF1659" s="89"/>
      <c r="BG1659" s="89"/>
      <c r="BH1659" s="89"/>
      <c r="BI1659" s="89"/>
      <c r="BJ1659" s="89"/>
      <c r="BK1659" s="89"/>
      <c r="BL1659" s="89"/>
      <c r="BM1659" s="89"/>
      <c r="BN1659" s="89"/>
      <c r="BO1659" s="89"/>
      <c r="BP1659" s="89"/>
    </row>
    <row r="1660" spans="1:68" s="56" customFormat="1" ht="13.5" hidden="1">
      <c r="A1660" s="204" t="str">
        <f>+IFERROR(VALUE(MID(AB1660,4,4)),"")</f>
        <v/>
      </c>
      <c r="B1660" s="204">
        <f>VALUE(RIGHT(C1660,LEN(C1660)-2))</f>
        <v>1065</v>
      </c>
      <c r="C1660" s="74" t="s">
        <v>6010</v>
      </c>
      <c r="D1660" s="75">
        <v>43675</v>
      </c>
      <c r="E1660" s="70" t="s">
        <v>4114</v>
      </c>
      <c r="F1660" s="70" t="s">
        <v>4114</v>
      </c>
      <c r="G1660" s="68"/>
      <c r="H1660" s="59"/>
      <c r="I1660" s="69" t="s">
        <v>6011</v>
      </c>
      <c r="J1660" s="69"/>
      <c r="K1660" s="68" t="s">
        <v>29</v>
      </c>
      <c r="L1660" s="69" t="s">
        <v>120</v>
      </c>
      <c r="M1660" s="71" t="s">
        <v>141</v>
      </c>
      <c r="N1660" s="69" t="e" vm="1">
        <v>#VALUE!</v>
      </c>
      <c r="O1660" s="84"/>
      <c r="P1660" s="72"/>
      <c r="Q1660" s="72"/>
      <c r="R1660" s="162"/>
      <c r="S1660" s="146"/>
      <c r="T1660" s="68" t="s">
        <v>165</v>
      </c>
      <c r="U1660" s="87"/>
      <c r="V1660" s="80">
        <v>43703</v>
      </c>
      <c r="W1660" s="73">
        <v>1</v>
      </c>
      <c r="X1660" s="73"/>
      <c r="Y1660" s="83">
        <f>IF(SUM(W1660:W1660)&gt;0,X1660/SUM(W1660:W1660)*1000000,"N/A")</f>
        <v>0</v>
      </c>
      <c r="Z1660" s="80"/>
      <c r="AA1660" s="80"/>
      <c r="AB1660" s="73"/>
      <c r="AC1660" s="153"/>
      <c r="AD1660" s="331"/>
      <c r="AE1660" s="57"/>
      <c r="AF1660" s="88"/>
      <c r="AG1660" s="182">
        <f>YEAR(D1660)</f>
        <v>2019</v>
      </c>
      <c r="AH1660" s="86" t="str">
        <f>+IF(AE1660=$AJ$22,MONTH(T1660),"")</f>
        <v/>
      </c>
      <c r="AI1660" s="86" t="str">
        <f>+IF(AF1660=$AJ$22,MONTH(U1660),"")</f>
        <v/>
      </c>
      <c r="AJ1660" s="86" t="str">
        <f>+IF(AG1660=$AJ$22,MONTH(V1660),"")</f>
        <v/>
      </c>
      <c r="AK1660" s="86" t="str">
        <f>+IF(AG1660=$AK$22,MONTH(V1660),"")</f>
        <v/>
      </c>
      <c r="AL1660" s="86" t="str">
        <f>+IF(AG1660=$AL$22,MONTH(V1660),"")</f>
        <v/>
      </c>
      <c r="AM1660" s="86" t="str">
        <f>+IF($AG1660=$AM$22,MONTH($D1660),"")</f>
        <v/>
      </c>
      <c r="AN1660" s="89" t="str">
        <f>+IF($AG1660=AN$22,MONTH($D1660),"")</f>
        <v/>
      </c>
      <c r="AO1660" s="89">
        <f>+IF($AG1660=AO$22,MONTH($D1660),"")</f>
        <v>7</v>
      </c>
      <c r="AP1660" s="89" t="str">
        <f>+IF($AG1660=AP$22,MONTH($D1660),"")</f>
        <v/>
      </c>
      <c r="AQ1660" s="89" t="str">
        <f>+IF($AG1660=AQ$22,MONTH($D1660),"")</f>
        <v/>
      </c>
      <c r="AR1660" s="89" t="str">
        <f>+IF($AG1660=AR$22,MONTH($D1660),"")</f>
        <v/>
      </c>
      <c r="AS1660" s="89" t="str">
        <f>+IF($AG1660=AS$22,MONTH($D1660),"")</f>
        <v/>
      </c>
      <c r="AT1660" s="89" t="str">
        <f>+IF($AG1660=AT$22,MONTH($D1660),"")</f>
        <v/>
      </c>
      <c r="AU1660" s="89" t="str">
        <f>+IF($AG1660=AU$22,MONTH($D1660),"")</f>
        <v/>
      </c>
      <c r="AV1660" s="89" t="str">
        <f>+IF($AG1660=AV$22,MONTH($D1660),"")</f>
        <v/>
      </c>
      <c r="AW1660" s="86"/>
      <c r="AX1660" s="86"/>
      <c r="AY1660" s="89"/>
      <c r="AZ1660" s="89"/>
      <c r="BA1660" s="89"/>
      <c r="BB1660" s="89"/>
      <c r="BC1660" s="89"/>
      <c r="BD1660" s="89"/>
      <c r="BE1660" s="89"/>
      <c r="BF1660" s="89"/>
      <c r="BG1660" s="89"/>
      <c r="BH1660" s="89"/>
      <c r="BI1660" s="89"/>
      <c r="BJ1660" s="89"/>
      <c r="BK1660" s="89"/>
      <c r="BL1660" s="89"/>
      <c r="BM1660" s="89"/>
      <c r="BN1660" s="89"/>
      <c r="BO1660" s="89"/>
      <c r="BP1660" s="89"/>
    </row>
    <row r="1661" spans="1:68" s="56" customFormat="1" ht="13.5" hidden="1">
      <c r="A1661" s="204">
        <f>+IFERROR(VALUE(MID(AB1661,4,4)),"")</f>
        <v>225</v>
      </c>
      <c r="B1661" s="204">
        <f>VALUE(RIGHT(C1661,LEN(C1661)-2))</f>
        <v>1064</v>
      </c>
      <c r="C1661" s="74" t="s">
        <v>6012</v>
      </c>
      <c r="D1661" s="75">
        <v>43672</v>
      </c>
      <c r="E1661" s="70" t="s">
        <v>2961</v>
      </c>
      <c r="F1661" s="70" t="s">
        <v>2961</v>
      </c>
      <c r="G1661" s="68" t="s">
        <v>364</v>
      </c>
      <c r="H1661" s="59"/>
      <c r="I1661" s="69" t="s">
        <v>6013</v>
      </c>
      <c r="J1661" s="69"/>
      <c r="K1661" s="68" t="s">
        <v>29</v>
      </c>
      <c r="L1661" s="69" t="s">
        <v>120</v>
      </c>
      <c r="M1661" s="71" t="s">
        <v>141</v>
      </c>
      <c r="N1661" s="69" t="e" vm="1">
        <v>#VALUE!</v>
      </c>
      <c r="O1661" s="84">
        <v>43672</v>
      </c>
      <c r="P1661" s="72" t="s">
        <v>402</v>
      </c>
      <c r="Q1661" s="72" t="s">
        <v>259</v>
      </c>
      <c r="R1661" s="162"/>
      <c r="S1661" s="146"/>
      <c r="T1661" s="68" t="s">
        <v>3</v>
      </c>
      <c r="U1661" s="87"/>
      <c r="V1661" s="80">
        <v>43703</v>
      </c>
      <c r="W1661" s="73">
        <v>50</v>
      </c>
      <c r="X1661" s="73">
        <f>150*27000/1000000</f>
        <v>4.05</v>
      </c>
      <c r="Y1661" s="83">
        <f>IF(SUM(W1661:W1661)&gt;0,X1661/SUM(W1661:W1661)*1000000,"N/A")</f>
        <v>81000</v>
      </c>
      <c r="Z1661" s="80"/>
      <c r="AA1661" s="80"/>
      <c r="AB1661" s="73" t="s">
        <v>6014</v>
      </c>
      <c r="AC1661" s="153"/>
      <c r="AD1661" s="331"/>
      <c r="AE1661" s="57"/>
      <c r="AF1661" s="88"/>
      <c r="AG1661" s="182">
        <f>YEAR(D1661)</f>
        <v>2019</v>
      </c>
      <c r="AH1661" s="86" t="str">
        <f>+IF(AE1661=$AJ$22,MONTH(T1661),"")</f>
        <v/>
      </c>
      <c r="AI1661" s="86" t="str">
        <f>+IF(AF1661=$AJ$22,MONTH(U1661),"")</f>
        <v/>
      </c>
      <c r="AJ1661" s="86" t="str">
        <f>+IF(AG1661=$AJ$22,MONTH(V1661),"")</f>
        <v/>
      </c>
      <c r="AK1661" s="86" t="str">
        <f>+IF(AG1661=$AK$22,MONTH(V1661),"")</f>
        <v/>
      </c>
      <c r="AL1661" s="86" t="str">
        <f>+IF(AG1661=$AL$22,MONTH(V1661),"")</f>
        <v/>
      </c>
      <c r="AM1661" s="86" t="str">
        <f>+IF($AG1661=$AM$22,MONTH($D1661),"")</f>
        <v/>
      </c>
      <c r="AN1661" s="89" t="str">
        <f>+IF($AG1661=AN$22,MONTH($D1661),"")</f>
        <v/>
      </c>
      <c r="AO1661" s="89">
        <f>+IF($AG1661=AO$22,MONTH($D1661),"")</f>
        <v>7</v>
      </c>
      <c r="AP1661" s="89" t="str">
        <f>+IF($AG1661=AP$22,MONTH($D1661),"")</f>
        <v/>
      </c>
      <c r="AQ1661" s="89" t="str">
        <f>+IF($AG1661=AQ$22,MONTH($D1661),"")</f>
        <v/>
      </c>
      <c r="AR1661" s="89" t="str">
        <f>+IF($AG1661=AR$22,MONTH($D1661),"")</f>
        <v/>
      </c>
      <c r="AS1661" s="89" t="str">
        <f>+IF($AG1661=AS$22,MONTH($D1661),"")</f>
        <v/>
      </c>
      <c r="AT1661" s="89" t="str">
        <f>+IF($AG1661=AT$22,MONTH($D1661),"")</f>
        <v/>
      </c>
      <c r="AU1661" s="89" t="str">
        <f>+IF($AG1661=AU$22,MONTH($D1661),"")</f>
        <v/>
      </c>
      <c r="AV1661" s="89" t="str">
        <f>+IF($AG1661=AV$22,MONTH($D1661),"")</f>
        <v/>
      </c>
      <c r="AW1661" s="86" t="str">
        <f>+IF($AG1661=AW$22,MONTH($D1661),"")</f>
        <v/>
      </c>
      <c r="AX1661" s="86" t="str">
        <f>+IF($AG1661=AX$22,MONTH($D1661),"")</f>
        <v/>
      </c>
      <c r="AY1661" s="89"/>
      <c r="AZ1661" s="89"/>
      <c r="BA1661" s="89"/>
      <c r="BB1661" s="89"/>
      <c r="BC1661" s="89"/>
      <c r="BD1661" s="89"/>
      <c r="BE1661" s="89"/>
      <c r="BF1661" s="89"/>
      <c r="BG1661" s="89"/>
      <c r="BH1661" s="89"/>
      <c r="BI1661" s="89"/>
      <c r="BJ1661" s="89"/>
      <c r="BK1661" s="89"/>
      <c r="BL1661" s="89"/>
      <c r="BM1661" s="89"/>
      <c r="BN1661" s="89"/>
      <c r="BO1661" s="89"/>
      <c r="BP1661" s="89"/>
    </row>
    <row r="1662" spans="1:68" s="56" customFormat="1" ht="27" hidden="1">
      <c r="A1662" s="204" t="str">
        <f>+IFERROR(VALUE(MID(AB1662,4,4)),"")</f>
        <v/>
      </c>
      <c r="B1662" s="204">
        <f>VALUE(RIGHT(C1662,LEN(C1662)-2))</f>
        <v>1063</v>
      </c>
      <c r="C1662" s="74" t="s">
        <v>6015</v>
      </c>
      <c r="D1662" s="75">
        <v>43669</v>
      </c>
      <c r="E1662" s="70" t="s">
        <v>4114</v>
      </c>
      <c r="F1662" s="70" t="s">
        <v>4114</v>
      </c>
      <c r="G1662" s="68" t="s">
        <v>6016</v>
      </c>
      <c r="H1662" s="59"/>
      <c r="I1662" s="69" t="s">
        <v>6017</v>
      </c>
      <c r="J1662" s="69"/>
      <c r="K1662" s="68" t="s">
        <v>29</v>
      </c>
      <c r="L1662" s="69" t="s">
        <v>120</v>
      </c>
      <c r="M1662" s="71" t="s">
        <v>141</v>
      </c>
      <c r="N1662" s="69" t="e" vm="1">
        <v>#VALUE!</v>
      </c>
      <c r="O1662" s="84">
        <v>43677</v>
      </c>
      <c r="P1662" s="72" t="s">
        <v>6018</v>
      </c>
      <c r="Q1662" s="72"/>
      <c r="R1662" s="162"/>
      <c r="S1662" s="146"/>
      <c r="T1662" s="68" t="s">
        <v>165</v>
      </c>
      <c r="U1662" s="87"/>
      <c r="V1662" s="80">
        <v>43703</v>
      </c>
      <c r="W1662" s="73">
        <v>444</v>
      </c>
      <c r="X1662" s="73">
        <f>658*27000/1000000</f>
        <v>17.765999999999998</v>
      </c>
      <c r="Y1662" s="83">
        <f>IF(SUM(W1662:W1662)&gt;0,X1662/SUM(W1662:W1662)*1000000,"N/A")</f>
        <v>40013.513513513513</v>
      </c>
      <c r="Z1662" s="80"/>
      <c r="AA1662" s="80"/>
      <c r="AB1662" s="73"/>
      <c r="AC1662" s="153"/>
      <c r="AD1662" s="331"/>
      <c r="AE1662" s="57"/>
      <c r="AF1662" s="88"/>
      <c r="AG1662" s="182">
        <f>YEAR(D1662)</f>
        <v>2019</v>
      </c>
      <c r="AH1662" s="86" t="str">
        <f>+IF(AE1662=$AJ$22,MONTH(T1662),"")</f>
        <v/>
      </c>
      <c r="AI1662" s="86" t="str">
        <f>+IF(AF1662=$AJ$22,MONTH(U1662),"")</f>
        <v/>
      </c>
      <c r="AJ1662" s="86" t="str">
        <f>+IF(AG1662=$AJ$22,MONTH(V1662),"")</f>
        <v/>
      </c>
      <c r="AK1662" s="86" t="str">
        <f>+IF(AG1662=$AK$22,MONTH(V1662),"")</f>
        <v/>
      </c>
      <c r="AL1662" s="86" t="str">
        <f>+IF(AG1662=$AL$22,MONTH(V1662),"")</f>
        <v/>
      </c>
      <c r="AM1662" s="86" t="str">
        <f>+IF($AG1662=$AM$22,MONTH($D1662),"")</f>
        <v/>
      </c>
      <c r="AN1662" s="89" t="str">
        <f>+IF($AG1662=AN$22,MONTH($D1662),"")</f>
        <v/>
      </c>
      <c r="AO1662" s="89">
        <f>+IF($AG1662=AO$22,MONTH($D1662),"")</f>
        <v>7</v>
      </c>
      <c r="AP1662" s="89" t="str">
        <f>+IF($AG1662=AP$22,MONTH($D1662),"")</f>
        <v/>
      </c>
      <c r="AQ1662" s="89" t="str">
        <f>+IF($AG1662=AQ$22,MONTH($D1662),"")</f>
        <v/>
      </c>
      <c r="AR1662" s="89" t="str">
        <f>+IF($AG1662=AR$22,MONTH($D1662),"")</f>
        <v/>
      </c>
      <c r="AS1662" s="89" t="str">
        <f>+IF($AG1662=AS$22,MONTH($D1662),"")</f>
        <v/>
      </c>
      <c r="AT1662" s="89" t="str">
        <f>+IF($AG1662=AT$22,MONTH($D1662),"")</f>
        <v/>
      </c>
      <c r="AU1662" s="89" t="str">
        <f>+IF($AG1662=AU$22,MONTH($D1662),"")</f>
        <v/>
      </c>
      <c r="AV1662" s="89" t="str">
        <f>+IF($AG1662=AV$22,MONTH($D1662),"")</f>
        <v/>
      </c>
      <c r="AW1662" s="86" t="str">
        <f>+IF($AG1662=AW$22,MONTH($D1662),"")</f>
        <v/>
      </c>
      <c r="AX1662" s="86" t="str">
        <f>+IF($AG1662=AX$22,MONTH($D1662),"")</f>
        <v/>
      </c>
      <c r="AY1662" s="89"/>
      <c r="AZ1662" s="89"/>
      <c r="BA1662" s="89"/>
      <c r="BB1662" s="89"/>
      <c r="BC1662" s="89"/>
      <c r="BD1662" s="89"/>
      <c r="BE1662" s="89"/>
      <c r="BF1662" s="89"/>
      <c r="BG1662" s="89"/>
      <c r="BH1662" s="89"/>
      <c r="BI1662" s="89"/>
      <c r="BJ1662" s="89"/>
      <c r="BK1662" s="89"/>
      <c r="BL1662" s="89"/>
      <c r="BM1662" s="89"/>
      <c r="BN1662" s="89"/>
      <c r="BO1662" s="89"/>
      <c r="BP1662" s="89"/>
    </row>
    <row r="1663" spans="1:68" s="56" customFormat="1" ht="27" hidden="1">
      <c r="A1663" s="204">
        <f>+IFERROR(VALUE(MID(AB1663,4,4)),"")</f>
        <v>224</v>
      </c>
      <c r="B1663" s="204">
        <f>VALUE(RIGHT(C1663,LEN(C1663)-2))</f>
        <v>1062</v>
      </c>
      <c r="C1663" s="74" t="s">
        <v>6019</v>
      </c>
      <c r="D1663" s="75">
        <v>43669</v>
      </c>
      <c r="E1663" s="70" t="s">
        <v>4114</v>
      </c>
      <c r="F1663" s="70" t="s">
        <v>4114</v>
      </c>
      <c r="G1663" s="68" t="s">
        <v>6016</v>
      </c>
      <c r="H1663" s="59"/>
      <c r="I1663" s="69" t="s">
        <v>6020</v>
      </c>
      <c r="J1663" s="69"/>
      <c r="K1663" s="68" t="s">
        <v>29</v>
      </c>
      <c r="L1663" s="69" t="s">
        <v>120</v>
      </c>
      <c r="M1663" s="71" t="s">
        <v>141</v>
      </c>
      <c r="N1663" s="69" t="e" vm="1">
        <v>#VALUE!</v>
      </c>
      <c r="O1663" s="84">
        <v>43675</v>
      </c>
      <c r="P1663" s="72" t="s">
        <v>402</v>
      </c>
      <c r="Q1663" s="72" t="s">
        <v>623</v>
      </c>
      <c r="R1663" s="162"/>
      <c r="S1663" s="146"/>
      <c r="T1663" s="68" t="s">
        <v>3</v>
      </c>
      <c r="U1663" s="87"/>
      <c r="V1663" s="80">
        <v>43703</v>
      </c>
      <c r="W1663" s="73">
        <v>745</v>
      </c>
      <c r="X1663" s="73">
        <f>1242*27000/1000000</f>
        <v>33.533999999999999</v>
      </c>
      <c r="Y1663" s="83">
        <f>IF(SUM(W1663:W1663)&gt;0,X1663/SUM(W1663:W1663)*1000000,"N/A")</f>
        <v>45012.080536912756</v>
      </c>
      <c r="Z1663" s="80"/>
      <c r="AA1663" s="80"/>
      <c r="AB1663" s="73" t="s">
        <v>6021</v>
      </c>
      <c r="AC1663" s="153"/>
      <c r="AD1663" s="331"/>
      <c r="AE1663" s="57"/>
      <c r="AF1663" s="88"/>
      <c r="AG1663" s="182">
        <f>YEAR(D1663)</f>
        <v>2019</v>
      </c>
      <c r="AH1663" s="86" t="str">
        <f>+IF(AE1663=$AJ$22,MONTH(T1663),"")</f>
        <v/>
      </c>
      <c r="AI1663" s="86" t="str">
        <f>+IF(AF1663=$AJ$22,MONTH(U1663),"")</f>
        <v/>
      </c>
      <c r="AJ1663" s="86" t="str">
        <f>+IF(AG1663=$AJ$22,MONTH(V1663),"")</f>
        <v/>
      </c>
      <c r="AK1663" s="86" t="str">
        <f>+IF(AG1663=$AK$22,MONTH(V1663),"")</f>
        <v/>
      </c>
      <c r="AL1663" s="86" t="str">
        <f>+IF(AG1663=$AL$22,MONTH(V1663),"")</f>
        <v/>
      </c>
      <c r="AM1663" s="86" t="str">
        <f>+IF($AG1663=$AM$22,MONTH($D1663),"")</f>
        <v/>
      </c>
      <c r="AN1663" s="89" t="str">
        <f>+IF($AG1663=AN$22,MONTH($D1663),"")</f>
        <v/>
      </c>
      <c r="AO1663" s="89">
        <f>+IF($AG1663=AO$22,MONTH($D1663),"")</f>
        <v>7</v>
      </c>
      <c r="AP1663" s="89" t="str">
        <f>+IF($AG1663=AP$22,MONTH($D1663),"")</f>
        <v/>
      </c>
      <c r="AQ1663" s="89" t="str">
        <f>+IF($AG1663=AQ$22,MONTH($D1663),"")</f>
        <v/>
      </c>
      <c r="AR1663" s="89" t="str">
        <f>+IF($AG1663=AR$22,MONTH($D1663),"")</f>
        <v/>
      </c>
      <c r="AS1663" s="89" t="str">
        <f>+IF($AG1663=AS$22,MONTH($D1663),"")</f>
        <v/>
      </c>
      <c r="AT1663" s="89" t="str">
        <f>+IF($AG1663=AT$22,MONTH($D1663),"")</f>
        <v/>
      </c>
      <c r="AU1663" s="89" t="str">
        <f>+IF($AG1663=AU$22,MONTH($D1663),"")</f>
        <v/>
      </c>
      <c r="AV1663" s="89" t="str">
        <f>+IF($AG1663=AV$22,MONTH($D1663),"")</f>
        <v/>
      </c>
      <c r="AW1663" s="86" t="str">
        <f>+IF($AG1663=AW$22,MONTH($D1663),"")</f>
        <v/>
      </c>
      <c r="AX1663" s="86" t="str">
        <f>+IF($AG1663=AX$22,MONTH($D1663),"")</f>
        <v/>
      </c>
      <c r="AY1663" s="89"/>
      <c r="AZ1663" s="89"/>
      <c r="BA1663" s="89"/>
      <c r="BB1663" s="89"/>
      <c r="BC1663" s="89"/>
      <c r="BD1663" s="89"/>
      <c r="BE1663" s="89"/>
      <c r="BF1663" s="89"/>
      <c r="BG1663" s="89"/>
      <c r="BH1663" s="89"/>
      <c r="BI1663" s="89"/>
      <c r="BJ1663" s="89"/>
      <c r="BK1663" s="89"/>
      <c r="BL1663" s="89"/>
      <c r="BM1663" s="89"/>
      <c r="BN1663" s="89"/>
      <c r="BO1663" s="89"/>
      <c r="BP1663" s="89"/>
    </row>
    <row r="1664" spans="1:68" s="56" customFormat="1" ht="81" hidden="1">
      <c r="A1664" s="204" t="str">
        <f>+IFERROR(VALUE(MID(AB1664,4,4)),"")</f>
        <v/>
      </c>
      <c r="B1664" s="204">
        <f>VALUE(RIGHT(C1664,LEN(C1664)-2))</f>
        <v>1061</v>
      </c>
      <c r="C1664" s="74" t="s">
        <v>6022</v>
      </c>
      <c r="D1664" s="75">
        <v>43690</v>
      </c>
      <c r="E1664" s="70" t="s">
        <v>53</v>
      </c>
      <c r="F1664" s="70" t="s">
        <v>53</v>
      </c>
      <c r="G1664" s="68"/>
      <c r="H1664" s="59"/>
      <c r="I1664" s="69" t="s">
        <v>5990</v>
      </c>
      <c r="J1664" s="69"/>
      <c r="K1664" s="68" t="s">
        <v>29</v>
      </c>
      <c r="L1664" s="69" t="s">
        <v>123</v>
      </c>
      <c r="M1664" s="71" t="s">
        <v>141</v>
      </c>
      <c r="N1664" s="69" t="e" vm="1">
        <v>#VALUE!</v>
      </c>
      <c r="O1664" s="84">
        <v>43718</v>
      </c>
      <c r="P1664" s="72" t="s">
        <v>4567</v>
      </c>
      <c r="Q1664" s="72"/>
      <c r="R1664" s="162"/>
      <c r="S1664" s="146" t="s">
        <v>6023</v>
      </c>
      <c r="T1664" s="68" t="s">
        <v>155</v>
      </c>
      <c r="U1664" s="87"/>
      <c r="V1664" s="80">
        <v>43703</v>
      </c>
      <c r="W1664" s="73"/>
      <c r="X1664" s="73"/>
      <c r="Y1664" s="83" t="str">
        <f>IF(SUM(W1664:W1664)&gt;0,X1664/SUM(W1664:W1664)*1000000,"N/A")</f>
        <v>N/A</v>
      </c>
      <c r="Z1664" s="80"/>
      <c r="AA1664" s="80"/>
      <c r="AB1664" s="73"/>
      <c r="AC1664" s="153"/>
      <c r="AD1664" s="331"/>
      <c r="AE1664" s="57"/>
      <c r="AF1664" s="88"/>
      <c r="AG1664" s="182">
        <f>YEAR(D1664)</f>
        <v>2019</v>
      </c>
      <c r="AH1664" s="86" t="str">
        <f>+IF(AE1664=$AJ$22,MONTH(T1664),"")</f>
        <v/>
      </c>
      <c r="AI1664" s="86" t="str">
        <f>+IF(AF1664=$AJ$22,MONTH(U1664),"")</f>
        <v/>
      </c>
      <c r="AJ1664" s="86" t="str">
        <f>+IF(AG1664=$AJ$22,MONTH(V1664),"")</f>
        <v/>
      </c>
      <c r="AK1664" s="86" t="str">
        <f>+IF(AG1664=$AK$22,MONTH(V1664),"")</f>
        <v/>
      </c>
      <c r="AL1664" s="86" t="str">
        <f>+IF(AG1664=$AL$22,MONTH(V1664),"")</f>
        <v/>
      </c>
      <c r="AM1664" s="86" t="str">
        <f>+IF($AG1664=$AM$22,MONTH($D1664),"")</f>
        <v/>
      </c>
      <c r="AN1664" s="89" t="str">
        <f>+IF($AG1664=AN$22,MONTH($D1664),"")</f>
        <v/>
      </c>
      <c r="AO1664" s="89">
        <f>+IF($AG1664=AO$22,MONTH($D1664),"")</f>
        <v>8</v>
      </c>
      <c r="AP1664" s="89" t="str">
        <f>+IF($AG1664=AP$22,MONTH($D1664),"")</f>
        <v/>
      </c>
      <c r="AQ1664" s="89" t="str">
        <f>+IF($AG1664=AQ$22,MONTH($D1664),"")</f>
        <v/>
      </c>
      <c r="AR1664" s="89" t="str">
        <f>+IF($AG1664=AR$22,MONTH($D1664),"")</f>
        <v/>
      </c>
      <c r="AS1664" s="89" t="str">
        <f>+IF($AG1664=AS$22,MONTH($D1664),"")</f>
        <v/>
      </c>
      <c r="AT1664" s="89" t="str">
        <f>+IF($AG1664=AT$22,MONTH($D1664),"")</f>
        <v/>
      </c>
      <c r="AU1664" s="89" t="str">
        <f>+IF($AG1664=AU$22,MONTH($D1664),"")</f>
        <v/>
      </c>
      <c r="AV1664" s="89" t="str">
        <f>+IF($AG1664=AV$22,MONTH($D1664),"")</f>
        <v/>
      </c>
      <c r="AW1664" s="86" t="str">
        <f>+IF($AG1664=AW$22,MONTH($D1664),"")</f>
        <v/>
      </c>
      <c r="AX1664" s="86" t="str">
        <f>+IF($AG1664=AX$22,MONTH($D1664),"")</f>
        <v/>
      </c>
      <c r="AY1664" s="89"/>
      <c r="AZ1664" s="89"/>
      <c r="BA1664" s="89"/>
      <c r="BB1664" s="89"/>
      <c r="BC1664" s="89"/>
      <c r="BD1664" s="89"/>
      <c r="BE1664" s="89"/>
      <c r="BF1664" s="89"/>
      <c r="BG1664" s="89"/>
      <c r="BH1664" s="89"/>
      <c r="BI1664" s="89"/>
      <c r="BJ1664" s="89"/>
      <c r="BK1664" s="89"/>
      <c r="BL1664" s="89"/>
      <c r="BM1664" s="89"/>
      <c r="BN1664" s="89"/>
      <c r="BO1664" s="89"/>
      <c r="BP1664" s="89"/>
    </row>
    <row r="1665" spans="1:68" s="56" customFormat="1" ht="27" hidden="1">
      <c r="A1665" s="204">
        <f>+IFERROR(VALUE(MID(AB1665,4,4)),"")</f>
        <v>219</v>
      </c>
      <c r="B1665" s="204">
        <f>VALUE(RIGHT(C1665,LEN(C1665)-2))</f>
        <v>1060</v>
      </c>
      <c r="C1665" s="74" t="s">
        <v>6024</v>
      </c>
      <c r="D1665" s="75">
        <v>43665</v>
      </c>
      <c r="E1665" s="70" t="s">
        <v>41</v>
      </c>
      <c r="F1665" s="70" t="s">
        <v>41</v>
      </c>
      <c r="G1665" s="68"/>
      <c r="H1665" s="59"/>
      <c r="I1665" s="69" t="s">
        <v>6025</v>
      </c>
      <c r="J1665" s="69"/>
      <c r="K1665" s="68" t="s">
        <v>13</v>
      </c>
      <c r="L1665" s="69" t="s">
        <v>129</v>
      </c>
      <c r="M1665" s="71" t="s">
        <v>141</v>
      </c>
      <c r="N1665" s="69" t="e" vm="1">
        <v>#VALUE!</v>
      </c>
      <c r="O1665" s="84">
        <v>43665</v>
      </c>
      <c r="P1665" s="72" t="s">
        <v>402</v>
      </c>
      <c r="Q1665" s="72" t="s">
        <v>229</v>
      </c>
      <c r="R1665" s="162"/>
      <c r="S1665" s="146"/>
      <c r="T1665" s="68" t="s">
        <v>3</v>
      </c>
      <c r="U1665" s="87"/>
      <c r="V1665" s="80">
        <v>43699</v>
      </c>
      <c r="W1665" s="73">
        <v>416</v>
      </c>
      <c r="X1665" s="73">
        <f>445*28000/1000000</f>
        <v>12.46</v>
      </c>
      <c r="Y1665" s="83">
        <f>IF(SUM(W1665:W1665)&gt;0,X1665/SUM(W1665:W1665)*1000000,"N/A")</f>
        <v>29951.923076923078</v>
      </c>
      <c r="Z1665" s="80"/>
      <c r="AA1665" s="80"/>
      <c r="AB1665" s="73" t="s">
        <v>6026</v>
      </c>
      <c r="AC1665" s="153"/>
      <c r="AD1665" s="331"/>
      <c r="AE1665" s="57"/>
      <c r="AF1665" s="88"/>
      <c r="AG1665" s="182">
        <f>YEAR(D1665)</f>
        <v>2019</v>
      </c>
      <c r="AH1665" s="86" t="str">
        <f>+IF(AE1665=$AJ$22,MONTH(T1665),"")</f>
        <v/>
      </c>
      <c r="AI1665" s="86" t="str">
        <f>+IF(AF1665=$AJ$22,MONTH(U1665),"")</f>
        <v/>
      </c>
      <c r="AJ1665" s="86" t="str">
        <f>+IF(AG1665=$AJ$22,MONTH(V1665),"")</f>
        <v/>
      </c>
      <c r="AK1665" s="86" t="str">
        <f>+IF(AG1665=$AK$22,MONTH(V1665),"")</f>
        <v/>
      </c>
      <c r="AL1665" s="86" t="str">
        <f>+IF(AG1665=$AL$22,MONTH(V1665),"")</f>
        <v/>
      </c>
      <c r="AM1665" s="86" t="str">
        <f>+IF($AG1665=$AM$22,MONTH($D1665),"")</f>
        <v/>
      </c>
      <c r="AN1665" s="89" t="str">
        <f>+IF($AG1665=AN$22,MONTH($D1665),"")</f>
        <v/>
      </c>
      <c r="AO1665" s="89">
        <f>+IF($AG1665=AO$22,MONTH($D1665),"")</f>
        <v>7</v>
      </c>
      <c r="AP1665" s="89" t="str">
        <f>+IF($AG1665=AP$22,MONTH($D1665),"")</f>
        <v/>
      </c>
      <c r="AQ1665" s="89" t="str">
        <f>+IF($AG1665=AQ$22,MONTH($D1665),"")</f>
        <v/>
      </c>
      <c r="AR1665" s="89" t="str">
        <f>+IF($AG1665=AR$22,MONTH($D1665),"")</f>
        <v/>
      </c>
      <c r="AS1665" s="89" t="str">
        <f>+IF($AG1665=AS$22,MONTH($D1665),"")</f>
        <v/>
      </c>
      <c r="AT1665" s="89" t="str">
        <f>+IF($AG1665=AT$22,MONTH($D1665),"")</f>
        <v/>
      </c>
      <c r="AU1665" s="89" t="str">
        <f>+IF($AG1665=AU$22,MONTH($D1665),"")</f>
        <v/>
      </c>
      <c r="AV1665" s="89" t="str">
        <f>+IF($AG1665=AV$22,MONTH($D1665),"")</f>
        <v/>
      </c>
      <c r="AW1665" s="86" t="str">
        <f>+IF($AG1665=AW$22,MONTH($D1665),"")</f>
        <v/>
      </c>
      <c r="AX1665" s="86" t="str">
        <f>+IF($AG1665=AX$22,MONTH($D1665),"")</f>
        <v/>
      </c>
      <c r="AY1665" s="89"/>
      <c r="AZ1665" s="89"/>
      <c r="BA1665" s="89"/>
      <c r="BB1665" s="89"/>
      <c r="BC1665" s="89"/>
      <c r="BD1665" s="89"/>
      <c r="BE1665" s="89"/>
      <c r="BF1665" s="89"/>
      <c r="BG1665" s="89"/>
      <c r="BH1665" s="89"/>
      <c r="BI1665" s="89"/>
      <c r="BJ1665" s="89"/>
      <c r="BK1665" s="89"/>
      <c r="BL1665" s="89"/>
      <c r="BM1665" s="89"/>
      <c r="BN1665" s="89"/>
      <c r="BO1665" s="89"/>
      <c r="BP1665" s="89"/>
    </row>
    <row r="1666" spans="1:68" s="56" customFormat="1" ht="27" hidden="1">
      <c r="A1666" s="204">
        <f>+IFERROR(VALUE(MID(AB1666,4,4)),"")</f>
        <v>219</v>
      </c>
      <c r="B1666" s="204">
        <f>VALUE(RIGHT(C1666,LEN(C1666)-2))</f>
        <v>1059</v>
      </c>
      <c r="C1666" s="74" t="s">
        <v>6027</v>
      </c>
      <c r="D1666" s="75">
        <v>43665</v>
      </c>
      <c r="E1666" s="70" t="s">
        <v>41</v>
      </c>
      <c r="F1666" s="70" t="s">
        <v>41</v>
      </c>
      <c r="G1666" s="68"/>
      <c r="H1666" s="59"/>
      <c r="I1666" s="69" t="s">
        <v>6028</v>
      </c>
      <c r="J1666" s="69"/>
      <c r="K1666" s="68" t="s">
        <v>13</v>
      </c>
      <c r="L1666" s="69" t="s">
        <v>129</v>
      </c>
      <c r="M1666" s="71" t="s">
        <v>141</v>
      </c>
      <c r="N1666" s="69" t="e" vm="1">
        <v>#VALUE!</v>
      </c>
      <c r="O1666" s="84">
        <v>43665</v>
      </c>
      <c r="P1666" s="72" t="s">
        <v>402</v>
      </c>
      <c r="Q1666" s="72" t="s">
        <v>229</v>
      </c>
      <c r="R1666" s="162"/>
      <c r="S1666" s="146"/>
      <c r="T1666" s="68" t="s">
        <v>3</v>
      </c>
      <c r="U1666" s="87"/>
      <c r="V1666" s="80">
        <v>43699</v>
      </c>
      <c r="W1666" s="73">
        <v>386</v>
      </c>
      <c r="X1666" s="73">
        <f>433*28000/1000000</f>
        <v>12.124000000000001</v>
      </c>
      <c r="Y1666" s="83">
        <f>IF(SUM(W1666:W1666)&gt;0,X1666/SUM(W1666:W1666)*1000000,"N/A")</f>
        <v>31409.326424870465</v>
      </c>
      <c r="Z1666" s="80"/>
      <c r="AA1666" s="80"/>
      <c r="AB1666" s="73" t="s">
        <v>6029</v>
      </c>
      <c r="AC1666" s="153"/>
      <c r="AD1666" s="331"/>
      <c r="AE1666" s="57"/>
      <c r="AF1666" s="88"/>
      <c r="AG1666" s="182">
        <f>YEAR(D1666)</f>
        <v>2019</v>
      </c>
      <c r="AH1666" s="86" t="str">
        <f>+IF(AE1666=$AJ$22,MONTH(T1666),"")</f>
        <v/>
      </c>
      <c r="AI1666" s="86" t="str">
        <f>+IF(AF1666=$AJ$22,MONTH(U1666),"")</f>
        <v/>
      </c>
      <c r="AJ1666" s="86" t="str">
        <f>+IF(AG1666=$AJ$22,MONTH(V1666),"")</f>
        <v/>
      </c>
      <c r="AK1666" s="86" t="str">
        <f>+IF(AG1666=$AK$22,MONTH(V1666),"")</f>
        <v/>
      </c>
      <c r="AL1666" s="86" t="str">
        <f>+IF(AG1666=$AL$22,MONTH(V1666),"")</f>
        <v/>
      </c>
      <c r="AM1666" s="86" t="str">
        <f>+IF($AG1666=$AM$22,MONTH($D1666),"")</f>
        <v/>
      </c>
      <c r="AN1666" s="89" t="str">
        <f>+IF($AG1666=AN$22,MONTH($D1666),"")</f>
        <v/>
      </c>
      <c r="AO1666" s="89">
        <f>+IF($AG1666=AO$22,MONTH($D1666),"")</f>
        <v>7</v>
      </c>
      <c r="AP1666" s="89" t="str">
        <f>+IF($AG1666=AP$22,MONTH($D1666),"")</f>
        <v/>
      </c>
      <c r="AQ1666" s="89" t="str">
        <f>+IF($AG1666=AQ$22,MONTH($D1666),"")</f>
        <v/>
      </c>
      <c r="AR1666" s="89" t="str">
        <f>+IF($AG1666=AR$22,MONTH($D1666),"")</f>
        <v/>
      </c>
      <c r="AS1666" s="89" t="str">
        <f>+IF($AG1666=AS$22,MONTH($D1666),"")</f>
        <v/>
      </c>
      <c r="AT1666" s="89" t="str">
        <f>+IF($AG1666=AT$22,MONTH($D1666),"")</f>
        <v/>
      </c>
      <c r="AU1666" s="89" t="str">
        <f>+IF($AG1666=AU$22,MONTH($D1666),"")</f>
        <v/>
      </c>
      <c r="AV1666" s="89" t="str">
        <f>+IF($AG1666=AV$22,MONTH($D1666),"")</f>
        <v/>
      </c>
      <c r="AW1666" s="86"/>
      <c r="AX1666" s="86"/>
      <c r="AY1666" s="89"/>
      <c r="AZ1666" s="89"/>
      <c r="BA1666" s="89"/>
      <c r="BB1666" s="89"/>
      <c r="BC1666" s="89"/>
      <c r="BD1666" s="89"/>
      <c r="BE1666" s="89"/>
      <c r="BF1666" s="89"/>
      <c r="BG1666" s="89"/>
      <c r="BH1666" s="89"/>
      <c r="BI1666" s="89"/>
      <c r="BJ1666" s="89"/>
      <c r="BK1666" s="89"/>
      <c r="BL1666" s="89"/>
      <c r="BM1666" s="89"/>
      <c r="BN1666" s="89"/>
      <c r="BO1666" s="89"/>
      <c r="BP1666" s="89"/>
    </row>
    <row r="1667" spans="1:68" s="56" customFormat="1" ht="67.5" hidden="1">
      <c r="A1667" s="204" t="str">
        <f>+IFERROR(VALUE(MID(AB1667,4,4)),"")</f>
        <v/>
      </c>
      <c r="B1667" s="204">
        <f>VALUE(RIGHT(C1667,LEN(C1667)-2))</f>
        <v>1058</v>
      </c>
      <c r="C1667" s="74" t="s">
        <v>6030</v>
      </c>
      <c r="D1667" s="75">
        <v>43644</v>
      </c>
      <c r="E1667" s="70" t="s">
        <v>53</v>
      </c>
      <c r="F1667" s="70" t="s">
        <v>53</v>
      </c>
      <c r="G1667" s="68"/>
      <c r="H1667" s="59"/>
      <c r="I1667" s="69" t="s">
        <v>6031</v>
      </c>
      <c r="J1667" s="69"/>
      <c r="K1667" s="68"/>
      <c r="L1667" s="69" t="s">
        <v>123</v>
      </c>
      <c r="M1667" s="71" t="s">
        <v>141</v>
      </c>
      <c r="N1667" s="69" t="e" vm="1">
        <v>#VALUE!</v>
      </c>
      <c r="O1667" s="84">
        <v>43664</v>
      </c>
      <c r="P1667" s="72" t="s">
        <v>4567</v>
      </c>
      <c r="Q1667" s="72"/>
      <c r="R1667" s="162"/>
      <c r="S1667" s="146" t="s">
        <v>6032</v>
      </c>
      <c r="T1667" s="68" t="s">
        <v>155</v>
      </c>
      <c r="U1667" s="87"/>
      <c r="V1667" s="80">
        <v>43811</v>
      </c>
      <c r="W1667" s="73"/>
      <c r="X1667" s="73"/>
      <c r="Y1667" s="83" t="str">
        <f>IF(SUM(W1667:W1667)&gt;0,X1667/SUM(W1667:W1667)*1000000,"N/A")</f>
        <v>N/A</v>
      </c>
      <c r="Z1667" s="80"/>
      <c r="AA1667" s="80"/>
      <c r="AB1667" s="73"/>
      <c r="AC1667" s="153"/>
      <c r="AD1667" s="331"/>
      <c r="AE1667" s="57"/>
      <c r="AF1667" s="88"/>
      <c r="AG1667" s="182">
        <f>YEAR(D1667)</f>
        <v>2019</v>
      </c>
      <c r="AH1667" s="86" t="str">
        <f>+IF(AE1667=$AJ$22,MONTH(T1667),"")</f>
        <v/>
      </c>
      <c r="AI1667" s="86" t="str">
        <f>+IF(AF1667=$AJ$22,MONTH(U1667),"")</f>
        <v/>
      </c>
      <c r="AJ1667" s="86" t="str">
        <f>+IF(AG1667=$AJ$22,MONTH(V1667),"")</f>
        <v/>
      </c>
      <c r="AK1667" s="86" t="str">
        <f>+IF(AG1667=$AK$22,MONTH(V1667),"")</f>
        <v/>
      </c>
      <c r="AL1667" s="86" t="str">
        <f>+IF(AG1667=$AL$22,MONTH(V1667),"")</f>
        <v/>
      </c>
      <c r="AM1667" s="86" t="str">
        <f>+IF($AG1667=$AM$22,MONTH($D1667),"")</f>
        <v/>
      </c>
      <c r="AN1667" s="89" t="str">
        <f>+IF($AG1667=AN$22,MONTH($D1667),"")</f>
        <v/>
      </c>
      <c r="AO1667" s="89">
        <f>+IF($AG1667=AO$22,MONTH($D1667),"")</f>
        <v>6</v>
      </c>
      <c r="AP1667" s="89" t="str">
        <f>+IF($AG1667=AP$22,MONTH($D1667),"")</f>
        <v/>
      </c>
      <c r="AQ1667" s="89" t="str">
        <f>+IF($AG1667=AQ$22,MONTH($D1667),"")</f>
        <v/>
      </c>
      <c r="AR1667" s="89" t="str">
        <f>+IF($AG1667=AR$22,MONTH($D1667),"")</f>
        <v/>
      </c>
      <c r="AS1667" s="89" t="str">
        <f>+IF($AG1667=AS$22,MONTH($D1667),"")</f>
        <v/>
      </c>
      <c r="AT1667" s="89" t="str">
        <f>+IF($AG1667=AT$22,MONTH($D1667),"")</f>
        <v/>
      </c>
      <c r="AU1667" s="89" t="str">
        <f>+IF($AG1667=AU$22,MONTH($D1667),"")</f>
        <v/>
      </c>
      <c r="AV1667" s="89" t="str">
        <f>+IF($AG1667=AV$22,MONTH($D1667),"")</f>
        <v/>
      </c>
      <c r="AW1667" s="86"/>
      <c r="AX1667" s="86"/>
      <c r="AY1667" s="89"/>
      <c r="AZ1667" s="89"/>
      <c r="BA1667" s="89"/>
      <c r="BB1667" s="89"/>
      <c r="BC1667" s="89"/>
      <c r="BD1667" s="89"/>
      <c r="BE1667" s="89"/>
      <c r="BF1667" s="89"/>
      <c r="BG1667" s="89"/>
      <c r="BH1667" s="89"/>
      <c r="BI1667" s="89"/>
      <c r="BJ1667" s="89"/>
      <c r="BK1667" s="89"/>
      <c r="BL1667" s="89"/>
      <c r="BM1667" s="89"/>
      <c r="BN1667" s="89"/>
      <c r="BO1667" s="89"/>
      <c r="BP1667" s="89"/>
    </row>
    <row r="1668" spans="1:68" s="56" customFormat="1" ht="81" hidden="1">
      <c r="A1668" s="204" t="str">
        <f>+IFERROR(VALUE(MID(AB1668,4,4)),"")</f>
        <v/>
      </c>
      <c r="B1668" s="204">
        <f>VALUE(RIGHT(C1668,LEN(C1668)-2))</f>
        <v>1057</v>
      </c>
      <c r="C1668" s="74" t="s">
        <v>6033</v>
      </c>
      <c r="D1668" s="75">
        <v>43649</v>
      </c>
      <c r="E1668" s="70" t="s">
        <v>53</v>
      </c>
      <c r="F1668" s="70" t="s">
        <v>53</v>
      </c>
      <c r="G1668" s="68"/>
      <c r="H1668" s="59"/>
      <c r="I1668" s="69" t="s">
        <v>6034</v>
      </c>
      <c r="J1668" s="69"/>
      <c r="K1668" s="68"/>
      <c r="L1668" s="69" t="s">
        <v>123</v>
      </c>
      <c r="M1668" s="71" t="s">
        <v>141</v>
      </c>
      <c r="N1668" s="69" t="e" vm="1">
        <v>#VALUE!</v>
      </c>
      <c r="O1668" s="84">
        <v>43696</v>
      </c>
      <c r="P1668" s="72" t="s">
        <v>4567</v>
      </c>
      <c r="Q1668" s="72"/>
      <c r="R1668" s="162"/>
      <c r="S1668" s="146" t="s">
        <v>6035</v>
      </c>
      <c r="T1668" s="68" t="s">
        <v>155</v>
      </c>
      <c r="U1668" s="87"/>
      <c r="V1668" s="80">
        <v>43699</v>
      </c>
      <c r="W1668" s="73"/>
      <c r="X1668" s="73"/>
      <c r="Y1668" s="83" t="str">
        <f>IF(SUM(W1668:W1668)&gt;0,X1668/SUM(W1668:W1668)*1000000,"N/A")</f>
        <v>N/A</v>
      </c>
      <c r="Z1668" s="80"/>
      <c r="AA1668" s="80"/>
      <c r="AB1668" s="73"/>
      <c r="AC1668" s="153"/>
      <c r="AD1668" s="331"/>
      <c r="AE1668" s="57"/>
      <c r="AF1668" s="88"/>
      <c r="AG1668" s="182">
        <f>YEAR(D1668)</f>
        <v>2019</v>
      </c>
      <c r="AH1668" s="86" t="str">
        <f>+IF(AE1668=$AJ$22,MONTH(T1668),"")</f>
        <v/>
      </c>
      <c r="AI1668" s="86" t="str">
        <f>+IF(AF1668=$AJ$22,MONTH(U1668),"")</f>
        <v/>
      </c>
      <c r="AJ1668" s="86" t="str">
        <f>+IF(AG1668=$AJ$22,MONTH(V1668),"")</f>
        <v/>
      </c>
      <c r="AK1668" s="86" t="str">
        <f>+IF(AG1668=$AK$22,MONTH(V1668),"")</f>
        <v/>
      </c>
      <c r="AL1668" s="86" t="str">
        <f>+IF(AG1668=$AL$22,MONTH(V1668),"")</f>
        <v/>
      </c>
      <c r="AM1668" s="86" t="str">
        <f>+IF($AG1668=$AM$22,MONTH($D1668),"")</f>
        <v/>
      </c>
      <c r="AN1668" s="89" t="str">
        <f>+IF($AG1668=AN$22,MONTH($D1668),"")</f>
        <v/>
      </c>
      <c r="AO1668" s="89">
        <f>+IF($AG1668=AO$22,MONTH($D1668),"")</f>
        <v>7</v>
      </c>
      <c r="AP1668" s="89" t="str">
        <f>+IF($AG1668=AP$22,MONTH($D1668),"")</f>
        <v/>
      </c>
      <c r="AQ1668" s="89" t="str">
        <f>+IF($AG1668=AQ$22,MONTH($D1668),"")</f>
        <v/>
      </c>
      <c r="AR1668" s="89" t="str">
        <f>+IF($AG1668=AR$22,MONTH($D1668),"")</f>
        <v/>
      </c>
      <c r="AS1668" s="89" t="str">
        <f>+IF($AG1668=AS$22,MONTH($D1668),"")</f>
        <v/>
      </c>
      <c r="AT1668" s="89" t="str">
        <f>+IF($AG1668=AT$22,MONTH($D1668),"")</f>
        <v/>
      </c>
      <c r="AU1668" s="89" t="str">
        <f>+IF($AG1668=AU$22,MONTH($D1668),"")</f>
        <v/>
      </c>
      <c r="AV1668" s="89" t="str">
        <f>+IF($AG1668=AV$22,MONTH($D1668),"")</f>
        <v/>
      </c>
      <c r="AW1668" s="86"/>
      <c r="AX1668" s="86"/>
      <c r="AY1668" s="89"/>
      <c r="AZ1668" s="89"/>
      <c r="BA1668" s="89"/>
      <c r="BB1668" s="89"/>
      <c r="BC1668" s="89"/>
      <c r="BD1668" s="89"/>
      <c r="BE1668" s="89"/>
      <c r="BF1668" s="89"/>
      <c r="BG1668" s="89"/>
      <c r="BH1668" s="89"/>
      <c r="BI1668" s="89"/>
      <c r="BJ1668" s="89"/>
      <c r="BK1668" s="89"/>
      <c r="BL1668" s="89"/>
      <c r="BM1668" s="89"/>
      <c r="BN1668" s="89"/>
      <c r="BO1668" s="89"/>
      <c r="BP1668" s="89"/>
    </row>
    <row r="1669" spans="1:68" s="56" customFormat="1" ht="27" hidden="1">
      <c r="A1669" s="204">
        <f>+IFERROR(VALUE(MID(AB1669,4,4)),"")</f>
        <v>219</v>
      </c>
      <c r="B1669" s="204">
        <f>VALUE(RIGHT(C1669,LEN(C1669)-2))</f>
        <v>1056</v>
      </c>
      <c r="C1669" s="74" t="s">
        <v>6036</v>
      </c>
      <c r="D1669" s="75">
        <v>43647</v>
      </c>
      <c r="E1669" s="70" t="s">
        <v>41</v>
      </c>
      <c r="F1669" s="70" t="s">
        <v>41</v>
      </c>
      <c r="G1669" s="68"/>
      <c r="H1669" s="59"/>
      <c r="I1669" s="69" t="s">
        <v>6037</v>
      </c>
      <c r="J1669" s="69"/>
      <c r="K1669" s="68" t="s">
        <v>13</v>
      </c>
      <c r="L1669" s="69" t="s">
        <v>129</v>
      </c>
      <c r="M1669" s="71" t="s">
        <v>141</v>
      </c>
      <c r="N1669" s="69" t="e" vm="1">
        <v>#VALUE!</v>
      </c>
      <c r="O1669" s="84">
        <v>43647</v>
      </c>
      <c r="P1669" s="72" t="s">
        <v>402</v>
      </c>
      <c r="Q1669" s="72" t="s">
        <v>623</v>
      </c>
      <c r="R1669" s="162"/>
      <c r="S1669" s="146"/>
      <c r="T1669" s="68" t="s">
        <v>3</v>
      </c>
      <c r="U1669" s="87"/>
      <c r="V1669" s="80">
        <v>43699</v>
      </c>
      <c r="W1669" s="73">
        <v>795</v>
      </c>
      <c r="X1669" s="73">
        <f>879*27000/1000000</f>
        <v>23.733000000000001</v>
      </c>
      <c r="Y1669" s="83">
        <f>IF(SUM(W1669:W1669)&gt;0,X1669/SUM(W1669:W1669)*1000000,"N/A")</f>
        <v>29852.830188679247</v>
      </c>
      <c r="Z1669" s="80"/>
      <c r="AA1669" s="80"/>
      <c r="AB1669" s="73" t="s">
        <v>6038</v>
      </c>
      <c r="AC1669" s="153"/>
      <c r="AD1669" s="331"/>
      <c r="AE1669" s="57"/>
      <c r="AF1669" s="88"/>
      <c r="AG1669" s="182">
        <f>YEAR(D1669)</f>
        <v>2019</v>
      </c>
      <c r="AH1669" s="86" t="str">
        <f>+IF(AE1669=$AJ$22,MONTH(T1669),"")</f>
        <v/>
      </c>
      <c r="AI1669" s="86" t="str">
        <f>+IF(AF1669=$AJ$22,MONTH(U1669),"")</f>
        <v/>
      </c>
      <c r="AJ1669" s="86" t="str">
        <f>+IF(AG1669=$AJ$22,MONTH(V1669),"")</f>
        <v/>
      </c>
      <c r="AK1669" s="86" t="str">
        <f>+IF(AG1669=$AK$22,MONTH(V1669),"")</f>
        <v/>
      </c>
      <c r="AL1669" s="86" t="str">
        <f>+IF(AG1669=$AL$22,MONTH(V1669),"")</f>
        <v/>
      </c>
      <c r="AM1669" s="86" t="str">
        <f>+IF($AG1669=$AM$22,MONTH($D1669),"")</f>
        <v/>
      </c>
      <c r="AN1669" s="89" t="str">
        <f>+IF($AG1669=AN$22,MONTH($D1669),"")</f>
        <v/>
      </c>
      <c r="AO1669" s="89">
        <f>+IF($AG1669=AO$22,MONTH($D1669),"")</f>
        <v>7</v>
      </c>
      <c r="AP1669" s="89" t="str">
        <f>+IF($AG1669=AP$22,MONTH($D1669),"")</f>
        <v/>
      </c>
      <c r="AQ1669" s="89" t="str">
        <f>+IF($AG1669=AQ$22,MONTH($D1669),"")</f>
        <v/>
      </c>
      <c r="AR1669" s="89" t="str">
        <f>+IF($AG1669=AR$22,MONTH($D1669),"")</f>
        <v/>
      </c>
      <c r="AS1669" s="89" t="str">
        <f>+IF($AG1669=AS$22,MONTH($D1669),"")</f>
        <v/>
      </c>
      <c r="AT1669" s="89" t="str">
        <f>+IF($AG1669=AT$22,MONTH($D1669),"")</f>
        <v/>
      </c>
      <c r="AU1669" s="89" t="str">
        <f>+IF($AG1669=AU$22,MONTH($D1669),"")</f>
        <v/>
      </c>
      <c r="AV1669" s="89" t="str">
        <f>+IF($AG1669=AV$22,MONTH($D1669),"")</f>
        <v/>
      </c>
      <c r="AW1669" s="86"/>
      <c r="AX1669" s="86"/>
      <c r="AY1669" s="89"/>
      <c r="AZ1669" s="89"/>
      <c r="BA1669" s="89"/>
      <c r="BB1669" s="89"/>
      <c r="BC1669" s="89"/>
      <c r="BD1669" s="89"/>
      <c r="BE1669" s="89"/>
      <c r="BF1669" s="89"/>
      <c r="BG1669" s="89"/>
      <c r="BH1669" s="89"/>
      <c r="BI1669" s="89"/>
      <c r="BJ1669" s="89"/>
      <c r="BK1669" s="89"/>
      <c r="BL1669" s="89"/>
      <c r="BM1669" s="89"/>
      <c r="BN1669" s="89"/>
      <c r="BO1669" s="89"/>
      <c r="BP1669" s="89"/>
    </row>
    <row r="1670" spans="1:68" s="56" customFormat="1" ht="13.5" hidden="1">
      <c r="A1670" s="204" t="str">
        <f>+IFERROR(VALUE(MID(AB1670,4,4)),"")</f>
        <v/>
      </c>
      <c r="B1670" s="204">
        <f>VALUE(RIGHT(C1670,LEN(C1670)-2))</f>
        <v>1055</v>
      </c>
      <c r="C1670" s="74" t="s">
        <v>6039</v>
      </c>
      <c r="D1670" s="75">
        <v>43647</v>
      </c>
      <c r="E1670" s="70" t="s">
        <v>346</v>
      </c>
      <c r="F1670" s="70" t="s">
        <v>346</v>
      </c>
      <c r="G1670" s="68"/>
      <c r="H1670" s="59"/>
      <c r="I1670" s="69" t="s">
        <v>6040</v>
      </c>
      <c r="J1670" s="69"/>
      <c r="K1670" s="68"/>
      <c r="L1670" s="69" t="s">
        <v>120</v>
      </c>
      <c r="M1670" s="71" t="s">
        <v>141</v>
      </c>
      <c r="N1670" s="69" t="e" vm="1">
        <v>#VALUE!</v>
      </c>
      <c r="O1670" s="84">
        <v>43663</v>
      </c>
      <c r="P1670" s="72" t="s">
        <v>5223</v>
      </c>
      <c r="Q1670" s="72"/>
      <c r="R1670" s="162"/>
      <c r="S1670" s="146"/>
      <c r="T1670" s="68" t="s">
        <v>165</v>
      </c>
      <c r="U1670" s="87"/>
      <c r="V1670" s="80">
        <v>43699</v>
      </c>
      <c r="W1670" s="73">
        <f>5062+9876</f>
        <v>14938</v>
      </c>
      <c r="X1670" s="73">
        <f>(176195579+330739224)/1000000</f>
        <v>506.93480299999999</v>
      </c>
      <c r="Y1670" s="83">
        <f>IF(SUM(W1670:W1670)&gt;0,X1670/SUM(W1670:W1670)*1000000,"N/A")</f>
        <v>33935.922010978713</v>
      </c>
      <c r="Z1670" s="80"/>
      <c r="AA1670" s="80"/>
      <c r="AB1670" s="73"/>
      <c r="AC1670" s="153"/>
      <c r="AD1670" s="331"/>
      <c r="AE1670" s="57"/>
      <c r="AF1670" s="88"/>
      <c r="AG1670" s="182">
        <f>YEAR(D1670)</f>
        <v>2019</v>
      </c>
      <c r="AH1670" s="86" t="str">
        <f>+IF(AE1670=$AJ$22,MONTH(T1670),"")</f>
        <v/>
      </c>
      <c r="AI1670" s="86" t="str">
        <f>+IF(AF1670=$AJ$22,MONTH(U1670),"")</f>
        <v/>
      </c>
      <c r="AJ1670" s="86" t="str">
        <f>+IF(AG1670=$AJ$22,MONTH(V1670),"")</f>
        <v/>
      </c>
      <c r="AK1670" s="86" t="str">
        <f>+IF(AG1670=$AK$22,MONTH(V1670),"")</f>
        <v/>
      </c>
      <c r="AL1670" s="86" t="str">
        <f>+IF(AG1670=$AL$22,MONTH(V1670),"")</f>
        <v/>
      </c>
      <c r="AM1670" s="86" t="str">
        <f>+IF($AG1670=$AM$22,MONTH($D1670),"")</f>
        <v/>
      </c>
      <c r="AN1670" s="89" t="str">
        <f>+IF($AG1670=AN$22,MONTH($D1670),"")</f>
        <v/>
      </c>
      <c r="AO1670" s="89">
        <f>+IF($AG1670=AO$22,MONTH($D1670),"")</f>
        <v>7</v>
      </c>
      <c r="AP1670" s="89" t="str">
        <f>+IF($AG1670=AP$22,MONTH($D1670),"")</f>
        <v/>
      </c>
      <c r="AQ1670" s="89" t="str">
        <f>+IF($AG1670=AQ$22,MONTH($D1670),"")</f>
        <v/>
      </c>
      <c r="AR1670" s="89" t="str">
        <f>+IF($AG1670=AR$22,MONTH($D1670),"")</f>
        <v/>
      </c>
      <c r="AS1670" s="89" t="str">
        <f>+IF($AG1670=AS$22,MONTH($D1670),"")</f>
        <v/>
      </c>
      <c r="AT1670" s="89" t="str">
        <f>+IF($AG1670=AT$22,MONTH($D1670),"")</f>
        <v/>
      </c>
      <c r="AU1670" s="89" t="str">
        <f>+IF($AG1670=AU$22,MONTH($D1670),"")</f>
        <v/>
      </c>
      <c r="AV1670" s="89" t="str">
        <f>+IF($AG1670=AV$22,MONTH($D1670),"")</f>
        <v/>
      </c>
      <c r="AW1670" s="86"/>
      <c r="AX1670" s="86"/>
      <c r="AY1670" s="89"/>
      <c r="AZ1670" s="89"/>
      <c r="BA1670" s="89"/>
      <c r="BB1670" s="89"/>
      <c r="BC1670" s="89"/>
      <c r="BD1670" s="89"/>
      <c r="BE1670" s="89"/>
      <c r="BF1670" s="89"/>
      <c r="BG1670" s="89"/>
      <c r="BH1670" s="89"/>
      <c r="BI1670" s="89"/>
      <c r="BJ1670" s="89"/>
      <c r="BK1670" s="89"/>
      <c r="BL1670" s="89"/>
      <c r="BM1670" s="89"/>
      <c r="BN1670" s="89"/>
      <c r="BO1670" s="89"/>
      <c r="BP1670" s="89"/>
    </row>
    <row r="1671" spans="1:68" s="56" customFormat="1" ht="27" hidden="1">
      <c r="A1671" s="204" t="str">
        <f>+IFERROR(VALUE(MID(AB1671,4,4)),"")</f>
        <v/>
      </c>
      <c r="B1671" s="204">
        <f>VALUE(RIGHT(C1671,LEN(C1671)-2))</f>
        <v>1054</v>
      </c>
      <c r="C1671" s="74" t="s">
        <v>6041</v>
      </c>
      <c r="D1671" s="75">
        <v>43642</v>
      </c>
      <c r="E1671" s="70" t="s">
        <v>4664</v>
      </c>
      <c r="F1671" s="70" t="s">
        <v>4664</v>
      </c>
      <c r="G1671" s="68"/>
      <c r="H1671" s="59"/>
      <c r="I1671" s="69" t="s">
        <v>6042</v>
      </c>
      <c r="J1671" s="69"/>
      <c r="K1671" s="68"/>
      <c r="L1671" s="69" t="s">
        <v>120</v>
      </c>
      <c r="M1671" s="71" t="s">
        <v>113</v>
      </c>
      <c r="N1671" s="69" t="e" vm="2">
        <v>#VALUE!</v>
      </c>
      <c r="O1671" s="84">
        <v>43642</v>
      </c>
      <c r="P1671" s="72" t="s">
        <v>402</v>
      </c>
      <c r="Q1671" s="72"/>
      <c r="R1671" s="162"/>
      <c r="S1671" s="146"/>
      <c r="T1671" s="68" t="s">
        <v>165</v>
      </c>
      <c r="U1671" s="87"/>
      <c r="V1671" s="80">
        <v>43699</v>
      </c>
      <c r="W1671" s="73">
        <v>120</v>
      </c>
      <c r="X1671" s="73">
        <f>17300*176.83/1000000</f>
        <v>3.0591590000000002</v>
      </c>
      <c r="Y1671" s="83">
        <f>IF(SUM(W1671:W1671)&gt;0,X1671/SUM(W1671:W1671)*1000000,"N/A")</f>
        <v>25492.991666666669</v>
      </c>
      <c r="Z1671" s="80"/>
      <c r="AA1671" s="80"/>
      <c r="AB1671" s="73"/>
      <c r="AC1671" s="153"/>
      <c r="AD1671" s="331"/>
      <c r="AE1671" s="57"/>
      <c r="AF1671" s="88"/>
      <c r="AG1671" s="182">
        <f>YEAR(D1671)</f>
        <v>2019</v>
      </c>
      <c r="AH1671" s="86" t="str">
        <f>+IF(AE1671=$AJ$22,MONTH(T1671),"")</f>
        <v/>
      </c>
      <c r="AI1671" s="86" t="str">
        <f>+IF(AF1671=$AJ$22,MONTH(U1671),"")</f>
        <v/>
      </c>
      <c r="AJ1671" s="86" t="str">
        <f>+IF(AG1671=$AJ$22,MONTH(V1671),"")</f>
        <v/>
      </c>
      <c r="AK1671" s="86" t="str">
        <f>+IF(AG1671=$AK$22,MONTH(V1671),"")</f>
        <v/>
      </c>
      <c r="AL1671" s="86" t="str">
        <f>+IF(AG1671=$AL$22,MONTH(V1671),"")</f>
        <v/>
      </c>
      <c r="AM1671" s="86" t="str">
        <f>+IF($AG1671=$AM$22,MONTH($D1671),"")</f>
        <v/>
      </c>
      <c r="AN1671" s="89" t="str">
        <f>+IF($AG1671=AN$22,MONTH($D1671),"")</f>
        <v/>
      </c>
      <c r="AO1671" s="89">
        <f>+IF($AG1671=AO$22,MONTH($D1671),"")</f>
        <v>6</v>
      </c>
      <c r="AP1671" s="89" t="str">
        <f>+IF($AG1671=AP$22,MONTH($D1671),"")</f>
        <v/>
      </c>
      <c r="AQ1671" s="89" t="str">
        <f>+IF($AG1671=AQ$22,MONTH($D1671),"")</f>
        <v/>
      </c>
      <c r="AR1671" s="89" t="str">
        <f>+IF($AG1671=AR$22,MONTH($D1671),"")</f>
        <v/>
      </c>
      <c r="AS1671" s="89" t="str">
        <f>+IF($AG1671=AS$22,MONTH($D1671),"")</f>
        <v/>
      </c>
      <c r="AT1671" s="89" t="str">
        <f>+IF($AG1671=AT$22,MONTH($D1671),"")</f>
        <v/>
      </c>
      <c r="AU1671" s="89" t="str">
        <f>+IF($AG1671=AU$22,MONTH($D1671),"")</f>
        <v/>
      </c>
      <c r="AV1671" s="89" t="str">
        <f>+IF($AG1671=AV$22,MONTH($D1671),"")</f>
        <v/>
      </c>
      <c r="AW1671" s="86" t="str">
        <f>+IF($AG1671=AW$22,MONTH($D1671),"")</f>
        <v/>
      </c>
      <c r="AX1671" s="86" t="str">
        <f>+IF($AG1671=AX$22,MONTH($D1671),"")</f>
        <v/>
      </c>
      <c r="AY1671" s="89"/>
      <c r="AZ1671" s="89"/>
      <c r="BA1671" s="89"/>
      <c r="BB1671" s="89"/>
      <c r="BC1671" s="89"/>
      <c r="BD1671" s="89"/>
      <c r="BE1671" s="89"/>
      <c r="BF1671" s="89"/>
      <c r="BG1671" s="89"/>
      <c r="BH1671" s="89"/>
      <c r="BI1671" s="89"/>
      <c r="BJ1671" s="89"/>
      <c r="BK1671" s="89"/>
      <c r="BL1671" s="89"/>
      <c r="BM1671" s="89"/>
      <c r="BN1671" s="89"/>
      <c r="BO1671" s="89"/>
      <c r="BP1671" s="89"/>
    </row>
    <row r="1672" spans="1:68" s="56" customFormat="1" ht="27" hidden="1">
      <c r="A1672" s="204">
        <f>+IFERROR(VALUE(MID(AB1672,4,4)),"")</f>
        <v>202</v>
      </c>
      <c r="B1672" s="204">
        <f>VALUE(RIGHT(C1672,LEN(C1672)-2))</f>
        <v>1053</v>
      </c>
      <c r="C1672" s="74" t="s">
        <v>6043</v>
      </c>
      <c r="D1672" s="75">
        <v>43640</v>
      </c>
      <c r="E1672" s="70" t="s">
        <v>53</v>
      </c>
      <c r="F1672" s="70" t="s">
        <v>630</v>
      </c>
      <c r="G1672" s="68"/>
      <c r="H1672" s="59"/>
      <c r="I1672" s="69" t="s">
        <v>6044</v>
      </c>
      <c r="J1672" s="69"/>
      <c r="K1672" s="68" t="s">
        <v>45</v>
      </c>
      <c r="L1672" s="69" t="s">
        <v>120</v>
      </c>
      <c r="M1672" s="71" t="s">
        <v>141</v>
      </c>
      <c r="N1672" s="69" t="e" vm="1">
        <v>#VALUE!</v>
      </c>
      <c r="O1672" s="84">
        <v>43640</v>
      </c>
      <c r="P1672" s="72" t="s">
        <v>4567</v>
      </c>
      <c r="Q1672" s="72" t="s">
        <v>623</v>
      </c>
      <c r="R1672" s="162"/>
      <c r="S1672" s="146"/>
      <c r="T1672" s="68" t="s">
        <v>3</v>
      </c>
      <c r="U1672" s="87"/>
      <c r="V1672" s="80">
        <v>43699</v>
      </c>
      <c r="W1672" s="73">
        <v>175</v>
      </c>
      <c r="X1672" s="73">
        <f>3263279/1000000</f>
        <v>3.2632789999999998</v>
      </c>
      <c r="Y1672" s="83">
        <f>IF(SUM(W1672:W1672)&gt;0,X1672/SUM(W1672:W1672)*1000000,"N/A")</f>
        <v>18647.30857142857</v>
      </c>
      <c r="Z1672" s="80"/>
      <c r="AA1672" s="80"/>
      <c r="AB1672" s="73" t="s">
        <v>6045</v>
      </c>
      <c r="AC1672" s="153"/>
      <c r="AD1672" s="331"/>
      <c r="AE1672" s="57"/>
      <c r="AF1672" s="88"/>
      <c r="AG1672" s="182">
        <f>YEAR(D1672)</f>
        <v>2019</v>
      </c>
      <c r="AH1672" s="86" t="str">
        <f>+IF(AE1672=$AJ$22,MONTH(T1672),"")</f>
        <v/>
      </c>
      <c r="AI1672" s="86" t="str">
        <f>+IF(AF1672=$AJ$22,MONTH(U1672),"")</f>
        <v/>
      </c>
      <c r="AJ1672" s="86" t="str">
        <f>+IF(AG1672=$AJ$22,MONTH(V1672),"")</f>
        <v/>
      </c>
      <c r="AK1672" s="86" t="str">
        <f>+IF(AG1672=$AK$22,MONTH(V1672),"")</f>
        <v/>
      </c>
      <c r="AL1672" s="86" t="str">
        <f>+IF(AG1672=$AL$22,MONTH(V1672),"")</f>
        <v/>
      </c>
      <c r="AM1672" s="86" t="str">
        <f>+IF($AG1672=$AM$22,MONTH($D1672),"")</f>
        <v/>
      </c>
      <c r="AN1672" s="89" t="str">
        <f>+IF($AG1672=AN$22,MONTH($D1672),"")</f>
        <v/>
      </c>
      <c r="AO1672" s="89">
        <f>+IF($AG1672=AO$22,MONTH($D1672),"")</f>
        <v>6</v>
      </c>
      <c r="AP1672" s="89" t="str">
        <f>+IF($AG1672=AP$22,MONTH($D1672),"")</f>
        <v/>
      </c>
      <c r="AQ1672" s="89" t="str">
        <f>+IF($AG1672=AQ$22,MONTH($D1672),"")</f>
        <v/>
      </c>
      <c r="AR1672" s="89" t="str">
        <f>+IF($AG1672=AR$22,MONTH($D1672),"")</f>
        <v/>
      </c>
      <c r="AS1672" s="89" t="str">
        <f>+IF($AG1672=AS$22,MONTH($D1672),"")</f>
        <v/>
      </c>
      <c r="AT1672" s="89" t="str">
        <f>+IF($AG1672=AT$22,MONTH($D1672),"")</f>
        <v/>
      </c>
      <c r="AU1672" s="89" t="str">
        <f>+IF($AG1672=AU$22,MONTH($D1672),"")</f>
        <v/>
      </c>
      <c r="AV1672" s="89" t="str">
        <f>+IF($AG1672=AV$22,MONTH($D1672),"")</f>
        <v/>
      </c>
      <c r="AW1672" s="86" t="str">
        <f>+IF($AG1672=AW$22,MONTH($D1672),"")</f>
        <v/>
      </c>
      <c r="AX1672" s="86" t="str">
        <f>+IF($AG1672=AX$22,MONTH($D1672),"")</f>
        <v/>
      </c>
      <c r="AY1672" s="89"/>
      <c r="AZ1672" s="89"/>
      <c r="BA1672" s="89"/>
      <c r="BB1672" s="89"/>
      <c r="BC1672" s="89"/>
      <c r="BD1672" s="89"/>
      <c r="BE1672" s="89"/>
      <c r="BF1672" s="89"/>
      <c r="BG1672" s="89"/>
      <c r="BH1672" s="89"/>
      <c r="BI1672" s="89"/>
      <c r="BJ1672" s="89"/>
      <c r="BK1672" s="89"/>
      <c r="BL1672" s="89"/>
      <c r="BM1672" s="89"/>
      <c r="BN1672" s="89"/>
      <c r="BO1672" s="89"/>
      <c r="BP1672" s="89"/>
    </row>
    <row r="1673" spans="1:68" s="56" customFormat="1" ht="13.5" hidden="1">
      <c r="A1673" s="204">
        <f>+IFERROR(VALUE(MID(AB1673,4,4)),"")</f>
        <v>197</v>
      </c>
      <c r="B1673" s="204">
        <f>VALUE(RIGHT(C1673,LEN(C1673)-2))</f>
        <v>1052</v>
      </c>
      <c r="C1673" s="74" t="s">
        <v>6046</v>
      </c>
      <c r="D1673" s="75">
        <v>43637</v>
      </c>
      <c r="E1673" s="70" t="s">
        <v>4664</v>
      </c>
      <c r="F1673" s="70" t="s">
        <v>4664</v>
      </c>
      <c r="G1673" s="68"/>
      <c r="H1673" s="59"/>
      <c r="I1673" s="69" t="s">
        <v>6047</v>
      </c>
      <c r="J1673" s="69"/>
      <c r="K1673" s="68"/>
      <c r="L1673" s="69" t="s">
        <v>120</v>
      </c>
      <c r="M1673" s="71" t="s">
        <v>113</v>
      </c>
      <c r="N1673" s="69" t="e" vm="2">
        <v>#VALUE!</v>
      </c>
      <c r="O1673" s="265">
        <v>43637</v>
      </c>
      <c r="P1673" s="72" t="s">
        <v>402</v>
      </c>
      <c r="Q1673" s="72" t="s">
        <v>229</v>
      </c>
      <c r="R1673" s="162"/>
      <c r="S1673" s="146"/>
      <c r="T1673" s="68" t="s">
        <v>3</v>
      </c>
      <c r="U1673" s="87"/>
      <c r="V1673" s="80">
        <v>43699</v>
      </c>
      <c r="W1673" s="73">
        <v>160</v>
      </c>
      <c r="X1673" s="73">
        <f>22100*176.83/1000000</f>
        <v>3.9079430000000004</v>
      </c>
      <c r="Y1673" s="83">
        <f>IF(SUM(W1673:W1673)&gt;0,X1673/SUM(W1673:W1673)*1000000,"N/A")</f>
        <v>24424.643750000003</v>
      </c>
      <c r="Z1673" s="80"/>
      <c r="AA1673" s="80"/>
      <c r="AB1673" s="73" t="s">
        <v>5876</v>
      </c>
      <c r="AC1673" s="153"/>
      <c r="AD1673" s="331"/>
      <c r="AE1673" s="57"/>
      <c r="AF1673" s="88"/>
      <c r="AG1673" s="182">
        <f>YEAR(D1673)</f>
        <v>2019</v>
      </c>
      <c r="AH1673" s="86" t="str">
        <f>+IF(AE1673=$AJ$22,MONTH(T1673),"")</f>
        <v/>
      </c>
      <c r="AI1673" s="86" t="str">
        <f>+IF(AF1673=$AJ$22,MONTH(U1673),"")</f>
        <v/>
      </c>
      <c r="AJ1673" s="86" t="str">
        <f>+IF(AG1673=$AJ$22,MONTH(V1673),"")</f>
        <v/>
      </c>
      <c r="AK1673" s="86" t="str">
        <f>+IF(AG1673=$AK$22,MONTH(V1673),"")</f>
        <v/>
      </c>
      <c r="AL1673" s="86" t="str">
        <f>+IF(AG1673=$AL$22,MONTH(V1673),"")</f>
        <v/>
      </c>
      <c r="AM1673" s="86" t="str">
        <f>+IF($AG1673=$AM$22,MONTH($D1673),"")</f>
        <v/>
      </c>
      <c r="AN1673" s="89" t="str">
        <f>+IF($AG1673=AN$22,MONTH($D1673),"")</f>
        <v/>
      </c>
      <c r="AO1673" s="89">
        <f>+IF($AG1673=AO$22,MONTH($D1673),"")</f>
        <v>6</v>
      </c>
      <c r="AP1673" s="89" t="str">
        <f>+IF($AG1673=AP$22,MONTH($D1673),"")</f>
        <v/>
      </c>
      <c r="AQ1673" s="89" t="str">
        <f>+IF($AG1673=AQ$22,MONTH($D1673),"")</f>
        <v/>
      </c>
      <c r="AR1673" s="89" t="str">
        <f>+IF($AG1673=AR$22,MONTH($D1673),"")</f>
        <v/>
      </c>
      <c r="AS1673" s="89" t="str">
        <f>+IF($AG1673=AS$22,MONTH($D1673),"")</f>
        <v/>
      </c>
      <c r="AT1673" s="89" t="str">
        <f>+IF($AG1673=AT$22,MONTH($D1673),"")</f>
        <v/>
      </c>
      <c r="AU1673" s="89" t="str">
        <f>+IF($AG1673=AU$22,MONTH($D1673),"")</f>
        <v/>
      </c>
      <c r="AV1673" s="89" t="str">
        <f>+IF($AG1673=AV$22,MONTH($D1673),"")</f>
        <v/>
      </c>
      <c r="AW1673" s="86" t="str">
        <f>+IF($AG1673=AW$22,MONTH($D1673),"")</f>
        <v/>
      </c>
      <c r="AX1673" s="86" t="str">
        <f>+IF($AG1673=AX$22,MONTH($D1673),"")</f>
        <v/>
      </c>
      <c r="AY1673" s="89"/>
      <c r="AZ1673" s="89"/>
      <c r="BA1673" s="89"/>
      <c r="BB1673" s="89"/>
      <c r="BC1673" s="89"/>
      <c r="BD1673" s="89"/>
      <c r="BE1673" s="89"/>
      <c r="BF1673" s="89"/>
      <c r="BG1673" s="89"/>
      <c r="BH1673" s="89"/>
      <c r="BI1673" s="89"/>
      <c r="BJ1673" s="89"/>
      <c r="BK1673" s="89"/>
      <c r="BL1673" s="89"/>
      <c r="BM1673" s="89"/>
      <c r="BN1673" s="89"/>
      <c r="BO1673" s="89"/>
      <c r="BP1673" s="89"/>
    </row>
    <row r="1674" spans="1:68" s="56" customFormat="1" ht="13.5" hidden="1">
      <c r="A1674" s="204" t="str">
        <f>+IFERROR(VALUE(MID(AB1674,4,4)),"")</f>
        <v/>
      </c>
      <c r="B1674" s="204">
        <f>VALUE(RIGHT(C1674,LEN(C1674)-2))</f>
        <v>1051</v>
      </c>
      <c r="C1674" s="74" t="s">
        <v>6048</v>
      </c>
      <c r="D1674" s="75">
        <v>43634</v>
      </c>
      <c r="E1674" s="70" t="s">
        <v>6049</v>
      </c>
      <c r="F1674" s="70" t="s">
        <v>6049</v>
      </c>
      <c r="G1674" s="68"/>
      <c r="H1674" s="59"/>
      <c r="I1674" s="69" t="s">
        <v>6050</v>
      </c>
      <c r="J1674" s="69"/>
      <c r="K1674" s="68"/>
      <c r="L1674" s="69" t="s">
        <v>120</v>
      </c>
      <c r="M1674" s="71" t="s">
        <v>141</v>
      </c>
      <c r="N1674" s="69" t="e" vm="1">
        <v>#VALUE!</v>
      </c>
      <c r="O1674" s="265">
        <v>43634</v>
      </c>
      <c r="P1674" s="72" t="s">
        <v>402</v>
      </c>
      <c r="Q1674" s="72"/>
      <c r="R1674" s="162"/>
      <c r="S1674" s="146"/>
      <c r="T1674" s="68" t="s">
        <v>165</v>
      </c>
      <c r="U1674" s="87"/>
      <c r="V1674" s="80">
        <v>43699</v>
      </c>
      <c r="W1674" s="73">
        <v>315</v>
      </c>
      <c r="X1674" s="73">
        <f>494*27000/1000000</f>
        <v>13.337999999999999</v>
      </c>
      <c r="Y1674" s="83">
        <f>IF(SUM(W1674:W1674)&gt;0,X1674/SUM(W1674:W1674)*1000000,"N/A")</f>
        <v>42342.857142857138</v>
      </c>
      <c r="Z1674" s="80"/>
      <c r="AA1674" s="80"/>
      <c r="AB1674" s="73"/>
      <c r="AC1674" s="153"/>
      <c r="AD1674" s="331"/>
      <c r="AE1674" s="57"/>
      <c r="AF1674" s="88"/>
      <c r="AG1674" s="182">
        <f>YEAR(D1674)</f>
        <v>2019</v>
      </c>
      <c r="AH1674" s="86" t="str">
        <f>+IF(AE1674=$AJ$22,MONTH(T1674),"")</f>
        <v/>
      </c>
      <c r="AI1674" s="86" t="str">
        <f>+IF(AF1674=$AJ$22,MONTH(U1674),"")</f>
        <v/>
      </c>
      <c r="AJ1674" s="86" t="str">
        <f>+IF(AG1674=$AJ$22,MONTH(V1674),"")</f>
        <v/>
      </c>
      <c r="AK1674" s="86" t="str">
        <f>+IF(AG1674=$AK$22,MONTH(V1674),"")</f>
        <v/>
      </c>
      <c r="AL1674" s="86" t="str">
        <f>+IF(AG1674=$AL$22,MONTH(V1674),"")</f>
        <v/>
      </c>
      <c r="AM1674" s="86" t="str">
        <f>+IF($AG1674=$AM$22,MONTH($D1674),"")</f>
        <v/>
      </c>
      <c r="AN1674" s="89" t="str">
        <f>+IF($AG1674=AN$22,MONTH($D1674),"")</f>
        <v/>
      </c>
      <c r="AO1674" s="89">
        <f>+IF($AG1674=AO$22,MONTH($D1674),"")</f>
        <v>6</v>
      </c>
      <c r="AP1674" s="89" t="str">
        <f>+IF($AG1674=AP$22,MONTH($D1674),"")</f>
        <v/>
      </c>
      <c r="AQ1674" s="89" t="str">
        <f>+IF($AG1674=AQ$22,MONTH($D1674),"")</f>
        <v/>
      </c>
      <c r="AR1674" s="89" t="str">
        <f>+IF($AG1674=AR$22,MONTH($D1674),"")</f>
        <v/>
      </c>
      <c r="AS1674" s="89" t="str">
        <f>+IF($AG1674=AS$22,MONTH($D1674),"")</f>
        <v/>
      </c>
      <c r="AT1674" s="89" t="str">
        <f>+IF($AG1674=AT$22,MONTH($D1674),"")</f>
        <v/>
      </c>
      <c r="AU1674" s="89" t="str">
        <f>+IF($AG1674=AU$22,MONTH($D1674),"")</f>
        <v/>
      </c>
      <c r="AV1674" s="89" t="str">
        <f>+IF($AG1674=AV$22,MONTH($D1674),"")</f>
        <v/>
      </c>
      <c r="AW1674" s="86" t="str">
        <f>+IF($AG1674=AW$22,MONTH($D1674),"")</f>
        <v/>
      </c>
      <c r="AX1674" s="86" t="str">
        <f>+IF($AG1674=AX$22,MONTH($D1674),"")</f>
        <v/>
      </c>
      <c r="AY1674" s="89"/>
      <c r="AZ1674" s="89"/>
      <c r="BA1674" s="89"/>
      <c r="BB1674" s="89"/>
      <c r="BC1674" s="89"/>
      <c r="BD1674" s="89"/>
      <c r="BE1674" s="89"/>
      <c r="BF1674" s="89"/>
      <c r="BG1674" s="89"/>
      <c r="BH1674" s="89"/>
      <c r="BI1674" s="89"/>
      <c r="BJ1674" s="89"/>
      <c r="BK1674" s="89"/>
      <c r="BL1674" s="89"/>
      <c r="BM1674" s="89"/>
      <c r="BN1674" s="89"/>
      <c r="BO1674" s="89"/>
      <c r="BP1674" s="89"/>
    </row>
    <row r="1675" spans="1:68" s="56" customFormat="1" ht="13.5" hidden="1">
      <c r="A1675" s="204">
        <f>+IFERROR(VALUE(MID(AB1675,4,4)),"")</f>
        <v>228</v>
      </c>
      <c r="B1675" s="204">
        <f>VALUE(RIGHT(C1675,LEN(C1675)-2))</f>
        <v>1050</v>
      </c>
      <c r="C1675" s="74" t="s">
        <v>6051</v>
      </c>
      <c r="D1675" s="75">
        <v>43630</v>
      </c>
      <c r="E1675" s="70" t="s">
        <v>685</v>
      </c>
      <c r="F1675" s="70" t="s">
        <v>685</v>
      </c>
      <c r="G1675" s="68"/>
      <c r="H1675" s="59"/>
      <c r="I1675" s="69" t="s">
        <v>6052</v>
      </c>
      <c r="J1675" s="69"/>
      <c r="K1675" s="68" t="s">
        <v>13</v>
      </c>
      <c r="L1675" s="69" t="s">
        <v>120</v>
      </c>
      <c r="M1675" s="71" t="s">
        <v>141</v>
      </c>
      <c r="N1675" s="69" t="e" vm="1">
        <v>#VALUE!</v>
      </c>
      <c r="O1675" s="265">
        <v>43699</v>
      </c>
      <c r="P1675" s="72" t="s">
        <v>402</v>
      </c>
      <c r="Q1675" s="72" t="s">
        <v>229</v>
      </c>
      <c r="R1675" s="162"/>
      <c r="S1675" s="146"/>
      <c r="T1675" s="68" t="s">
        <v>3</v>
      </c>
      <c r="U1675" s="87"/>
      <c r="V1675" s="80">
        <v>43699</v>
      </c>
      <c r="W1675" s="73">
        <v>4048</v>
      </c>
      <c r="X1675" s="73">
        <f>155986999/1000000</f>
        <v>155.986999</v>
      </c>
      <c r="Y1675" s="83">
        <f>IF(SUM(W1675:W1675)&gt;0,X1675/SUM(W1675:W1675)*1000000,"N/A")</f>
        <v>38534.337697628456</v>
      </c>
      <c r="Z1675" s="80"/>
      <c r="AA1675" s="80"/>
      <c r="AB1675" s="73" t="s">
        <v>6053</v>
      </c>
      <c r="AC1675" s="153"/>
      <c r="AD1675" s="331"/>
      <c r="AE1675" s="57"/>
      <c r="AF1675" s="88"/>
      <c r="AG1675" s="182">
        <f>YEAR(D1675)</f>
        <v>2019</v>
      </c>
      <c r="AH1675" s="86" t="str">
        <f>+IF(AE1675=$AJ$22,MONTH(T1675),"")</f>
        <v/>
      </c>
      <c r="AI1675" s="86" t="str">
        <f>+IF(AF1675=$AJ$22,MONTH(U1675),"")</f>
        <v/>
      </c>
      <c r="AJ1675" s="86" t="str">
        <f>+IF(AG1675=$AJ$22,MONTH(V1675),"")</f>
        <v/>
      </c>
      <c r="AK1675" s="86" t="str">
        <f>+IF(AG1675=$AK$22,MONTH(V1675),"")</f>
        <v/>
      </c>
      <c r="AL1675" s="86" t="str">
        <f>+IF(AG1675=$AL$22,MONTH(V1675),"")</f>
        <v/>
      </c>
      <c r="AM1675" s="86" t="str">
        <f>+IF($AG1675=$AM$22,MONTH($D1675),"")</f>
        <v/>
      </c>
      <c r="AN1675" s="89" t="str">
        <f>+IF($AG1675=AN$22,MONTH($D1675),"")</f>
        <v/>
      </c>
      <c r="AO1675" s="89">
        <f>+IF($AG1675=AO$22,MONTH($D1675),"")</f>
        <v>6</v>
      </c>
      <c r="AP1675" s="89" t="str">
        <f>+IF($AG1675=AP$22,MONTH($D1675),"")</f>
        <v/>
      </c>
      <c r="AQ1675" s="89" t="str">
        <f>+IF($AG1675=AQ$22,MONTH($D1675),"")</f>
        <v/>
      </c>
      <c r="AR1675" s="89" t="str">
        <f>+IF($AG1675=AR$22,MONTH($D1675),"")</f>
        <v/>
      </c>
      <c r="AS1675" s="89" t="str">
        <f>+IF($AG1675=AS$22,MONTH($D1675),"")</f>
        <v/>
      </c>
      <c r="AT1675" s="89" t="str">
        <f>+IF($AG1675=AT$22,MONTH($D1675),"")</f>
        <v/>
      </c>
      <c r="AU1675" s="89" t="str">
        <f>+IF($AG1675=AU$22,MONTH($D1675),"")</f>
        <v/>
      </c>
      <c r="AV1675" s="89" t="str">
        <f>+IF($AG1675=AV$22,MONTH($D1675),"")</f>
        <v/>
      </c>
      <c r="AW1675" s="86"/>
      <c r="AX1675" s="86"/>
      <c r="AY1675" s="89"/>
      <c r="AZ1675" s="89"/>
      <c r="BA1675" s="89"/>
      <c r="BB1675" s="89"/>
      <c r="BC1675" s="89"/>
      <c r="BD1675" s="89"/>
      <c r="BE1675" s="89"/>
      <c r="BF1675" s="89"/>
      <c r="BG1675" s="89"/>
      <c r="BH1675" s="89"/>
      <c r="BI1675" s="89"/>
      <c r="BJ1675" s="89"/>
      <c r="BK1675" s="89"/>
      <c r="BL1675" s="89"/>
      <c r="BM1675" s="89"/>
      <c r="BN1675" s="89"/>
      <c r="BO1675" s="89"/>
      <c r="BP1675" s="89"/>
    </row>
    <row r="1676" spans="1:68" s="56" customFormat="1" ht="13.5" hidden="1">
      <c r="A1676" s="204" t="str">
        <f>+IFERROR(VALUE(MID(AB1676,4,4)),"")</f>
        <v/>
      </c>
      <c r="B1676" s="204">
        <f>VALUE(RIGHT(C1676,LEN(C1676)-2))</f>
        <v>1049</v>
      </c>
      <c r="C1676" s="74" t="s">
        <v>6054</v>
      </c>
      <c r="D1676" s="75">
        <v>43628</v>
      </c>
      <c r="E1676" s="70" t="s">
        <v>4664</v>
      </c>
      <c r="F1676" s="70" t="s">
        <v>4664</v>
      </c>
      <c r="G1676" s="68"/>
      <c r="H1676" s="59"/>
      <c r="I1676" s="69" t="s">
        <v>6055</v>
      </c>
      <c r="J1676" s="69"/>
      <c r="K1676" s="68"/>
      <c r="L1676" s="69" t="s">
        <v>120</v>
      </c>
      <c r="M1676" s="71" t="s">
        <v>113</v>
      </c>
      <c r="N1676" s="69" t="e" vm="2">
        <v>#VALUE!</v>
      </c>
      <c r="O1676" s="84"/>
      <c r="P1676" s="72" t="s">
        <v>402</v>
      </c>
      <c r="Q1676" s="72"/>
      <c r="R1676" s="162"/>
      <c r="S1676" s="146"/>
      <c r="T1676" s="68" t="s">
        <v>155</v>
      </c>
      <c r="U1676" s="87"/>
      <c r="V1676" s="80"/>
      <c r="W1676" s="73"/>
      <c r="X1676" s="73"/>
      <c r="Y1676" s="83" t="str">
        <f>IF(SUM(W1676:W1676)&gt;0,X1676/SUM(W1676:W1676)*1000000,"N/A")</f>
        <v>N/A</v>
      </c>
      <c r="Z1676" s="80"/>
      <c r="AA1676" s="80"/>
      <c r="AB1676" s="73"/>
      <c r="AC1676" s="153"/>
      <c r="AD1676" s="331"/>
      <c r="AE1676" s="57"/>
      <c r="AF1676" s="88"/>
      <c r="AG1676" s="182">
        <f>YEAR(D1676)</f>
        <v>2019</v>
      </c>
      <c r="AH1676" s="86" t="str">
        <f>+IF(AE1676=$AJ$22,MONTH(T1676),"")</f>
        <v/>
      </c>
      <c r="AI1676" s="86" t="str">
        <f>+IF(AF1676=$AJ$22,MONTH(U1676),"")</f>
        <v/>
      </c>
      <c r="AJ1676" s="86" t="str">
        <f>+IF(AG1676=$AJ$22,MONTH(V1676),"")</f>
        <v/>
      </c>
      <c r="AK1676" s="86" t="str">
        <f>+IF(AG1676=$AK$22,MONTH(V1676),"")</f>
        <v/>
      </c>
      <c r="AL1676" s="86" t="str">
        <f>+IF(AG1676=$AL$22,MONTH(V1676),"")</f>
        <v/>
      </c>
      <c r="AM1676" s="86" t="str">
        <f>+IF($AG1676=$AM$22,MONTH($D1676),"")</f>
        <v/>
      </c>
      <c r="AN1676" s="89" t="str">
        <f>+IF($AG1676=AN$22,MONTH($D1676),"")</f>
        <v/>
      </c>
      <c r="AO1676" s="89">
        <f>+IF($AG1676=AO$22,MONTH($D1676),"")</f>
        <v>6</v>
      </c>
      <c r="AP1676" s="89" t="str">
        <f>+IF($AG1676=AP$22,MONTH($D1676),"")</f>
        <v/>
      </c>
      <c r="AQ1676" s="89" t="str">
        <f>+IF($AG1676=AQ$22,MONTH($D1676),"")</f>
        <v/>
      </c>
      <c r="AR1676" s="89" t="str">
        <f>+IF($AG1676=AR$22,MONTH($D1676),"")</f>
        <v/>
      </c>
      <c r="AS1676" s="89" t="str">
        <f>+IF($AG1676=AS$22,MONTH($D1676),"")</f>
        <v/>
      </c>
      <c r="AT1676" s="89" t="str">
        <f>+IF($AG1676=AT$22,MONTH($D1676),"")</f>
        <v/>
      </c>
      <c r="AU1676" s="89" t="str">
        <f>+IF($AG1676=AU$22,MONTH($D1676),"")</f>
        <v/>
      </c>
      <c r="AV1676" s="89" t="str">
        <f>+IF($AG1676=AV$22,MONTH($D1676),"")</f>
        <v/>
      </c>
      <c r="AW1676" s="86"/>
      <c r="AX1676" s="86"/>
      <c r="AY1676" s="89"/>
      <c r="AZ1676" s="89"/>
      <c r="BA1676" s="89"/>
      <c r="BB1676" s="89"/>
      <c r="BC1676" s="89"/>
      <c r="BD1676" s="89"/>
      <c r="BE1676" s="89"/>
      <c r="BF1676" s="89"/>
      <c r="BG1676" s="89"/>
      <c r="BH1676" s="89"/>
      <c r="BI1676" s="89"/>
      <c r="BJ1676" s="89"/>
      <c r="BK1676" s="89"/>
      <c r="BL1676" s="89"/>
      <c r="BM1676" s="89"/>
      <c r="BN1676" s="89"/>
      <c r="BO1676" s="89"/>
      <c r="BP1676" s="89"/>
    </row>
    <row r="1677" spans="1:68" s="56" customFormat="1" ht="22.5" hidden="1" customHeight="1">
      <c r="A1677" s="204">
        <f>+IFERROR(VALUE(MID(AB1677,4,4)),"")</f>
        <v>202</v>
      </c>
      <c r="B1677" s="204">
        <f>VALUE(RIGHT(C1677,LEN(C1677)-2))</f>
        <v>1048</v>
      </c>
      <c r="C1677" s="74" t="s">
        <v>6056</v>
      </c>
      <c r="D1677" s="75">
        <v>43628</v>
      </c>
      <c r="E1677" s="70" t="s">
        <v>53</v>
      </c>
      <c r="F1677" s="70" t="s">
        <v>2436</v>
      </c>
      <c r="G1677" s="68"/>
      <c r="H1677" s="59"/>
      <c r="I1677" s="69" t="s">
        <v>6057</v>
      </c>
      <c r="J1677" s="69"/>
      <c r="K1677" s="68"/>
      <c r="L1677" s="69" t="s">
        <v>120</v>
      </c>
      <c r="M1677" s="71" t="s">
        <v>141</v>
      </c>
      <c r="N1677" s="69" t="e" vm="1">
        <v>#VALUE!</v>
      </c>
      <c r="O1677" s="84">
        <v>43658</v>
      </c>
      <c r="P1677" s="72" t="s">
        <v>4567</v>
      </c>
      <c r="Q1677" s="72" t="s">
        <v>259</v>
      </c>
      <c r="R1677" s="162"/>
      <c r="S1677" s="146"/>
      <c r="T1677" s="68" t="s">
        <v>3</v>
      </c>
      <c r="U1677" s="87"/>
      <c r="V1677" s="80">
        <v>43699</v>
      </c>
      <c r="W1677" s="73">
        <v>70</v>
      </c>
      <c r="X1677" s="73">
        <f>1886000/1000000</f>
        <v>1.8859999999999999</v>
      </c>
      <c r="Y1677" s="83">
        <f>IF(SUM(W1677:W1677)&gt;0,X1677/SUM(W1677:W1677)*1000000,"N/A")</f>
        <v>26942.857142857141</v>
      </c>
      <c r="Z1677" s="80"/>
      <c r="AA1677" s="80"/>
      <c r="AB1677" s="73" t="s">
        <v>6058</v>
      </c>
      <c r="AC1677" s="153"/>
      <c r="AD1677" s="331"/>
      <c r="AE1677" s="57"/>
      <c r="AF1677" s="88"/>
      <c r="AG1677" s="182">
        <f>YEAR(D1677)</f>
        <v>2019</v>
      </c>
      <c r="AH1677" s="86" t="str">
        <f>+IF(AE1677=$AJ$22,MONTH(T1677),"")</f>
        <v/>
      </c>
      <c r="AI1677" s="86" t="str">
        <f>+IF(AF1677=$AJ$22,MONTH(U1677),"")</f>
        <v/>
      </c>
      <c r="AJ1677" s="86" t="str">
        <f>+IF(AG1677=$AJ$22,MONTH(V1677),"")</f>
        <v/>
      </c>
      <c r="AK1677" s="86" t="str">
        <f>+IF(AG1677=$AK$22,MONTH(V1677),"")</f>
        <v/>
      </c>
      <c r="AL1677" s="86" t="str">
        <f>+IF(AG1677=$AL$22,MONTH(V1677),"")</f>
        <v/>
      </c>
      <c r="AM1677" s="86" t="str">
        <f>+IF($AG1677=$AM$22,MONTH($D1677),"")</f>
        <v/>
      </c>
      <c r="AN1677" s="89" t="str">
        <f>+IF($AG1677=AN$22,MONTH($D1677),"")</f>
        <v/>
      </c>
      <c r="AO1677" s="89">
        <f>+IF($AG1677=AO$22,MONTH($D1677),"")</f>
        <v>6</v>
      </c>
      <c r="AP1677" s="89" t="str">
        <f>+IF($AG1677=AP$22,MONTH($D1677),"")</f>
        <v/>
      </c>
      <c r="AQ1677" s="89" t="str">
        <f>+IF($AG1677=AQ$22,MONTH($D1677),"")</f>
        <v/>
      </c>
      <c r="AR1677" s="89" t="str">
        <f>+IF($AG1677=AR$22,MONTH($D1677),"")</f>
        <v/>
      </c>
      <c r="AS1677" s="89" t="str">
        <f>+IF($AG1677=AS$22,MONTH($D1677),"")</f>
        <v/>
      </c>
      <c r="AT1677" s="89" t="str">
        <f>+IF($AG1677=AT$22,MONTH($D1677),"")</f>
        <v/>
      </c>
      <c r="AU1677" s="89" t="str">
        <f>+IF($AG1677=AU$22,MONTH($D1677),"")</f>
        <v/>
      </c>
      <c r="AV1677" s="89" t="str">
        <f>+IF($AG1677=AV$22,MONTH($D1677),"")</f>
        <v/>
      </c>
      <c r="AW1677" s="86"/>
      <c r="AX1677" s="86"/>
      <c r="AY1677" s="89"/>
      <c r="AZ1677" s="89"/>
      <c r="BA1677" s="89"/>
      <c r="BB1677" s="89"/>
      <c r="BC1677" s="89"/>
      <c r="BD1677" s="89"/>
      <c r="BE1677" s="89"/>
      <c r="BF1677" s="89"/>
      <c r="BG1677" s="89"/>
      <c r="BH1677" s="89"/>
      <c r="BI1677" s="89"/>
      <c r="BJ1677" s="89"/>
      <c r="BK1677" s="89"/>
      <c r="BL1677" s="89"/>
      <c r="BM1677" s="89"/>
      <c r="BN1677" s="89"/>
      <c r="BO1677" s="89"/>
      <c r="BP1677" s="89"/>
    </row>
    <row r="1678" spans="1:68" s="56" customFormat="1" ht="27" hidden="1">
      <c r="A1678" s="204" t="str">
        <f>+IFERROR(VALUE(MID(AB1678,4,4)),"")</f>
        <v/>
      </c>
      <c r="B1678" s="204">
        <f>VALUE(RIGHT(C1678,LEN(C1678)-2))</f>
        <v>1047</v>
      </c>
      <c r="C1678" s="74" t="s">
        <v>6059</v>
      </c>
      <c r="D1678" s="75">
        <v>43626</v>
      </c>
      <c r="E1678" s="70" t="s">
        <v>5475</v>
      </c>
      <c r="F1678" s="70" t="s">
        <v>2065</v>
      </c>
      <c r="G1678" s="68"/>
      <c r="H1678" s="59"/>
      <c r="I1678" s="69" t="s">
        <v>6060</v>
      </c>
      <c r="J1678" s="69"/>
      <c r="K1678" s="68" t="s">
        <v>13</v>
      </c>
      <c r="L1678" s="69" t="s">
        <v>120</v>
      </c>
      <c r="M1678" s="71" t="s">
        <v>141</v>
      </c>
      <c r="N1678" s="69" t="e" vm="1">
        <v>#VALUE!</v>
      </c>
      <c r="O1678" s="84">
        <v>43660</v>
      </c>
      <c r="P1678" s="72" t="s">
        <v>402</v>
      </c>
      <c r="Q1678" s="72"/>
      <c r="R1678" s="162"/>
      <c r="S1678" s="146" t="s">
        <v>6061</v>
      </c>
      <c r="T1678" s="68" t="s">
        <v>165</v>
      </c>
      <c r="U1678" s="87"/>
      <c r="V1678" s="80">
        <v>43811</v>
      </c>
      <c r="W1678" s="73">
        <v>16669</v>
      </c>
      <c r="X1678" s="73">
        <f>21965*28292.61/1000000</f>
        <v>621.44717864999996</v>
      </c>
      <c r="Y1678" s="83">
        <f>IF(SUM(W1678:W1678)&gt;0,X1678/SUM(W1678:W1678)*1000000,"N/A")</f>
        <v>37281.611293418922</v>
      </c>
      <c r="Z1678" s="80"/>
      <c r="AA1678" s="80"/>
      <c r="AB1678" s="73"/>
      <c r="AC1678" s="153"/>
      <c r="AD1678" s="331"/>
      <c r="AE1678" s="57"/>
      <c r="AF1678" s="88"/>
      <c r="AG1678" s="182">
        <f>YEAR(D1678)</f>
        <v>2019</v>
      </c>
      <c r="AH1678" s="86" t="str">
        <f>+IF(AE1678=$AJ$22,MONTH(T1678),"")</f>
        <v/>
      </c>
      <c r="AI1678" s="86" t="str">
        <f>+IF(AF1678=$AJ$22,MONTH(U1678),"")</f>
        <v/>
      </c>
      <c r="AJ1678" s="86" t="str">
        <f>+IF(AG1678=$AJ$22,MONTH(V1678),"")</f>
        <v/>
      </c>
      <c r="AK1678" s="86" t="str">
        <f>+IF(AG1678=$AK$22,MONTH(V1678),"")</f>
        <v/>
      </c>
      <c r="AL1678" s="86" t="str">
        <f>+IF(AG1678=$AL$22,MONTH(V1678),"")</f>
        <v/>
      </c>
      <c r="AM1678" s="86" t="str">
        <f>+IF($AG1678=$AM$22,MONTH($D1678),"")</f>
        <v/>
      </c>
      <c r="AN1678" s="89" t="str">
        <f>+IF($AG1678=AN$22,MONTH($D1678),"")</f>
        <v/>
      </c>
      <c r="AO1678" s="89">
        <f>+IF($AG1678=AO$22,MONTH($D1678),"")</f>
        <v>6</v>
      </c>
      <c r="AP1678" s="89" t="str">
        <f>+IF($AG1678=AP$22,MONTH($D1678),"")</f>
        <v/>
      </c>
      <c r="AQ1678" s="89" t="str">
        <f>+IF($AG1678=AQ$22,MONTH($D1678),"")</f>
        <v/>
      </c>
      <c r="AR1678" s="89" t="str">
        <f>+IF($AG1678=AR$22,MONTH($D1678),"")</f>
        <v/>
      </c>
      <c r="AS1678" s="89" t="str">
        <f>+IF($AG1678=AS$22,MONTH($D1678),"")</f>
        <v/>
      </c>
      <c r="AT1678" s="89" t="str">
        <f>+IF($AG1678=AT$22,MONTH($D1678),"")</f>
        <v/>
      </c>
      <c r="AU1678" s="89" t="str">
        <f>+IF($AG1678=AU$22,MONTH($D1678),"")</f>
        <v/>
      </c>
      <c r="AV1678" s="89" t="str">
        <f>+IF($AG1678=AV$22,MONTH($D1678),"")</f>
        <v/>
      </c>
      <c r="AW1678" s="86"/>
      <c r="AX1678" s="86"/>
      <c r="AY1678" s="89"/>
      <c r="AZ1678" s="89"/>
      <c r="BA1678" s="89"/>
      <c r="BB1678" s="89"/>
      <c r="BC1678" s="89"/>
      <c r="BD1678" s="89"/>
      <c r="BE1678" s="89"/>
      <c r="BF1678" s="89"/>
      <c r="BG1678" s="89"/>
      <c r="BH1678" s="89"/>
      <c r="BI1678" s="89"/>
      <c r="BJ1678" s="89"/>
      <c r="BK1678" s="89"/>
      <c r="BL1678" s="89"/>
      <c r="BM1678" s="89"/>
      <c r="BN1678" s="89"/>
      <c r="BO1678" s="89"/>
      <c r="BP1678" s="89"/>
    </row>
    <row r="1679" spans="1:68" s="56" customFormat="1" ht="13.5" hidden="1">
      <c r="A1679" s="204" t="str">
        <f>+IFERROR(VALUE(MID(AB1679,4,4)),"")</f>
        <v/>
      </c>
      <c r="B1679" s="204">
        <f>VALUE(RIGHT(C1679,LEN(C1679)-2))</f>
        <v>1046</v>
      </c>
      <c r="C1679" s="74" t="s">
        <v>6062</v>
      </c>
      <c r="D1679" s="75">
        <v>43626</v>
      </c>
      <c r="E1679" s="70" t="s">
        <v>6063</v>
      </c>
      <c r="F1679" s="70" t="s">
        <v>2639</v>
      </c>
      <c r="G1679" s="68"/>
      <c r="H1679" s="59"/>
      <c r="I1679" s="69" t="s">
        <v>6064</v>
      </c>
      <c r="J1679" s="69"/>
      <c r="K1679" s="68" t="s">
        <v>12</v>
      </c>
      <c r="L1679" s="69" t="s">
        <v>120</v>
      </c>
      <c r="M1679" s="71" t="s">
        <v>141</v>
      </c>
      <c r="N1679" s="69" t="e" vm="1">
        <v>#VALUE!</v>
      </c>
      <c r="O1679" s="84">
        <v>43663</v>
      </c>
      <c r="P1679" s="72" t="s">
        <v>5223</v>
      </c>
      <c r="Q1679" s="72"/>
      <c r="R1679" s="162"/>
      <c r="S1679" s="146"/>
      <c r="T1679" s="68" t="s">
        <v>165</v>
      </c>
      <c r="U1679" s="87"/>
      <c r="V1679" s="80">
        <v>43703</v>
      </c>
      <c r="W1679" s="73">
        <v>2676</v>
      </c>
      <c r="X1679" s="73">
        <f>3765*27000/1000000</f>
        <v>101.655</v>
      </c>
      <c r="Y1679" s="83">
        <f>IF(SUM(W1679:W1679)&gt;0,X1679/SUM(W1679:W1679)*1000000,"N/A")</f>
        <v>37987.66816143498</v>
      </c>
      <c r="Z1679" s="80"/>
      <c r="AA1679" s="80"/>
      <c r="AB1679" s="73"/>
      <c r="AC1679" s="153"/>
      <c r="AD1679" s="331"/>
      <c r="AE1679" s="57"/>
      <c r="AF1679" s="88"/>
      <c r="AG1679" s="182">
        <f>YEAR(D1679)</f>
        <v>2019</v>
      </c>
      <c r="AH1679" s="86" t="str">
        <f>+IF(AE1679=$AJ$22,MONTH(T1679),"")</f>
        <v/>
      </c>
      <c r="AI1679" s="86" t="str">
        <f>+IF(AF1679=$AJ$22,MONTH(U1679),"")</f>
        <v/>
      </c>
      <c r="AJ1679" s="86" t="str">
        <f>+IF(AG1679=$AJ$22,MONTH(V1679),"")</f>
        <v/>
      </c>
      <c r="AK1679" s="86" t="str">
        <f>+IF(AG1679=$AK$22,MONTH(V1679),"")</f>
        <v/>
      </c>
      <c r="AL1679" s="86" t="str">
        <f>+IF(AG1679=$AL$22,MONTH(V1679),"")</f>
        <v/>
      </c>
      <c r="AM1679" s="86" t="str">
        <f>+IF($AG1679=$AM$22,MONTH($D1679),"")</f>
        <v/>
      </c>
      <c r="AN1679" s="89" t="str">
        <f>+IF($AG1679=AN$22,MONTH($D1679),"")</f>
        <v/>
      </c>
      <c r="AO1679" s="89">
        <f>+IF($AG1679=AO$22,MONTH($D1679),"")</f>
        <v>6</v>
      </c>
      <c r="AP1679" s="89" t="str">
        <f>+IF($AG1679=AP$22,MONTH($D1679),"")</f>
        <v/>
      </c>
      <c r="AQ1679" s="89" t="str">
        <f>+IF($AG1679=AQ$22,MONTH($D1679),"")</f>
        <v/>
      </c>
      <c r="AR1679" s="89" t="str">
        <f>+IF($AG1679=AR$22,MONTH($D1679),"")</f>
        <v/>
      </c>
      <c r="AS1679" s="89" t="str">
        <f>+IF($AG1679=AS$22,MONTH($D1679),"")</f>
        <v/>
      </c>
      <c r="AT1679" s="89" t="str">
        <f>+IF($AG1679=AT$22,MONTH($D1679),"")</f>
        <v/>
      </c>
      <c r="AU1679" s="89" t="str">
        <f>+IF($AG1679=AU$22,MONTH($D1679),"")</f>
        <v/>
      </c>
      <c r="AV1679" s="89" t="str">
        <f>+IF($AG1679=AV$22,MONTH($D1679),"")</f>
        <v/>
      </c>
      <c r="AW1679" s="86"/>
      <c r="AX1679" s="86"/>
      <c r="AY1679" s="89"/>
      <c r="AZ1679" s="89"/>
      <c r="BA1679" s="89"/>
      <c r="BB1679" s="89"/>
      <c r="BC1679" s="89"/>
      <c r="BD1679" s="89"/>
      <c r="BE1679" s="89"/>
      <c r="BF1679" s="89"/>
      <c r="BG1679" s="89"/>
      <c r="BH1679" s="89"/>
      <c r="BI1679" s="89"/>
      <c r="BJ1679" s="89"/>
      <c r="BK1679" s="89"/>
      <c r="BL1679" s="89"/>
      <c r="BM1679" s="89"/>
      <c r="BN1679" s="89"/>
      <c r="BO1679" s="89"/>
      <c r="BP1679" s="89"/>
    </row>
    <row r="1680" spans="1:68" s="56" customFormat="1" ht="13.5" hidden="1">
      <c r="A1680" s="204" t="str">
        <f>+IFERROR(VALUE(MID(AB1680,4,4)),"")</f>
        <v/>
      </c>
      <c r="B1680" s="204">
        <f>VALUE(RIGHT(C1680,LEN(C1680)-2))</f>
        <v>1045</v>
      </c>
      <c r="C1680" s="74" t="s">
        <v>6065</v>
      </c>
      <c r="D1680" s="75">
        <v>43622</v>
      </c>
      <c r="E1680" s="70" t="s">
        <v>67</v>
      </c>
      <c r="F1680" s="70" t="s">
        <v>67</v>
      </c>
      <c r="G1680" s="68"/>
      <c r="H1680" s="59"/>
      <c r="I1680" s="69" t="s">
        <v>6066</v>
      </c>
      <c r="J1680" s="69"/>
      <c r="K1680" s="68" t="s">
        <v>12</v>
      </c>
      <c r="L1680" s="69" t="s">
        <v>123</v>
      </c>
      <c r="M1680" s="71" t="s">
        <v>141</v>
      </c>
      <c r="N1680" s="69" t="e" vm="1">
        <v>#VALUE!</v>
      </c>
      <c r="O1680" s="84">
        <v>43626</v>
      </c>
      <c r="P1680" s="72" t="s">
        <v>4567</v>
      </c>
      <c r="Q1680" s="72"/>
      <c r="R1680" s="162"/>
      <c r="S1680" s="146"/>
      <c r="T1680" s="68" t="s">
        <v>165</v>
      </c>
      <c r="U1680" s="87"/>
      <c r="V1680" s="80">
        <v>43626</v>
      </c>
      <c r="W1680" s="73">
        <v>2820</v>
      </c>
      <c r="X1680" s="73">
        <f>134498180/1000000</f>
        <v>134.49817999999999</v>
      </c>
      <c r="Y1680" s="83">
        <f>IF(SUM(W1680:W1680)&gt;0,X1680/SUM(W1680:W1680)*1000000,"N/A")</f>
        <v>47694.390070921982</v>
      </c>
      <c r="Z1680" s="80"/>
      <c r="AA1680" s="80"/>
      <c r="AB1680" s="73"/>
      <c r="AC1680" s="153"/>
      <c r="AD1680" s="331"/>
      <c r="AE1680" s="57"/>
      <c r="AF1680" s="88"/>
      <c r="AG1680" s="182">
        <f>YEAR(D1680)</f>
        <v>2019</v>
      </c>
      <c r="AH1680" s="86" t="str">
        <f>+IF(AE1680=$AJ$22,MONTH(T1680),"")</f>
        <v/>
      </c>
      <c r="AI1680" s="86" t="str">
        <f>+IF(AF1680=$AJ$22,MONTH(U1680),"")</f>
        <v/>
      </c>
      <c r="AJ1680" s="86" t="str">
        <f>+IF(AG1680=$AJ$22,MONTH(V1680),"")</f>
        <v/>
      </c>
      <c r="AK1680" s="86" t="str">
        <f>+IF(AG1680=$AK$22,MONTH(V1680),"")</f>
        <v/>
      </c>
      <c r="AL1680" s="86" t="str">
        <f>+IF(AG1680=$AL$22,MONTH(V1680),"")</f>
        <v/>
      </c>
      <c r="AM1680" s="86" t="str">
        <f>+IF($AG1680=$AM$22,MONTH($D1680),"")</f>
        <v/>
      </c>
      <c r="AN1680" s="89" t="str">
        <f>+IF($AG1680=AN$22,MONTH($D1680),"")</f>
        <v/>
      </c>
      <c r="AO1680" s="89">
        <f>+IF($AG1680=AO$22,MONTH($D1680),"")</f>
        <v>6</v>
      </c>
      <c r="AP1680" s="89" t="str">
        <f>+IF($AG1680=AP$22,MONTH($D1680),"")</f>
        <v/>
      </c>
      <c r="AQ1680" s="89" t="str">
        <f>+IF($AG1680=AQ$22,MONTH($D1680),"")</f>
        <v/>
      </c>
      <c r="AR1680" s="89" t="str">
        <f>+IF($AG1680=AR$22,MONTH($D1680),"")</f>
        <v/>
      </c>
      <c r="AS1680" s="89" t="str">
        <f>+IF($AG1680=AS$22,MONTH($D1680),"")</f>
        <v/>
      </c>
      <c r="AT1680" s="89" t="str">
        <f>+IF($AG1680=AT$22,MONTH($D1680),"")</f>
        <v/>
      </c>
      <c r="AU1680" s="89" t="str">
        <f>+IF($AG1680=AU$22,MONTH($D1680),"")</f>
        <v/>
      </c>
      <c r="AV1680" s="89" t="str">
        <f>+IF($AG1680=AV$22,MONTH($D1680),"")</f>
        <v/>
      </c>
      <c r="AW1680" s="86" t="str">
        <f>+IF($AG1680=AW$22,MONTH($D1680),"")</f>
        <v/>
      </c>
      <c r="AX1680" s="86" t="str">
        <f>+IF($AG1680=AX$22,MONTH($D1680),"")</f>
        <v/>
      </c>
      <c r="AY1680" s="89"/>
      <c r="AZ1680" s="89"/>
      <c r="BA1680" s="89"/>
      <c r="BB1680" s="89"/>
      <c r="BC1680" s="89"/>
      <c r="BD1680" s="89"/>
      <c r="BE1680" s="89"/>
      <c r="BF1680" s="89"/>
      <c r="BG1680" s="89"/>
      <c r="BH1680" s="89"/>
      <c r="BI1680" s="89"/>
      <c r="BJ1680" s="89"/>
      <c r="BK1680" s="89"/>
      <c r="BL1680" s="89"/>
      <c r="BM1680" s="89"/>
      <c r="BN1680" s="89"/>
      <c r="BO1680" s="89"/>
      <c r="BP1680" s="89"/>
    </row>
    <row r="1681" spans="1:68" s="56" customFormat="1" ht="27" hidden="1">
      <c r="A1681" s="204" t="str">
        <f>+IFERROR(VALUE(MID(AB1681,4,4)),"")</f>
        <v/>
      </c>
      <c r="B1681" s="204">
        <f>VALUE(RIGHT(C1681,LEN(C1681)-2))</f>
        <v>1044</v>
      </c>
      <c r="C1681" s="74" t="s">
        <v>6067</v>
      </c>
      <c r="D1681" s="75">
        <v>43620</v>
      </c>
      <c r="E1681" s="70" t="s">
        <v>4664</v>
      </c>
      <c r="F1681" s="70" t="s">
        <v>4664</v>
      </c>
      <c r="G1681" s="68"/>
      <c r="H1681" s="59"/>
      <c r="I1681" s="69" t="s">
        <v>6068</v>
      </c>
      <c r="J1681" s="69"/>
      <c r="K1681" s="68" t="s">
        <v>9</v>
      </c>
      <c r="L1681" s="69" t="s">
        <v>120</v>
      </c>
      <c r="M1681" s="71" t="s">
        <v>141</v>
      </c>
      <c r="N1681" s="69" t="e" vm="1">
        <v>#VALUE!</v>
      </c>
      <c r="O1681" s="84">
        <v>43621</v>
      </c>
      <c r="P1681" s="72" t="s">
        <v>402</v>
      </c>
      <c r="Q1681" s="72"/>
      <c r="R1681" s="162"/>
      <c r="S1681" s="146" t="s">
        <v>6069</v>
      </c>
      <c r="T1681" s="68" t="s">
        <v>165</v>
      </c>
      <c r="U1681" s="87"/>
      <c r="V1681" s="80">
        <v>43626</v>
      </c>
      <c r="W1681" s="73">
        <v>182</v>
      </c>
      <c r="X1681" s="73">
        <f>29810*173/1000000</f>
        <v>5.1571300000000004</v>
      </c>
      <c r="Y1681" s="83">
        <f>IF(SUM(W1681:W1681)&gt;0,X1681/SUM(W1681:W1681)*1000000,"N/A")</f>
        <v>28335.879120879123</v>
      </c>
      <c r="Z1681" s="80"/>
      <c r="AA1681" s="80"/>
      <c r="AB1681" s="73"/>
      <c r="AC1681" s="153"/>
      <c r="AD1681" s="331"/>
      <c r="AE1681" s="57"/>
      <c r="AF1681" s="88"/>
      <c r="AG1681" s="182">
        <f>YEAR(D1681)</f>
        <v>2019</v>
      </c>
      <c r="AH1681" s="86" t="str">
        <f>+IF(AE1681=$AJ$22,MONTH(T1681),"")</f>
        <v/>
      </c>
      <c r="AI1681" s="86" t="str">
        <f>+IF(AF1681=$AJ$22,MONTH(U1681),"")</f>
        <v/>
      </c>
      <c r="AJ1681" s="86" t="str">
        <f>+IF(AG1681=$AJ$22,MONTH(V1681),"")</f>
        <v/>
      </c>
      <c r="AK1681" s="86" t="str">
        <f>+IF(AG1681=$AK$22,MONTH(V1681),"")</f>
        <v/>
      </c>
      <c r="AL1681" s="86" t="str">
        <f>+IF(AG1681=$AL$22,MONTH(V1681),"")</f>
        <v/>
      </c>
      <c r="AM1681" s="86" t="str">
        <f>+IF($AG1681=$AM$22,MONTH($D1681),"")</f>
        <v/>
      </c>
      <c r="AN1681" s="89" t="str">
        <f>+IF($AG1681=AN$22,MONTH($D1681),"")</f>
        <v/>
      </c>
      <c r="AO1681" s="89">
        <f>+IF($AG1681=AO$22,MONTH($D1681),"")</f>
        <v>6</v>
      </c>
      <c r="AP1681" s="89" t="str">
        <f>+IF($AG1681=AP$22,MONTH($D1681),"")</f>
        <v/>
      </c>
      <c r="AQ1681" s="89" t="str">
        <f>+IF($AG1681=AQ$22,MONTH($D1681),"")</f>
        <v/>
      </c>
      <c r="AR1681" s="89" t="str">
        <f>+IF($AG1681=AR$22,MONTH($D1681),"")</f>
        <v/>
      </c>
      <c r="AS1681" s="89" t="str">
        <f>+IF($AG1681=AS$22,MONTH($D1681),"")</f>
        <v/>
      </c>
      <c r="AT1681" s="89" t="str">
        <f>+IF($AG1681=AT$22,MONTH($D1681),"")</f>
        <v/>
      </c>
      <c r="AU1681" s="89" t="str">
        <f>+IF($AG1681=AU$22,MONTH($D1681),"")</f>
        <v/>
      </c>
      <c r="AV1681" s="89" t="str">
        <f>+IF($AG1681=AV$22,MONTH($D1681),"")</f>
        <v/>
      </c>
      <c r="AW1681" s="86"/>
      <c r="AX1681" s="86"/>
      <c r="AY1681" s="89"/>
      <c r="AZ1681" s="89"/>
      <c r="BA1681" s="89"/>
      <c r="BB1681" s="89"/>
      <c r="BC1681" s="89"/>
      <c r="BD1681" s="89"/>
      <c r="BE1681" s="89"/>
      <c r="BF1681" s="89"/>
      <c r="BG1681" s="89"/>
      <c r="BH1681" s="89"/>
      <c r="BI1681" s="89"/>
      <c r="BJ1681" s="89"/>
      <c r="BK1681" s="89"/>
      <c r="BL1681" s="89"/>
      <c r="BM1681" s="89"/>
      <c r="BN1681" s="89"/>
      <c r="BO1681" s="89"/>
      <c r="BP1681" s="89"/>
    </row>
    <row r="1682" spans="1:68" s="56" customFormat="1" ht="13.5" hidden="1">
      <c r="A1682" s="204">
        <f>+IFERROR(VALUE(MID(AB1682,4,4)),"")</f>
        <v>202</v>
      </c>
      <c r="B1682" s="204">
        <f>VALUE(RIGHT(C1682,LEN(C1682)-2))</f>
        <v>1043</v>
      </c>
      <c r="C1682" s="74" t="s">
        <v>6070</v>
      </c>
      <c r="D1682" s="75">
        <v>43619</v>
      </c>
      <c r="E1682" s="70" t="s">
        <v>53</v>
      </c>
      <c r="F1682" s="70" t="s">
        <v>53</v>
      </c>
      <c r="G1682" s="68"/>
      <c r="H1682" s="59"/>
      <c r="I1682" s="69" t="s">
        <v>6071</v>
      </c>
      <c r="J1682" s="69"/>
      <c r="K1682" s="68" t="s">
        <v>9</v>
      </c>
      <c r="L1682" s="69" t="s">
        <v>120</v>
      </c>
      <c r="M1682" s="71" t="s">
        <v>141</v>
      </c>
      <c r="N1682" s="69" t="e" vm="1">
        <v>#VALUE!</v>
      </c>
      <c r="O1682" s="84">
        <v>43622</v>
      </c>
      <c r="P1682" s="72" t="s">
        <v>4567</v>
      </c>
      <c r="Q1682" s="72" t="s">
        <v>229</v>
      </c>
      <c r="R1682" s="162"/>
      <c r="S1682" s="146"/>
      <c r="T1682" s="68" t="s">
        <v>3</v>
      </c>
      <c r="U1682" s="87"/>
      <c r="V1682" s="80">
        <v>43621</v>
      </c>
      <c r="W1682" s="73">
        <v>110</v>
      </c>
      <c r="X1682" s="73">
        <v>1.9838</v>
      </c>
      <c r="Y1682" s="83">
        <f>IF(SUM(W1682:W1682)&gt;0,X1682/SUM(W1682:W1682)*1000000,"N/A")</f>
        <v>18034.545454545456</v>
      </c>
      <c r="Z1682" s="80"/>
      <c r="AA1682" s="80"/>
      <c r="AB1682" s="73" t="s">
        <v>6058</v>
      </c>
      <c r="AC1682" s="153"/>
      <c r="AD1682" s="331"/>
      <c r="AE1682" s="57"/>
      <c r="AF1682" s="88"/>
      <c r="AG1682" s="182">
        <f>YEAR(D1682)</f>
        <v>2019</v>
      </c>
      <c r="AH1682" s="86" t="str">
        <f>+IF(AE1682=$AJ$22,MONTH(T1682),"")</f>
        <v/>
      </c>
      <c r="AI1682" s="86" t="str">
        <f>+IF(AF1682=$AJ$22,MONTH(U1682),"")</f>
        <v/>
      </c>
      <c r="AJ1682" s="86" t="str">
        <f>+IF(AG1682=$AJ$22,MONTH(V1682),"")</f>
        <v/>
      </c>
      <c r="AK1682" s="86" t="str">
        <f>+IF(AG1682=$AK$22,MONTH(V1682),"")</f>
        <v/>
      </c>
      <c r="AL1682" s="86" t="str">
        <f>+IF(AG1682=$AL$22,MONTH(V1682),"")</f>
        <v/>
      </c>
      <c r="AM1682" s="86" t="str">
        <f>+IF($AG1682=$AM$22,MONTH($D1682),"")</f>
        <v/>
      </c>
      <c r="AN1682" s="89" t="str">
        <f>+IF($AG1682=AN$22,MONTH($D1682),"")</f>
        <v/>
      </c>
      <c r="AO1682" s="89">
        <f>+IF($AG1682=AO$22,MONTH($D1682),"")</f>
        <v>6</v>
      </c>
      <c r="AP1682" s="89" t="str">
        <f>+IF($AG1682=AP$22,MONTH($D1682),"")</f>
        <v/>
      </c>
      <c r="AQ1682" s="89" t="str">
        <f>+IF($AG1682=AQ$22,MONTH($D1682),"")</f>
        <v/>
      </c>
      <c r="AR1682" s="89" t="str">
        <f>+IF($AG1682=AR$22,MONTH($D1682),"")</f>
        <v/>
      </c>
      <c r="AS1682" s="89" t="str">
        <f>+IF($AG1682=AS$22,MONTH($D1682),"")</f>
        <v/>
      </c>
      <c r="AT1682" s="89" t="str">
        <f>+IF($AG1682=AT$22,MONTH($D1682),"")</f>
        <v/>
      </c>
      <c r="AU1682" s="89" t="str">
        <f>+IF($AG1682=AU$22,MONTH($D1682),"")</f>
        <v/>
      </c>
      <c r="AV1682" s="89" t="str">
        <f>+IF($AG1682=AV$22,MONTH($D1682),"")</f>
        <v/>
      </c>
      <c r="AW1682" s="86"/>
      <c r="AX1682" s="86"/>
      <c r="AY1682" s="89"/>
      <c r="AZ1682" s="89"/>
      <c r="BA1682" s="89"/>
      <c r="BB1682" s="89"/>
      <c r="BC1682" s="89"/>
      <c r="BD1682" s="89"/>
      <c r="BE1682" s="89"/>
      <c r="BF1682" s="89"/>
      <c r="BG1682" s="89"/>
      <c r="BH1682" s="89"/>
      <c r="BI1682" s="89"/>
      <c r="BJ1682" s="89"/>
      <c r="BK1682" s="89"/>
      <c r="BL1682" s="89"/>
      <c r="BM1682" s="89"/>
      <c r="BN1682" s="89"/>
      <c r="BO1682" s="89"/>
      <c r="BP1682" s="89"/>
    </row>
    <row r="1683" spans="1:68" s="56" customFormat="1" ht="13.5" hidden="1">
      <c r="A1683" s="204">
        <f>+IFERROR(VALUE(MID(AB1683,4,4)),"")</f>
        <v>219</v>
      </c>
      <c r="B1683" s="204">
        <f>VALUE(RIGHT(C1683,LEN(C1683)-2))</f>
        <v>1042</v>
      </c>
      <c r="C1683" s="74" t="s">
        <v>6072</v>
      </c>
      <c r="D1683" s="75">
        <v>43608</v>
      </c>
      <c r="E1683" s="70" t="s">
        <v>41</v>
      </c>
      <c r="F1683" s="70" t="s">
        <v>41</v>
      </c>
      <c r="G1683" s="68"/>
      <c r="H1683" s="59"/>
      <c r="I1683" s="69" t="s">
        <v>6073</v>
      </c>
      <c r="J1683" s="69"/>
      <c r="K1683" s="68" t="s">
        <v>13</v>
      </c>
      <c r="L1683" s="69" t="s">
        <v>129</v>
      </c>
      <c r="M1683" s="71" t="s">
        <v>141</v>
      </c>
      <c r="N1683" s="69" t="e" vm="1">
        <v>#VALUE!</v>
      </c>
      <c r="O1683" s="84">
        <v>43608</v>
      </c>
      <c r="P1683" s="72" t="s">
        <v>402</v>
      </c>
      <c r="Q1683" s="72" t="s">
        <v>405</v>
      </c>
      <c r="R1683" s="162"/>
      <c r="S1683" s="146"/>
      <c r="T1683" s="68" t="s">
        <v>3</v>
      </c>
      <c r="U1683" s="87"/>
      <c r="V1683" s="80">
        <v>43621</v>
      </c>
      <c r="W1683" s="73">
        <v>1200</v>
      </c>
      <c r="X1683" s="73">
        <f>1674*27775.96/1000000</f>
        <v>46.496957039999998</v>
      </c>
      <c r="Y1683" s="83">
        <f>IF(SUM(W1683:W1683)&gt;0,X1683/SUM(W1683:W1683)*1000000,"N/A")</f>
        <v>38747.464199999995</v>
      </c>
      <c r="Z1683" s="80"/>
      <c r="AA1683" s="80"/>
      <c r="AB1683" s="73" t="s">
        <v>6074</v>
      </c>
      <c r="AC1683" s="153"/>
      <c r="AD1683" s="331"/>
      <c r="AE1683" s="57"/>
      <c r="AF1683" s="88"/>
      <c r="AG1683" s="182">
        <f>YEAR(D1683)</f>
        <v>2019</v>
      </c>
      <c r="AH1683" s="86" t="str">
        <f>+IF(AE1683=$AJ$22,MONTH(T1683),"")</f>
        <v/>
      </c>
      <c r="AI1683" s="86" t="str">
        <f>+IF(AF1683=$AJ$22,MONTH(U1683),"")</f>
        <v/>
      </c>
      <c r="AJ1683" s="86" t="str">
        <f>+IF(AG1683=$AJ$22,MONTH(V1683),"")</f>
        <v/>
      </c>
      <c r="AK1683" s="86" t="str">
        <f>+IF(AG1683=$AK$22,MONTH(V1683),"")</f>
        <v/>
      </c>
      <c r="AL1683" s="86" t="str">
        <f>+IF(AG1683=$AL$22,MONTH(V1683),"")</f>
        <v/>
      </c>
      <c r="AM1683" s="86" t="str">
        <f>+IF($AG1683=$AM$22,MONTH($D1683),"")</f>
        <v/>
      </c>
      <c r="AN1683" s="89" t="str">
        <f>+IF($AG1683=AN$22,MONTH($D1683),"")</f>
        <v/>
      </c>
      <c r="AO1683" s="89">
        <f>+IF($AG1683=AO$22,MONTH($D1683),"")</f>
        <v>5</v>
      </c>
      <c r="AP1683" s="89" t="str">
        <f>+IF($AG1683=AP$22,MONTH($D1683),"")</f>
        <v/>
      </c>
      <c r="AQ1683" s="89" t="str">
        <f>+IF($AG1683=AQ$22,MONTH($D1683),"")</f>
        <v/>
      </c>
      <c r="AR1683" s="89" t="str">
        <f>+IF($AG1683=AR$22,MONTH($D1683),"")</f>
        <v/>
      </c>
      <c r="AS1683" s="89" t="str">
        <f>+IF($AG1683=AS$22,MONTH($D1683),"")</f>
        <v/>
      </c>
      <c r="AT1683" s="89" t="str">
        <f>+IF($AG1683=AT$22,MONTH($D1683),"")</f>
        <v/>
      </c>
      <c r="AU1683" s="89" t="str">
        <f>+IF($AG1683=AU$22,MONTH($D1683),"")</f>
        <v/>
      </c>
      <c r="AV1683" s="89" t="str">
        <f>+IF($AG1683=AV$22,MONTH($D1683),"")</f>
        <v/>
      </c>
      <c r="AW1683" s="86"/>
      <c r="AX1683" s="86"/>
      <c r="AY1683" s="89"/>
      <c r="AZ1683" s="89"/>
      <c r="BA1683" s="89"/>
      <c r="BB1683" s="89"/>
      <c r="BC1683" s="89"/>
      <c r="BD1683" s="89"/>
      <c r="BE1683" s="89"/>
      <c r="BF1683" s="89"/>
      <c r="BG1683" s="89"/>
      <c r="BH1683" s="89"/>
      <c r="BI1683" s="89"/>
      <c r="BJ1683" s="89"/>
      <c r="BK1683" s="89"/>
      <c r="BL1683" s="89"/>
      <c r="BM1683" s="89"/>
      <c r="BN1683" s="89"/>
      <c r="BO1683" s="89"/>
      <c r="BP1683" s="89"/>
    </row>
    <row r="1684" spans="1:68" s="56" customFormat="1" ht="13.5" hidden="1">
      <c r="A1684" s="204" t="str">
        <f>+IFERROR(VALUE(MID(AB1684,4,4)),"")</f>
        <v/>
      </c>
      <c r="B1684" s="204">
        <f>VALUE(RIGHT(C1684,LEN(C1684)-2))</f>
        <v>1041</v>
      </c>
      <c r="C1684" s="74" t="s">
        <v>6075</v>
      </c>
      <c r="D1684" s="75">
        <v>43614</v>
      </c>
      <c r="E1684" s="70" t="s">
        <v>6076</v>
      </c>
      <c r="F1684" s="70" t="s">
        <v>848</v>
      </c>
      <c r="G1684" s="68"/>
      <c r="H1684" s="59"/>
      <c r="I1684" s="69" t="s">
        <v>6077</v>
      </c>
      <c r="J1684" s="69"/>
      <c r="K1684" s="68" t="s">
        <v>31</v>
      </c>
      <c r="L1684" s="69" t="s">
        <v>120</v>
      </c>
      <c r="M1684" s="71" t="s">
        <v>141</v>
      </c>
      <c r="N1684" s="69" t="e" vm="1">
        <v>#VALUE!</v>
      </c>
      <c r="O1684" s="84">
        <v>43630</v>
      </c>
      <c r="P1684" s="72" t="s">
        <v>274</v>
      </c>
      <c r="Q1684" s="72"/>
      <c r="R1684" s="162"/>
      <c r="S1684" s="146"/>
      <c r="T1684" s="68" t="s">
        <v>155</v>
      </c>
      <c r="U1684" s="87"/>
      <c r="V1684" s="80">
        <v>43621</v>
      </c>
      <c r="W1684" s="73"/>
      <c r="X1684" s="73"/>
      <c r="Y1684" s="83" t="str">
        <f>IF(SUM(W1684:W1684)&gt;0,X1684/SUM(W1684:W1684)*1000000,"N/A")</f>
        <v>N/A</v>
      </c>
      <c r="Z1684" s="80"/>
      <c r="AA1684" s="80"/>
      <c r="AB1684" s="73"/>
      <c r="AC1684" s="153"/>
      <c r="AD1684" s="331"/>
      <c r="AE1684" s="57"/>
      <c r="AF1684" s="88"/>
      <c r="AG1684" s="182">
        <f>YEAR(D1684)</f>
        <v>2019</v>
      </c>
      <c r="AH1684" s="86" t="str">
        <f>+IF(AE1684=$AJ$22,MONTH(T1684),"")</f>
        <v/>
      </c>
      <c r="AI1684" s="86" t="str">
        <f>+IF(AF1684=$AJ$22,MONTH(U1684),"")</f>
        <v/>
      </c>
      <c r="AJ1684" s="86" t="str">
        <f>+IF(AG1684=$AJ$22,MONTH(V1684),"")</f>
        <v/>
      </c>
      <c r="AK1684" s="86" t="str">
        <f>+IF(AG1684=$AK$22,MONTH(V1684),"")</f>
        <v/>
      </c>
      <c r="AL1684" s="86" t="str">
        <f>+IF(AG1684=$AL$22,MONTH(V1684),"")</f>
        <v/>
      </c>
      <c r="AM1684" s="86" t="str">
        <f>+IF($AG1684=$AM$22,MONTH($D1684),"")</f>
        <v/>
      </c>
      <c r="AN1684" s="89" t="str">
        <f>+IF($AG1684=AN$22,MONTH($D1684),"")</f>
        <v/>
      </c>
      <c r="AO1684" s="89">
        <f>+IF($AG1684=AO$22,MONTH($D1684),"")</f>
        <v>5</v>
      </c>
      <c r="AP1684" s="89" t="str">
        <f>+IF($AG1684=AP$22,MONTH($D1684),"")</f>
        <v/>
      </c>
      <c r="AQ1684" s="89" t="str">
        <f>+IF($AG1684=AQ$22,MONTH($D1684),"")</f>
        <v/>
      </c>
      <c r="AR1684" s="89" t="str">
        <f>+IF($AG1684=AR$22,MONTH($D1684),"")</f>
        <v/>
      </c>
      <c r="AS1684" s="89" t="str">
        <f>+IF($AG1684=AS$22,MONTH($D1684),"")</f>
        <v/>
      </c>
      <c r="AT1684" s="89" t="str">
        <f>+IF($AG1684=AT$22,MONTH($D1684),"")</f>
        <v/>
      </c>
      <c r="AU1684" s="89" t="str">
        <f>+IF($AG1684=AU$22,MONTH($D1684),"")</f>
        <v/>
      </c>
      <c r="AV1684" s="89" t="str">
        <f>+IF($AG1684=AV$22,MONTH($D1684),"")</f>
        <v/>
      </c>
      <c r="AW1684" s="86" t="str">
        <f>+IF($AG1684=AW$22,MONTH($D1684),"")</f>
        <v/>
      </c>
      <c r="AX1684" s="86" t="str">
        <f>+IF($AG1684=AX$22,MONTH($D1684),"")</f>
        <v/>
      </c>
      <c r="AY1684" s="89"/>
      <c r="AZ1684" s="89"/>
      <c r="BA1684" s="89"/>
      <c r="BB1684" s="89"/>
      <c r="BC1684" s="89"/>
      <c r="BD1684" s="89"/>
      <c r="BE1684" s="89"/>
      <c r="BF1684" s="89"/>
      <c r="BG1684" s="89"/>
      <c r="BH1684" s="89"/>
      <c r="BI1684" s="89"/>
      <c r="BJ1684" s="89"/>
      <c r="BK1684" s="89"/>
      <c r="BL1684" s="89"/>
      <c r="BM1684" s="89"/>
      <c r="BN1684" s="89"/>
      <c r="BO1684" s="89"/>
      <c r="BP1684" s="89"/>
    </row>
    <row r="1685" spans="1:68" s="56" customFormat="1" ht="13.5" hidden="1">
      <c r="A1685" s="204" t="str">
        <f>+IFERROR(VALUE(MID(AB1685,4,4)),"")</f>
        <v/>
      </c>
      <c r="B1685" s="204">
        <f>VALUE(RIGHT(C1685,LEN(C1685)-2))</f>
        <v>1040</v>
      </c>
      <c r="C1685" s="74" t="s">
        <v>6078</v>
      </c>
      <c r="D1685" s="75">
        <v>43602</v>
      </c>
      <c r="E1685" s="70" t="s">
        <v>53</v>
      </c>
      <c r="F1685" s="70" t="s">
        <v>2436</v>
      </c>
      <c r="G1685" s="68"/>
      <c r="H1685" s="59"/>
      <c r="I1685" s="69" t="s">
        <v>6079</v>
      </c>
      <c r="J1685" s="69"/>
      <c r="K1685" s="68" t="s">
        <v>45</v>
      </c>
      <c r="L1685" s="69" t="s">
        <v>120</v>
      </c>
      <c r="M1685" s="71" t="s">
        <v>141</v>
      </c>
      <c r="N1685" s="69" t="e" vm="1">
        <v>#VALUE!</v>
      </c>
      <c r="O1685" s="84">
        <v>43607</v>
      </c>
      <c r="P1685" s="72" t="s">
        <v>402</v>
      </c>
      <c r="Q1685" s="72"/>
      <c r="R1685" s="162"/>
      <c r="S1685" s="146"/>
      <c r="T1685" s="68" t="s">
        <v>155</v>
      </c>
      <c r="U1685" s="87"/>
      <c r="V1685" s="80">
        <v>43621</v>
      </c>
      <c r="W1685" s="73">
        <f>(13994782+16008589)/27775.96</f>
        <v>1080.1920437673441</v>
      </c>
      <c r="X1685" s="73">
        <f>(13994782+16008589)/1000000</f>
        <v>30.003371000000001</v>
      </c>
      <c r="Y1685" s="83">
        <f>IF(SUM(W1685:W1685)&gt;0,X1685/SUM(W1685:W1685)*1000000,"N/A")</f>
        <v>27775.960000000003</v>
      </c>
      <c r="Z1685" s="80"/>
      <c r="AA1685" s="80"/>
      <c r="AB1685" s="73"/>
      <c r="AC1685" s="153"/>
      <c r="AD1685" s="331"/>
      <c r="AE1685" s="57"/>
      <c r="AF1685" s="88"/>
      <c r="AG1685" s="182">
        <f>YEAR(D1685)</f>
        <v>2019</v>
      </c>
      <c r="AH1685" s="86" t="str">
        <f>+IF(AE1685=$AJ$22,MONTH(T1685),"")</f>
        <v/>
      </c>
      <c r="AI1685" s="86" t="str">
        <f>+IF(AF1685=$AJ$22,MONTH(U1685),"")</f>
        <v/>
      </c>
      <c r="AJ1685" s="86" t="str">
        <f>+IF(AG1685=$AJ$22,MONTH(V1685),"")</f>
        <v/>
      </c>
      <c r="AK1685" s="86" t="str">
        <f>+IF(AG1685=$AK$22,MONTH(V1685),"")</f>
        <v/>
      </c>
      <c r="AL1685" s="86" t="str">
        <f>+IF(AG1685=$AL$22,MONTH(V1685),"")</f>
        <v/>
      </c>
      <c r="AM1685" s="86" t="str">
        <f>+IF($AG1685=$AM$22,MONTH($D1685),"")</f>
        <v/>
      </c>
      <c r="AN1685" s="89" t="str">
        <f>+IF($AG1685=AN$22,MONTH($D1685),"")</f>
        <v/>
      </c>
      <c r="AO1685" s="89">
        <f>+IF($AG1685=AO$22,MONTH($D1685),"")</f>
        <v>5</v>
      </c>
      <c r="AP1685" s="89" t="str">
        <f>+IF($AG1685=AP$22,MONTH($D1685),"")</f>
        <v/>
      </c>
      <c r="AQ1685" s="89" t="str">
        <f>+IF($AG1685=AQ$22,MONTH($D1685),"")</f>
        <v/>
      </c>
      <c r="AR1685" s="89" t="str">
        <f>+IF($AG1685=AR$22,MONTH($D1685),"")</f>
        <v/>
      </c>
      <c r="AS1685" s="89" t="str">
        <f>+IF($AG1685=AS$22,MONTH($D1685),"")</f>
        <v/>
      </c>
      <c r="AT1685" s="89" t="str">
        <f>+IF($AG1685=AT$22,MONTH($D1685),"")</f>
        <v/>
      </c>
      <c r="AU1685" s="89" t="str">
        <f>+IF($AG1685=AU$22,MONTH($D1685),"")</f>
        <v/>
      </c>
      <c r="AV1685" s="89" t="str">
        <f>+IF($AG1685=AV$22,MONTH($D1685),"")</f>
        <v/>
      </c>
      <c r="AW1685" s="86"/>
      <c r="AX1685" s="86"/>
      <c r="AY1685" s="89"/>
      <c r="AZ1685" s="89"/>
      <c r="BA1685" s="89"/>
      <c r="BB1685" s="89"/>
      <c r="BC1685" s="89"/>
      <c r="BD1685" s="89"/>
      <c r="BE1685" s="89"/>
      <c r="BF1685" s="89"/>
      <c r="BG1685" s="89"/>
      <c r="BH1685" s="89"/>
      <c r="BI1685" s="89"/>
      <c r="BJ1685" s="89"/>
      <c r="BK1685" s="89"/>
      <c r="BL1685" s="89"/>
      <c r="BM1685" s="89"/>
      <c r="BN1685" s="89"/>
      <c r="BO1685" s="89"/>
      <c r="BP1685" s="89"/>
    </row>
    <row r="1686" spans="1:68" s="56" customFormat="1" ht="27" hidden="1">
      <c r="A1686" s="204">
        <f>+IFERROR(VALUE(MID(AB1686,4,4)),"")</f>
        <v>193</v>
      </c>
      <c r="B1686" s="204">
        <f>VALUE(RIGHT(C1686,LEN(C1686)-2))</f>
        <v>1039</v>
      </c>
      <c r="C1686" s="74" t="s">
        <v>6080</v>
      </c>
      <c r="D1686" s="75">
        <v>43600</v>
      </c>
      <c r="E1686" s="70" t="s">
        <v>277</v>
      </c>
      <c r="F1686" s="70" t="s">
        <v>277</v>
      </c>
      <c r="G1686" s="68"/>
      <c r="H1686" s="59"/>
      <c r="I1686" s="69" t="s">
        <v>6081</v>
      </c>
      <c r="J1686" s="69"/>
      <c r="K1686" s="68" t="s">
        <v>11</v>
      </c>
      <c r="L1686" s="69" t="s">
        <v>120</v>
      </c>
      <c r="M1686" s="71" t="s">
        <v>141</v>
      </c>
      <c r="N1686" s="69" t="e" vm="1">
        <v>#VALUE!</v>
      </c>
      <c r="O1686" s="84">
        <v>43621</v>
      </c>
      <c r="P1686" s="72" t="s">
        <v>402</v>
      </c>
      <c r="Q1686" s="72" t="s">
        <v>623</v>
      </c>
      <c r="R1686" s="162"/>
      <c r="S1686" s="146" t="s">
        <v>6082</v>
      </c>
      <c r="T1686" s="68" t="s">
        <v>3</v>
      </c>
      <c r="U1686" s="87"/>
      <c r="V1686" s="80">
        <v>43621</v>
      </c>
      <c r="W1686" s="73">
        <f>162+167+865+637</f>
        <v>1831</v>
      </c>
      <c r="X1686" s="73">
        <f>(6689814+6941072+30007752+19545588)/1000000</f>
        <v>63.184226000000002</v>
      </c>
      <c r="Y1686" s="83">
        <f>IF(SUM(W1686:W1686)&gt;0,X1686/SUM(W1686:W1686)*1000000,"N/A")</f>
        <v>34508.042599672313</v>
      </c>
      <c r="Z1686" s="80"/>
      <c r="AA1686" s="80"/>
      <c r="AB1686" s="73" t="s">
        <v>6083</v>
      </c>
      <c r="AC1686" s="153"/>
      <c r="AD1686" s="331"/>
      <c r="AE1686" s="57"/>
      <c r="AF1686" s="88"/>
      <c r="AG1686" s="182">
        <f>YEAR(D1686)</f>
        <v>2019</v>
      </c>
      <c r="AH1686" s="86" t="str">
        <f>+IF(AE1686=$AJ$22,MONTH(T1686),"")</f>
        <v/>
      </c>
      <c r="AI1686" s="86" t="str">
        <f>+IF(AF1686=$AJ$22,MONTH(U1686),"")</f>
        <v/>
      </c>
      <c r="AJ1686" s="86" t="str">
        <f>+IF(AG1686=$AJ$22,MONTH(V1686),"")</f>
        <v/>
      </c>
      <c r="AK1686" s="86" t="str">
        <f>+IF(AG1686=$AK$22,MONTH(V1686),"")</f>
        <v/>
      </c>
      <c r="AL1686" s="86" t="str">
        <f>+IF(AG1686=$AL$22,MONTH(V1686),"")</f>
        <v/>
      </c>
      <c r="AM1686" s="86" t="str">
        <f>+IF($AG1686=$AM$22,MONTH($D1686),"")</f>
        <v/>
      </c>
      <c r="AN1686" s="89" t="str">
        <f>+IF($AG1686=AN$22,MONTH($D1686),"")</f>
        <v/>
      </c>
      <c r="AO1686" s="89">
        <f>+IF($AG1686=AO$22,MONTH($D1686),"")</f>
        <v>5</v>
      </c>
      <c r="AP1686" s="89" t="str">
        <f>+IF($AG1686=AP$22,MONTH($D1686),"")</f>
        <v/>
      </c>
      <c r="AQ1686" s="89" t="str">
        <f>+IF($AG1686=AQ$22,MONTH($D1686),"")</f>
        <v/>
      </c>
      <c r="AR1686" s="89" t="str">
        <f>+IF($AG1686=AR$22,MONTH($D1686),"")</f>
        <v/>
      </c>
      <c r="AS1686" s="89" t="str">
        <f>+IF($AG1686=AS$22,MONTH($D1686),"")</f>
        <v/>
      </c>
      <c r="AT1686" s="89" t="str">
        <f>+IF($AG1686=AT$22,MONTH($D1686),"")</f>
        <v/>
      </c>
      <c r="AU1686" s="89" t="str">
        <f>+IF($AG1686=AU$22,MONTH($D1686),"")</f>
        <v/>
      </c>
      <c r="AV1686" s="89" t="str">
        <f>+IF($AG1686=AV$22,MONTH($D1686),"")</f>
        <v/>
      </c>
      <c r="AW1686" s="86"/>
      <c r="AX1686" s="86"/>
      <c r="AY1686" s="89"/>
      <c r="AZ1686" s="89"/>
      <c r="BA1686" s="89"/>
      <c r="BB1686" s="89"/>
      <c r="BC1686" s="89"/>
      <c r="BD1686" s="89"/>
      <c r="BE1686" s="89"/>
      <c r="BF1686" s="89"/>
      <c r="BG1686" s="89"/>
      <c r="BH1686" s="89"/>
      <c r="BI1686" s="89"/>
      <c r="BJ1686" s="89"/>
      <c r="BK1686" s="89"/>
      <c r="BL1686" s="89"/>
      <c r="BM1686" s="89"/>
      <c r="BN1686" s="89"/>
      <c r="BO1686" s="89"/>
      <c r="BP1686" s="89"/>
    </row>
    <row r="1687" spans="1:68" s="56" customFormat="1" ht="13.5" hidden="1">
      <c r="A1687" s="204" t="str">
        <f>+IFERROR(VALUE(MID(AB1687,4,4)),"")</f>
        <v/>
      </c>
      <c r="B1687" s="204">
        <f>VALUE(RIGHT(C1687,LEN(C1687)-2))</f>
        <v>1038</v>
      </c>
      <c r="C1687" s="74" t="s">
        <v>6084</v>
      </c>
      <c r="D1687" s="75">
        <v>43599</v>
      </c>
      <c r="E1687" s="70" t="s">
        <v>41</v>
      </c>
      <c r="F1687" s="70" t="s">
        <v>41</v>
      </c>
      <c r="G1687" s="68"/>
      <c r="H1687" s="59"/>
      <c r="I1687" s="69" t="s">
        <v>6085</v>
      </c>
      <c r="J1687" s="69"/>
      <c r="K1687" s="68" t="s">
        <v>13</v>
      </c>
      <c r="L1687" s="69" t="s">
        <v>129</v>
      </c>
      <c r="M1687" s="71" t="s">
        <v>141</v>
      </c>
      <c r="N1687" s="69" t="e" vm="1">
        <v>#VALUE!</v>
      </c>
      <c r="O1687" s="84">
        <v>43608</v>
      </c>
      <c r="P1687" s="72" t="s">
        <v>402</v>
      </c>
      <c r="Q1687" s="72"/>
      <c r="R1687" s="162"/>
      <c r="S1687" s="146"/>
      <c r="T1687" s="68" t="s">
        <v>165</v>
      </c>
      <c r="U1687" s="87"/>
      <c r="V1687" s="80">
        <v>43621</v>
      </c>
      <c r="W1687" s="73">
        <v>340</v>
      </c>
      <c r="X1687" s="73">
        <f>385*27775.96/1000000</f>
        <v>10.6937446</v>
      </c>
      <c r="Y1687" s="83">
        <f>IF(SUM(W1687:W1687)&gt;0,X1687/SUM(W1687:W1687)*1000000,"N/A")</f>
        <v>31452.190000000006</v>
      </c>
      <c r="Z1687" s="80"/>
      <c r="AA1687" s="80"/>
      <c r="AB1687" s="73"/>
      <c r="AC1687" s="153"/>
      <c r="AD1687" s="331"/>
      <c r="AE1687" s="57"/>
      <c r="AF1687" s="88"/>
      <c r="AG1687" s="182">
        <f>YEAR(D1687)</f>
        <v>2019</v>
      </c>
      <c r="AH1687" s="86" t="str">
        <f>+IF(AE1687=$AJ$22,MONTH(T1687),"")</f>
        <v/>
      </c>
      <c r="AI1687" s="86" t="str">
        <f>+IF(AF1687=$AJ$22,MONTH(U1687),"")</f>
        <v/>
      </c>
      <c r="AJ1687" s="86" t="str">
        <f>+IF(AG1687=$AJ$22,MONTH(V1687),"")</f>
        <v/>
      </c>
      <c r="AK1687" s="86" t="str">
        <f>+IF(AG1687=$AK$22,MONTH(V1687),"")</f>
        <v/>
      </c>
      <c r="AL1687" s="86" t="str">
        <f>+IF(AG1687=$AL$22,MONTH(V1687),"")</f>
        <v/>
      </c>
      <c r="AM1687" s="86" t="str">
        <f>+IF($AG1687=$AM$22,MONTH($D1687),"")</f>
        <v/>
      </c>
      <c r="AN1687" s="89" t="str">
        <f>+IF($AG1687=AN$22,MONTH($D1687),"")</f>
        <v/>
      </c>
      <c r="AO1687" s="89">
        <f>+IF($AG1687=AO$22,MONTH($D1687),"")</f>
        <v>5</v>
      </c>
      <c r="AP1687" s="89" t="str">
        <f>+IF($AG1687=AP$22,MONTH($D1687),"")</f>
        <v/>
      </c>
      <c r="AQ1687" s="89" t="str">
        <f>+IF($AG1687=AQ$22,MONTH($D1687),"")</f>
        <v/>
      </c>
      <c r="AR1687" s="89" t="str">
        <f>+IF($AG1687=AR$22,MONTH($D1687),"")</f>
        <v/>
      </c>
      <c r="AS1687" s="89" t="str">
        <f>+IF($AG1687=AS$22,MONTH($D1687),"")</f>
        <v/>
      </c>
      <c r="AT1687" s="89" t="str">
        <f>+IF($AG1687=AT$22,MONTH($D1687),"")</f>
        <v/>
      </c>
      <c r="AU1687" s="89" t="str">
        <f>+IF($AG1687=AU$22,MONTH($D1687),"")</f>
        <v/>
      </c>
      <c r="AV1687" s="89" t="str">
        <f>+IF($AG1687=AV$22,MONTH($D1687),"")</f>
        <v/>
      </c>
      <c r="AW1687" s="86"/>
      <c r="AX1687" s="86"/>
      <c r="AY1687" s="89"/>
      <c r="AZ1687" s="89"/>
      <c r="BA1687" s="89"/>
      <c r="BB1687" s="89"/>
      <c r="BC1687" s="89"/>
      <c r="BD1687" s="89"/>
      <c r="BE1687" s="89"/>
      <c r="BF1687" s="89"/>
      <c r="BG1687" s="89"/>
      <c r="BH1687" s="89"/>
      <c r="BI1687" s="89"/>
      <c r="BJ1687" s="89"/>
      <c r="BK1687" s="89"/>
      <c r="BL1687" s="89"/>
      <c r="BM1687" s="89"/>
      <c r="BN1687" s="89"/>
      <c r="BO1687" s="89"/>
      <c r="BP1687" s="89"/>
    </row>
    <row r="1688" spans="1:68" s="56" customFormat="1" ht="27" hidden="1">
      <c r="A1688" s="204" t="str">
        <f>+IFERROR(VALUE(MID(AB1688,4,4)),"")</f>
        <v/>
      </c>
      <c r="B1688" s="204">
        <f>VALUE(RIGHT(C1688,LEN(C1688)-2))</f>
        <v>1037</v>
      </c>
      <c r="C1688" s="74" t="s">
        <v>6086</v>
      </c>
      <c r="D1688" s="75">
        <v>43595</v>
      </c>
      <c r="E1688" s="70" t="s">
        <v>4114</v>
      </c>
      <c r="F1688" s="70" t="s">
        <v>4114</v>
      </c>
      <c r="G1688" s="68"/>
      <c r="H1688" s="59"/>
      <c r="I1688" s="69" t="s">
        <v>6087</v>
      </c>
      <c r="J1688" s="69"/>
      <c r="K1688" s="68" t="s">
        <v>11</v>
      </c>
      <c r="L1688" s="69" t="s">
        <v>120</v>
      </c>
      <c r="M1688" s="71" t="s">
        <v>141</v>
      </c>
      <c r="N1688" s="69" t="e" vm="1">
        <v>#VALUE!</v>
      </c>
      <c r="O1688" s="84">
        <v>43605</v>
      </c>
      <c r="P1688" s="72" t="s">
        <v>5223</v>
      </c>
      <c r="Q1688" s="72"/>
      <c r="R1688" s="162"/>
      <c r="S1688" s="146" t="s">
        <v>6088</v>
      </c>
      <c r="T1688" s="68" t="s">
        <v>165</v>
      </c>
      <c r="U1688" s="87"/>
      <c r="V1688" s="80">
        <v>43621</v>
      </c>
      <c r="W1688" s="73">
        <v>2876</v>
      </c>
      <c r="X1688" s="73">
        <f>4291.95*27775.96/1000000</f>
        <v>119.21303152199998</v>
      </c>
      <c r="Y1688" s="83">
        <f>IF(SUM(W1688:W1688)&gt;0,X1688/SUM(W1688:W1688)*1000000,"N/A")</f>
        <v>41450.984534770512</v>
      </c>
      <c r="Z1688" s="80"/>
      <c r="AA1688" s="80"/>
      <c r="AB1688" s="73"/>
      <c r="AC1688" s="153"/>
      <c r="AD1688" s="331"/>
      <c r="AE1688" s="57"/>
      <c r="AF1688" s="88"/>
      <c r="AG1688" s="182">
        <f>YEAR(D1688)</f>
        <v>2019</v>
      </c>
      <c r="AH1688" s="86" t="str">
        <f>+IF(AE1688=$AJ$22,MONTH(T1688),"")</f>
        <v/>
      </c>
      <c r="AI1688" s="86" t="str">
        <f>+IF(AF1688=$AJ$22,MONTH(U1688),"")</f>
        <v/>
      </c>
      <c r="AJ1688" s="86" t="str">
        <f>+IF(AG1688=$AJ$22,MONTH(V1688),"")</f>
        <v/>
      </c>
      <c r="AK1688" s="86" t="str">
        <f>+IF(AG1688=$AK$22,MONTH(V1688),"")</f>
        <v/>
      </c>
      <c r="AL1688" s="86" t="str">
        <f>+IF(AG1688=$AL$22,MONTH(V1688),"")</f>
        <v/>
      </c>
      <c r="AM1688" s="86" t="str">
        <f>+IF($AG1688=$AM$22,MONTH($D1688),"")</f>
        <v/>
      </c>
      <c r="AN1688" s="89" t="str">
        <f>+IF($AG1688=AN$22,MONTH($D1688),"")</f>
        <v/>
      </c>
      <c r="AO1688" s="89">
        <f>+IF($AG1688=AO$22,MONTH($D1688),"")</f>
        <v>5</v>
      </c>
      <c r="AP1688" s="89" t="str">
        <f>+IF($AG1688=AP$22,MONTH($D1688),"")</f>
        <v/>
      </c>
      <c r="AQ1688" s="89" t="str">
        <f>+IF($AG1688=AQ$22,MONTH($D1688),"")</f>
        <v/>
      </c>
      <c r="AR1688" s="89" t="str">
        <f>+IF($AG1688=AR$22,MONTH($D1688),"")</f>
        <v/>
      </c>
      <c r="AS1688" s="89" t="str">
        <f>+IF($AG1688=AS$22,MONTH($D1688),"")</f>
        <v/>
      </c>
      <c r="AT1688" s="89" t="str">
        <f>+IF($AG1688=AT$22,MONTH($D1688),"")</f>
        <v/>
      </c>
      <c r="AU1688" s="89" t="str">
        <f>+IF($AG1688=AU$22,MONTH($D1688),"")</f>
        <v/>
      </c>
      <c r="AV1688" s="89" t="str">
        <f>+IF($AG1688=AV$22,MONTH($D1688),"")</f>
        <v/>
      </c>
      <c r="AW1688" s="86"/>
      <c r="AX1688" s="86"/>
      <c r="AY1688" s="89"/>
      <c r="AZ1688" s="89"/>
      <c r="BA1688" s="89"/>
      <c r="BB1688" s="89"/>
      <c r="BC1688" s="89"/>
      <c r="BD1688" s="89"/>
      <c r="BE1688" s="89"/>
      <c r="BF1688" s="89"/>
      <c r="BG1688" s="89"/>
      <c r="BH1688" s="89"/>
      <c r="BI1688" s="89"/>
      <c r="BJ1688" s="89"/>
      <c r="BK1688" s="89"/>
      <c r="BL1688" s="89"/>
      <c r="BM1688" s="89"/>
      <c r="BN1688" s="89"/>
      <c r="BO1688" s="89"/>
      <c r="BP1688" s="89"/>
    </row>
    <row r="1689" spans="1:68" s="56" customFormat="1" ht="13.5" hidden="1">
      <c r="A1689" s="204">
        <f>+IFERROR(VALUE(MID(AB1689,4,4)),"")</f>
        <v>178</v>
      </c>
      <c r="B1689" s="204">
        <f>VALUE(RIGHT(C1689,LEN(C1689)-2))</f>
        <v>1036</v>
      </c>
      <c r="C1689" s="74" t="s">
        <v>6089</v>
      </c>
      <c r="D1689" s="75">
        <v>43591</v>
      </c>
      <c r="E1689" s="70" t="s">
        <v>262</v>
      </c>
      <c r="F1689" s="70" t="s">
        <v>270</v>
      </c>
      <c r="G1689" s="68"/>
      <c r="H1689" s="59"/>
      <c r="I1689" s="69" t="s">
        <v>6090</v>
      </c>
      <c r="J1689" s="69"/>
      <c r="K1689" s="68" t="s">
        <v>13</v>
      </c>
      <c r="L1689" s="69" t="s">
        <v>120</v>
      </c>
      <c r="M1689" s="71" t="s">
        <v>141</v>
      </c>
      <c r="N1689" s="69" t="e" vm="1">
        <v>#VALUE!</v>
      </c>
      <c r="O1689" s="84">
        <v>43598</v>
      </c>
      <c r="P1689" s="72" t="s">
        <v>274</v>
      </c>
      <c r="Q1689" s="72" t="s">
        <v>623</v>
      </c>
      <c r="R1689" s="162"/>
      <c r="S1689" s="146"/>
      <c r="T1689" s="68" t="s">
        <v>3</v>
      </c>
      <c r="U1689" s="87"/>
      <c r="V1689" s="80">
        <v>43621</v>
      </c>
      <c r="W1689" s="73">
        <f>610+630+850-W1650</f>
        <v>1250</v>
      </c>
      <c r="X1689" s="73">
        <f>((1497+1521+1965)*27775.96/1000000)-X1650</f>
        <v>101.02813268000001</v>
      </c>
      <c r="Y1689" s="83">
        <f>IF(SUM(W1689:W1689)&gt;0,X1689/SUM(W1689:W1689)*1000000,"N/A")</f>
        <v>80822.506144000014</v>
      </c>
      <c r="Z1689" s="80"/>
      <c r="AA1689" s="80"/>
      <c r="AB1689" s="73" t="s">
        <v>5981</v>
      </c>
      <c r="AC1689" s="153"/>
      <c r="AD1689" s="331"/>
      <c r="AE1689" s="57"/>
      <c r="AF1689" s="88"/>
      <c r="AG1689" s="182">
        <f>YEAR(D1689)</f>
        <v>2019</v>
      </c>
      <c r="AH1689" s="86" t="str">
        <f>+IF(AE1689=$AJ$22,MONTH(T1689),"")</f>
        <v/>
      </c>
      <c r="AI1689" s="86" t="str">
        <f>+IF(AF1689=$AJ$22,MONTH(U1689),"")</f>
        <v/>
      </c>
      <c r="AJ1689" s="86" t="str">
        <f>+IF(AG1689=$AJ$22,MONTH(V1689),"")</f>
        <v/>
      </c>
      <c r="AK1689" s="86" t="str">
        <f>+IF(AG1689=$AK$22,MONTH(V1689),"")</f>
        <v/>
      </c>
      <c r="AL1689" s="86" t="str">
        <f>+IF(AG1689=$AL$22,MONTH(V1689),"")</f>
        <v/>
      </c>
      <c r="AM1689" s="86" t="str">
        <f>+IF($AG1689=$AM$22,MONTH($D1689),"")</f>
        <v/>
      </c>
      <c r="AN1689" s="89" t="str">
        <f>+IF($AG1689=AN$22,MONTH($D1689),"")</f>
        <v/>
      </c>
      <c r="AO1689" s="89">
        <f>+IF($AG1689=AO$22,MONTH($D1689),"")</f>
        <v>5</v>
      </c>
      <c r="AP1689" s="89" t="str">
        <f>+IF($AG1689=AP$22,MONTH($D1689),"")</f>
        <v/>
      </c>
      <c r="AQ1689" s="89" t="str">
        <f>+IF($AG1689=AQ$22,MONTH($D1689),"")</f>
        <v/>
      </c>
      <c r="AR1689" s="89" t="str">
        <f>+IF($AG1689=AR$22,MONTH($D1689),"")</f>
        <v/>
      </c>
      <c r="AS1689" s="89" t="str">
        <f>+IF($AG1689=AS$22,MONTH($D1689),"")</f>
        <v/>
      </c>
      <c r="AT1689" s="89" t="str">
        <f>+IF($AG1689=AT$22,MONTH($D1689),"")</f>
        <v/>
      </c>
      <c r="AU1689" s="89" t="str">
        <f>+IF($AG1689=AU$22,MONTH($D1689),"")</f>
        <v/>
      </c>
      <c r="AV1689" s="89" t="str">
        <f>+IF($AG1689=AV$22,MONTH($D1689),"")</f>
        <v/>
      </c>
      <c r="AW1689" s="86"/>
      <c r="AX1689" s="86"/>
      <c r="AY1689" s="89"/>
      <c r="AZ1689" s="89"/>
      <c r="BA1689" s="89"/>
      <c r="BB1689" s="89"/>
      <c r="BC1689" s="89"/>
      <c r="BD1689" s="89"/>
      <c r="BE1689" s="89"/>
      <c r="BF1689" s="89"/>
      <c r="BG1689" s="89"/>
      <c r="BH1689" s="89"/>
      <c r="BI1689" s="89"/>
      <c r="BJ1689" s="89"/>
      <c r="BK1689" s="89"/>
      <c r="BL1689" s="89"/>
      <c r="BM1689" s="89"/>
      <c r="BN1689" s="89"/>
      <c r="BO1689" s="89"/>
      <c r="BP1689" s="89"/>
    </row>
    <row r="1690" spans="1:68" s="56" customFormat="1" ht="13.5" hidden="1">
      <c r="A1690" s="204" t="str">
        <f>+IFERROR(VALUE(MID(AB1690,4,4)),"")</f>
        <v/>
      </c>
      <c r="B1690" s="204">
        <f>VALUE(RIGHT(C1690,LEN(C1690)-2))</f>
        <v>1035</v>
      </c>
      <c r="C1690" s="74" t="s">
        <v>6091</v>
      </c>
      <c r="D1690" s="75">
        <v>43587</v>
      </c>
      <c r="E1690" s="70" t="s">
        <v>3741</v>
      </c>
      <c r="F1690" s="70" t="s">
        <v>3741</v>
      </c>
      <c r="G1690" s="68"/>
      <c r="H1690" s="59"/>
      <c r="I1690" s="69" t="s">
        <v>6092</v>
      </c>
      <c r="J1690" s="69"/>
      <c r="K1690" s="68" t="s">
        <v>9</v>
      </c>
      <c r="L1690" s="69" t="s">
        <v>120</v>
      </c>
      <c r="M1690" s="71" t="s">
        <v>141</v>
      </c>
      <c r="N1690" s="69" t="e" vm="1">
        <v>#VALUE!</v>
      </c>
      <c r="O1690" s="84"/>
      <c r="P1690" s="72"/>
      <c r="Q1690" s="72"/>
      <c r="R1690" s="162"/>
      <c r="S1690" s="146"/>
      <c r="T1690" s="68" t="s">
        <v>155</v>
      </c>
      <c r="U1690" s="87"/>
      <c r="V1690" s="80"/>
      <c r="W1690" s="73"/>
      <c r="X1690" s="73"/>
      <c r="Y1690" s="83" t="str">
        <f>IF(SUM(W1690:W1690)&gt;0,X1690/SUM(W1690:W1690)*1000000,"N/A")</f>
        <v>N/A</v>
      </c>
      <c r="Z1690" s="80"/>
      <c r="AA1690" s="80"/>
      <c r="AB1690" s="73"/>
      <c r="AC1690" s="153"/>
      <c r="AD1690" s="331"/>
      <c r="AE1690" s="57"/>
      <c r="AF1690" s="88"/>
      <c r="AG1690" s="182">
        <f>YEAR(D1690)</f>
        <v>2019</v>
      </c>
      <c r="AH1690" s="86" t="str">
        <f>+IF(AE1690=$AJ$22,MONTH(T1690),"")</f>
        <v/>
      </c>
      <c r="AI1690" s="86" t="str">
        <f>+IF(AF1690=$AJ$22,MONTH(U1690),"")</f>
        <v/>
      </c>
      <c r="AJ1690" s="86" t="str">
        <f>+IF(AG1690=$AJ$22,MONTH(V1690),"")</f>
        <v/>
      </c>
      <c r="AK1690" s="86" t="str">
        <f>+IF(AG1690=$AK$22,MONTH(V1690),"")</f>
        <v/>
      </c>
      <c r="AL1690" s="86" t="str">
        <f>+IF(AG1690=$AL$22,MONTH(V1690),"")</f>
        <v/>
      </c>
      <c r="AM1690" s="86" t="str">
        <f>+IF($AG1690=$AM$22,MONTH($D1690),"")</f>
        <v/>
      </c>
      <c r="AN1690" s="89" t="str">
        <f>+IF($AG1690=AN$22,MONTH($D1690),"")</f>
        <v/>
      </c>
      <c r="AO1690" s="89">
        <f>+IF($AG1690=AO$22,MONTH($D1690),"")</f>
        <v>5</v>
      </c>
      <c r="AP1690" s="89" t="str">
        <f>+IF($AG1690=AP$22,MONTH($D1690),"")</f>
        <v/>
      </c>
      <c r="AQ1690" s="89" t="str">
        <f>+IF($AG1690=AQ$22,MONTH($D1690),"")</f>
        <v/>
      </c>
      <c r="AR1690" s="89" t="str">
        <f>+IF($AG1690=AR$22,MONTH($D1690),"")</f>
        <v/>
      </c>
      <c r="AS1690" s="89" t="str">
        <f>+IF($AG1690=AS$22,MONTH($D1690),"")</f>
        <v/>
      </c>
      <c r="AT1690" s="89" t="str">
        <f>+IF($AG1690=AT$22,MONTH($D1690),"")</f>
        <v/>
      </c>
      <c r="AU1690" s="89" t="str">
        <f>+IF($AG1690=AU$22,MONTH($D1690),"")</f>
        <v/>
      </c>
      <c r="AV1690" s="89" t="str">
        <f>+IF($AG1690=AV$22,MONTH($D1690),"")</f>
        <v/>
      </c>
      <c r="AW1690" s="86"/>
      <c r="AX1690" s="86"/>
      <c r="AY1690" s="89"/>
      <c r="AZ1690" s="89"/>
      <c r="BA1690" s="89"/>
      <c r="BB1690" s="89"/>
      <c r="BC1690" s="89"/>
      <c r="BD1690" s="89"/>
      <c r="BE1690" s="89"/>
      <c r="BF1690" s="89"/>
      <c r="BG1690" s="89"/>
      <c r="BH1690" s="89"/>
      <c r="BI1690" s="89"/>
      <c r="BJ1690" s="89"/>
      <c r="BK1690" s="89"/>
      <c r="BL1690" s="89"/>
      <c r="BM1690" s="89"/>
      <c r="BN1690" s="89"/>
      <c r="BO1690" s="89"/>
      <c r="BP1690" s="89"/>
    </row>
    <row r="1691" spans="1:68" s="56" customFormat="1" ht="27" hidden="1">
      <c r="A1691" s="204">
        <f>+IFERROR(VALUE(MID(AB1691,4,4)),"")</f>
        <v>202</v>
      </c>
      <c r="B1691" s="204">
        <f>VALUE(RIGHT(C1691,LEN(C1691)-2))</f>
        <v>1034</v>
      </c>
      <c r="C1691" s="74" t="s">
        <v>6093</v>
      </c>
      <c r="D1691" s="75">
        <v>43580</v>
      </c>
      <c r="E1691" s="70" t="s">
        <v>53</v>
      </c>
      <c r="F1691" s="70" t="s">
        <v>2436</v>
      </c>
      <c r="G1691" s="68"/>
      <c r="H1691" s="59"/>
      <c r="I1691" s="69" t="s">
        <v>6094</v>
      </c>
      <c r="J1691" s="69"/>
      <c r="K1691" s="68" t="s">
        <v>45</v>
      </c>
      <c r="L1691" s="69" t="s">
        <v>129</v>
      </c>
      <c r="M1691" s="71" t="s">
        <v>141</v>
      </c>
      <c r="N1691" s="69" t="e" vm="1">
        <v>#VALUE!</v>
      </c>
      <c r="O1691" s="84">
        <v>43588</v>
      </c>
      <c r="P1691" s="72" t="s">
        <v>402</v>
      </c>
      <c r="Q1691" s="72" t="s">
        <v>623</v>
      </c>
      <c r="R1691" s="162"/>
      <c r="S1691" s="146"/>
      <c r="T1691" s="68" t="s">
        <v>3</v>
      </c>
      <c r="U1691" s="87"/>
      <c r="V1691" s="80">
        <v>43580</v>
      </c>
      <c r="W1691" s="73">
        <v>2585</v>
      </c>
      <c r="X1691" s="73">
        <f>48707459/1000000</f>
        <v>48.707459</v>
      </c>
      <c r="Y1691" s="83">
        <f>IF(SUM(W1691:W1691)&gt;0,X1691/SUM(W1691:W1691)*1000000,"N/A")</f>
        <v>18842.343907156675</v>
      </c>
      <c r="Z1691" s="80"/>
      <c r="AA1691" s="80"/>
      <c r="AB1691" s="73" t="s">
        <v>6095</v>
      </c>
      <c r="AC1691" s="153"/>
      <c r="AD1691" s="331"/>
      <c r="AE1691" s="57"/>
      <c r="AF1691" s="88"/>
      <c r="AG1691" s="182">
        <f>YEAR(D1691)</f>
        <v>2019</v>
      </c>
      <c r="AH1691" s="86" t="str">
        <f>+IF(AE1691=$AJ$22,MONTH(T1691),"")</f>
        <v/>
      </c>
      <c r="AI1691" s="86" t="str">
        <f>+IF(AF1691=$AJ$22,MONTH(U1691),"")</f>
        <v/>
      </c>
      <c r="AJ1691" s="86" t="str">
        <f>+IF(AG1691=$AJ$22,MONTH(V1691),"")</f>
        <v/>
      </c>
      <c r="AK1691" s="86" t="str">
        <f>+IF(AG1691=$AK$22,MONTH(V1691),"")</f>
        <v/>
      </c>
      <c r="AL1691" s="86" t="str">
        <f>+IF(AG1691=$AL$22,MONTH(V1691),"")</f>
        <v/>
      </c>
      <c r="AM1691" s="86" t="str">
        <f>+IF($AG1691=$AM$22,MONTH($D1691),"")</f>
        <v/>
      </c>
      <c r="AN1691" s="89" t="str">
        <f>+IF($AG1691=AN$22,MONTH($D1691),"")</f>
        <v/>
      </c>
      <c r="AO1691" s="89">
        <f>+IF($AG1691=AO$22,MONTH($D1691),"")</f>
        <v>4</v>
      </c>
      <c r="AP1691" s="89" t="str">
        <f>+IF($AG1691=AP$22,MONTH($D1691),"")</f>
        <v/>
      </c>
      <c r="AQ1691" s="89" t="str">
        <f>+IF($AG1691=AQ$22,MONTH($D1691),"")</f>
        <v/>
      </c>
      <c r="AR1691" s="89" t="str">
        <f>+IF($AG1691=AR$22,MONTH($D1691),"")</f>
        <v/>
      </c>
      <c r="AS1691" s="89" t="str">
        <f>+IF($AG1691=AS$22,MONTH($D1691),"")</f>
        <v/>
      </c>
      <c r="AT1691" s="89" t="str">
        <f>+IF($AG1691=AT$22,MONTH($D1691),"")</f>
        <v/>
      </c>
      <c r="AU1691" s="89" t="str">
        <f>+IF($AG1691=AU$22,MONTH($D1691),"")</f>
        <v/>
      </c>
      <c r="AV1691" s="89" t="str">
        <f>+IF($AG1691=AV$22,MONTH($D1691),"")</f>
        <v/>
      </c>
      <c r="AW1691" s="86" t="str">
        <f>+IF($AG1691=AW$22,MONTH($D1691),"")</f>
        <v/>
      </c>
      <c r="AX1691" s="86" t="str">
        <f>+IF($AG1691=AX$22,MONTH($D1691),"")</f>
        <v/>
      </c>
      <c r="AY1691" s="89"/>
      <c r="AZ1691" s="89"/>
      <c r="BA1691" s="89"/>
      <c r="BB1691" s="89"/>
      <c r="BC1691" s="89"/>
      <c r="BD1691" s="89"/>
      <c r="BE1691" s="89"/>
      <c r="BF1691" s="89"/>
      <c r="BG1691" s="89"/>
      <c r="BH1691" s="89"/>
      <c r="BI1691" s="89"/>
      <c r="BJ1691" s="89"/>
      <c r="BK1691" s="89"/>
      <c r="BL1691" s="89"/>
      <c r="BM1691" s="89"/>
      <c r="BN1691" s="89"/>
      <c r="BO1691" s="89"/>
      <c r="BP1691" s="89"/>
    </row>
    <row r="1692" spans="1:68" s="56" customFormat="1" ht="67.5" hidden="1">
      <c r="A1692" s="204" t="str">
        <f>+IFERROR(VALUE(MID(AB1692,4,4)),"")</f>
        <v/>
      </c>
      <c r="B1692" s="204">
        <f>VALUE(RIGHT(C1692,LEN(C1692)-2))</f>
        <v>1033</v>
      </c>
      <c r="C1692" s="74" t="s">
        <v>6096</v>
      </c>
      <c r="D1692" s="75">
        <v>43579</v>
      </c>
      <c r="E1692" s="70" t="s">
        <v>53</v>
      </c>
      <c r="F1692" s="70" t="s">
        <v>1379</v>
      </c>
      <c r="G1692" s="68"/>
      <c r="H1692" s="59"/>
      <c r="I1692" s="69" t="s">
        <v>6097</v>
      </c>
      <c r="J1692" s="69"/>
      <c r="K1692" s="68" t="s">
        <v>12</v>
      </c>
      <c r="L1692" s="69" t="s">
        <v>129</v>
      </c>
      <c r="M1692" s="71" t="s">
        <v>141</v>
      </c>
      <c r="N1692" s="69" t="e" vm="1">
        <v>#VALUE!</v>
      </c>
      <c r="O1692" s="84"/>
      <c r="P1692" s="82" t="s">
        <v>402</v>
      </c>
      <c r="Q1692" s="82"/>
      <c r="R1692" s="69"/>
      <c r="S1692" s="146" t="s">
        <v>6098</v>
      </c>
      <c r="T1692" s="68" t="s">
        <v>155</v>
      </c>
      <c r="U1692" s="90"/>
      <c r="V1692" s="80">
        <v>43580</v>
      </c>
      <c r="W1692" s="73"/>
      <c r="X1692" s="73"/>
      <c r="Y1692" s="83" t="str">
        <f>IF(SUM(W1692:W1692)&gt;0,X1692/SUM(W1692:W1692)*1000000,"N/A")</f>
        <v>N/A</v>
      </c>
      <c r="Z1692" s="80"/>
      <c r="AA1692" s="80"/>
      <c r="AB1692" s="73"/>
      <c r="AC1692" s="153"/>
      <c r="AD1692" s="331"/>
      <c r="AE1692" s="57"/>
      <c r="AF1692" s="88"/>
      <c r="AG1692" s="182">
        <f>YEAR(D1692)</f>
        <v>2019</v>
      </c>
      <c r="AH1692" s="86" t="str">
        <f>+IF(AE1692=$AJ$22,MONTH(T1692),"")</f>
        <v/>
      </c>
      <c r="AI1692" s="86" t="str">
        <f>+IF(AF1692=$AJ$22,MONTH(U1692),"")</f>
        <v/>
      </c>
      <c r="AJ1692" s="86" t="str">
        <f>+IF(AG1692=$AJ$22,MONTH(V1692),"")</f>
        <v/>
      </c>
      <c r="AK1692" s="86" t="str">
        <f>+IF(AG1692=$AK$22,MONTH(V1692),"")</f>
        <v/>
      </c>
      <c r="AL1692" s="86" t="str">
        <f>+IF(AG1692=$AL$22,MONTH(V1692),"")</f>
        <v/>
      </c>
      <c r="AM1692" s="86" t="str">
        <f>+IF($AG1692=$AM$22,MONTH($D1692),"")</f>
        <v/>
      </c>
      <c r="AN1692" s="89" t="str">
        <f>+IF($AG1692=AN$22,MONTH($D1692),"")</f>
        <v/>
      </c>
      <c r="AO1692" s="89">
        <f>+IF($AG1692=AO$22,MONTH($D1692),"")</f>
        <v>4</v>
      </c>
      <c r="AP1692" s="89" t="str">
        <f>+IF($AG1692=AP$22,MONTH($D1692),"")</f>
        <v/>
      </c>
      <c r="AQ1692" s="89" t="str">
        <f>+IF($AG1692=AQ$22,MONTH($D1692),"")</f>
        <v/>
      </c>
      <c r="AR1692" s="89" t="str">
        <f>+IF($AG1692=AR$22,MONTH($D1692),"")</f>
        <v/>
      </c>
      <c r="AS1692" s="89" t="str">
        <f>+IF($AG1692=AS$22,MONTH($D1692),"")</f>
        <v/>
      </c>
      <c r="AT1692" s="89" t="str">
        <f>+IF($AG1692=AT$22,MONTH($D1692),"")</f>
        <v/>
      </c>
      <c r="AU1692" s="89" t="str">
        <f>+IF($AG1692=AU$22,MONTH($D1692),"")</f>
        <v/>
      </c>
      <c r="AV1692" s="89" t="str">
        <f>+IF($AG1692=AV$22,MONTH($D1692),"")</f>
        <v/>
      </c>
      <c r="AW1692" s="86"/>
      <c r="AX1692" s="86"/>
      <c r="AY1692" s="89"/>
      <c r="AZ1692" s="89"/>
      <c r="BA1692" s="89"/>
      <c r="BB1692" s="89"/>
      <c r="BC1692" s="89"/>
      <c r="BD1692" s="89"/>
      <c r="BE1692" s="89"/>
      <c r="BF1692" s="89"/>
      <c r="BG1692" s="89"/>
      <c r="BH1692" s="89"/>
      <c r="BI1692" s="89"/>
      <c r="BJ1692" s="89"/>
      <c r="BK1692" s="89"/>
      <c r="BL1692" s="89"/>
      <c r="BM1692" s="89"/>
      <c r="BN1692" s="89"/>
      <c r="BO1692" s="89"/>
      <c r="BP1692" s="89"/>
    </row>
    <row r="1693" spans="1:68" s="56" customFormat="1" ht="40.5" hidden="1">
      <c r="A1693" s="204" t="str">
        <f>+IFERROR(VALUE(MID(AB1693,4,4)),"")</f>
        <v/>
      </c>
      <c r="B1693" s="204">
        <f>VALUE(RIGHT(C1693,LEN(C1693)-2))</f>
        <v>1032</v>
      </c>
      <c r="C1693" s="74" t="s">
        <v>6099</v>
      </c>
      <c r="D1693" s="75">
        <v>43579</v>
      </c>
      <c r="E1693" s="70" t="s">
        <v>53</v>
      </c>
      <c r="F1693" s="70" t="s">
        <v>287</v>
      </c>
      <c r="G1693" s="68"/>
      <c r="H1693" s="59"/>
      <c r="I1693" s="69" t="s">
        <v>6100</v>
      </c>
      <c r="J1693" s="69"/>
      <c r="K1693" s="68" t="s">
        <v>1286</v>
      </c>
      <c r="L1693" s="69" t="s">
        <v>129</v>
      </c>
      <c r="M1693" s="71" t="s">
        <v>141</v>
      </c>
      <c r="N1693" s="69" t="e" vm="1">
        <v>#VALUE!</v>
      </c>
      <c r="O1693" s="84">
        <v>43629</v>
      </c>
      <c r="P1693" s="82" t="s">
        <v>402</v>
      </c>
      <c r="Q1693" s="82"/>
      <c r="R1693" s="69"/>
      <c r="S1693" s="146" t="s">
        <v>6101</v>
      </c>
      <c r="T1693" s="68" t="s">
        <v>165</v>
      </c>
      <c r="U1693" s="90"/>
      <c r="V1693" s="80">
        <v>43811</v>
      </c>
      <c r="W1693" s="73">
        <v>807</v>
      </c>
      <c r="X1693" s="73">
        <f>32407461/1000000</f>
        <v>32.407460999999998</v>
      </c>
      <c r="Y1693" s="83"/>
      <c r="Z1693" s="80"/>
      <c r="AA1693" s="80"/>
      <c r="AB1693" s="73"/>
      <c r="AC1693" s="153"/>
      <c r="AD1693" s="331"/>
      <c r="AE1693" s="57"/>
      <c r="AF1693" s="88"/>
      <c r="AG1693" s="182">
        <f>YEAR(D1693)</f>
        <v>2019</v>
      </c>
      <c r="AH1693" s="86" t="str">
        <f>+IF(AE1693=$AJ$22,MONTH(T1693),"")</f>
        <v/>
      </c>
      <c r="AI1693" s="86" t="str">
        <f>+IF(AF1693=$AJ$22,MONTH(U1693),"")</f>
        <v/>
      </c>
      <c r="AJ1693" s="86" t="str">
        <f>+IF(AG1693=$AJ$22,MONTH(V1693),"")</f>
        <v/>
      </c>
      <c r="AK1693" s="86" t="str">
        <f>+IF(AG1693=$AK$22,MONTH(V1693),"")</f>
        <v/>
      </c>
      <c r="AL1693" s="86" t="str">
        <f>+IF(AG1693=$AL$22,MONTH(V1693),"")</f>
        <v/>
      </c>
      <c r="AM1693" s="86" t="str">
        <f>+IF($AG1693=$AM$22,MONTH($D1693),"")</f>
        <v/>
      </c>
      <c r="AN1693" s="89" t="str">
        <f>+IF($AG1693=AN$22,MONTH($D1693),"")</f>
        <v/>
      </c>
      <c r="AO1693" s="89">
        <f>+IF($AG1693=AO$22,MONTH($D1693),"")</f>
        <v>4</v>
      </c>
      <c r="AP1693" s="89" t="str">
        <f>+IF($AG1693=AP$22,MONTH($D1693),"")</f>
        <v/>
      </c>
      <c r="AQ1693" s="89" t="str">
        <f>+IF($AG1693=AQ$22,MONTH($D1693),"")</f>
        <v/>
      </c>
      <c r="AR1693" s="89" t="str">
        <f>+IF($AG1693=AR$22,MONTH($D1693),"")</f>
        <v/>
      </c>
      <c r="AS1693" s="89" t="str">
        <f>+IF($AG1693=AS$22,MONTH($D1693),"")</f>
        <v/>
      </c>
      <c r="AT1693" s="89" t="str">
        <f>+IF($AG1693=AT$22,MONTH($D1693),"")</f>
        <v/>
      </c>
      <c r="AU1693" s="89" t="str">
        <f>+IF($AG1693=AU$22,MONTH($D1693),"")</f>
        <v/>
      </c>
      <c r="AV1693" s="89" t="str">
        <f>+IF($AG1693=AV$22,MONTH($D1693),"")</f>
        <v/>
      </c>
      <c r="AW1693" s="86"/>
      <c r="AX1693" s="86"/>
      <c r="AY1693" s="89"/>
      <c r="AZ1693" s="89"/>
      <c r="BA1693" s="89"/>
      <c r="BB1693" s="89"/>
      <c r="BC1693" s="89"/>
      <c r="BD1693" s="89"/>
      <c r="BE1693" s="89"/>
      <c r="BF1693" s="89"/>
      <c r="BG1693" s="89"/>
      <c r="BH1693" s="89"/>
      <c r="BI1693" s="89"/>
      <c r="BJ1693" s="89"/>
      <c r="BK1693" s="89"/>
      <c r="BL1693" s="89"/>
      <c r="BM1693" s="89"/>
      <c r="BN1693" s="89"/>
      <c r="BO1693" s="89"/>
      <c r="BP1693" s="89"/>
    </row>
    <row r="1694" spans="1:68" s="56" customFormat="1" ht="27" hidden="1">
      <c r="A1694" s="204" t="str">
        <f>+IFERROR(VALUE(MID(AB1694,4,4)),"")</f>
        <v/>
      </c>
      <c r="B1694" s="204">
        <f>VALUE(RIGHT(C1694,LEN(C1694)-2))</f>
        <v>1031</v>
      </c>
      <c r="C1694" s="74" t="s">
        <v>6102</v>
      </c>
      <c r="D1694" s="75">
        <v>43579</v>
      </c>
      <c r="E1694" s="70" t="s">
        <v>277</v>
      </c>
      <c r="F1694" s="70" t="s">
        <v>277</v>
      </c>
      <c r="G1694" s="68"/>
      <c r="H1694" s="59"/>
      <c r="I1694" s="69" t="s">
        <v>6100</v>
      </c>
      <c r="J1694" s="69"/>
      <c r="K1694" s="68" t="s">
        <v>1286</v>
      </c>
      <c r="L1694" s="69" t="s">
        <v>129</v>
      </c>
      <c r="M1694" s="71" t="s">
        <v>141</v>
      </c>
      <c r="N1694" s="69" t="e" vm="1">
        <v>#VALUE!</v>
      </c>
      <c r="O1694" s="164"/>
      <c r="P1694" s="72" t="s">
        <v>402</v>
      </c>
      <c r="Q1694" s="72"/>
      <c r="R1694" s="162"/>
      <c r="S1694" s="146" t="s">
        <v>6103</v>
      </c>
      <c r="T1694" s="68" t="s">
        <v>165</v>
      </c>
      <c r="U1694" s="87"/>
      <c r="V1694" s="80">
        <v>43580</v>
      </c>
      <c r="W1694" s="73">
        <v>807</v>
      </c>
      <c r="X1694" s="150">
        <f>32407461/1000000</f>
        <v>32.407460999999998</v>
      </c>
      <c r="Y1694" s="83">
        <f>IF(SUM(W1694:W1694)&gt;0,X1694/SUM(W1694:W1694)*1000000,"N/A")</f>
        <v>40157.944237918215</v>
      </c>
      <c r="Z1694" s="80"/>
      <c r="AA1694" s="80"/>
      <c r="AB1694" s="73"/>
      <c r="AC1694" s="153"/>
      <c r="AD1694" s="331"/>
      <c r="AE1694" s="57"/>
      <c r="AF1694" s="88"/>
      <c r="AG1694" s="182">
        <f>YEAR(D1694)</f>
        <v>2019</v>
      </c>
      <c r="AH1694" s="86" t="str">
        <f>+IF(AE1694=$AJ$22,MONTH(T1694),"")</f>
        <v/>
      </c>
      <c r="AI1694" s="86" t="str">
        <f>+IF(AF1694=$AJ$22,MONTH(U1694),"")</f>
        <v/>
      </c>
      <c r="AJ1694" s="86" t="str">
        <f>+IF(AG1694=$AJ$22,MONTH(V1694),"")</f>
        <v/>
      </c>
      <c r="AK1694" s="86" t="str">
        <f>+IF(AG1694=$AK$22,MONTH(V1694),"")</f>
        <v/>
      </c>
      <c r="AL1694" s="86" t="str">
        <f>+IF(AG1694=$AL$22,MONTH(V1694),"")</f>
        <v/>
      </c>
      <c r="AM1694" s="86" t="str">
        <f>+IF($AG1694=$AM$22,MONTH($D1694),"")</f>
        <v/>
      </c>
      <c r="AN1694" s="89" t="str">
        <f>+IF($AG1694=AN$22,MONTH($D1694),"")</f>
        <v/>
      </c>
      <c r="AO1694" s="89">
        <f>+IF($AG1694=AO$22,MONTH($D1694),"")</f>
        <v>4</v>
      </c>
      <c r="AP1694" s="89" t="str">
        <f>+IF($AG1694=AP$22,MONTH($D1694),"")</f>
        <v/>
      </c>
      <c r="AQ1694" s="89" t="str">
        <f>+IF($AG1694=AQ$22,MONTH($D1694),"")</f>
        <v/>
      </c>
      <c r="AR1694" s="89" t="str">
        <f>+IF($AG1694=AR$22,MONTH($D1694),"")</f>
        <v/>
      </c>
      <c r="AS1694" s="89" t="str">
        <f>+IF($AG1694=AS$22,MONTH($D1694),"")</f>
        <v/>
      </c>
      <c r="AT1694" s="89" t="str">
        <f>+IF($AG1694=AT$22,MONTH($D1694),"")</f>
        <v/>
      </c>
      <c r="AU1694" s="89" t="str">
        <f>+IF($AG1694=AU$22,MONTH($D1694),"")</f>
        <v/>
      </c>
      <c r="AV1694" s="89" t="str">
        <f>+IF($AG1694=AV$22,MONTH($D1694),"")</f>
        <v/>
      </c>
      <c r="AW1694" s="86"/>
      <c r="AX1694" s="86"/>
      <c r="AY1694" s="89"/>
      <c r="AZ1694" s="89"/>
      <c r="BA1694" s="89"/>
      <c r="BB1694" s="89"/>
      <c r="BC1694" s="89"/>
      <c r="BD1694" s="89"/>
      <c r="BE1694" s="89"/>
      <c r="BF1694" s="89"/>
      <c r="BG1694" s="89"/>
      <c r="BH1694" s="89"/>
      <c r="BI1694" s="89"/>
      <c r="BJ1694" s="89"/>
      <c r="BK1694" s="89"/>
      <c r="BL1694" s="89"/>
      <c r="BM1694" s="89"/>
      <c r="BN1694" s="89"/>
      <c r="BO1694" s="89"/>
      <c r="BP1694" s="89"/>
    </row>
    <row r="1695" spans="1:68" s="56" customFormat="1" ht="40.5" hidden="1">
      <c r="A1695" s="204" t="str">
        <f>+IFERROR(VALUE(MID(AB1695,4,4)),"")</f>
        <v/>
      </c>
      <c r="B1695" s="204">
        <f>VALUE(RIGHT(C1695,LEN(C1695)-2))</f>
        <v>1030</v>
      </c>
      <c r="C1695" s="74" t="s">
        <v>6104</v>
      </c>
      <c r="D1695" s="75">
        <v>43516</v>
      </c>
      <c r="E1695" s="70" t="s">
        <v>277</v>
      </c>
      <c r="F1695" s="70" t="s">
        <v>277</v>
      </c>
      <c r="G1695" s="68"/>
      <c r="H1695" s="59"/>
      <c r="I1695" s="69" t="s">
        <v>6105</v>
      </c>
      <c r="J1695" s="69"/>
      <c r="K1695" s="68" t="s">
        <v>1286</v>
      </c>
      <c r="L1695" s="69" t="s">
        <v>129</v>
      </c>
      <c r="M1695" s="71" t="s">
        <v>141</v>
      </c>
      <c r="N1695" s="69" t="e" vm="1">
        <v>#VALUE!</v>
      </c>
      <c r="O1695" s="164">
        <v>43585</v>
      </c>
      <c r="P1695" s="72" t="s">
        <v>701</v>
      </c>
      <c r="Q1695" s="72"/>
      <c r="R1695" s="162"/>
      <c r="S1695" s="146" t="s">
        <v>6106</v>
      </c>
      <c r="T1695" s="68" t="s">
        <v>165</v>
      </c>
      <c r="U1695" s="87"/>
      <c r="V1695" s="80">
        <v>43580</v>
      </c>
      <c r="W1695" s="150">
        <v>1286</v>
      </c>
      <c r="X1695" s="150">
        <f>50509414/1000000</f>
        <v>50.509414</v>
      </c>
      <c r="Y1695" s="83">
        <f>IF(SUM(W1695:W1695)&gt;0,X1695/SUM(W1695:W1695)*1000000,"N/A")</f>
        <v>39276.371695178852</v>
      </c>
      <c r="Z1695" s="80"/>
      <c r="AA1695" s="80"/>
      <c r="AB1695" s="73"/>
      <c r="AC1695" s="153"/>
      <c r="AD1695" s="331"/>
      <c r="AE1695" s="57"/>
      <c r="AF1695" s="88"/>
      <c r="AG1695" s="182">
        <f>YEAR(D1695)</f>
        <v>2019</v>
      </c>
      <c r="AH1695" s="86" t="str">
        <f>+IF(AE1695=$AJ$22,MONTH(T1695),"")</f>
        <v/>
      </c>
      <c r="AI1695" s="86" t="str">
        <f>+IF(AF1695=$AJ$22,MONTH(U1695),"")</f>
        <v/>
      </c>
      <c r="AJ1695" s="86" t="str">
        <f>+IF(AG1695=$AJ$22,MONTH(V1695),"")</f>
        <v/>
      </c>
      <c r="AK1695" s="86" t="str">
        <f>+IF(AG1695=$AK$22,MONTH(V1695),"")</f>
        <v/>
      </c>
      <c r="AL1695" s="86" t="str">
        <f>+IF(AG1695=$AL$22,MONTH(V1695),"")</f>
        <v/>
      </c>
      <c r="AM1695" s="86" t="str">
        <f>+IF($AG1695=$AM$22,MONTH($D1695),"")</f>
        <v/>
      </c>
      <c r="AN1695" s="89" t="str">
        <f>+IF($AG1695=AN$22,MONTH($D1695),"")</f>
        <v/>
      </c>
      <c r="AO1695" s="89">
        <f>+IF($AG1695=AO$22,MONTH($D1695),"")</f>
        <v>2</v>
      </c>
      <c r="AP1695" s="89" t="str">
        <f>+IF($AG1695=AP$22,MONTH($D1695),"")</f>
        <v/>
      </c>
      <c r="AQ1695" s="89" t="str">
        <f>+IF($AG1695=AQ$22,MONTH($D1695),"")</f>
        <v/>
      </c>
      <c r="AR1695" s="89" t="str">
        <f>+IF($AG1695=AR$22,MONTH($D1695),"")</f>
        <v/>
      </c>
      <c r="AS1695" s="89" t="str">
        <f>+IF($AG1695=AS$22,MONTH($D1695),"")</f>
        <v/>
      </c>
      <c r="AT1695" s="89" t="str">
        <f>+IF($AG1695=AT$22,MONTH($D1695),"")</f>
        <v/>
      </c>
      <c r="AU1695" s="89" t="str">
        <f>+IF($AG1695=AU$22,MONTH($D1695),"")</f>
        <v/>
      </c>
      <c r="AV1695" s="89" t="str">
        <f>+IF($AG1695=AV$22,MONTH($D1695),"")</f>
        <v/>
      </c>
      <c r="AW1695" s="86"/>
      <c r="AX1695" s="86"/>
      <c r="AY1695" s="89"/>
      <c r="AZ1695" s="89"/>
      <c r="BA1695" s="89"/>
      <c r="BB1695" s="89"/>
      <c r="BC1695" s="89"/>
      <c r="BD1695" s="89"/>
      <c r="BE1695" s="89"/>
      <c r="BF1695" s="89"/>
      <c r="BG1695" s="89"/>
      <c r="BH1695" s="89"/>
      <c r="BI1695" s="89"/>
      <c r="BJ1695" s="89"/>
      <c r="BK1695" s="89"/>
      <c r="BL1695" s="89"/>
      <c r="BM1695" s="89"/>
      <c r="BN1695" s="89"/>
      <c r="BO1695" s="89"/>
      <c r="BP1695" s="89"/>
    </row>
    <row r="1696" spans="1:68" s="56" customFormat="1" ht="40.5" hidden="1">
      <c r="A1696" s="204" t="str">
        <f>+IFERROR(VALUE(MID(AB1696,4,4)),"")</f>
        <v/>
      </c>
      <c r="B1696" s="204">
        <f>VALUE(RIGHT(C1696,LEN(C1696)-2))</f>
        <v>1029</v>
      </c>
      <c r="C1696" s="74" t="s">
        <v>6107</v>
      </c>
      <c r="D1696" s="75">
        <v>43579</v>
      </c>
      <c r="E1696" s="70" t="s">
        <v>53</v>
      </c>
      <c r="F1696" s="70" t="s">
        <v>287</v>
      </c>
      <c r="G1696" s="68"/>
      <c r="H1696" s="59"/>
      <c r="I1696" s="69" t="s">
        <v>6105</v>
      </c>
      <c r="J1696" s="69"/>
      <c r="K1696" s="68" t="s">
        <v>1286</v>
      </c>
      <c r="L1696" s="69" t="s">
        <v>129</v>
      </c>
      <c r="M1696" s="71" t="s">
        <v>141</v>
      </c>
      <c r="N1696" s="69" t="e" vm="1">
        <v>#VALUE!</v>
      </c>
      <c r="O1696" s="84">
        <v>43629</v>
      </c>
      <c r="P1696" s="72" t="s">
        <v>402</v>
      </c>
      <c r="Q1696" s="72"/>
      <c r="R1696" s="162"/>
      <c r="S1696" s="146" t="s">
        <v>6101</v>
      </c>
      <c r="T1696" s="68" t="s">
        <v>165</v>
      </c>
      <c r="U1696" s="90"/>
      <c r="V1696" s="80">
        <v>43580</v>
      </c>
      <c r="W1696" s="73">
        <v>471</v>
      </c>
      <c r="X1696" s="73">
        <f>627*27639.18/1000000</f>
        <v>17.329765859999998</v>
      </c>
      <c r="Y1696" s="83">
        <f>IF(SUM(W1696:W1696)&gt;0,X1696/SUM(W1696:W1696)*1000000,"N/A")</f>
        <v>36793.558089171973</v>
      </c>
      <c r="Z1696" s="80"/>
      <c r="AA1696" s="80"/>
      <c r="AB1696" s="73"/>
      <c r="AC1696" s="153"/>
      <c r="AD1696" s="331"/>
      <c r="AE1696" s="57"/>
      <c r="AF1696" s="88"/>
      <c r="AG1696" s="182">
        <f>YEAR(D1696)</f>
        <v>2019</v>
      </c>
      <c r="AH1696" s="86" t="str">
        <f>+IF(AE1696=$AJ$22,MONTH(T1696),"")</f>
        <v/>
      </c>
      <c r="AI1696" s="86" t="str">
        <f>+IF(AF1696=$AJ$22,MONTH(U1696),"")</f>
        <v/>
      </c>
      <c r="AJ1696" s="86" t="str">
        <f>+IF(AG1696=$AJ$22,MONTH(V1696),"")</f>
        <v/>
      </c>
      <c r="AK1696" s="86" t="str">
        <f>+IF(AG1696=$AK$22,MONTH(V1696),"")</f>
        <v/>
      </c>
      <c r="AL1696" s="86" t="str">
        <f>+IF(AG1696=$AL$22,MONTH(V1696),"")</f>
        <v/>
      </c>
      <c r="AM1696" s="86" t="str">
        <f>+IF($AG1696=$AM$22,MONTH($D1696),"")</f>
        <v/>
      </c>
      <c r="AN1696" s="89" t="str">
        <f>+IF($AG1696=AN$22,MONTH($D1696),"")</f>
        <v/>
      </c>
      <c r="AO1696" s="89">
        <f>+IF($AG1696=AO$22,MONTH($D1696),"")</f>
        <v>4</v>
      </c>
      <c r="AP1696" s="89" t="str">
        <f>+IF($AG1696=AP$22,MONTH($D1696),"")</f>
        <v/>
      </c>
      <c r="AQ1696" s="89" t="str">
        <f>+IF($AG1696=AQ$22,MONTH($D1696),"")</f>
        <v/>
      </c>
      <c r="AR1696" s="89" t="str">
        <f>+IF($AG1696=AR$22,MONTH($D1696),"")</f>
        <v/>
      </c>
      <c r="AS1696" s="89" t="str">
        <f>+IF($AG1696=AS$22,MONTH($D1696),"")</f>
        <v/>
      </c>
      <c r="AT1696" s="89" t="str">
        <f>+IF($AG1696=AT$22,MONTH($D1696),"")</f>
        <v/>
      </c>
      <c r="AU1696" s="89" t="str">
        <f>+IF($AG1696=AU$22,MONTH($D1696),"")</f>
        <v/>
      </c>
      <c r="AV1696" s="89" t="str">
        <f>+IF($AG1696=AV$22,MONTH($D1696),"")</f>
        <v/>
      </c>
      <c r="AW1696" s="86"/>
      <c r="AX1696" s="86"/>
      <c r="AY1696" s="89"/>
      <c r="AZ1696" s="89"/>
      <c r="BA1696" s="89"/>
      <c r="BB1696" s="89"/>
      <c r="BC1696" s="89"/>
      <c r="BD1696" s="89"/>
      <c r="BE1696" s="89"/>
      <c r="BF1696" s="89"/>
      <c r="BG1696" s="89"/>
      <c r="BH1696" s="89"/>
      <c r="BI1696" s="89"/>
      <c r="BJ1696" s="89"/>
      <c r="BK1696" s="89"/>
      <c r="BL1696" s="89"/>
      <c r="BM1696" s="89"/>
      <c r="BN1696" s="89"/>
      <c r="BO1696" s="89"/>
      <c r="BP1696" s="89"/>
    </row>
    <row r="1697" spans="1:68" s="56" customFormat="1" ht="53.25" hidden="1">
      <c r="A1697" s="204" t="str">
        <f>+IFERROR(VALUE(MID(AB1697,4,4)),"")</f>
        <v/>
      </c>
      <c r="B1697" s="204">
        <f>VALUE(RIGHT(C1697,LEN(C1697)-2))</f>
        <v>1028</v>
      </c>
      <c r="C1697" s="74" t="s">
        <v>6108</v>
      </c>
      <c r="D1697" s="75">
        <v>43579</v>
      </c>
      <c r="E1697" s="70" t="s">
        <v>277</v>
      </c>
      <c r="F1697" s="70" t="s">
        <v>277</v>
      </c>
      <c r="G1697" s="68"/>
      <c r="H1697" s="59"/>
      <c r="I1697" s="69" t="s">
        <v>6109</v>
      </c>
      <c r="J1697" s="69"/>
      <c r="K1697" s="68" t="s">
        <v>13</v>
      </c>
      <c r="L1697" s="69" t="s">
        <v>129</v>
      </c>
      <c r="M1697" s="71" t="s">
        <v>141</v>
      </c>
      <c r="N1697" s="69" t="e" vm="1">
        <v>#VALUE!</v>
      </c>
      <c r="O1697" s="164">
        <v>43585</v>
      </c>
      <c r="P1697" s="72" t="s">
        <v>402</v>
      </c>
      <c r="Q1697" s="72"/>
      <c r="R1697" s="162"/>
      <c r="S1697" s="155" t="s">
        <v>6110</v>
      </c>
      <c r="T1697" s="68" t="s">
        <v>165</v>
      </c>
      <c r="U1697" s="211"/>
      <c r="V1697" s="183">
        <v>43580</v>
      </c>
      <c r="W1697" s="150">
        <v>975</v>
      </c>
      <c r="X1697" s="150">
        <f>35329693/1000000</f>
        <v>35.329692999999999</v>
      </c>
      <c r="Y1697" s="169">
        <f>IF(SUM(W1697:W1697)&gt;0,X1697/SUM(W1697:W1697)*1000000,"N/A")</f>
        <v>36235.582564102566</v>
      </c>
      <c r="Z1697" s="183"/>
      <c r="AA1697" s="183"/>
      <c r="AB1697" s="73"/>
      <c r="AC1697" s="153"/>
      <c r="AD1697" s="331"/>
      <c r="AE1697" s="57"/>
      <c r="AF1697" s="88"/>
      <c r="AG1697" s="182">
        <f>YEAR(D1697)</f>
        <v>2019</v>
      </c>
      <c r="AH1697" s="86" t="str">
        <f>+IF(AE1697=$AJ$22,MONTH(T1697),"")</f>
        <v/>
      </c>
      <c r="AI1697" s="86" t="str">
        <f>+IF(AF1697=$AJ$22,MONTH(U1697),"")</f>
        <v/>
      </c>
      <c r="AJ1697" s="86" t="str">
        <f>+IF(AG1697=$AJ$22,MONTH(V1697),"")</f>
        <v/>
      </c>
      <c r="AK1697" s="86" t="str">
        <f>+IF(AG1697=$AK$22,MONTH(V1697),"")</f>
        <v/>
      </c>
      <c r="AL1697" s="86" t="str">
        <f>+IF(AG1697=$AL$22,MONTH(V1697),"")</f>
        <v/>
      </c>
      <c r="AM1697" s="86" t="str">
        <f>+IF($AG1697=$AM$22,MONTH($D1697),"")</f>
        <v/>
      </c>
      <c r="AN1697" s="89" t="str">
        <f>+IF($AG1697=AN$22,MONTH($D1697),"")</f>
        <v/>
      </c>
      <c r="AO1697" s="89">
        <f>+IF($AG1697=AO$22,MONTH($D1697),"")</f>
        <v>4</v>
      </c>
      <c r="AP1697" s="89" t="str">
        <f>+IF($AG1697=AP$22,MONTH($D1697),"")</f>
        <v/>
      </c>
      <c r="AQ1697" s="89" t="str">
        <f>+IF($AG1697=AQ$22,MONTH($D1697),"")</f>
        <v/>
      </c>
      <c r="AR1697" s="89" t="str">
        <f>+IF($AG1697=AR$22,MONTH($D1697),"")</f>
        <v/>
      </c>
      <c r="AS1697" s="89" t="str">
        <f>+IF($AG1697=AS$22,MONTH($D1697),"")</f>
        <v/>
      </c>
      <c r="AT1697" s="89" t="str">
        <f>+IF($AG1697=AT$22,MONTH($D1697),"")</f>
        <v/>
      </c>
      <c r="AU1697" s="89" t="str">
        <f>+IF($AG1697=AU$22,MONTH($D1697),"")</f>
        <v/>
      </c>
      <c r="AV1697" s="89" t="str">
        <f>+IF($AG1697=AV$22,MONTH($D1697),"")</f>
        <v/>
      </c>
      <c r="AW1697" s="86"/>
      <c r="AX1697" s="86"/>
      <c r="AY1697" s="89"/>
      <c r="AZ1697" s="89"/>
      <c r="BA1697" s="89"/>
      <c r="BB1697" s="89"/>
      <c r="BC1697" s="89"/>
      <c r="BD1697" s="89"/>
      <c r="BE1697" s="89"/>
      <c r="BF1697" s="89"/>
      <c r="BG1697" s="89"/>
      <c r="BH1697" s="89"/>
      <c r="BI1697" s="89"/>
      <c r="BJ1697" s="89"/>
      <c r="BK1697" s="89"/>
      <c r="BL1697" s="89"/>
      <c r="BM1697" s="89"/>
      <c r="BN1697" s="89"/>
      <c r="BO1697" s="89"/>
      <c r="BP1697" s="89"/>
    </row>
    <row r="1698" spans="1:68" s="56" customFormat="1" ht="27" hidden="1">
      <c r="A1698" s="204" t="str">
        <f>+IFERROR(VALUE(MID(AB1698,4,4)),"")</f>
        <v/>
      </c>
      <c r="B1698" s="204">
        <f>VALUE(RIGHT(C1698,LEN(C1698)-2))</f>
        <v>1027</v>
      </c>
      <c r="C1698" s="74" t="s">
        <v>6111</v>
      </c>
      <c r="D1698" s="75">
        <v>43570</v>
      </c>
      <c r="E1698" s="70" t="s">
        <v>262</v>
      </c>
      <c r="F1698" s="70" t="s">
        <v>262</v>
      </c>
      <c r="G1698" s="68"/>
      <c r="H1698" s="59"/>
      <c r="I1698" s="69" t="s">
        <v>6112</v>
      </c>
      <c r="J1698" s="69"/>
      <c r="K1698" s="68" t="s">
        <v>13</v>
      </c>
      <c r="L1698" s="69" t="s">
        <v>120</v>
      </c>
      <c r="M1698" s="71" t="s">
        <v>141</v>
      </c>
      <c r="N1698" s="69" t="e" vm="1">
        <v>#VALUE!</v>
      </c>
      <c r="O1698" s="84">
        <v>43570</v>
      </c>
      <c r="P1698" s="72" t="s">
        <v>5223</v>
      </c>
      <c r="Q1698" s="72"/>
      <c r="R1698" s="162"/>
      <c r="S1698" s="146" t="s">
        <v>6113</v>
      </c>
      <c r="T1698" s="68" t="s">
        <v>155</v>
      </c>
      <c r="U1698" s="87"/>
      <c r="V1698" s="75">
        <v>43570</v>
      </c>
      <c r="W1698" s="73">
        <v>150</v>
      </c>
      <c r="X1698" s="73">
        <f>194*27639.18/1000000</f>
        <v>5.3620009199999998</v>
      </c>
      <c r="Y1698" s="83">
        <f>IF(SUM(W1698:W1698)&gt;0,X1698/SUM(W1698:W1698)*1000000,"N/A")</f>
        <v>35746.6728</v>
      </c>
      <c r="Z1698" s="75"/>
      <c r="AA1698" s="75"/>
      <c r="AB1698" s="73"/>
      <c r="AC1698" s="153"/>
      <c r="AD1698" s="331"/>
      <c r="AE1698" s="57"/>
      <c r="AF1698" s="88"/>
      <c r="AG1698" s="182">
        <f>YEAR(D1698)</f>
        <v>2019</v>
      </c>
      <c r="AH1698" s="86" t="str">
        <f>+IF(AE1698=$AJ$22,MONTH(T1698),"")</f>
        <v/>
      </c>
      <c r="AI1698" s="86" t="str">
        <f>+IF(AF1698=$AJ$22,MONTH(U1698),"")</f>
        <v/>
      </c>
      <c r="AJ1698" s="86" t="str">
        <f>+IF(AG1698=$AJ$22,MONTH(V1698),"")</f>
        <v/>
      </c>
      <c r="AK1698" s="86" t="str">
        <f>+IF(AG1698=$AK$22,MONTH(V1698),"")</f>
        <v/>
      </c>
      <c r="AL1698" s="86" t="str">
        <f>+IF(AG1698=$AL$22,MONTH(V1698),"")</f>
        <v/>
      </c>
      <c r="AM1698" s="86" t="str">
        <f>+IF($AG1698=$AM$22,MONTH($D1698),"")</f>
        <v/>
      </c>
      <c r="AN1698" s="89" t="str">
        <f>+IF($AG1698=AN$22,MONTH($D1698),"")</f>
        <v/>
      </c>
      <c r="AO1698" s="89">
        <f>+IF($AG1698=AO$22,MONTH($D1698),"")</f>
        <v>4</v>
      </c>
      <c r="AP1698" s="89" t="str">
        <f>+IF($AG1698=AP$22,MONTH($D1698),"")</f>
        <v/>
      </c>
      <c r="AQ1698" s="89" t="str">
        <f>+IF($AG1698=AQ$22,MONTH($D1698),"")</f>
        <v/>
      </c>
      <c r="AR1698" s="89" t="str">
        <f>+IF($AG1698=AR$22,MONTH($D1698),"")</f>
        <v/>
      </c>
      <c r="AS1698" s="89" t="str">
        <f>+IF($AG1698=AS$22,MONTH($D1698),"")</f>
        <v/>
      </c>
      <c r="AT1698" s="89" t="str">
        <f>+IF($AG1698=AT$22,MONTH($D1698),"")</f>
        <v/>
      </c>
      <c r="AU1698" s="89" t="str">
        <f>+IF($AG1698=AU$22,MONTH($D1698),"")</f>
        <v/>
      </c>
      <c r="AV1698" s="89" t="str">
        <f>+IF($AG1698=AV$22,MONTH($D1698),"")</f>
        <v/>
      </c>
      <c r="AW1698" s="86"/>
      <c r="AX1698" s="86"/>
      <c r="AY1698" s="89"/>
      <c r="AZ1698" s="89"/>
      <c r="BA1698" s="89"/>
      <c r="BB1698" s="89"/>
      <c r="BC1698" s="89"/>
      <c r="BD1698" s="89"/>
      <c r="BE1698" s="89"/>
      <c r="BF1698" s="89"/>
      <c r="BG1698" s="89"/>
      <c r="BH1698" s="89"/>
      <c r="BI1698" s="89"/>
      <c r="BJ1698" s="89"/>
      <c r="BK1698" s="89"/>
      <c r="BL1698" s="89"/>
      <c r="BM1698" s="89"/>
      <c r="BN1698" s="89"/>
      <c r="BO1698" s="89"/>
      <c r="BP1698" s="89"/>
    </row>
    <row r="1699" spans="1:68" s="56" customFormat="1" ht="27" hidden="1">
      <c r="A1699" s="204" t="str">
        <f>+IFERROR(VALUE(MID(AB1699,4,4)),"")</f>
        <v/>
      </c>
      <c r="B1699" s="204">
        <f>VALUE(RIGHT(C1699,LEN(C1699)-2))</f>
        <v>1026</v>
      </c>
      <c r="C1699" s="74" t="s">
        <v>6114</v>
      </c>
      <c r="D1699" s="75">
        <v>43570</v>
      </c>
      <c r="E1699" s="70" t="s">
        <v>262</v>
      </c>
      <c r="F1699" s="70" t="s">
        <v>262</v>
      </c>
      <c r="G1699" s="68"/>
      <c r="H1699" s="59"/>
      <c r="I1699" s="69" t="s">
        <v>6115</v>
      </c>
      <c r="J1699" s="69"/>
      <c r="K1699" s="68" t="s">
        <v>33</v>
      </c>
      <c r="L1699" s="69" t="s">
        <v>120</v>
      </c>
      <c r="M1699" s="71" t="s">
        <v>141</v>
      </c>
      <c r="N1699" s="69" t="e" vm="1">
        <v>#VALUE!</v>
      </c>
      <c r="O1699" s="84">
        <v>43570</v>
      </c>
      <c r="P1699" s="72" t="s">
        <v>274</v>
      </c>
      <c r="Q1699" s="72"/>
      <c r="R1699" s="162"/>
      <c r="S1699" s="146" t="s">
        <v>6113</v>
      </c>
      <c r="T1699" s="68" t="s">
        <v>155</v>
      </c>
      <c r="U1699" s="87"/>
      <c r="V1699" s="80">
        <v>43570</v>
      </c>
      <c r="W1699" s="73"/>
      <c r="X1699" s="73"/>
      <c r="Y1699" s="83" t="str">
        <f>IF(SUM(W1699:W1699)&gt;0,X1699/SUM(W1699:W1699)*1000000,"N/A")</f>
        <v>N/A</v>
      </c>
      <c r="Z1699" s="75"/>
      <c r="AA1699" s="75"/>
      <c r="AB1699" s="73"/>
      <c r="AC1699" s="153"/>
      <c r="AD1699" s="331"/>
      <c r="AE1699" s="57"/>
      <c r="AF1699" s="88"/>
      <c r="AG1699" s="182">
        <f>YEAR(D1699)</f>
        <v>2019</v>
      </c>
      <c r="AH1699" s="86" t="str">
        <f>+IF(AE1699=$AJ$22,MONTH(T1699),"")</f>
        <v/>
      </c>
      <c r="AI1699" s="86" t="str">
        <f>+IF(AF1699=$AJ$22,MONTH(U1699),"")</f>
        <v/>
      </c>
      <c r="AJ1699" s="86" t="str">
        <f>+IF(AG1699=$AJ$22,MONTH(V1699),"")</f>
        <v/>
      </c>
      <c r="AK1699" s="86" t="str">
        <f>+IF(AG1699=$AK$22,MONTH(V1699),"")</f>
        <v/>
      </c>
      <c r="AL1699" s="86" t="str">
        <f>+IF(AG1699=$AL$22,MONTH(V1699),"")</f>
        <v/>
      </c>
      <c r="AM1699" s="86" t="str">
        <f>+IF($AG1699=$AM$22,MONTH($D1699),"")</f>
        <v/>
      </c>
      <c r="AN1699" s="89" t="str">
        <f>+IF($AG1699=AN$22,MONTH($D1699),"")</f>
        <v/>
      </c>
      <c r="AO1699" s="89">
        <f>+IF($AG1699=AO$22,MONTH($D1699),"")</f>
        <v>4</v>
      </c>
      <c r="AP1699" s="89" t="str">
        <f>+IF($AG1699=AP$22,MONTH($D1699),"")</f>
        <v/>
      </c>
      <c r="AQ1699" s="89" t="str">
        <f>+IF($AG1699=AQ$22,MONTH($D1699),"")</f>
        <v/>
      </c>
      <c r="AR1699" s="89" t="str">
        <f>+IF($AG1699=AR$22,MONTH($D1699),"")</f>
        <v/>
      </c>
      <c r="AS1699" s="89" t="str">
        <f>+IF($AG1699=AS$22,MONTH($D1699),"")</f>
        <v/>
      </c>
      <c r="AT1699" s="89" t="str">
        <f>+IF($AG1699=AT$22,MONTH($D1699),"")</f>
        <v/>
      </c>
      <c r="AU1699" s="89" t="str">
        <f>+IF($AG1699=AU$22,MONTH($D1699),"")</f>
        <v/>
      </c>
      <c r="AV1699" s="89" t="str">
        <f>+IF($AG1699=AV$22,MONTH($D1699),"")</f>
        <v/>
      </c>
      <c r="AW1699" s="86"/>
      <c r="AX1699" s="86"/>
      <c r="AY1699" s="89"/>
      <c r="AZ1699" s="89"/>
      <c r="BA1699" s="89"/>
      <c r="BB1699" s="89"/>
      <c r="BC1699" s="89"/>
      <c r="BD1699" s="89"/>
      <c r="BE1699" s="89"/>
      <c r="BF1699" s="89"/>
      <c r="BG1699" s="89"/>
      <c r="BH1699" s="89"/>
      <c r="BI1699" s="89"/>
      <c r="BJ1699" s="89"/>
      <c r="BK1699" s="89"/>
      <c r="BL1699" s="89"/>
      <c r="BM1699" s="89"/>
      <c r="BN1699" s="89"/>
      <c r="BO1699" s="89"/>
      <c r="BP1699" s="89"/>
    </row>
    <row r="1700" spans="1:68" s="56" customFormat="1" ht="13.5" hidden="1">
      <c r="A1700" s="204">
        <f>+IFERROR(VALUE(MID(AB1700,4,4)),"")</f>
        <v>234</v>
      </c>
      <c r="B1700" s="204">
        <f>VALUE(RIGHT(C1700,LEN(C1700)-2))</f>
        <v>1025</v>
      </c>
      <c r="C1700" s="74" t="s">
        <v>6116</v>
      </c>
      <c r="D1700" s="75">
        <v>43570</v>
      </c>
      <c r="E1700" s="70" t="s">
        <v>277</v>
      </c>
      <c r="F1700" s="70" t="s">
        <v>277</v>
      </c>
      <c r="G1700" s="68" t="s">
        <v>1350</v>
      </c>
      <c r="H1700" s="59"/>
      <c r="I1700" s="69" t="s">
        <v>6117</v>
      </c>
      <c r="J1700" s="69"/>
      <c r="K1700" s="68" t="s">
        <v>13</v>
      </c>
      <c r="L1700" s="69" t="s">
        <v>129</v>
      </c>
      <c r="M1700" s="71" t="s">
        <v>141</v>
      </c>
      <c r="N1700" s="69" t="e" vm="1">
        <v>#VALUE!</v>
      </c>
      <c r="O1700" s="84">
        <v>43579</v>
      </c>
      <c r="P1700" s="72" t="s">
        <v>402</v>
      </c>
      <c r="Q1700" s="72" t="s">
        <v>623</v>
      </c>
      <c r="R1700" s="162"/>
      <c r="S1700" s="146" t="s">
        <v>6118</v>
      </c>
      <c r="T1700" s="68" t="s">
        <v>3</v>
      </c>
      <c r="U1700" s="87"/>
      <c r="V1700" s="75">
        <v>43578</v>
      </c>
      <c r="W1700" s="73">
        <v>9924</v>
      </c>
      <c r="X1700" s="73">
        <f>309051303/1000000</f>
        <v>309.05130300000002</v>
      </c>
      <c r="Y1700" s="83">
        <f>IF(SUM(W1700:W1700)&gt;0,X1700/SUM(W1700:W1700)*1000000,"N/A")</f>
        <v>31141.808041112457</v>
      </c>
      <c r="Z1700" s="75"/>
      <c r="AA1700" s="75"/>
      <c r="AB1700" s="73" t="s">
        <v>5487</v>
      </c>
      <c r="AC1700" s="153"/>
      <c r="AD1700" s="331"/>
      <c r="AE1700" s="57"/>
      <c r="AF1700" s="88"/>
      <c r="AG1700" s="182">
        <v>2020</v>
      </c>
      <c r="AH1700" s="86" t="str">
        <f>+IF(AE1700=$AJ$22,MONTH(T1700),"")</f>
        <v/>
      </c>
      <c r="AI1700" s="86" t="str">
        <f>+IF(AF1700=$AJ$22,MONTH(U1700),"")</f>
        <v/>
      </c>
      <c r="AJ1700" s="86" t="str">
        <f>+IF(AG1700=$AJ$22,MONTH(V1700),"")</f>
        <v/>
      </c>
      <c r="AK1700" s="86" t="str">
        <f>+IF(AG1700=$AK$22,MONTH(V1700),"")</f>
        <v/>
      </c>
      <c r="AL1700" s="86" t="str">
        <f>+IF(AG1700=$AL$22,MONTH(V1700),"")</f>
        <v/>
      </c>
      <c r="AM1700" s="86" t="str">
        <f>+IF($AG1700=$AM$22,MONTH($D1700),"")</f>
        <v/>
      </c>
      <c r="AN1700" s="89">
        <f>+IF($AG1700=AN$22,MONTH($D1700),"")</f>
        <v>4</v>
      </c>
      <c r="AO1700" s="89" t="str">
        <f>+IF($AG1700=AO$22,MONTH($D1700),"")</f>
        <v/>
      </c>
      <c r="AP1700" s="89" t="str">
        <f>+IF($AG1700=AP$22,MONTH($D1700),"")</f>
        <v/>
      </c>
      <c r="AQ1700" s="89" t="str">
        <f>+IF($AG1700=AQ$22,MONTH($D1700),"")</f>
        <v/>
      </c>
      <c r="AR1700" s="89" t="str">
        <f>+IF($AG1700=AR$22,MONTH($D1700),"")</f>
        <v/>
      </c>
      <c r="AS1700" s="89" t="str">
        <f>+IF($AG1700=AS$22,MONTH($D1700),"")</f>
        <v/>
      </c>
      <c r="AT1700" s="89" t="str">
        <f>+IF($AG1700=AT$22,MONTH($D1700),"")</f>
        <v/>
      </c>
      <c r="AU1700" s="89" t="str">
        <f>+IF($AG1700=AU$22,MONTH($D1700),"")</f>
        <v/>
      </c>
      <c r="AV1700" s="89" t="str">
        <f>+IF($AG1700=AV$22,MONTH($D1700),"")</f>
        <v/>
      </c>
      <c r="AW1700" s="86"/>
      <c r="AX1700" s="86"/>
      <c r="AY1700" s="89"/>
      <c r="AZ1700" s="89"/>
      <c r="BA1700" s="89"/>
      <c r="BB1700" s="89"/>
      <c r="BC1700" s="89"/>
      <c r="BD1700" s="89"/>
      <c r="BE1700" s="89"/>
      <c r="BF1700" s="89"/>
      <c r="BG1700" s="89"/>
      <c r="BH1700" s="89"/>
      <c r="BI1700" s="89"/>
      <c r="BJ1700" s="89"/>
      <c r="BK1700" s="89"/>
      <c r="BL1700" s="89"/>
      <c r="BM1700" s="89"/>
      <c r="BN1700" s="89"/>
      <c r="BO1700" s="89"/>
      <c r="BP1700" s="89"/>
    </row>
    <row r="1701" spans="1:68" s="56" customFormat="1" ht="27" hidden="1">
      <c r="A1701" s="204" t="str">
        <f>+IFERROR(VALUE(MID(AB1701,4,4)),"")</f>
        <v/>
      </c>
      <c r="B1701" s="204">
        <f>VALUE(RIGHT(C1701,LEN(C1701)-2))</f>
        <v>1024</v>
      </c>
      <c r="C1701" s="74" t="s">
        <v>6119</v>
      </c>
      <c r="D1701" s="75">
        <v>43566</v>
      </c>
      <c r="E1701" s="70" t="s">
        <v>53</v>
      </c>
      <c r="F1701" s="70" t="s">
        <v>630</v>
      </c>
      <c r="G1701" s="68"/>
      <c r="H1701" s="59"/>
      <c r="I1701" s="69" t="s">
        <v>6120</v>
      </c>
      <c r="J1701" s="69"/>
      <c r="K1701" s="68" t="s">
        <v>11</v>
      </c>
      <c r="L1701" s="69" t="s">
        <v>123</v>
      </c>
      <c r="M1701" s="71" t="s">
        <v>141</v>
      </c>
      <c r="N1701" s="69" t="e" vm="1">
        <v>#VALUE!</v>
      </c>
      <c r="O1701" s="84">
        <v>43591</v>
      </c>
      <c r="P1701" s="72" t="s">
        <v>4567</v>
      </c>
      <c r="Q1701" s="72"/>
      <c r="R1701" s="162"/>
      <c r="S1701" s="146" t="s">
        <v>5997</v>
      </c>
      <c r="T1701" s="68" t="s">
        <v>165</v>
      </c>
      <c r="U1701" s="87"/>
      <c r="V1701" s="75">
        <v>43591</v>
      </c>
      <c r="W1701" s="73">
        <v>1</v>
      </c>
      <c r="X1701" s="73"/>
      <c r="Y1701" s="83">
        <f>IF(SUM(W1701:W1701)&gt;0,X1701/SUM(W1701:W1701)*1000000,"N/A")</f>
        <v>0</v>
      </c>
      <c r="Z1701" s="75"/>
      <c r="AA1701" s="75"/>
      <c r="AB1701" s="73"/>
      <c r="AC1701" s="153"/>
      <c r="AD1701" s="331"/>
      <c r="AE1701" s="57"/>
      <c r="AF1701" s="88"/>
      <c r="AG1701" s="182">
        <f>YEAR(D1701)</f>
        <v>2019</v>
      </c>
      <c r="AH1701" s="86" t="str">
        <f>+IF(AE1701=$AJ$22,MONTH(T1701),"")</f>
        <v/>
      </c>
      <c r="AI1701" s="86" t="str">
        <f>+IF(AF1701=$AJ$22,MONTH(U1701),"")</f>
        <v/>
      </c>
      <c r="AJ1701" s="86" t="str">
        <f>+IF(AG1701=$AJ$22,MONTH(V1701),"")</f>
        <v/>
      </c>
      <c r="AK1701" s="86" t="str">
        <f>+IF(AG1701=$AK$22,MONTH(V1701),"")</f>
        <v/>
      </c>
      <c r="AL1701" s="86" t="str">
        <f>+IF(AG1701=$AL$22,MONTH(V1701),"")</f>
        <v/>
      </c>
      <c r="AM1701" s="86" t="str">
        <f>+IF($AG1701=$AM$22,MONTH($D1701),"")</f>
        <v/>
      </c>
      <c r="AN1701" s="89" t="str">
        <f>+IF($AG1701=AN$22,MONTH($D1701),"")</f>
        <v/>
      </c>
      <c r="AO1701" s="89">
        <f>+IF($AG1701=AO$22,MONTH($D1701),"")</f>
        <v>4</v>
      </c>
      <c r="AP1701" s="89" t="str">
        <f>+IF($AG1701=AP$22,MONTH($D1701),"")</f>
        <v/>
      </c>
      <c r="AQ1701" s="89" t="str">
        <f>+IF($AG1701=AQ$22,MONTH($D1701),"")</f>
        <v/>
      </c>
      <c r="AR1701" s="89" t="str">
        <f>+IF($AG1701=AR$22,MONTH($D1701),"")</f>
        <v/>
      </c>
      <c r="AS1701" s="89" t="str">
        <f>+IF($AG1701=AS$22,MONTH($D1701),"")</f>
        <v/>
      </c>
      <c r="AT1701" s="89" t="str">
        <f>+IF($AG1701=AT$22,MONTH($D1701),"")</f>
        <v/>
      </c>
      <c r="AU1701" s="89" t="str">
        <f>+IF($AG1701=AU$22,MONTH($D1701),"")</f>
        <v/>
      </c>
      <c r="AV1701" s="89" t="str">
        <f>+IF($AG1701=AV$22,MONTH($D1701),"")</f>
        <v/>
      </c>
      <c r="AW1701" s="86"/>
      <c r="AX1701" s="86"/>
      <c r="AY1701" s="89"/>
      <c r="AZ1701" s="89"/>
      <c r="BA1701" s="89"/>
      <c r="BB1701" s="89"/>
      <c r="BC1701" s="89"/>
      <c r="BD1701" s="89"/>
      <c r="BE1701" s="89"/>
      <c r="BF1701" s="89"/>
      <c r="BG1701" s="89"/>
      <c r="BH1701" s="89"/>
      <c r="BI1701" s="89"/>
      <c r="BJ1701" s="89"/>
      <c r="BK1701" s="89"/>
      <c r="BL1701" s="89"/>
      <c r="BM1701" s="89"/>
      <c r="BN1701" s="89"/>
      <c r="BO1701" s="89"/>
      <c r="BP1701" s="89"/>
    </row>
    <row r="1702" spans="1:68" s="56" customFormat="1" ht="27" hidden="1">
      <c r="A1702" s="204" t="str">
        <f>+IFERROR(VALUE(MID(AB1702,4,4)),"")</f>
        <v/>
      </c>
      <c r="B1702" s="204">
        <f>VALUE(RIGHT(C1702,LEN(C1702)-2))</f>
        <v>1023</v>
      </c>
      <c r="C1702" s="74" t="s">
        <v>6121</v>
      </c>
      <c r="D1702" s="75">
        <v>43566</v>
      </c>
      <c r="E1702" s="70" t="s">
        <v>4114</v>
      </c>
      <c r="F1702" s="70" t="s">
        <v>4114</v>
      </c>
      <c r="G1702" s="68"/>
      <c r="H1702" s="59"/>
      <c r="I1702" s="69" t="s">
        <v>6122</v>
      </c>
      <c r="J1702" s="69"/>
      <c r="K1702" s="68" t="s">
        <v>11</v>
      </c>
      <c r="L1702" s="69" t="s">
        <v>129</v>
      </c>
      <c r="M1702" s="71" t="s">
        <v>141</v>
      </c>
      <c r="N1702" s="69" t="e" vm="1">
        <v>#VALUE!</v>
      </c>
      <c r="O1702" s="84">
        <v>43570</v>
      </c>
      <c r="P1702" s="72" t="s">
        <v>5223</v>
      </c>
      <c r="Q1702" s="72"/>
      <c r="R1702" s="162"/>
      <c r="S1702" s="146" t="s">
        <v>6123</v>
      </c>
      <c r="T1702" s="68" t="s">
        <v>155</v>
      </c>
      <c r="U1702" s="87"/>
      <c r="V1702" s="80">
        <v>43570</v>
      </c>
      <c r="W1702" s="73">
        <v>4826</v>
      </c>
      <c r="X1702" s="73">
        <f>6154*27639.18/1000000</f>
        <v>170.09151371999999</v>
      </c>
      <c r="Y1702" s="83">
        <f>IF(SUM(W1702:W1702)&gt;0,X1702/SUM(W1702:W1702)*1000000,"N/A")</f>
        <v>35244.822569415664</v>
      </c>
      <c r="Z1702" s="80"/>
      <c r="AA1702" s="80"/>
      <c r="AB1702" s="73"/>
      <c r="AC1702" s="153"/>
      <c r="AD1702" s="331"/>
      <c r="AE1702" s="57"/>
      <c r="AF1702" s="88"/>
      <c r="AG1702" s="182">
        <f>YEAR(D1702)</f>
        <v>2019</v>
      </c>
      <c r="AH1702" s="86" t="str">
        <f>+IF(AE1702=$AJ$22,MONTH(T1702),"")</f>
        <v/>
      </c>
      <c r="AI1702" s="86" t="str">
        <f>+IF(AF1702=$AJ$22,MONTH(U1702),"")</f>
        <v/>
      </c>
      <c r="AJ1702" s="86" t="str">
        <f>+IF(AG1702=$AJ$22,MONTH(V1702),"")</f>
        <v/>
      </c>
      <c r="AK1702" s="86" t="str">
        <f>+IF(AG1702=$AK$22,MONTH(V1702),"")</f>
        <v/>
      </c>
      <c r="AL1702" s="86" t="str">
        <f>+IF(AG1702=$AL$22,MONTH(V1702),"")</f>
        <v/>
      </c>
      <c r="AM1702" s="86" t="str">
        <f>+IF($AG1702=$AM$22,MONTH($D1702),"")</f>
        <v/>
      </c>
      <c r="AN1702" s="89" t="str">
        <f>+IF($AG1702=AN$22,MONTH($D1702),"")</f>
        <v/>
      </c>
      <c r="AO1702" s="89">
        <f>+IF($AG1702=AO$22,MONTH($D1702),"")</f>
        <v>4</v>
      </c>
      <c r="AP1702" s="89" t="str">
        <f>+IF($AG1702=AP$22,MONTH($D1702),"")</f>
        <v/>
      </c>
      <c r="AQ1702" s="89" t="str">
        <f>+IF($AG1702=AQ$22,MONTH($D1702),"")</f>
        <v/>
      </c>
      <c r="AR1702" s="89" t="str">
        <f>+IF($AG1702=AR$22,MONTH($D1702),"")</f>
        <v/>
      </c>
      <c r="AS1702" s="89" t="str">
        <f>+IF($AG1702=AS$22,MONTH($D1702),"")</f>
        <v/>
      </c>
      <c r="AT1702" s="89" t="str">
        <f>+IF($AG1702=AT$22,MONTH($D1702),"")</f>
        <v/>
      </c>
      <c r="AU1702" s="89" t="str">
        <f>+IF($AG1702=AU$22,MONTH($D1702),"")</f>
        <v/>
      </c>
      <c r="AV1702" s="89" t="str">
        <f>+IF($AG1702=AV$22,MONTH($D1702),"")</f>
        <v/>
      </c>
      <c r="AW1702" s="86" t="str">
        <f>+IF($AG1702=AW$22,MONTH($D1702),"")</f>
        <v/>
      </c>
      <c r="AX1702" s="86" t="str">
        <f>+IF($AG1702=AX$22,MONTH($D1702),"")</f>
        <v/>
      </c>
      <c r="AY1702" s="182"/>
      <c r="AZ1702" s="182"/>
      <c r="BA1702" s="182"/>
      <c r="BB1702" s="182"/>
      <c r="BC1702" s="182"/>
      <c r="BD1702" s="182"/>
      <c r="BE1702" s="182"/>
      <c r="BF1702" s="182"/>
      <c r="BG1702" s="182"/>
      <c r="BH1702" s="182"/>
      <c r="BI1702" s="182"/>
      <c r="BJ1702" s="89"/>
      <c r="BK1702" s="89"/>
      <c r="BL1702" s="89"/>
      <c r="BM1702" s="89"/>
      <c r="BN1702" s="89"/>
      <c r="BO1702" s="89"/>
      <c r="BP1702" s="89"/>
    </row>
    <row r="1703" spans="1:68" s="56" customFormat="1" ht="27" hidden="1">
      <c r="A1703" s="204" t="str">
        <f>+IFERROR(VALUE(MID(AB1703,4,4)),"")</f>
        <v/>
      </c>
      <c r="B1703" s="204">
        <f>VALUE(RIGHT(C1703,LEN(C1703)-2))</f>
        <v>1022</v>
      </c>
      <c r="C1703" s="74" t="s">
        <v>6124</v>
      </c>
      <c r="D1703" s="75">
        <v>43558</v>
      </c>
      <c r="E1703" s="70" t="s">
        <v>6125</v>
      </c>
      <c r="F1703" s="70" t="s">
        <v>6126</v>
      </c>
      <c r="G1703" s="68"/>
      <c r="H1703" s="59"/>
      <c r="I1703" s="69" t="s">
        <v>6127</v>
      </c>
      <c r="J1703" s="69"/>
      <c r="K1703" s="68" t="s">
        <v>13</v>
      </c>
      <c r="L1703" s="69" t="s">
        <v>123</v>
      </c>
      <c r="M1703" s="71" t="s">
        <v>113</v>
      </c>
      <c r="N1703" s="69" t="e" vm="4">
        <v>#VALUE!</v>
      </c>
      <c r="O1703" s="84"/>
      <c r="P1703" s="72" t="s">
        <v>4567</v>
      </c>
      <c r="Q1703" s="72"/>
      <c r="R1703" s="162"/>
      <c r="S1703" s="146" t="s">
        <v>6128</v>
      </c>
      <c r="T1703" s="68" t="s">
        <v>165</v>
      </c>
      <c r="U1703" s="87"/>
      <c r="V1703" s="80"/>
      <c r="W1703" s="73">
        <v>15622</v>
      </c>
      <c r="X1703" s="73">
        <f>2106710*672.83/1000000</f>
        <v>1417.4576893000001</v>
      </c>
      <c r="Y1703" s="83">
        <f>IF(SUM(W1703:W1703)&gt;0,X1703/SUM(W1703:W1703)*1000000,"N/A")</f>
        <v>90734.71318013058</v>
      </c>
      <c r="Z1703" s="80"/>
      <c r="AA1703" s="80"/>
      <c r="AB1703" s="73"/>
      <c r="AC1703" s="153"/>
      <c r="AD1703" s="331"/>
      <c r="AE1703" s="57"/>
      <c r="AF1703" s="88"/>
      <c r="AG1703" s="182">
        <f>YEAR(D1703)</f>
        <v>2019</v>
      </c>
      <c r="AH1703" s="86" t="str">
        <f>+IF(AE1703=$AJ$22,MONTH(T1703),"")</f>
        <v/>
      </c>
      <c r="AI1703" s="86" t="str">
        <f>+IF(AF1703=$AJ$22,MONTH(U1703),"")</f>
        <v/>
      </c>
      <c r="AJ1703" s="86" t="str">
        <f>+IF(AG1703=$AJ$22,MONTH(V1703),"")</f>
        <v/>
      </c>
      <c r="AK1703" s="86" t="str">
        <f>+IF(AG1703=$AK$22,MONTH(V1703),"")</f>
        <v/>
      </c>
      <c r="AL1703" s="86" t="str">
        <f>+IF(AG1703=$AL$22,MONTH(V1703),"")</f>
        <v/>
      </c>
      <c r="AM1703" s="86" t="str">
        <f>+IF($AG1703=$AM$22,MONTH($D1703),"")</f>
        <v/>
      </c>
      <c r="AN1703" s="89" t="str">
        <f>+IF($AG1703=AN$22,MONTH($D1703),"")</f>
        <v/>
      </c>
      <c r="AO1703" s="89">
        <f>+IF($AG1703=AO$22,MONTH($D1703),"")</f>
        <v>4</v>
      </c>
      <c r="AP1703" s="89" t="str">
        <f>+IF($AG1703=AP$22,MONTH($D1703),"")</f>
        <v/>
      </c>
      <c r="AQ1703" s="89" t="str">
        <f>+IF($AG1703=AQ$22,MONTH($D1703),"")</f>
        <v/>
      </c>
      <c r="AR1703" s="89" t="str">
        <f>+IF($AG1703=AR$22,MONTH($D1703),"")</f>
        <v/>
      </c>
      <c r="AS1703" s="89" t="str">
        <f>+IF($AG1703=AS$22,MONTH($D1703),"")</f>
        <v/>
      </c>
      <c r="AT1703" s="89" t="str">
        <f>+IF($AG1703=AT$22,MONTH($D1703),"")</f>
        <v/>
      </c>
      <c r="AU1703" s="89" t="str">
        <f>+IF($AG1703=AU$22,MONTH($D1703),"")</f>
        <v/>
      </c>
      <c r="AV1703" s="89" t="str">
        <f>+IF($AG1703=AV$22,MONTH($D1703),"")</f>
        <v/>
      </c>
      <c r="AW1703" s="86"/>
      <c r="AX1703" s="86"/>
      <c r="AY1703" s="89"/>
      <c r="AZ1703" s="89"/>
      <c r="BA1703" s="89"/>
      <c r="BB1703" s="89"/>
      <c r="BC1703" s="89"/>
      <c r="BD1703" s="89"/>
      <c r="BE1703" s="89"/>
      <c r="BF1703" s="89"/>
      <c r="BG1703" s="89"/>
      <c r="BH1703" s="89"/>
      <c r="BI1703" s="89"/>
      <c r="BJ1703" s="89"/>
      <c r="BK1703" s="89"/>
      <c r="BL1703" s="89"/>
      <c r="BM1703" s="89"/>
      <c r="BN1703" s="89"/>
      <c r="BO1703" s="89"/>
      <c r="BP1703" s="89"/>
    </row>
    <row r="1704" spans="1:68" s="56" customFormat="1" ht="13.5" hidden="1">
      <c r="A1704" s="204">
        <f>+IFERROR(VALUE(MID(AB1704,4,4)),"")</f>
        <v>212</v>
      </c>
      <c r="B1704" s="204">
        <f>VALUE(RIGHT(C1704,LEN(C1704)-2))</f>
        <v>1021</v>
      </c>
      <c r="C1704" s="74" t="s">
        <v>6129</v>
      </c>
      <c r="D1704" s="75">
        <v>43556</v>
      </c>
      <c r="E1704" s="70" t="s">
        <v>99</v>
      </c>
      <c r="F1704" s="70" t="s">
        <v>99</v>
      </c>
      <c r="G1704" s="68"/>
      <c r="H1704" s="59"/>
      <c r="I1704" s="69" t="s">
        <v>6130</v>
      </c>
      <c r="J1704" s="69"/>
      <c r="K1704" s="68" t="s">
        <v>12</v>
      </c>
      <c r="L1704" s="69" t="s">
        <v>120</v>
      </c>
      <c r="M1704" s="71" t="s">
        <v>141</v>
      </c>
      <c r="N1704" s="69" t="e" vm="1">
        <v>#VALUE!</v>
      </c>
      <c r="O1704" s="84">
        <v>43525</v>
      </c>
      <c r="P1704" s="72" t="s">
        <v>4567</v>
      </c>
      <c r="Q1704" s="72" t="s">
        <v>1097</v>
      </c>
      <c r="R1704" s="162"/>
      <c r="S1704" s="146"/>
      <c r="T1704" s="68" t="s">
        <v>3</v>
      </c>
      <c r="U1704" s="87"/>
      <c r="V1704" s="183">
        <v>43525</v>
      </c>
      <c r="W1704" s="73">
        <f>17087250/40000</f>
        <v>427.18124999999998</v>
      </c>
      <c r="X1704" s="73">
        <f>25000*670/1000000</f>
        <v>16.75</v>
      </c>
      <c r="Y1704" s="83">
        <f>IF(SUM(W1704:W1704)&gt;0,X1704/SUM(W1704:W1704)*1000000,"N/A")</f>
        <v>39210.522465581067</v>
      </c>
      <c r="Z1704" s="75"/>
      <c r="AA1704" s="75"/>
      <c r="AB1704" s="73" t="s">
        <v>6131</v>
      </c>
      <c r="AC1704" s="153"/>
      <c r="AD1704" s="331"/>
      <c r="AE1704" s="57"/>
      <c r="AF1704" s="88"/>
      <c r="AG1704" s="182">
        <f>YEAR(D1704)</f>
        <v>2019</v>
      </c>
      <c r="AH1704" s="86" t="str">
        <f>+IF(AE1704=$AJ$22,MONTH(T1704),"")</f>
        <v/>
      </c>
      <c r="AI1704" s="86" t="str">
        <f>+IF(AF1704=$AJ$22,MONTH(U1704),"")</f>
        <v/>
      </c>
      <c r="AJ1704" s="86" t="str">
        <f>+IF(AG1704=$AJ$22,MONTH(V1704),"")</f>
        <v/>
      </c>
      <c r="AK1704" s="86" t="str">
        <f>+IF(AG1704=$AK$22,MONTH(V1704),"")</f>
        <v/>
      </c>
      <c r="AL1704" s="86" t="str">
        <f>+IF(AG1704=$AL$22,MONTH(V1704),"")</f>
        <v/>
      </c>
      <c r="AM1704" s="86" t="str">
        <f>+IF($AG1704=$AM$22,MONTH($D1704),"")</f>
        <v/>
      </c>
      <c r="AN1704" s="89" t="str">
        <f>+IF($AG1704=AN$22,MONTH($D1704),"")</f>
        <v/>
      </c>
      <c r="AO1704" s="89">
        <f>+IF($AG1704=AO$22,MONTH($D1704),"")</f>
        <v>4</v>
      </c>
      <c r="AP1704" s="89" t="str">
        <f>+IF($AG1704=AP$22,MONTH($D1704),"")</f>
        <v/>
      </c>
      <c r="AQ1704" s="89" t="str">
        <f>+IF($AG1704=AQ$22,MONTH($D1704),"")</f>
        <v/>
      </c>
      <c r="AR1704" s="89" t="str">
        <f>+IF($AG1704=AR$22,MONTH($D1704),"")</f>
        <v/>
      </c>
      <c r="AS1704" s="89" t="str">
        <f>+IF($AG1704=AS$22,MONTH($D1704),"")</f>
        <v/>
      </c>
      <c r="AT1704" s="89" t="str">
        <f>+IF($AG1704=AT$22,MONTH($D1704),"")</f>
        <v/>
      </c>
      <c r="AU1704" s="89" t="str">
        <f>+IF($AG1704=AU$22,MONTH($D1704),"")</f>
        <v/>
      </c>
      <c r="AV1704" s="89" t="str">
        <f>+IF($AG1704=AV$22,MONTH($D1704),"")</f>
        <v/>
      </c>
      <c r="AW1704" s="86"/>
      <c r="AX1704" s="86"/>
      <c r="AY1704" s="89"/>
      <c r="AZ1704" s="89"/>
      <c r="BA1704" s="89"/>
      <c r="BB1704" s="89"/>
      <c r="BC1704" s="89"/>
      <c r="BD1704" s="89"/>
      <c r="BE1704" s="89"/>
      <c r="BF1704" s="89"/>
      <c r="BG1704" s="89"/>
      <c r="BH1704" s="89"/>
      <c r="BI1704" s="89"/>
      <c r="BJ1704" s="89"/>
      <c r="BK1704" s="89"/>
      <c r="BL1704" s="89"/>
      <c r="BM1704" s="89"/>
      <c r="BN1704" s="89"/>
      <c r="BO1704" s="89"/>
      <c r="BP1704" s="89"/>
    </row>
    <row r="1705" spans="1:68" s="56" customFormat="1" ht="27" hidden="1">
      <c r="A1705" s="204" t="str">
        <f>+IFERROR(VALUE(MID(AB1705,4,4)),"")</f>
        <v/>
      </c>
      <c r="B1705" s="204">
        <f>VALUE(RIGHT(C1705,LEN(C1705)-2))</f>
        <v>1020</v>
      </c>
      <c r="C1705" s="74" t="s">
        <v>6132</v>
      </c>
      <c r="D1705" s="75">
        <v>43556</v>
      </c>
      <c r="E1705" s="70" t="s">
        <v>53</v>
      </c>
      <c r="F1705" s="70" t="s">
        <v>630</v>
      </c>
      <c r="G1705" s="68"/>
      <c r="H1705" s="59"/>
      <c r="I1705" s="69" t="s">
        <v>6133</v>
      </c>
      <c r="J1705" s="69"/>
      <c r="K1705" s="68" t="s">
        <v>11</v>
      </c>
      <c r="L1705" s="69" t="s">
        <v>123</v>
      </c>
      <c r="M1705" s="71" t="s">
        <v>141</v>
      </c>
      <c r="N1705" s="69" t="e" vm="1">
        <v>#VALUE!</v>
      </c>
      <c r="O1705" s="84">
        <v>43594</v>
      </c>
      <c r="P1705" s="72" t="s">
        <v>6134</v>
      </c>
      <c r="Q1705" s="72"/>
      <c r="R1705" s="162"/>
      <c r="S1705" s="146" t="s">
        <v>5997</v>
      </c>
      <c r="T1705" s="68" t="s">
        <v>165</v>
      </c>
      <c r="U1705" s="87"/>
      <c r="V1705" s="75">
        <v>43594</v>
      </c>
      <c r="W1705" s="73">
        <v>1</v>
      </c>
      <c r="X1705" s="73"/>
      <c r="Y1705" s="83">
        <f>IF(SUM(W1705:W1705)&gt;0,X1705/SUM(W1705:W1705)*1000000,"N/A")</f>
        <v>0</v>
      </c>
      <c r="Z1705" s="75"/>
      <c r="AA1705" s="75"/>
      <c r="AB1705" s="73"/>
      <c r="AC1705" s="153"/>
      <c r="AD1705" s="331"/>
      <c r="AE1705" s="57"/>
      <c r="AF1705" s="88"/>
      <c r="AG1705" s="182">
        <f>YEAR(D1705)</f>
        <v>2019</v>
      </c>
      <c r="AH1705" s="86" t="str">
        <f>+IF(AE1705=$AJ$22,MONTH(T1705),"")</f>
        <v/>
      </c>
      <c r="AI1705" s="86" t="str">
        <f>+IF(AF1705=$AJ$22,MONTH(U1705),"")</f>
        <v/>
      </c>
      <c r="AJ1705" s="86" t="str">
        <f>+IF(AG1705=$AJ$22,MONTH(V1705),"")</f>
        <v/>
      </c>
      <c r="AK1705" s="86" t="str">
        <f>+IF(AG1705=$AK$22,MONTH(V1705),"")</f>
        <v/>
      </c>
      <c r="AL1705" s="86" t="str">
        <f>+IF(AG1705=$AL$22,MONTH(V1705),"")</f>
        <v/>
      </c>
      <c r="AM1705" s="86" t="str">
        <f>+IF($AG1705=$AM$22,MONTH($D1705),"")</f>
        <v/>
      </c>
      <c r="AN1705" s="89" t="str">
        <f>+IF($AG1705=AN$22,MONTH($D1705),"")</f>
        <v/>
      </c>
      <c r="AO1705" s="89">
        <f>+IF($AG1705=AO$22,MONTH($D1705),"")</f>
        <v>4</v>
      </c>
      <c r="AP1705" s="89" t="str">
        <f>+IF($AG1705=AP$22,MONTH($D1705),"")</f>
        <v/>
      </c>
      <c r="AQ1705" s="89" t="str">
        <f>+IF($AG1705=AQ$22,MONTH($D1705),"")</f>
        <v/>
      </c>
      <c r="AR1705" s="89" t="str">
        <f>+IF($AG1705=AR$22,MONTH($D1705),"")</f>
        <v/>
      </c>
      <c r="AS1705" s="89" t="str">
        <f>+IF($AG1705=AS$22,MONTH($D1705),"")</f>
        <v/>
      </c>
      <c r="AT1705" s="89" t="str">
        <f>+IF($AG1705=AT$22,MONTH($D1705),"")</f>
        <v/>
      </c>
      <c r="AU1705" s="89" t="str">
        <f>+IF($AG1705=AU$22,MONTH($D1705),"")</f>
        <v/>
      </c>
      <c r="AV1705" s="89" t="str">
        <f>+IF($AG1705=AV$22,MONTH($D1705),"")</f>
        <v/>
      </c>
      <c r="AW1705" s="86"/>
      <c r="AX1705" s="86"/>
      <c r="AY1705" s="89"/>
      <c r="AZ1705" s="89"/>
      <c r="BA1705" s="89"/>
      <c r="BB1705" s="89"/>
      <c r="BC1705" s="89"/>
      <c r="BD1705" s="89"/>
      <c r="BE1705" s="89"/>
      <c r="BF1705" s="89"/>
      <c r="BG1705" s="89"/>
      <c r="BH1705" s="89"/>
      <c r="BI1705" s="89"/>
      <c r="BJ1705" s="89"/>
      <c r="BK1705" s="89"/>
      <c r="BL1705" s="89"/>
      <c r="BM1705" s="89"/>
      <c r="BN1705" s="89"/>
      <c r="BO1705" s="89"/>
      <c r="BP1705" s="89"/>
    </row>
    <row r="1706" spans="1:68" s="56" customFormat="1" ht="27" hidden="1">
      <c r="A1706" s="204" t="str">
        <f>+IFERROR(VALUE(MID(AB1706,4,4)),"")</f>
        <v/>
      </c>
      <c r="B1706" s="204">
        <f>VALUE(RIGHT(C1706,LEN(C1706)-2))</f>
        <v>1019</v>
      </c>
      <c r="C1706" s="74" t="s">
        <v>6135</v>
      </c>
      <c r="D1706" s="75">
        <v>43556</v>
      </c>
      <c r="E1706" s="70" t="s">
        <v>53</v>
      </c>
      <c r="F1706" s="70" t="s">
        <v>313</v>
      </c>
      <c r="G1706" s="68"/>
      <c r="H1706" s="59"/>
      <c r="I1706" s="69" t="s">
        <v>6136</v>
      </c>
      <c r="J1706" s="69"/>
      <c r="K1706" s="68" t="s">
        <v>11</v>
      </c>
      <c r="L1706" s="69" t="s">
        <v>123</v>
      </c>
      <c r="M1706" s="71" t="s">
        <v>141</v>
      </c>
      <c r="N1706" s="69" t="e" vm="1">
        <v>#VALUE!</v>
      </c>
      <c r="O1706" s="84">
        <v>43567</v>
      </c>
      <c r="P1706" s="72" t="s">
        <v>6134</v>
      </c>
      <c r="Q1706" s="72"/>
      <c r="R1706" s="162"/>
      <c r="S1706" s="146" t="s">
        <v>6137</v>
      </c>
      <c r="T1706" s="68" t="s">
        <v>165</v>
      </c>
      <c r="U1706" s="87"/>
      <c r="V1706" s="80">
        <v>43570</v>
      </c>
      <c r="W1706" s="73">
        <v>1</v>
      </c>
      <c r="X1706" s="73"/>
      <c r="Y1706" s="83">
        <f>IF(SUM(W1706:W1706)&gt;0,X1706/SUM(W1706:W1706)*1000000,"N/A")</f>
        <v>0</v>
      </c>
      <c r="Z1706" s="80"/>
      <c r="AA1706" s="80"/>
      <c r="AB1706" s="73"/>
      <c r="AC1706" s="153"/>
      <c r="AD1706" s="331"/>
      <c r="AE1706" s="57"/>
      <c r="AF1706" s="88"/>
      <c r="AG1706" s="182">
        <f>YEAR(D1706)</f>
        <v>2019</v>
      </c>
      <c r="AH1706" s="86" t="str">
        <f>+IF(AE1706=$AJ$22,MONTH(T1706),"")</f>
        <v/>
      </c>
      <c r="AI1706" s="86" t="str">
        <f>+IF(AF1706=$AJ$22,MONTH(U1706),"")</f>
        <v/>
      </c>
      <c r="AJ1706" s="86" t="str">
        <f>+IF(AG1706=$AJ$22,MONTH(V1706),"")</f>
        <v/>
      </c>
      <c r="AK1706" s="86" t="str">
        <f>+IF(AG1706=$AK$22,MONTH(V1706),"")</f>
        <v/>
      </c>
      <c r="AL1706" s="86" t="str">
        <f>+IF(AG1706=$AL$22,MONTH(V1706),"")</f>
        <v/>
      </c>
      <c r="AM1706" s="86" t="str">
        <f>+IF($AG1706=$AM$22,MONTH($D1706),"")</f>
        <v/>
      </c>
      <c r="AN1706" s="89" t="str">
        <f>+IF($AG1706=AN$22,MONTH($D1706),"")</f>
        <v/>
      </c>
      <c r="AO1706" s="89">
        <f>+IF($AG1706=AO$22,MONTH($D1706),"")</f>
        <v>4</v>
      </c>
      <c r="AP1706" s="89" t="str">
        <f>+IF($AG1706=AP$22,MONTH($D1706),"")</f>
        <v/>
      </c>
      <c r="AQ1706" s="89" t="str">
        <f>+IF($AG1706=AQ$22,MONTH($D1706),"")</f>
        <v/>
      </c>
      <c r="AR1706" s="89" t="str">
        <f>+IF($AG1706=AR$22,MONTH($D1706),"")</f>
        <v/>
      </c>
      <c r="AS1706" s="89" t="str">
        <f>+IF($AG1706=AS$22,MONTH($D1706),"")</f>
        <v/>
      </c>
      <c r="AT1706" s="89" t="str">
        <f>+IF($AG1706=AT$22,MONTH($D1706),"")</f>
        <v/>
      </c>
      <c r="AU1706" s="89" t="str">
        <f>+IF($AG1706=AU$22,MONTH($D1706),"")</f>
        <v/>
      </c>
      <c r="AV1706" s="89" t="str">
        <f>+IF($AG1706=AV$22,MONTH($D1706),"")</f>
        <v/>
      </c>
      <c r="AW1706" s="86"/>
      <c r="AX1706" s="86"/>
      <c r="AY1706" s="89"/>
      <c r="AZ1706" s="89"/>
      <c r="BA1706" s="89"/>
      <c r="BB1706" s="89"/>
      <c r="BC1706" s="89"/>
      <c r="BD1706" s="89"/>
      <c r="BE1706" s="89"/>
      <c r="BF1706" s="89"/>
      <c r="BG1706" s="89"/>
      <c r="BH1706" s="89"/>
      <c r="BI1706" s="89"/>
      <c r="BJ1706" s="89"/>
      <c r="BK1706" s="89"/>
      <c r="BL1706" s="89"/>
      <c r="BM1706" s="89"/>
      <c r="BN1706" s="89"/>
      <c r="BO1706" s="89"/>
      <c r="BP1706" s="89"/>
    </row>
    <row r="1707" spans="1:68" s="56" customFormat="1" ht="13.5" hidden="1">
      <c r="A1707" s="204" t="str">
        <f>+IFERROR(VALUE(MID(AB1707,4,4)),"")</f>
        <v/>
      </c>
      <c r="B1707" s="204">
        <f>VALUE(RIGHT(C1707,LEN(C1707)-2))</f>
        <v>1018</v>
      </c>
      <c r="C1707" s="74" t="s">
        <v>6138</v>
      </c>
      <c r="D1707" s="75">
        <v>43556</v>
      </c>
      <c r="E1707" s="70" t="s">
        <v>53</v>
      </c>
      <c r="F1707" s="70" t="s">
        <v>313</v>
      </c>
      <c r="G1707" s="68"/>
      <c r="H1707" s="59"/>
      <c r="I1707" s="69" t="s">
        <v>6139</v>
      </c>
      <c r="J1707" s="69"/>
      <c r="K1707" s="68" t="s">
        <v>11</v>
      </c>
      <c r="L1707" s="69" t="s">
        <v>123</v>
      </c>
      <c r="M1707" s="71" t="s">
        <v>141</v>
      </c>
      <c r="N1707" s="69" t="e" vm="1">
        <v>#VALUE!</v>
      </c>
      <c r="O1707" s="84">
        <v>43567</v>
      </c>
      <c r="P1707" s="72" t="s">
        <v>6134</v>
      </c>
      <c r="Q1707" s="72"/>
      <c r="R1707" s="162"/>
      <c r="S1707" s="146" t="s">
        <v>6137</v>
      </c>
      <c r="T1707" s="68" t="s">
        <v>165</v>
      </c>
      <c r="U1707" s="87"/>
      <c r="V1707" s="80">
        <v>43570</v>
      </c>
      <c r="W1707" s="73">
        <v>1</v>
      </c>
      <c r="X1707" s="73"/>
      <c r="Y1707" s="83">
        <f>IF(SUM(W1707:W1707)&gt;0,X1707/SUM(W1707:W1707)*1000000,"N/A")</f>
        <v>0</v>
      </c>
      <c r="Z1707" s="80"/>
      <c r="AA1707" s="80"/>
      <c r="AB1707" s="73"/>
      <c r="AC1707" s="153"/>
      <c r="AD1707" s="331"/>
      <c r="AE1707" s="57"/>
      <c r="AF1707" s="88"/>
      <c r="AG1707" s="182">
        <f>YEAR(D1707)</f>
        <v>2019</v>
      </c>
      <c r="AH1707" s="86" t="str">
        <f>+IF(AE1707=$AJ$22,MONTH(T1707),"")</f>
        <v/>
      </c>
      <c r="AI1707" s="86" t="str">
        <f>+IF(AF1707=$AJ$22,MONTH(U1707),"")</f>
        <v/>
      </c>
      <c r="AJ1707" s="86" t="str">
        <f>+IF(AG1707=$AJ$22,MONTH(V1707),"")</f>
        <v/>
      </c>
      <c r="AK1707" s="86" t="str">
        <f>+IF(AG1707=$AK$22,MONTH(V1707),"")</f>
        <v/>
      </c>
      <c r="AL1707" s="86" t="str">
        <f>+IF(AG1707=$AL$22,MONTH(V1707),"")</f>
        <v/>
      </c>
      <c r="AM1707" s="86" t="str">
        <f>+IF($AG1707=$AM$22,MONTH($D1707),"")</f>
        <v/>
      </c>
      <c r="AN1707" s="89" t="str">
        <f>+IF($AG1707=AN$22,MONTH($D1707),"")</f>
        <v/>
      </c>
      <c r="AO1707" s="89">
        <f>+IF($AG1707=AO$22,MONTH($D1707),"")</f>
        <v>4</v>
      </c>
      <c r="AP1707" s="89" t="str">
        <f>+IF($AG1707=AP$22,MONTH($D1707),"")</f>
        <v/>
      </c>
      <c r="AQ1707" s="89" t="str">
        <f>+IF($AG1707=AQ$22,MONTH($D1707),"")</f>
        <v/>
      </c>
      <c r="AR1707" s="89" t="str">
        <f>+IF($AG1707=AR$22,MONTH($D1707),"")</f>
        <v/>
      </c>
      <c r="AS1707" s="89" t="str">
        <f>+IF($AG1707=AS$22,MONTH($D1707),"")</f>
        <v/>
      </c>
      <c r="AT1707" s="89" t="str">
        <f>+IF($AG1707=AT$22,MONTH($D1707),"")</f>
        <v/>
      </c>
      <c r="AU1707" s="89" t="str">
        <f>+IF($AG1707=AU$22,MONTH($D1707),"")</f>
        <v/>
      </c>
      <c r="AV1707" s="89" t="str">
        <f>+IF($AG1707=AV$22,MONTH($D1707),"")</f>
        <v/>
      </c>
      <c r="AW1707" s="86"/>
      <c r="AX1707" s="86"/>
      <c r="AY1707" s="89"/>
      <c r="AZ1707" s="89"/>
      <c r="BA1707" s="89"/>
      <c r="BB1707" s="89"/>
      <c r="BC1707" s="89"/>
      <c r="BD1707" s="89"/>
      <c r="BE1707" s="89"/>
      <c r="BF1707" s="89"/>
      <c r="BG1707" s="89"/>
      <c r="BH1707" s="89"/>
      <c r="BI1707" s="89"/>
      <c r="BJ1707" s="89"/>
      <c r="BK1707" s="89"/>
      <c r="BL1707" s="89"/>
      <c r="BM1707" s="89"/>
      <c r="BN1707" s="89"/>
      <c r="BO1707" s="89"/>
      <c r="BP1707" s="89"/>
    </row>
    <row r="1708" spans="1:68" s="56" customFormat="1" ht="13.5" hidden="1">
      <c r="A1708" s="204">
        <f>+IFERROR(VALUE(MID(AB1708,4,4)),"")</f>
        <v>216</v>
      </c>
      <c r="B1708" s="204">
        <f>VALUE(RIGHT(C1708,LEN(C1708)-2))</f>
        <v>1017</v>
      </c>
      <c r="C1708" s="74" t="s">
        <v>6140</v>
      </c>
      <c r="D1708" s="75">
        <v>43556</v>
      </c>
      <c r="E1708" s="70" t="s">
        <v>50</v>
      </c>
      <c r="F1708" s="70" t="s">
        <v>50</v>
      </c>
      <c r="G1708" s="68"/>
      <c r="H1708" s="59"/>
      <c r="I1708" s="69" t="s">
        <v>6141</v>
      </c>
      <c r="J1708" s="69"/>
      <c r="K1708" s="68" t="s">
        <v>12</v>
      </c>
      <c r="L1708" s="69" t="s">
        <v>120</v>
      </c>
      <c r="M1708" s="71" t="s">
        <v>141</v>
      </c>
      <c r="N1708" s="69" t="e" vm="1">
        <v>#VALUE!</v>
      </c>
      <c r="O1708" s="84">
        <v>43553</v>
      </c>
      <c r="P1708" s="72" t="s">
        <v>402</v>
      </c>
      <c r="Q1708" s="72" t="s">
        <v>229</v>
      </c>
      <c r="R1708" s="162"/>
      <c r="S1708" s="146"/>
      <c r="T1708" s="68" t="s">
        <v>3</v>
      </c>
      <c r="U1708" s="87"/>
      <c r="V1708" s="80">
        <v>43570</v>
      </c>
      <c r="W1708" s="73">
        <v>396</v>
      </c>
      <c r="X1708" s="73">
        <v>16.925000000000001</v>
      </c>
      <c r="Y1708" s="83">
        <f>IF(SUM(W1708:W1708)&gt;0,X1708/SUM(W1708:W1708)*1000000,"N/A")</f>
        <v>42739.898989898997</v>
      </c>
      <c r="Z1708" s="80"/>
      <c r="AA1708" s="80"/>
      <c r="AB1708" s="73" t="s">
        <v>6142</v>
      </c>
      <c r="AC1708" s="153"/>
      <c r="AD1708" s="331"/>
      <c r="AE1708" s="57"/>
      <c r="AF1708" s="88"/>
      <c r="AG1708" s="182">
        <f>YEAR(D1708)</f>
        <v>2019</v>
      </c>
      <c r="AH1708" s="86" t="str">
        <f>+IF(AE1708=$AJ$22,MONTH(T1708),"")</f>
        <v/>
      </c>
      <c r="AI1708" s="86" t="str">
        <f>+IF(AF1708=$AJ$22,MONTH(U1708),"")</f>
        <v/>
      </c>
      <c r="AJ1708" s="86" t="str">
        <f>+IF(AG1708=$AJ$22,MONTH(V1708),"")</f>
        <v/>
      </c>
      <c r="AK1708" s="86" t="str">
        <f>+IF(AG1708=$AK$22,MONTH(V1708),"")</f>
        <v/>
      </c>
      <c r="AL1708" s="86" t="str">
        <f>+IF(AG1708=$AL$22,MONTH(V1708),"")</f>
        <v/>
      </c>
      <c r="AM1708" s="86" t="str">
        <f>+IF($AG1708=$AM$22,MONTH($D1708),"")</f>
        <v/>
      </c>
      <c r="AN1708" s="89" t="str">
        <f>+IF($AG1708=AN$22,MONTH($D1708),"")</f>
        <v/>
      </c>
      <c r="AO1708" s="89">
        <f>+IF($AG1708=AO$22,MONTH($D1708),"")</f>
        <v>4</v>
      </c>
      <c r="AP1708" s="89" t="str">
        <f>+IF($AG1708=AP$22,MONTH($D1708),"")</f>
        <v/>
      </c>
      <c r="AQ1708" s="89" t="str">
        <f>+IF($AG1708=AQ$22,MONTH($D1708),"")</f>
        <v/>
      </c>
      <c r="AR1708" s="89" t="str">
        <f>+IF($AG1708=AR$22,MONTH($D1708),"")</f>
        <v/>
      </c>
      <c r="AS1708" s="89" t="str">
        <f>+IF($AG1708=AS$22,MONTH($D1708),"")</f>
        <v/>
      </c>
      <c r="AT1708" s="89" t="str">
        <f>+IF($AG1708=AT$22,MONTH($D1708),"")</f>
        <v/>
      </c>
      <c r="AU1708" s="89" t="str">
        <f>+IF($AG1708=AU$22,MONTH($D1708),"")</f>
        <v/>
      </c>
      <c r="AV1708" s="89" t="str">
        <f>+IF($AG1708=AV$22,MONTH($D1708),"")</f>
        <v/>
      </c>
      <c r="AW1708" s="86"/>
      <c r="AX1708" s="86"/>
      <c r="AY1708" s="89"/>
      <c r="AZ1708" s="89"/>
      <c r="BA1708" s="89"/>
      <c r="BB1708" s="89"/>
      <c r="BC1708" s="89"/>
      <c r="BD1708" s="89"/>
      <c r="BE1708" s="89"/>
      <c r="BF1708" s="89"/>
      <c r="BG1708" s="89"/>
      <c r="BH1708" s="89"/>
      <c r="BI1708" s="89"/>
      <c r="BJ1708" s="89"/>
      <c r="BK1708" s="89"/>
      <c r="BL1708" s="89"/>
      <c r="BM1708" s="89"/>
      <c r="BN1708" s="89"/>
      <c r="BO1708" s="89"/>
      <c r="BP1708" s="89"/>
    </row>
    <row r="1709" spans="1:68" s="56" customFormat="1" ht="27" hidden="1">
      <c r="A1709" s="204" t="str">
        <f>+IFERROR(VALUE(MID(AB1709,4,4)),"")</f>
        <v/>
      </c>
      <c r="B1709" s="204">
        <f>VALUE(RIGHT(C1709,LEN(C1709)-2))</f>
        <v>1016</v>
      </c>
      <c r="C1709" s="74" t="s">
        <v>6143</v>
      </c>
      <c r="D1709" s="75">
        <v>43552</v>
      </c>
      <c r="E1709" s="70" t="s">
        <v>41</v>
      </c>
      <c r="F1709" s="70" t="s">
        <v>41</v>
      </c>
      <c r="G1709" s="68"/>
      <c r="H1709" s="59"/>
      <c r="I1709" s="69" t="s">
        <v>6144</v>
      </c>
      <c r="J1709" s="69"/>
      <c r="K1709" s="68" t="s">
        <v>13</v>
      </c>
      <c r="L1709" s="69" t="s">
        <v>120</v>
      </c>
      <c r="M1709" s="71" t="s">
        <v>141</v>
      </c>
      <c r="N1709" s="69" t="e" vm="1">
        <v>#VALUE!</v>
      </c>
      <c r="O1709" s="84">
        <v>76424</v>
      </c>
      <c r="P1709" s="72" t="s">
        <v>402</v>
      </c>
      <c r="Q1709" s="72"/>
      <c r="R1709" s="162"/>
      <c r="S1709" s="146" t="s">
        <v>6145</v>
      </c>
      <c r="T1709" s="68" t="s">
        <v>165</v>
      </c>
      <c r="U1709" s="87"/>
      <c r="V1709" s="80">
        <v>43552</v>
      </c>
      <c r="W1709" s="73">
        <v>1322</v>
      </c>
      <c r="X1709" s="73">
        <f>1265*27565.76/1000000</f>
        <v>34.870686399999997</v>
      </c>
      <c r="Y1709" s="83">
        <f>IF(SUM(W1709:W1709)&gt;0,X1709/SUM(W1709:W1709)*1000000,"N/A")</f>
        <v>26377.221180030254</v>
      </c>
      <c r="Z1709" s="80"/>
      <c r="AA1709" s="80"/>
      <c r="AB1709" s="73"/>
      <c r="AC1709" s="153"/>
      <c r="AD1709" s="331"/>
      <c r="AE1709" s="57"/>
      <c r="AF1709" s="88"/>
      <c r="AG1709" s="182">
        <f>YEAR(D1709)</f>
        <v>2019</v>
      </c>
      <c r="AH1709" s="86" t="str">
        <f>+IF(AE1709=$AJ$22,MONTH(T1709),"")</f>
        <v/>
      </c>
      <c r="AI1709" s="86" t="str">
        <f>+IF(AF1709=$AJ$22,MONTH(U1709),"")</f>
        <v/>
      </c>
      <c r="AJ1709" s="86" t="str">
        <f>+IF(AG1709=$AJ$22,MONTH(V1709),"")</f>
        <v/>
      </c>
      <c r="AK1709" s="86" t="str">
        <f>+IF(AG1709=$AK$22,MONTH(V1709),"")</f>
        <v/>
      </c>
      <c r="AL1709" s="86" t="str">
        <f>+IF(AG1709=$AL$22,MONTH(V1709),"")</f>
        <v/>
      </c>
      <c r="AM1709" s="86" t="str">
        <f>+IF($AG1709=$AM$22,MONTH($D1709),"")</f>
        <v/>
      </c>
      <c r="AN1709" s="89" t="str">
        <f>+IF($AG1709=AN$22,MONTH($D1709),"")</f>
        <v/>
      </c>
      <c r="AO1709" s="89">
        <f>+IF($AG1709=AO$22,MONTH($D1709),"")</f>
        <v>3</v>
      </c>
      <c r="AP1709" s="89" t="str">
        <f>+IF($AG1709=AP$22,MONTH($D1709),"")</f>
        <v/>
      </c>
      <c r="AQ1709" s="89" t="str">
        <f>+IF($AG1709=AQ$22,MONTH($D1709),"")</f>
        <v/>
      </c>
      <c r="AR1709" s="89" t="str">
        <f>+IF($AG1709=AR$22,MONTH($D1709),"")</f>
        <v/>
      </c>
      <c r="AS1709" s="89" t="str">
        <f>+IF($AG1709=AS$22,MONTH($D1709),"")</f>
        <v/>
      </c>
      <c r="AT1709" s="89" t="str">
        <f>+IF($AG1709=AT$22,MONTH($D1709),"")</f>
        <v/>
      </c>
      <c r="AU1709" s="89" t="str">
        <f>+IF($AG1709=AU$22,MONTH($D1709),"")</f>
        <v/>
      </c>
      <c r="AV1709" s="89" t="str">
        <f>+IF($AG1709=AV$22,MONTH($D1709),"")</f>
        <v/>
      </c>
      <c r="AW1709" s="86"/>
      <c r="AX1709" s="86"/>
      <c r="AY1709" s="89"/>
      <c r="AZ1709" s="89"/>
      <c r="BA1709" s="89"/>
      <c r="BB1709" s="89"/>
      <c r="BC1709" s="89"/>
      <c r="BD1709" s="89"/>
      <c r="BE1709" s="89"/>
      <c r="BF1709" s="89"/>
      <c r="BG1709" s="89"/>
      <c r="BH1709" s="89"/>
      <c r="BI1709" s="89"/>
      <c r="BJ1709" s="89"/>
      <c r="BK1709" s="89"/>
      <c r="BL1709" s="89"/>
      <c r="BM1709" s="89"/>
      <c r="BN1709" s="89"/>
      <c r="BO1709" s="89"/>
      <c r="BP1709" s="89"/>
    </row>
    <row r="1710" spans="1:68" s="56" customFormat="1" ht="13.5" hidden="1">
      <c r="A1710" s="204">
        <f>+IFERROR(VALUE(MID(AB1710,4,4)),"")</f>
        <v>222</v>
      </c>
      <c r="B1710" s="204">
        <f>VALUE(RIGHT(C1710,LEN(C1710)-2))</f>
        <v>1015</v>
      </c>
      <c r="C1710" s="74" t="s">
        <v>6146</v>
      </c>
      <c r="D1710" s="75">
        <v>43545</v>
      </c>
      <c r="E1710" s="70" t="s">
        <v>848</v>
      </c>
      <c r="F1710" s="70" t="s">
        <v>848</v>
      </c>
      <c r="G1710" s="68"/>
      <c r="H1710" s="59"/>
      <c r="I1710" s="69" t="s">
        <v>6147</v>
      </c>
      <c r="J1710" s="69"/>
      <c r="K1710" s="68"/>
      <c r="L1710" s="69" t="s">
        <v>123</v>
      </c>
      <c r="M1710" s="71" t="s">
        <v>141</v>
      </c>
      <c r="N1710" s="69" t="e" vm="1">
        <v>#VALUE!</v>
      </c>
      <c r="O1710" s="84">
        <v>43545</v>
      </c>
      <c r="P1710" s="72" t="s">
        <v>274</v>
      </c>
      <c r="Q1710" s="72" t="s">
        <v>837</v>
      </c>
      <c r="R1710" s="162"/>
      <c r="S1710" s="146"/>
      <c r="T1710" s="68" t="s">
        <v>3</v>
      </c>
      <c r="U1710" s="87"/>
      <c r="V1710" s="80">
        <v>43552</v>
      </c>
      <c r="W1710" s="73">
        <v>1645</v>
      </c>
      <c r="X1710" s="73">
        <f>3000*27565.76/1000000</f>
        <v>82.697280000000006</v>
      </c>
      <c r="Y1710" s="83">
        <f>IF(SUM(W1710:W1710)&gt;0,X1710/SUM(W1710:W1710)*1000000,"N/A")</f>
        <v>50271.902735562311</v>
      </c>
      <c r="Z1710" s="80"/>
      <c r="AA1710" s="80"/>
      <c r="AB1710" s="73" t="s">
        <v>6148</v>
      </c>
      <c r="AC1710" s="153"/>
      <c r="AD1710" s="331"/>
      <c r="AE1710" s="57"/>
      <c r="AF1710" s="88"/>
      <c r="AG1710" s="182">
        <f>YEAR(D1710)</f>
        <v>2019</v>
      </c>
      <c r="AH1710" s="86" t="str">
        <f>+IF(AE1710=$AJ$22,MONTH(T1710),"")</f>
        <v/>
      </c>
      <c r="AI1710" s="86" t="str">
        <f>+IF(AF1710=$AJ$22,MONTH(U1710),"")</f>
        <v/>
      </c>
      <c r="AJ1710" s="86" t="str">
        <f>+IF(AG1710=$AJ$22,MONTH(V1710),"")</f>
        <v/>
      </c>
      <c r="AK1710" s="86" t="str">
        <f>+IF(AG1710=$AK$22,MONTH(V1710),"")</f>
        <v/>
      </c>
      <c r="AL1710" s="86" t="str">
        <f>+IF(AG1710=$AL$22,MONTH(V1710),"")</f>
        <v/>
      </c>
      <c r="AM1710" s="86" t="str">
        <f>+IF($AG1710=$AM$22,MONTH($D1710),"")</f>
        <v/>
      </c>
      <c r="AN1710" s="89" t="str">
        <f>+IF($AG1710=AN$22,MONTH($D1710),"")</f>
        <v/>
      </c>
      <c r="AO1710" s="89">
        <f>+IF($AG1710=AO$22,MONTH($D1710),"")</f>
        <v>3</v>
      </c>
      <c r="AP1710" s="89" t="str">
        <f>+IF($AG1710=AP$22,MONTH($D1710),"")</f>
        <v/>
      </c>
      <c r="AQ1710" s="89" t="str">
        <f>+IF($AG1710=AQ$22,MONTH($D1710),"")</f>
        <v/>
      </c>
      <c r="AR1710" s="89" t="str">
        <f>+IF($AG1710=AR$22,MONTH($D1710),"")</f>
        <v/>
      </c>
      <c r="AS1710" s="89" t="str">
        <f>+IF($AG1710=AS$22,MONTH($D1710),"")</f>
        <v/>
      </c>
      <c r="AT1710" s="89" t="str">
        <f>+IF($AG1710=AT$22,MONTH($D1710),"")</f>
        <v/>
      </c>
      <c r="AU1710" s="89" t="str">
        <f>+IF($AG1710=AU$22,MONTH($D1710),"")</f>
        <v/>
      </c>
      <c r="AV1710" s="89" t="str">
        <f>+IF($AG1710=AV$22,MONTH($D1710),"")</f>
        <v/>
      </c>
      <c r="AW1710" s="86"/>
      <c r="AX1710" s="86"/>
      <c r="AY1710" s="89"/>
      <c r="AZ1710" s="89"/>
      <c r="BA1710" s="89"/>
      <c r="BB1710" s="89"/>
      <c r="BC1710" s="89"/>
      <c r="BD1710" s="89"/>
      <c r="BE1710" s="89"/>
      <c r="BF1710" s="89"/>
      <c r="BG1710" s="89"/>
      <c r="BH1710" s="89"/>
      <c r="BI1710" s="89"/>
      <c r="BJ1710" s="89"/>
      <c r="BK1710" s="89"/>
      <c r="BL1710" s="89"/>
      <c r="BM1710" s="89"/>
      <c r="BN1710" s="89"/>
      <c r="BO1710" s="89"/>
      <c r="BP1710" s="89"/>
    </row>
    <row r="1711" spans="1:68" s="56" customFormat="1" ht="27" hidden="1">
      <c r="A1711" s="204" t="str">
        <f>+IFERROR(VALUE(MID(AB1711,4,4)),"")</f>
        <v/>
      </c>
      <c r="B1711" s="204">
        <f>VALUE(RIGHT(C1711,LEN(C1711)-2))</f>
        <v>1014</v>
      </c>
      <c r="C1711" s="74" t="s">
        <v>6149</v>
      </c>
      <c r="D1711" s="75">
        <v>43545</v>
      </c>
      <c r="E1711" s="70" t="s">
        <v>5475</v>
      </c>
      <c r="F1711" s="70" t="s">
        <v>67</v>
      </c>
      <c r="G1711" s="68"/>
      <c r="H1711" s="59"/>
      <c r="I1711" s="69" t="s">
        <v>6150</v>
      </c>
      <c r="J1711" s="69"/>
      <c r="K1711" s="68" t="s">
        <v>11</v>
      </c>
      <c r="L1711" s="69" t="s">
        <v>120</v>
      </c>
      <c r="M1711" s="71" t="s">
        <v>141</v>
      </c>
      <c r="N1711" s="69" t="e" vm="1">
        <v>#VALUE!</v>
      </c>
      <c r="O1711" s="84">
        <v>76424</v>
      </c>
      <c r="P1711" s="72" t="s">
        <v>402</v>
      </c>
      <c r="Q1711" s="72"/>
      <c r="R1711" s="162"/>
      <c r="S1711" s="146" t="s">
        <v>6061</v>
      </c>
      <c r="T1711" s="68" t="s">
        <v>165</v>
      </c>
      <c r="U1711" s="87"/>
      <c r="V1711" s="80">
        <v>43552</v>
      </c>
      <c r="W1711" s="73">
        <v>2270</v>
      </c>
      <c r="X1711" s="73">
        <f>3542*27565.76/1000000</f>
        <v>97.637921919999982</v>
      </c>
      <c r="Y1711" s="83">
        <f>IF(SUM(W1711:W1711)&gt;0,X1711/SUM(W1711:W1711)*1000000,"N/A")</f>
        <v>43012.300405286333</v>
      </c>
      <c r="Z1711" s="80"/>
      <c r="AA1711" s="80"/>
      <c r="AB1711" s="73"/>
      <c r="AC1711" s="153"/>
      <c r="AD1711" s="331"/>
      <c r="AE1711" s="57"/>
      <c r="AF1711" s="88"/>
      <c r="AG1711" s="182">
        <f>YEAR(D1711)</f>
        <v>2019</v>
      </c>
      <c r="AH1711" s="86" t="str">
        <f>+IF(AE1711=$AJ$22,MONTH(T1711),"")</f>
        <v/>
      </c>
      <c r="AI1711" s="86" t="str">
        <f>+IF(AF1711=$AJ$22,MONTH(U1711),"")</f>
        <v/>
      </c>
      <c r="AJ1711" s="86" t="str">
        <f>+IF(AG1711=$AJ$22,MONTH(V1711),"")</f>
        <v/>
      </c>
      <c r="AK1711" s="86" t="str">
        <f>+IF(AG1711=$AK$22,MONTH(V1711),"")</f>
        <v/>
      </c>
      <c r="AL1711" s="86" t="str">
        <f>+IF(AG1711=$AL$22,MONTH(V1711),"")</f>
        <v/>
      </c>
      <c r="AM1711" s="86" t="str">
        <f>+IF($AG1711=$AM$22,MONTH($D1711),"")</f>
        <v/>
      </c>
      <c r="AN1711" s="89" t="str">
        <f>+IF($AG1711=AN$22,MONTH($D1711),"")</f>
        <v/>
      </c>
      <c r="AO1711" s="89">
        <f>+IF($AG1711=AO$22,MONTH($D1711),"")</f>
        <v>3</v>
      </c>
      <c r="AP1711" s="89" t="str">
        <f>+IF($AG1711=AP$22,MONTH($D1711),"")</f>
        <v/>
      </c>
      <c r="AQ1711" s="89" t="str">
        <f>+IF($AG1711=AQ$22,MONTH($D1711),"")</f>
        <v/>
      </c>
      <c r="AR1711" s="89" t="str">
        <f>+IF($AG1711=AR$22,MONTH($D1711),"")</f>
        <v/>
      </c>
      <c r="AS1711" s="89" t="str">
        <f>+IF($AG1711=AS$22,MONTH($D1711),"")</f>
        <v/>
      </c>
      <c r="AT1711" s="89" t="str">
        <f>+IF($AG1711=AT$22,MONTH($D1711),"")</f>
        <v/>
      </c>
      <c r="AU1711" s="89" t="str">
        <f>+IF($AG1711=AU$22,MONTH($D1711),"")</f>
        <v/>
      </c>
      <c r="AV1711" s="89" t="str">
        <f>+IF($AG1711=AV$22,MONTH($D1711),"")</f>
        <v/>
      </c>
      <c r="AW1711" s="86"/>
      <c r="AX1711" s="86"/>
      <c r="AY1711" s="89"/>
      <c r="AZ1711" s="89"/>
      <c r="BA1711" s="89"/>
      <c r="BB1711" s="89"/>
      <c r="BC1711" s="89"/>
      <c r="BD1711" s="89"/>
      <c r="BE1711" s="89"/>
      <c r="BF1711" s="89"/>
      <c r="BG1711" s="89"/>
      <c r="BH1711" s="89"/>
      <c r="BI1711" s="89"/>
      <c r="BJ1711" s="89"/>
      <c r="BK1711" s="89"/>
      <c r="BL1711" s="89"/>
      <c r="BM1711" s="89"/>
      <c r="BN1711" s="89"/>
      <c r="BO1711" s="89"/>
      <c r="BP1711" s="89"/>
    </row>
    <row r="1712" spans="1:68" s="56" customFormat="1" ht="40.5" hidden="1">
      <c r="A1712" s="204" t="str">
        <f>+IFERROR(VALUE(MID(AB1712,4,4)),"")</f>
        <v/>
      </c>
      <c r="B1712" s="204">
        <f>VALUE(RIGHT(C1712,LEN(C1712)-2))</f>
        <v>1013</v>
      </c>
      <c r="C1712" s="74" t="s">
        <v>6151</v>
      </c>
      <c r="D1712" s="75">
        <v>43542</v>
      </c>
      <c r="E1712" s="70" t="s">
        <v>685</v>
      </c>
      <c r="F1712" s="70" t="s">
        <v>685</v>
      </c>
      <c r="G1712" s="68"/>
      <c r="H1712" s="59"/>
      <c r="I1712" s="69" t="s">
        <v>6152</v>
      </c>
      <c r="J1712" s="69"/>
      <c r="K1712" s="68" t="s">
        <v>13</v>
      </c>
      <c r="L1712" s="69" t="s">
        <v>120</v>
      </c>
      <c r="M1712" s="71" t="s">
        <v>141</v>
      </c>
      <c r="N1712" s="69" t="e" vm="1">
        <v>#VALUE!</v>
      </c>
      <c r="O1712" s="84">
        <v>43550</v>
      </c>
      <c r="P1712" s="72" t="s">
        <v>402</v>
      </c>
      <c r="Q1712" s="72"/>
      <c r="R1712" s="162"/>
      <c r="S1712" s="146" t="s">
        <v>6153</v>
      </c>
      <c r="T1712" s="68" t="s">
        <v>165</v>
      </c>
      <c r="U1712" s="87"/>
      <c r="V1712" s="80">
        <v>43552</v>
      </c>
      <c r="W1712" s="73">
        <v>983</v>
      </c>
      <c r="X1712" s="73">
        <f>26957*683.73/1000000</f>
        <v>18.43130961</v>
      </c>
      <c r="Y1712" s="83">
        <f>IF(SUM(W1712:W1712)&gt;0,X1712/SUM(W1712:W1712)*1000000,"N/A")</f>
        <v>18750.060640895219</v>
      </c>
      <c r="Z1712" s="80"/>
      <c r="AA1712" s="80"/>
      <c r="AB1712" s="73"/>
      <c r="AC1712" s="153"/>
      <c r="AD1712" s="331"/>
      <c r="AE1712" s="57"/>
      <c r="AF1712" s="88"/>
      <c r="AG1712" s="182">
        <f>YEAR(D1712)</f>
        <v>2019</v>
      </c>
      <c r="AH1712" s="86" t="str">
        <f>+IF(AE1712=$AJ$22,MONTH(T1712),"")</f>
        <v/>
      </c>
      <c r="AI1712" s="86" t="str">
        <f>+IF(AF1712=$AJ$22,MONTH(U1712),"")</f>
        <v/>
      </c>
      <c r="AJ1712" s="86" t="str">
        <f>+IF(AG1712=$AJ$22,MONTH(V1712),"")</f>
        <v/>
      </c>
      <c r="AK1712" s="86" t="str">
        <f>+IF(AG1712=$AK$22,MONTH(V1712),"")</f>
        <v/>
      </c>
      <c r="AL1712" s="86" t="str">
        <f>+IF(AG1712=$AL$22,MONTH(V1712),"")</f>
        <v/>
      </c>
      <c r="AM1712" s="86" t="str">
        <f>+IF($AG1712=$AM$22,MONTH($D1712),"")</f>
        <v/>
      </c>
      <c r="AN1712" s="89" t="str">
        <f>+IF($AG1712=AN$22,MONTH($D1712),"")</f>
        <v/>
      </c>
      <c r="AO1712" s="89">
        <f>+IF($AG1712=AO$22,MONTH($D1712),"")</f>
        <v>3</v>
      </c>
      <c r="AP1712" s="89" t="str">
        <f>+IF($AG1712=AP$22,MONTH($D1712),"")</f>
        <v/>
      </c>
      <c r="AQ1712" s="89" t="str">
        <f>+IF($AG1712=AQ$22,MONTH($D1712),"")</f>
        <v/>
      </c>
      <c r="AR1712" s="89" t="str">
        <f>+IF($AG1712=AR$22,MONTH($D1712),"")</f>
        <v/>
      </c>
      <c r="AS1712" s="89" t="str">
        <f>+IF($AG1712=AS$22,MONTH($D1712),"")</f>
        <v/>
      </c>
      <c r="AT1712" s="89" t="str">
        <f>+IF($AG1712=AT$22,MONTH($D1712),"")</f>
        <v/>
      </c>
      <c r="AU1712" s="89" t="str">
        <f>+IF($AG1712=AU$22,MONTH($D1712),"")</f>
        <v/>
      </c>
      <c r="AV1712" s="89" t="str">
        <f>+IF($AG1712=AV$22,MONTH($D1712),"")</f>
        <v/>
      </c>
      <c r="AW1712" s="86"/>
      <c r="AX1712" s="86"/>
      <c r="AY1712" s="89"/>
      <c r="AZ1712" s="89"/>
      <c r="BA1712" s="89"/>
      <c r="BB1712" s="89"/>
      <c r="BC1712" s="89"/>
      <c r="BD1712" s="89"/>
      <c r="BE1712" s="89"/>
      <c r="BF1712" s="89"/>
      <c r="BG1712" s="89"/>
      <c r="BH1712" s="89"/>
      <c r="BI1712" s="89"/>
      <c r="BJ1712" s="89"/>
      <c r="BK1712" s="89"/>
      <c r="BL1712" s="89"/>
      <c r="BM1712" s="89"/>
      <c r="BN1712" s="89"/>
      <c r="BO1712" s="89"/>
      <c r="BP1712" s="89"/>
    </row>
    <row r="1713" spans="1:68" s="56" customFormat="1" ht="13.5" hidden="1">
      <c r="A1713" s="204" t="str">
        <f>+IFERROR(VALUE(MID(AB1713,4,4)),"")</f>
        <v/>
      </c>
      <c r="B1713" s="204">
        <f>VALUE(RIGHT(C1713,LEN(C1713)-2))</f>
        <v>1012</v>
      </c>
      <c r="C1713" s="74" t="s">
        <v>6154</v>
      </c>
      <c r="D1713" s="75">
        <v>43542</v>
      </c>
      <c r="E1713" s="70" t="s">
        <v>53</v>
      </c>
      <c r="F1713" s="70" t="s">
        <v>252</v>
      </c>
      <c r="G1713" s="68"/>
      <c r="H1713" s="59"/>
      <c r="I1713" s="69" t="s">
        <v>6155</v>
      </c>
      <c r="J1713" s="69"/>
      <c r="K1713" s="68" t="s">
        <v>31</v>
      </c>
      <c r="L1713" s="69" t="s">
        <v>123</v>
      </c>
      <c r="M1713" s="71" t="s">
        <v>141</v>
      </c>
      <c r="N1713" s="69" t="e" vm="1">
        <v>#VALUE!</v>
      </c>
      <c r="O1713" s="84"/>
      <c r="P1713" s="72"/>
      <c r="Q1713" s="72"/>
      <c r="R1713" s="162"/>
      <c r="S1713" s="146"/>
      <c r="T1713" s="68" t="s">
        <v>155</v>
      </c>
      <c r="U1713" s="87"/>
      <c r="V1713" s="80">
        <v>43552</v>
      </c>
      <c r="W1713" s="73"/>
      <c r="X1713" s="73"/>
      <c r="Y1713" s="83" t="str">
        <f>IF(SUM(W1713:W1713)&gt;0,X1713/SUM(W1713:W1713)*1000000,"N/A")</f>
        <v>N/A</v>
      </c>
      <c r="Z1713" s="80"/>
      <c r="AA1713" s="80"/>
      <c r="AB1713" s="73"/>
      <c r="AC1713" s="153"/>
      <c r="AD1713" s="331"/>
      <c r="AE1713" s="57"/>
      <c r="AF1713" s="88"/>
      <c r="AG1713" s="182">
        <f>YEAR(D1713)</f>
        <v>2019</v>
      </c>
      <c r="AH1713" s="86" t="str">
        <f>+IF(AE1713=$AJ$22,MONTH(T1713),"")</f>
        <v/>
      </c>
      <c r="AI1713" s="86" t="str">
        <f>+IF(AF1713=$AJ$22,MONTH(U1713),"")</f>
        <v/>
      </c>
      <c r="AJ1713" s="86" t="str">
        <f>+IF(AG1713=$AJ$22,MONTH(V1713),"")</f>
        <v/>
      </c>
      <c r="AK1713" s="86" t="str">
        <f>+IF(AG1713=$AK$22,MONTH(V1713),"")</f>
        <v/>
      </c>
      <c r="AL1713" s="86" t="str">
        <f>+IF(AG1713=$AL$22,MONTH(V1713),"")</f>
        <v/>
      </c>
      <c r="AM1713" s="86" t="str">
        <f>+IF($AG1713=$AM$22,MONTH($D1713),"")</f>
        <v/>
      </c>
      <c r="AN1713" s="89" t="str">
        <f>+IF($AG1713=AN$22,MONTH($D1713),"")</f>
        <v/>
      </c>
      <c r="AO1713" s="89">
        <f>+IF($AG1713=AO$22,MONTH($D1713),"")</f>
        <v>3</v>
      </c>
      <c r="AP1713" s="89" t="str">
        <f>+IF($AG1713=AP$22,MONTH($D1713),"")</f>
        <v/>
      </c>
      <c r="AQ1713" s="89" t="str">
        <f>+IF($AG1713=AQ$22,MONTH($D1713),"")</f>
        <v/>
      </c>
      <c r="AR1713" s="89" t="str">
        <f>+IF($AG1713=AR$22,MONTH($D1713),"")</f>
        <v/>
      </c>
      <c r="AS1713" s="89" t="str">
        <f>+IF($AG1713=AS$22,MONTH($D1713),"")</f>
        <v/>
      </c>
      <c r="AT1713" s="89" t="str">
        <f>+IF($AG1713=AT$22,MONTH($D1713),"")</f>
        <v/>
      </c>
      <c r="AU1713" s="89" t="str">
        <f>+IF($AG1713=AU$22,MONTH($D1713),"")</f>
        <v/>
      </c>
      <c r="AV1713" s="89" t="str">
        <f>+IF($AG1713=AV$22,MONTH($D1713),"")</f>
        <v/>
      </c>
      <c r="AW1713" s="86" t="str">
        <f>+IF($AG1713=AW$22,MONTH($D1713),"")</f>
        <v/>
      </c>
      <c r="AX1713" s="86" t="str">
        <f>+IF($AG1713=AX$22,MONTH($D1713),"")</f>
        <v/>
      </c>
      <c r="AY1713" s="89"/>
      <c r="AZ1713" s="89"/>
      <c r="BA1713" s="89"/>
      <c r="BB1713" s="89"/>
      <c r="BC1713" s="89"/>
      <c r="BD1713" s="89"/>
      <c r="BE1713" s="89"/>
      <c r="BF1713" s="89"/>
      <c r="BG1713" s="89"/>
      <c r="BH1713" s="89"/>
      <c r="BI1713" s="89"/>
      <c r="BJ1713" s="89"/>
      <c r="BK1713" s="89"/>
      <c r="BL1713" s="89"/>
      <c r="BM1713" s="89"/>
      <c r="BN1713" s="89"/>
      <c r="BO1713" s="89"/>
      <c r="BP1713" s="89"/>
    </row>
    <row r="1714" spans="1:68" s="56" customFormat="1" ht="13.5" hidden="1">
      <c r="A1714" s="204" t="str">
        <f>+IFERROR(VALUE(MID(AB1714,4,4)),"")</f>
        <v/>
      </c>
      <c r="B1714" s="204">
        <f>VALUE(RIGHT(C1714,LEN(C1714)-2))</f>
        <v>1011</v>
      </c>
      <c r="C1714" s="74" t="s">
        <v>6156</v>
      </c>
      <c r="D1714" s="75">
        <v>43542</v>
      </c>
      <c r="E1714" s="70" t="s">
        <v>67</v>
      </c>
      <c r="F1714" s="70" t="s">
        <v>67</v>
      </c>
      <c r="G1714" s="68"/>
      <c r="H1714" s="59"/>
      <c r="I1714" s="69" t="s">
        <v>6157</v>
      </c>
      <c r="J1714" s="69"/>
      <c r="K1714" s="68" t="s">
        <v>31</v>
      </c>
      <c r="L1714" s="69" t="s">
        <v>123</v>
      </c>
      <c r="M1714" s="71" t="s">
        <v>141</v>
      </c>
      <c r="N1714" s="69" t="e" vm="1">
        <v>#VALUE!</v>
      </c>
      <c r="O1714" s="84">
        <v>43553</v>
      </c>
      <c r="P1714" s="72"/>
      <c r="Q1714" s="72"/>
      <c r="R1714" s="162"/>
      <c r="S1714" s="146"/>
      <c r="T1714" s="68" t="s">
        <v>165</v>
      </c>
      <c r="U1714" s="87"/>
      <c r="V1714" s="80">
        <v>43552</v>
      </c>
      <c r="W1714" s="73">
        <f>66000/4</f>
        <v>16500</v>
      </c>
      <c r="X1714" s="73">
        <v>18</v>
      </c>
      <c r="Y1714" s="83">
        <f>IF(SUM(W1714:W1714)&gt;0,X1714/SUM(W1714:W1714)*1000000,"N/A")</f>
        <v>1090.909090909091</v>
      </c>
      <c r="Z1714" s="80"/>
      <c r="AA1714" s="80"/>
      <c r="AB1714" s="73"/>
      <c r="AC1714" s="153"/>
      <c r="AD1714" s="331"/>
      <c r="AE1714" s="57"/>
      <c r="AF1714" s="88"/>
      <c r="AG1714" s="182">
        <f>YEAR(D1714)</f>
        <v>2019</v>
      </c>
      <c r="AH1714" s="86" t="str">
        <f>+IF(AE1714=$AJ$22,MONTH(T1714),"")</f>
        <v/>
      </c>
      <c r="AI1714" s="86" t="str">
        <f>+IF(AF1714=$AJ$22,MONTH(U1714),"")</f>
        <v/>
      </c>
      <c r="AJ1714" s="86" t="str">
        <f>+IF(AG1714=$AJ$22,MONTH(V1714),"")</f>
        <v/>
      </c>
      <c r="AK1714" s="86" t="str">
        <f>+IF(AG1714=$AK$22,MONTH(V1714),"")</f>
        <v/>
      </c>
      <c r="AL1714" s="86" t="str">
        <f>+IF(AG1714=$AL$22,MONTH(V1714),"")</f>
        <v/>
      </c>
      <c r="AM1714" s="86" t="str">
        <f>+IF($AG1714=$AM$22,MONTH($D1714),"")</f>
        <v/>
      </c>
      <c r="AN1714" s="89" t="str">
        <f>+IF($AG1714=AN$22,MONTH($D1714),"")</f>
        <v/>
      </c>
      <c r="AO1714" s="89">
        <f>+IF($AG1714=AO$22,MONTH($D1714),"")</f>
        <v>3</v>
      </c>
      <c r="AP1714" s="89" t="str">
        <f>+IF($AG1714=AP$22,MONTH($D1714),"")</f>
        <v/>
      </c>
      <c r="AQ1714" s="89" t="str">
        <f>+IF($AG1714=AQ$22,MONTH($D1714),"")</f>
        <v/>
      </c>
      <c r="AR1714" s="89" t="str">
        <f>+IF($AG1714=AR$22,MONTH($D1714),"")</f>
        <v/>
      </c>
      <c r="AS1714" s="89" t="str">
        <f>+IF($AG1714=AS$22,MONTH($D1714),"")</f>
        <v/>
      </c>
      <c r="AT1714" s="89" t="str">
        <f>+IF($AG1714=AT$22,MONTH($D1714),"")</f>
        <v/>
      </c>
      <c r="AU1714" s="89" t="str">
        <f>+IF($AG1714=AU$22,MONTH($D1714),"")</f>
        <v/>
      </c>
      <c r="AV1714" s="89" t="str">
        <f>+IF($AG1714=AV$22,MONTH($D1714),"")</f>
        <v/>
      </c>
      <c r="AW1714" s="86"/>
      <c r="AX1714" s="86"/>
      <c r="AY1714" s="89"/>
      <c r="AZ1714" s="89"/>
      <c r="BA1714" s="89"/>
      <c r="BB1714" s="89"/>
      <c r="BC1714" s="89"/>
      <c r="BD1714" s="89"/>
      <c r="BE1714" s="89"/>
      <c r="BF1714" s="89"/>
      <c r="BG1714" s="89"/>
      <c r="BH1714" s="89"/>
      <c r="BI1714" s="89"/>
      <c r="BJ1714" s="89"/>
      <c r="BK1714" s="89"/>
      <c r="BL1714" s="89"/>
      <c r="BM1714" s="89"/>
      <c r="BN1714" s="89"/>
      <c r="BO1714" s="89"/>
      <c r="BP1714" s="89"/>
    </row>
    <row r="1715" spans="1:68" s="56" customFormat="1" ht="13.5" hidden="1">
      <c r="A1715" s="204" t="str">
        <f>+IFERROR(VALUE(MID(AB1715,4,4)),"")</f>
        <v/>
      </c>
      <c r="B1715" s="204">
        <f>VALUE(RIGHT(C1715,LEN(C1715)-2))</f>
        <v>1010</v>
      </c>
      <c r="C1715" s="74" t="s">
        <v>6158</v>
      </c>
      <c r="D1715" s="75">
        <v>43538</v>
      </c>
      <c r="E1715" s="70" t="s">
        <v>277</v>
      </c>
      <c r="F1715" s="70" t="s">
        <v>277</v>
      </c>
      <c r="G1715" s="68"/>
      <c r="H1715" s="59"/>
      <c r="I1715" s="69" t="s">
        <v>6159</v>
      </c>
      <c r="J1715" s="69"/>
      <c r="K1715" s="68"/>
      <c r="L1715" s="69" t="s">
        <v>123</v>
      </c>
      <c r="M1715" s="71" t="s">
        <v>141</v>
      </c>
      <c r="N1715" s="69" t="e" vm="1">
        <v>#VALUE!</v>
      </c>
      <c r="O1715" s="84">
        <v>43553</v>
      </c>
      <c r="P1715" s="72"/>
      <c r="Q1715" s="72"/>
      <c r="R1715" s="162"/>
      <c r="S1715" s="146"/>
      <c r="T1715" s="68" t="s">
        <v>165</v>
      </c>
      <c r="U1715" s="87"/>
      <c r="V1715" s="80">
        <v>43552</v>
      </c>
      <c r="W1715" s="73">
        <v>425</v>
      </c>
      <c r="X1715" s="73">
        <v>20.5</v>
      </c>
      <c r="Y1715" s="83">
        <f>IF(SUM(W1715:W1715)&gt;0,X1715/SUM(W1715:W1715)*1000000,"N/A")</f>
        <v>48235.294117647056</v>
      </c>
      <c r="Z1715" s="80"/>
      <c r="AA1715" s="80"/>
      <c r="AB1715" s="73"/>
      <c r="AC1715" s="153"/>
      <c r="AD1715" s="331"/>
      <c r="AE1715" s="57"/>
      <c r="AF1715" s="88"/>
      <c r="AG1715" s="182">
        <f>YEAR(D1715)</f>
        <v>2019</v>
      </c>
      <c r="AH1715" s="86" t="str">
        <f>+IF(AE1715=$AJ$22,MONTH(T1715),"")</f>
        <v/>
      </c>
      <c r="AI1715" s="86" t="str">
        <f>+IF(AF1715=$AJ$22,MONTH(U1715),"")</f>
        <v/>
      </c>
      <c r="AJ1715" s="86" t="str">
        <f>+IF(AG1715=$AJ$22,MONTH(V1715),"")</f>
        <v/>
      </c>
      <c r="AK1715" s="86" t="str">
        <f>+IF(AG1715=$AK$22,MONTH(V1715),"")</f>
        <v/>
      </c>
      <c r="AL1715" s="86" t="str">
        <f>+IF(AG1715=$AL$22,MONTH(V1715),"")</f>
        <v/>
      </c>
      <c r="AM1715" s="86" t="str">
        <f>+IF($AG1715=$AM$22,MONTH($D1715),"")</f>
        <v/>
      </c>
      <c r="AN1715" s="89" t="str">
        <f>+IF($AG1715=AN$22,MONTH($D1715),"")</f>
        <v/>
      </c>
      <c r="AO1715" s="89">
        <f>+IF($AG1715=AO$22,MONTH($D1715),"")</f>
        <v>3</v>
      </c>
      <c r="AP1715" s="89" t="str">
        <f>+IF($AG1715=AP$22,MONTH($D1715),"")</f>
        <v/>
      </c>
      <c r="AQ1715" s="89" t="str">
        <f>+IF($AG1715=AQ$22,MONTH($D1715),"")</f>
        <v/>
      </c>
      <c r="AR1715" s="89" t="str">
        <f>+IF($AG1715=AR$22,MONTH($D1715),"")</f>
        <v/>
      </c>
      <c r="AS1715" s="89" t="str">
        <f>+IF($AG1715=AS$22,MONTH($D1715),"")</f>
        <v/>
      </c>
      <c r="AT1715" s="89" t="str">
        <f>+IF($AG1715=AT$22,MONTH($D1715),"")</f>
        <v/>
      </c>
      <c r="AU1715" s="89" t="str">
        <f>+IF($AG1715=AU$22,MONTH($D1715),"")</f>
        <v/>
      </c>
      <c r="AV1715" s="89" t="str">
        <f>+IF($AG1715=AV$22,MONTH($D1715),"")</f>
        <v/>
      </c>
      <c r="AW1715" s="86" t="str">
        <f>+IF($AG1715=AW$22,MONTH($D1715),"")</f>
        <v/>
      </c>
      <c r="AX1715" s="86" t="str">
        <f>+IF($AG1715=AX$22,MONTH($D1715),"")</f>
        <v/>
      </c>
      <c r="AY1715" s="89"/>
      <c r="AZ1715" s="89"/>
      <c r="BA1715" s="89"/>
      <c r="BB1715" s="89"/>
      <c r="BC1715" s="89"/>
      <c r="BD1715" s="89"/>
      <c r="BE1715" s="89"/>
      <c r="BF1715" s="89"/>
      <c r="BG1715" s="89"/>
      <c r="BH1715" s="89"/>
      <c r="BI1715" s="89"/>
      <c r="BJ1715" s="89"/>
      <c r="BK1715" s="89"/>
      <c r="BL1715" s="89"/>
      <c r="BM1715" s="89"/>
      <c r="BN1715" s="89"/>
      <c r="BO1715" s="89"/>
      <c r="BP1715" s="89"/>
    </row>
    <row r="1716" spans="1:68" s="56" customFormat="1" ht="27" hidden="1">
      <c r="A1716" s="204" t="str">
        <f>+IFERROR(VALUE(MID(AB1716,4,4)),"")</f>
        <v/>
      </c>
      <c r="B1716" s="204">
        <f>VALUE(RIGHT(C1716,LEN(C1716)-2))</f>
        <v>1009</v>
      </c>
      <c r="C1716" s="74" t="s">
        <v>6160</v>
      </c>
      <c r="D1716" s="75">
        <v>43535</v>
      </c>
      <c r="E1716" s="70" t="s">
        <v>5475</v>
      </c>
      <c r="F1716" s="70" t="s">
        <v>5476</v>
      </c>
      <c r="G1716" s="68"/>
      <c r="H1716" s="59"/>
      <c r="I1716" s="69" t="s">
        <v>6161</v>
      </c>
      <c r="J1716" s="69"/>
      <c r="K1716" s="68"/>
      <c r="L1716" s="85" t="s">
        <v>123</v>
      </c>
      <c r="M1716" s="71" t="s">
        <v>141</v>
      </c>
      <c r="N1716" s="69" t="e" vm="1">
        <v>#VALUE!</v>
      </c>
      <c r="O1716" s="84">
        <v>43553</v>
      </c>
      <c r="P1716" s="72" t="s">
        <v>402</v>
      </c>
      <c r="Q1716" s="72"/>
      <c r="R1716" s="162"/>
      <c r="S1716" s="146" t="s">
        <v>6061</v>
      </c>
      <c r="T1716" s="68" t="s">
        <v>165</v>
      </c>
      <c r="U1716" s="87"/>
      <c r="V1716" s="80">
        <v>43552</v>
      </c>
      <c r="W1716" s="73">
        <v>945</v>
      </c>
      <c r="X1716" s="73">
        <f>89700*683.73/1000000</f>
        <v>61.330581000000002</v>
      </c>
      <c r="Y1716" s="83">
        <f>IF(SUM(W1716:W1716)&gt;0,X1716/SUM(W1716:W1716)*1000000,"N/A")</f>
        <v>64900.085714285713</v>
      </c>
      <c r="Z1716" s="80"/>
      <c r="AA1716" s="80"/>
      <c r="AB1716" s="73"/>
      <c r="AC1716" s="153"/>
      <c r="AD1716" s="331"/>
      <c r="AE1716" s="57"/>
      <c r="AF1716" s="88"/>
      <c r="AG1716" s="182">
        <f>YEAR(D1716)</f>
        <v>2019</v>
      </c>
      <c r="AH1716" s="86" t="str">
        <f>+IF(AE1716=$AJ$22,MONTH(T1716),"")</f>
        <v/>
      </c>
      <c r="AI1716" s="86" t="str">
        <f>+IF(AF1716=$AJ$22,MONTH(U1716),"")</f>
        <v/>
      </c>
      <c r="AJ1716" s="86" t="str">
        <f>+IF(AG1716=$AJ$22,MONTH(V1716),"")</f>
        <v/>
      </c>
      <c r="AK1716" s="86" t="str">
        <f>+IF(AG1716=$AK$22,MONTH(V1716),"")</f>
        <v/>
      </c>
      <c r="AL1716" s="86" t="str">
        <f>+IF(AG1716=$AL$22,MONTH(V1716),"")</f>
        <v/>
      </c>
      <c r="AM1716" s="86" t="str">
        <f>+IF($AG1716=$AM$22,MONTH($D1716),"")</f>
        <v/>
      </c>
      <c r="AN1716" s="89" t="str">
        <f>+IF($AG1716=AN$22,MONTH($D1716),"")</f>
        <v/>
      </c>
      <c r="AO1716" s="89">
        <f>+IF($AG1716=AO$22,MONTH($D1716),"")</f>
        <v>3</v>
      </c>
      <c r="AP1716" s="89" t="str">
        <f>+IF($AG1716=AP$22,MONTH($D1716),"")</f>
        <v/>
      </c>
      <c r="AQ1716" s="89" t="str">
        <f>+IF($AG1716=AQ$22,MONTH($D1716),"")</f>
        <v/>
      </c>
      <c r="AR1716" s="89" t="str">
        <f>+IF($AG1716=AR$22,MONTH($D1716),"")</f>
        <v/>
      </c>
      <c r="AS1716" s="89" t="str">
        <f>+IF($AG1716=AS$22,MONTH($D1716),"")</f>
        <v/>
      </c>
      <c r="AT1716" s="89" t="str">
        <f>+IF($AG1716=AT$22,MONTH($D1716),"")</f>
        <v/>
      </c>
      <c r="AU1716" s="89" t="str">
        <f>+IF($AG1716=AU$22,MONTH($D1716),"")</f>
        <v/>
      </c>
      <c r="AV1716" s="89" t="str">
        <f>+IF($AG1716=AV$22,MONTH($D1716),"")</f>
        <v/>
      </c>
      <c r="AW1716" s="86"/>
      <c r="AX1716" s="86"/>
      <c r="AY1716" s="89"/>
      <c r="AZ1716" s="89"/>
      <c r="BA1716" s="89"/>
      <c r="BB1716" s="89"/>
      <c r="BC1716" s="89"/>
      <c r="BD1716" s="89"/>
      <c r="BE1716" s="89"/>
      <c r="BF1716" s="89"/>
      <c r="BG1716" s="89"/>
      <c r="BH1716" s="89"/>
      <c r="BI1716" s="89"/>
      <c r="BJ1716" s="89"/>
      <c r="BK1716" s="89"/>
      <c r="BL1716" s="89"/>
      <c r="BM1716" s="89"/>
      <c r="BN1716" s="89"/>
      <c r="BO1716" s="89"/>
      <c r="BP1716" s="89"/>
    </row>
    <row r="1717" spans="1:68" s="56" customFormat="1" ht="53.25" hidden="1">
      <c r="A1717" s="204" t="str">
        <f>+IFERROR(VALUE(MID(AB1717,4,4)),"")</f>
        <v/>
      </c>
      <c r="B1717" s="204">
        <f>VALUE(RIGHT(C1717,LEN(C1717)-2))</f>
        <v>1008</v>
      </c>
      <c r="C1717" s="74" t="s">
        <v>6162</v>
      </c>
      <c r="D1717" s="75">
        <v>43535</v>
      </c>
      <c r="E1717" s="70" t="s">
        <v>4114</v>
      </c>
      <c r="F1717" s="70" t="s">
        <v>4114</v>
      </c>
      <c r="G1717" s="68"/>
      <c r="H1717" s="59"/>
      <c r="I1717" s="69" t="s">
        <v>6163</v>
      </c>
      <c r="J1717" s="69"/>
      <c r="K1717" s="68" t="s">
        <v>13</v>
      </c>
      <c r="L1717" s="69" t="s">
        <v>120</v>
      </c>
      <c r="M1717" s="71" t="s">
        <v>141</v>
      </c>
      <c r="N1717" s="69" t="e" vm="1">
        <v>#VALUE!</v>
      </c>
      <c r="O1717" s="84">
        <v>43545</v>
      </c>
      <c r="P1717" s="72" t="s">
        <v>5223</v>
      </c>
      <c r="Q1717" s="72"/>
      <c r="R1717" s="162"/>
      <c r="S1717" s="146" t="s">
        <v>6164</v>
      </c>
      <c r="T1717" s="68" t="s">
        <v>165</v>
      </c>
      <c r="U1717" s="87"/>
      <c r="V1717" s="80">
        <v>43552</v>
      </c>
      <c r="W1717" s="73">
        <v>20364</v>
      </c>
      <c r="X1717" s="73">
        <f>25897*27565.76/1000000</f>
        <v>713.87048671999992</v>
      </c>
      <c r="Y1717" s="83">
        <f>IF(SUM(W1717:W1717)&gt;0,X1717/SUM(W1717:W1717)*1000000,"N/A")</f>
        <v>35055.513981536045</v>
      </c>
      <c r="Z1717" s="80"/>
      <c r="AA1717" s="80"/>
      <c r="AB1717" s="73"/>
      <c r="AC1717" s="153"/>
      <c r="AD1717" s="331"/>
      <c r="AE1717" s="57"/>
      <c r="AF1717" s="88"/>
      <c r="AG1717" s="182">
        <f>YEAR(D1717)</f>
        <v>2019</v>
      </c>
      <c r="AH1717" s="86" t="str">
        <f>+IF(AE1717=$AJ$22,MONTH(T1717),"")</f>
        <v/>
      </c>
      <c r="AI1717" s="86" t="str">
        <f>+IF(AF1717=$AJ$22,MONTH(U1717),"")</f>
        <v/>
      </c>
      <c r="AJ1717" s="86" t="str">
        <f>+IF(AG1717=$AJ$22,MONTH(V1717),"")</f>
        <v/>
      </c>
      <c r="AK1717" s="86" t="str">
        <f>+IF(AG1717=$AK$22,MONTH(V1717),"")</f>
        <v/>
      </c>
      <c r="AL1717" s="86" t="str">
        <f>+IF(AG1717=$AL$22,MONTH(V1717),"")</f>
        <v/>
      </c>
      <c r="AM1717" s="86" t="str">
        <f>+IF($AG1717=$AM$22,MONTH($D1717),"")</f>
        <v/>
      </c>
      <c r="AN1717" s="89" t="str">
        <f>+IF($AG1717=AN$22,MONTH($D1717),"")</f>
        <v/>
      </c>
      <c r="AO1717" s="89">
        <f>+IF($AG1717=AO$22,MONTH($D1717),"")</f>
        <v>3</v>
      </c>
      <c r="AP1717" s="89" t="str">
        <f>+IF($AG1717=AP$22,MONTH($D1717),"")</f>
        <v/>
      </c>
      <c r="AQ1717" s="89" t="str">
        <f>+IF($AG1717=AQ$22,MONTH($D1717),"")</f>
        <v/>
      </c>
      <c r="AR1717" s="89" t="str">
        <f>+IF($AG1717=AR$22,MONTH($D1717),"")</f>
        <v/>
      </c>
      <c r="AS1717" s="89" t="str">
        <f>+IF($AG1717=AS$22,MONTH($D1717),"")</f>
        <v/>
      </c>
      <c r="AT1717" s="89" t="str">
        <f>+IF($AG1717=AT$22,MONTH($D1717),"")</f>
        <v/>
      </c>
      <c r="AU1717" s="89" t="str">
        <f>+IF($AG1717=AU$22,MONTH($D1717),"")</f>
        <v/>
      </c>
      <c r="AV1717" s="89" t="str">
        <f>+IF($AG1717=AV$22,MONTH($D1717),"")</f>
        <v/>
      </c>
      <c r="AW1717" s="86"/>
      <c r="AX1717" s="86"/>
      <c r="AY1717" s="89"/>
      <c r="AZ1717" s="89"/>
      <c r="BA1717" s="89"/>
      <c r="BB1717" s="89"/>
      <c r="BC1717" s="89"/>
      <c r="BD1717" s="89"/>
      <c r="BE1717" s="89"/>
      <c r="BF1717" s="89"/>
      <c r="BG1717" s="89"/>
      <c r="BH1717" s="89"/>
      <c r="BI1717" s="89"/>
      <c r="BJ1717" s="89"/>
      <c r="BK1717" s="89"/>
      <c r="BL1717" s="89"/>
      <c r="BM1717" s="89"/>
      <c r="BN1717" s="89"/>
      <c r="BO1717" s="89"/>
      <c r="BP1717" s="89"/>
    </row>
    <row r="1718" spans="1:68" s="56" customFormat="1" ht="40.5" hidden="1">
      <c r="A1718" s="204" t="str">
        <f>+IFERROR(VALUE(MID(AB1718,4,4)),"")</f>
        <v/>
      </c>
      <c r="B1718" s="204">
        <f>VALUE(RIGHT(C1718,LEN(C1718)-2))</f>
        <v>1007</v>
      </c>
      <c r="C1718" s="74" t="s">
        <v>6165</v>
      </c>
      <c r="D1718" s="75">
        <v>43532</v>
      </c>
      <c r="E1718" s="70" t="s">
        <v>848</v>
      </c>
      <c r="F1718" s="70" t="s">
        <v>848</v>
      </c>
      <c r="G1718" s="68"/>
      <c r="H1718" s="59"/>
      <c r="I1718" s="69" t="s">
        <v>6166</v>
      </c>
      <c r="J1718" s="69"/>
      <c r="K1718" s="68" t="s">
        <v>27</v>
      </c>
      <c r="L1718" s="69" t="s">
        <v>123</v>
      </c>
      <c r="M1718" s="71" t="s">
        <v>141</v>
      </c>
      <c r="N1718" s="69" t="e" vm="1">
        <v>#VALUE!</v>
      </c>
      <c r="O1718" s="84"/>
      <c r="P1718" s="72" t="s">
        <v>274</v>
      </c>
      <c r="Q1718" s="72"/>
      <c r="R1718" s="162"/>
      <c r="S1718" s="146" t="s">
        <v>6167</v>
      </c>
      <c r="T1718" s="68" t="s">
        <v>165</v>
      </c>
      <c r="U1718" s="87"/>
      <c r="V1718" s="80">
        <v>43677</v>
      </c>
      <c r="W1718" s="73">
        <v>1</v>
      </c>
      <c r="X1718" s="73"/>
      <c r="Y1718" s="83">
        <f>IF(SUM(W1718:W1718)&gt;0,X1718/SUM(W1718:W1718)*1000000,"N/A")</f>
        <v>0</v>
      </c>
      <c r="Z1718" s="80"/>
      <c r="AA1718" s="80"/>
      <c r="AB1718" s="73"/>
      <c r="AC1718" s="153"/>
      <c r="AD1718" s="331"/>
      <c r="AE1718" s="57"/>
      <c r="AF1718" s="88"/>
      <c r="AG1718" s="182">
        <f>YEAR(D1718)</f>
        <v>2019</v>
      </c>
      <c r="AH1718" s="86" t="str">
        <f>+IF(AE1718=$AJ$22,MONTH(T1718),"")</f>
        <v/>
      </c>
      <c r="AI1718" s="86" t="str">
        <f>+IF(AF1718=$AJ$22,MONTH(U1718),"")</f>
        <v/>
      </c>
      <c r="AJ1718" s="86" t="str">
        <f>+IF(AG1718=$AJ$22,MONTH(V1718),"")</f>
        <v/>
      </c>
      <c r="AK1718" s="86" t="str">
        <f>+IF(AG1718=$AK$22,MONTH(V1718),"")</f>
        <v/>
      </c>
      <c r="AL1718" s="86" t="str">
        <f>+IF(AG1718=$AL$22,MONTH(V1718),"")</f>
        <v/>
      </c>
      <c r="AM1718" s="86" t="str">
        <f>+IF($AG1718=$AM$22,MONTH($D1718),"")</f>
        <v/>
      </c>
      <c r="AN1718" s="89" t="str">
        <f>+IF($AG1718=AN$22,MONTH($D1718),"")</f>
        <v/>
      </c>
      <c r="AO1718" s="89">
        <f>+IF($AG1718=AO$22,MONTH($D1718),"")</f>
        <v>3</v>
      </c>
      <c r="AP1718" s="89" t="str">
        <f>+IF($AG1718=AP$22,MONTH($D1718),"")</f>
        <v/>
      </c>
      <c r="AQ1718" s="89" t="str">
        <f>+IF($AG1718=AQ$22,MONTH($D1718),"")</f>
        <v/>
      </c>
      <c r="AR1718" s="89" t="str">
        <f>+IF($AG1718=AR$22,MONTH($D1718),"")</f>
        <v/>
      </c>
      <c r="AS1718" s="89" t="str">
        <f>+IF($AG1718=AS$22,MONTH($D1718),"")</f>
        <v/>
      </c>
      <c r="AT1718" s="89" t="str">
        <f>+IF($AG1718=AT$22,MONTH($D1718),"")</f>
        <v/>
      </c>
      <c r="AU1718" s="89" t="str">
        <f>+IF($AG1718=AU$22,MONTH($D1718),"")</f>
        <v/>
      </c>
      <c r="AV1718" s="89" t="str">
        <f>+IF($AG1718=AV$22,MONTH($D1718),"")</f>
        <v/>
      </c>
      <c r="AW1718" s="86"/>
      <c r="AX1718" s="86"/>
      <c r="AY1718" s="89"/>
      <c r="AZ1718" s="89"/>
      <c r="BA1718" s="89"/>
      <c r="BB1718" s="89"/>
      <c r="BC1718" s="89"/>
      <c r="BD1718" s="89"/>
      <c r="BE1718" s="89"/>
      <c r="BF1718" s="89"/>
      <c r="BG1718" s="89"/>
      <c r="BH1718" s="89"/>
      <c r="BI1718" s="89"/>
      <c r="BJ1718" s="89"/>
      <c r="BK1718" s="89"/>
      <c r="BL1718" s="89"/>
      <c r="BM1718" s="89"/>
      <c r="BN1718" s="89"/>
      <c r="BO1718" s="89"/>
      <c r="BP1718" s="89"/>
    </row>
    <row r="1719" spans="1:68" s="56" customFormat="1" ht="27" hidden="1">
      <c r="A1719" s="204" t="str">
        <f>+IFERROR(VALUE(MID(AB1719,4,4)),"")</f>
        <v/>
      </c>
      <c r="B1719" s="204">
        <f>VALUE(RIGHT(C1719,LEN(C1719)-2))</f>
        <v>1006</v>
      </c>
      <c r="C1719" s="74" t="s">
        <v>6168</v>
      </c>
      <c r="D1719" s="75">
        <v>43532</v>
      </c>
      <c r="E1719" s="70" t="s">
        <v>41</v>
      </c>
      <c r="F1719" s="70" t="s">
        <v>41</v>
      </c>
      <c r="G1719" s="68"/>
      <c r="H1719" s="59"/>
      <c r="I1719" s="69" t="s">
        <v>6169</v>
      </c>
      <c r="J1719" s="69"/>
      <c r="K1719" s="68" t="s">
        <v>13</v>
      </c>
      <c r="L1719" s="69" t="s">
        <v>120</v>
      </c>
      <c r="M1719" s="71" t="s">
        <v>141</v>
      </c>
      <c r="N1719" s="69" t="e" vm="1">
        <v>#VALUE!</v>
      </c>
      <c r="O1719" s="84">
        <v>43538</v>
      </c>
      <c r="P1719" s="72" t="s">
        <v>402</v>
      </c>
      <c r="Q1719" s="72"/>
      <c r="R1719" s="162"/>
      <c r="S1719" s="146" t="s">
        <v>6170</v>
      </c>
      <c r="T1719" s="68" t="s">
        <v>155</v>
      </c>
      <c r="U1719" s="87"/>
      <c r="V1719" s="80">
        <v>43552</v>
      </c>
      <c r="W1719" s="73">
        <v>267</v>
      </c>
      <c r="X1719" s="73">
        <f>273*27565.76/1000000</f>
        <v>7.5254524799999993</v>
      </c>
      <c r="Y1719" s="83">
        <f>IF(SUM(W1719:W1719)&gt;0,X1719/SUM(W1719:W1719)*1000000,"N/A")</f>
        <v>28185.215280898872</v>
      </c>
      <c r="Z1719" s="80"/>
      <c r="AA1719" s="80"/>
      <c r="AB1719" s="73"/>
      <c r="AC1719" s="153"/>
      <c r="AD1719" s="331"/>
      <c r="AE1719" s="57"/>
      <c r="AF1719" s="88"/>
      <c r="AG1719" s="182">
        <f>YEAR(D1719)</f>
        <v>2019</v>
      </c>
      <c r="AH1719" s="86" t="str">
        <f>+IF(AE1719=$AJ$22,MONTH(T1719),"")</f>
        <v/>
      </c>
      <c r="AI1719" s="86" t="str">
        <f>+IF(AF1719=$AJ$22,MONTH(U1719),"")</f>
        <v/>
      </c>
      <c r="AJ1719" s="86" t="str">
        <f>+IF(AG1719=$AJ$22,MONTH(V1719),"")</f>
        <v/>
      </c>
      <c r="AK1719" s="86" t="str">
        <f>+IF(AG1719=$AK$22,MONTH(V1719),"")</f>
        <v/>
      </c>
      <c r="AL1719" s="86" t="str">
        <f>+IF(AG1719=$AL$22,MONTH(V1719),"")</f>
        <v/>
      </c>
      <c r="AM1719" s="86" t="str">
        <f>+IF($AG1719=$AM$22,MONTH($D1719),"")</f>
        <v/>
      </c>
      <c r="AN1719" s="89" t="str">
        <f>+IF($AG1719=AN$22,MONTH($D1719),"")</f>
        <v/>
      </c>
      <c r="AO1719" s="89">
        <f>+IF($AG1719=AO$22,MONTH($D1719),"")</f>
        <v>3</v>
      </c>
      <c r="AP1719" s="89" t="str">
        <f>+IF($AG1719=AP$22,MONTH($D1719),"")</f>
        <v/>
      </c>
      <c r="AQ1719" s="89" t="str">
        <f>+IF($AG1719=AQ$22,MONTH($D1719),"")</f>
        <v/>
      </c>
      <c r="AR1719" s="89" t="str">
        <f>+IF($AG1719=AR$22,MONTH($D1719),"")</f>
        <v/>
      </c>
      <c r="AS1719" s="89" t="str">
        <f>+IF($AG1719=AS$22,MONTH($D1719),"")</f>
        <v/>
      </c>
      <c r="AT1719" s="89" t="str">
        <f>+IF($AG1719=AT$22,MONTH($D1719),"")</f>
        <v/>
      </c>
      <c r="AU1719" s="89" t="str">
        <f>+IF($AG1719=AU$22,MONTH($D1719),"")</f>
        <v/>
      </c>
      <c r="AV1719" s="89" t="str">
        <f>+IF($AG1719=AV$22,MONTH($D1719),"")</f>
        <v/>
      </c>
      <c r="AW1719" s="86"/>
      <c r="AX1719" s="86"/>
      <c r="AY1719" s="89"/>
      <c r="AZ1719" s="89"/>
      <c r="BA1719" s="89"/>
      <c r="BB1719" s="89"/>
      <c r="BC1719" s="89"/>
      <c r="BD1719" s="89"/>
      <c r="BE1719" s="89"/>
      <c r="BF1719" s="89"/>
      <c r="BG1719" s="89"/>
      <c r="BH1719" s="89"/>
      <c r="BI1719" s="89"/>
      <c r="BJ1719" s="89"/>
      <c r="BK1719" s="89"/>
      <c r="BL1719" s="89"/>
      <c r="BM1719" s="89"/>
      <c r="BN1719" s="89"/>
      <c r="BO1719" s="89"/>
      <c r="BP1719" s="89"/>
    </row>
    <row r="1720" spans="1:68" s="56" customFormat="1" ht="40.5" hidden="1">
      <c r="A1720" s="204" t="str">
        <f>+IFERROR(VALUE(MID(AB1720,4,4)),"")</f>
        <v/>
      </c>
      <c r="B1720" s="204">
        <f>VALUE(RIGHT(C1720,LEN(C1720)-2))</f>
        <v>1005</v>
      </c>
      <c r="C1720" s="74" t="s">
        <v>6171</v>
      </c>
      <c r="D1720" s="75">
        <v>43531</v>
      </c>
      <c r="E1720" s="70" t="s">
        <v>277</v>
      </c>
      <c r="F1720" s="70" t="s">
        <v>277</v>
      </c>
      <c r="G1720" s="68"/>
      <c r="H1720" s="59"/>
      <c r="I1720" s="69" t="s">
        <v>6172</v>
      </c>
      <c r="J1720" s="69"/>
      <c r="K1720" s="68" t="s">
        <v>11</v>
      </c>
      <c r="L1720" s="69" t="s">
        <v>120</v>
      </c>
      <c r="M1720" s="71" t="s">
        <v>141</v>
      </c>
      <c r="N1720" s="69" t="e" vm="1">
        <v>#VALUE!</v>
      </c>
      <c r="O1720" s="84">
        <v>43537</v>
      </c>
      <c r="P1720" s="72" t="s">
        <v>402</v>
      </c>
      <c r="Q1720" s="72"/>
      <c r="R1720" s="162"/>
      <c r="S1720" s="146" t="s">
        <v>6173</v>
      </c>
      <c r="T1720" s="68" t="s">
        <v>165</v>
      </c>
      <c r="U1720" s="87"/>
      <c r="V1720" s="80">
        <v>43552</v>
      </c>
      <c r="W1720" s="73">
        <v>2796</v>
      </c>
      <c r="X1720" s="73">
        <f>99307302/1000000</f>
        <v>99.307302000000007</v>
      </c>
      <c r="Y1720" s="83">
        <f>IF(SUM(W1720:W1720)&gt;0,X1720/SUM(W1720:W1720)*1000000,"N/A")</f>
        <v>35517.633047210307</v>
      </c>
      <c r="Z1720" s="80"/>
      <c r="AA1720" s="80"/>
      <c r="AB1720" s="73"/>
      <c r="AC1720" s="153"/>
      <c r="AD1720" s="331"/>
      <c r="AE1720" s="57"/>
      <c r="AF1720" s="88"/>
      <c r="AG1720" s="182">
        <f>YEAR(D1720)</f>
        <v>2019</v>
      </c>
      <c r="AH1720" s="86" t="str">
        <f>+IF(AE1720=$AJ$22,MONTH(T1720),"")</f>
        <v/>
      </c>
      <c r="AI1720" s="86" t="str">
        <f>+IF(AF1720=$AJ$22,MONTH(U1720),"")</f>
        <v/>
      </c>
      <c r="AJ1720" s="86" t="str">
        <f>+IF(AG1720=$AJ$22,MONTH(V1720),"")</f>
        <v/>
      </c>
      <c r="AK1720" s="86" t="str">
        <f>+IF(AG1720=$AK$22,MONTH(V1720),"")</f>
        <v/>
      </c>
      <c r="AL1720" s="86" t="str">
        <f>+IF(AG1720=$AL$22,MONTH(V1720),"")</f>
        <v/>
      </c>
      <c r="AM1720" s="86" t="str">
        <f>+IF($AG1720=$AM$22,MONTH($D1720),"")</f>
        <v/>
      </c>
      <c r="AN1720" s="89" t="str">
        <f>+IF($AG1720=AN$22,MONTH($D1720),"")</f>
        <v/>
      </c>
      <c r="AO1720" s="89">
        <f>+IF($AG1720=AO$22,MONTH($D1720),"")</f>
        <v>3</v>
      </c>
      <c r="AP1720" s="89" t="str">
        <f>+IF($AG1720=AP$22,MONTH($D1720),"")</f>
        <v/>
      </c>
      <c r="AQ1720" s="89" t="str">
        <f>+IF($AG1720=AQ$22,MONTH($D1720),"")</f>
        <v/>
      </c>
      <c r="AR1720" s="89" t="str">
        <f>+IF($AG1720=AR$22,MONTH($D1720),"")</f>
        <v/>
      </c>
      <c r="AS1720" s="89" t="str">
        <f>+IF($AG1720=AS$22,MONTH($D1720),"")</f>
        <v/>
      </c>
      <c r="AT1720" s="89" t="str">
        <f>+IF($AG1720=AT$22,MONTH($D1720),"")</f>
        <v/>
      </c>
      <c r="AU1720" s="89" t="str">
        <f>+IF($AG1720=AU$22,MONTH($D1720),"")</f>
        <v/>
      </c>
      <c r="AV1720" s="89" t="str">
        <f>+IF($AG1720=AV$22,MONTH($D1720),"")</f>
        <v/>
      </c>
      <c r="AW1720" s="86"/>
      <c r="AX1720" s="86"/>
      <c r="AY1720" s="89"/>
      <c r="AZ1720" s="89"/>
      <c r="BA1720" s="89"/>
      <c r="BB1720" s="89"/>
      <c r="BC1720" s="89"/>
      <c r="BD1720" s="89"/>
      <c r="BE1720" s="89"/>
      <c r="BF1720" s="89"/>
      <c r="BG1720" s="89"/>
      <c r="BH1720" s="89"/>
      <c r="BI1720" s="89"/>
      <c r="BJ1720" s="89"/>
      <c r="BK1720" s="89"/>
      <c r="BL1720" s="89"/>
      <c r="BM1720" s="89"/>
      <c r="BN1720" s="89"/>
      <c r="BO1720" s="89"/>
      <c r="BP1720" s="89"/>
    </row>
    <row r="1721" spans="1:68" s="56" customFormat="1" ht="40.5" hidden="1">
      <c r="A1721" s="204" t="str">
        <f>+IFERROR(VALUE(MID(AB1721,4,4)),"")</f>
        <v/>
      </c>
      <c r="B1721" s="204">
        <f>VALUE(RIGHT(C1721,LEN(C1721)-2))</f>
        <v>1004</v>
      </c>
      <c r="C1721" s="74" t="s">
        <v>6174</v>
      </c>
      <c r="D1721" s="75">
        <v>43531</v>
      </c>
      <c r="E1721" s="70" t="s">
        <v>277</v>
      </c>
      <c r="F1721" s="70" t="s">
        <v>277</v>
      </c>
      <c r="G1721" s="68"/>
      <c r="H1721" s="59"/>
      <c r="I1721" s="69" t="s">
        <v>6175</v>
      </c>
      <c r="J1721" s="69"/>
      <c r="K1721" s="68" t="s">
        <v>12</v>
      </c>
      <c r="L1721" s="69" t="s">
        <v>120</v>
      </c>
      <c r="M1721" s="71" t="s">
        <v>141</v>
      </c>
      <c r="N1721" s="69" t="e" vm="1">
        <v>#VALUE!</v>
      </c>
      <c r="O1721" s="84">
        <v>43538</v>
      </c>
      <c r="P1721" s="72" t="s">
        <v>402</v>
      </c>
      <c r="Q1721" s="72"/>
      <c r="R1721" s="162"/>
      <c r="S1721" s="146" t="s">
        <v>6173</v>
      </c>
      <c r="T1721" s="68" t="s">
        <v>165</v>
      </c>
      <c r="U1721" s="87"/>
      <c r="V1721" s="80">
        <v>43552</v>
      </c>
      <c r="W1721" s="73">
        <v>432</v>
      </c>
      <c r="X1721" s="73">
        <f>15101184/1000000</f>
        <v>15.101184</v>
      </c>
      <c r="Y1721" s="83">
        <f>IF(SUM(W1721:W1721)&gt;0,X1721/SUM(W1721:W1721)*1000000,"N/A")</f>
        <v>34956.444444444445</v>
      </c>
      <c r="Z1721" s="80"/>
      <c r="AA1721" s="80"/>
      <c r="AB1721" s="73"/>
      <c r="AC1721" s="153"/>
      <c r="AD1721" s="331"/>
      <c r="AE1721" s="57"/>
      <c r="AF1721" s="88"/>
      <c r="AG1721" s="182">
        <f>YEAR(D1721)</f>
        <v>2019</v>
      </c>
      <c r="AH1721" s="86" t="str">
        <f>+IF(AE1721=$AJ$22,MONTH(T1721),"")</f>
        <v/>
      </c>
      <c r="AI1721" s="86" t="str">
        <f>+IF(AF1721=$AJ$22,MONTH(U1721),"")</f>
        <v/>
      </c>
      <c r="AJ1721" s="86" t="str">
        <f>+IF(AG1721=$AJ$22,MONTH(V1721),"")</f>
        <v/>
      </c>
      <c r="AK1721" s="86" t="str">
        <f>+IF(AG1721=$AK$22,MONTH(V1721),"")</f>
        <v/>
      </c>
      <c r="AL1721" s="86" t="str">
        <f>+IF(AG1721=$AL$22,MONTH(V1721),"")</f>
        <v/>
      </c>
      <c r="AM1721" s="86" t="str">
        <f>+IF($AG1721=$AM$22,MONTH($D1721),"")</f>
        <v/>
      </c>
      <c r="AN1721" s="89" t="str">
        <f>+IF($AG1721=AN$22,MONTH($D1721),"")</f>
        <v/>
      </c>
      <c r="AO1721" s="89">
        <f>+IF($AG1721=AO$22,MONTH($D1721),"")</f>
        <v>3</v>
      </c>
      <c r="AP1721" s="89" t="str">
        <f>+IF($AG1721=AP$22,MONTH($D1721),"")</f>
        <v/>
      </c>
      <c r="AQ1721" s="89" t="str">
        <f>+IF($AG1721=AQ$22,MONTH($D1721),"")</f>
        <v/>
      </c>
      <c r="AR1721" s="89" t="str">
        <f>+IF($AG1721=AR$22,MONTH($D1721),"")</f>
        <v/>
      </c>
      <c r="AS1721" s="89" t="str">
        <f>+IF($AG1721=AS$22,MONTH($D1721),"")</f>
        <v/>
      </c>
      <c r="AT1721" s="89" t="str">
        <f>+IF($AG1721=AT$22,MONTH($D1721),"")</f>
        <v/>
      </c>
      <c r="AU1721" s="89" t="str">
        <f>+IF($AG1721=AU$22,MONTH($D1721),"")</f>
        <v/>
      </c>
      <c r="AV1721" s="89" t="str">
        <f>+IF($AG1721=AV$22,MONTH($D1721),"")</f>
        <v/>
      </c>
      <c r="AW1721" s="86"/>
      <c r="AX1721" s="86"/>
      <c r="AY1721" s="89"/>
      <c r="AZ1721" s="89"/>
      <c r="BA1721" s="89"/>
      <c r="BB1721" s="89"/>
      <c r="BC1721" s="89"/>
      <c r="BD1721" s="89"/>
      <c r="BE1721" s="89"/>
      <c r="BF1721" s="89"/>
      <c r="BG1721" s="89"/>
      <c r="BH1721" s="89"/>
      <c r="BI1721" s="89"/>
      <c r="BJ1721" s="89"/>
      <c r="BK1721" s="89"/>
      <c r="BL1721" s="89"/>
      <c r="BM1721" s="89"/>
      <c r="BN1721" s="89"/>
      <c r="BO1721" s="89"/>
      <c r="BP1721" s="89"/>
    </row>
    <row r="1722" spans="1:68" s="56" customFormat="1" ht="13.5" hidden="1">
      <c r="A1722" s="204">
        <f>+IFERROR(VALUE(MID(AB1722,4,4)),"")</f>
        <v>219</v>
      </c>
      <c r="B1722" s="204">
        <f>VALUE(RIGHT(C1722,LEN(C1722)-2))</f>
        <v>1003</v>
      </c>
      <c r="C1722" s="74" t="s">
        <v>6176</v>
      </c>
      <c r="D1722" s="75">
        <v>43521</v>
      </c>
      <c r="E1722" s="70" t="s">
        <v>41</v>
      </c>
      <c r="F1722" s="70" t="s">
        <v>41</v>
      </c>
      <c r="G1722" s="68"/>
      <c r="H1722" s="59"/>
      <c r="I1722" s="69" t="s">
        <v>6177</v>
      </c>
      <c r="J1722" s="69"/>
      <c r="K1722" s="68" t="s">
        <v>27</v>
      </c>
      <c r="L1722" s="69" t="s">
        <v>123</v>
      </c>
      <c r="M1722" s="71" t="s">
        <v>141</v>
      </c>
      <c r="N1722" s="69" t="e" vm="1">
        <v>#VALUE!</v>
      </c>
      <c r="O1722" s="84"/>
      <c r="P1722" s="72" t="s">
        <v>402</v>
      </c>
      <c r="Q1722" s="72" t="s">
        <v>405</v>
      </c>
      <c r="R1722" s="162"/>
      <c r="S1722" s="146"/>
      <c r="T1722" s="68" t="s">
        <v>3</v>
      </c>
      <c r="U1722" s="87"/>
      <c r="V1722" s="80"/>
      <c r="W1722" s="73">
        <v>1</v>
      </c>
      <c r="X1722" s="73"/>
      <c r="Y1722" s="83">
        <f>IF(SUM(W1722:W1722)&gt;0,X1722/SUM(W1722:W1722)*1000000,"N/A")</f>
        <v>0</v>
      </c>
      <c r="Z1722" s="80"/>
      <c r="AA1722" s="80"/>
      <c r="AB1722" s="73" t="s">
        <v>6178</v>
      </c>
      <c r="AC1722" s="153"/>
      <c r="AD1722" s="331"/>
      <c r="AE1722" s="57"/>
      <c r="AF1722" s="88"/>
      <c r="AG1722" s="182">
        <f>YEAR(D1722)</f>
        <v>2019</v>
      </c>
      <c r="AH1722" s="86" t="str">
        <f>+IF(AE1722=$AJ$22,MONTH(T1722),"")</f>
        <v/>
      </c>
      <c r="AI1722" s="86" t="str">
        <f>+IF(AF1722=$AJ$22,MONTH(U1722),"")</f>
        <v/>
      </c>
      <c r="AJ1722" s="86" t="str">
        <f>+IF(AG1722=$AJ$22,MONTH(V1722),"")</f>
        <v/>
      </c>
      <c r="AK1722" s="86" t="str">
        <f>+IF(AG1722=$AK$22,MONTH(V1722),"")</f>
        <v/>
      </c>
      <c r="AL1722" s="86" t="str">
        <f>+IF(AG1722=$AL$22,MONTH(V1722),"")</f>
        <v/>
      </c>
      <c r="AM1722" s="86" t="str">
        <f>+IF($AG1722=$AM$22,MONTH($D1722),"")</f>
        <v/>
      </c>
      <c r="AN1722" s="89" t="str">
        <f>+IF($AG1722=AN$22,MONTH($D1722),"")</f>
        <v/>
      </c>
      <c r="AO1722" s="89">
        <f>+IF($AG1722=AO$22,MONTH($D1722),"")</f>
        <v>2</v>
      </c>
      <c r="AP1722" s="89" t="str">
        <f>+IF($AG1722=AP$22,MONTH($D1722),"")</f>
        <v/>
      </c>
      <c r="AQ1722" s="89" t="str">
        <f>+IF($AG1722=AQ$22,MONTH($D1722),"")</f>
        <v/>
      </c>
      <c r="AR1722" s="89" t="str">
        <f>+IF($AG1722=AR$22,MONTH($D1722),"")</f>
        <v/>
      </c>
      <c r="AS1722" s="89" t="str">
        <f>+IF($AG1722=AS$22,MONTH($D1722),"")</f>
        <v/>
      </c>
      <c r="AT1722" s="89" t="str">
        <f>+IF($AG1722=AT$22,MONTH($D1722),"")</f>
        <v/>
      </c>
      <c r="AU1722" s="89" t="str">
        <f>+IF($AG1722=AU$22,MONTH($D1722),"")</f>
        <v/>
      </c>
      <c r="AV1722" s="89" t="str">
        <f>+IF($AG1722=AV$22,MONTH($D1722),"")</f>
        <v/>
      </c>
      <c r="AW1722" s="86"/>
      <c r="AX1722" s="86"/>
      <c r="AY1722" s="89"/>
      <c r="AZ1722" s="89"/>
      <c r="BA1722" s="89"/>
      <c r="BB1722" s="89"/>
      <c r="BC1722" s="89"/>
      <c r="BD1722" s="89"/>
      <c r="BE1722" s="89"/>
      <c r="BF1722" s="89"/>
      <c r="BG1722" s="89"/>
      <c r="BH1722" s="89"/>
      <c r="BI1722" s="89"/>
      <c r="BJ1722" s="89"/>
      <c r="BK1722" s="89"/>
      <c r="BL1722" s="89"/>
      <c r="BM1722" s="89"/>
      <c r="BN1722" s="89"/>
      <c r="BO1722" s="89"/>
      <c r="BP1722" s="89"/>
    </row>
    <row r="1723" spans="1:68" s="56" customFormat="1" ht="13.5" hidden="1">
      <c r="A1723" s="204">
        <f>+IFERROR(VALUE(MID(AB1723,4,4)),"")</f>
        <v>215</v>
      </c>
      <c r="B1723" s="204">
        <f>VALUE(RIGHT(C1723,LEN(C1723)-2))</f>
        <v>1002</v>
      </c>
      <c r="C1723" s="74" t="s">
        <v>6179</v>
      </c>
      <c r="D1723" s="75">
        <v>43494</v>
      </c>
      <c r="E1723" s="70" t="s">
        <v>4114</v>
      </c>
      <c r="F1723" s="70" t="s">
        <v>4114</v>
      </c>
      <c r="G1723" s="68"/>
      <c r="H1723" s="59"/>
      <c r="I1723" s="69" t="s">
        <v>6180</v>
      </c>
      <c r="J1723" s="69"/>
      <c r="K1723" s="68" t="s">
        <v>12</v>
      </c>
      <c r="L1723" s="69" t="s">
        <v>120</v>
      </c>
      <c r="M1723" s="71" t="s">
        <v>141</v>
      </c>
      <c r="N1723" s="69" t="e" vm="1">
        <v>#VALUE!</v>
      </c>
      <c r="O1723" s="84"/>
      <c r="P1723" s="72" t="s">
        <v>5223</v>
      </c>
      <c r="Q1723" s="72" t="s">
        <v>316</v>
      </c>
      <c r="R1723" s="162"/>
      <c r="S1723" s="146"/>
      <c r="T1723" s="68" t="s">
        <v>3</v>
      </c>
      <c r="U1723" s="87"/>
      <c r="V1723" s="80">
        <v>43528</v>
      </c>
      <c r="W1723" s="73">
        <v>454</v>
      </c>
      <c r="X1723" s="73">
        <f>454*27561/1000000</f>
        <v>12.512694</v>
      </c>
      <c r="Y1723" s="83">
        <f>IF(SUM(W1723:W1723)&gt;0,X1723/SUM(W1723:W1723)*1000000,"N/A")</f>
        <v>27561</v>
      </c>
      <c r="Z1723" s="80"/>
      <c r="AA1723" s="80"/>
      <c r="AB1723" s="73" t="s">
        <v>6181</v>
      </c>
      <c r="AC1723" s="153"/>
      <c r="AD1723" s="331"/>
      <c r="AE1723" s="57"/>
      <c r="AF1723" s="88"/>
      <c r="AG1723" s="182">
        <f>YEAR(D1723)</f>
        <v>2019</v>
      </c>
      <c r="AH1723" s="86" t="str">
        <f>+IF(AE1723=$AJ$22,MONTH(T1723),"")</f>
        <v/>
      </c>
      <c r="AI1723" s="86" t="str">
        <f>+IF(AF1723=$AJ$22,MONTH(U1723),"")</f>
        <v/>
      </c>
      <c r="AJ1723" s="86" t="str">
        <f>+IF(AG1723=$AJ$22,MONTH(V1723),"")</f>
        <v/>
      </c>
      <c r="AK1723" s="86" t="str">
        <f>+IF(AG1723=$AK$22,MONTH(V1723),"")</f>
        <v/>
      </c>
      <c r="AL1723" s="86" t="str">
        <f>+IF(AG1723=$AL$22,MONTH(V1723),"")</f>
        <v/>
      </c>
      <c r="AM1723" s="86" t="str">
        <f>+IF($AG1723=$AM$22,MONTH($D1723),"")</f>
        <v/>
      </c>
      <c r="AN1723" s="89" t="str">
        <f>+IF($AG1723=AN$22,MONTH($D1723),"")</f>
        <v/>
      </c>
      <c r="AO1723" s="89">
        <f>+IF($AG1723=AO$22,MONTH($D1723),"")</f>
        <v>1</v>
      </c>
      <c r="AP1723" s="89" t="str">
        <f>+IF($AG1723=AP$22,MONTH($D1723),"")</f>
        <v/>
      </c>
      <c r="AQ1723" s="89" t="str">
        <f>+IF($AG1723=AQ$22,MONTH($D1723),"")</f>
        <v/>
      </c>
      <c r="AR1723" s="89" t="str">
        <f>+IF($AG1723=AR$22,MONTH($D1723),"")</f>
        <v/>
      </c>
      <c r="AS1723" s="89" t="str">
        <f>+IF($AG1723=AS$22,MONTH($D1723),"")</f>
        <v/>
      </c>
      <c r="AT1723" s="89" t="str">
        <f>+IF($AG1723=AT$22,MONTH($D1723),"")</f>
        <v/>
      </c>
      <c r="AU1723" s="89" t="str">
        <f>+IF($AG1723=AU$22,MONTH($D1723),"")</f>
        <v/>
      </c>
      <c r="AV1723" s="89" t="str">
        <f>+IF($AG1723=AV$22,MONTH($D1723),"")</f>
        <v/>
      </c>
      <c r="AW1723" s="86"/>
      <c r="AX1723" s="86"/>
      <c r="AY1723" s="89"/>
      <c r="AZ1723" s="89"/>
      <c r="BA1723" s="89"/>
      <c r="BB1723" s="89"/>
      <c r="BC1723" s="89"/>
      <c r="BD1723" s="89"/>
      <c r="BE1723" s="89"/>
      <c r="BF1723" s="89"/>
      <c r="BG1723" s="89"/>
      <c r="BH1723" s="89"/>
      <c r="BI1723" s="89"/>
      <c r="BJ1723" s="89"/>
      <c r="BK1723" s="89"/>
      <c r="BL1723" s="89"/>
      <c r="BM1723" s="89"/>
      <c r="BN1723" s="89"/>
      <c r="BO1723" s="89"/>
      <c r="BP1723" s="89"/>
    </row>
    <row r="1724" spans="1:68" s="56" customFormat="1" ht="13.5" hidden="1">
      <c r="A1724" s="204">
        <f>+IFERROR(VALUE(MID(AB1724,4,4)),"")</f>
        <v>197</v>
      </c>
      <c r="B1724" s="204">
        <f>VALUE(RIGHT(C1724,LEN(C1724)-2))</f>
        <v>1001</v>
      </c>
      <c r="C1724" s="74" t="s">
        <v>6182</v>
      </c>
      <c r="D1724" s="75">
        <v>43503</v>
      </c>
      <c r="E1724" s="70" t="s">
        <v>4664</v>
      </c>
      <c r="F1724" s="70" t="s">
        <v>4664</v>
      </c>
      <c r="G1724" s="68"/>
      <c r="H1724" s="59"/>
      <c r="I1724" s="69" t="s">
        <v>6183</v>
      </c>
      <c r="J1724" s="69"/>
      <c r="K1724" s="68"/>
      <c r="L1724" s="69" t="s">
        <v>120</v>
      </c>
      <c r="M1724" s="71" t="s">
        <v>113</v>
      </c>
      <c r="N1724" s="69" t="e" vm="2">
        <v>#VALUE!</v>
      </c>
      <c r="O1724" s="84"/>
      <c r="P1724" s="72" t="s">
        <v>402</v>
      </c>
      <c r="Q1724" s="72" t="s">
        <v>229</v>
      </c>
      <c r="R1724" s="162"/>
      <c r="S1724" s="146"/>
      <c r="T1724" s="68" t="s">
        <v>3</v>
      </c>
      <c r="U1724" s="87"/>
      <c r="V1724" s="80">
        <v>43516</v>
      </c>
      <c r="W1724" s="73">
        <v>150</v>
      </c>
      <c r="X1724" s="73">
        <f>23050*173.91/1000000</f>
        <v>4.0086255</v>
      </c>
      <c r="Y1724" s="83">
        <f>IF(SUM(W1724:W1724)&gt;0,X1724/SUM(W1724:W1724)*1000000,"N/A")</f>
        <v>26724.17</v>
      </c>
      <c r="Z1724" s="80"/>
      <c r="AA1724" s="80"/>
      <c r="AB1724" s="73" t="s">
        <v>5876</v>
      </c>
      <c r="AC1724" s="153"/>
      <c r="AD1724" s="331"/>
      <c r="AE1724" s="57"/>
      <c r="AF1724" s="88"/>
      <c r="AG1724" s="182">
        <f>YEAR(D1724)</f>
        <v>2019</v>
      </c>
      <c r="AH1724" s="86" t="str">
        <f>+IF(AE1724=$AJ$22,MONTH(T1724),"")</f>
        <v/>
      </c>
      <c r="AI1724" s="86" t="str">
        <f>+IF(AF1724=$AJ$22,MONTH(U1724),"")</f>
        <v/>
      </c>
      <c r="AJ1724" s="86" t="str">
        <f>+IF(AG1724=$AJ$22,MONTH(V1724),"")</f>
        <v/>
      </c>
      <c r="AK1724" s="86" t="str">
        <f>+IF(AG1724=$AK$22,MONTH(V1724),"")</f>
        <v/>
      </c>
      <c r="AL1724" s="86" t="str">
        <f>+IF(AG1724=$AL$22,MONTH(V1724),"")</f>
        <v/>
      </c>
      <c r="AM1724" s="86" t="str">
        <f>+IF($AG1724=$AM$22,MONTH($D1724),"")</f>
        <v/>
      </c>
      <c r="AN1724" s="89" t="str">
        <f>+IF($AG1724=AN$22,MONTH($D1724),"")</f>
        <v/>
      </c>
      <c r="AO1724" s="89">
        <f>+IF($AG1724=AO$22,MONTH($D1724),"")</f>
        <v>2</v>
      </c>
      <c r="AP1724" s="89" t="str">
        <f>+IF($AG1724=AP$22,MONTH($D1724),"")</f>
        <v/>
      </c>
      <c r="AQ1724" s="89" t="str">
        <f>+IF($AG1724=AQ$22,MONTH($D1724),"")</f>
        <v/>
      </c>
      <c r="AR1724" s="89" t="str">
        <f>+IF($AG1724=AR$22,MONTH($D1724),"")</f>
        <v/>
      </c>
      <c r="AS1724" s="89" t="str">
        <f>+IF($AG1724=AS$22,MONTH($D1724),"")</f>
        <v/>
      </c>
      <c r="AT1724" s="89" t="str">
        <f>+IF($AG1724=AT$22,MONTH($D1724),"")</f>
        <v/>
      </c>
      <c r="AU1724" s="89" t="str">
        <f>+IF($AG1724=AU$22,MONTH($D1724),"")</f>
        <v/>
      </c>
      <c r="AV1724" s="89" t="str">
        <f>+IF($AG1724=AV$22,MONTH($D1724),"")</f>
        <v/>
      </c>
      <c r="AW1724" s="86"/>
      <c r="AX1724" s="86"/>
      <c r="AY1724" s="89"/>
      <c r="AZ1724" s="89"/>
      <c r="BA1724" s="89"/>
      <c r="BB1724" s="89"/>
      <c r="BC1724" s="89"/>
      <c r="BD1724" s="89"/>
      <c r="BE1724" s="89"/>
      <c r="BF1724" s="89"/>
      <c r="BG1724" s="89"/>
      <c r="BH1724" s="89"/>
      <c r="BI1724" s="89"/>
      <c r="BJ1724" s="89"/>
      <c r="BK1724" s="89"/>
      <c r="BL1724" s="89"/>
      <c r="BM1724" s="89"/>
      <c r="BN1724" s="89"/>
      <c r="BO1724" s="89"/>
      <c r="BP1724" s="89"/>
    </row>
    <row r="1725" spans="1:68" s="56" customFormat="1" ht="13.5" hidden="1">
      <c r="A1725" s="204" t="str">
        <f>+IFERROR(VALUE(MID(AB1725,4,4)),"")</f>
        <v/>
      </c>
      <c r="B1725" s="204">
        <f>VALUE(RIGHT(C1725,LEN(C1725)-2))</f>
        <v>1000</v>
      </c>
      <c r="C1725" s="74" t="s">
        <v>6184</v>
      </c>
      <c r="D1725" s="75">
        <v>43503</v>
      </c>
      <c r="E1725" s="70" t="s">
        <v>346</v>
      </c>
      <c r="F1725" s="70" t="s">
        <v>346</v>
      </c>
      <c r="G1725" s="68"/>
      <c r="H1725" s="59"/>
      <c r="I1725" s="69" t="s">
        <v>6185</v>
      </c>
      <c r="J1725" s="69"/>
      <c r="K1725" s="68" t="s">
        <v>13</v>
      </c>
      <c r="L1725" s="69" t="s">
        <v>129</v>
      </c>
      <c r="M1725" s="71" t="s">
        <v>141</v>
      </c>
      <c r="N1725" s="69" t="e" vm="1">
        <v>#VALUE!</v>
      </c>
      <c r="O1725" s="84">
        <v>43522</v>
      </c>
      <c r="P1725" s="72" t="s">
        <v>402</v>
      </c>
      <c r="Q1725" s="72"/>
      <c r="R1725" s="162"/>
      <c r="S1725" s="146"/>
      <c r="T1725" s="68" t="s">
        <v>165</v>
      </c>
      <c r="U1725" s="87"/>
      <c r="V1725" s="80"/>
      <c r="W1725" s="73">
        <f>(2595+1212+782)</f>
        <v>4589</v>
      </c>
      <c r="X1725" s="73">
        <f>(90290590+40100840+27411800)/1000000</f>
        <v>157.80323000000001</v>
      </c>
      <c r="Y1725" s="83">
        <f>IF(SUM(W1725:W1725)&gt;0,X1725/SUM(W1725:W1725)*1000000,"N/A")</f>
        <v>34387.280453257794</v>
      </c>
      <c r="Z1725" s="80"/>
      <c r="AA1725" s="80"/>
      <c r="AB1725" s="73"/>
      <c r="AC1725" s="153"/>
      <c r="AD1725" s="331"/>
      <c r="AE1725" s="57"/>
      <c r="AF1725" s="88"/>
      <c r="AG1725" s="182">
        <f>YEAR(D1725)</f>
        <v>2019</v>
      </c>
      <c r="AH1725" s="86" t="str">
        <f>+IF(AE1725=$AJ$22,MONTH(T1725),"")</f>
        <v/>
      </c>
      <c r="AI1725" s="86" t="str">
        <f>+IF(AF1725=$AJ$22,MONTH(U1725),"")</f>
        <v/>
      </c>
      <c r="AJ1725" s="86" t="str">
        <f>+IF(AG1725=$AJ$22,MONTH(V1725),"")</f>
        <v/>
      </c>
      <c r="AK1725" s="86" t="str">
        <f>+IF(AG1725=$AK$22,MONTH(V1725),"")</f>
        <v/>
      </c>
      <c r="AL1725" s="86" t="str">
        <f>+IF(AG1725=$AL$22,MONTH(V1725),"")</f>
        <v/>
      </c>
      <c r="AM1725" s="86" t="str">
        <f>+IF($AG1725=$AM$22,MONTH($D1725),"")</f>
        <v/>
      </c>
      <c r="AN1725" s="89" t="str">
        <f>+IF($AG1725=AN$22,MONTH($D1725),"")</f>
        <v/>
      </c>
      <c r="AO1725" s="89">
        <f>+IF($AG1725=AO$22,MONTH($D1725),"")</f>
        <v>2</v>
      </c>
      <c r="AP1725" s="89" t="str">
        <f>+IF($AG1725=AP$22,MONTH($D1725),"")</f>
        <v/>
      </c>
      <c r="AQ1725" s="89" t="str">
        <f>+IF($AG1725=AQ$22,MONTH($D1725),"")</f>
        <v/>
      </c>
      <c r="AR1725" s="89" t="str">
        <f>+IF($AG1725=AR$22,MONTH($D1725),"")</f>
        <v/>
      </c>
      <c r="AS1725" s="89" t="str">
        <f>+IF($AG1725=AS$22,MONTH($D1725),"")</f>
        <v/>
      </c>
      <c r="AT1725" s="89" t="str">
        <f>+IF($AG1725=AT$22,MONTH($D1725),"")</f>
        <v/>
      </c>
      <c r="AU1725" s="89" t="str">
        <f>+IF($AG1725=AU$22,MONTH($D1725),"")</f>
        <v/>
      </c>
      <c r="AV1725" s="89" t="str">
        <f>+IF($AG1725=AV$22,MONTH($D1725),"")</f>
        <v/>
      </c>
      <c r="AW1725" s="86"/>
      <c r="AX1725" s="86"/>
      <c r="AY1725" s="89"/>
      <c r="AZ1725" s="89"/>
      <c r="BA1725" s="89"/>
      <c r="BB1725" s="89"/>
      <c r="BC1725" s="89"/>
      <c r="BD1725" s="89"/>
      <c r="BE1725" s="89"/>
      <c r="BF1725" s="89"/>
      <c r="BG1725" s="89"/>
      <c r="BH1725" s="89"/>
      <c r="BI1725" s="89"/>
      <c r="BJ1725" s="89"/>
      <c r="BK1725" s="89"/>
      <c r="BL1725" s="89"/>
      <c r="BM1725" s="89"/>
      <c r="BN1725" s="89"/>
      <c r="BO1725" s="89"/>
      <c r="BP1725" s="89"/>
    </row>
    <row r="1726" spans="1:68" s="56" customFormat="1" ht="13.5" hidden="1">
      <c r="A1726" s="204">
        <f>+IFERROR(VALUE(MID(AB1726,4,4)),"")</f>
        <v>214</v>
      </c>
      <c r="B1726" s="204">
        <f>VALUE(RIGHT(C1726,LEN(C1726)-2))</f>
        <v>999</v>
      </c>
      <c r="C1726" s="74" t="s">
        <v>6186</v>
      </c>
      <c r="D1726" s="75">
        <v>43503</v>
      </c>
      <c r="E1726" s="70" t="s">
        <v>685</v>
      </c>
      <c r="F1726" s="70" t="s">
        <v>685</v>
      </c>
      <c r="G1726" s="68"/>
      <c r="H1726" s="59"/>
      <c r="I1726" s="162" t="s">
        <v>6187</v>
      </c>
      <c r="J1726" s="162"/>
      <c r="K1726" s="68" t="s">
        <v>31</v>
      </c>
      <c r="L1726" s="69" t="s">
        <v>129</v>
      </c>
      <c r="M1726" s="71" t="s">
        <v>141</v>
      </c>
      <c r="N1726" s="69" t="e" vm="1">
        <v>#VALUE!</v>
      </c>
      <c r="O1726" s="164">
        <v>43511</v>
      </c>
      <c r="P1726" s="72" t="s">
        <v>4567</v>
      </c>
      <c r="Q1726" s="72" t="s">
        <v>13</v>
      </c>
      <c r="R1726" s="162"/>
      <c r="S1726" s="146"/>
      <c r="T1726" s="68" t="s">
        <v>3</v>
      </c>
      <c r="U1726" s="87"/>
      <c r="V1726" s="183">
        <v>43515</v>
      </c>
      <c r="W1726" s="73">
        <v>315</v>
      </c>
      <c r="X1726" s="73">
        <v>18.425000000000001</v>
      </c>
      <c r="Y1726" s="83">
        <f>IF(SUM(W1726:W1726)&gt;0,X1726/SUM(W1726:W1726)*1000000,"N/A")</f>
        <v>58492.063492063491</v>
      </c>
      <c r="Z1726" s="183"/>
      <c r="AA1726" s="183"/>
      <c r="AB1726" s="73" t="s">
        <v>6188</v>
      </c>
      <c r="AC1726" s="153"/>
      <c r="AD1726" s="331"/>
      <c r="AE1726" s="57"/>
      <c r="AF1726" s="88"/>
      <c r="AG1726" s="182">
        <f>YEAR(D1726)</f>
        <v>2019</v>
      </c>
      <c r="AH1726" s="86" t="str">
        <f>+IF(AE1726=$AJ$22,MONTH(T1726),"")</f>
        <v/>
      </c>
      <c r="AI1726" s="86" t="str">
        <f>+IF(AF1726=$AJ$22,MONTH(U1726),"")</f>
        <v/>
      </c>
      <c r="AJ1726" s="86" t="str">
        <f>+IF(AG1726=$AJ$22,MONTH(V1726),"")</f>
        <v/>
      </c>
      <c r="AK1726" s="86" t="str">
        <f>+IF(AG1726=$AK$22,MONTH(V1726),"")</f>
        <v/>
      </c>
      <c r="AL1726" s="86" t="str">
        <f>+IF(AG1726=$AL$22,MONTH(V1726),"")</f>
        <v/>
      </c>
      <c r="AM1726" s="86" t="str">
        <f>+IF($AG1726=$AM$22,MONTH($D1726),"")</f>
        <v/>
      </c>
      <c r="AN1726" s="89" t="str">
        <f>+IF($AG1726=AN$22,MONTH($D1726),"")</f>
        <v/>
      </c>
      <c r="AO1726" s="89">
        <f>+IF($AG1726=AO$22,MONTH($D1726),"")</f>
        <v>2</v>
      </c>
      <c r="AP1726" s="89" t="str">
        <f>+IF($AG1726=AP$22,MONTH($D1726),"")</f>
        <v/>
      </c>
      <c r="AQ1726" s="89" t="str">
        <f>+IF($AG1726=AQ$22,MONTH($D1726),"")</f>
        <v/>
      </c>
      <c r="AR1726" s="89" t="str">
        <f>+IF($AG1726=AR$22,MONTH($D1726),"")</f>
        <v/>
      </c>
      <c r="AS1726" s="89" t="str">
        <f>+IF($AG1726=AS$22,MONTH($D1726),"")</f>
        <v/>
      </c>
      <c r="AT1726" s="89" t="str">
        <f>+IF($AG1726=AT$22,MONTH($D1726),"")</f>
        <v/>
      </c>
      <c r="AU1726" s="89" t="str">
        <f>+IF($AG1726=AU$22,MONTH($D1726),"")</f>
        <v/>
      </c>
      <c r="AV1726" s="89" t="str">
        <f>+IF($AG1726=AV$22,MONTH($D1726),"")</f>
        <v/>
      </c>
      <c r="AW1726" s="86" t="str">
        <f>+IF($AG1726=AW$22,MONTH($D1726),"")</f>
        <v/>
      </c>
      <c r="AX1726" s="86" t="str">
        <f>+IF($AG1726=AX$22,MONTH($D1726),"")</f>
        <v/>
      </c>
      <c r="AY1726" s="182"/>
      <c r="AZ1726" s="2"/>
      <c r="BA1726" s="2"/>
      <c r="BB1726" s="2">
        <v>402</v>
      </c>
      <c r="BC1726" s="2"/>
      <c r="BD1726" s="2">
        <f>IF(T1726="pg",1,0)</f>
        <v>1</v>
      </c>
      <c r="BE1726" s="2">
        <f>IF(T1726="dp",1,0)</f>
        <v>0</v>
      </c>
      <c r="BF1726" s="2">
        <f>IF(T1726="pp",1,0)</f>
        <v>0</v>
      </c>
      <c r="BG1726" s="2">
        <f>IF(T1726="pg",W1726,0)</f>
        <v>315</v>
      </c>
      <c r="BH1726" s="192">
        <f>IF(T1726="pp",W1726,0)</f>
        <v>0</v>
      </c>
      <c r="BI1726" s="192">
        <f>IF(T1726="dp",W1726,0)</f>
        <v>0</v>
      </c>
      <c r="BJ1726" s="89"/>
      <c r="BK1726" s="89"/>
      <c r="BL1726" s="89"/>
      <c r="BM1726" s="89"/>
      <c r="BN1726" s="89"/>
      <c r="BO1726" s="89"/>
      <c r="BP1726" s="89"/>
    </row>
    <row r="1727" spans="1:68" s="56" customFormat="1" ht="27" hidden="1">
      <c r="A1727" s="204" t="str">
        <f>+IFERROR(VALUE(MID(AB1727,4,4)),"")</f>
        <v/>
      </c>
      <c r="B1727" s="204">
        <f>VALUE(RIGHT(C1727,LEN(C1727)-2))</f>
        <v>998</v>
      </c>
      <c r="C1727" s="74" t="s">
        <v>6189</v>
      </c>
      <c r="D1727" s="75">
        <v>43497</v>
      </c>
      <c r="E1727" s="70" t="s">
        <v>5621</v>
      </c>
      <c r="F1727" s="70" t="s">
        <v>5621</v>
      </c>
      <c r="G1727" s="68"/>
      <c r="H1727" s="59"/>
      <c r="I1727" s="162" t="s">
        <v>6190</v>
      </c>
      <c r="J1727" s="162"/>
      <c r="K1727" s="68" t="s">
        <v>11</v>
      </c>
      <c r="L1727" s="69" t="s">
        <v>120</v>
      </c>
      <c r="M1727" s="71" t="s">
        <v>141</v>
      </c>
      <c r="N1727" s="69" t="e" vm="1">
        <v>#VALUE!</v>
      </c>
      <c r="O1727" s="164">
        <v>43521</v>
      </c>
      <c r="P1727" s="72" t="s">
        <v>402</v>
      </c>
      <c r="Q1727" s="72"/>
      <c r="R1727" s="162"/>
      <c r="S1727" s="146" t="s">
        <v>6191</v>
      </c>
      <c r="T1727" s="68" t="s">
        <v>155</v>
      </c>
      <c r="U1727" s="87"/>
      <c r="V1727" s="183"/>
      <c r="W1727" s="73"/>
      <c r="X1727" s="73"/>
      <c r="Y1727" s="83" t="str">
        <f>IF(SUM(W1727:W1727)&gt;0,X1727/SUM(W1727:W1727)*1000000,"N/A")</f>
        <v>N/A</v>
      </c>
      <c r="Z1727" s="183"/>
      <c r="AA1727" s="183"/>
      <c r="AB1727" s="73"/>
      <c r="AC1727" s="153"/>
      <c r="AD1727" s="331"/>
      <c r="AE1727" s="57"/>
      <c r="AF1727" s="88"/>
      <c r="AG1727" s="182">
        <f>YEAR(D1727)</f>
        <v>2019</v>
      </c>
      <c r="AH1727" s="86" t="str">
        <f>+IF(AE1727=$AJ$22,MONTH(T1727),"")</f>
        <v/>
      </c>
      <c r="AI1727" s="86" t="str">
        <f>+IF(AF1727=$AJ$22,MONTH(U1727),"")</f>
        <v/>
      </c>
      <c r="AJ1727" s="86" t="str">
        <f>+IF(AG1727=$AJ$22,MONTH(V1727),"")</f>
        <v/>
      </c>
      <c r="AK1727" s="86" t="str">
        <f>+IF(AG1727=$AK$22,MONTH(V1727),"")</f>
        <v/>
      </c>
      <c r="AL1727" s="86" t="str">
        <f>+IF(AG1727=$AL$22,MONTH(V1727),"")</f>
        <v/>
      </c>
      <c r="AM1727" s="86" t="str">
        <f>+IF($AG1727=$AM$22,MONTH($D1727),"")</f>
        <v/>
      </c>
      <c r="AN1727" s="89" t="str">
        <f>+IF($AG1727=AN$22,MONTH($D1727),"")</f>
        <v/>
      </c>
      <c r="AO1727" s="89">
        <f>+IF($AG1727=AO$22,MONTH($D1727),"")</f>
        <v>2</v>
      </c>
      <c r="AP1727" s="89" t="str">
        <f>+IF($AG1727=AP$22,MONTH($D1727),"")</f>
        <v/>
      </c>
      <c r="AQ1727" s="89" t="str">
        <f>+IF($AG1727=AQ$22,MONTH($D1727),"")</f>
        <v/>
      </c>
      <c r="AR1727" s="89" t="str">
        <f>+IF($AG1727=AR$22,MONTH($D1727),"")</f>
        <v/>
      </c>
      <c r="AS1727" s="89" t="str">
        <f>+IF($AG1727=AS$22,MONTH($D1727),"")</f>
        <v/>
      </c>
      <c r="AT1727" s="89" t="str">
        <f>+IF($AG1727=AT$22,MONTH($D1727),"")</f>
        <v/>
      </c>
      <c r="AU1727" s="89" t="str">
        <f>+IF($AG1727=AU$22,MONTH($D1727),"")</f>
        <v/>
      </c>
      <c r="AV1727" s="89" t="str">
        <f>+IF($AG1727=AV$22,MONTH($D1727),"")</f>
        <v/>
      </c>
      <c r="AW1727" s="86" t="str">
        <f>+IF($AG1727=AW$22,MONTH($D1727),"")</f>
        <v/>
      </c>
      <c r="AX1727" s="86" t="str">
        <f>+IF($AG1727=AX$22,MONTH($D1727),"")</f>
        <v/>
      </c>
      <c r="AY1727" s="182"/>
      <c r="AZ1727" s="2"/>
      <c r="BA1727" s="2"/>
      <c r="BB1727" s="2"/>
      <c r="BC1727" s="2">
        <v>1</v>
      </c>
      <c r="BD1727" s="2">
        <f>IF(T1727="pg",1,0)</f>
        <v>0</v>
      </c>
      <c r="BE1727" s="2">
        <f>IF(T1727="dp",1,0)</f>
        <v>0</v>
      </c>
      <c r="BF1727" s="2">
        <f>IF(T1727="pp",1,0)</f>
        <v>0</v>
      </c>
      <c r="BG1727" s="2">
        <f>IF(T1727="pg",W1727,0)</f>
        <v>0</v>
      </c>
      <c r="BH1727" s="192">
        <f>IF(T1727="pp",W1727,0)</f>
        <v>0</v>
      </c>
      <c r="BI1727" s="192">
        <f>IF(T1727="dp",W1727,0)</f>
        <v>0</v>
      </c>
      <c r="BJ1727" s="89"/>
      <c r="BK1727" s="89"/>
      <c r="BL1727" s="89"/>
      <c r="BM1727" s="89"/>
      <c r="BN1727" s="89"/>
      <c r="BO1727" s="89"/>
      <c r="BP1727" s="89"/>
    </row>
    <row r="1728" spans="1:68" s="56" customFormat="1" ht="40.5" hidden="1">
      <c r="A1728" s="204" t="str">
        <f>+IFERROR(VALUE(MID(AB1728,4,4)),"")</f>
        <v/>
      </c>
      <c r="B1728" s="204">
        <f>VALUE(RIGHT(C1728,LEN(C1728)-2))</f>
        <v>997</v>
      </c>
      <c r="C1728" s="74" t="s">
        <v>6192</v>
      </c>
      <c r="D1728" s="75">
        <v>43494</v>
      </c>
      <c r="E1728" s="70" t="s">
        <v>2263</v>
      </c>
      <c r="F1728" s="70" t="s">
        <v>848</v>
      </c>
      <c r="G1728" s="68"/>
      <c r="H1728" s="59"/>
      <c r="I1728" s="162" t="s">
        <v>6193</v>
      </c>
      <c r="J1728" s="162"/>
      <c r="K1728" s="68" t="s">
        <v>13</v>
      </c>
      <c r="L1728" s="69" t="s">
        <v>120</v>
      </c>
      <c r="M1728" s="71" t="s">
        <v>141</v>
      </c>
      <c r="N1728" s="69" t="e" vm="1">
        <v>#VALUE!</v>
      </c>
      <c r="O1728" s="164">
        <v>43503</v>
      </c>
      <c r="P1728" s="72" t="s">
        <v>4567</v>
      </c>
      <c r="Q1728" s="72"/>
      <c r="R1728" s="162"/>
      <c r="S1728" s="146" t="s">
        <v>6194</v>
      </c>
      <c r="T1728" s="68" t="s">
        <v>165</v>
      </c>
      <c r="U1728" s="87"/>
      <c r="V1728" s="183">
        <v>43515</v>
      </c>
      <c r="W1728" s="73">
        <v>8371</v>
      </c>
      <c r="X1728" s="73">
        <f>10996*27600/1000000</f>
        <v>303.4896</v>
      </c>
      <c r="Y1728" s="83">
        <f>IF(SUM(W1728:W1728)&gt;0,X1728/SUM(W1728:W1728)*1000000,"N/A")</f>
        <v>36254.87994265918</v>
      </c>
      <c r="Z1728" s="183"/>
      <c r="AA1728" s="183"/>
      <c r="AB1728" s="73"/>
      <c r="AC1728" s="153"/>
      <c r="AD1728" s="331"/>
      <c r="AE1728" s="57"/>
      <c r="AF1728" s="88"/>
      <c r="AG1728" s="182">
        <f>YEAR(D1728)</f>
        <v>2019</v>
      </c>
      <c r="AH1728" s="86" t="str">
        <f>+IF(AE1728=$AJ$22,MONTH(T1728),"")</f>
        <v/>
      </c>
      <c r="AI1728" s="86" t="str">
        <f>+IF(AF1728=$AJ$22,MONTH(U1728),"")</f>
        <v/>
      </c>
      <c r="AJ1728" s="86" t="str">
        <f>+IF(AG1728=$AJ$22,MONTH(V1728),"")</f>
        <v/>
      </c>
      <c r="AK1728" s="86" t="str">
        <f>+IF(AG1728=$AK$22,MONTH(V1728),"")</f>
        <v/>
      </c>
      <c r="AL1728" s="86" t="str">
        <f>+IF(AG1728=$AL$22,MONTH(V1728),"")</f>
        <v/>
      </c>
      <c r="AM1728" s="86" t="str">
        <f>+IF($AG1728=$AM$22,MONTH($D1728),"")</f>
        <v/>
      </c>
      <c r="AN1728" s="89" t="str">
        <f>+IF($AG1728=AN$22,MONTH($D1728),"")</f>
        <v/>
      </c>
      <c r="AO1728" s="89">
        <f>+IF($AG1728=AO$22,MONTH($D1728),"")</f>
        <v>1</v>
      </c>
      <c r="AP1728" s="89" t="str">
        <f>+IF($AG1728=AP$22,MONTH($D1728),"")</f>
        <v/>
      </c>
      <c r="AQ1728" s="89" t="str">
        <f>+IF($AG1728=AQ$22,MONTH($D1728),"")</f>
        <v/>
      </c>
      <c r="AR1728" s="89" t="str">
        <f>+IF($AG1728=AR$22,MONTH($D1728),"")</f>
        <v/>
      </c>
      <c r="AS1728" s="89" t="str">
        <f>+IF($AG1728=AS$22,MONTH($D1728),"")</f>
        <v/>
      </c>
      <c r="AT1728" s="89" t="str">
        <f>+IF($AG1728=AT$22,MONTH($D1728),"")</f>
        <v/>
      </c>
      <c r="AU1728" s="89" t="str">
        <f>+IF($AG1728=AU$22,MONTH($D1728),"")</f>
        <v/>
      </c>
      <c r="AV1728" s="89" t="str">
        <f>+IF($AG1728=AV$22,MONTH($D1728),"")</f>
        <v/>
      </c>
      <c r="AW1728" s="86" t="str">
        <f>+IF($AG1728=AW$22,MONTH($D1728),"")</f>
        <v/>
      </c>
      <c r="AX1728" s="86" t="str">
        <f>+IF($AG1728=AX$22,MONTH($D1728),"")</f>
        <v/>
      </c>
      <c r="AY1728" s="182"/>
      <c r="AZ1728" s="2"/>
      <c r="BA1728" s="2"/>
      <c r="BB1728" s="2"/>
      <c r="BC1728" s="2"/>
      <c r="BD1728" s="2">
        <f>IF(T1728="pg",1,0)</f>
        <v>0</v>
      </c>
      <c r="BE1728" s="2">
        <f>IF(T1728="dp",1,0)</f>
        <v>0</v>
      </c>
      <c r="BF1728" s="2">
        <f>IF(T1728="pp",1,0)</f>
        <v>1</v>
      </c>
      <c r="BG1728" s="2">
        <f>IF(T1728="pg",W1728,0)</f>
        <v>0</v>
      </c>
      <c r="BH1728" s="192">
        <f>IF(T1728="pp",W1728,0)</f>
        <v>8371</v>
      </c>
      <c r="BI1728" s="192">
        <f>IF(T1728="dp",W1728,0)</f>
        <v>0</v>
      </c>
      <c r="BJ1728" s="89"/>
      <c r="BK1728" s="89"/>
      <c r="BL1728" s="89"/>
      <c r="BM1728" s="89"/>
      <c r="BN1728" s="89"/>
      <c r="BO1728" s="89"/>
      <c r="BP1728" s="89"/>
    </row>
    <row r="1729" spans="1:68" s="56" customFormat="1" ht="13.5" hidden="1">
      <c r="A1729" s="204">
        <f>+IFERROR(VALUE(MID(AB1729,4,4)),"")</f>
        <v>197</v>
      </c>
      <c r="B1729" s="204">
        <f>VALUE(RIGHT(C1729,LEN(C1729)-2))</f>
        <v>996</v>
      </c>
      <c r="C1729" s="74" t="s">
        <v>6195</v>
      </c>
      <c r="D1729" s="75">
        <v>43494</v>
      </c>
      <c r="E1729" s="70" t="s">
        <v>4664</v>
      </c>
      <c r="F1729" s="70" t="s">
        <v>4664</v>
      </c>
      <c r="G1729" s="68"/>
      <c r="H1729" s="59"/>
      <c r="I1729" s="162" t="s">
        <v>6196</v>
      </c>
      <c r="J1729" s="162"/>
      <c r="K1729" s="68" t="s">
        <v>13</v>
      </c>
      <c r="L1729" s="69" t="s">
        <v>120</v>
      </c>
      <c r="M1729" s="71" t="s">
        <v>113</v>
      </c>
      <c r="N1729" s="69" t="e" vm="2">
        <v>#VALUE!</v>
      </c>
      <c r="O1729" s="164">
        <v>43490</v>
      </c>
      <c r="P1729" s="72" t="s">
        <v>402</v>
      </c>
      <c r="Q1729" s="72" t="s">
        <v>229</v>
      </c>
      <c r="R1729" s="162"/>
      <c r="S1729" s="146"/>
      <c r="T1729" s="68" t="s">
        <v>3</v>
      </c>
      <c r="U1729" s="87"/>
      <c r="V1729" s="183">
        <v>43515</v>
      </c>
      <c r="W1729" s="73">
        <v>122</v>
      </c>
      <c r="X1729" s="73">
        <f>15610*190/1000000</f>
        <v>2.9659</v>
      </c>
      <c r="Y1729" s="83">
        <f>IF(SUM(W1729:W1729)&gt;0,X1729/SUM(W1729:W1729)*1000000,"N/A")</f>
        <v>24310.655737704918</v>
      </c>
      <c r="Z1729" s="183"/>
      <c r="AA1729" s="183"/>
      <c r="AB1729" s="73" t="s">
        <v>5876</v>
      </c>
      <c r="AC1729" s="153"/>
      <c r="AD1729" s="331"/>
      <c r="AE1729" s="57"/>
      <c r="AF1729" s="88"/>
      <c r="AG1729" s="182">
        <f>YEAR(D1729)</f>
        <v>2019</v>
      </c>
      <c r="AH1729" s="86" t="str">
        <f>+IF(AE1729=$AJ$22,MONTH(T1729),"")</f>
        <v/>
      </c>
      <c r="AI1729" s="86" t="str">
        <f>+IF(AF1729=$AJ$22,MONTH(U1729),"")</f>
        <v/>
      </c>
      <c r="AJ1729" s="86" t="str">
        <f>+IF(AG1729=$AJ$22,MONTH(V1729),"")</f>
        <v/>
      </c>
      <c r="AK1729" s="86" t="str">
        <f>+IF(AG1729=$AK$22,MONTH(V1729),"")</f>
        <v/>
      </c>
      <c r="AL1729" s="86" t="str">
        <f>+IF(AG1729=$AL$22,MONTH(V1729),"")</f>
        <v/>
      </c>
      <c r="AM1729" s="86" t="str">
        <f>+IF($AG1729=$AM$22,MONTH($D1729),"")</f>
        <v/>
      </c>
      <c r="AN1729" s="89" t="str">
        <f>+IF($AG1729=AN$22,MONTH($D1729),"")</f>
        <v/>
      </c>
      <c r="AO1729" s="89">
        <f>+IF($AG1729=AO$22,MONTH($D1729),"")</f>
        <v>1</v>
      </c>
      <c r="AP1729" s="89" t="str">
        <f>+IF($AG1729=AP$22,MONTH($D1729),"")</f>
        <v/>
      </c>
      <c r="AQ1729" s="89" t="str">
        <f>+IF($AG1729=AQ$22,MONTH($D1729),"")</f>
        <v/>
      </c>
      <c r="AR1729" s="89" t="str">
        <f>+IF($AG1729=AR$22,MONTH($D1729),"")</f>
        <v/>
      </c>
      <c r="AS1729" s="89" t="str">
        <f>+IF($AG1729=AS$22,MONTH($D1729),"")</f>
        <v/>
      </c>
      <c r="AT1729" s="89" t="str">
        <f>+IF($AG1729=AT$22,MONTH($D1729),"")</f>
        <v/>
      </c>
      <c r="AU1729" s="89" t="str">
        <f>+IF($AG1729=AU$22,MONTH($D1729),"")</f>
        <v/>
      </c>
      <c r="AV1729" s="89" t="str">
        <f>+IF($AG1729=AV$22,MONTH($D1729),"")</f>
        <v/>
      </c>
      <c r="AW1729" s="86" t="str">
        <f>+IF($AG1729=AW$22,MONTH($D1729),"")</f>
        <v/>
      </c>
      <c r="AX1729" s="86" t="str">
        <f>+IF($AG1729=AX$22,MONTH($D1729),"")</f>
        <v/>
      </c>
      <c r="AY1729" s="182"/>
      <c r="AZ1729" s="2"/>
      <c r="BA1729" s="2"/>
      <c r="BB1729" s="2"/>
      <c r="BC1729" s="2"/>
      <c r="BD1729" s="2">
        <f>IF(T1729="pg",1,0)</f>
        <v>1</v>
      </c>
      <c r="BE1729" s="2">
        <f>IF(T1729="dp",1,0)</f>
        <v>0</v>
      </c>
      <c r="BF1729" s="2">
        <f>IF(T1729="pp",1,0)</f>
        <v>0</v>
      </c>
      <c r="BG1729" s="2">
        <f>IF(T1729="pg",W1729,0)</f>
        <v>122</v>
      </c>
      <c r="BH1729" s="192">
        <f>IF(T1729="pp",W1729,0)</f>
        <v>0</v>
      </c>
      <c r="BI1729" s="192">
        <f>IF(T1729="dp",W1729,0)</f>
        <v>0</v>
      </c>
      <c r="BJ1729" s="89"/>
      <c r="BK1729" s="89"/>
      <c r="BL1729" s="89"/>
      <c r="BM1729" s="89"/>
      <c r="BN1729" s="89"/>
      <c r="BO1729" s="89"/>
      <c r="BP1729" s="89"/>
    </row>
    <row r="1730" spans="1:68" s="56" customFormat="1" ht="27" hidden="1">
      <c r="A1730" s="204" t="str">
        <f>+IFERROR(VALUE(MID(AB1730,4,4)),"")</f>
        <v/>
      </c>
      <c r="B1730" s="204">
        <f>VALUE(RIGHT(C1730,LEN(C1730)-2))</f>
        <v>995</v>
      </c>
      <c r="C1730" s="74" t="s">
        <v>6197</v>
      </c>
      <c r="D1730" s="75">
        <v>43446</v>
      </c>
      <c r="E1730" s="70" t="s">
        <v>5475</v>
      </c>
      <c r="F1730" s="70" t="s">
        <v>5476</v>
      </c>
      <c r="G1730" s="68"/>
      <c r="H1730" s="59" t="s">
        <v>3426</v>
      </c>
      <c r="I1730" s="162" t="s">
        <v>6198</v>
      </c>
      <c r="J1730" s="162"/>
      <c r="K1730" s="68" t="s">
        <v>24</v>
      </c>
      <c r="L1730" s="69" t="s">
        <v>120</v>
      </c>
      <c r="M1730" s="71" t="s">
        <v>113</v>
      </c>
      <c r="N1730" s="69" t="e" vm="4">
        <v>#VALUE!</v>
      </c>
      <c r="O1730" s="164">
        <v>43490</v>
      </c>
      <c r="P1730" s="72" t="s">
        <v>402</v>
      </c>
      <c r="Q1730" s="72"/>
      <c r="R1730" s="162"/>
      <c r="S1730" s="146" t="s">
        <v>6061</v>
      </c>
      <c r="T1730" s="68" t="s">
        <v>165</v>
      </c>
      <c r="U1730" s="87"/>
      <c r="V1730" s="183">
        <v>43493</v>
      </c>
      <c r="W1730" s="73">
        <f>12*180</f>
        <v>2160</v>
      </c>
      <c r="X1730" s="73">
        <f>15000*670*12/1000000</f>
        <v>120.6</v>
      </c>
      <c r="Y1730" s="83">
        <f>IF(SUM(W1730:W1730)&gt;0,X1730/SUM(W1730:W1730)*1000000,"N/A")</f>
        <v>55833.333333333328</v>
      </c>
      <c r="Z1730" s="183"/>
      <c r="AA1730" s="183"/>
      <c r="AB1730" s="73"/>
      <c r="AC1730" s="153"/>
      <c r="AD1730" s="331"/>
      <c r="AE1730" s="57"/>
      <c r="AF1730" s="88"/>
      <c r="AG1730" s="182">
        <f>YEAR(D1730)</f>
        <v>2018</v>
      </c>
      <c r="AH1730" s="86" t="str">
        <f>+IF(AE1730=$AJ$22,MONTH(T1730),"")</f>
        <v/>
      </c>
      <c r="AI1730" s="86" t="str">
        <f>+IF(AF1730=$AJ$22,MONTH(U1730),"")</f>
        <v/>
      </c>
      <c r="AJ1730" s="86" t="str">
        <f>+IF(AG1730=$AJ$22,MONTH(V1730),"")</f>
        <v/>
      </c>
      <c r="AK1730" s="86" t="str">
        <f>+IF(AG1730=$AK$22,MONTH(V1730),"")</f>
        <v/>
      </c>
      <c r="AL1730" s="86" t="str">
        <f>+IF(AG1730=$AL$22,MONTH(V1730),"")</f>
        <v/>
      </c>
      <c r="AM1730" s="86" t="str">
        <f>+IF($AG1730=$AM$22,MONTH($D1730),"")</f>
        <v/>
      </c>
      <c r="AN1730" s="89" t="str">
        <f>+IF($AG1730=AN$22,MONTH($D1730),"")</f>
        <v/>
      </c>
      <c r="AO1730" s="89" t="str">
        <f>+IF($AG1730=AO$22,MONTH($D1730),"")</f>
        <v/>
      </c>
      <c r="AP1730" s="89">
        <f>+IF($AG1730=AP$22,MONTH($D1730),"")</f>
        <v>12</v>
      </c>
      <c r="AQ1730" s="89" t="str">
        <f>+IF($AG1730=AQ$22,MONTH($D1730),"")</f>
        <v/>
      </c>
      <c r="AR1730" s="89" t="str">
        <f>+IF($AG1730=AR$22,MONTH($D1730),"")</f>
        <v/>
      </c>
      <c r="AS1730" s="89" t="str">
        <f>+IF($AG1730=AS$22,MONTH($D1730),"")</f>
        <v/>
      </c>
      <c r="AT1730" s="89" t="str">
        <f>+IF($AG1730=AT$22,MONTH($D1730),"")</f>
        <v/>
      </c>
      <c r="AU1730" s="89" t="str">
        <f>+IF($AG1730=AU$22,MONTH($D1730),"")</f>
        <v/>
      </c>
      <c r="AV1730" s="89" t="str">
        <f>+IF($AG1730=AV$22,MONTH($D1730),"")</f>
        <v/>
      </c>
      <c r="AW1730" s="86" t="str">
        <f>+IF($AG1730=AW$22,MONTH($D1730),"")</f>
        <v/>
      </c>
      <c r="AX1730" s="86" t="str">
        <f>+IF($AG1730=AX$22,MONTH($D1730),"")</f>
        <v/>
      </c>
      <c r="AY1730" s="182"/>
      <c r="AZ1730" s="2"/>
      <c r="BA1730" s="2"/>
      <c r="BB1730" s="2"/>
      <c r="BC1730" s="2">
        <v>1</v>
      </c>
      <c r="BD1730" s="2">
        <f>IF(T1730="pg",1,0)</f>
        <v>0</v>
      </c>
      <c r="BE1730" s="2">
        <f>IF(T1730="dp",1,0)</f>
        <v>0</v>
      </c>
      <c r="BF1730" s="2">
        <f>IF(T1730="pp",1,0)</f>
        <v>1</v>
      </c>
      <c r="BG1730" s="2">
        <f>IF(T1730="pg",W1730,0)</f>
        <v>0</v>
      </c>
      <c r="BH1730" s="192">
        <f>IF(T1730="pp",W1730,0)</f>
        <v>2160</v>
      </c>
      <c r="BI1730" s="192">
        <f>IF(T1730="dp",W1730,0)</f>
        <v>0</v>
      </c>
      <c r="BJ1730" s="89"/>
      <c r="BK1730" s="89"/>
      <c r="BL1730" s="89"/>
      <c r="BM1730" s="89"/>
      <c r="BN1730" s="89"/>
      <c r="BO1730" s="89"/>
      <c r="BP1730" s="89"/>
    </row>
    <row r="1731" spans="1:68" s="56" customFormat="1" ht="27" hidden="1">
      <c r="A1731" s="204" t="str">
        <f>+IFERROR(VALUE(MID(AB1731,4,4)),"")</f>
        <v/>
      </c>
      <c r="B1731" s="204">
        <f>VALUE(RIGHT(C1731,LEN(C1731)-2))</f>
        <v>994</v>
      </c>
      <c r="C1731" s="74" t="s">
        <v>6199</v>
      </c>
      <c r="D1731" s="75">
        <v>43489</v>
      </c>
      <c r="E1731" s="70" t="s">
        <v>6200</v>
      </c>
      <c r="F1731" s="70" t="s">
        <v>270</v>
      </c>
      <c r="G1731" s="68"/>
      <c r="H1731" s="59" t="s">
        <v>6201</v>
      </c>
      <c r="I1731" s="162" t="s">
        <v>6202</v>
      </c>
      <c r="J1731" s="162"/>
      <c r="K1731" s="68" t="s">
        <v>13</v>
      </c>
      <c r="L1731" s="69" t="s">
        <v>120</v>
      </c>
      <c r="M1731" s="71" t="s">
        <v>141</v>
      </c>
      <c r="N1731" s="69" t="e" vm="1">
        <v>#VALUE!</v>
      </c>
      <c r="O1731" s="164">
        <v>43489</v>
      </c>
      <c r="P1731" s="72" t="s">
        <v>4567</v>
      </c>
      <c r="Q1731" s="72"/>
      <c r="R1731" s="162"/>
      <c r="S1731" s="146" t="s">
        <v>6203</v>
      </c>
      <c r="T1731" s="68" t="s">
        <v>165</v>
      </c>
      <c r="U1731" s="87"/>
      <c r="V1731" s="183">
        <v>43493</v>
      </c>
      <c r="W1731" s="73">
        <v>2026</v>
      </c>
      <c r="X1731" s="73">
        <f>3241*27500/1000000</f>
        <v>89.127499999999998</v>
      </c>
      <c r="Y1731" s="83">
        <f>IF(SUM(W1731:W1731)&gt;0,X1731/SUM(W1731:W1731)*1000000,"N/A")</f>
        <v>43991.855873642649</v>
      </c>
      <c r="Z1731" s="183"/>
      <c r="AA1731" s="183"/>
      <c r="AB1731" s="73"/>
      <c r="AC1731" s="153"/>
      <c r="AD1731" s="331"/>
      <c r="AE1731" s="57"/>
      <c r="AF1731" s="88"/>
      <c r="AG1731" s="182">
        <f>YEAR(D1731)</f>
        <v>2019</v>
      </c>
      <c r="AH1731" s="86" t="str">
        <f>+IF(AE1731=$AJ$22,MONTH(T1731),"")</f>
        <v/>
      </c>
      <c r="AI1731" s="86" t="str">
        <f>+IF(AF1731=$AJ$22,MONTH(U1731),"")</f>
        <v/>
      </c>
      <c r="AJ1731" s="86" t="str">
        <f>+IF(AG1731=$AJ$22,MONTH(V1731),"")</f>
        <v/>
      </c>
      <c r="AK1731" s="86" t="str">
        <f>+IF(AG1731=$AK$22,MONTH(V1731),"")</f>
        <v/>
      </c>
      <c r="AL1731" s="86" t="str">
        <f>+IF(AG1731=$AL$22,MONTH(V1731),"")</f>
        <v/>
      </c>
      <c r="AM1731" s="86" t="str">
        <f>+IF($AG1731=$AM$22,MONTH($D1731),"")</f>
        <v/>
      </c>
      <c r="AN1731" s="89" t="str">
        <f>+IF($AG1731=AN$22,MONTH($D1731),"")</f>
        <v/>
      </c>
      <c r="AO1731" s="89">
        <f>+IF($AG1731=AO$22,MONTH($D1731),"")</f>
        <v>1</v>
      </c>
      <c r="AP1731" s="89" t="str">
        <f>+IF($AG1731=AP$22,MONTH($D1731),"")</f>
        <v/>
      </c>
      <c r="AQ1731" s="89" t="str">
        <f>+IF($AG1731=AQ$22,MONTH($D1731),"")</f>
        <v/>
      </c>
      <c r="AR1731" s="89" t="str">
        <f>+IF($AG1731=AR$22,MONTH($D1731),"")</f>
        <v/>
      </c>
      <c r="AS1731" s="89" t="str">
        <f>+IF($AG1731=AS$22,MONTH($D1731),"")</f>
        <v/>
      </c>
      <c r="AT1731" s="89" t="str">
        <f>+IF($AG1731=AT$22,MONTH($D1731),"")</f>
        <v/>
      </c>
      <c r="AU1731" s="89" t="str">
        <f>+IF($AG1731=AU$22,MONTH($D1731),"")</f>
        <v/>
      </c>
      <c r="AV1731" s="89" t="str">
        <f>+IF($AG1731=AV$22,MONTH($D1731),"")</f>
        <v/>
      </c>
      <c r="AW1731" s="86" t="str">
        <f>+IF($AG1731=AW$22,MONTH($D1731),"")</f>
        <v/>
      </c>
      <c r="AX1731" s="86" t="str">
        <f>+IF($AG1731=AX$22,MONTH($D1731),"")</f>
        <v/>
      </c>
      <c r="AY1731" s="182"/>
      <c r="AZ1731" s="2"/>
      <c r="BA1731" s="2"/>
      <c r="BB1731" s="2">
        <v>400</v>
      </c>
      <c r="BC1731" s="2"/>
      <c r="BD1731" s="2">
        <f>IF(T1731="pg",1,0)</f>
        <v>0</v>
      </c>
      <c r="BE1731" s="2">
        <f>IF(T1731="dp",1,0)</f>
        <v>0</v>
      </c>
      <c r="BF1731" s="2">
        <f>IF(T1731="pp",1,0)</f>
        <v>1</v>
      </c>
      <c r="BG1731" s="2">
        <f>IF(T1731="pg",W1731,0)</f>
        <v>0</v>
      </c>
      <c r="BH1731" s="192">
        <f>IF(T1731="pp",W1731,0)</f>
        <v>2026</v>
      </c>
      <c r="BI1731" s="192">
        <f>IF(T1731="dp",W1731,0)</f>
        <v>0</v>
      </c>
      <c r="BJ1731" s="89"/>
      <c r="BK1731" s="89"/>
      <c r="BL1731" s="89"/>
      <c r="BM1731" s="89"/>
      <c r="BN1731" s="89"/>
      <c r="BO1731" s="89"/>
      <c r="BP1731" s="89"/>
    </row>
    <row r="1732" spans="1:68" s="56" customFormat="1" ht="27" hidden="1">
      <c r="A1732" s="204" t="str">
        <f>+IFERROR(VALUE(MID(AB1732,4,4)),"")</f>
        <v/>
      </c>
      <c r="B1732" s="204">
        <f>VALUE(RIGHT(C1732,LEN(C1732)-2))</f>
        <v>993</v>
      </c>
      <c r="C1732" s="74" t="s">
        <v>6204</v>
      </c>
      <c r="D1732" s="75">
        <v>43488</v>
      </c>
      <c r="E1732" s="70" t="s">
        <v>53</v>
      </c>
      <c r="F1732" s="70" t="s">
        <v>53</v>
      </c>
      <c r="G1732" s="68"/>
      <c r="H1732" s="59"/>
      <c r="I1732" s="162" t="s">
        <v>6205</v>
      </c>
      <c r="J1732" s="162"/>
      <c r="K1732" s="68" t="s">
        <v>13</v>
      </c>
      <c r="L1732" s="69" t="s">
        <v>120</v>
      </c>
      <c r="M1732" s="71" t="s">
        <v>141</v>
      </c>
      <c r="N1732" s="69" t="e" vm="1">
        <v>#VALUE!</v>
      </c>
      <c r="O1732" s="164">
        <v>43497</v>
      </c>
      <c r="P1732" s="72" t="s">
        <v>402</v>
      </c>
      <c r="Q1732" s="72"/>
      <c r="R1732" s="162"/>
      <c r="S1732" s="146" t="s">
        <v>5997</v>
      </c>
      <c r="T1732" s="68" t="s">
        <v>165</v>
      </c>
      <c r="U1732" s="87"/>
      <c r="V1732" s="183">
        <v>43783</v>
      </c>
      <c r="W1732" s="73">
        <v>1</v>
      </c>
      <c r="X1732" s="73"/>
      <c r="Y1732" s="83">
        <f>IF(SUM(W1732:W1732)&gt;0,X1732/SUM(W1732:W1732)*1000000,"N/A")</f>
        <v>0</v>
      </c>
      <c r="Z1732" s="183"/>
      <c r="AA1732" s="183"/>
      <c r="AB1732" s="73"/>
      <c r="AC1732" s="153"/>
      <c r="AD1732" s="331"/>
      <c r="AE1732" s="57"/>
      <c r="AF1732" s="88"/>
      <c r="AG1732" s="182">
        <f>YEAR(D1732)</f>
        <v>2019</v>
      </c>
      <c r="AH1732" s="86" t="str">
        <f>+IF(AE1732=$AJ$22,MONTH(T1732),"")</f>
        <v/>
      </c>
      <c r="AI1732" s="86" t="str">
        <f>+IF(AF1732=$AJ$22,MONTH(U1732),"")</f>
        <v/>
      </c>
      <c r="AJ1732" s="86" t="str">
        <f>+IF(AG1732=$AJ$22,MONTH(V1732),"")</f>
        <v/>
      </c>
      <c r="AK1732" s="86" t="str">
        <f>+IF(AG1732=$AK$22,MONTH(V1732),"")</f>
        <v/>
      </c>
      <c r="AL1732" s="86" t="str">
        <f>+IF(AG1732=$AL$22,MONTH(V1732),"")</f>
        <v/>
      </c>
      <c r="AM1732" s="86" t="str">
        <f>+IF($AG1732=$AM$22,MONTH($D1732),"")</f>
        <v/>
      </c>
      <c r="AN1732" s="89" t="str">
        <f>+IF($AG1732=AN$22,MONTH($D1732),"")</f>
        <v/>
      </c>
      <c r="AO1732" s="89">
        <f>+IF($AG1732=AO$22,MONTH($D1732),"")</f>
        <v>1</v>
      </c>
      <c r="AP1732" s="89" t="str">
        <f>+IF($AG1732=AP$22,MONTH($D1732),"")</f>
        <v/>
      </c>
      <c r="AQ1732" s="89" t="str">
        <f>+IF($AG1732=AQ$22,MONTH($D1732),"")</f>
        <v/>
      </c>
      <c r="AR1732" s="89" t="str">
        <f>+IF($AG1732=AR$22,MONTH($D1732),"")</f>
        <v/>
      </c>
      <c r="AS1732" s="89" t="str">
        <f>+IF($AG1732=AS$22,MONTH($D1732),"")</f>
        <v/>
      </c>
      <c r="AT1732" s="89" t="str">
        <f>+IF($AG1732=AT$22,MONTH($D1732),"")</f>
        <v/>
      </c>
      <c r="AU1732" s="89" t="str">
        <f>+IF($AG1732=AU$22,MONTH($D1732),"")</f>
        <v/>
      </c>
      <c r="AV1732" s="89" t="str">
        <f>+IF($AG1732=AV$22,MONTH($D1732),"")</f>
        <v/>
      </c>
      <c r="AW1732" s="86" t="str">
        <f>+IF($AG1732=AW$22,MONTH($D1732),"")</f>
        <v/>
      </c>
      <c r="AX1732" s="86" t="str">
        <f>+IF($AG1732=AX$22,MONTH($D1732),"")</f>
        <v/>
      </c>
      <c r="AY1732" s="182"/>
      <c r="AZ1732" s="2"/>
      <c r="BA1732" s="2"/>
      <c r="BB1732" s="2">
        <v>207</v>
      </c>
      <c r="BC1732" s="2"/>
      <c r="BD1732" s="2">
        <f>IF(T1732="pg",1,0)</f>
        <v>0</v>
      </c>
      <c r="BE1732" s="2">
        <f>IF(T1732="dp",1,0)</f>
        <v>0</v>
      </c>
      <c r="BF1732" s="2">
        <f>IF(T1732="pp",1,0)</f>
        <v>1</v>
      </c>
      <c r="BG1732" s="2">
        <f>IF(T1732="pg",W1732,0)</f>
        <v>0</v>
      </c>
      <c r="BH1732" s="192">
        <f>IF(T1732="pp",W1732,0)</f>
        <v>1</v>
      </c>
      <c r="BI1732" s="192">
        <f>IF(T1732="dp",W1732,0)</f>
        <v>0</v>
      </c>
      <c r="BJ1732" s="89"/>
      <c r="BK1732" s="89"/>
      <c r="BL1732" s="89"/>
      <c r="BM1732" s="89"/>
      <c r="BN1732" s="89"/>
      <c r="BO1732" s="89"/>
      <c r="BP1732" s="89"/>
    </row>
    <row r="1733" spans="1:68" s="56" customFormat="1" ht="13.5" hidden="1">
      <c r="A1733" s="204">
        <f>+IFERROR(VALUE(MID(AB1733,4,4)),"")</f>
        <v>197</v>
      </c>
      <c r="B1733" s="204">
        <f>VALUE(RIGHT(C1733,LEN(C1733)-2))</f>
        <v>992</v>
      </c>
      <c r="C1733" s="74" t="s">
        <v>6206</v>
      </c>
      <c r="D1733" s="75">
        <v>43488</v>
      </c>
      <c r="E1733" s="70" t="s">
        <v>4664</v>
      </c>
      <c r="F1733" s="70" t="s">
        <v>479</v>
      </c>
      <c r="G1733" s="68"/>
      <c r="H1733" s="59"/>
      <c r="I1733" s="162" t="s">
        <v>6207</v>
      </c>
      <c r="J1733" s="162"/>
      <c r="K1733" s="68" t="s">
        <v>13</v>
      </c>
      <c r="L1733" s="69" t="s">
        <v>120</v>
      </c>
      <c r="M1733" s="71" t="s">
        <v>113</v>
      </c>
      <c r="N1733" s="69" t="e" vm="2">
        <v>#VALUE!</v>
      </c>
      <c r="O1733" s="164"/>
      <c r="P1733" s="72" t="s">
        <v>402</v>
      </c>
      <c r="Q1733" s="72" t="s">
        <v>229</v>
      </c>
      <c r="R1733" s="162"/>
      <c r="S1733" s="146"/>
      <c r="T1733" s="68" t="s">
        <v>3</v>
      </c>
      <c r="U1733" s="87"/>
      <c r="V1733" s="183">
        <v>43490</v>
      </c>
      <c r="W1733" s="73">
        <v>652</v>
      </c>
      <c r="X1733" s="73">
        <f>78970*190/1000000</f>
        <v>15.004300000000001</v>
      </c>
      <c r="Y1733" s="83">
        <f>IF(SUM(W1733:W1733)&gt;0,X1733/SUM(W1733:W1733)*1000000,"N/A")</f>
        <v>23012.730061349695</v>
      </c>
      <c r="Z1733" s="183"/>
      <c r="AA1733" s="183"/>
      <c r="AB1733" s="73" t="s">
        <v>5876</v>
      </c>
      <c r="AC1733" s="153"/>
      <c r="AD1733" s="331"/>
      <c r="AE1733" s="57"/>
      <c r="AF1733" s="88"/>
      <c r="AG1733" s="182">
        <f>YEAR(D1733)</f>
        <v>2019</v>
      </c>
      <c r="AH1733" s="86" t="str">
        <f>+IF(AE1733=$AJ$22,MONTH(T1733),"")</f>
        <v/>
      </c>
      <c r="AI1733" s="86" t="str">
        <f>+IF(AF1733=$AJ$22,MONTH(U1733),"")</f>
        <v/>
      </c>
      <c r="AJ1733" s="86" t="str">
        <f>+IF(AG1733=$AJ$22,MONTH(V1733),"")</f>
        <v/>
      </c>
      <c r="AK1733" s="86" t="str">
        <f>+IF(AG1733=$AK$22,MONTH(V1733),"")</f>
        <v/>
      </c>
      <c r="AL1733" s="86" t="str">
        <f>+IF(AG1733=$AL$22,MONTH(V1733),"")</f>
        <v/>
      </c>
      <c r="AM1733" s="86" t="str">
        <f>+IF($AG1733=$AM$22,MONTH($D1733),"")</f>
        <v/>
      </c>
      <c r="AN1733" s="89" t="str">
        <f>+IF($AG1733=AN$22,MONTH($D1733),"")</f>
        <v/>
      </c>
      <c r="AO1733" s="89">
        <f>+IF($AG1733=AO$22,MONTH($D1733),"")</f>
        <v>1</v>
      </c>
      <c r="AP1733" s="89" t="str">
        <f>+IF($AG1733=AP$22,MONTH($D1733),"")</f>
        <v/>
      </c>
      <c r="AQ1733" s="89" t="str">
        <f>+IF($AG1733=AQ$22,MONTH($D1733),"")</f>
        <v/>
      </c>
      <c r="AR1733" s="89" t="str">
        <f>+IF($AG1733=AR$22,MONTH($D1733),"")</f>
        <v/>
      </c>
      <c r="AS1733" s="89" t="str">
        <f>+IF($AG1733=AS$22,MONTH($D1733),"")</f>
        <v/>
      </c>
      <c r="AT1733" s="89" t="str">
        <f>+IF($AG1733=AT$22,MONTH($D1733),"")</f>
        <v/>
      </c>
      <c r="AU1733" s="89" t="str">
        <f>+IF($AG1733=AU$22,MONTH($D1733),"")</f>
        <v/>
      </c>
      <c r="AV1733" s="89" t="str">
        <f>+IF($AG1733=AV$22,MONTH($D1733),"")</f>
        <v/>
      </c>
      <c r="AW1733" s="86" t="str">
        <f>+IF($AG1733=AW$22,MONTH($D1733),"")</f>
        <v/>
      </c>
      <c r="AX1733" s="86" t="str">
        <f>+IF($AG1733=AX$22,MONTH($D1733),"")</f>
        <v/>
      </c>
      <c r="AY1733" s="182"/>
      <c r="AZ1733" s="2"/>
      <c r="BA1733" s="2"/>
      <c r="BB1733" s="2">
        <v>30</v>
      </c>
      <c r="BC1733" s="2"/>
      <c r="BD1733" s="2">
        <f>IF(T1733="pg",1,0)</f>
        <v>1</v>
      </c>
      <c r="BE1733" s="2">
        <f>IF(T1733="dp",1,0)</f>
        <v>0</v>
      </c>
      <c r="BF1733" s="2">
        <f>IF(T1733="pp",1,0)</f>
        <v>0</v>
      </c>
      <c r="BG1733" s="2">
        <f>IF(T1733="pg",W1733,0)</f>
        <v>652</v>
      </c>
      <c r="BH1733" s="192">
        <f>IF(T1733="pp",W1733,0)</f>
        <v>0</v>
      </c>
      <c r="BI1733" s="192">
        <f>IF(T1733="dp",W1733,0)</f>
        <v>0</v>
      </c>
      <c r="BJ1733" s="89"/>
      <c r="BK1733" s="89"/>
      <c r="BL1733" s="89"/>
      <c r="BM1733" s="89"/>
      <c r="BN1733" s="89"/>
      <c r="BO1733" s="89"/>
      <c r="BP1733" s="89"/>
    </row>
    <row r="1734" spans="1:68" s="56" customFormat="1" ht="23.25" hidden="1" customHeight="1">
      <c r="A1734" s="204" t="str">
        <f>+IFERROR(VALUE(MID(AB1734,4,4)),"")</f>
        <v/>
      </c>
      <c r="B1734" s="204">
        <f>VALUE(RIGHT(C1734,LEN(C1734)-2))</f>
        <v>991</v>
      </c>
      <c r="C1734" s="74" t="s">
        <v>6208</v>
      </c>
      <c r="D1734" s="75">
        <v>43483</v>
      </c>
      <c r="E1734" s="70" t="s">
        <v>4114</v>
      </c>
      <c r="F1734" s="70" t="s">
        <v>4114</v>
      </c>
      <c r="G1734" s="68"/>
      <c r="H1734" s="59"/>
      <c r="I1734" s="162" t="s">
        <v>6209</v>
      </c>
      <c r="J1734" s="162"/>
      <c r="K1734" s="68" t="s">
        <v>11</v>
      </c>
      <c r="L1734" s="69" t="s">
        <v>129</v>
      </c>
      <c r="M1734" s="71" t="s">
        <v>141</v>
      </c>
      <c r="N1734" s="69" t="e" vm="1">
        <v>#VALUE!</v>
      </c>
      <c r="O1734" s="164">
        <v>43495</v>
      </c>
      <c r="P1734" s="72" t="s">
        <v>402</v>
      </c>
      <c r="Q1734" s="72"/>
      <c r="R1734" s="162"/>
      <c r="S1734" s="146"/>
      <c r="T1734" s="68" t="s">
        <v>165</v>
      </c>
      <c r="U1734" s="87"/>
      <c r="V1734" s="183">
        <v>43515</v>
      </c>
      <c r="W1734" s="73">
        <v>5316</v>
      </c>
      <c r="X1734" s="73">
        <f>7043*26700/1000000</f>
        <v>188.04810000000001</v>
      </c>
      <c r="Y1734" s="83">
        <f>IF(SUM(W1734:W1734)&gt;0,X1734/SUM(W1734:W1734)*1000000,"N/A")</f>
        <v>35373.984198645594</v>
      </c>
      <c r="Z1734" s="183"/>
      <c r="AA1734" s="183"/>
      <c r="AB1734" s="73"/>
      <c r="AC1734" s="153"/>
      <c r="AD1734" s="331"/>
      <c r="AE1734" s="57"/>
      <c r="AF1734" s="88"/>
      <c r="AG1734" s="182">
        <f>YEAR(D1734)</f>
        <v>2019</v>
      </c>
      <c r="AH1734" s="86" t="str">
        <f>+IF(AE1734=$AJ$22,MONTH(T1734),"")</f>
        <v/>
      </c>
      <c r="AI1734" s="86" t="str">
        <f>+IF(AF1734=$AJ$22,MONTH(U1734),"")</f>
        <v/>
      </c>
      <c r="AJ1734" s="86" t="str">
        <f>+IF(AG1734=$AJ$22,MONTH(V1734),"")</f>
        <v/>
      </c>
      <c r="AK1734" s="86" t="str">
        <f>+IF(AG1734=$AK$22,MONTH(V1734),"")</f>
        <v/>
      </c>
      <c r="AL1734" s="86" t="str">
        <f>+IF(AG1734=$AL$22,MONTH(V1734),"")</f>
        <v/>
      </c>
      <c r="AM1734" s="86" t="str">
        <f>+IF($AG1734=$AM$22,MONTH($D1734),"")</f>
        <v/>
      </c>
      <c r="AN1734" s="89" t="str">
        <f>+IF($AG1734=AN$22,MONTH($D1734),"")</f>
        <v/>
      </c>
      <c r="AO1734" s="89">
        <f>+IF($AG1734=AO$22,MONTH($D1734),"")</f>
        <v>1</v>
      </c>
      <c r="AP1734" s="89" t="str">
        <f>+IF($AG1734=AP$22,MONTH($D1734),"")</f>
        <v/>
      </c>
      <c r="AQ1734" s="89" t="str">
        <f>+IF($AG1734=AQ$22,MONTH($D1734),"")</f>
        <v/>
      </c>
      <c r="AR1734" s="89" t="str">
        <f>+IF($AG1734=AR$22,MONTH($D1734),"")</f>
        <v/>
      </c>
      <c r="AS1734" s="89" t="str">
        <f>+IF($AG1734=AS$22,MONTH($D1734),"")</f>
        <v/>
      </c>
      <c r="AT1734" s="89" t="str">
        <f>+IF($AG1734=AT$22,MONTH($D1734),"")</f>
        <v/>
      </c>
      <c r="AU1734" s="89" t="str">
        <f>+IF($AG1734=AU$22,MONTH($D1734),"")</f>
        <v/>
      </c>
      <c r="AV1734" s="89" t="str">
        <f>+IF($AG1734=AV$22,MONTH($D1734),"")</f>
        <v/>
      </c>
      <c r="AW1734" s="86" t="str">
        <f>+IF($AG1734=AW$22,MONTH($D1734),"")</f>
        <v/>
      </c>
      <c r="AX1734" s="86" t="str">
        <f>+IF($AG1734=AX$22,MONTH($D1734),"")</f>
        <v/>
      </c>
      <c r="AY1734" s="182"/>
      <c r="AZ1734" s="2"/>
      <c r="BA1734" s="2"/>
      <c r="BB1734" s="2">
        <v>10</v>
      </c>
      <c r="BC1734" s="2"/>
      <c r="BD1734" s="2">
        <f>IF(T1734="pg",1,0)</f>
        <v>0</v>
      </c>
      <c r="BE1734" s="2">
        <f>IF(T1734="dp",1,0)</f>
        <v>0</v>
      </c>
      <c r="BF1734" s="2">
        <f>IF(T1734="pp",1,0)</f>
        <v>1</v>
      </c>
      <c r="BG1734" s="2">
        <f>IF(T1734="pg",W1734,0)</f>
        <v>0</v>
      </c>
      <c r="BH1734" s="192">
        <f>IF(T1734="pp",W1734,0)</f>
        <v>5316</v>
      </c>
      <c r="BI1734" s="192">
        <f>IF(T1734="dp",W1734,0)</f>
        <v>0</v>
      </c>
      <c r="BJ1734" s="89"/>
      <c r="BK1734" s="89"/>
      <c r="BL1734" s="89"/>
      <c r="BM1734" s="89"/>
      <c r="BN1734" s="89"/>
      <c r="BO1734" s="89"/>
      <c r="BP1734" s="89"/>
    </row>
    <row r="1735" spans="1:68" s="56" customFormat="1" ht="13.5" hidden="1">
      <c r="A1735" s="204" t="str">
        <f>+IFERROR(VALUE(MID(AB1735,4,4)),"")</f>
        <v/>
      </c>
      <c r="B1735" s="204">
        <f>VALUE(RIGHT(C1735,LEN(C1735)-2))</f>
        <v>990</v>
      </c>
      <c r="C1735" s="74" t="s">
        <v>6210</v>
      </c>
      <c r="D1735" s="75">
        <v>43480</v>
      </c>
      <c r="E1735" s="70" t="s">
        <v>848</v>
      </c>
      <c r="F1735" s="70" t="s">
        <v>848</v>
      </c>
      <c r="G1735" s="68"/>
      <c r="H1735" s="59"/>
      <c r="I1735" s="162" t="s">
        <v>6211</v>
      </c>
      <c r="J1735" s="162"/>
      <c r="K1735" s="68" t="s">
        <v>31</v>
      </c>
      <c r="L1735" s="69" t="s">
        <v>129</v>
      </c>
      <c r="M1735" s="71" t="s">
        <v>141</v>
      </c>
      <c r="N1735" s="69" t="e" vm="1">
        <v>#VALUE!</v>
      </c>
      <c r="O1735" s="164">
        <v>43486</v>
      </c>
      <c r="P1735" s="72" t="s">
        <v>274</v>
      </c>
      <c r="Q1735" s="72"/>
      <c r="R1735" s="162"/>
      <c r="S1735" s="146"/>
      <c r="T1735" s="68" t="s">
        <v>155</v>
      </c>
      <c r="U1735" s="87"/>
      <c r="V1735" s="183">
        <v>43493</v>
      </c>
      <c r="W1735" s="73">
        <v>1279</v>
      </c>
      <c r="X1735" s="73">
        <f>2299*27500/1000000</f>
        <v>63.222499999999997</v>
      </c>
      <c r="Y1735" s="83">
        <f>IF(SUM(W1735:W1735)&gt;0,X1735/SUM(W1735:W1735)*1000000,"N/A")</f>
        <v>49431.196247068023</v>
      </c>
      <c r="Z1735" s="183"/>
      <c r="AA1735" s="183"/>
      <c r="AB1735" s="73"/>
      <c r="AC1735" s="153"/>
      <c r="AD1735" s="331"/>
      <c r="AE1735" s="57"/>
      <c r="AF1735" s="88"/>
      <c r="AG1735" s="182">
        <f>YEAR(D1735)</f>
        <v>2019</v>
      </c>
      <c r="AH1735" s="86" t="str">
        <f>+IF(AE1735=$AJ$22,MONTH(T1735),"")</f>
        <v/>
      </c>
      <c r="AI1735" s="86" t="str">
        <f>+IF(AF1735=$AJ$22,MONTH(U1735),"")</f>
        <v/>
      </c>
      <c r="AJ1735" s="86" t="str">
        <f>+IF(AG1735=$AJ$22,MONTH(V1735),"")</f>
        <v/>
      </c>
      <c r="AK1735" s="86" t="str">
        <f>+IF(AG1735=$AK$22,MONTH(V1735),"")</f>
        <v/>
      </c>
      <c r="AL1735" s="86" t="str">
        <f>+IF(AG1735=$AL$22,MONTH(V1735),"")</f>
        <v/>
      </c>
      <c r="AM1735" s="86" t="str">
        <f>+IF($AG1735=$AM$22,MONTH($D1735),"")</f>
        <v/>
      </c>
      <c r="AN1735" s="89" t="str">
        <f>+IF($AG1735=AN$22,MONTH($D1735),"")</f>
        <v/>
      </c>
      <c r="AO1735" s="89">
        <f>+IF($AG1735=AO$22,MONTH($D1735),"")</f>
        <v>1</v>
      </c>
      <c r="AP1735" s="89" t="str">
        <f>+IF($AG1735=AP$22,MONTH($D1735),"")</f>
        <v/>
      </c>
      <c r="AQ1735" s="89" t="str">
        <f>+IF($AG1735=AQ$22,MONTH($D1735),"")</f>
        <v/>
      </c>
      <c r="AR1735" s="89" t="str">
        <f>+IF($AG1735=AR$22,MONTH($D1735),"")</f>
        <v/>
      </c>
      <c r="AS1735" s="89" t="str">
        <f>+IF($AG1735=AS$22,MONTH($D1735),"")</f>
        <v/>
      </c>
      <c r="AT1735" s="89" t="str">
        <f>+IF($AG1735=AT$22,MONTH($D1735),"")</f>
        <v/>
      </c>
      <c r="AU1735" s="89" t="str">
        <f>+IF($AG1735=AU$22,MONTH($D1735),"")</f>
        <v/>
      </c>
      <c r="AV1735" s="89" t="str">
        <f>+IF($AG1735=AV$22,MONTH($D1735),"")</f>
        <v/>
      </c>
      <c r="AW1735" s="86" t="str">
        <f>+IF($AG1735=AW$22,MONTH($D1735),"")</f>
        <v/>
      </c>
      <c r="AX1735" s="86" t="str">
        <f>+IF($AG1735=AX$22,MONTH($D1735),"")</f>
        <v/>
      </c>
      <c r="AY1735" s="182"/>
      <c r="AZ1735" s="2"/>
      <c r="BA1735" s="2"/>
      <c r="BB1735" s="2"/>
      <c r="BC1735" s="2"/>
      <c r="BD1735" s="2">
        <f>IF(T1735="pg",1,0)</f>
        <v>0</v>
      </c>
      <c r="BE1735" s="2">
        <f>IF(T1735="dp",1,0)</f>
        <v>0</v>
      </c>
      <c r="BF1735" s="2">
        <f>IF(T1735="pp",1,0)</f>
        <v>0</v>
      </c>
      <c r="BG1735" s="2">
        <f>IF(T1735="pg",W1735,0)</f>
        <v>0</v>
      </c>
      <c r="BH1735" s="192">
        <f>IF(T1735="pp",W1735,0)</f>
        <v>0</v>
      </c>
      <c r="BI1735" s="192">
        <f>IF(T1735="dp",W1735,0)</f>
        <v>0</v>
      </c>
      <c r="BJ1735" s="89"/>
      <c r="BK1735" s="89"/>
      <c r="BL1735" s="89"/>
      <c r="BM1735" s="89"/>
      <c r="BN1735" s="89"/>
      <c r="BO1735" s="89"/>
      <c r="BP1735" s="89"/>
    </row>
    <row r="1736" spans="1:68" s="56" customFormat="1" ht="13.5" hidden="1">
      <c r="A1736" s="204" t="str">
        <f>+IFERROR(VALUE(MID(AB1736,4,4)),"")</f>
        <v/>
      </c>
      <c r="B1736" s="204">
        <f>VALUE(RIGHT(C1736,LEN(C1736)-2))</f>
        <v>989</v>
      </c>
      <c r="C1736" s="74" t="s">
        <v>6212</v>
      </c>
      <c r="D1736" s="75">
        <v>43483</v>
      </c>
      <c r="E1736" s="70" t="s">
        <v>4114</v>
      </c>
      <c r="F1736" s="70" t="s">
        <v>4114</v>
      </c>
      <c r="G1736" s="68"/>
      <c r="H1736" s="59"/>
      <c r="I1736" s="162" t="s">
        <v>6213</v>
      </c>
      <c r="J1736" s="162"/>
      <c r="K1736" s="68" t="s">
        <v>12</v>
      </c>
      <c r="L1736" s="69" t="s">
        <v>129</v>
      </c>
      <c r="M1736" s="71" t="s">
        <v>141</v>
      </c>
      <c r="N1736" s="69" t="e" vm="1">
        <v>#VALUE!</v>
      </c>
      <c r="O1736" s="164">
        <v>43495</v>
      </c>
      <c r="P1736" s="72" t="s">
        <v>402</v>
      </c>
      <c r="Q1736" s="72"/>
      <c r="R1736" s="162"/>
      <c r="S1736" s="146" t="s">
        <v>6214</v>
      </c>
      <c r="T1736" s="68" t="s">
        <v>165</v>
      </c>
      <c r="U1736" s="87"/>
      <c r="V1736" s="183">
        <v>43515</v>
      </c>
      <c r="W1736" s="73">
        <v>2912</v>
      </c>
      <c r="X1736" s="73">
        <f>4118*27600/1000000</f>
        <v>113.6568</v>
      </c>
      <c r="Y1736" s="83">
        <f>IF(SUM(W1736:W1736)&gt;0,X1736/SUM(W1736:W1736)*1000000,"N/A")</f>
        <v>39030.494505494506</v>
      </c>
      <c r="Z1736" s="183"/>
      <c r="AA1736" s="183"/>
      <c r="AB1736" s="73"/>
      <c r="AC1736" s="153"/>
      <c r="AD1736" s="331"/>
      <c r="AE1736" s="57"/>
      <c r="AF1736" s="88"/>
      <c r="AG1736" s="182">
        <f>YEAR(D1736)</f>
        <v>2019</v>
      </c>
      <c r="AH1736" s="86" t="str">
        <f>+IF(AE1736=$AJ$22,MONTH(T1736),"")</f>
        <v/>
      </c>
      <c r="AI1736" s="86" t="str">
        <f>+IF(AF1736=$AJ$22,MONTH(U1736),"")</f>
        <v/>
      </c>
      <c r="AJ1736" s="86" t="str">
        <f>+IF(AG1736=$AJ$22,MONTH(V1736),"")</f>
        <v/>
      </c>
      <c r="AK1736" s="86" t="str">
        <f>+IF(AG1736=$AK$22,MONTH(V1736),"")</f>
        <v/>
      </c>
      <c r="AL1736" s="86" t="str">
        <f>+IF(AG1736=$AL$22,MONTH(V1736),"")</f>
        <v/>
      </c>
      <c r="AM1736" s="86" t="str">
        <f>+IF($AG1736=$AM$22,MONTH($D1736),"")</f>
        <v/>
      </c>
      <c r="AN1736" s="89" t="str">
        <f>+IF($AG1736=AN$22,MONTH($D1736),"")</f>
        <v/>
      </c>
      <c r="AO1736" s="89">
        <f>+IF($AG1736=AO$22,MONTH($D1736),"")</f>
        <v>1</v>
      </c>
      <c r="AP1736" s="89" t="str">
        <f>+IF($AG1736=AP$22,MONTH($D1736),"")</f>
        <v/>
      </c>
      <c r="AQ1736" s="89" t="str">
        <f>+IF($AG1736=AQ$22,MONTH($D1736),"")</f>
        <v/>
      </c>
      <c r="AR1736" s="89" t="str">
        <f>+IF($AG1736=AR$22,MONTH($D1736),"")</f>
        <v/>
      </c>
      <c r="AS1736" s="89" t="str">
        <f>+IF($AG1736=AS$22,MONTH($D1736),"")</f>
        <v/>
      </c>
      <c r="AT1736" s="89" t="str">
        <f>+IF($AG1736=AT$22,MONTH($D1736),"")</f>
        <v/>
      </c>
      <c r="AU1736" s="89" t="str">
        <f>+IF($AG1736=AU$22,MONTH($D1736),"")</f>
        <v/>
      </c>
      <c r="AV1736" s="89" t="str">
        <f>+IF($AG1736=AV$22,MONTH($D1736),"")</f>
        <v/>
      </c>
      <c r="AW1736" s="86" t="str">
        <f>+IF($AG1736=AW$22,MONTH($D1736),"")</f>
        <v/>
      </c>
      <c r="AX1736" s="86" t="str">
        <f>+IF($AG1736=AX$22,MONTH($D1736),"")</f>
        <v/>
      </c>
      <c r="AY1736" s="182"/>
      <c r="AZ1736" s="2"/>
      <c r="BA1736" s="2"/>
      <c r="BB1736" s="2"/>
      <c r="BC1736" s="2"/>
      <c r="BD1736" s="2">
        <f>IF(T1736="pg",1,0)</f>
        <v>0</v>
      </c>
      <c r="BE1736" s="2">
        <f>IF(T1736="dp",1,0)</f>
        <v>0</v>
      </c>
      <c r="BF1736" s="2">
        <f>IF(T1736="pp",1,0)</f>
        <v>1</v>
      </c>
      <c r="BG1736" s="2">
        <f>IF(T1736="pg",W1736,0)</f>
        <v>0</v>
      </c>
      <c r="BH1736" s="192">
        <f>IF(T1736="pp",W1736,0)</f>
        <v>2912</v>
      </c>
      <c r="BI1736" s="192">
        <f>IF(T1736="dp",W1736,0)</f>
        <v>0</v>
      </c>
      <c r="BJ1736" s="89"/>
      <c r="BK1736" s="89"/>
      <c r="BL1736" s="89"/>
      <c r="BM1736" s="89"/>
      <c r="BN1736" s="89"/>
      <c r="BO1736" s="89"/>
      <c r="BP1736" s="89"/>
    </row>
    <row r="1737" spans="1:68" s="56" customFormat="1" ht="13.5" hidden="1">
      <c r="A1737" s="204" t="str">
        <f>+IFERROR(VALUE(MID(AB1737,4,4)),"")</f>
        <v/>
      </c>
      <c r="B1737" s="204">
        <f>VALUE(RIGHT(C1737,LEN(C1737)-2))</f>
        <v>988</v>
      </c>
      <c r="C1737" s="74" t="s">
        <v>6215</v>
      </c>
      <c r="D1737" s="75">
        <v>43476</v>
      </c>
      <c r="E1737" s="70" t="s">
        <v>4114</v>
      </c>
      <c r="F1737" s="70" t="s">
        <v>4114</v>
      </c>
      <c r="G1737" s="68"/>
      <c r="H1737" s="59"/>
      <c r="I1737" s="162" t="s">
        <v>6216</v>
      </c>
      <c r="J1737" s="162"/>
      <c r="K1737" s="68" t="s">
        <v>11</v>
      </c>
      <c r="L1737" s="69" t="s">
        <v>120</v>
      </c>
      <c r="M1737" s="71" t="s">
        <v>141</v>
      </c>
      <c r="N1737" s="69" t="e" vm="1">
        <v>#VALUE!</v>
      </c>
      <c r="O1737" s="164">
        <v>43479</v>
      </c>
      <c r="P1737" s="72" t="s">
        <v>4567</v>
      </c>
      <c r="Q1737" s="72" t="s">
        <v>259</v>
      </c>
      <c r="R1737" s="162"/>
      <c r="S1737" s="146" t="s">
        <v>6217</v>
      </c>
      <c r="T1737" s="68" t="s">
        <v>3</v>
      </c>
      <c r="U1737" s="87"/>
      <c r="V1737" s="183">
        <v>43476</v>
      </c>
      <c r="W1737" s="73">
        <v>30</v>
      </c>
      <c r="X1737" s="73">
        <f>44*27500/1000000</f>
        <v>1.21</v>
      </c>
      <c r="Y1737" s="83">
        <f>IF(SUM(W1737:W1737)&gt;0,X1737/SUM(W1737:W1737)*1000000,"N/A")</f>
        <v>40333.333333333336</v>
      </c>
      <c r="Z1737" s="183"/>
      <c r="AA1737" s="183"/>
      <c r="AB1737" s="73"/>
      <c r="AC1737" s="153"/>
      <c r="AD1737" s="331"/>
      <c r="AE1737" s="57"/>
      <c r="AF1737" s="88"/>
      <c r="AG1737" s="182">
        <f>YEAR(D1737)</f>
        <v>2019</v>
      </c>
      <c r="AH1737" s="86" t="str">
        <f>+IF(AE1737=$AJ$22,MONTH(T1737),"")</f>
        <v/>
      </c>
      <c r="AI1737" s="86" t="str">
        <f>+IF(AF1737=$AJ$22,MONTH(U1737),"")</f>
        <v/>
      </c>
      <c r="AJ1737" s="86" t="str">
        <f>+IF(AG1737=$AJ$22,MONTH(V1737),"")</f>
        <v/>
      </c>
      <c r="AK1737" s="86" t="str">
        <f>+IF(AG1737=$AK$22,MONTH(V1737),"")</f>
        <v/>
      </c>
      <c r="AL1737" s="86" t="str">
        <f>+IF(AG1737=$AL$22,MONTH(V1737),"")</f>
        <v/>
      </c>
      <c r="AM1737" s="86" t="str">
        <f>+IF($AG1737=$AM$22,MONTH($D1737),"")</f>
        <v/>
      </c>
      <c r="AN1737" s="89" t="str">
        <f>+IF($AG1737=AN$22,MONTH($D1737),"")</f>
        <v/>
      </c>
      <c r="AO1737" s="89">
        <f>+IF($AG1737=AO$22,MONTH($D1737),"")</f>
        <v>1</v>
      </c>
      <c r="AP1737" s="89" t="str">
        <f>+IF($AG1737=AP$22,MONTH($D1737),"")</f>
        <v/>
      </c>
      <c r="AQ1737" s="89" t="str">
        <f>+IF($AG1737=AQ$22,MONTH($D1737),"")</f>
        <v/>
      </c>
      <c r="AR1737" s="89" t="str">
        <f>+IF($AG1737=AR$22,MONTH($D1737),"")</f>
        <v/>
      </c>
      <c r="AS1737" s="89" t="str">
        <f>+IF($AG1737=AS$22,MONTH($D1737),"")</f>
        <v/>
      </c>
      <c r="AT1737" s="89" t="str">
        <f>+IF($AG1737=AT$22,MONTH($D1737),"")</f>
        <v/>
      </c>
      <c r="AU1737" s="89" t="str">
        <f>+IF($AG1737=AU$22,MONTH($D1737),"")</f>
        <v/>
      </c>
      <c r="AV1737" s="89" t="str">
        <f>+IF($AG1737=AV$22,MONTH($D1737),"")</f>
        <v/>
      </c>
      <c r="AW1737" s="86" t="str">
        <f>+IF($AG1737=AW$22,MONTH($D1737),"")</f>
        <v/>
      </c>
      <c r="AX1737" s="86" t="str">
        <f>+IF($AG1737=AX$22,MONTH($D1737),"")</f>
        <v/>
      </c>
      <c r="AY1737" s="182"/>
      <c r="AZ1737" s="2"/>
      <c r="BA1737" s="2"/>
      <c r="BB1737" s="2"/>
      <c r="BC1737" s="2"/>
      <c r="BD1737" s="2">
        <f>IF(T1737="pg",1,0)</f>
        <v>1</v>
      </c>
      <c r="BE1737" s="2">
        <f>IF(T1737="dp",1,0)</f>
        <v>0</v>
      </c>
      <c r="BF1737" s="2">
        <f>IF(T1737="pp",1,0)</f>
        <v>0</v>
      </c>
      <c r="BG1737" s="2">
        <f>IF(T1737="pg",W1737,0)</f>
        <v>30</v>
      </c>
      <c r="BH1737" s="192">
        <f>IF(T1737="pp",W1737,0)</f>
        <v>0</v>
      </c>
      <c r="BI1737" s="192">
        <f>IF(T1737="dp",W1737,0)</f>
        <v>0</v>
      </c>
      <c r="BJ1737" s="89"/>
      <c r="BK1737" s="89"/>
      <c r="BL1737" s="89"/>
      <c r="BM1737" s="89"/>
      <c r="BN1737" s="89"/>
      <c r="BO1737" s="89"/>
      <c r="BP1737" s="89"/>
    </row>
    <row r="1738" spans="1:68" s="56" customFormat="1" ht="13.5" hidden="1">
      <c r="A1738" s="204" t="str">
        <f>+IFERROR(VALUE(MID(AB1738,4,4)),"")</f>
        <v/>
      </c>
      <c r="B1738" s="204">
        <f>VALUE(RIGHT(C1738,LEN(C1738)-2))</f>
        <v>987</v>
      </c>
      <c r="C1738" s="74" t="s">
        <v>6218</v>
      </c>
      <c r="D1738" s="75">
        <v>43475</v>
      </c>
      <c r="E1738" s="70" t="s">
        <v>685</v>
      </c>
      <c r="F1738" s="70" t="s">
        <v>685</v>
      </c>
      <c r="G1738" s="68"/>
      <c r="H1738" s="59"/>
      <c r="I1738" s="162" t="s">
        <v>6219</v>
      </c>
      <c r="J1738" s="162"/>
      <c r="K1738" s="68" t="s">
        <v>45</v>
      </c>
      <c r="L1738" s="69" t="s">
        <v>129</v>
      </c>
      <c r="M1738" s="71" t="s">
        <v>141</v>
      </c>
      <c r="N1738" s="69" t="e" vm="1">
        <v>#VALUE!</v>
      </c>
      <c r="O1738" s="164">
        <v>43489</v>
      </c>
      <c r="P1738" s="72" t="s">
        <v>4567</v>
      </c>
      <c r="Q1738" s="72"/>
      <c r="R1738" s="162"/>
      <c r="S1738" s="146"/>
      <c r="T1738" s="68" t="s">
        <v>165</v>
      </c>
      <c r="U1738" s="87"/>
      <c r="V1738" s="183">
        <v>43525</v>
      </c>
      <c r="W1738" s="73">
        <v>2341</v>
      </c>
      <c r="X1738" s="73">
        <f>6714*27600/1000000</f>
        <v>185.3064</v>
      </c>
      <c r="Y1738" s="83">
        <f>IF(SUM(W1738:W1738)&gt;0,X1738/SUM(W1738:W1738)*1000000,"N/A")</f>
        <v>79156.941478000852</v>
      </c>
      <c r="Z1738" s="183"/>
      <c r="AA1738" s="183"/>
      <c r="AB1738" s="73"/>
      <c r="AC1738" s="153"/>
      <c r="AD1738" s="331"/>
      <c r="AE1738" s="57"/>
      <c r="AF1738" s="88"/>
      <c r="AG1738" s="182">
        <f>YEAR(D1738)</f>
        <v>2019</v>
      </c>
      <c r="AH1738" s="86" t="str">
        <f>+IF(AE1738=$AJ$22,MONTH(T1738),"")</f>
        <v/>
      </c>
      <c r="AI1738" s="86" t="str">
        <f>+IF(AF1738=$AJ$22,MONTH(U1738),"")</f>
        <v/>
      </c>
      <c r="AJ1738" s="86" t="str">
        <f>+IF(AG1738=$AJ$22,MONTH(V1738),"")</f>
        <v/>
      </c>
      <c r="AK1738" s="86" t="str">
        <f>+IF(AG1738=$AK$22,MONTH(V1738),"")</f>
        <v/>
      </c>
      <c r="AL1738" s="86" t="str">
        <f>+IF(AG1738=$AL$22,MONTH(V1738),"")</f>
        <v/>
      </c>
      <c r="AM1738" s="86" t="str">
        <f>+IF($AG1738=$AM$22,MONTH($D1738),"")</f>
        <v/>
      </c>
      <c r="AN1738" s="89" t="str">
        <f>+IF($AG1738=AN$22,MONTH($D1738),"")</f>
        <v/>
      </c>
      <c r="AO1738" s="89">
        <f>+IF($AG1738=AO$22,MONTH($D1738),"")</f>
        <v>1</v>
      </c>
      <c r="AP1738" s="89" t="str">
        <f>+IF($AG1738=AP$22,MONTH($D1738),"")</f>
        <v/>
      </c>
      <c r="AQ1738" s="89" t="str">
        <f>+IF($AG1738=AQ$22,MONTH($D1738),"")</f>
        <v/>
      </c>
      <c r="AR1738" s="89" t="str">
        <f>+IF($AG1738=AR$22,MONTH($D1738),"")</f>
        <v/>
      </c>
      <c r="AS1738" s="89" t="str">
        <f>+IF($AG1738=AS$22,MONTH($D1738),"")</f>
        <v/>
      </c>
      <c r="AT1738" s="89" t="str">
        <f>+IF($AG1738=AT$22,MONTH($D1738),"")</f>
        <v/>
      </c>
      <c r="AU1738" s="89" t="str">
        <f>+IF($AG1738=AU$22,MONTH($D1738),"")</f>
        <v/>
      </c>
      <c r="AV1738" s="89" t="str">
        <f>+IF($AG1738=AV$22,MONTH($D1738),"")</f>
        <v/>
      </c>
      <c r="AW1738" s="86" t="str">
        <f>+IF($AG1738=AW$22,MONTH($D1738),"")</f>
        <v/>
      </c>
      <c r="AX1738" s="86" t="str">
        <f>+IF($AG1738=AX$22,MONTH($D1738),"")</f>
        <v/>
      </c>
      <c r="AY1738" s="182"/>
      <c r="AZ1738" s="2"/>
      <c r="BA1738" s="2"/>
      <c r="BB1738" s="2"/>
      <c r="BC1738" s="2"/>
      <c r="BD1738" s="2">
        <f>IF(T1738="pg",1,0)</f>
        <v>0</v>
      </c>
      <c r="BE1738" s="2">
        <f>IF(T1738="dp",1,0)</f>
        <v>0</v>
      </c>
      <c r="BF1738" s="2">
        <f>IF(T1738="pp",1,0)</f>
        <v>1</v>
      </c>
      <c r="BG1738" s="2">
        <f>IF(T1738="pg",W1738,0)</f>
        <v>0</v>
      </c>
      <c r="BH1738" s="192">
        <f>IF(T1738="pp",W1738,0)</f>
        <v>2341</v>
      </c>
      <c r="BI1738" s="192">
        <f>IF(T1738="dp",W1738,0)</f>
        <v>0</v>
      </c>
      <c r="BJ1738" s="89"/>
      <c r="BK1738" s="89"/>
      <c r="BL1738" s="89"/>
      <c r="BM1738" s="89"/>
      <c r="BN1738" s="89"/>
      <c r="BO1738" s="89"/>
      <c r="BP1738" s="89"/>
    </row>
    <row r="1739" spans="1:68" s="56" customFormat="1" ht="27" hidden="1">
      <c r="A1739" s="204" t="str">
        <f>+IFERROR(VALUE(MID(AB1739,4,4)),"")</f>
        <v/>
      </c>
      <c r="B1739" s="204">
        <f>VALUE(RIGHT(C1739,LEN(C1739)-2))</f>
        <v>986</v>
      </c>
      <c r="C1739" s="74" t="s">
        <v>6220</v>
      </c>
      <c r="D1739" s="75">
        <v>43473</v>
      </c>
      <c r="E1739" s="70" t="s">
        <v>41</v>
      </c>
      <c r="F1739" s="70" t="s">
        <v>41</v>
      </c>
      <c r="G1739" s="68"/>
      <c r="H1739" s="59"/>
      <c r="I1739" s="162" t="s">
        <v>6221</v>
      </c>
      <c r="J1739" s="162"/>
      <c r="K1739" s="68" t="s">
        <v>13</v>
      </c>
      <c r="L1739" s="69" t="s">
        <v>120</v>
      </c>
      <c r="M1739" s="71" t="s">
        <v>141</v>
      </c>
      <c r="N1739" s="69" t="e" vm="1">
        <v>#VALUE!</v>
      </c>
      <c r="O1739" s="164">
        <v>43473</v>
      </c>
      <c r="P1739" s="72" t="s">
        <v>402</v>
      </c>
      <c r="Q1739" s="72"/>
      <c r="R1739" s="162"/>
      <c r="S1739" s="146" t="s">
        <v>6222</v>
      </c>
      <c r="T1739" s="68" t="s">
        <v>165</v>
      </c>
      <c r="U1739" s="87"/>
      <c r="V1739" s="183">
        <v>43493</v>
      </c>
      <c r="W1739" s="73">
        <v>771</v>
      </c>
      <c r="X1739" s="73">
        <f>767*27600/1000000</f>
        <v>21.1692</v>
      </c>
      <c r="Y1739" s="83">
        <f>IF(SUM(W1739:W1739)&gt;0,X1739/SUM(W1739:W1739)*1000000,"N/A")</f>
        <v>27456.809338521402</v>
      </c>
      <c r="Z1739" s="183"/>
      <c r="AA1739" s="183"/>
      <c r="AB1739" s="73"/>
      <c r="AC1739" s="153"/>
      <c r="AD1739" s="331"/>
      <c r="AE1739" s="57"/>
      <c r="AF1739" s="88"/>
      <c r="AG1739" s="182">
        <f>YEAR(D1739)</f>
        <v>2019</v>
      </c>
      <c r="AH1739" s="86" t="str">
        <f>+IF(AE1739=$AJ$22,MONTH(T1739),"")</f>
        <v/>
      </c>
      <c r="AI1739" s="86" t="str">
        <f>+IF(AF1739=$AJ$22,MONTH(U1739),"")</f>
        <v/>
      </c>
      <c r="AJ1739" s="86" t="str">
        <f>+IF(AG1739=$AJ$22,MONTH(V1739),"")</f>
        <v/>
      </c>
      <c r="AK1739" s="86" t="str">
        <f>+IF(AG1739=$AK$22,MONTH(V1739),"")</f>
        <v/>
      </c>
      <c r="AL1739" s="86" t="str">
        <f>+IF(AG1739=$AL$22,MONTH(V1739),"")</f>
        <v/>
      </c>
      <c r="AM1739" s="86" t="str">
        <f>+IF($AG1739=$AM$22,MONTH($D1739),"")</f>
        <v/>
      </c>
      <c r="AN1739" s="89" t="str">
        <f>+IF($AG1739=AN$22,MONTH($D1739),"")</f>
        <v/>
      </c>
      <c r="AO1739" s="89">
        <f>+IF($AG1739=AO$22,MONTH($D1739),"")</f>
        <v>1</v>
      </c>
      <c r="AP1739" s="89" t="str">
        <f>+IF($AG1739=AP$22,MONTH($D1739),"")</f>
        <v/>
      </c>
      <c r="AQ1739" s="89" t="str">
        <f>+IF($AG1739=AQ$22,MONTH($D1739),"")</f>
        <v/>
      </c>
      <c r="AR1739" s="89" t="str">
        <f>+IF($AG1739=AR$22,MONTH($D1739),"")</f>
        <v/>
      </c>
      <c r="AS1739" s="89" t="str">
        <f>+IF($AG1739=AS$22,MONTH($D1739),"")</f>
        <v/>
      </c>
      <c r="AT1739" s="89" t="str">
        <f>+IF($AG1739=AT$22,MONTH($D1739),"")</f>
        <v/>
      </c>
      <c r="AU1739" s="89" t="str">
        <f>+IF($AG1739=AU$22,MONTH($D1739),"")</f>
        <v/>
      </c>
      <c r="AV1739" s="89" t="str">
        <f>+IF($AG1739=AV$22,MONTH($D1739),"")</f>
        <v/>
      </c>
      <c r="AW1739" s="86" t="str">
        <f>+IF($AG1739=AW$22,MONTH($D1739),"")</f>
        <v/>
      </c>
      <c r="AX1739" s="86" t="str">
        <f>+IF($AG1739=AX$22,MONTH($D1739),"")</f>
        <v/>
      </c>
      <c r="AY1739" s="182"/>
      <c r="AZ1739" s="2"/>
      <c r="BA1739" s="2"/>
      <c r="BB1739" s="2"/>
      <c r="BC1739" s="2"/>
      <c r="BD1739" s="2">
        <f>IF(T1739="pg",1,0)</f>
        <v>0</v>
      </c>
      <c r="BE1739" s="2">
        <f>IF(T1739="dp",1,0)</f>
        <v>0</v>
      </c>
      <c r="BF1739" s="2">
        <f>IF(T1739="pp",1,0)</f>
        <v>1</v>
      </c>
      <c r="BG1739" s="2">
        <f>IF(T1739="pg",W1739,0)</f>
        <v>0</v>
      </c>
      <c r="BH1739" s="192">
        <f>IF(T1739="pp",W1739,0)</f>
        <v>771</v>
      </c>
      <c r="BI1739" s="192">
        <f>IF(T1739="dp",W1739,0)</f>
        <v>0</v>
      </c>
      <c r="BJ1739" s="89"/>
      <c r="BK1739" s="89"/>
      <c r="BL1739" s="89"/>
      <c r="BM1739" s="89"/>
      <c r="BN1739" s="89"/>
      <c r="BO1739" s="89"/>
      <c r="BP1739" s="89"/>
    </row>
    <row r="1740" spans="1:68" s="56" customFormat="1" ht="27" hidden="1">
      <c r="A1740" s="204" t="str">
        <f>+IFERROR(VALUE(MID(AB1740,4,4)),"")</f>
        <v/>
      </c>
      <c r="B1740" s="204">
        <f>VALUE(RIGHT(C1740,LEN(C1740)-2))</f>
        <v>985</v>
      </c>
      <c r="C1740" s="74" t="s">
        <v>6223</v>
      </c>
      <c r="D1740" s="75">
        <v>43473</v>
      </c>
      <c r="E1740" s="70" t="s">
        <v>41</v>
      </c>
      <c r="F1740" s="70" t="s">
        <v>41</v>
      </c>
      <c r="G1740" s="68"/>
      <c r="H1740" s="59"/>
      <c r="I1740" s="162" t="s">
        <v>6224</v>
      </c>
      <c r="J1740" s="162"/>
      <c r="K1740" s="68" t="s">
        <v>13</v>
      </c>
      <c r="L1740" s="69" t="s">
        <v>120</v>
      </c>
      <c r="M1740" s="71" t="s">
        <v>141</v>
      </c>
      <c r="N1740" s="69" t="e" vm="1">
        <v>#VALUE!</v>
      </c>
      <c r="O1740" s="164">
        <v>43473</v>
      </c>
      <c r="P1740" s="72" t="s">
        <v>402</v>
      </c>
      <c r="Q1740" s="72"/>
      <c r="R1740" s="162"/>
      <c r="S1740" s="146" t="s">
        <v>6222</v>
      </c>
      <c r="T1740" s="68" t="s">
        <v>165</v>
      </c>
      <c r="U1740" s="87"/>
      <c r="V1740" s="183">
        <v>43493</v>
      </c>
      <c r="W1740" s="73">
        <v>851</v>
      </c>
      <c r="X1740" s="73">
        <f>861*27600/1000000</f>
        <v>23.7636</v>
      </c>
      <c r="Y1740" s="83">
        <f>IF(SUM(W1740:W1740)&gt;0,X1740/SUM(W1740:W1740)*1000000,"N/A")</f>
        <v>27924.324324324323</v>
      </c>
      <c r="Z1740" s="183"/>
      <c r="AA1740" s="183"/>
      <c r="AB1740" s="73"/>
      <c r="AC1740" s="153"/>
      <c r="AD1740" s="331"/>
      <c r="AE1740" s="57"/>
      <c r="AF1740" s="88"/>
      <c r="AG1740" s="182">
        <f>YEAR(D1740)</f>
        <v>2019</v>
      </c>
      <c r="AH1740" s="86" t="str">
        <f>+IF(AE1740=$AJ$22,MONTH(T1740),"")</f>
        <v/>
      </c>
      <c r="AI1740" s="86" t="str">
        <f>+IF(AF1740=$AJ$22,MONTH(U1740),"")</f>
        <v/>
      </c>
      <c r="AJ1740" s="86" t="str">
        <f>+IF(AG1740=$AJ$22,MONTH(V1740),"")</f>
        <v/>
      </c>
      <c r="AK1740" s="86" t="str">
        <f>+IF(AG1740=$AK$22,MONTH(V1740),"")</f>
        <v/>
      </c>
      <c r="AL1740" s="86" t="str">
        <f>+IF(AG1740=$AL$22,MONTH(V1740),"")</f>
        <v/>
      </c>
      <c r="AM1740" s="86" t="str">
        <f>+IF($AG1740=$AM$22,MONTH($D1740),"")</f>
        <v/>
      </c>
      <c r="AN1740" s="89" t="str">
        <f>+IF($AG1740=AN$22,MONTH($D1740),"")</f>
        <v/>
      </c>
      <c r="AO1740" s="89">
        <f>+IF($AG1740=AO$22,MONTH($D1740),"")</f>
        <v>1</v>
      </c>
      <c r="AP1740" s="89" t="str">
        <f>+IF($AG1740=AP$22,MONTH($D1740),"")</f>
        <v/>
      </c>
      <c r="AQ1740" s="89" t="str">
        <f>+IF($AG1740=AQ$22,MONTH($D1740),"")</f>
        <v/>
      </c>
      <c r="AR1740" s="89" t="str">
        <f>+IF($AG1740=AR$22,MONTH($D1740),"")</f>
        <v/>
      </c>
      <c r="AS1740" s="89" t="str">
        <f>+IF($AG1740=AS$22,MONTH($D1740),"")</f>
        <v/>
      </c>
      <c r="AT1740" s="89" t="str">
        <f>+IF($AG1740=AT$22,MONTH($D1740),"")</f>
        <v/>
      </c>
      <c r="AU1740" s="89" t="str">
        <f>+IF($AG1740=AU$22,MONTH($D1740),"")</f>
        <v/>
      </c>
      <c r="AV1740" s="89" t="str">
        <f>+IF($AG1740=AV$22,MONTH($D1740),"")</f>
        <v/>
      </c>
      <c r="AW1740" s="86" t="str">
        <f>+IF($AG1740=AW$22,MONTH($D1740),"")</f>
        <v/>
      </c>
      <c r="AX1740" s="86" t="str">
        <f>+IF($AG1740=AX$22,MONTH($D1740),"")</f>
        <v/>
      </c>
      <c r="AY1740" s="182"/>
      <c r="AZ1740" s="2"/>
      <c r="BA1740" s="2"/>
      <c r="BB1740" s="2"/>
      <c r="BC1740" s="2"/>
      <c r="BD1740" s="2">
        <f>IF(T1740="pg",1,0)</f>
        <v>0</v>
      </c>
      <c r="BE1740" s="2">
        <f>IF(T1740="dp",1,0)</f>
        <v>0</v>
      </c>
      <c r="BF1740" s="2">
        <f>IF(T1740="pp",1,0)</f>
        <v>1</v>
      </c>
      <c r="BG1740" s="2">
        <f>IF(T1740="pg",W1740,0)</f>
        <v>0</v>
      </c>
      <c r="BH1740" s="192">
        <f>IF(T1740="pp",W1740,0)</f>
        <v>851</v>
      </c>
      <c r="BI1740" s="192">
        <f>IF(T1740="dp",W1740,0)</f>
        <v>0</v>
      </c>
      <c r="BJ1740" s="89"/>
      <c r="BK1740" s="89"/>
      <c r="BL1740" s="89"/>
      <c r="BM1740" s="89"/>
      <c r="BN1740" s="89"/>
      <c r="BO1740" s="89"/>
      <c r="BP1740" s="89"/>
    </row>
    <row r="1741" spans="1:68" s="56" customFormat="1" ht="13.5" hidden="1">
      <c r="A1741" s="204" t="str">
        <f>+IFERROR(VALUE(MID(AB1741,4,4)),"")</f>
        <v/>
      </c>
      <c r="B1741" s="204">
        <f>VALUE(RIGHT(C1741,LEN(C1741)-2))</f>
        <v>984</v>
      </c>
      <c r="C1741" s="74" t="s">
        <v>6225</v>
      </c>
      <c r="D1741" s="75">
        <v>43472</v>
      </c>
      <c r="E1741" s="70" t="s">
        <v>4114</v>
      </c>
      <c r="F1741" s="70" t="s">
        <v>4114</v>
      </c>
      <c r="G1741" s="68"/>
      <c r="H1741" s="59"/>
      <c r="I1741" s="162" t="s">
        <v>6226</v>
      </c>
      <c r="J1741" s="162"/>
      <c r="K1741" s="68" t="s">
        <v>13</v>
      </c>
      <c r="L1741" s="69" t="s">
        <v>120</v>
      </c>
      <c r="M1741" s="71" t="s">
        <v>141</v>
      </c>
      <c r="N1741" s="69" t="e" vm="1">
        <v>#VALUE!</v>
      </c>
      <c r="O1741" s="164">
        <v>43472</v>
      </c>
      <c r="P1741" s="72" t="s">
        <v>4567</v>
      </c>
      <c r="Q1741" s="72"/>
      <c r="R1741" s="162"/>
      <c r="S1741" s="146"/>
      <c r="T1741" s="68" t="s">
        <v>165</v>
      </c>
      <c r="U1741" s="87"/>
      <c r="V1741" s="183">
        <v>43493</v>
      </c>
      <c r="W1741" s="73">
        <v>1795</v>
      </c>
      <c r="X1741" s="73">
        <f>2261*27600/1000000</f>
        <v>62.403599999999997</v>
      </c>
      <c r="Y1741" s="83">
        <f>IF(SUM(W1741:W1741)&gt;0,X1741/SUM(W1741:W1741)*1000000,"N/A")</f>
        <v>34765.236768802228</v>
      </c>
      <c r="Z1741" s="183"/>
      <c r="AA1741" s="183"/>
      <c r="AB1741" s="73"/>
      <c r="AC1741" s="153"/>
      <c r="AD1741" s="331"/>
      <c r="AE1741" s="57"/>
      <c r="AF1741" s="88"/>
      <c r="AG1741" s="182">
        <f>YEAR(D1741)</f>
        <v>2019</v>
      </c>
      <c r="AH1741" s="86" t="str">
        <f>+IF(AE1741=$AJ$22,MONTH(T1741),"")</f>
        <v/>
      </c>
      <c r="AI1741" s="86" t="str">
        <f>+IF(AF1741=$AJ$22,MONTH(U1741),"")</f>
        <v/>
      </c>
      <c r="AJ1741" s="86" t="str">
        <f>+IF(AG1741=$AJ$22,MONTH(V1741),"")</f>
        <v/>
      </c>
      <c r="AK1741" s="86" t="str">
        <f>+IF(AG1741=$AK$22,MONTH(V1741),"")</f>
        <v/>
      </c>
      <c r="AL1741" s="86" t="str">
        <f>+IF(AG1741=$AL$22,MONTH(V1741),"")</f>
        <v/>
      </c>
      <c r="AM1741" s="86" t="str">
        <f>+IF($AG1741=$AM$22,MONTH($D1741),"")</f>
        <v/>
      </c>
      <c r="AN1741" s="89" t="str">
        <f>+IF($AG1741=AN$22,MONTH($D1741),"")</f>
        <v/>
      </c>
      <c r="AO1741" s="89">
        <f>+IF($AG1741=AO$22,MONTH($D1741),"")</f>
        <v>1</v>
      </c>
      <c r="AP1741" s="89" t="str">
        <f>+IF($AG1741=AP$22,MONTH($D1741),"")</f>
        <v/>
      </c>
      <c r="AQ1741" s="89" t="str">
        <f>+IF($AG1741=AQ$22,MONTH($D1741),"")</f>
        <v/>
      </c>
      <c r="AR1741" s="89" t="str">
        <f>+IF($AG1741=AR$22,MONTH($D1741),"")</f>
        <v/>
      </c>
      <c r="AS1741" s="89" t="str">
        <f>+IF($AG1741=AS$22,MONTH($D1741),"")</f>
        <v/>
      </c>
      <c r="AT1741" s="89" t="str">
        <f>+IF($AG1741=AT$22,MONTH($D1741),"")</f>
        <v/>
      </c>
      <c r="AU1741" s="89" t="str">
        <f>+IF($AG1741=AU$22,MONTH($D1741),"")</f>
        <v/>
      </c>
      <c r="AV1741" s="89" t="str">
        <f>+IF($AG1741=AV$22,MONTH($D1741),"")</f>
        <v/>
      </c>
      <c r="AW1741" s="86" t="str">
        <f>+IF($AG1741=AW$22,MONTH($D1741),"")</f>
        <v/>
      </c>
      <c r="AX1741" s="86" t="str">
        <f>+IF($AG1741=AX$22,MONTH($D1741),"")</f>
        <v/>
      </c>
      <c r="AY1741" s="182"/>
      <c r="AZ1741" s="2"/>
      <c r="BA1741" s="2"/>
      <c r="BB1741" s="2"/>
      <c r="BC1741" s="2"/>
      <c r="BD1741" s="2">
        <f>IF(T1741="pg",1,0)</f>
        <v>0</v>
      </c>
      <c r="BE1741" s="2">
        <f>IF(T1741="dp",1,0)</f>
        <v>0</v>
      </c>
      <c r="BF1741" s="2">
        <f>IF(T1741="pp",1,0)</f>
        <v>1</v>
      </c>
      <c r="BG1741" s="2">
        <f>IF(T1741="pg",W1741,0)</f>
        <v>0</v>
      </c>
      <c r="BH1741" s="192">
        <f>IF(T1741="pp",W1741,0)</f>
        <v>1795</v>
      </c>
      <c r="BI1741" s="192">
        <f>IF(T1741="dp",W1741,0)</f>
        <v>0</v>
      </c>
      <c r="BJ1741" s="89"/>
      <c r="BK1741" s="89"/>
      <c r="BL1741" s="89"/>
      <c r="BM1741" s="89"/>
      <c r="BN1741" s="89"/>
      <c r="BO1741" s="89"/>
      <c r="BP1741" s="89"/>
    </row>
    <row r="1742" spans="1:68" s="56" customFormat="1" ht="40.5" hidden="1">
      <c r="A1742" s="204" t="str">
        <f>+IFERROR(VALUE(MID(AB1742,4,4)),"")</f>
        <v/>
      </c>
      <c r="B1742" s="204">
        <f>VALUE(RIGHT(C1742,LEN(C1742)-2))</f>
        <v>983</v>
      </c>
      <c r="C1742" s="74" t="s">
        <v>6227</v>
      </c>
      <c r="D1742" s="75">
        <v>43465</v>
      </c>
      <c r="E1742" s="70" t="s">
        <v>6228</v>
      </c>
      <c r="F1742" s="70" t="s">
        <v>848</v>
      </c>
      <c r="G1742" s="68"/>
      <c r="H1742" s="59"/>
      <c r="I1742" s="162" t="s">
        <v>6229</v>
      </c>
      <c r="J1742" s="162"/>
      <c r="K1742" s="68"/>
      <c r="L1742" s="69" t="s">
        <v>129</v>
      </c>
      <c r="M1742" s="71" t="s">
        <v>141</v>
      </c>
      <c r="N1742" s="69" t="e" vm="1">
        <v>#VALUE!</v>
      </c>
      <c r="O1742" s="164"/>
      <c r="P1742" s="72" t="s">
        <v>4567</v>
      </c>
      <c r="Q1742" s="72"/>
      <c r="R1742" s="162"/>
      <c r="S1742" s="146" t="s">
        <v>6230</v>
      </c>
      <c r="T1742" s="68" t="s">
        <v>165</v>
      </c>
      <c r="U1742" s="87"/>
      <c r="V1742" s="183">
        <v>43104</v>
      </c>
      <c r="W1742" s="73">
        <v>1</v>
      </c>
      <c r="X1742" s="73"/>
      <c r="Y1742" s="83">
        <f>IF(SUM(W1742:W1742)&gt;0,X1742/SUM(W1742:W1742)*1000000,"N/A")</f>
        <v>0</v>
      </c>
      <c r="Z1742" s="183"/>
      <c r="AA1742" s="183"/>
      <c r="AB1742" s="73"/>
      <c r="AC1742" s="153"/>
      <c r="AD1742" s="331"/>
      <c r="AE1742" s="57"/>
      <c r="AF1742" s="88"/>
      <c r="AG1742" s="182">
        <f>YEAR(D1742)</f>
        <v>2018</v>
      </c>
      <c r="AH1742" s="86" t="str">
        <f>+IF(AE1742=$AJ$22,MONTH(T1742),"")</f>
        <v/>
      </c>
      <c r="AI1742" s="86" t="str">
        <f>+IF(AF1742=$AJ$22,MONTH(U1742),"")</f>
        <v/>
      </c>
      <c r="AJ1742" s="86" t="str">
        <f>+IF(AG1742=$AJ$22,MONTH(V1742),"")</f>
        <v/>
      </c>
      <c r="AK1742" s="86" t="str">
        <f>+IF(AG1742=$AK$22,MONTH(V1742),"")</f>
        <v/>
      </c>
      <c r="AL1742" s="86" t="str">
        <f>+IF(AG1742=$AL$22,MONTH(V1742),"")</f>
        <v/>
      </c>
      <c r="AM1742" s="86" t="str">
        <f>+IF($AG1742=$AM$22,MONTH($D1742),"")</f>
        <v/>
      </c>
      <c r="AN1742" s="89" t="str">
        <f>+IF($AG1742=AN$22,MONTH($D1742),"")</f>
        <v/>
      </c>
      <c r="AO1742" s="89" t="str">
        <f>+IF($AG1742=AO$22,MONTH($D1742),"")</f>
        <v/>
      </c>
      <c r="AP1742" s="89">
        <f>+IF($AG1742=AP$22,MONTH($D1742),"")</f>
        <v>12</v>
      </c>
      <c r="AQ1742" s="89" t="str">
        <f>+IF($AG1742=AQ$22,MONTH($D1742),"")</f>
        <v/>
      </c>
      <c r="AR1742" s="89" t="str">
        <f>+IF($AG1742=AR$22,MONTH($D1742),"")</f>
        <v/>
      </c>
      <c r="AS1742" s="89" t="str">
        <f>+IF($AG1742=AS$22,MONTH($D1742),"")</f>
        <v/>
      </c>
      <c r="AT1742" s="89" t="str">
        <f>+IF($AG1742=AT$22,MONTH($D1742),"")</f>
        <v/>
      </c>
      <c r="AU1742" s="89" t="str">
        <f>+IF($AG1742=AU$22,MONTH($D1742),"")</f>
        <v/>
      </c>
      <c r="AV1742" s="89" t="str">
        <f>+IF($AG1742=AV$22,MONTH($D1742),"")</f>
        <v/>
      </c>
      <c r="AW1742" s="86" t="str">
        <f>+IF($AG1742=AW$22,MONTH($D1742),"")</f>
        <v/>
      </c>
      <c r="AX1742" s="86" t="str">
        <f>+IF($AG1742=AX$22,MONTH($D1742),"")</f>
        <v/>
      </c>
      <c r="AY1742" s="182"/>
      <c r="AZ1742" s="2"/>
      <c r="BA1742" s="2"/>
      <c r="BB1742" s="2"/>
      <c r="BC1742" s="2"/>
      <c r="BD1742" s="2">
        <f>IF(T1742="pg",1,0)</f>
        <v>0</v>
      </c>
      <c r="BE1742" s="2">
        <f>IF(T1742="dp",1,0)</f>
        <v>0</v>
      </c>
      <c r="BF1742" s="2">
        <f>IF(T1742="pp",1,0)</f>
        <v>1</v>
      </c>
      <c r="BG1742" s="2">
        <f>IF(T1742="pg",W1742,0)</f>
        <v>0</v>
      </c>
      <c r="BH1742" s="192">
        <f>IF(T1742="pp",W1742,0)</f>
        <v>1</v>
      </c>
      <c r="BI1742" s="192">
        <f>IF(T1742="dp",W1742,0)</f>
        <v>0</v>
      </c>
      <c r="BJ1742" s="89"/>
      <c r="BK1742" s="89"/>
      <c r="BL1742" s="89"/>
      <c r="BM1742" s="89"/>
      <c r="BN1742" s="89"/>
      <c r="BO1742" s="89"/>
      <c r="BP1742" s="89"/>
    </row>
    <row r="1743" spans="1:68" s="56" customFormat="1" ht="13.5" hidden="1">
      <c r="A1743" s="204" t="str">
        <f>+IFERROR(VALUE(MID(AB1743,4,4)),"")</f>
        <v/>
      </c>
      <c r="B1743" s="204">
        <f>VALUE(RIGHT(C1743,LEN(C1743)-2))</f>
        <v>982</v>
      </c>
      <c r="C1743" s="74" t="s">
        <v>6231</v>
      </c>
      <c r="D1743" s="75">
        <v>43464</v>
      </c>
      <c r="E1743" s="70" t="s">
        <v>6232</v>
      </c>
      <c r="F1743" s="70"/>
      <c r="G1743" s="68"/>
      <c r="H1743" s="59"/>
      <c r="I1743" s="162" t="s">
        <v>6233</v>
      </c>
      <c r="J1743" s="162"/>
      <c r="K1743" s="68"/>
      <c r="L1743" s="69"/>
      <c r="M1743" s="71"/>
      <c r="N1743" s="69"/>
      <c r="O1743" s="164">
        <v>43464</v>
      </c>
      <c r="P1743" s="72" t="s">
        <v>4567</v>
      </c>
      <c r="Q1743" s="72"/>
      <c r="R1743" s="162"/>
      <c r="S1743" s="146" t="s">
        <v>6234</v>
      </c>
      <c r="T1743" s="68" t="s">
        <v>155</v>
      </c>
      <c r="U1743" s="87"/>
      <c r="V1743" s="183">
        <v>43465</v>
      </c>
      <c r="W1743" s="73"/>
      <c r="X1743" s="73"/>
      <c r="Y1743" s="83" t="str">
        <f>IF(SUM(W1743:W1743)&gt;0,X1743/SUM(W1743:W1743)*1000000,"N/A")</f>
        <v>N/A</v>
      </c>
      <c r="Z1743" s="183"/>
      <c r="AA1743" s="183"/>
      <c r="AB1743" s="73"/>
      <c r="AC1743" s="153"/>
      <c r="AD1743" s="331"/>
      <c r="AE1743" s="57"/>
      <c r="AF1743" s="88"/>
      <c r="AG1743" s="182">
        <f>YEAR(D1743)</f>
        <v>2018</v>
      </c>
      <c r="AH1743" s="86" t="str">
        <f>+IF(AE1743=$AJ$22,MONTH(T1743),"")</f>
        <v/>
      </c>
      <c r="AI1743" s="86" t="str">
        <f>+IF(AF1743=$AJ$22,MONTH(U1743),"")</f>
        <v/>
      </c>
      <c r="AJ1743" s="86" t="str">
        <f>+IF(AG1743=$AJ$22,MONTH(V1743),"")</f>
        <v/>
      </c>
      <c r="AK1743" s="86" t="str">
        <f>+IF(AG1743=$AK$22,MONTH(V1743),"")</f>
        <v/>
      </c>
      <c r="AL1743" s="86" t="str">
        <f>+IF(AG1743=$AL$22,MONTH(V1743),"")</f>
        <v/>
      </c>
      <c r="AM1743" s="86" t="str">
        <f>+IF($AG1743=$AM$22,MONTH($D1743),"")</f>
        <v/>
      </c>
      <c r="AN1743" s="89" t="str">
        <f>+IF($AG1743=AN$22,MONTH($D1743),"")</f>
        <v/>
      </c>
      <c r="AO1743" s="89" t="str">
        <f>+IF($AG1743=AO$22,MONTH($D1743),"")</f>
        <v/>
      </c>
      <c r="AP1743" s="89">
        <f>+IF($AG1743=AP$22,MONTH($D1743),"")</f>
        <v>12</v>
      </c>
      <c r="AQ1743" s="89" t="str">
        <f>+IF($AG1743=AQ$22,MONTH($D1743),"")</f>
        <v/>
      </c>
      <c r="AR1743" s="89" t="str">
        <f>+IF($AG1743=AR$22,MONTH($D1743),"")</f>
        <v/>
      </c>
      <c r="AS1743" s="89" t="str">
        <f>+IF($AG1743=AS$22,MONTH($D1743),"")</f>
        <v/>
      </c>
      <c r="AT1743" s="89" t="str">
        <f>+IF($AG1743=AT$22,MONTH($D1743),"")</f>
        <v/>
      </c>
      <c r="AU1743" s="89" t="str">
        <f>+IF($AG1743=AU$22,MONTH($D1743),"")</f>
        <v/>
      </c>
      <c r="AV1743" s="89" t="str">
        <f>+IF($AG1743=AV$22,MONTH($D1743),"")</f>
        <v/>
      </c>
      <c r="AW1743" s="86" t="str">
        <f>+IF($AG1743=AW$22,MONTH($D1743),"")</f>
        <v/>
      </c>
      <c r="AX1743" s="86" t="str">
        <f>+IF($AG1743=AX$22,MONTH($D1743),"")</f>
        <v/>
      </c>
      <c r="AY1743" s="182"/>
      <c r="AZ1743" s="2"/>
      <c r="BA1743" s="2"/>
      <c r="BB1743" s="2"/>
      <c r="BC1743" s="2"/>
      <c r="BD1743" s="2">
        <f>IF(T1743="pg",1,0)</f>
        <v>0</v>
      </c>
      <c r="BE1743" s="2">
        <f>IF(T1743="dp",1,0)</f>
        <v>0</v>
      </c>
      <c r="BF1743" s="2">
        <f>IF(T1743="pp",1,0)</f>
        <v>0</v>
      </c>
      <c r="BG1743" s="2">
        <f>IF(T1743="pg",W1743,0)</f>
        <v>0</v>
      </c>
      <c r="BH1743" s="192">
        <f>IF(T1743="pp",W1743,0)</f>
        <v>0</v>
      </c>
      <c r="BI1743" s="192">
        <f>IF(T1743="dp",W1743,0)</f>
        <v>0</v>
      </c>
      <c r="BJ1743" s="89"/>
      <c r="BK1743" s="89"/>
      <c r="BL1743" s="89"/>
      <c r="BM1743" s="89"/>
      <c r="BN1743" s="89"/>
      <c r="BO1743" s="89"/>
      <c r="BP1743" s="89"/>
    </row>
    <row r="1744" spans="1:68" s="56" customFormat="1" ht="53.25" hidden="1">
      <c r="A1744" s="204" t="str">
        <f>+IFERROR(VALUE(MID(AB1744,4,4)),"")</f>
        <v/>
      </c>
      <c r="B1744" s="204">
        <f>VALUE(RIGHT(C1744,LEN(C1744)-2))</f>
        <v>981</v>
      </c>
      <c r="C1744" s="74" t="s">
        <v>6235</v>
      </c>
      <c r="D1744" s="75">
        <v>43465</v>
      </c>
      <c r="E1744" s="70" t="s">
        <v>41</v>
      </c>
      <c r="F1744" s="70" t="s">
        <v>41</v>
      </c>
      <c r="G1744" s="68"/>
      <c r="H1744" s="59"/>
      <c r="I1744" s="162" t="s">
        <v>6236</v>
      </c>
      <c r="J1744" s="162"/>
      <c r="K1744" s="68" t="s">
        <v>13</v>
      </c>
      <c r="L1744" s="69" t="s">
        <v>120</v>
      </c>
      <c r="M1744" s="71" t="s">
        <v>141</v>
      </c>
      <c r="N1744" s="69" t="e" vm="1">
        <v>#VALUE!</v>
      </c>
      <c r="O1744" s="164"/>
      <c r="P1744" s="72"/>
      <c r="Q1744" s="72"/>
      <c r="R1744" s="162"/>
      <c r="S1744" s="146" t="s">
        <v>6237</v>
      </c>
      <c r="T1744" s="68" t="s">
        <v>155</v>
      </c>
      <c r="U1744" s="87"/>
      <c r="V1744" s="183"/>
      <c r="W1744" s="73"/>
      <c r="X1744" s="73"/>
      <c r="Y1744" s="83" t="str">
        <f>IF(SUM(W1744:W1744)&gt;0,X1744/SUM(W1744:W1744)*1000000,"N/A")</f>
        <v>N/A</v>
      </c>
      <c r="Z1744" s="183"/>
      <c r="AA1744" s="183"/>
      <c r="AB1744" s="73"/>
      <c r="AC1744" s="153"/>
      <c r="AD1744" s="331"/>
      <c r="AE1744" s="57"/>
      <c r="AF1744" s="88"/>
      <c r="AG1744" s="182">
        <f>YEAR(D1744)</f>
        <v>2018</v>
      </c>
      <c r="AH1744" s="86" t="str">
        <f>+IF(AE1744=$AJ$22,MONTH(T1744),"")</f>
        <v/>
      </c>
      <c r="AI1744" s="86" t="str">
        <f>+IF(AF1744=$AJ$22,MONTH(U1744),"")</f>
        <v/>
      </c>
      <c r="AJ1744" s="86" t="str">
        <f>+IF(AG1744=$AJ$22,MONTH(V1744),"")</f>
        <v/>
      </c>
      <c r="AK1744" s="86" t="str">
        <f>+IF(AG1744=$AK$22,MONTH(V1744),"")</f>
        <v/>
      </c>
      <c r="AL1744" s="86" t="str">
        <f>+IF(AG1744=$AL$22,MONTH(V1744),"")</f>
        <v/>
      </c>
      <c r="AM1744" s="86" t="str">
        <f>+IF($AG1744=$AM$22,MONTH($D1744),"")</f>
        <v/>
      </c>
      <c r="AN1744" s="89" t="str">
        <f>+IF($AG1744=AN$22,MONTH($D1744),"")</f>
        <v/>
      </c>
      <c r="AO1744" s="89" t="str">
        <f>+IF($AG1744=AO$22,MONTH($D1744),"")</f>
        <v/>
      </c>
      <c r="AP1744" s="89">
        <f>+IF($AG1744=AP$22,MONTH($D1744),"")</f>
        <v>12</v>
      </c>
      <c r="AQ1744" s="89" t="str">
        <f>+IF($AG1744=AQ$22,MONTH($D1744),"")</f>
        <v/>
      </c>
      <c r="AR1744" s="89" t="str">
        <f>+IF($AG1744=AR$22,MONTH($D1744),"")</f>
        <v/>
      </c>
      <c r="AS1744" s="89" t="str">
        <f>+IF($AG1744=AS$22,MONTH($D1744),"")</f>
        <v/>
      </c>
      <c r="AT1744" s="89" t="str">
        <f>+IF($AG1744=AT$22,MONTH($D1744),"")</f>
        <v/>
      </c>
      <c r="AU1744" s="89" t="str">
        <f>+IF($AG1744=AU$22,MONTH($D1744),"")</f>
        <v/>
      </c>
      <c r="AV1744" s="89" t="str">
        <f>+IF($AG1744=AV$22,MONTH($D1744),"")</f>
        <v/>
      </c>
      <c r="AW1744" s="86" t="str">
        <f>+IF($AG1744=AW$22,MONTH($D1744),"")</f>
        <v/>
      </c>
      <c r="AX1744" s="86" t="str">
        <f>+IF($AG1744=AX$22,MONTH($D1744),"")</f>
        <v/>
      </c>
      <c r="AY1744" s="182"/>
      <c r="AZ1744" s="2"/>
      <c r="BA1744" s="2"/>
      <c r="BB1744" s="2"/>
      <c r="BC1744" s="2"/>
      <c r="BD1744" s="2">
        <f>IF(T1744="pg",1,0)</f>
        <v>0</v>
      </c>
      <c r="BE1744" s="2">
        <f>IF(T1744="dp",1,0)</f>
        <v>0</v>
      </c>
      <c r="BF1744" s="2">
        <f>IF(T1744="pp",1,0)</f>
        <v>0</v>
      </c>
      <c r="BG1744" s="2">
        <f>IF(T1744="pg",W1744,0)</f>
        <v>0</v>
      </c>
      <c r="BH1744" s="192">
        <f>IF(T1744="pp",W1744,0)</f>
        <v>0</v>
      </c>
      <c r="BI1744" s="192">
        <f>IF(T1744="dp",W1744,0)</f>
        <v>0</v>
      </c>
      <c r="BJ1744" s="89"/>
      <c r="BK1744" s="89"/>
      <c r="BL1744" s="89"/>
      <c r="BM1744" s="89"/>
      <c r="BN1744" s="89"/>
      <c r="BO1744" s="89"/>
      <c r="BP1744" s="89"/>
    </row>
    <row r="1745" spans="1:68" s="56" customFormat="1" ht="13.5" hidden="1">
      <c r="A1745" s="204" t="str">
        <f>+IFERROR(VALUE(MID(AB1745,4,4)),"")</f>
        <v/>
      </c>
      <c r="B1745" s="204">
        <f>VALUE(RIGHT(C1745,LEN(C1745)-2))</f>
        <v>980</v>
      </c>
      <c r="C1745" s="74" t="s">
        <v>6238</v>
      </c>
      <c r="D1745" s="75">
        <v>43454</v>
      </c>
      <c r="E1745" s="70" t="s">
        <v>6239</v>
      </c>
      <c r="F1745" s="70" t="s">
        <v>6239</v>
      </c>
      <c r="G1745" s="68"/>
      <c r="H1745" s="59"/>
      <c r="I1745" s="162" t="s">
        <v>6240</v>
      </c>
      <c r="J1745" s="162"/>
      <c r="K1745" s="68" t="s">
        <v>9</v>
      </c>
      <c r="L1745" s="69" t="s">
        <v>120</v>
      </c>
      <c r="M1745" s="71" t="s">
        <v>141</v>
      </c>
      <c r="N1745" s="69" t="e" vm="1">
        <v>#VALUE!</v>
      </c>
      <c r="O1745" s="164"/>
      <c r="P1745" s="72" t="s">
        <v>402</v>
      </c>
      <c r="Q1745" s="72"/>
      <c r="R1745" s="162"/>
      <c r="S1745" s="146"/>
      <c r="T1745" s="68" t="s">
        <v>155</v>
      </c>
      <c r="U1745" s="87"/>
      <c r="V1745" s="183">
        <v>43493</v>
      </c>
      <c r="W1745" s="73"/>
      <c r="X1745" s="73"/>
      <c r="Y1745" s="83" t="str">
        <f>IF(SUM(W1745:W1745)&gt;0,X1745/SUM(W1745:W1745)*1000000,"N/A")</f>
        <v>N/A</v>
      </c>
      <c r="Z1745" s="183"/>
      <c r="AA1745" s="183"/>
      <c r="AB1745" s="73"/>
      <c r="AC1745" s="153"/>
      <c r="AD1745" s="331"/>
      <c r="AE1745" s="57"/>
      <c r="AF1745" s="88"/>
      <c r="AG1745" s="182">
        <f>YEAR(D1745)</f>
        <v>2018</v>
      </c>
      <c r="AH1745" s="86" t="str">
        <f>+IF(AE1745=$AJ$22,MONTH(T1745),"")</f>
        <v/>
      </c>
      <c r="AI1745" s="86" t="str">
        <f>+IF(AF1745=$AJ$22,MONTH(U1745),"")</f>
        <v/>
      </c>
      <c r="AJ1745" s="86" t="str">
        <f>+IF(AG1745=$AJ$22,MONTH(V1745),"")</f>
        <v/>
      </c>
      <c r="AK1745" s="86" t="str">
        <f>+IF(AG1745=$AK$22,MONTH(V1745),"")</f>
        <v/>
      </c>
      <c r="AL1745" s="86" t="str">
        <f>+IF(AG1745=$AL$22,MONTH(V1745),"")</f>
        <v/>
      </c>
      <c r="AM1745" s="86" t="str">
        <f>+IF($AG1745=$AM$22,MONTH($D1745),"")</f>
        <v/>
      </c>
      <c r="AN1745" s="89" t="str">
        <f>+IF($AG1745=AN$22,MONTH($D1745),"")</f>
        <v/>
      </c>
      <c r="AO1745" s="89" t="str">
        <f>+IF($AG1745=AO$22,MONTH($D1745),"")</f>
        <v/>
      </c>
      <c r="AP1745" s="89">
        <f>+IF($AG1745=AP$22,MONTH($D1745),"")</f>
        <v>12</v>
      </c>
      <c r="AQ1745" s="89" t="str">
        <f>+IF($AG1745=AQ$22,MONTH($D1745),"")</f>
        <v/>
      </c>
      <c r="AR1745" s="89" t="str">
        <f>+IF($AG1745=AR$22,MONTH($D1745),"")</f>
        <v/>
      </c>
      <c r="AS1745" s="89" t="str">
        <f>+IF($AG1745=AS$22,MONTH($D1745),"")</f>
        <v/>
      </c>
      <c r="AT1745" s="89" t="str">
        <f>+IF($AG1745=AT$22,MONTH($D1745),"")</f>
        <v/>
      </c>
      <c r="AU1745" s="89" t="str">
        <f>+IF($AG1745=AU$22,MONTH($D1745),"")</f>
        <v/>
      </c>
      <c r="AV1745" s="89" t="str">
        <f>+IF($AG1745=AV$22,MONTH($D1745),"")</f>
        <v/>
      </c>
      <c r="AW1745" s="86" t="str">
        <f>+IF($AG1745=AW$22,MONTH($D1745),"")</f>
        <v/>
      </c>
      <c r="AX1745" s="86" t="str">
        <f>+IF($AG1745=AX$22,MONTH($D1745),"")</f>
        <v/>
      </c>
      <c r="AY1745" s="182"/>
      <c r="AZ1745" s="2"/>
      <c r="BA1745" s="2"/>
      <c r="BB1745" s="2"/>
      <c r="BC1745" s="2"/>
      <c r="BD1745" s="2">
        <f>IF(T1745="pg",1,0)</f>
        <v>0</v>
      </c>
      <c r="BE1745" s="2">
        <f>IF(T1745="dp",1,0)</f>
        <v>0</v>
      </c>
      <c r="BF1745" s="2">
        <f>IF(T1745="pp",1,0)</f>
        <v>0</v>
      </c>
      <c r="BG1745" s="2">
        <f>IF(T1745="pg",W1745,0)</f>
        <v>0</v>
      </c>
      <c r="BH1745" s="192">
        <f>IF(T1745="pp",W1745,0)</f>
        <v>0</v>
      </c>
      <c r="BI1745" s="192">
        <f>IF(T1745="dp",W1745,0)</f>
        <v>0</v>
      </c>
      <c r="BJ1745" s="89"/>
      <c r="BK1745" s="89"/>
      <c r="BL1745" s="89"/>
      <c r="BM1745" s="89"/>
      <c r="BN1745" s="89"/>
      <c r="BO1745" s="89"/>
      <c r="BP1745" s="89"/>
    </row>
    <row r="1746" spans="1:68" s="56" customFormat="1" ht="40.5" hidden="1">
      <c r="A1746" s="204" t="str">
        <f>+IFERROR(VALUE(MID(AB1746,4,4)),"")</f>
        <v/>
      </c>
      <c r="B1746" s="204">
        <f>VALUE(RIGHT(C1746,LEN(C1746)-2))</f>
        <v>979</v>
      </c>
      <c r="C1746" s="74" t="s">
        <v>6241</v>
      </c>
      <c r="D1746" s="75">
        <v>43454</v>
      </c>
      <c r="E1746" s="70" t="s">
        <v>848</v>
      </c>
      <c r="F1746" s="70" t="s">
        <v>848</v>
      </c>
      <c r="G1746" s="68"/>
      <c r="H1746" s="59"/>
      <c r="I1746" s="162" t="s">
        <v>6242</v>
      </c>
      <c r="J1746" s="162"/>
      <c r="K1746" s="68"/>
      <c r="L1746" s="69"/>
      <c r="M1746" s="71"/>
      <c r="N1746" s="69"/>
      <c r="O1746" s="164"/>
      <c r="P1746" s="72"/>
      <c r="Q1746" s="72"/>
      <c r="R1746" s="162"/>
      <c r="S1746" s="146" t="s">
        <v>6243</v>
      </c>
      <c r="T1746" s="68" t="s">
        <v>155</v>
      </c>
      <c r="U1746" s="87"/>
      <c r="V1746" s="183"/>
      <c r="W1746" s="73"/>
      <c r="X1746" s="73"/>
      <c r="Y1746" s="83" t="str">
        <f>IF(SUM(W1746:W1746)&gt;0,X1746/SUM(W1746:W1746)*1000000,"N/A")</f>
        <v>N/A</v>
      </c>
      <c r="Z1746" s="183"/>
      <c r="AA1746" s="183"/>
      <c r="AB1746" s="73"/>
      <c r="AC1746" s="153"/>
      <c r="AD1746" s="331"/>
      <c r="AE1746" s="57"/>
      <c r="AF1746" s="88"/>
      <c r="AG1746" s="182">
        <f>YEAR(D1746)</f>
        <v>2018</v>
      </c>
      <c r="AH1746" s="86" t="str">
        <f>+IF(AE1746=$AJ$22,MONTH(T1746),"")</f>
        <v/>
      </c>
      <c r="AI1746" s="86" t="str">
        <f>+IF(AF1746=$AJ$22,MONTH(U1746),"")</f>
        <v/>
      </c>
      <c r="AJ1746" s="86" t="str">
        <f>+IF(AG1746=$AJ$22,MONTH(V1746),"")</f>
        <v/>
      </c>
      <c r="AK1746" s="86" t="str">
        <f>+IF(AG1746=$AK$22,MONTH(V1746),"")</f>
        <v/>
      </c>
      <c r="AL1746" s="86" t="str">
        <f>+IF(AG1746=$AL$22,MONTH(V1746),"")</f>
        <v/>
      </c>
      <c r="AM1746" s="86" t="str">
        <f>+IF($AG1746=$AM$22,MONTH($D1746),"")</f>
        <v/>
      </c>
      <c r="AN1746" s="89" t="str">
        <f>+IF($AG1746=AN$22,MONTH($D1746),"")</f>
        <v/>
      </c>
      <c r="AO1746" s="89" t="str">
        <f>+IF($AG1746=AO$22,MONTH($D1746),"")</f>
        <v/>
      </c>
      <c r="AP1746" s="89">
        <f>+IF($AG1746=AP$22,MONTH($D1746),"")</f>
        <v>12</v>
      </c>
      <c r="AQ1746" s="89" t="str">
        <f>+IF($AG1746=AQ$22,MONTH($D1746),"")</f>
        <v/>
      </c>
      <c r="AR1746" s="89" t="str">
        <f>+IF($AG1746=AR$22,MONTH($D1746),"")</f>
        <v/>
      </c>
      <c r="AS1746" s="89" t="str">
        <f>+IF($AG1746=AS$22,MONTH($D1746),"")</f>
        <v/>
      </c>
      <c r="AT1746" s="89" t="str">
        <f>+IF($AG1746=AT$22,MONTH($D1746),"")</f>
        <v/>
      </c>
      <c r="AU1746" s="89" t="str">
        <f>+IF($AG1746=AU$22,MONTH($D1746),"")</f>
        <v/>
      </c>
      <c r="AV1746" s="89" t="str">
        <f>+IF($AG1746=AV$22,MONTH($D1746),"")</f>
        <v/>
      </c>
      <c r="AW1746" s="86" t="str">
        <f>+IF($AG1746=AW$22,MONTH($D1746),"")</f>
        <v/>
      </c>
      <c r="AX1746" s="86" t="str">
        <f>+IF($AG1746=AX$22,MONTH($D1746),"")</f>
        <v/>
      </c>
      <c r="AY1746" s="182"/>
      <c r="AZ1746" s="2"/>
      <c r="BA1746" s="2"/>
      <c r="BB1746" s="2"/>
      <c r="BC1746" s="2"/>
      <c r="BD1746" s="2"/>
      <c r="BE1746" s="2"/>
      <c r="BF1746" s="2"/>
      <c r="BG1746" s="2"/>
      <c r="BH1746" s="192"/>
      <c r="BI1746" s="192"/>
      <c r="BJ1746" s="89"/>
      <c r="BK1746" s="89"/>
      <c r="BL1746" s="89"/>
      <c r="BM1746" s="89"/>
      <c r="BN1746" s="89"/>
      <c r="BO1746" s="89"/>
      <c r="BP1746" s="89"/>
    </row>
    <row r="1747" spans="1:68" s="56" customFormat="1" ht="13.5" hidden="1">
      <c r="A1747" s="204" t="str">
        <f>+IFERROR(VALUE(MID(AB1747,4,4)),"")</f>
        <v/>
      </c>
      <c r="B1747" s="204">
        <f>VALUE(RIGHT(C1747,LEN(C1747)-2))</f>
        <v>978</v>
      </c>
      <c r="C1747" s="74" t="s">
        <v>6244</v>
      </c>
      <c r="D1747" s="75">
        <v>43453</v>
      </c>
      <c r="E1747" s="70" t="s">
        <v>41</v>
      </c>
      <c r="F1747" s="70" t="s">
        <v>41</v>
      </c>
      <c r="G1747" s="68"/>
      <c r="H1747" s="59"/>
      <c r="I1747" s="162" t="s">
        <v>6245</v>
      </c>
      <c r="J1747" s="162"/>
      <c r="K1747" s="68" t="s">
        <v>30</v>
      </c>
      <c r="L1747" s="69" t="s">
        <v>120</v>
      </c>
      <c r="M1747" s="71" t="s">
        <v>141</v>
      </c>
      <c r="N1747" s="69" t="e" vm="1">
        <v>#VALUE!</v>
      </c>
      <c r="O1747" s="164"/>
      <c r="P1747" s="72" t="s">
        <v>5516</v>
      </c>
      <c r="Q1747" s="72"/>
      <c r="R1747" s="162"/>
      <c r="S1747" s="146"/>
      <c r="T1747" s="68" t="s">
        <v>165</v>
      </c>
      <c r="U1747" s="87"/>
      <c r="V1747" s="183">
        <v>43453</v>
      </c>
      <c r="W1747" s="73">
        <v>50</v>
      </c>
      <c r="X1747" s="73">
        <f>55*27500/1000000</f>
        <v>1.5125</v>
      </c>
      <c r="Y1747" s="83">
        <f>IF(SUM(W1747:W1747)&gt;0,X1747/SUM(W1747:W1747)*1000000,"N/A")</f>
        <v>30250</v>
      </c>
      <c r="Z1747" s="183"/>
      <c r="AA1747" s="183"/>
      <c r="AB1747" s="73"/>
      <c r="AC1747" s="153"/>
      <c r="AD1747" s="331"/>
      <c r="AE1747" s="57"/>
      <c r="AF1747" s="88"/>
      <c r="AG1747" s="182">
        <f>YEAR(D1747)</f>
        <v>2018</v>
      </c>
      <c r="AH1747" s="86" t="str">
        <f>+IF(AE1747=$AJ$22,MONTH(T1747),"")</f>
        <v/>
      </c>
      <c r="AI1747" s="86" t="str">
        <f>+IF(AF1747=$AJ$22,MONTH(U1747),"")</f>
        <v/>
      </c>
      <c r="AJ1747" s="86" t="str">
        <f>+IF(AG1747=$AJ$22,MONTH(V1747),"")</f>
        <v/>
      </c>
      <c r="AK1747" s="86" t="str">
        <f>+IF(AG1747=$AK$22,MONTH(V1747),"")</f>
        <v/>
      </c>
      <c r="AL1747" s="86" t="str">
        <f>+IF(AG1747=$AL$22,MONTH(V1747),"")</f>
        <v/>
      </c>
      <c r="AM1747" s="86" t="str">
        <f>+IF($AG1747=$AM$22,MONTH($D1747),"")</f>
        <v/>
      </c>
      <c r="AN1747" s="89" t="str">
        <f>+IF($AG1747=AN$22,MONTH($D1747),"")</f>
        <v/>
      </c>
      <c r="AO1747" s="89" t="str">
        <f>+IF($AG1747=AO$22,MONTH($D1747),"")</f>
        <v/>
      </c>
      <c r="AP1747" s="89">
        <f>+IF($AG1747=AP$22,MONTH($D1747),"")</f>
        <v>12</v>
      </c>
      <c r="AQ1747" s="89" t="str">
        <f>+IF($AG1747=AQ$22,MONTH($D1747),"")</f>
        <v/>
      </c>
      <c r="AR1747" s="89" t="str">
        <f>+IF($AG1747=AR$22,MONTH($D1747),"")</f>
        <v/>
      </c>
      <c r="AS1747" s="89" t="str">
        <f>+IF($AG1747=AS$22,MONTH($D1747),"")</f>
        <v/>
      </c>
      <c r="AT1747" s="89" t="str">
        <f>+IF($AG1747=AT$22,MONTH($D1747),"")</f>
        <v/>
      </c>
      <c r="AU1747" s="89" t="str">
        <f>+IF($AG1747=AU$22,MONTH($D1747),"")</f>
        <v/>
      </c>
      <c r="AV1747" s="89" t="str">
        <f>+IF($AG1747=AV$22,MONTH($D1747),"")</f>
        <v/>
      </c>
      <c r="AW1747" s="86" t="str">
        <f>+IF($AG1747=AW$22,MONTH($D1747),"")</f>
        <v/>
      </c>
      <c r="AX1747" s="86" t="str">
        <f>+IF($AG1747=AX$22,MONTH($D1747),"")</f>
        <v/>
      </c>
      <c r="AY1747" s="182"/>
      <c r="AZ1747" s="2"/>
      <c r="BA1747" s="2"/>
      <c r="BB1747" s="2"/>
      <c r="BC1747" s="2"/>
      <c r="BD1747" s="2"/>
      <c r="BE1747" s="2"/>
      <c r="BF1747" s="2"/>
      <c r="BG1747" s="2"/>
      <c r="BH1747" s="192"/>
      <c r="BI1747" s="192"/>
      <c r="BJ1747" s="89"/>
      <c r="BK1747" s="89"/>
      <c r="BL1747" s="89"/>
      <c r="BM1747" s="89"/>
      <c r="BN1747" s="89"/>
      <c r="BO1747" s="89"/>
      <c r="BP1747" s="89"/>
    </row>
    <row r="1748" spans="1:68" s="56" customFormat="1" ht="13.5" hidden="1">
      <c r="A1748" s="204" t="str">
        <f>+IFERROR(VALUE(MID(AB1748,4,4)),"")</f>
        <v/>
      </c>
      <c r="B1748" s="204">
        <f>VALUE(RIGHT(C1748,LEN(C1748)-2))</f>
        <v>977</v>
      </c>
      <c r="C1748" s="74" t="s">
        <v>6246</v>
      </c>
      <c r="D1748" s="75">
        <v>43452</v>
      </c>
      <c r="E1748" s="70" t="s">
        <v>6247</v>
      </c>
      <c r="F1748" s="70" t="s">
        <v>6247</v>
      </c>
      <c r="G1748" s="68"/>
      <c r="H1748" s="59"/>
      <c r="I1748" s="162" t="s">
        <v>6248</v>
      </c>
      <c r="J1748" s="162"/>
      <c r="K1748" s="68"/>
      <c r="L1748" s="69" t="s">
        <v>129</v>
      </c>
      <c r="M1748" s="71" t="s">
        <v>141</v>
      </c>
      <c r="N1748" s="69" t="e" vm="1">
        <v>#VALUE!</v>
      </c>
      <c r="O1748" s="164"/>
      <c r="P1748" s="72" t="s">
        <v>4567</v>
      </c>
      <c r="Q1748" s="72"/>
      <c r="R1748" s="162"/>
      <c r="S1748" s="146"/>
      <c r="T1748" s="68" t="s">
        <v>165</v>
      </c>
      <c r="U1748" s="87"/>
      <c r="V1748" s="183">
        <v>43455</v>
      </c>
      <c r="W1748" s="73">
        <v>200</v>
      </c>
      <c r="X1748" s="73">
        <f>570*27500/1000000</f>
        <v>15.675000000000001</v>
      </c>
      <c r="Y1748" s="83">
        <f>IF(SUM(W1748:W1748)&gt;0,X1748/SUM(W1748:W1748)*1000000,"N/A")</f>
        <v>78375</v>
      </c>
      <c r="Z1748" s="183"/>
      <c r="AA1748" s="183"/>
      <c r="AB1748" s="73"/>
      <c r="AC1748" s="153"/>
      <c r="AD1748" s="331"/>
      <c r="AE1748" s="57"/>
      <c r="AF1748" s="88"/>
      <c r="AG1748" s="182">
        <f>YEAR(D1748)</f>
        <v>2018</v>
      </c>
      <c r="AH1748" s="86" t="str">
        <f>+IF(AE1748=$AJ$22,MONTH(T1748),"")</f>
        <v/>
      </c>
      <c r="AI1748" s="86" t="str">
        <f>+IF(AF1748=$AJ$22,MONTH(U1748),"")</f>
        <v/>
      </c>
      <c r="AJ1748" s="86" t="str">
        <f>+IF(AG1748=$AJ$22,MONTH(V1748),"")</f>
        <v/>
      </c>
      <c r="AK1748" s="86" t="str">
        <f>+IF(AG1748=$AK$22,MONTH(V1748),"")</f>
        <v/>
      </c>
      <c r="AL1748" s="86" t="str">
        <f>+IF(AG1748=$AL$22,MONTH(V1748),"")</f>
        <v/>
      </c>
      <c r="AM1748" s="86" t="str">
        <f>+IF($AG1748=$AM$22,MONTH($D1748),"")</f>
        <v/>
      </c>
      <c r="AN1748" s="89" t="str">
        <f>+IF($AG1748=AN$22,MONTH($D1748),"")</f>
        <v/>
      </c>
      <c r="AO1748" s="89" t="str">
        <f>+IF($AG1748=AO$22,MONTH($D1748),"")</f>
        <v/>
      </c>
      <c r="AP1748" s="89">
        <f>+IF($AG1748=AP$22,MONTH($D1748),"")</f>
        <v>12</v>
      </c>
      <c r="AQ1748" s="89" t="str">
        <f>+IF($AG1748=AQ$22,MONTH($D1748),"")</f>
        <v/>
      </c>
      <c r="AR1748" s="89" t="str">
        <f>+IF($AG1748=AR$22,MONTH($D1748),"")</f>
        <v/>
      </c>
      <c r="AS1748" s="89" t="str">
        <f>+IF($AG1748=AS$22,MONTH($D1748),"")</f>
        <v/>
      </c>
      <c r="AT1748" s="89" t="str">
        <f>+IF($AG1748=AT$22,MONTH($D1748),"")</f>
        <v/>
      </c>
      <c r="AU1748" s="89" t="str">
        <f>+IF($AG1748=AU$22,MONTH($D1748),"")</f>
        <v/>
      </c>
      <c r="AV1748" s="89" t="str">
        <f>+IF($AG1748=AV$22,MONTH($D1748),"")</f>
        <v/>
      </c>
      <c r="AW1748" s="86" t="str">
        <f>+IF($AG1748=AW$22,MONTH($D1748),"")</f>
        <v/>
      </c>
      <c r="AX1748" s="86" t="str">
        <f>+IF($AG1748=AX$22,MONTH($D1748),"")</f>
        <v/>
      </c>
      <c r="AY1748" s="182"/>
      <c r="AZ1748" s="2"/>
      <c r="BA1748" s="2"/>
      <c r="BB1748" s="2"/>
      <c r="BC1748" s="2"/>
      <c r="BD1748" s="2"/>
      <c r="BE1748" s="2"/>
      <c r="BF1748" s="2"/>
      <c r="BG1748" s="2"/>
      <c r="BH1748" s="192"/>
      <c r="BI1748" s="192"/>
      <c r="BJ1748" s="89"/>
      <c r="BK1748" s="89"/>
      <c r="BL1748" s="89"/>
      <c r="BM1748" s="89"/>
      <c r="BN1748" s="89"/>
      <c r="BO1748" s="89"/>
      <c r="BP1748" s="89"/>
    </row>
    <row r="1749" spans="1:68" s="56" customFormat="1" ht="13.5" hidden="1">
      <c r="A1749" s="204" t="str">
        <f>+IFERROR(VALUE(MID(AB1749,4,4)),"")</f>
        <v/>
      </c>
      <c r="B1749" s="204">
        <f>VALUE(RIGHT(C1749,LEN(C1749)-2))</f>
        <v>976</v>
      </c>
      <c r="C1749" s="74" t="s">
        <v>6249</v>
      </c>
      <c r="D1749" s="75">
        <v>43452</v>
      </c>
      <c r="E1749" s="70" t="s">
        <v>4664</v>
      </c>
      <c r="F1749" s="70" t="s">
        <v>4664</v>
      </c>
      <c r="G1749" s="68"/>
      <c r="H1749" s="59"/>
      <c r="I1749" s="162" t="s">
        <v>6250</v>
      </c>
      <c r="J1749" s="162"/>
      <c r="K1749" s="68" t="s">
        <v>30</v>
      </c>
      <c r="L1749" s="69" t="s">
        <v>120</v>
      </c>
      <c r="M1749" s="71" t="s">
        <v>113</v>
      </c>
      <c r="N1749" s="69" t="e" vm="2">
        <v>#VALUE!</v>
      </c>
      <c r="O1749" s="164"/>
      <c r="P1749" s="72" t="s">
        <v>402</v>
      </c>
      <c r="Q1749" s="72" t="s">
        <v>229</v>
      </c>
      <c r="R1749" s="162"/>
      <c r="S1749" s="146"/>
      <c r="T1749" s="68" t="s">
        <v>3</v>
      </c>
      <c r="U1749" s="87"/>
      <c r="V1749" s="183">
        <v>43493</v>
      </c>
      <c r="W1749" s="73">
        <v>100</v>
      </c>
      <c r="X1749" s="73">
        <f>14575*190/1000000</f>
        <v>2.76925</v>
      </c>
      <c r="Y1749" s="83">
        <f>IF(SUM(W1749:W1749)&gt;0,X1749/SUM(W1749:W1749)*1000000,"N/A")</f>
        <v>27692.5</v>
      </c>
      <c r="Z1749" s="183"/>
      <c r="AA1749" s="183"/>
      <c r="AB1749" s="73"/>
      <c r="AC1749" s="153"/>
      <c r="AD1749" s="331"/>
      <c r="AE1749" s="57"/>
      <c r="AF1749" s="88"/>
      <c r="AG1749" s="182">
        <f>YEAR(D1749)</f>
        <v>2018</v>
      </c>
      <c r="AH1749" s="86" t="str">
        <f>+IF(AE1749=$AJ$22,MONTH(T1749),"")</f>
        <v/>
      </c>
      <c r="AI1749" s="86" t="str">
        <f>+IF(AF1749=$AJ$22,MONTH(U1749),"")</f>
        <v/>
      </c>
      <c r="AJ1749" s="86" t="str">
        <f>+IF(AG1749=$AJ$22,MONTH(V1749),"")</f>
        <v/>
      </c>
      <c r="AK1749" s="86" t="str">
        <f>+IF(AG1749=$AK$22,MONTH(V1749),"")</f>
        <v/>
      </c>
      <c r="AL1749" s="86" t="str">
        <f>+IF(AG1749=$AL$22,MONTH(V1749),"")</f>
        <v/>
      </c>
      <c r="AM1749" s="86" t="str">
        <f>+IF($AG1749=$AM$22,MONTH($D1749),"")</f>
        <v/>
      </c>
      <c r="AN1749" s="89" t="str">
        <f>+IF($AG1749=AN$22,MONTH($D1749),"")</f>
        <v/>
      </c>
      <c r="AO1749" s="89" t="str">
        <f>+IF($AG1749=AO$22,MONTH($D1749),"")</f>
        <v/>
      </c>
      <c r="AP1749" s="89">
        <f>+IF($AG1749=AP$22,MONTH($D1749),"")</f>
        <v>12</v>
      </c>
      <c r="AQ1749" s="89" t="str">
        <f>+IF($AG1749=AQ$22,MONTH($D1749),"")</f>
        <v/>
      </c>
      <c r="AR1749" s="89" t="str">
        <f>+IF($AG1749=AR$22,MONTH($D1749),"")</f>
        <v/>
      </c>
      <c r="AS1749" s="89" t="str">
        <f>+IF($AG1749=AS$22,MONTH($D1749),"")</f>
        <v/>
      </c>
      <c r="AT1749" s="89" t="str">
        <f>+IF($AG1749=AT$22,MONTH($D1749),"")</f>
        <v/>
      </c>
      <c r="AU1749" s="89" t="str">
        <f>+IF($AG1749=AU$22,MONTH($D1749),"")</f>
        <v/>
      </c>
      <c r="AV1749" s="89" t="str">
        <f>+IF($AG1749=AV$22,MONTH($D1749),"")</f>
        <v/>
      </c>
      <c r="AW1749" s="86" t="str">
        <f>+IF($AG1749=AW$22,MONTH($D1749),"")</f>
        <v/>
      </c>
      <c r="AX1749" s="86" t="str">
        <f>+IF($AG1749=AX$22,MONTH($D1749),"")</f>
        <v/>
      </c>
      <c r="AY1749" s="182"/>
      <c r="AZ1749" s="2"/>
      <c r="BA1749" s="2"/>
      <c r="BB1749" s="2"/>
      <c r="BC1749" s="2"/>
      <c r="BD1749" s="2"/>
      <c r="BE1749" s="2"/>
      <c r="BF1749" s="2"/>
      <c r="BG1749" s="2"/>
      <c r="BH1749" s="192"/>
      <c r="BI1749" s="192"/>
      <c r="BJ1749" s="89"/>
      <c r="BK1749" s="89"/>
      <c r="BL1749" s="89"/>
      <c r="BM1749" s="89"/>
      <c r="BN1749" s="89"/>
      <c r="BO1749" s="89"/>
      <c r="BP1749" s="89"/>
    </row>
    <row r="1750" spans="1:68" s="56" customFormat="1" ht="13.5" hidden="1">
      <c r="A1750" s="204" t="str">
        <f>+IFERROR(VALUE(MID(AB1750,4,4)),"")</f>
        <v/>
      </c>
      <c r="B1750" s="204">
        <f>VALUE(RIGHT(C1750,LEN(C1750)-2))</f>
        <v>975</v>
      </c>
      <c r="C1750" s="74" t="s">
        <v>6251</v>
      </c>
      <c r="D1750" s="75">
        <v>43446</v>
      </c>
      <c r="E1750" s="70" t="s">
        <v>3253</v>
      </c>
      <c r="F1750" s="70" t="s">
        <v>3253</v>
      </c>
      <c r="G1750" s="68"/>
      <c r="H1750" s="59"/>
      <c r="I1750" s="162" t="s">
        <v>6252</v>
      </c>
      <c r="J1750" s="162"/>
      <c r="K1750" s="68" t="s">
        <v>13</v>
      </c>
      <c r="L1750" s="69" t="s">
        <v>123</v>
      </c>
      <c r="M1750" s="71" t="s">
        <v>141</v>
      </c>
      <c r="N1750" s="69" t="e" vm="1">
        <v>#VALUE!</v>
      </c>
      <c r="O1750" s="164"/>
      <c r="P1750" s="72" t="s">
        <v>4567</v>
      </c>
      <c r="Q1750" s="72"/>
      <c r="R1750" s="162"/>
      <c r="S1750" s="146"/>
      <c r="T1750" s="68" t="s">
        <v>165</v>
      </c>
      <c r="U1750" s="87"/>
      <c r="V1750" s="183">
        <v>43515</v>
      </c>
      <c r="W1750" s="73">
        <v>5446</v>
      </c>
      <c r="X1750" s="73">
        <v>202.66272699999999</v>
      </c>
      <c r="Y1750" s="83">
        <f>IF(SUM(W1750:W1750)&gt;0,X1750/SUM(W1750:W1750)*1000000,"N/A")</f>
        <v>37213.133859713555</v>
      </c>
      <c r="Z1750" s="183"/>
      <c r="AA1750" s="183"/>
      <c r="AB1750" s="73"/>
      <c r="AC1750" s="153"/>
      <c r="AD1750" s="331"/>
      <c r="AE1750" s="57"/>
      <c r="AF1750" s="88"/>
      <c r="AG1750" s="182">
        <f>YEAR(D1750)</f>
        <v>2018</v>
      </c>
      <c r="AH1750" s="86" t="str">
        <f>+IF(AE1750=$AJ$22,MONTH(T1750),"")</f>
        <v/>
      </c>
      <c r="AI1750" s="86" t="str">
        <f>+IF(AF1750=$AJ$22,MONTH(U1750),"")</f>
        <v/>
      </c>
      <c r="AJ1750" s="86" t="str">
        <f>+IF(AG1750=$AJ$22,MONTH(V1750),"")</f>
        <v/>
      </c>
      <c r="AK1750" s="86" t="str">
        <f>+IF(AG1750=$AK$22,MONTH(V1750),"")</f>
        <v/>
      </c>
      <c r="AL1750" s="86" t="str">
        <f>+IF(AG1750=$AL$22,MONTH(V1750),"")</f>
        <v/>
      </c>
      <c r="AM1750" s="86" t="str">
        <f>+IF($AG1750=$AM$22,MONTH($D1750),"")</f>
        <v/>
      </c>
      <c r="AN1750" s="89" t="str">
        <f>+IF($AG1750=AN$22,MONTH($D1750),"")</f>
        <v/>
      </c>
      <c r="AO1750" s="89" t="str">
        <f>+IF($AG1750=AO$22,MONTH($D1750),"")</f>
        <v/>
      </c>
      <c r="AP1750" s="89">
        <f>+IF($AG1750=AP$22,MONTH($D1750),"")</f>
        <v>12</v>
      </c>
      <c r="AQ1750" s="89" t="str">
        <f>+IF($AG1750=AQ$22,MONTH($D1750),"")</f>
        <v/>
      </c>
      <c r="AR1750" s="89" t="str">
        <f>+IF($AG1750=AR$22,MONTH($D1750),"")</f>
        <v/>
      </c>
      <c r="AS1750" s="89" t="str">
        <f>+IF($AG1750=AS$22,MONTH($D1750),"")</f>
        <v/>
      </c>
      <c r="AT1750" s="89" t="str">
        <f>+IF($AG1750=AT$22,MONTH($D1750),"")</f>
        <v/>
      </c>
      <c r="AU1750" s="89" t="str">
        <f>+IF($AG1750=AU$22,MONTH($D1750),"")</f>
        <v/>
      </c>
      <c r="AV1750" s="89" t="str">
        <f>+IF($AG1750=AV$22,MONTH($D1750),"")</f>
        <v/>
      </c>
      <c r="AW1750" s="86" t="str">
        <f>+IF($AG1750=AW$22,MONTH($D1750),"")</f>
        <v/>
      </c>
      <c r="AX1750" s="86" t="str">
        <f>+IF($AG1750=AX$22,MONTH($D1750),"")</f>
        <v/>
      </c>
      <c r="AY1750" s="182"/>
      <c r="AZ1750" s="2"/>
      <c r="BA1750" s="2"/>
      <c r="BB1750" s="2"/>
      <c r="BC1750" s="2"/>
      <c r="BD1750" s="2"/>
      <c r="BE1750" s="2"/>
      <c r="BF1750" s="2"/>
      <c r="BG1750" s="2"/>
      <c r="BH1750" s="192"/>
      <c r="BI1750" s="192"/>
      <c r="BJ1750" s="89"/>
      <c r="BK1750" s="89"/>
      <c r="BL1750" s="89"/>
      <c r="BM1750" s="89"/>
      <c r="BN1750" s="89"/>
      <c r="BO1750" s="89"/>
      <c r="BP1750" s="89"/>
    </row>
    <row r="1751" spans="1:68" s="56" customFormat="1" ht="13.5" hidden="1">
      <c r="A1751" s="204">
        <f>+IFERROR(VALUE(MID(AB1751,4,4)),"")</f>
        <v>209</v>
      </c>
      <c r="B1751" s="204">
        <f>VALUE(RIGHT(C1751,LEN(C1751)-2))</f>
        <v>974</v>
      </c>
      <c r="C1751" s="74" t="s">
        <v>6253</v>
      </c>
      <c r="D1751" s="75">
        <v>43439</v>
      </c>
      <c r="E1751" s="70" t="s">
        <v>5621</v>
      </c>
      <c r="F1751" s="70" t="s">
        <v>5621</v>
      </c>
      <c r="G1751" s="68"/>
      <c r="H1751" s="59"/>
      <c r="I1751" s="162" t="s">
        <v>6254</v>
      </c>
      <c r="J1751" s="162"/>
      <c r="K1751" s="68" t="s">
        <v>13</v>
      </c>
      <c r="L1751" s="69" t="s">
        <v>120</v>
      </c>
      <c r="M1751" s="71" t="s">
        <v>141</v>
      </c>
      <c r="N1751" s="69" t="e" vm="1">
        <v>#VALUE!</v>
      </c>
      <c r="O1751" s="164"/>
      <c r="P1751" s="72" t="s">
        <v>402</v>
      </c>
      <c r="Q1751" s="72" t="s">
        <v>316</v>
      </c>
      <c r="R1751" s="162"/>
      <c r="S1751" s="146"/>
      <c r="T1751" s="68" t="s">
        <v>3</v>
      </c>
      <c r="U1751" s="87"/>
      <c r="V1751" s="183">
        <v>43452</v>
      </c>
      <c r="W1751" s="73">
        <v>304</v>
      </c>
      <c r="X1751" s="73">
        <f>400*27500/1000000</f>
        <v>11</v>
      </c>
      <c r="Y1751" s="83">
        <f>IF(SUM(W1751:W1751)&gt;0,X1751/SUM(W1751:W1751)*1000000,"N/A")</f>
        <v>36184.210526315794</v>
      </c>
      <c r="Z1751" s="183"/>
      <c r="AA1751" s="183"/>
      <c r="AB1751" s="73" t="s">
        <v>6255</v>
      </c>
      <c r="AC1751" s="153"/>
      <c r="AD1751" s="331"/>
      <c r="AE1751" s="57"/>
      <c r="AF1751" s="88"/>
      <c r="AG1751" s="182">
        <f>YEAR(D1751)</f>
        <v>2018</v>
      </c>
      <c r="AH1751" s="86" t="str">
        <f>+IF(AE1751=$AJ$22,MONTH(T1751),"")</f>
        <v/>
      </c>
      <c r="AI1751" s="86" t="str">
        <f>+IF(AF1751=$AJ$22,MONTH(U1751),"")</f>
        <v/>
      </c>
      <c r="AJ1751" s="86" t="str">
        <f>+IF(AG1751=$AJ$22,MONTH(V1751),"")</f>
        <v/>
      </c>
      <c r="AK1751" s="86" t="str">
        <f>+IF(AG1751=$AK$22,MONTH(V1751),"")</f>
        <v/>
      </c>
      <c r="AL1751" s="86" t="str">
        <f>+IF(AG1751=$AL$22,MONTH(V1751),"")</f>
        <v/>
      </c>
      <c r="AM1751" s="86" t="str">
        <f>+IF($AG1751=$AM$22,MONTH($D1751),"")</f>
        <v/>
      </c>
      <c r="AN1751" s="89" t="str">
        <f>+IF($AG1751=AN$22,MONTH($D1751),"")</f>
        <v/>
      </c>
      <c r="AO1751" s="89" t="str">
        <f>+IF($AG1751=AO$22,MONTH($D1751),"")</f>
        <v/>
      </c>
      <c r="AP1751" s="89">
        <f>+IF($AG1751=AP$22,MONTH($D1751),"")</f>
        <v>12</v>
      </c>
      <c r="AQ1751" s="89" t="str">
        <f>+IF($AG1751=AQ$22,MONTH($D1751),"")</f>
        <v/>
      </c>
      <c r="AR1751" s="89" t="str">
        <f>+IF($AG1751=AR$22,MONTH($D1751),"")</f>
        <v/>
      </c>
      <c r="AS1751" s="89" t="str">
        <f>+IF($AG1751=AS$22,MONTH($D1751),"")</f>
        <v/>
      </c>
      <c r="AT1751" s="89" t="str">
        <f>+IF($AG1751=AT$22,MONTH($D1751),"")</f>
        <v/>
      </c>
      <c r="AU1751" s="89" t="str">
        <f>+IF($AG1751=AU$22,MONTH($D1751),"")</f>
        <v/>
      </c>
      <c r="AV1751" s="89" t="str">
        <f>+IF($AG1751=AV$22,MONTH($D1751),"")</f>
        <v/>
      </c>
      <c r="AW1751" s="86" t="str">
        <f>+IF($AG1751=AW$22,MONTH($D1751),"")</f>
        <v/>
      </c>
      <c r="AX1751" s="86" t="str">
        <f>+IF($AG1751=AX$22,MONTH($D1751),"")</f>
        <v/>
      </c>
      <c r="AY1751" s="182"/>
      <c r="AZ1751" s="2"/>
      <c r="BA1751" s="2"/>
      <c r="BB1751" s="2"/>
      <c r="BC1751" s="2"/>
      <c r="BD1751" s="2"/>
      <c r="BE1751" s="2"/>
      <c r="BF1751" s="2"/>
      <c r="BG1751" s="2"/>
      <c r="BH1751" s="192"/>
      <c r="BI1751" s="192"/>
      <c r="BJ1751" s="89"/>
      <c r="BK1751" s="89"/>
      <c r="BL1751" s="89"/>
      <c r="BM1751" s="89"/>
      <c r="BN1751" s="89"/>
      <c r="BO1751" s="89"/>
      <c r="BP1751" s="89"/>
    </row>
    <row r="1752" spans="1:68" s="56" customFormat="1" ht="13.5" hidden="1">
      <c r="A1752" s="204" t="str">
        <f>+IFERROR(VALUE(MID(AB1752,4,4)),"")</f>
        <v/>
      </c>
      <c r="B1752" s="204">
        <f>VALUE(RIGHT(C1752,LEN(C1752)-2))</f>
        <v>973</v>
      </c>
      <c r="C1752" s="74" t="s">
        <v>6256</v>
      </c>
      <c r="D1752" s="75">
        <v>43437</v>
      </c>
      <c r="E1752" s="70" t="s">
        <v>262</v>
      </c>
      <c r="F1752" s="70" t="s">
        <v>262</v>
      </c>
      <c r="G1752" s="68"/>
      <c r="H1752" s="59"/>
      <c r="I1752" s="162" t="s">
        <v>6257</v>
      </c>
      <c r="J1752" s="162"/>
      <c r="K1752" s="68"/>
      <c r="L1752" s="69" t="s">
        <v>120</v>
      </c>
      <c r="M1752" s="71" t="s">
        <v>141</v>
      </c>
      <c r="N1752" s="69" t="e" vm="1">
        <v>#VALUE!</v>
      </c>
      <c r="O1752" s="164"/>
      <c r="P1752" s="72" t="s">
        <v>274</v>
      </c>
      <c r="Q1752" s="72"/>
      <c r="R1752" s="162"/>
      <c r="S1752" s="146"/>
      <c r="T1752" s="68" t="s">
        <v>165</v>
      </c>
      <c r="U1752" s="87"/>
      <c r="V1752" s="183">
        <v>43437</v>
      </c>
      <c r="W1752" s="73">
        <v>1420</v>
      </c>
      <c r="X1752" s="73">
        <f>3344*27500/1000000</f>
        <v>91.96</v>
      </c>
      <c r="Y1752" s="83">
        <f>IF(SUM(W1752:W1752)&gt;0,X1752/SUM(W1752:W1752)*1000000,"N/A")</f>
        <v>64760.563380281688</v>
      </c>
      <c r="Z1752" s="183"/>
      <c r="AA1752" s="183"/>
      <c r="AB1752" s="73"/>
      <c r="AC1752" s="153"/>
      <c r="AD1752" s="331"/>
      <c r="AE1752" s="57"/>
      <c r="AF1752" s="88"/>
      <c r="AG1752" s="182">
        <f>YEAR(D1752)</f>
        <v>2018</v>
      </c>
      <c r="AH1752" s="86" t="str">
        <f>+IF(AE1752=$AJ$22,MONTH(T1752),"")</f>
        <v/>
      </c>
      <c r="AI1752" s="86" t="str">
        <f>+IF(AF1752=$AJ$22,MONTH(U1752),"")</f>
        <v/>
      </c>
      <c r="AJ1752" s="86" t="str">
        <f>+IF(AG1752=$AJ$22,MONTH(V1752),"")</f>
        <v/>
      </c>
      <c r="AK1752" s="86" t="str">
        <f>+IF(AG1752=$AK$22,MONTH(V1752),"")</f>
        <v/>
      </c>
      <c r="AL1752" s="86" t="str">
        <f>+IF(AG1752=$AL$22,MONTH(V1752),"")</f>
        <v/>
      </c>
      <c r="AM1752" s="86" t="str">
        <f>+IF($AG1752=$AM$22,MONTH($D1752),"")</f>
        <v/>
      </c>
      <c r="AN1752" s="89" t="str">
        <f>+IF($AG1752=AN$22,MONTH($D1752),"")</f>
        <v/>
      </c>
      <c r="AO1752" s="89" t="str">
        <f>+IF($AG1752=AO$22,MONTH($D1752),"")</f>
        <v/>
      </c>
      <c r="AP1752" s="89">
        <f>+IF($AG1752=AP$22,MONTH($D1752),"")</f>
        <v>12</v>
      </c>
      <c r="AQ1752" s="89" t="str">
        <f>+IF($AG1752=AQ$22,MONTH($D1752),"")</f>
        <v/>
      </c>
      <c r="AR1752" s="89" t="str">
        <f>+IF($AG1752=AR$22,MONTH($D1752),"")</f>
        <v/>
      </c>
      <c r="AS1752" s="89" t="str">
        <f>+IF($AG1752=AS$22,MONTH($D1752),"")</f>
        <v/>
      </c>
      <c r="AT1752" s="89" t="str">
        <f>+IF($AG1752=AT$22,MONTH($D1752),"")</f>
        <v/>
      </c>
      <c r="AU1752" s="89" t="str">
        <f>+IF($AG1752=AU$22,MONTH($D1752),"")</f>
        <v/>
      </c>
      <c r="AV1752" s="89" t="str">
        <f>+IF($AG1752=AV$22,MONTH($D1752),"")</f>
        <v/>
      </c>
      <c r="AW1752" s="86" t="str">
        <f>+IF($AG1752=AW$22,MONTH($D1752),"")</f>
        <v/>
      </c>
      <c r="AX1752" s="86" t="str">
        <f>+IF($AG1752=AX$22,MONTH($D1752),"")</f>
        <v/>
      </c>
      <c r="AY1752" s="182"/>
      <c r="AZ1752" s="2"/>
      <c r="BA1752" s="2"/>
      <c r="BB1752" s="2"/>
      <c r="BC1752" s="2"/>
      <c r="BD1752" s="2"/>
      <c r="BE1752" s="2"/>
      <c r="BF1752" s="2"/>
      <c r="BG1752" s="2"/>
      <c r="BH1752" s="192"/>
      <c r="BI1752" s="192"/>
      <c r="BJ1752" s="89"/>
      <c r="BK1752" s="89"/>
      <c r="BL1752" s="89"/>
      <c r="BM1752" s="89"/>
      <c r="BN1752" s="89"/>
      <c r="BO1752" s="89"/>
      <c r="BP1752" s="89"/>
    </row>
    <row r="1753" spans="1:68" s="56" customFormat="1" ht="40.5" hidden="1">
      <c r="A1753" s="204" t="str">
        <f>+IFERROR(VALUE(MID(AB1753,4,4)),"")</f>
        <v/>
      </c>
      <c r="B1753" s="204">
        <f>VALUE(RIGHT(C1753,LEN(C1753)-2))</f>
        <v>972</v>
      </c>
      <c r="C1753" s="74" t="s">
        <v>6258</v>
      </c>
      <c r="D1753" s="75">
        <v>43431</v>
      </c>
      <c r="E1753" s="70" t="s">
        <v>394</v>
      </c>
      <c r="F1753" s="70" t="s">
        <v>394</v>
      </c>
      <c r="G1753" s="68"/>
      <c r="H1753" s="59"/>
      <c r="I1753" s="162" t="s">
        <v>6259</v>
      </c>
      <c r="J1753" s="162"/>
      <c r="K1753" s="68" t="s">
        <v>13</v>
      </c>
      <c r="L1753" s="69" t="s">
        <v>123</v>
      </c>
      <c r="M1753" s="71" t="s">
        <v>141</v>
      </c>
      <c r="N1753" s="69" t="e" vm="1">
        <v>#VALUE!</v>
      </c>
      <c r="O1753" s="164"/>
      <c r="P1753" s="72" t="s">
        <v>402</v>
      </c>
      <c r="Q1753" s="72"/>
      <c r="R1753" s="162"/>
      <c r="S1753" s="146" t="s">
        <v>6260</v>
      </c>
      <c r="T1753" s="68" t="s">
        <v>165</v>
      </c>
      <c r="U1753" s="87"/>
      <c r="V1753" s="183">
        <v>43452</v>
      </c>
      <c r="W1753" s="73">
        <v>6193</v>
      </c>
      <c r="X1753" s="73">
        <f>224199124/1000000</f>
        <v>224.19912400000001</v>
      </c>
      <c r="Y1753" s="83">
        <f>IF(SUM(W1753:W1753)&gt;0,X1753/SUM(W1753:W1753)*1000000,"N/A")</f>
        <v>36202.022283222992</v>
      </c>
      <c r="Z1753" s="183"/>
      <c r="AA1753" s="183"/>
      <c r="AB1753" s="73"/>
      <c r="AC1753" s="153"/>
      <c r="AD1753" s="331"/>
      <c r="AE1753" s="57"/>
      <c r="AF1753" s="88"/>
      <c r="AG1753" s="182">
        <f>YEAR(D1753)</f>
        <v>2018</v>
      </c>
      <c r="AH1753" s="86" t="str">
        <f>+IF(AE1753=$AJ$22,MONTH(T1753),"")</f>
        <v/>
      </c>
      <c r="AI1753" s="86" t="str">
        <f>+IF(AF1753=$AJ$22,MONTH(U1753),"")</f>
        <v/>
      </c>
      <c r="AJ1753" s="86" t="str">
        <f>+IF(AG1753=$AJ$22,MONTH(V1753),"")</f>
        <v/>
      </c>
      <c r="AK1753" s="86" t="str">
        <f>+IF(AG1753=$AK$22,MONTH(V1753),"")</f>
        <v/>
      </c>
      <c r="AL1753" s="86" t="str">
        <f>+IF(AG1753=$AL$22,MONTH(V1753),"")</f>
        <v/>
      </c>
      <c r="AM1753" s="86" t="str">
        <f>+IF($AG1753=$AM$22,MONTH($D1753),"")</f>
        <v/>
      </c>
      <c r="AN1753" s="89" t="str">
        <f>+IF($AG1753=AN$22,MONTH($D1753),"")</f>
        <v/>
      </c>
      <c r="AO1753" s="89" t="str">
        <f>+IF($AG1753=AO$22,MONTH($D1753),"")</f>
        <v/>
      </c>
      <c r="AP1753" s="89">
        <f>+IF($AG1753=AP$22,MONTH($D1753),"")</f>
        <v>11</v>
      </c>
      <c r="AQ1753" s="89" t="str">
        <f>+IF($AG1753=AQ$22,MONTH($D1753),"")</f>
        <v/>
      </c>
      <c r="AR1753" s="89" t="str">
        <f>+IF($AG1753=AR$22,MONTH($D1753),"")</f>
        <v/>
      </c>
      <c r="AS1753" s="89" t="str">
        <f>+IF($AG1753=AS$22,MONTH($D1753),"")</f>
        <v/>
      </c>
      <c r="AT1753" s="89" t="str">
        <f>+IF($AG1753=AT$22,MONTH($D1753),"")</f>
        <v/>
      </c>
      <c r="AU1753" s="89" t="str">
        <f>+IF($AG1753=AU$22,MONTH($D1753),"")</f>
        <v/>
      </c>
      <c r="AV1753" s="89" t="str">
        <f>+IF($AG1753=AV$22,MONTH($D1753),"")</f>
        <v/>
      </c>
      <c r="AW1753" s="86" t="str">
        <f>+IF($AG1753=AW$22,MONTH($D1753),"")</f>
        <v/>
      </c>
      <c r="AX1753" s="86" t="str">
        <f>+IF($AG1753=AX$22,MONTH($D1753),"")</f>
        <v/>
      </c>
      <c r="AY1753" s="182"/>
      <c r="AZ1753" s="2"/>
      <c r="BA1753" s="2"/>
      <c r="BB1753" s="2"/>
      <c r="BC1753" s="2"/>
      <c r="BD1753" s="2"/>
      <c r="BE1753" s="2"/>
      <c r="BF1753" s="2"/>
      <c r="BG1753" s="2"/>
      <c r="BH1753" s="192"/>
      <c r="BI1753" s="192"/>
      <c r="BJ1753" s="89"/>
      <c r="BK1753" s="89"/>
      <c r="BL1753" s="89"/>
      <c r="BM1753" s="89"/>
      <c r="BN1753" s="89"/>
      <c r="BO1753" s="89"/>
      <c r="BP1753" s="89"/>
    </row>
    <row r="1754" spans="1:68" s="56" customFormat="1" ht="13.5" hidden="1">
      <c r="A1754" s="204" t="str">
        <f>+IFERROR(VALUE(MID(AB1754,4,4)),"")</f>
        <v/>
      </c>
      <c r="B1754" s="204">
        <f>VALUE(RIGHT(C1754,LEN(C1754)-2))</f>
        <v>971</v>
      </c>
      <c r="C1754" s="74" t="s">
        <v>6261</v>
      </c>
      <c r="D1754" s="75">
        <v>43430</v>
      </c>
      <c r="E1754" s="70" t="s">
        <v>4664</v>
      </c>
      <c r="F1754" s="70" t="s">
        <v>4664</v>
      </c>
      <c r="G1754" s="68"/>
      <c r="H1754" s="59"/>
      <c r="I1754" s="162" t="s">
        <v>6262</v>
      </c>
      <c r="J1754" s="162"/>
      <c r="K1754" s="68" t="s">
        <v>13</v>
      </c>
      <c r="L1754" s="69" t="s">
        <v>120</v>
      </c>
      <c r="M1754" s="71" t="s">
        <v>113</v>
      </c>
      <c r="N1754" s="69" t="e" vm="2">
        <v>#VALUE!</v>
      </c>
      <c r="O1754" s="164"/>
      <c r="P1754" s="72" t="s">
        <v>402</v>
      </c>
      <c r="Q1754" s="72"/>
      <c r="R1754" s="162"/>
      <c r="S1754" s="146"/>
      <c r="T1754" s="68" t="s">
        <v>165</v>
      </c>
      <c r="U1754" s="87"/>
      <c r="V1754" s="183">
        <v>43515</v>
      </c>
      <c r="W1754" s="73">
        <v>306</v>
      </c>
      <c r="X1754" s="73">
        <f>61250*190/1000000</f>
        <v>11.637499999999999</v>
      </c>
      <c r="Y1754" s="83">
        <f>IF(SUM(W1754:W1754)&gt;0,X1754/SUM(W1754:W1754)*1000000,"N/A")</f>
        <v>38031.045751633981</v>
      </c>
      <c r="Z1754" s="183"/>
      <c r="AA1754" s="183"/>
      <c r="AB1754" s="73"/>
      <c r="AC1754" s="153"/>
      <c r="AD1754" s="331"/>
      <c r="AE1754" s="57"/>
      <c r="AF1754" s="88"/>
      <c r="AG1754" s="182">
        <f>YEAR(D1754)</f>
        <v>2018</v>
      </c>
      <c r="AH1754" s="86" t="str">
        <f>+IF(AE1754=$AJ$22,MONTH(T1754),"")</f>
        <v/>
      </c>
      <c r="AI1754" s="86" t="str">
        <f>+IF(AF1754=$AJ$22,MONTH(U1754),"")</f>
        <v/>
      </c>
      <c r="AJ1754" s="86" t="str">
        <f>+IF(AG1754=$AJ$22,MONTH(V1754),"")</f>
        <v/>
      </c>
      <c r="AK1754" s="86" t="str">
        <f>+IF(AG1754=$AK$22,MONTH(V1754),"")</f>
        <v/>
      </c>
      <c r="AL1754" s="86" t="str">
        <f>+IF(AG1754=$AL$22,MONTH(V1754),"")</f>
        <v/>
      </c>
      <c r="AM1754" s="86" t="str">
        <f>+IF($AG1754=$AM$22,MONTH($D1754),"")</f>
        <v/>
      </c>
      <c r="AN1754" s="89" t="str">
        <f>+IF($AG1754=AN$22,MONTH($D1754),"")</f>
        <v/>
      </c>
      <c r="AO1754" s="89" t="str">
        <f>+IF($AG1754=AO$22,MONTH($D1754),"")</f>
        <v/>
      </c>
      <c r="AP1754" s="89">
        <f>+IF($AG1754=AP$22,MONTH($D1754),"")</f>
        <v>11</v>
      </c>
      <c r="AQ1754" s="89" t="str">
        <f>+IF($AG1754=AQ$22,MONTH($D1754),"")</f>
        <v/>
      </c>
      <c r="AR1754" s="89" t="str">
        <f>+IF($AG1754=AR$22,MONTH($D1754),"")</f>
        <v/>
      </c>
      <c r="AS1754" s="89" t="str">
        <f>+IF($AG1754=AS$22,MONTH($D1754),"")</f>
        <v/>
      </c>
      <c r="AT1754" s="89" t="str">
        <f>+IF($AG1754=AT$22,MONTH($D1754),"")</f>
        <v/>
      </c>
      <c r="AU1754" s="89" t="str">
        <f>+IF($AG1754=AU$22,MONTH($D1754),"")</f>
        <v/>
      </c>
      <c r="AV1754" s="89" t="str">
        <f>+IF($AG1754=AV$22,MONTH($D1754),"")</f>
        <v/>
      </c>
      <c r="AW1754" s="86" t="str">
        <f>+IF($AG1754=AW$22,MONTH($D1754),"")</f>
        <v/>
      </c>
      <c r="AX1754" s="86" t="str">
        <f>+IF($AG1754=AX$22,MONTH($D1754),"")</f>
        <v/>
      </c>
      <c r="AY1754" s="182"/>
      <c r="AZ1754" s="2"/>
      <c r="BA1754" s="2"/>
      <c r="BB1754" s="2"/>
      <c r="BC1754" s="2"/>
      <c r="BD1754" s="2"/>
      <c r="BE1754" s="2"/>
      <c r="BF1754" s="2"/>
      <c r="BG1754" s="2"/>
      <c r="BH1754" s="192"/>
      <c r="BI1754" s="192"/>
      <c r="BJ1754" s="89"/>
      <c r="BK1754" s="89"/>
      <c r="BL1754" s="89"/>
      <c r="BM1754" s="89"/>
      <c r="BN1754" s="89"/>
      <c r="BO1754" s="89"/>
      <c r="BP1754" s="89"/>
    </row>
    <row r="1755" spans="1:68" s="56" customFormat="1" ht="13.5" hidden="1">
      <c r="A1755" s="204" t="str">
        <f>+IFERROR(VALUE(MID(AB1755,4,4)),"")</f>
        <v/>
      </c>
      <c r="B1755" s="204">
        <f>VALUE(RIGHT(C1755,LEN(C1755)-2))</f>
        <v>970</v>
      </c>
      <c r="C1755" s="74" t="s">
        <v>6263</v>
      </c>
      <c r="D1755" s="75">
        <v>43426</v>
      </c>
      <c r="E1755" s="70" t="s">
        <v>4664</v>
      </c>
      <c r="F1755" s="70" t="s">
        <v>4664</v>
      </c>
      <c r="G1755" s="68"/>
      <c r="H1755" s="59"/>
      <c r="I1755" s="162" t="s">
        <v>6264</v>
      </c>
      <c r="J1755" s="162"/>
      <c r="K1755" s="68"/>
      <c r="L1755" s="69"/>
      <c r="M1755" s="71"/>
      <c r="N1755" s="69"/>
      <c r="O1755" s="164"/>
      <c r="P1755" s="72" t="s">
        <v>402</v>
      </c>
      <c r="Q1755" s="72"/>
      <c r="R1755" s="162"/>
      <c r="S1755" s="146"/>
      <c r="T1755" s="68" t="s">
        <v>165</v>
      </c>
      <c r="U1755" s="87"/>
      <c r="V1755" s="183">
        <v>43439</v>
      </c>
      <c r="W1755" s="73">
        <v>4523</v>
      </c>
      <c r="X1755" s="73">
        <f>4523*183.16/1000000</f>
        <v>0.82843267999999992</v>
      </c>
      <c r="Y1755" s="83">
        <f>IF(SUM(W1755:W1755)&gt;0,X1755/SUM(W1755:W1755)*1000000,"N/A")</f>
        <v>183.15999999999997</v>
      </c>
      <c r="Z1755" s="183"/>
      <c r="AA1755" s="183"/>
      <c r="AB1755" s="73"/>
      <c r="AC1755" s="153"/>
      <c r="AD1755" s="331"/>
      <c r="AE1755" s="57"/>
      <c r="AF1755" s="88"/>
      <c r="AG1755" s="182">
        <f>YEAR(D1755)</f>
        <v>2018</v>
      </c>
      <c r="AH1755" s="86" t="str">
        <f>+IF(AE1755=$AJ$22,MONTH(T1755),"")</f>
        <v/>
      </c>
      <c r="AI1755" s="86" t="str">
        <f>+IF(AF1755=$AJ$22,MONTH(U1755),"")</f>
        <v/>
      </c>
      <c r="AJ1755" s="86" t="str">
        <f>+IF(AG1755=$AJ$22,MONTH(V1755),"")</f>
        <v/>
      </c>
      <c r="AK1755" s="86" t="str">
        <f>+IF(AG1755=$AK$22,MONTH(V1755),"")</f>
        <v/>
      </c>
      <c r="AL1755" s="86" t="str">
        <f>+IF(AG1755=$AL$22,MONTH(V1755),"")</f>
        <v/>
      </c>
      <c r="AM1755" s="86" t="str">
        <f>+IF($AG1755=$AM$22,MONTH($D1755),"")</f>
        <v/>
      </c>
      <c r="AN1755" s="89" t="str">
        <f>+IF($AG1755=AN$22,MONTH($D1755),"")</f>
        <v/>
      </c>
      <c r="AO1755" s="89" t="str">
        <f>+IF($AG1755=AO$22,MONTH($D1755),"")</f>
        <v/>
      </c>
      <c r="AP1755" s="89">
        <f>+IF($AG1755=AP$22,MONTH($D1755),"")</f>
        <v>11</v>
      </c>
      <c r="AQ1755" s="89" t="str">
        <f>+IF($AG1755=AQ$22,MONTH($D1755),"")</f>
        <v/>
      </c>
      <c r="AR1755" s="89" t="str">
        <f>+IF($AG1755=AR$22,MONTH($D1755),"")</f>
        <v/>
      </c>
      <c r="AS1755" s="89" t="str">
        <f>+IF($AG1755=AS$22,MONTH($D1755),"")</f>
        <v/>
      </c>
      <c r="AT1755" s="89" t="str">
        <f>+IF($AG1755=AT$22,MONTH($D1755),"")</f>
        <v/>
      </c>
      <c r="AU1755" s="89" t="str">
        <f>+IF($AG1755=AU$22,MONTH($D1755),"")</f>
        <v/>
      </c>
      <c r="AV1755" s="89" t="str">
        <f>+IF($AG1755=AV$22,MONTH($D1755),"")</f>
        <v/>
      </c>
      <c r="AW1755" s="86" t="str">
        <f>+IF($AG1755=AW$22,MONTH($D1755),"")</f>
        <v/>
      </c>
      <c r="AX1755" s="86" t="str">
        <f>+IF($AG1755=AX$22,MONTH($D1755),"")</f>
        <v/>
      </c>
      <c r="AY1755" s="182"/>
      <c r="AZ1755" s="2"/>
      <c r="BA1755" s="2"/>
      <c r="BB1755" s="2"/>
      <c r="BC1755" s="2"/>
      <c r="BD1755" s="2"/>
      <c r="BE1755" s="2"/>
      <c r="BF1755" s="2"/>
      <c r="BG1755" s="2"/>
      <c r="BH1755" s="192"/>
      <c r="BI1755" s="192"/>
      <c r="BJ1755" s="89"/>
      <c r="BK1755" s="89"/>
      <c r="BL1755" s="89"/>
      <c r="BM1755" s="89"/>
      <c r="BN1755" s="89"/>
      <c r="BO1755" s="89"/>
      <c r="BP1755" s="89"/>
    </row>
    <row r="1756" spans="1:68" s="56" customFormat="1" ht="13.5" hidden="1">
      <c r="A1756" s="204" t="str">
        <f>+IFERROR(VALUE(MID(AB1756,4,4)),"")</f>
        <v/>
      </c>
      <c r="B1756" s="204">
        <f>VALUE(RIGHT(C1756,LEN(C1756)-2))</f>
        <v>969</v>
      </c>
      <c r="C1756" s="74" t="s">
        <v>6265</v>
      </c>
      <c r="D1756" s="75">
        <v>43425</v>
      </c>
      <c r="E1756" s="70" t="s">
        <v>346</v>
      </c>
      <c r="F1756" s="70" t="s">
        <v>346</v>
      </c>
      <c r="G1756" s="68"/>
      <c r="H1756" s="59"/>
      <c r="I1756" s="162" t="s">
        <v>6266</v>
      </c>
      <c r="J1756" s="162"/>
      <c r="K1756" s="68" t="s">
        <v>12</v>
      </c>
      <c r="L1756" s="69" t="s">
        <v>129</v>
      </c>
      <c r="M1756" s="71" t="s">
        <v>141</v>
      </c>
      <c r="N1756" s="69" t="e" vm="1">
        <v>#VALUE!</v>
      </c>
      <c r="O1756" s="164"/>
      <c r="P1756" s="72" t="s">
        <v>402</v>
      </c>
      <c r="Q1756" s="72"/>
      <c r="R1756" s="162"/>
      <c r="S1756" s="146"/>
      <c r="T1756" s="68" t="s">
        <v>165</v>
      </c>
      <c r="U1756" s="87"/>
      <c r="V1756" s="183">
        <v>43515</v>
      </c>
      <c r="W1756" s="73">
        <v>594</v>
      </c>
      <c r="X1756" s="73">
        <f>962*27500/1000000</f>
        <v>26.454999999999998</v>
      </c>
      <c r="Y1756" s="83">
        <f>IF(SUM(W1756:W1756)&gt;0,X1756/SUM(W1756:W1756)*1000000,"N/A")</f>
        <v>44537.037037037036</v>
      </c>
      <c r="Z1756" s="183"/>
      <c r="AA1756" s="183"/>
      <c r="AB1756" s="73"/>
      <c r="AC1756" s="153"/>
      <c r="AD1756" s="331"/>
      <c r="AE1756" s="57"/>
      <c r="AF1756" s="88"/>
      <c r="AG1756" s="182">
        <f>YEAR(D1756)</f>
        <v>2018</v>
      </c>
      <c r="AH1756" s="86" t="str">
        <f>+IF(AE1756=$AJ$22,MONTH(T1756),"")</f>
        <v/>
      </c>
      <c r="AI1756" s="86" t="str">
        <f>+IF(AF1756=$AJ$22,MONTH(U1756),"")</f>
        <v/>
      </c>
      <c r="AJ1756" s="86" t="str">
        <f>+IF(AG1756=$AJ$22,MONTH(V1756),"")</f>
        <v/>
      </c>
      <c r="AK1756" s="86" t="str">
        <f>+IF(AG1756=$AK$22,MONTH(V1756),"")</f>
        <v/>
      </c>
      <c r="AL1756" s="86" t="str">
        <f>+IF(AG1756=$AL$22,MONTH(V1756),"")</f>
        <v/>
      </c>
      <c r="AM1756" s="86" t="str">
        <f>+IF($AG1756=$AM$22,MONTH($D1756),"")</f>
        <v/>
      </c>
      <c r="AN1756" s="89" t="str">
        <f>+IF($AG1756=AN$22,MONTH($D1756),"")</f>
        <v/>
      </c>
      <c r="AO1756" s="89" t="str">
        <f>+IF($AG1756=AO$22,MONTH($D1756),"")</f>
        <v/>
      </c>
      <c r="AP1756" s="89">
        <f>+IF($AG1756=AP$22,MONTH($D1756),"")</f>
        <v>11</v>
      </c>
      <c r="AQ1756" s="89" t="str">
        <f>+IF($AG1756=AQ$22,MONTH($D1756),"")</f>
        <v/>
      </c>
      <c r="AR1756" s="89" t="str">
        <f>+IF($AG1756=AR$22,MONTH($D1756),"")</f>
        <v/>
      </c>
      <c r="AS1756" s="89" t="str">
        <f>+IF($AG1756=AS$22,MONTH($D1756),"")</f>
        <v/>
      </c>
      <c r="AT1756" s="89" t="str">
        <f>+IF($AG1756=AT$22,MONTH($D1756),"")</f>
        <v/>
      </c>
      <c r="AU1756" s="89" t="str">
        <f>+IF($AG1756=AU$22,MONTH($D1756),"")</f>
        <v/>
      </c>
      <c r="AV1756" s="89" t="str">
        <f>+IF($AG1756=AV$22,MONTH($D1756),"")</f>
        <v/>
      </c>
      <c r="AW1756" s="86" t="str">
        <f>+IF($AG1756=AW$22,MONTH($D1756),"")</f>
        <v/>
      </c>
      <c r="AX1756" s="86" t="str">
        <f>+IF($AG1756=AX$22,MONTH($D1756),"")</f>
        <v/>
      </c>
      <c r="AY1756" s="182"/>
      <c r="AZ1756" s="2"/>
      <c r="BA1756" s="2"/>
      <c r="BB1756" s="2"/>
      <c r="BC1756" s="2"/>
      <c r="BD1756" s="2"/>
      <c r="BE1756" s="2"/>
      <c r="BF1756" s="2"/>
      <c r="BG1756" s="2"/>
      <c r="BH1756" s="192"/>
      <c r="BI1756" s="192"/>
      <c r="BJ1756" s="89"/>
      <c r="BK1756" s="89"/>
      <c r="BL1756" s="89"/>
      <c r="BM1756" s="89"/>
      <c r="BN1756" s="89"/>
      <c r="BO1756" s="89"/>
      <c r="BP1756" s="89"/>
    </row>
    <row r="1757" spans="1:68" s="56" customFormat="1" ht="13.5" hidden="1">
      <c r="A1757" s="204" t="str">
        <f>+IFERROR(VALUE(MID(AB1757,4,4)),"")</f>
        <v/>
      </c>
      <c r="B1757" s="204">
        <f>VALUE(RIGHT(C1757,LEN(C1757)-2))</f>
        <v>968</v>
      </c>
      <c r="C1757" s="74" t="s">
        <v>6267</v>
      </c>
      <c r="D1757" s="75">
        <v>43424</v>
      </c>
      <c r="E1757" s="70" t="s">
        <v>4664</v>
      </c>
      <c r="F1757" s="70" t="s">
        <v>4664</v>
      </c>
      <c r="G1757" s="68"/>
      <c r="H1757" s="59"/>
      <c r="I1757" s="162" t="s">
        <v>6268</v>
      </c>
      <c r="J1757" s="162"/>
      <c r="K1757" s="68" t="s">
        <v>30</v>
      </c>
      <c r="L1757" s="69" t="s">
        <v>120</v>
      </c>
      <c r="M1757" s="71" t="s">
        <v>113</v>
      </c>
      <c r="N1757" s="69" t="e" vm="2">
        <v>#VALUE!</v>
      </c>
      <c r="O1757" s="164"/>
      <c r="P1757" s="72" t="s">
        <v>402</v>
      </c>
      <c r="Q1757" s="72" t="s">
        <v>229</v>
      </c>
      <c r="R1757" s="162"/>
      <c r="S1757" s="146"/>
      <c r="T1757" s="68" t="s">
        <v>3</v>
      </c>
      <c r="U1757" s="87"/>
      <c r="V1757" s="183">
        <v>43424</v>
      </c>
      <c r="W1757" s="73">
        <v>90</v>
      </c>
      <c r="X1757" s="73">
        <f>12780*174.13/1000000</f>
        <v>2.2253813999999998</v>
      </c>
      <c r="Y1757" s="83">
        <f>IF(SUM(W1757:W1757)&gt;0,X1757/SUM(W1757:W1757)*1000000,"N/A")</f>
        <v>24726.46</v>
      </c>
      <c r="Z1757" s="183"/>
      <c r="AA1757" s="183"/>
      <c r="AB1757" s="73"/>
      <c r="AC1757" s="153"/>
      <c r="AD1757" s="331"/>
      <c r="AE1757" s="57"/>
      <c r="AF1757" s="88"/>
      <c r="AG1757" s="182">
        <f>YEAR(D1757)</f>
        <v>2018</v>
      </c>
      <c r="AH1757" s="86" t="str">
        <f>+IF(AE1757=$AJ$22,MONTH(T1757),"")</f>
        <v/>
      </c>
      <c r="AI1757" s="86" t="str">
        <f>+IF(AF1757=$AJ$22,MONTH(U1757),"")</f>
        <v/>
      </c>
      <c r="AJ1757" s="86" t="str">
        <f>+IF(AG1757=$AJ$22,MONTH(V1757),"")</f>
        <v/>
      </c>
      <c r="AK1757" s="86" t="str">
        <f>+IF(AG1757=$AK$22,MONTH(V1757),"")</f>
        <v/>
      </c>
      <c r="AL1757" s="86" t="str">
        <f>+IF(AG1757=$AL$22,MONTH(V1757),"")</f>
        <v/>
      </c>
      <c r="AM1757" s="86" t="str">
        <f>+IF($AG1757=$AM$22,MONTH($D1757),"")</f>
        <v/>
      </c>
      <c r="AN1757" s="89" t="str">
        <f>+IF($AG1757=AN$22,MONTH($D1757),"")</f>
        <v/>
      </c>
      <c r="AO1757" s="89" t="str">
        <f>+IF($AG1757=AO$22,MONTH($D1757),"")</f>
        <v/>
      </c>
      <c r="AP1757" s="89">
        <f>+IF($AG1757=AP$22,MONTH($D1757),"")</f>
        <v>11</v>
      </c>
      <c r="AQ1757" s="89" t="str">
        <f>+IF($AG1757=AQ$22,MONTH($D1757),"")</f>
        <v/>
      </c>
      <c r="AR1757" s="89" t="str">
        <f>+IF($AG1757=AR$22,MONTH($D1757),"")</f>
        <v/>
      </c>
      <c r="AS1757" s="89" t="str">
        <f>+IF($AG1757=AS$22,MONTH($D1757),"")</f>
        <v/>
      </c>
      <c r="AT1757" s="89" t="str">
        <f>+IF($AG1757=AT$22,MONTH($D1757),"")</f>
        <v/>
      </c>
      <c r="AU1757" s="89" t="str">
        <f>+IF($AG1757=AU$22,MONTH($D1757),"")</f>
        <v/>
      </c>
      <c r="AV1757" s="89" t="str">
        <f>+IF($AG1757=AV$22,MONTH($D1757),"")</f>
        <v/>
      </c>
      <c r="AW1757" s="86" t="str">
        <f>+IF($AG1757=AW$22,MONTH($D1757),"")</f>
        <v/>
      </c>
      <c r="AX1757" s="86" t="str">
        <f>+IF($AG1757=AX$22,MONTH($D1757),"")</f>
        <v/>
      </c>
      <c r="AY1757" s="182"/>
      <c r="AZ1757" s="2"/>
      <c r="BA1757" s="2"/>
      <c r="BB1757" s="2"/>
      <c r="BC1757" s="2"/>
      <c r="BD1757" s="2"/>
      <c r="BE1757" s="2"/>
      <c r="BF1757" s="2"/>
      <c r="BG1757" s="2"/>
      <c r="BH1757" s="192"/>
      <c r="BI1757" s="192"/>
      <c r="BJ1757" s="89"/>
      <c r="BK1757" s="89"/>
      <c r="BL1757" s="89"/>
      <c r="BM1757" s="89"/>
      <c r="BN1757" s="89"/>
      <c r="BO1757" s="89"/>
      <c r="BP1757" s="89"/>
    </row>
    <row r="1758" spans="1:68" s="56" customFormat="1" ht="27" hidden="1">
      <c r="A1758" s="204">
        <f>+IFERROR(VALUE(MID(AB1758,4,4)),"")</f>
        <v>193</v>
      </c>
      <c r="B1758" s="204">
        <f>VALUE(RIGHT(C1758,LEN(C1758)-2))</f>
        <v>967</v>
      </c>
      <c r="C1758" s="74" t="s">
        <v>6269</v>
      </c>
      <c r="D1758" s="75">
        <v>43423</v>
      </c>
      <c r="E1758" s="70" t="s">
        <v>277</v>
      </c>
      <c r="F1758" s="70" t="s">
        <v>277</v>
      </c>
      <c r="G1758" s="68"/>
      <c r="H1758" s="59"/>
      <c r="I1758" s="162" t="s">
        <v>6270</v>
      </c>
      <c r="J1758" s="162"/>
      <c r="K1758" s="68" t="s">
        <v>11</v>
      </c>
      <c r="L1758" s="69" t="s">
        <v>120</v>
      </c>
      <c r="M1758" s="71" t="s">
        <v>141</v>
      </c>
      <c r="N1758" s="69" t="e" vm="1">
        <v>#VALUE!</v>
      </c>
      <c r="O1758" s="164"/>
      <c r="P1758" s="72" t="s">
        <v>402</v>
      </c>
      <c r="Q1758" s="72" t="s">
        <v>1097</v>
      </c>
      <c r="R1758" s="162"/>
      <c r="S1758" s="146"/>
      <c r="T1758" s="68" t="s">
        <v>3</v>
      </c>
      <c r="U1758" s="87"/>
      <c r="V1758" s="183">
        <v>43427</v>
      </c>
      <c r="W1758" s="73">
        <v>3674</v>
      </c>
      <c r="X1758" s="73">
        <f>141277263/1000000</f>
        <v>141.277263</v>
      </c>
      <c r="Y1758" s="83">
        <f>IF(SUM(W1758:W1758)&gt;0,X1758/SUM(W1758:W1758)*1000000,"N/A")</f>
        <v>38453.256124115404</v>
      </c>
      <c r="Z1758" s="183"/>
      <c r="AA1758" s="183"/>
      <c r="AB1758" s="73" t="s">
        <v>6271</v>
      </c>
      <c r="AC1758" s="153"/>
      <c r="AD1758" s="331"/>
      <c r="AE1758" s="57"/>
      <c r="AF1758" s="88"/>
      <c r="AG1758" s="182">
        <v>2019</v>
      </c>
      <c r="AH1758" s="86" t="str">
        <f>+IF(AE1758=$AJ$22,MONTH(T1758),"")</f>
        <v/>
      </c>
      <c r="AI1758" s="86" t="str">
        <f>+IF(AF1758=$AJ$22,MONTH(U1758),"")</f>
        <v/>
      </c>
      <c r="AJ1758" s="86" t="str">
        <f>+IF(AG1758=$AJ$22,MONTH(V1758),"")</f>
        <v/>
      </c>
      <c r="AK1758" s="86" t="str">
        <f>+IF(AG1758=$AK$22,MONTH(V1758),"")</f>
        <v/>
      </c>
      <c r="AL1758" s="86" t="str">
        <f>+IF(AG1758=$AL$22,MONTH(V1758),"")</f>
        <v/>
      </c>
      <c r="AM1758" s="86" t="str">
        <f>+IF($AG1758=$AM$22,MONTH($D1758),"")</f>
        <v/>
      </c>
      <c r="AN1758" s="89" t="str">
        <f>+IF($AG1758=AN$22,MONTH($D1758),"")</f>
        <v/>
      </c>
      <c r="AO1758" s="89">
        <f>+IF($AG1758=AO$22,MONTH($D1758),"")</f>
        <v>11</v>
      </c>
      <c r="AP1758" s="89" t="str">
        <f>+IF($AG1758=AP$22,MONTH($D1758),"")</f>
        <v/>
      </c>
      <c r="AQ1758" s="89" t="str">
        <f>+IF($AG1758=AQ$22,MONTH($D1758),"")</f>
        <v/>
      </c>
      <c r="AR1758" s="89" t="str">
        <f>+IF($AG1758=AR$22,MONTH($D1758),"")</f>
        <v/>
      </c>
      <c r="AS1758" s="89" t="str">
        <f>+IF($AG1758=AS$22,MONTH($D1758),"")</f>
        <v/>
      </c>
      <c r="AT1758" s="89" t="str">
        <f>+IF($AG1758=AT$22,MONTH($D1758),"")</f>
        <v/>
      </c>
      <c r="AU1758" s="89" t="str">
        <f>+IF($AG1758=AU$22,MONTH($D1758),"")</f>
        <v/>
      </c>
      <c r="AV1758" s="89" t="str">
        <f>+IF($AG1758=AV$22,MONTH($D1758),"")</f>
        <v/>
      </c>
      <c r="AW1758" s="86" t="str">
        <f>+IF($AG1758=AW$22,MONTH($D1758),"")</f>
        <v/>
      </c>
      <c r="AX1758" s="86" t="str">
        <f>+IF($AG1758=AX$22,MONTH($D1758),"")</f>
        <v/>
      </c>
      <c r="AY1758" s="182"/>
      <c r="AZ1758" s="2"/>
      <c r="BA1758" s="2"/>
      <c r="BB1758" s="2"/>
      <c r="BC1758" s="2"/>
      <c r="BD1758" s="2"/>
      <c r="BE1758" s="2"/>
      <c r="BF1758" s="2"/>
      <c r="BG1758" s="2"/>
      <c r="BH1758" s="192"/>
      <c r="BI1758" s="192"/>
      <c r="BJ1758" s="89"/>
      <c r="BK1758" s="89"/>
      <c r="BL1758" s="89"/>
      <c r="BM1758" s="89"/>
      <c r="BN1758" s="89"/>
      <c r="BO1758" s="89"/>
      <c r="BP1758" s="89"/>
    </row>
    <row r="1759" spans="1:68" s="56" customFormat="1" ht="13.5" hidden="1">
      <c r="A1759" s="204">
        <f>+IFERROR(VALUE(MID(AB1759,4,4)),"")</f>
        <v>210</v>
      </c>
      <c r="B1759" s="204">
        <f>VALUE(RIGHT(C1759,LEN(C1759)-2))</f>
        <v>966</v>
      </c>
      <c r="C1759" s="74" t="s">
        <v>6272</v>
      </c>
      <c r="D1759" s="75">
        <v>43418</v>
      </c>
      <c r="E1759" s="70" t="s">
        <v>104</v>
      </c>
      <c r="F1759" s="70" t="s">
        <v>104</v>
      </c>
      <c r="G1759" s="68"/>
      <c r="H1759" s="59"/>
      <c r="I1759" s="162" t="s">
        <v>6273</v>
      </c>
      <c r="J1759" s="162"/>
      <c r="K1759" s="68" t="s">
        <v>30</v>
      </c>
      <c r="L1759" s="69" t="s">
        <v>120</v>
      </c>
      <c r="M1759" s="71" t="s">
        <v>141</v>
      </c>
      <c r="N1759" s="69" t="e" vm="1">
        <v>#VALUE!</v>
      </c>
      <c r="O1759" s="164"/>
      <c r="P1759" s="72" t="s">
        <v>402</v>
      </c>
      <c r="Q1759" s="72" t="s">
        <v>837</v>
      </c>
      <c r="R1759" s="162"/>
      <c r="S1759" s="146"/>
      <c r="T1759" s="68" t="s">
        <v>3</v>
      </c>
      <c r="U1759" s="87"/>
      <c r="V1759" s="183">
        <v>43425</v>
      </c>
      <c r="W1759" s="73">
        <v>396</v>
      </c>
      <c r="X1759" s="73">
        <f>500*27346.52/1000000</f>
        <v>13.673260000000001</v>
      </c>
      <c r="Y1759" s="83">
        <f>IF(SUM(W1759:W1759)&gt;0,X1759/SUM(W1759:W1759)*1000000,"N/A")</f>
        <v>34528.434343434346</v>
      </c>
      <c r="Z1759" s="183"/>
      <c r="AA1759" s="183"/>
      <c r="AB1759" s="73" t="s">
        <v>6274</v>
      </c>
      <c r="AC1759" s="153"/>
      <c r="AD1759" s="331"/>
      <c r="AE1759" s="57"/>
      <c r="AF1759" s="88"/>
      <c r="AG1759" s="182">
        <f>YEAR(D1759)</f>
        <v>2018</v>
      </c>
      <c r="AH1759" s="86" t="str">
        <f>+IF(AE1759=$AJ$22,MONTH(T1759),"")</f>
        <v/>
      </c>
      <c r="AI1759" s="86" t="str">
        <f>+IF(AF1759=$AJ$22,MONTH(U1759),"")</f>
        <v/>
      </c>
      <c r="AJ1759" s="86" t="str">
        <f>+IF(AG1759=$AJ$22,MONTH(V1759),"")</f>
        <v/>
      </c>
      <c r="AK1759" s="86" t="str">
        <f>+IF(AG1759=$AK$22,MONTH(V1759),"")</f>
        <v/>
      </c>
      <c r="AL1759" s="86" t="str">
        <f>+IF(AG1759=$AL$22,MONTH(V1759),"")</f>
        <v/>
      </c>
      <c r="AM1759" s="86" t="str">
        <f>+IF($AG1759=$AM$22,MONTH($D1759),"")</f>
        <v/>
      </c>
      <c r="AN1759" s="89" t="str">
        <f>+IF($AG1759=AN$22,MONTH($D1759),"")</f>
        <v/>
      </c>
      <c r="AO1759" s="89" t="str">
        <f>+IF($AG1759=AO$22,MONTH($D1759),"")</f>
        <v/>
      </c>
      <c r="AP1759" s="89">
        <f>+IF($AG1759=AP$22,MONTH($D1759),"")</f>
        <v>11</v>
      </c>
      <c r="AQ1759" s="89" t="str">
        <f>+IF($AG1759=AQ$22,MONTH($D1759),"")</f>
        <v/>
      </c>
      <c r="AR1759" s="89" t="str">
        <f>+IF($AG1759=AR$22,MONTH($D1759),"")</f>
        <v/>
      </c>
      <c r="AS1759" s="89" t="str">
        <f>+IF($AG1759=AS$22,MONTH($D1759),"")</f>
        <v/>
      </c>
      <c r="AT1759" s="89" t="str">
        <f>+IF($AG1759=AT$22,MONTH($D1759),"")</f>
        <v/>
      </c>
      <c r="AU1759" s="89" t="str">
        <f>+IF($AG1759=AU$22,MONTH($D1759),"")</f>
        <v/>
      </c>
      <c r="AV1759" s="89" t="str">
        <f>+IF($AG1759=AV$22,MONTH($D1759),"")</f>
        <v/>
      </c>
      <c r="AW1759" s="86" t="str">
        <f>+IF($AG1759=AW$22,MONTH($D1759),"")</f>
        <v/>
      </c>
      <c r="AX1759" s="86" t="str">
        <f>+IF($AG1759=AX$22,MONTH($D1759),"")</f>
        <v/>
      </c>
      <c r="AY1759" s="182"/>
      <c r="AZ1759" s="2"/>
      <c r="BA1759" s="2"/>
      <c r="BB1759" s="2"/>
      <c r="BC1759" s="2"/>
      <c r="BD1759" s="2"/>
      <c r="BE1759" s="2"/>
      <c r="BF1759" s="2"/>
      <c r="BG1759" s="2"/>
      <c r="BH1759" s="192"/>
      <c r="BI1759" s="192"/>
      <c r="BJ1759" s="89"/>
      <c r="BK1759" s="89"/>
      <c r="BL1759" s="89"/>
      <c r="BM1759" s="89"/>
      <c r="BN1759" s="89"/>
      <c r="BO1759" s="89"/>
      <c r="BP1759" s="89"/>
    </row>
    <row r="1760" spans="1:68" s="56" customFormat="1" ht="40.5" hidden="1">
      <c r="A1760" s="204" t="str">
        <f>+IFERROR(VALUE(MID(AB1760,4,4)),"")</f>
        <v/>
      </c>
      <c r="B1760" s="204">
        <f>VALUE(RIGHT(C1760,LEN(C1760)-2))</f>
        <v>965</v>
      </c>
      <c r="C1760" s="74" t="s">
        <v>6275</v>
      </c>
      <c r="D1760" s="75">
        <v>43418</v>
      </c>
      <c r="E1760" s="70" t="s">
        <v>41</v>
      </c>
      <c r="F1760" s="70" t="s">
        <v>41</v>
      </c>
      <c r="G1760" s="68"/>
      <c r="H1760" s="59"/>
      <c r="I1760" s="162" t="s">
        <v>6276</v>
      </c>
      <c r="J1760" s="162"/>
      <c r="K1760" s="68" t="s">
        <v>13</v>
      </c>
      <c r="L1760" s="69" t="s">
        <v>129</v>
      </c>
      <c r="M1760" s="71" t="s">
        <v>141</v>
      </c>
      <c r="N1760" s="69" t="e" vm="1">
        <v>#VALUE!</v>
      </c>
      <c r="O1760" s="164"/>
      <c r="P1760" s="72" t="s">
        <v>4567</v>
      </c>
      <c r="Q1760" s="72"/>
      <c r="R1760" s="162"/>
      <c r="S1760" s="146" t="s">
        <v>6277</v>
      </c>
      <c r="T1760" s="68" t="s">
        <v>165</v>
      </c>
      <c r="U1760" s="87"/>
      <c r="V1760" s="183">
        <v>43515</v>
      </c>
      <c r="W1760" s="73">
        <v>2962</v>
      </c>
      <c r="X1760" s="73">
        <f>3698.7*27600/1000000</f>
        <v>102.08412</v>
      </c>
      <c r="Y1760" s="83">
        <f>IF(SUM(W1760:W1760)&gt;0,X1760/SUM(W1760:W1760)*1000000,"N/A")</f>
        <v>34464.591492234977</v>
      </c>
      <c r="Z1760" s="183"/>
      <c r="AA1760" s="183"/>
      <c r="AB1760" s="73"/>
      <c r="AC1760" s="153"/>
      <c r="AD1760" s="331"/>
      <c r="AE1760" s="57"/>
      <c r="AF1760" s="88"/>
      <c r="AG1760" s="182">
        <f>YEAR(D1760)</f>
        <v>2018</v>
      </c>
      <c r="AH1760" s="86" t="str">
        <f>+IF(AE1760=$AJ$22,MONTH(T1760),"")</f>
        <v/>
      </c>
      <c r="AI1760" s="86" t="str">
        <f>+IF(AF1760=$AJ$22,MONTH(U1760),"")</f>
        <v/>
      </c>
      <c r="AJ1760" s="86" t="str">
        <f>+IF(AG1760=$AJ$22,MONTH(V1760),"")</f>
        <v/>
      </c>
      <c r="AK1760" s="86" t="str">
        <f>+IF(AG1760=$AK$22,MONTH(V1760),"")</f>
        <v/>
      </c>
      <c r="AL1760" s="86" t="str">
        <f>+IF(AG1760=$AL$22,MONTH(V1760),"")</f>
        <v/>
      </c>
      <c r="AM1760" s="86" t="str">
        <f>+IF($AG1760=$AM$22,MONTH($D1760),"")</f>
        <v/>
      </c>
      <c r="AN1760" s="89" t="str">
        <f>+IF($AG1760=AN$22,MONTH($D1760),"")</f>
        <v/>
      </c>
      <c r="AO1760" s="89" t="str">
        <f>+IF($AG1760=AO$22,MONTH($D1760),"")</f>
        <v/>
      </c>
      <c r="AP1760" s="89">
        <f>+IF($AG1760=AP$22,MONTH($D1760),"")</f>
        <v>11</v>
      </c>
      <c r="AQ1760" s="89" t="str">
        <f>+IF($AG1760=AQ$22,MONTH($D1760),"")</f>
        <v/>
      </c>
      <c r="AR1760" s="89" t="str">
        <f>+IF($AG1760=AR$22,MONTH($D1760),"")</f>
        <v/>
      </c>
      <c r="AS1760" s="89" t="str">
        <f>+IF($AG1760=AS$22,MONTH($D1760),"")</f>
        <v/>
      </c>
      <c r="AT1760" s="89" t="str">
        <f>+IF($AG1760=AT$22,MONTH($D1760),"")</f>
        <v/>
      </c>
      <c r="AU1760" s="89" t="str">
        <f>+IF($AG1760=AU$22,MONTH($D1760),"")</f>
        <v/>
      </c>
      <c r="AV1760" s="89" t="str">
        <f>+IF($AG1760=AV$22,MONTH($D1760),"")</f>
        <v/>
      </c>
      <c r="AW1760" s="86" t="str">
        <f>+IF($AG1760=AW$22,MONTH($D1760),"")</f>
        <v/>
      </c>
      <c r="AX1760" s="86" t="str">
        <f>+IF($AG1760=AX$22,MONTH($D1760),"")</f>
        <v/>
      </c>
      <c r="AY1760" s="182"/>
      <c r="AZ1760" s="2"/>
      <c r="BA1760" s="2"/>
      <c r="BB1760" s="2"/>
      <c r="BC1760" s="2"/>
      <c r="BD1760" s="2"/>
      <c r="BE1760" s="2"/>
      <c r="BF1760" s="2"/>
      <c r="BG1760" s="2"/>
      <c r="BH1760" s="192"/>
      <c r="BI1760" s="192"/>
      <c r="BJ1760" s="89"/>
      <c r="BK1760" s="89"/>
      <c r="BL1760" s="89"/>
      <c r="BM1760" s="89"/>
      <c r="BN1760" s="89"/>
      <c r="BO1760" s="89"/>
      <c r="BP1760" s="89"/>
    </row>
    <row r="1761" spans="1:68" s="56" customFormat="1" ht="13.5" hidden="1">
      <c r="A1761" s="204" t="str">
        <f>+IFERROR(VALUE(MID(AB1761,4,4)),"")</f>
        <v/>
      </c>
      <c r="B1761" s="204">
        <f>VALUE(RIGHT(C1761,LEN(C1761)-2))</f>
        <v>964</v>
      </c>
      <c r="C1761" s="74" t="s">
        <v>6278</v>
      </c>
      <c r="D1761" s="75">
        <v>43416</v>
      </c>
      <c r="E1761" s="70" t="s">
        <v>262</v>
      </c>
      <c r="F1761" s="70" t="s">
        <v>262</v>
      </c>
      <c r="G1761" s="68"/>
      <c r="H1761" s="59"/>
      <c r="I1761" s="162" t="s">
        <v>6279</v>
      </c>
      <c r="J1761" s="162"/>
      <c r="K1761" s="68"/>
      <c r="L1761" s="69" t="s">
        <v>120</v>
      </c>
      <c r="M1761" s="71" t="s">
        <v>141</v>
      </c>
      <c r="N1761" s="69" t="e" vm="1">
        <v>#VALUE!</v>
      </c>
      <c r="O1761" s="164"/>
      <c r="P1761" s="72" t="s">
        <v>274</v>
      </c>
      <c r="Q1761" s="72"/>
      <c r="R1761" s="162"/>
      <c r="S1761" s="146"/>
      <c r="T1761" s="68" t="s">
        <v>165</v>
      </c>
      <c r="U1761" s="87"/>
      <c r="V1761" s="183">
        <v>43423</v>
      </c>
      <c r="W1761" s="73">
        <v>1850</v>
      </c>
      <c r="X1761" s="73">
        <f>3923*27346.52/1000000</f>
        <v>107.28039796</v>
      </c>
      <c r="Y1761" s="83">
        <f>IF(SUM(W1761:W1761)&gt;0,X1761/SUM(W1761:W1761)*1000000,"N/A")</f>
        <v>57989.404302702707</v>
      </c>
      <c r="Z1761" s="183"/>
      <c r="AA1761" s="183"/>
      <c r="AB1761" s="73"/>
      <c r="AC1761" s="153"/>
      <c r="AD1761" s="331"/>
      <c r="AE1761" s="57"/>
      <c r="AF1761" s="88"/>
      <c r="AG1761" s="182">
        <f>YEAR(D1761)</f>
        <v>2018</v>
      </c>
      <c r="AH1761" s="86" t="str">
        <f>+IF(AE1761=$AJ$22,MONTH(T1761),"")</f>
        <v/>
      </c>
      <c r="AI1761" s="86" t="str">
        <f>+IF(AF1761=$AJ$22,MONTH(U1761),"")</f>
        <v/>
      </c>
      <c r="AJ1761" s="86" t="str">
        <f>+IF(AG1761=$AJ$22,MONTH(V1761),"")</f>
        <v/>
      </c>
      <c r="AK1761" s="86" t="str">
        <f>+IF(AG1761=$AK$22,MONTH(V1761),"")</f>
        <v/>
      </c>
      <c r="AL1761" s="86" t="str">
        <f>+IF(AG1761=$AL$22,MONTH(V1761),"")</f>
        <v/>
      </c>
      <c r="AM1761" s="86" t="str">
        <f>+IF($AG1761=$AM$22,MONTH($D1761),"")</f>
        <v/>
      </c>
      <c r="AN1761" s="89" t="str">
        <f>+IF($AG1761=AN$22,MONTH($D1761),"")</f>
        <v/>
      </c>
      <c r="AO1761" s="89" t="str">
        <f>+IF($AG1761=AO$22,MONTH($D1761),"")</f>
        <v/>
      </c>
      <c r="AP1761" s="89">
        <f>+IF($AG1761=AP$22,MONTH($D1761),"")</f>
        <v>11</v>
      </c>
      <c r="AQ1761" s="89" t="str">
        <f>+IF($AG1761=AQ$22,MONTH($D1761),"")</f>
        <v/>
      </c>
      <c r="AR1761" s="89" t="str">
        <f>+IF($AG1761=AR$22,MONTH($D1761),"")</f>
        <v/>
      </c>
      <c r="AS1761" s="89" t="str">
        <f>+IF($AG1761=AS$22,MONTH($D1761),"")</f>
        <v/>
      </c>
      <c r="AT1761" s="89" t="str">
        <f>+IF($AG1761=AT$22,MONTH($D1761),"")</f>
        <v/>
      </c>
      <c r="AU1761" s="89" t="str">
        <f>+IF($AG1761=AU$22,MONTH($D1761),"")</f>
        <v/>
      </c>
      <c r="AV1761" s="89" t="str">
        <f>+IF($AG1761=AV$22,MONTH($D1761),"")</f>
        <v/>
      </c>
      <c r="AW1761" s="86" t="str">
        <f>+IF($AG1761=AW$22,MONTH($D1761),"")</f>
        <v/>
      </c>
      <c r="AX1761" s="86" t="str">
        <f>+IF($AG1761=AX$22,MONTH($D1761),"")</f>
        <v/>
      </c>
      <c r="AY1761" s="182"/>
      <c r="AZ1761" s="2"/>
      <c r="BA1761" s="2"/>
      <c r="BB1761" s="2"/>
      <c r="BC1761" s="2"/>
      <c r="BD1761" s="2"/>
      <c r="BE1761" s="2"/>
      <c r="BF1761" s="2"/>
      <c r="BG1761" s="2"/>
      <c r="BH1761" s="192"/>
      <c r="BI1761" s="192"/>
      <c r="BJ1761" s="89"/>
      <c r="BK1761" s="89"/>
      <c r="BL1761" s="89"/>
      <c r="BM1761" s="89"/>
      <c r="BN1761" s="89"/>
      <c r="BO1761" s="89"/>
      <c r="BP1761" s="89"/>
    </row>
    <row r="1762" spans="1:68" s="56" customFormat="1" ht="27" hidden="1">
      <c r="A1762" s="204" t="str">
        <f>+IFERROR(VALUE(MID(AB1762,4,4)),"")</f>
        <v/>
      </c>
      <c r="B1762" s="204">
        <f>VALUE(RIGHT(C1762,LEN(C1762)-2))</f>
        <v>963</v>
      </c>
      <c r="C1762" s="74" t="s">
        <v>6280</v>
      </c>
      <c r="D1762" s="75">
        <v>43416</v>
      </c>
      <c r="E1762" s="70" t="s">
        <v>41</v>
      </c>
      <c r="F1762" s="70" t="s">
        <v>41</v>
      </c>
      <c r="G1762" s="68"/>
      <c r="H1762" s="59"/>
      <c r="I1762" s="162" t="s">
        <v>6281</v>
      </c>
      <c r="J1762" s="162"/>
      <c r="K1762" s="68" t="s">
        <v>31</v>
      </c>
      <c r="L1762" s="69" t="s">
        <v>120</v>
      </c>
      <c r="M1762" s="71" t="s">
        <v>141</v>
      </c>
      <c r="N1762" s="69" t="e" vm="1">
        <v>#VALUE!</v>
      </c>
      <c r="O1762" s="164"/>
      <c r="P1762" s="72" t="s">
        <v>402</v>
      </c>
      <c r="Q1762" s="72"/>
      <c r="R1762" s="162"/>
      <c r="S1762" s="146" t="s">
        <v>5379</v>
      </c>
      <c r="T1762" s="68" t="s">
        <v>165</v>
      </c>
      <c r="U1762" s="87"/>
      <c r="V1762" s="183">
        <v>43515</v>
      </c>
      <c r="W1762" s="73">
        <v>1540</v>
      </c>
      <c r="X1762" s="73">
        <f>1926*27346.52/1000000</f>
        <v>52.669397520000004</v>
      </c>
      <c r="Y1762" s="83">
        <f>IF(SUM(W1762:W1762)&gt;0,X1762/SUM(W1762:W1762)*1000000,"N/A")</f>
        <v>34200.907480519483</v>
      </c>
      <c r="Z1762" s="183"/>
      <c r="AA1762" s="183"/>
      <c r="AB1762" s="73"/>
      <c r="AC1762" s="153"/>
      <c r="AD1762" s="331"/>
      <c r="AE1762" s="57"/>
      <c r="AF1762" s="88"/>
      <c r="AG1762" s="182">
        <f>YEAR(D1762)</f>
        <v>2018</v>
      </c>
      <c r="AH1762" s="86" t="str">
        <f>+IF(AE1762=$AJ$22,MONTH(T1762),"")</f>
        <v/>
      </c>
      <c r="AI1762" s="86" t="str">
        <f>+IF(AF1762=$AJ$22,MONTH(U1762),"")</f>
        <v/>
      </c>
      <c r="AJ1762" s="86" t="str">
        <f>+IF(AG1762=$AJ$22,MONTH(V1762),"")</f>
        <v/>
      </c>
      <c r="AK1762" s="86" t="str">
        <f>+IF(AG1762=$AK$22,MONTH(V1762),"")</f>
        <v/>
      </c>
      <c r="AL1762" s="86" t="str">
        <f>+IF(AG1762=$AL$22,MONTH(V1762),"")</f>
        <v/>
      </c>
      <c r="AM1762" s="86" t="str">
        <f>+IF($AG1762=$AM$22,MONTH($D1762),"")</f>
        <v/>
      </c>
      <c r="AN1762" s="89" t="str">
        <f>+IF($AG1762=AN$22,MONTH($D1762),"")</f>
        <v/>
      </c>
      <c r="AO1762" s="89" t="str">
        <f>+IF($AG1762=AO$22,MONTH($D1762),"")</f>
        <v/>
      </c>
      <c r="AP1762" s="89">
        <f>+IF($AG1762=AP$22,MONTH($D1762),"")</f>
        <v>11</v>
      </c>
      <c r="AQ1762" s="89" t="str">
        <f>+IF($AG1762=AQ$22,MONTH($D1762),"")</f>
        <v/>
      </c>
      <c r="AR1762" s="89" t="str">
        <f>+IF($AG1762=AR$22,MONTH($D1762),"")</f>
        <v/>
      </c>
      <c r="AS1762" s="89" t="str">
        <f>+IF($AG1762=AS$22,MONTH($D1762),"")</f>
        <v/>
      </c>
      <c r="AT1762" s="89" t="str">
        <f>+IF($AG1762=AT$22,MONTH($D1762),"")</f>
        <v/>
      </c>
      <c r="AU1762" s="89" t="str">
        <f>+IF($AG1762=AU$22,MONTH($D1762),"")</f>
        <v/>
      </c>
      <c r="AV1762" s="89" t="str">
        <f>+IF($AG1762=AV$22,MONTH($D1762),"")</f>
        <v/>
      </c>
      <c r="AW1762" s="86" t="str">
        <f>+IF($AG1762=AW$22,MONTH($D1762),"")</f>
        <v/>
      </c>
      <c r="AX1762" s="86" t="str">
        <f>+IF($AG1762=AX$22,MONTH($D1762),"")</f>
        <v/>
      </c>
      <c r="AY1762" s="182"/>
      <c r="AZ1762" s="2"/>
      <c r="BA1762" s="2"/>
      <c r="BB1762" s="2"/>
      <c r="BC1762" s="2"/>
      <c r="BD1762" s="2"/>
      <c r="BE1762" s="2"/>
      <c r="BF1762" s="2"/>
      <c r="BG1762" s="2"/>
      <c r="BH1762" s="192"/>
      <c r="BI1762" s="192"/>
      <c r="BJ1762" s="89"/>
      <c r="BK1762" s="89"/>
      <c r="BL1762" s="89"/>
      <c r="BM1762" s="89"/>
      <c r="BN1762" s="89"/>
      <c r="BO1762" s="89"/>
      <c r="BP1762" s="89"/>
    </row>
    <row r="1763" spans="1:68" s="56" customFormat="1" ht="13.5" hidden="1">
      <c r="A1763" s="204" t="str">
        <f>+IFERROR(VALUE(MID(AB1763,4,4)),"")</f>
        <v/>
      </c>
      <c r="B1763" s="204">
        <f>VALUE(RIGHT(C1763,LEN(C1763)-2))</f>
        <v>962</v>
      </c>
      <c r="C1763" s="74" t="s">
        <v>6282</v>
      </c>
      <c r="D1763" s="75">
        <v>43416</v>
      </c>
      <c r="E1763" s="70" t="s">
        <v>4664</v>
      </c>
      <c r="F1763" s="70" t="s">
        <v>4664</v>
      </c>
      <c r="G1763" s="68"/>
      <c r="H1763" s="59"/>
      <c r="I1763" s="162" t="s">
        <v>6283</v>
      </c>
      <c r="J1763" s="162"/>
      <c r="K1763" s="68" t="s">
        <v>102</v>
      </c>
      <c r="L1763" s="69" t="s">
        <v>120</v>
      </c>
      <c r="M1763" s="71" t="s">
        <v>113</v>
      </c>
      <c r="N1763" s="69" t="e" vm="2">
        <v>#VALUE!</v>
      </c>
      <c r="O1763" s="164"/>
      <c r="P1763" s="72" t="s">
        <v>402</v>
      </c>
      <c r="Q1763" s="72"/>
      <c r="R1763" s="162"/>
      <c r="S1763" s="146"/>
      <c r="T1763" s="68" t="s">
        <v>165</v>
      </c>
      <c r="U1763" s="87"/>
      <c r="V1763" s="183">
        <v>43417</v>
      </c>
      <c r="W1763" s="73">
        <v>145</v>
      </c>
      <c r="X1763" s="73">
        <f>20900*174.13/1000000</f>
        <v>3.6393170000000001</v>
      </c>
      <c r="Y1763" s="83">
        <f>IF(SUM(W1763:W1763)&gt;0,X1763/SUM(W1763:W1763)*1000000,"N/A")</f>
        <v>25098.737931034484</v>
      </c>
      <c r="Z1763" s="183"/>
      <c r="AA1763" s="183"/>
      <c r="AB1763" s="73"/>
      <c r="AC1763" s="153"/>
      <c r="AD1763" s="331"/>
      <c r="AE1763" s="57"/>
      <c r="AF1763" s="88"/>
      <c r="AG1763" s="182">
        <f>YEAR(D1763)</f>
        <v>2018</v>
      </c>
      <c r="AH1763" s="86" t="str">
        <f>+IF(AE1763=$AJ$22,MONTH(T1763),"")</f>
        <v/>
      </c>
      <c r="AI1763" s="86" t="str">
        <f>+IF(AF1763=$AJ$22,MONTH(U1763),"")</f>
        <v/>
      </c>
      <c r="AJ1763" s="86" t="str">
        <f>+IF(AG1763=$AJ$22,MONTH(V1763),"")</f>
        <v/>
      </c>
      <c r="AK1763" s="86" t="str">
        <f>+IF(AG1763=$AK$22,MONTH(V1763),"")</f>
        <v/>
      </c>
      <c r="AL1763" s="86" t="str">
        <f>+IF(AG1763=$AL$22,MONTH(V1763),"")</f>
        <v/>
      </c>
      <c r="AM1763" s="86" t="str">
        <f>+IF($AG1763=$AM$22,MONTH($D1763),"")</f>
        <v/>
      </c>
      <c r="AN1763" s="89" t="str">
        <f>+IF($AG1763=AN$22,MONTH($D1763),"")</f>
        <v/>
      </c>
      <c r="AO1763" s="89" t="str">
        <f>+IF($AG1763=AO$22,MONTH($D1763),"")</f>
        <v/>
      </c>
      <c r="AP1763" s="89">
        <f>+IF($AG1763=AP$22,MONTH($D1763),"")</f>
        <v>11</v>
      </c>
      <c r="AQ1763" s="89" t="str">
        <f>+IF($AG1763=AQ$22,MONTH($D1763),"")</f>
        <v/>
      </c>
      <c r="AR1763" s="89" t="str">
        <f>+IF($AG1763=AR$22,MONTH($D1763),"")</f>
        <v/>
      </c>
      <c r="AS1763" s="89" t="str">
        <f>+IF($AG1763=AS$22,MONTH($D1763),"")</f>
        <v/>
      </c>
      <c r="AT1763" s="89" t="str">
        <f>+IF($AG1763=AT$22,MONTH($D1763),"")</f>
        <v/>
      </c>
      <c r="AU1763" s="89" t="str">
        <f>+IF($AG1763=AU$22,MONTH($D1763),"")</f>
        <v/>
      </c>
      <c r="AV1763" s="89" t="str">
        <f>+IF($AG1763=AV$22,MONTH($D1763),"")</f>
        <v/>
      </c>
      <c r="AW1763" s="86" t="str">
        <f>+IF($AG1763=AW$22,MONTH($D1763),"")</f>
        <v/>
      </c>
      <c r="AX1763" s="86" t="str">
        <f>+IF($AG1763=AX$22,MONTH($D1763),"")</f>
        <v/>
      </c>
      <c r="AY1763" s="182"/>
      <c r="AZ1763" s="2"/>
      <c r="BA1763" s="2"/>
      <c r="BB1763" s="2"/>
      <c r="BC1763" s="2"/>
      <c r="BD1763" s="2"/>
      <c r="BE1763" s="2"/>
      <c r="BF1763" s="2"/>
      <c r="BG1763" s="2"/>
      <c r="BH1763" s="192"/>
      <c r="BI1763" s="192"/>
      <c r="BJ1763" s="89"/>
      <c r="BK1763" s="89"/>
      <c r="BL1763" s="89"/>
      <c r="BM1763" s="89"/>
      <c r="BN1763" s="89"/>
      <c r="BO1763" s="89"/>
      <c r="BP1763" s="89"/>
    </row>
    <row r="1764" spans="1:68" s="56" customFormat="1" ht="13.5" hidden="1">
      <c r="A1764" s="204">
        <f>+IFERROR(VALUE(MID(AB1764,4,4)),"")</f>
        <v>197</v>
      </c>
      <c r="B1764" s="204">
        <f>VALUE(RIGHT(C1764,LEN(C1764)-2))</f>
        <v>961</v>
      </c>
      <c r="C1764" s="74" t="s">
        <v>6284</v>
      </c>
      <c r="D1764" s="75">
        <v>43416</v>
      </c>
      <c r="E1764" s="70" t="s">
        <v>4664</v>
      </c>
      <c r="F1764" s="70" t="s">
        <v>4664</v>
      </c>
      <c r="G1764" s="68"/>
      <c r="H1764" s="59"/>
      <c r="I1764" s="162" t="s">
        <v>6285</v>
      </c>
      <c r="J1764" s="162"/>
      <c r="K1764" s="68" t="s">
        <v>30</v>
      </c>
      <c r="L1764" s="69" t="s">
        <v>120</v>
      </c>
      <c r="M1764" s="71" t="s">
        <v>113</v>
      </c>
      <c r="N1764" s="69" t="e" vm="2">
        <v>#VALUE!</v>
      </c>
      <c r="O1764" s="164"/>
      <c r="P1764" s="72" t="s">
        <v>402</v>
      </c>
      <c r="Q1764" s="72" t="s">
        <v>229</v>
      </c>
      <c r="R1764" s="162"/>
      <c r="S1764" s="146"/>
      <c r="T1764" s="68" t="s">
        <v>3</v>
      </c>
      <c r="U1764" s="87"/>
      <c r="V1764" s="183">
        <v>43416</v>
      </c>
      <c r="W1764" s="73">
        <v>110</v>
      </c>
      <c r="X1764" s="73">
        <f>15500*174.13/1000000</f>
        <v>2.6990150000000002</v>
      </c>
      <c r="Y1764" s="83">
        <f>IF(SUM(W1764:W1764)&gt;0,X1764/SUM(W1764:W1764)*1000000,"N/A")</f>
        <v>24536.500000000004</v>
      </c>
      <c r="Z1764" s="183"/>
      <c r="AA1764" s="183"/>
      <c r="AB1764" s="73" t="s">
        <v>5876</v>
      </c>
      <c r="AC1764" s="153"/>
      <c r="AD1764" s="331"/>
      <c r="AE1764" s="57"/>
      <c r="AF1764" s="88"/>
      <c r="AG1764" s="182">
        <f>YEAR(D1764)</f>
        <v>2018</v>
      </c>
      <c r="AH1764" s="86" t="str">
        <f>+IF(AE1764=$AJ$22,MONTH(T1764),"")</f>
        <v/>
      </c>
      <c r="AI1764" s="86" t="str">
        <f>+IF(AF1764=$AJ$22,MONTH(U1764),"")</f>
        <v/>
      </c>
      <c r="AJ1764" s="86" t="str">
        <f>+IF(AG1764=$AJ$22,MONTH(V1764),"")</f>
        <v/>
      </c>
      <c r="AK1764" s="86" t="str">
        <f>+IF(AG1764=$AK$22,MONTH(V1764),"")</f>
        <v/>
      </c>
      <c r="AL1764" s="86" t="str">
        <f>+IF(AG1764=$AL$22,MONTH(V1764),"")</f>
        <v/>
      </c>
      <c r="AM1764" s="86" t="str">
        <f>+IF($AG1764=$AM$22,MONTH($D1764),"")</f>
        <v/>
      </c>
      <c r="AN1764" s="89" t="str">
        <f>+IF($AG1764=AN$22,MONTH($D1764),"")</f>
        <v/>
      </c>
      <c r="AO1764" s="89" t="str">
        <f>+IF($AG1764=AO$22,MONTH($D1764),"")</f>
        <v/>
      </c>
      <c r="AP1764" s="89">
        <f>+IF($AG1764=AP$22,MONTH($D1764),"")</f>
        <v>11</v>
      </c>
      <c r="AQ1764" s="89" t="str">
        <f>+IF($AG1764=AQ$22,MONTH($D1764),"")</f>
        <v/>
      </c>
      <c r="AR1764" s="89" t="str">
        <f>+IF($AG1764=AR$22,MONTH($D1764),"")</f>
        <v/>
      </c>
      <c r="AS1764" s="89" t="str">
        <f>+IF($AG1764=AS$22,MONTH($D1764),"")</f>
        <v/>
      </c>
      <c r="AT1764" s="89" t="str">
        <f>+IF($AG1764=AT$22,MONTH($D1764),"")</f>
        <v/>
      </c>
      <c r="AU1764" s="89" t="str">
        <f>+IF($AG1764=AU$22,MONTH($D1764),"")</f>
        <v/>
      </c>
      <c r="AV1764" s="89" t="str">
        <f>+IF($AG1764=AV$22,MONTH($D1764),"")</f>
        <v/>
      </c>
      <c r="AW1764" s="86" t="str">
        <f>+IF($AG1764=AW$22,MONTH($D1764),"")</f>
        <v/>
      </c>
      <c r="AX1764" s="86" t="str">
        <f>+IF($AG1764=AX$22,MONTH($D1764),"")</f>
        <v/>
      </c>
      <c r="AY1764" s="182"/>
      <c r="AZ1764" s="2"/>
      <c r="BA1764" s="2"/>
      <c r="BB1764" s="2"/>
      <c r="BC1764" s="2"/>
      <c r="BD1764" s="2"/>
      <c r="BE1764" s="2"/>
      <c r="BF1764" s="2"/>
      <c r="BG1764" s="2"/>
      <c r="BH1764" s="192"/>
      <c r="BI1764" s="192"/>
      <c r="BJ1764" s="89"/>
      <c r="BK1764" s="89"/>
      <c r="BL1764" s="89"/>
      <c r="BM1764" s="89"/>
      <c r="BN1764" s="89"/>
      <c r="BO1764" s="89"/>
      <c r="BP1764" s="89"/>
    </row>
    <row r="1765" spans="1:68" s="56" customFormat="1" ht="13.5" hidden="1">
      <c r="A1765" s="204" t="str">
        <f>+IFERROR(VALUE(MID(AB1765,4,4)),"")</f>
        <v/>
      </c>
      <c r="B1765" s="204">
        <f>VALUE(RIGHT(C1765,LEN(C1765)-2))</f>
        <v>960</v>
      </c>
      <c r="C1765" s="74" t="s">
        <v>6286</v>
      </c>
      <c r="D1765" s="75">
        <v>43416</v>
      </c>
      <c r="E1765" s="70" t="s">
        <v>4664</v>
      </c>
      <c r="F1765" s="70" t="s">
        <v>4664</v>
      </c>
      <c r="G1765" s="68"/>
      <c r="H1765" s="59"/>
      <c r="I1765" s="162" t="s">
        <v>6287</v>
      </c>
      <c r="J1765" s="162"/>
      <c r="K1765" s="68" t="s">
        <v>30</v>
      </c>
      <c r="L1765" s="69" t="s">
        <v>120</v>
      </c>
      <c r="M1765" s="71" t="s">
        <v>113</v>
      </c>
      <c r="N1765" s="69" t="e" vm="2">
        <v>#VALUE!</v>
      </c>
      <c r="O1765" s="164"/>
      <c r="P1765" s="72" t="s">
        <v>402</v>
      </c>
      <c r="Q1765" s="72"/>
      <c r="R1765" s="162"/>
      <c r="S1765" s="146"/>
      <c r="T1765" s="68" t="s">
        <v>165</v>
      </c>
      <c r="U1765" s="87"/>
      <c r="V1765" s="183">
        <v>43416</v>
      </c>
      <c r="W1765" s="73">
        <v>116</v>
      </c>
      <c r="X1765" s="73">
        <f>15850*174.13/1000000</f>
        <v>2.7599605</v>
      </c>
      <c r="Y1765" s="83">
        <f>IF(SUM(W1765:W1765)&gt;0,X1765/SUM(W1765:W1765)*1000000,"N/A")</f>
        <v>23792.762931034486</v>
      </c>
      <c r="Z1765" s="183"/>
      <c r="AA1765" s="183"/>
      <c r="AB1765" s="73"/>
      <c r="AC1765" s="153"/>
      <c r="AD1765" s="331"/>
      <c r="AE1765" s="57"/>
      <c r="AF1765" s="88"/>
      <c r="AG1765" s="182">
        <f>YEAR(D1765)</f>
        <v>2018</v>
      </c>
      <c r="AH1765" s="86" t="str">
        <f>+IF(AE1765=$AJ$22,MONTH(T1765),"")</f>
        <v/>
      </c>
      <c r="AI1765" s="86" t="str">
        <f>+IF(AF1765=$AJ$22,MONTH(U1765),"")</f>
        <v/>
      </c>
      <c r="AJ1765" s="86" t="str">
        <f>+IF(AG1765=$AJ$22,MONTH(V1765),"")</f>
        <v/>
      </c>
      <c r="AK1765" s="86" t="str">
        <f>+IF(AG1765=$AK$22,MONTH(V1765),"")</f>
        <v/>
      </c>
      <c r="AL1765" s="86" t="str">
        <f>+IF(AG1765=$AL$22,MONTH(V1765),"")</f>
        <v/>
      </c>
      <c r="AM1765" s="86" t="str">
        <f>+IF($AG1765=$AM$22,MONTH($D1765),"")</f>
        <v/>
      </c>
      <c r="AN1765" s="89" t="str">
        <f>+IF($AG1765=AN$22,MONTH($D1765),"")</f>
        <v/>
      </c>
      <c r="AO1765" s="89" t="str">
        <f>+IF($AG1765=AO$22,MONTH($D1765),"")</f>
        <v/>
      </c>
      <c r="AP1765" s="89">
        <f>+IF($AG1765=AP$22,MONTH($D1765),"")</f>
        <v>11</v>
      </c>
      <c r="AQ1765" s="89" t="str">
        <f>+IF($AG1765=AQ$22,MONTH($D1765),"")</f>
        <v/>
      </c>
      <c r="AR1765" s="89" t="str">
        <f>+IF($AG1765=AR$22,MONTH($D1765),"")</f>
        <v/>
      </c>
      <c r="AS1765" s="89" t="str">
        <f>+IF($AG1765=AS$22,MONTH($D1765),"")</f>
        <v/>
      </c>
      <c r="AT1765" s="89" t="str">
        <f>+IF($AG1765=AT$22,MONTH($D1765),"")</f>
        <v/>
      </c>
      <c r="AU1765" s="89" t="str">
        <f>+IF($AG1765=AU$22,MONTH($D1765),"")</f>
        <v/>
      </c>
      <c r="AV1765" s="89" t="str">
        <f>+IF($AG1765=AV$22,MONTH($D1765),"")</f>
        <v/>
      </c>
      <c r="AW1765" s="86" t="str">
        <f>+IF($AG1765=AW$22,MONTH($D1765),"")</f>
        <v/>
      </c>
      <c r="AX1765" s="86" t="str">
        <f>+IF($AG1765=AX$22,MONTH($D1765),"")</f>
        <v/>
      </c>
      <c r="AY1765" s="182"/>
      <c r="AZ1765" s="2"/>
      <c r="BA1765" s="2"/>
      <c r="BB1765" s="2"/>
      <c r="BC1765" s="2"/>
      <c r="BD1765" s="2"/>
      <c r="BE1765" s="2"/>
      <c r="BF1765" s="2"/>
      <c r="BG1765" s="2"/>
      <c r="BH1765" s="192"/>
      <c r="BI1765" s="192"/>
      <c r="BJ1765" s="89"/>
      <c r="BK1765" s="89"/>
      <c r="BL1765" s="89"/>
      <c r="BM1765" s="89"/>
      <c r="BN1765" s="89"/>
      <c r="BO1765" s="89"/>
      <c r="BP1765" s="89"/>
    </row>
    <row r="1766" spans="1:68" s="56" customFormat="1" ht="40.5" hidden="1">
      <c r="A1766" s="204" t="str">
        <f>+IFERROR(VALUE(MID(AB1766,4,4)),"")</f>
        <v/>
      </c>
      <c r="B1766" s="204">
        <f>VALUE(RIGHT(C1766,LEN(C1766)-2))</f>
        <v>959</v>
      </c>
      <c r="C1766" s="74" t="s">
        <v>6288</v>
      </c>
      <c r="D1766" s="75">
        <v>43412</v>
      </c>
      <c r="E1766" s="70" t="s">
        <v>4114</v>
      </c>
      <c r="F1766" s="70" t="s">
        <v>4114</v>
      </c>
      <c r="G1766" s="68"/>
      <c r="H1766" s="59"/>
      <c r="I1766" s="162" t="s">
        <v>6289</v>
      </c>
      <c r="J1766" s="162"/>
      <c r="K1766" s="68" t="s">
        <v>3389</v>
      </c>
      <c r="L1766" s="69" t="s">
        <v>120</v>
      </c>
      <c r="M1766" s="71" t="s">
        <v>141</v>
      </c>
      <c r="N1766" s="69" t="e" vm="1">
        <v>#VALUE!</v>
      </c>
      <c r="O1766" s="164"/>
      <c r="P1766" s="72" t="s">
        <v>402</v>
      </c>
      <c r="Q1766" s="72"/>
      <c r="R1766" s="162"/>
      <c r="S1766" s="146" t="s">
        <v>6290</v>
      </c>
      <c r="T1766" s="68" t="s">
        <v>155</v>
      </c>
      <c r="U1766" s="87"/>
      <c r="V1766" s="183">
        <v>43413</v>
      </c>
      <c r="W1766" s="73">
        <v>14081</v>
      </c>
      <c r="X1766" s="73">
        <f>23161*27346.52/1000000</f>
        <v>633.37274972</v>
      </c>
      <c r="Y1766" s="83">
        <f>IF(SUM(W1766:W1766)&gt;0,X1766/SUM(W1766:W1766)*1000000,"N/A")</f>
        <v>44980.665415808537</v>
      </c>
      <c r="Z1766" s="183"/>
      <c r="AA1766" s="183"/>
      <c r="AB1766" s="73"/>
      <c r="AC1766" s="153"/>
      <c r="AD1766" s="331"/>
      <c r="AE1766" s="57"/>
      <c r="AF1766" s="88"/>
      <c r="AG1766" s="182">
        <f>YEAR(D1766)</f>
        <v>2018</v>
      </c>
      <c r="AH1766" s="86" t="str">
        <f>+IF(AE1766=$AJ$22,MONTH(T1766),"")</f>
        <v/>
      </c>
      <c r="AI1766" s="86" t="str">
        <f>+IF(AF1766=$AJ$22,MONTH(U1766),"")</f>
        <v/>
      </c>
      <c r="AJ1766" s="86" t="str">
        <f>+IF(AG1766=$AJ$22,MONTH(V1766),"")</f>
        <v/>
      </c>
      <c r="AK1766" s="86" t="str">
        <f>+IF(AG1766=$AK$22,MONTH(V1766),"")</f>
        <v/>
      </c>
      <c r="AL1766" s="86" t="str">
        <f>+IF(AG1766=$AL$22,MONTH(V1766),"")</f>
        <v/>
      </c>
      <c r="AM1766" s="86" t="str">
        <f>+IF($AG1766=$AM$22,MONTH($D1766),"")</f>
        <v/>
      </c>
      <c r="AN1766" s="89" t="str">
        <f>+IF($AG1766=AN$22,MONTH($D1766),"")</f>
        <v/>
      </c>
      <c r="AO1766" s="89" t="str">
        <f>+IF($AG1766=AO$22,MONTH($D1766),"")</f>
        <v/>
      </c>
      <c r="AP1766" s="89">
        <f>+IF($AG1766=AP$22,MONTH($D1766),"")</f>
        <v>11</v>
      </c>
      <c r="AQ1766" s="89" t="str">
        <f>+IF($AG1766=AQ$22,MONTH($D1766),"")</f>
        <v/>
      </c>
      <c r="AR1766" s="89" t="str">
        <f>+IF($AG1766=AR$22,MONTH($D1766),"")</f>
        <v/>
      </c>
      <c r="AS1766" s="89" t="str">
        <f>+IF($AG1766=AS$22,MONTH($D1766),"")</f>
        <v/>
      </c>
      <c r="AT1766" s="89" t="str">
        <f>+IF($AG1766=AT$22,MONTH($D1766),"")</f>
        <v/>
      </c>
      <c r="AU1766" s="89" t="str">
        <f>+IF($AG1766=AU$22,MONTH($D1766),"")</f>
        <v/>
      </c>
      <c r="AV1766" s="89" t="str">
        <f>+IF($AG1766=AV$22,MONTH($D1766),"")</f>
        <v/>
      </c>
      <c r="AW1766" s="86" t="str">
        <f>+IF($AG1766=AW$22,MONTH($D1766),"")</f>
        <v/>
      </c>
      <c r="AX1766" s="86" t="str">
        <f>+IF($AG1766=AX$22,MONTH($D1766),"")</f>
        <v/>
      </c>
      <c r="AY1766" s="182"/>
      <c r="AZ1766" s="2"/>
      <c r="BA1766" s="2"/>
      <c r="BB1766" s="2"/>
      <c r="BC1766" s="2"/>
      <c r="BD1766" s="2"/>
      <c r="BE1766" s="2"/>
      <c r="BF1766" s="2"/>
      <c r="BG1766" s="2"/>
      <c r="BH1766" s="192"/>
      <c r="BI1766" s="192"/>
      <c r="BJ1766" s="89"/>
      <c r="BK1766" s="89"/>
      <c r="BL1766" s="89"/>
      <c r="BM1766" s="89"/>
      <c r="BN1766" s="89"/>
      <c r="BO1766" s="89"/>
      <c r="BP1766" s="89"/>
    </row>
    <row r="1767" spans="1:68" s="56" customFormat="1" ht="27" hidden="1">
      <c r="A1767" s="204">
        <f>+IFERROR(VALUE(MID(AB1767,4,4)),"")</f>
        <v>158</v>
      </c>
      <c r="B1767" s="204">
        <f>VALUE(RIGHT(C1767,LEN(C1767)-2))</f>
        <v>958</v>
      </c>
      <c r="C1767" s="74" t="s">
        <v>6291</v>
      </c>
      <c r="D1767" s="75">
        <v>43411</v>
      </c>
      <c r="E1767" s="70" t="s">
        <v>41</v>
      </c>
      <c r="F1767" s="70" t="s">
        <v>41</v>
      </c>
      <c r="G1767" s="68"/>
      <c r="H1767" s="59"/>
      <c r="I1767" s="162" t="s">
        <v>6292</v>
      </c>
      <c r="J1767" s="162"/>
      <c r="K1767" s="68" t="s">
        <v>31</v>
      </c>
      <c r="L1767" s="69" t="s">
        <v>120</v>
      </c>
      <c r="M1767" s="71" t="s">
        <v>141</v>
      </c>
      <c r="N1767" s="69" t="e" vm="1">
        <v>#VALUE!</v>
      </c>
      <c r="O1767" s="164"/>
      <c r="P1767" s="72" t="s">
        <v>402</v>
      </c>
      <c r="Q1767" s="72" t="s">
        <v>316</v>
      </c>
      <c r="R1767" s="162"/>
      <c r="S1767" s="146"/>
      <c r="T1767" s="68" t="s">
        <v>3</v>
      </c>
      <c r="U1767" s="87"/>
      <c r="V1767" s="183">
        <v>43425</v>
      </c>
      <c r="W1767" s="73">
        <v>120</v>
      </c>
      <c r="X1767" s="73">
        <f>148*27346.52/1000000</f>
        <v>4.0472849599999998</v>
      </c>
      <c r="Y1767" s="83">
        <f>IF(SUM(W1767:W1767)&gt;0,X1767/SUM(W1767:W1767)*1000000,"N/A")</f>
        <v>33727.374666666663</v>
      </c>
      <c r="Z1767" s="183"/>
      <c r="AA1767" s="183"/>
      <c r="AB1767" s="73" t="s">
        <v>6293</v>
      </c>
      <c r="AC1767" s="153"/>
      <c r="AD1767" s="331"/>
      <c r="AE1767" s="57"/>
      <c r="AF1767" s="88"/>
      <c r="AG1767" s="182">
        <f>YEAR(D1767)</f>
        <v>2018</v>
      </c>
      <c r="AH1767" s="86" t="str">
        <f>+IF(AE1767=$AJ$22,MONTH(T1767),"")</f>
        <v/>
      </c>
      <c r="AI1767" s="86" t="str">
        <f>+IF(AF1767=$AJ$22,MONTH(U1767),"")</f>
        <v/>
      </c>
      <c r="AJ1767" s="86" t="str">
        <f>+IF(AG1767=$AJ$22,MONTH(V1767),"")</f>
        <v/>
      </c>
      <c r="AK1767" s="86" t="str">
        <f>+IF(AG1767=$AK$22,MONTH(V1767),"")</f>
        <v/>
      </c>
      <c r="AL1767" s="86" t="str">
        <f>+IF(AG1767=$AL$22,MONTH(V1767),"")</f>
        <v/>
      </c>
      <c r="AM1767" s="86" t="str">
        <f>+IF($AG1767=$AM$22,MONTH($D1767),"")</f>
        <v/>
      </c>
      <c r="AN1767" s="89" t="str">
        <f>+IF($AG1767=AN$22,MONTH($D1767),"")</f>
        <v/>
      </c>
      <c r="AO1767" s="89" t="str">
        <f>+IF($AG1767=AO$22,MONTH($D1767),"")</f>
        <v/>
      </c>
      <c r="AP1767" s="89">
        <f>+IF($AG1767=AP$22,MONTH($D1767),"")</f>
        <v>11</v>
      </c>
      <c r="AQ1767" s="89" t="str">
        <f>+IF($AG1767=AQ$22,MONTH($D1767),"")</f>
        <v/>
      </c>
      <c r="AR1767" s="89" t="str">
        <f>+IF($AG1767=AR$22,MONTH($D1767),"")</f>
        <v/>
      </c>
      <c r="AS1767" s="89" t="str">
        <f>+IF($AG1767=AS$22,MONTH($D1767),"")</f>
        <v/>
      </c>
      <c r="AT1767" s="89" t="str">
        <f>+IF($AG1767=AT$22,MONTH($D1767),"")</f>
        <v/>
      </c>
      <c r="AU1767" s="89" t="str">
        <f>+IF($AG1767=AU$22,MONTH($D1767),"")</f>
        <v/>
      </c>
      <c r="AV1767" s="89" t="str">
        <f>+IF($AG1767=AV$22,MONTH($D1767),"")</f>
        <v/>
      </c>
      <c r="AW1767" s="86" t="str">
        <f>+IF($AG1767=AW$22,MONTH($D1767),"")</f>
        <v/>
      </c>
      <c r="AX1767" s="86" t="str">
        <f>+IF($AG1767=AX$22,MONTH($D1767),"")</f>
        <v/>
      </c>
      <c r="AY1767" s="182"/>
      <c r="AZ1767" s="2"/>
      <c r="BA1767" s="2"/>
      <c r="BB1767" s="2"/>
      <c r="BC1767" s="2"/>
      <c r="BD1767" s="2"/>
      <c r="BE1767" s="2"/>
      <c r="BF1767" s="2"/>
      <c r="BG1767" s="2"/>
      <c r="BH1767" s="192"/>
      <c r="BI1767" s="192"/>
      <c r="BJ1767" s="89"/>
      <c r="BK1767" s="89"/>
      <c r="BL1767" s="89"/>
      <c r="BM1767" s="89"/>
      <c r="BN1767" s="89"/>
      <c r="BO1767" s="89"/>
      <c r="BP1767" s="89"/>
    </row>
    <row r="1768" spans="1:68" s="56" customFormat="1" ht="53.25" hidden="1">
      <c r="A1768" s="204" t="str">
        <f>+IFERROR(VALUE(MID(AB1768,4,4)),"")</f>
        <v/>
      </c>
      <c r="B1768" s="204">
        <f>VALUE(RIGHT(C1768,LEN(C1768)-2))</f>
        <v>957</v>
      </c>
      <c r="C1768" s="74" t="s">
        <v>6294</v>
      </c>
      <c r="D1768" s="75">
        <v>43409</v>
      </c>
      <c r="E1768" s="70" t="s">
        <v>685</v>
      </c>
      <c r="F1768" s="70" t="s">
        <v>685</v>
      </c>
      <c r="G1768" s="68"/>
      <c r="H1768" s="59"/>
      <c r="I1768" s="162" t="s">
        <v>6295</v>
      </c>
      <c r="J1768" s="162"/>
      <c r="K1768" s="68" t="s">
        <v>13</v>
      </c>
      <c r="L1768" s="69" t="s">
        <v>120</v>
      </c>
      <c r="M1768" s="71" t="s">
        <v>141</v>
      </c>
      <c r="N1768" s="69" t="e" vm="1">
        <v>#VALUE!</v>
      </c>
      <c r="O1768" s="164"/>
      <c r="P1768" s="72" t="s">
        <v>402</v>
      </c>
      <c r="Q1768" s="72"/>
      <c r="R1768" s="162"/>
      <c r="S1768" s="146" t="s">
        <v>6296</v>
      </c>
      <c r="T1768" s="68" t="s">
        <v>165</v>
      </c>
      <c r="U1768" s="87"/>
      <c r="V1768" s="183">
        <v>43515</v>
      </c>
      <c r="W1768" s="73">
        <v>3582</v>
      </c>
      <c r="X1768" s="73">
        <f>7648*27500/1000000</f>
        <v>210.32</v>
      </c>
      <c r="Y1768" s="83">
        <f>IF(SUM(W1768:W1768)&gt;0,X1768/SUM(W1768:W1768)*1000000,"N/A")</f>
        <v>58715.801228364042</v>
      </c>
      <c r="Z1768" s="183"/>
      <c r="AA1768" s="183"/>
      <c r="AB1768" s="73"/>
      <c r="AC1768" s="153"/>
      <c r="AD1768" s="331"/>
      <c r="AE1768" s="57"/>
      <c r="AF1768" s="88"/>
      <c r="AG1768" s="182">
        <f>YEAR(D1768)</f>
        <v>2018</v>
      </c>
      <c r="AH1768" s="86" t="str">
        <f>+IF(AE1768=$AJ$22,MONTH(T1768),"")</f>
        <v/>
      </c>
      <c r="AI1768" s="86" t="str">
        <f>+IF(AF1768=$AJ$22,MONTH(U1768),"")</f>
        <v/>
      </c>
      <c r="AJ1768" s="86" t="str">
        <f>+IF(AG1768=$AJ$22,MONTH(V1768),"")</f>
        <v/>
      </c>
      <c r="AK1768" s="86" t="str">
        <f>+IF(AG1768=$AK$22,MONTH(V1768),"")</f>
        <v/>
      </c>
      <c r="AL1768" s="86" t="str">
        <f>+IF(AG1768=$AL$22,MONTH(V1768),"")</f>
        <v/>
      </c>
      <c r="AM1768" s="86" t="str">
        <f>+IF($AG1768=$AM$22,MONTH($D1768),"")</f>
        <v/>
      </c>
      <c r="AN1768" s="89" t="str">
        <f>+IF($AG1768=AN$22,MONTH($D1768),"")</f>
        <v/>
      </c>
      <c r="AO1768" s="89" t="str">
        <f>+IF($AG1768=AO$22,MONTH($D1768),"")</f>
        <v/>
      </c>
      <c r="AP1768" s="89">
        <f>+IF($AG1768=AP$22,MONTH($D1768),"")</f>
        <v>11</v>
      </c>
      <c r="AQ1768" s="89" t="str">
        <f>+IF($AG1768=AQ$22,MONTH($D1768),"")</f>
        <v/>
      </c>
      <c r="AR1768" s="89" t="str">
        <f>+IF($AG1768=AR$22,MONTH($D1768),"")</f>
        <v/>
      </c>
      <c r="AS1768" s="89" t="str">
        <f>+IF($AG1768=AS$22,MONTH($D1768),"")</f>
        <v/>
      </c>
      <c r="AT1768" s="89" t="str">
        <f>+IF($AG1768=AT$22,MONTH($D1768),"")</f>
        <v/>
      </c>
      <c r="AU1768" s="89" t="str">
        <f>+IF($AG1768=AU$22,MONTH($D1768),"")</f>
        <v/>
      </c>
      <c r="AV1768" s="89" t="str">
        <f>+IF($AG1768=AV$22,MONTH($D1768),"")</f>
        <v/>
      </c>
      <c r="AW1768" s="86" t="str">
        <f>+IF($AG1768=AW$22,MONTH($D1768),"")</f>
        <v/>
      </c>
      <c r="AX1768" s="86" t="str">
        <f>+IF($AG1768=AX$22,MONTH($D1768),"")</f>
        <v/>
      </c>
      <c r="AY1768" s="182"/>
      <c r="AZ1768" s="2"/>
      <c r="BA1768" s="2"/>
      <c r="BB1768" s="2"/>
      <c r="BC1768" s="2"/>
      <c r="BD1768" s="2"/>
      <c r="BE1768" s="2"/>
      <c r="BF1768" s="2"/>
      <c r="BG1768" s="2"/>
      <c r="BH1768" s="192"/>
      <c r="BI1768" s="192"/>
      <c r="BJ1768" s="89"/>
      <c r="BK1768" s="89"/>
      <c r="BL1768" s="89"/>
      <c r="BM1768" s="89"/>
      <c r="BN1768" s="89"/>
      <c r="BO1768" s="89"/>
      <c r="BP1768" s="89"/>
    </row>
    <row r="1769" spans="1:68" s="56" customFormat="1" ht="27" hidden="1">
      <c r="A1769" s="204" t="str">
        <f>+IFERROR(VALUE(MID(AB1769,4,4)),"")</f>
        <v/>
      </c>
      <c r="B1769" s="204">
        <f>VALUE(RIGHT(C1769,LEN(C1769)-2))</f>
        <v>956</v>
      </c>
      <c r="C1769" s="74" t="s">
        <v>6297</v>
      </c>
      <c r="D1769" s="75">
        <v>43403</v>
      </c>
      <c r="E1769" s="70" t="s">
        <v>6298</v>
      </c>
      <c r="F1769" s="70" t="s">
        <v>6126</v>
      </c>
      <c r="G1769" s="68"/>
      <c r="H1769" s="59"/>
      <c r="I1769" s="162" t="s">
        <v>6299</v>
      </c>
      <c r="J1769" s="162"/>
      <c r="K1769" s="68"/>
      <c r="L1769" s="69" t="s">
        <v>120</v>
      </c>
      <c r="M1769" s="71" t="s">
        <v>113</v>
      </c>
      <c r="N1769" s="69" t="e" vm="4">
        <v>#VALUE!</v>
      </c>
      <c r="O1769" s="164"/>
      <c r="P1769" s="72" t="s">
        <v>4567</v>
      </c>
      <c r="Q1769" s="72"/>
      <c r="R1769" s="162"/>
      <c r="S1769" s="146" t="s">
        <v>6300</v>
      </c>
      <c r="T1769" s="68" t="s">
        <v>155</v>
      </c>
      <c r="U1769" s="87"/>
      <c r="V1769" s="183"/>
      <c r="W1769" s="73"/>
      <c r="X1769" s="73"/>
      <c r="Y1769" s="83" t="str">
        <f>IF(SUM(W1769:W1769)&gt;0,X1769/SUM(W1769:W1769)*1000000,"N/A")</f>
        <v>N/A</v>
      </c>
      <c r="Z1769" s="183"/>
      <c r="AA1769" s="183"/>
      <c r="AB1769" s="73"/>
      <c r="AC1769" s="153"/>
      <c r="AD1769" s="331"/>
      <c r="AE1769" s="57"/>
      <c r="AF1769" s="88"/>
      <c r="AG1769" s="182">
        <f>YEAR(D1769)</f>
        <v>2018</v>
      </c>
      <c r="AH1769" s="86" t="str">
        <f>+IF(AE1769=$AJ$22,MONTH(T1769),"")</f>
        <v/>
      </c>
      <c r="AI1769" s="86" t="str">
        <f>+IF(AF1769=$AJ$22,MONTH(U1769),"")</f>
        <v/>
      </c>
      <c r="AJ1769" s="86" t="str">
        <f>+IF(AG1769=$AJ$22,MONTH(V1769),"")</f>
        <v/>
      </c>
      <c r="AK1769" s="86" t="str">
        <f>+IF(AG1769=$AK$22,MONTH(V1769),"")</f>
        <v/>
      </c>
      <c r="AL1769" s="86" t="str">
        <f>+IF(AG1769=$AL$22,MONTH(V1769),"")</f>
        <v/>
      </c>
      <c r="AM1769" s="86" t="str">
        <f>+IF($AG1769=$AM$22,MONTH($D1769),"")</f>
        <v/>
      </c>
      <c r="AN1769" s="89" t="str">
        <f>+IF($AG1769=AN$22,MONTH($D1769),"")</f>
        <v/>
      </c>
      <c r="AO1769" s="89" t="str">
        <f>+IF($AG1769=AO$22,MONTH($D1769),"")</f>
        <v/>
      </c>
      <c r="AP1769" s="89">
        <f>+IF($AG1769=AP$22,MONTH($D1769),"")</f>
        <v>10</v>
      </c>
      <c r="AQ1769" s="89" t="str">
        <f>+IF($AG1769=AQ$22,MONTH($D1769),"")</f>
        <v/>
      </c>
      <c r="AR1769" s="89" t="str">
        <f>+IF($AG1769=AR$22,MONTH($D1769),"")</f>
        <v/>
      </c>
      <c r="AS1769" s="89" t="str">
        <f>+IF($AG1769=AS$22,MONTH($D1769),"")</f>
        <v/>
      </c>
      <c r="AT1769" s="89" t="str">
        <f>+IF($AG1769=AT$22,MONTH($D1769),"")</f>
        <v/>
      </c>
      <c r="AU1769" s="89" t="str">
        <f>+IF($AG1769=AU$22,MONTH($D1769),"")</f>
        <v/>
      </c>
      <c r="AV1769" s="89" t="str">
        <f>+IF($AG1769=AV$22,MONTH($D1769),"")</f>
        <v/>
      </c>
      <c r="AW1769" s="86" t="str">
        <f>+IF($AG1769=AW$22,MONTH($D1769),"")</f>
        <v/>
      </c>
      <c r="AX1769" s="86" t="str">
        <f>+IF($AG1769=AX$22,MONTH($D1769),"")</f>
        <v/>
      </c>
      <c r="AY1769" s="182"/>
      <c r="AZ1769" s="2"/>
      <c r="BA1769" s="2"/>
      <c r="BB1769" s="2"/>
      <c r="BC1769" s="2"/>
      <c r="BD1769" s="2"/>
      <c r="BE1769" s="2"/>
      <c r="BF1769" s="2"/>
      <c r="BG1769" s="2"/>
      <c r="BH1769" s="192"/>
      <c r="BI1769" s="192"/>
      <c r="BJ1769" s="89"/>
      <c r="BK1769" s="89"/>
      <c r="BL1769" s="89"/>
      <c r="BM1769" s="89"/>
      <c r="BN1769" s="89"/>
      <c r="BO1769" s="89"/>
      <c r="BP1769" s="89"/>
    </row>
    <row r="1770" spans="1:68" s="56" customFormat="1" ht="13.5" hidden="1">
      <c r="A1770" s="204" t="str">
        <f>+IFERROR(VALUE(MID(AB1770,4,4)),"")</f>
        <v/>
      </c>
      <c r="B1770" s="204">
        <f>VALUE(RIGHT(C1770,LEN(C1770)-2))</f>
        <v>955</v>
      </c>
      <c r="C1770" s="74" t="s">
        <v>6301</v>
      </c>
      <c r="D1770" s="75">
        <v>43328</v>
      </c>
      <c r="E1770" s="70" t="s">
        <v>685</v>
      </c>
      <c r="F1770" s="70" t="s">
        <v>685</v>
      </c>
      <c r="G1770" s="68"/>
      <c r="H1770" s="59"/>
      <c r="I1770" s="162" t="s">
        <v>6302</v>
      </c>
      <c r="J1770" s="162"/>
      <c r="K1770" s="68" t="s">
        <v>13</v>
      </c>
      <c r="L1770" s="69" t="s">
        <v>120</v>
      </c>
      <c r="M1770" s="71" t="s">
        <v>141</v>
      </c>
      <c r="N1770" s="69" t="e" vm="1">
        <v>#VALUE!</v>
      </c>
      <c r="O1770" s="164"/>
      <c r="P1770" s="72" t="s">
        <v>4567</v>
      </c>
      <c r="Q1770" s="72"/>
      <c r="R1770" s="162"/>
      <c r="S1770" s="146"/>
      <c r="T1770" s="68" t="s">
        <v>165</v>
      </c>
      <c r="U1770" s="87"/>
      <c r="V1770" s="183">
        <v>43403</v>
      </c>
      <c r="W1770" s="73">
        <v>450</v>
      </c>
      <c r="X1770" s="73">
        <f>14000000/1000000</f>
        <v>14</v>
      </c>
      <c r="Y1770" s="83">
        <f>IF(SUM(W1770:W1770)&gt;0,X1770/SUM(W1770:W1770)*1000000,"N/A")</f>
        <v>31111.111111111109</v>
      </c>
      <c r="Z1770" s="183"/>
      <c r="AA1770" s="183"/>
      <c r="AB1770" s="73"/>
      <c r="AC1770" s="153"/>
      <c r="AD1770" s="331"/>
      <c r="AE1770" s="57"/>
      <c r="AF1770" s="88"/>
      <c r="AG1770" s="182">
        <f>YEAR(D1770)</f>
        <v>2018</v>
      </c>
      <c r="AH1770" s="86" t="str">
        <f>+IF(AE1770=$AJ$22,MONTH(T1770),"")</f>
        <v/>
      </c>
      <c r="AI1770" s="86" t="str">
        <f>+IF(AF1770=$AJ$22,MONTH(U1770),"")</f>
        <v/>
      </c>
      <c r="AJ1770" s="86" t="str">
        <f>+IF(AG1770=$AJ$22,MONTH(V1770),"")</f>
        <v/>
      </c>
      <c r="AK1770" s="86" t="str">
        <f>+IF(AG1770=$AK$22,MONTH(V1770),"")</f>
        <v/>
      </c>
      <c r="AL1770" s="86" t="str">
        <f>+IF(AG1770=$AL$22,MONTH(V1770),"")</f>
        <v/>
      </c>
      <c r="AM1770" s="86" t="str">
        <f>+IF($AG1770=$AM$22,MONTH($D1770),"")</f>
        <v/>
      </c>
      <c r="AN1770" s="89" t="str">
        <f>+IF($AG1770=AN$22,MONTH($D1770),"")</f>
        <v/>
      </c>
      <c r="AO1770" s="89" t="str">
        <f>+IF($AG1770=AO$22,MONTH($D1770),"")</f>
        <v/>
      </c>
      <c r="AP1770" s="89">
        <f>+IF($AG1770=AP$22,MONTH($D1770),"")</f>
        <v>8</v>
      </c>
      <c r="AQ1770" s="89" t="str">
        <f>+IF($AG1770=AQ$22,MONTH($D1770),"")</f>
        <v/>
      </c>
      <c r="AR1770" s="89" t="str">
        <f>+IF($AG1770=AR$22,MONTH($D1770),"")</f>
        <v/>
      </c>
      <c r="AS1770" s="89" t="str">
        <f>+IF($AG1770=AS$22,MONTH($D1770),"")</f>
        <v/>
      </c>
      <c r="AT1770" s="89" t="str">
        <f>+IF($AG1770=AT$22,MONTH($D1770),"")</f>
        <v/>
      </c>
      <c r="AU1770" s="89" t="str">
        <f>+IF($AG1770=AU$22,MONTH($D1770),"")</f>
        <v/>
      </c>
      <c r="AV1770" s="89" t="str">
        <f>+IF($AG1770=AV$22,MONTH($D1770),"")</f>
        <v/>
      </c>
      <c r="AW1770" s="86" t="str">
        <f>+IF($AG1770=AW$22,MONTH($D1770),"")</f>
        <v/>
      </c>
      <c r="AX1770" s="86" t="str">
        <f>+IF($AG1770=AX$22,MONTH($D1770),"")</f>
        <v/>
      </c>
      <c r="AY1770" s="182"/>
      <c r="AZ1770" s="2"/>
      <c r="BA1770" s="2"/>
      <c r="BB1770" s="2"/>
      <c r="BC1770" s="2"/>
      <c r="BD1770" s="2"/>
      <c r="BE1770" s="2"/>
      <c r="BF1770" s="2"/>
      <c r="BG1770" s="2"/>
      <c r="BH1770" s="192"/>
      <c r="BI1770" s="192"/>
      <c r="BJ1770" s="89"/>
      <c r="BK1770" s="89"/>
      <c r="BL1770" s="89"/>
      <c r="BM1770" s="89"/>
      <c r="BN1770" s="89"/>
      <c r="BO1770" s="89"/>
      <c r="BP1770" s="89"/>
    </row>
    <row r="1771" spans="1:68" s="56" customFormat="1" ht="13.5" hidden="1">
      <c r="A1771" s="204" t="str">
        <f>+IFERROR(VALUE(MID(AB1771,4,4)),"")</f>
        <v/>
      </c>
      <c r="B1771" s="204">
        <f>VALUE(RIGHT(C1771,LEN(C1771)-2))</f>
        <v>954</v>
      </c>
      <c r="C1771" s="74" t="s">
        <v>6303</v>
      </c>
      <c r="D1771" s="75">
        <v>43402</v>
      </c>
      <c r="E1771" s="70" t="s">
        <v>41</v>
      </c>
      <c r="F1771" s="70" t="s">
        <v>41</v>
      </c>
      <c r="G1771" s="68"/>
      <c r="H1771" s="59"/>
      <c r="I1771" s="162" t="s">
        <v>6304</v>
      </c>
      <c r="J1771" s="162"/>
      <c r="K1771" s="68" t="s">
        <v>14</v>
      </c>
      <c r="L1771" s="69" t="s">
        <v>120</v>
      </c>
      <c r="M1771" s="71" t="s">
        <v>141</v>
      </c>
      <c r="N1771" s="69" t="e" vm="1">
        <v>#VALUE!</v>
      </c>
      <c r="O1771" s="164"/>
      <c r="P1771" s="72" t="s">
        <v>402</v>
      </c>
      <c r="Q1771" s="72"/>
      <c r="R1771" s="162"/>
      <c r="S1771" s="146"/>
      <c r="T1771" s="68" t="s">
        <v>165</v>
      </c>
      <c r="U1771" s="87"/>
      <c r="V1771" s="183">
        <v>43406</v>
      </c>
      <c r="W1771" s="73">
        <v>3028</v>
      </c>
      <c r="X1771" s="73">
        <f>2913*27346.52/1000000</f>
        <v>79.66041276</v>
      </c>
      <c r="Y1771" s="83">
        <f>IF(SUM(W1771:W1771)&gt;0,X1771/SUM(W1771:W1771)*1000000,"N/A")</f>
        <v>26307.930237780711</v>
      </c>
      <c r="Z1771" s="183"/>
      <c r="AA1771" s="183"/>
      <c r="AB1771" s="73"/>
      <c r="AC1771" s="153"/>
      <c r="AD1771" s="331"/>
      <c r="AE1771" s="57"/>
      <c r="AF1771" s="88"/>
      <c r="AG1771" s="182">
        <f>YEAR(D1771)</f>
        <v>2018</v>
      </c>
      <c r="AH1771" s="86" t="str">
        <f>+IF(AE1771=$AJ$22,MONTH(T1771),"")</f>
        <v/>
      </c>
      <c r="AI1771" s="86" t="str">
        <f>+IF(AF1771=$AJ$22,MONTH(U1771),"")</f>
        <v/>
      </c>
      <c r="AJ1771" s="86" t="str">
        <f>+IF(AG1771=$AJ$22,MONTH(V1771),"")</f>
        <v/>
      </c>
      <c r="AK1771" s="86" t="str">
        <f>+IF(AG1771=$AK$22,MONTH(V1771),"")</f>
        <v/>
      </c>
      <c r="AL1771" s="86" t="str">
        <f>+IF(AG1771=$AL$22,MONTH(V1771),"")</f>
        <v/>
      </c>
      <c r="AM1771" s="86" t="str">
        <f>+IF($AG1771=$AM$22,MONTH($D1771),"")</f>
        <v/>
      </c>
      <c r="AN1771" s="89" t="str">
        <f>+IF($AG1771=AN$22,MONTH($D1771),"")</f>
        <v/>
      </c>
      <c r="AO1771" s="89" t="str">
        <f>+IF($AG1771=AO$22,MONTH($D1771),"")</f>
        <v/>
      </c>
      <c r="AP1771" s="89">
        <f>+IF($AG1771=AP$22,MONTH($D1771),"")</f>
        <v>10</v>
      </c>
      <c r="AQ1771" s="89" t="str">
        <f>+IF($AG1771=AQ$22,MONTH($D1771),"")</f>
        <v/>
      </c>
      <c r="AR1771" s="89" t="str">
        <f>+IF($AG1771=AR$22,MONTH($D1771),"")</f>
        <v/>
      </c>
      <c r="AS1771" s="89" t="str">
        <f>+IF($AG1771=AS$22,MONTH($D1771),"")</f>
        <v/>
      </c>
      <c r="AT1771" s="89" t="str">
        <f>+IF($AG1771=AT$22,MONTH($D1771),"")</f>
        <v/>
      </c>
      <c r="AU1771" s="89" t="str">
        <f>+IF($AG1771=AU$22,MONTH($D1771),"")</f>
        <v/>
      </c>
      <c r="AV1771" s="89" t="str">
        <f>+IF($AG1771=AV$22,MONTH($D1771),"")</f>
        <v/>
      </c>
      <c r="AW1771" s="86" t="str">
        <f>+IF($AG1771=AW$22,MONTH($D1771),"")</f>
        <v/>
      </c>
      <c r="AX1771" s="86" t="str">
        <f>+IF($AG1771=AX$22,MONTH($D1771),"")</f>
        <v/>
      </c>
      <c r="AY1771" s="182"/>
      <c r="AZ1771" s="2"/>
      <c r="BA1771" s="2"/>
      <c r="BB1771" s="2"/>
      <c r="BC1771" s="2"/>
      <c r="BD1771" s="2"/>
      <c r="BE1771" s="2"/>
      <c r="BF1771" s="2"/>
      <c r="BG1771" s="2"/>
      <c r="BH1771" s="192"/>
      <c r="BI1771" s="192"/>
      <c r="BJ1771" s="89"/>
      <c r="BK1771" s="89"/>
      <c r="BL1771" s="89"/>
      <c r="BM1771" s="89"/>
      <c r="BN1771" s="89"/>
      <c r="BO1771" s="89"/>
      <c r="BP1771" s="89"/>
    </row>
    <row r="1772" spans="1:68" s="56" customFormat="1" ht="27" hidden="1">
      <c r="A1772" s="204">
        <f>+IFERROR(VALUE(MID(AB1772,4,4)),"")</f>
        <v>224</v>
      </c>
      <c r="B1772" s="204">
        <f>VALUE(RIGHT(C1772,LEN(C1772)-2))</f>
        <v>953</v>
      </c>
      <c r="C1772" s="74" t="s">
        <v>6305</v>
      </c>
      <c r="D1772" s="75">
        <v>43663</v>
      </c>
      <c r="E1772" s="70" t="s">
        <v>4114</v>
      </c>
      <c r="F1772" s="70" t="s">
        <v>4114</v>
      </c>
      <c r="G1772" s="68" t="s">
        <v>6016</v>
      </c>
      <c r="H1772" s="59"/>
      <c r="I1772" s="162" t="s">
        <v>6306</v>
      </c>
      <c r="J1772" s="162"/>
      <c r="K1772" s="68" t="s">
        <v>11</v>
      </c>
      <c r="L1772" s="69" t="s">
        <v>120</v>
      </c>
      <c r="M1772" s="71" t="s">
        <v>141</v>
      </c>
      <c r="N1772" s="69" t="e" vm="1">
        <v>#VALUE!</v>
      </c>
      <c r="O1772" s="164"/>
      <c r="P1772" s="72" t="s">
        <v>402</v>
      </c>
      <c r="Q1772" s="72" t="s">
        <v>623</v>
      </c>
      <c r="R1772" s="162"/>
      <c r="S1772" s="146"/>
      <c r="T1772" s="68" t="s">
        <v>3</v>
      </c>
      <c r="U1772" s="87"/>
      <c r="V1772" s="183">
        <v>43783</v>
      </c>
      <c r="W1772" s="73">
        <v>11500</v>
      </c>
      <c r="X1772" s="73">
        <f>14993*27500/1000000</f>
        <v>412.3075</v>
      </c>
      <c r="Y1772" s="83">
        <f>IF(SUM(W1772:W1772)&gt;0,X1772/SUM(W1772:W1772)*1000000,"N/A")</f>
        <v>35852.82608695652</v>
      </c>
      <c r="Z1772" s="183"/>
      <c r="AA1772" s="183"/>
      <c r="AB1772" s="73" t="s">
        <v>6021</v>
      </c>
      <c r="AC1772" s="153"/>
      <c r="AD1772" s="331"/>
      <c r="AE1772" s="57"/>
      <c r="AF1772" s="88"/>
      <c r="AG1772" s="182">
        <f>YEAR(D1772)</f>
        <v>2019</v>
      </c>
      <c r="AH1772" s="86" t="str">
        <f>+IF(AE1772=$AJ$22,MONTH(T1772),"")</f>
        <v/>
      </c>
      <c r="AI1772" s="86" t="str">
        <f>+IF(AF1772=$AJ$22,MONTH(U1772),"")</f>
        <v/>
      </c>
      <c r="AJ1772" s="86" t="str">
        <f>+IF(AG1772=$AJ$22,MONTH(V1772),"")</f>
        <v/>
      </c>
      <c r="AK1772" s="86" t="str">
        <f>+IF(AG1772=$AK$22,MONTH(V1772),"")</f>
        <v/>
      </c>
      <c r="AL1772" s="86" t="str">
        <f>+IF(AG1772=$AL$22,MONTH(V1772),"")</f>
        <v/>
      </c>
      <c r="AM1772" s="86" t="str">
        <f>+IF($AG1772=$AM$22,MONTH($D1772),"")</f>
        <v/>
      </c>
      <c r="AN1772" s="89" t="str">
        <f>+IF($AG1772=AN$22,MONTH($D1772),"")</f>
        <v/>
      </c>
      <c r="AO1772" s="89">
        <f>+IF($AG1772=AO$22,MONTH($D1772),"")</f>
        <v>7</v>
      </c>
      <c r="AP1772" s="89" t="str">
        <f>+IF($AG1772=AP$22,MONTH($D1772),"")</f>
        <v/>
      </c>
      <c r="AQ1772" s="89" t="str">
        <f>+IF($AG1772=AQ$22,MONTH($D1772),"")</f>
        <v/>
      </c>
      <c r="AR1772" s="89" t="str">
        <f>+IF($AG1772=AR$22,MONTH($D1772),"")</f>
        <v/>
      </c>
      <c r="AS1772" s="89" t="str">
        <f>+IF($AG1772=AS$22,MONTH($D1772),"")</f>
        <v/>
      </c>
      <c r="AT1772" s="89" t="str">
        <f>+IF($AG1772=AT$22,MONTH($D1772),"")</f>
        <v/>
      </c>
      <c r="AU1772" s="89" t="str">
        <f>+IF($AG1772=AU$22,MONTH($D1772),"")</f>
        <v/>
      </c>
      <c r="AV1772" s="89" t="str">
        <f>+IF($AG1772=AV$22,MONTH($D1772),"")</f>
        <v/>
      </c>
      <c r="AW1772" s="86" t="str">
        <f>+IF($AG1772=AW$22,MONTH($D1772),"")</f>
        <v/>
      </c>
      <c r="AX1772" s="86" t="str">
        <f>+IF($AG1772=AX$22,MONTH($D1772),"")</f>
        <v/>
      </c>
      <c r="AY1772" s="182"/>
      <c r="AZ1772" s="2"/>
      <c r="BA1772" s="2"/>
      <c r="BB1772" s="2"/>
      <c r="BC1772" s="2"/>
      <c r="BD1772" s="2"/>
      <c r="BE1772" s="2"/>
      <c r="BF1772" s="2"/>
      <c r="BG1772" s="2"/>
      <c r="BH1772" s="192"/>
      <c r="BI1772" s="192"/>
      <c r="BJ1772" s="89"/>
      <c r="BK1772" s="89"/>
      <c r="BL1772" s="89"/>
      <c r="BM1772" s="89"/>
      <c r="BN1772" s="89"/>
      <c r="BO1772" s="89"/>
      <c r="BP1772" s="89"/>
    </row>
    <row r="1773" spans="1:68" s="56" customFormat="1" ht="13.5" hidden="1">
      <c r="A1773" s="204" t="str">
        <f>+IFERROR(VALUE(MID(AB1773,4,4)),"")</f>
        <v/>
      </c>
      <c r="B1773" s="204">
        <f>VALUE(RIGHT(C1773,LEN(C1773)-2))</f>
        <v>952</v>
      </c>
      <c r="C1773" s="74" t="s">
        <v>6307</v>
      </c>
      <c r="D1773" s="75">
        <v>43402</v>
      </c>
      <c r="E1773" s="70" t="s">
        <v>4664</v>
      </c>
      <c r="F1773" s="70" t="s">
        <v>6308</v>
      </c>
      <c r="G1773" s="68"/>
      <c r="H1773" s="59"/>
      <c r="I1773" s="162" t="s">
        <v>6309</v>
      </c>
      <c r="J1773" s="162"/>
      <c r="K1773" s="68" t="s">
        <v>12</v>
      </c>
      <c r="L1773" s="69" t="s">
        <v>120</v>
      </c>
      <c r="M1773" s="71" t="s">
        <v>113</v>
      </c>
      <c r="N1773" s="69" t="e" vm="2">
        <v>#VALUE!</v>
      </c>
      <c r="O1773" s="164"/>
      <c r="P1773" s="72" t="s">
        <v>402</v>
      </c>
      <c r="Q1773" s="72"/>
      <c r="R1773" s="162"/>
      <c r="S1773" s="146"/>
      <c r="T1773" s="68" t="s">
        <v>165</v>
      </c>
      <c r="U1773" s="87"/>
      <c r="V1773" s="183">
        <v>43402</v>
      </c>
      <c r="W1773" s="73">
        <v>312</v>
      </c>
      <c r="X1773" s="73">
        <f>44940*181/1000000</f>
        <v>8.1341400000000004</v>
      </c>
      <c r="Y1773" s="83">
        <f>IF(SUM(W1773:W1773)&gt;0,X1773/SUM(W1773:W1773)*1000000,"N/A")</f>
        <v>26070.961538461539</v>
      </c>
      <c r="Z1773" s="183"/>
      <c r="AA1773" s="183"/>
      <c r="AB1773" s="73"/>
      <c r="AC1773" s="153"/>
      <c r="AD1773" s="331"/>
      <c r="AE1773" s="57"/>
      <c r="AF1773" s="88"/>
      <c r="AG1773" s="182">
        <f>YEAR(D1773)</f>
        <v>2018</v>
      </c>
      <c r="AH1773" s="86" t="str">
        <f>+IF(AE1773=$AJ$22,MONTH(T1773),"")</f>
        <v/>
      </c>
      <c r="AI1773" s="86" t="str">
        <f>+IF(AF1773=$AJ$22,MONTH(U1773),"")</f>
        <v/>
      </c>
      <c r="AJ1773" s="86" t="str">
        <f>+IF(AG1773=$AJ$22,MONTH(V1773),"")</f>
        <v/>
      </c>
      <c r="AK1773" s="86" t="str">
        <f>+IF(AG1773=$AK$22,MONTH(V1773),"")</f>
        <v/>
      </c>
      <c r="AL1773" s="86" t="str">
        <f>+IF(AG1773=$AL$22,MONTH(V1773),"")</f>
        <v/>
      </c>
      <c r="AM1773" s="86" t="str">
        <f>+IF($AG1773=$AM$22,MONTH($D1773),"")</f>
        <v/>
      </c>
      <c r="AN1773" s="89" t="str">
        <f>+IF($AG1773=AN$22,MONTH($D1773),"")</f>
        <v/>
      </c>
      <c r="AO1773" s="89" t="str">
        <f>+IF($AG1773=AO$22,MONTH($D1773),"")</f>
        <v/>
      </c>
      <c r="AP1773" s="89">
        <f>+IF($AG1773=AP$22,MONTH($D1773),"")</f>
        <v>10</v>
      </c>
      <c r="AQ1773" s="89" t="str">
        <f>+IF($AG1773=AQ$22,MONTH($D1773),"")</f>
        <v/>
      </c>
      <c r="AR1773" s="89" t="str">
        <f>+IF($AG1773=AR$22,MONTH($D1773),"")</f>
        <v/>
      </c>
      <c r="AS1773" s="89" t="str">
        <f>+IF($AG1773=AS$22,MONTH($D1773),"")</f>
        <v/>
      </c>
      <c r="AT1773" s="89" t="str">
        <f>+IF($AG1773=AT$22,MONTH($D1773),"")</f>
        <v/>
      </c>
      <c r="AU1773" s="89" t="str">
        <f>+IF($AG1773=AU$22,MONTH($D1773),"")</f>
        <v/>
      </c>
      <c r="AV1773" s="89" t="str">
        <f>+IF($AG1773=AV$22,MONTH($D1773),"")</f>
        <v/>
      </c>
      <c r="AW1773" s="86" t="str">
        <f>+IF($AG1773=AW$22,MONTH($D1773),"")</f>
        <v/>
      </c>
      <c r="AX1773" s="86" t="str">
        <f>+IF($AG1773=AX$22,MONTH($D1773),"")</f>
        <v/>
      </c>
      <c r="AY1773" s="182"/>
      <c r="AZ1773" s="2"/>
      <c r="BA1773" s="2"/>
      <c r="BB1773" s="2"/>
      <c r="BC1773" s="2"/>
      <c r="BD1773" s="2"/>
      <c r="BE1773" s="2"/>
      <c r="BF1773" s="2"/>
      <c r="BG1773" s="2"/>
      <c r="BH1773" s="192"/>
      <c r="BI1773" s="192"/>
      <c r="BJ1773" s="89"/>
      <c r="BK1773" s="89"/>
      <c r="BL1773" s="89"/>
      <c r="BM1773" s="89"/>
      <c r="BN1773" s="89"/>
      <c r="BO1773" s="89"/>
      <c r="BP1773" s="89"/>
    </row>
    <row r="1774" spans="1:68" s="56" customFormat="1" ht="13.5" hidden="1">
      <c r="A1774" s="204" t="str">
        <f>+IFERROR(VALUE(MID(AB1774,4,4)),"")</f>
        <v/>
      </c>
      <c r="B1774" s="204">
        <f>VALUE(RIGHT(C1774,LEN(C1774)-2))</f>
        <v>951</v>
      </c>
      <c r="C1774" s="74" t="s">
        <v>6310</v>
      </c>
      <c r="D1774" s="75">
        <v>43397</v>
      </c>
      <c r="E1774" s="70" t="s">
        <v>4114</v>
      </c>
      <c r="F1774" s="70" t="s">
        <v>4114</v>
      </c>
      <c r="G1774" s="68"/>
      <c r="H1774" s="59"/>
      <c r="I1774" s="162" t="s">
        <v>6311</v>
      </c>
      <c r="J1774" s="162"/>
      <c r="K1774" s="68"/>
      <c r="L1774" s="69" t="s">
        <v>120</v>
      </c>
      <c r="M1774" s="71" t="s">
        <v>141</v>
      </c>
      <c r="N1774" s="69" t="e" vm="1">
        <v>#VALUE!</v>
      </c>
      <c r="O1774" s="164"/>
      <c r="P1774" s="72" t="s">
        <v>4567</v>
      </c>
      <c r="Q1774" s="72" t="s">
        <v>316</v>
      </c>
      <c r="R1774" s="162"/>
      <c r="S1774" s="146" t="s">
        <v>6312</v>
      </c>
      <c r="T1774" s="68" t="s">
        <v>3</v>
      </c>
      <c r="U1774" s="87"/>
      <c r="V1774" s="183">
        <v>43397</v>
      </c>
      <c r="W1774" s="73">
        <v>850</v>
      </c>
      <c r="X1774" s="73">
        <f>35463684/1000000</f>
        <v>35.463684000000001</v>
      </c>
      <c r="Y1774" s="83">
        <f>IF(SUM(W1774:W1774)&gt;0,X1774/SUM(W1774:W1774)*1000000,"N/A")</f>
        <v>41721.981176470588</v>
      </c>
      <c r="Z1774" s="183"/>
      <c r="AA1774" s="183"/>
      <c r="AB1774" s="73"/>
      <c r="AC1774" s="153"/>
      <c r="AD1774" s="331"/>
      <c r="AE1774" s="57"/>
      <c r="AF1774" s="88"/>
      <c r="AG1774" s="182">
        <f>YEAR(D1774)</f>
        <v>2018</v>
      </c>
      <c r="AH1774" s="86" t="str">
        <f>+IF(AE1774=$AJ$22,MONTH(T1774),"")</f>
        <v/>
      </c>
      <c r="AI1774" s="86" t="str">
        <f>+IF(AF1774=$AJ$22,MONTH(U1774),"")</f>
        <v/>
      </c>
      <c r="AJ1774" s="86" t="str">
        <f>+IF(AG1774=$AJ$22,MONTH(V1774),"")</f>
        <v/>
      </c>
      <c r="AK1774" s="86" t="str">
        <f>+IF(AG1774=$AK$22,MONTH(V1774),"")</f>
        <v/>
      </c>
      <c r="AL1774" s="86" t="str">
        <f>+IF(AG1774=$AL$22,MONTH(V1774),"")</f>
        <v/>
      </c>
      <c r="AM1774" s="86" t="str">
        <f>+IF($AG1774=$AM$22,MONTH($D1774),"")</f>
        <v/>
      </c>
      <c r="AN1774" s="89" t="str">
        <f>+IF($AG1774=AN$22,MONTH($D1774),"")</f>
        <v/>
      </c>
      <c r="AO1774" s="89" t="str">
        <f>+IF($AG1774=AO$22,MONTH($D1774),"")</f>
        <v/>
      </c>
      <c r="AP1774" s="89">
        <f>+IF($AG1774=AP$22,MONTH($D1774),"")</f>
        <v>10</v>
      </c>
      <c r="AQ1774" s="89" t="str">
        <f>+IF($AG1774=AQ$22,MONTH($D1774),"")</f>
        <v/>
      </c>
      <c r="AR1774" s="89" t="str">
        <f>+IF($AG1774=AR$22,MONTH($D1774),"")</f>
        <v/>
      </c>
      <c r="AS1774" s="89" t="str">
        <f>+IF($AG1774=AS$22,MONTH($D1774),"")</f>
        <v/>
      </c>
      <c r="AT1774" s="89" t="str">
        <f>+IF($AG1774=AT$22,MONTH($D1774),"")</f>
        <v/>
      </c>
      <c r="AU1774" s="89" t="str">
        <f>+IF($AG1774=AU$22,MONTH($D1774),"")</f>
        <v/>
      </c>
      <c r="AV1774" s="89" t="str">
        <f>+IF($AG1774=AV$22,MONTH($D1774),"")</f>
        <v/>
      </c>
      <c r="AW1774" s="86" t="str">
        <f>+IF($AG1774=AW$22,MONTH($D1774),"")</f>
        <v/>
      </c>
      <c r="AX1774" s="86" t="str">
        <f>+IF($AG1774=AX$22,MONTH($D1774),"")</f>
        <v/>
      </c>
      <c r="AY1774" s="182"/>
      <c r="AZ1774" s="2"/>
      <c r="BA1774" s="2"/>
      <c r="BB1774" s="2"/>
      <c r="BC1774" s="2"/>
      <c r="BD1774" s="2"/>
      <c r="BE1774" s="2"/>
      <c r="BF1774" s="2"/>
      <c r="BG1774" s="2"/>
      <c r="BH1774" s="192"/>
      <c r="BI1774" s="192"/>
      <c r="BJ1774" s="89"/>
      <c r="BK1774" s="89"/>
      <c r="BL1774" s="89"/>
      <c r="BM1774" s="89"/>
      <c r="BN1774" s="89"/>
      <c r="BO1774" s="89"/>
      <c r="BP1774" s="89"/>
    </row>
    <row r="1775" spans="1:68" s="56" customFormat="1" ht="40.5" hidden="1">
      <c r="A1775" s="204" t="str">
        <f>+IFERROR(VALUE(MID(AB1775,4,4)),"")</f>
        <v/>
      </c>
      <c r="B1775" s="204">
        <f>VALUE(RIGHT(C1775,LEN(C1775)-2))</f>
        <v>950</v>
      </c>
      <c r="C1775" s="74" t="s">
        <v>6313</v>
      </c>
      <c r="D1775" s="75">
        <v>43397</v>
      </c>
      <c r="E1775" s="70" t="s">
        <v>394</v>
      </c>
      <c r="F1775" s="70" t="s">
        <v>394</v>
      </c>
      <c r="G1775" s="68"/>
      <c r="H1775" s="59"/>
      <c r="I1775" s="162" t="s">
        <v>6314</v>
      </c>
      <c r="J1775" s="162"/>
      <c r="K1775" s="68"/>
      <c r="L1775" s="69" t="s">
        <v>129</v>
      </c>
      <c r="M1775" s="71" t="s">
        <v>141</v>
      </c>
      <c r="N1775" s="69" t="e" vm="1">
        <v>#VALUE!</v>
      </c>
      <c r="O1775" s="164"/>
      <c r="P1775" s="72"/>
      <c r="Q1775" s="72"/>
      <c r="R1775" s="162"/>
      <c r="S1775" s="146" t="s">
        <v>6315</v>
      </c>
      <c r="T1775" s="68" t="s">
        <v>165</v>
      </c>
      <c r="U1775" s="87"/>
      <c r="V1775" s="183">
        <v>43437</v>
      </c>
      <c r="W1775" s="73">
        <v>1</v>
      </c>
      <c r="X1775" s="73"/>
      <c r="Y1775" s="83">
        <f>IF(SUM(W1775:W1775)&gt;0,X1775/SUM(W1775:W1775)*1000000,"N/A")</f>
        <v>0</v>
      </c>
      <c r="Z1775" s="183"/>
      <c r="AA1775" s="183"/>
      <c r="AB1775" s="73"/>
      <c r="AC1775" s="153"/>
      <c r="AD1775" s="331"/>
      <c r="AE1775" s="57"/>
      <c r="AF1775" s="88"/>
      <c r="AG1775" s="182">
        <f>YEAR(D1775)</f>
        <v>2018</v>
      </c>
      <c r="AH1775" s="86" t="str">
        <f>+IF(AE1775=$AJ$22,MONTH(T1775),"")</f>
        <v/>
      </c>
      <c r="AI1775" s="86" t="str">
        <f>+IF(AF1775=$AJ$22,MONTH(U1775),"")</f>
        <v/>
      </c>
      <c r="AJ1775" s="86" t="str">
        <f>+IF(AG1775=$AJ$22,MONTH(V1775),"")</f>
        <v/>
      </c>
      <c r="AK1775" s="86" t="str">
        <f>+IF(AG1775=$AK$22,MONTH(V1775),"")</f>
        <v/>
      </c>
      <c r="AL1775" s="86" t="str">
        <f>+IF(AG1775=$AL$22,MONTH(V1775),"")</f>
        <v/>
      </c>
      <c r="AM1775" s="86" t="str">
        <f>+IF($AG1775=$AM$22,MONTH($D1775),"")</f>
        <v/>
      </c>
      <c r="AN1775" s="89" t="str">
        <f>+IF($AG1775=AN$22,MONTH($D1775),"")</f>
        <v/>
      </c>
      <c r="AO1775" s="89" t="str">
        <f>+IF($AG1775=AO$22,MONTH($D1775),"")</f>
        <v/>
      </c>
      <c r="AP1775" s="89">
        <f>+IF($AG1775=AP$22,MONTH($D1775),"")</f>
        <v>10</v>
      </c>
      <c r="AQ1775" s="89" t="str">
        <f>+IF($AG1775=AQ$22,MONTH($D1775),"")</f>
        <v/>
      </c>
      <c r="AR1775" s="89" t="str">
        <f>+IF($AG1775=AR$22,MONTH($D1775),"")</f>
        <v/>
      </c>
      <c r="AS1775" s="89" t="str">
        <f>+IF($AG1775=AS$22,MONTH($D1775),"")</f>
        <v/>
      </c>
      <c r="AT1775" s="89" t="str">
        <f>+IF($AG1775=AT$22,MONTH($D1775),"")</f>
        <v/>
      </c>
      <c r="AU1775" s="89" t="str">
        <f>+IF($AG1775=AU$22,MONTH($D1775),"")</f>
        <v/>
      </c>
      <c r="AV1775" s="89" t="str">
        <f>+IF($AG1775=AV$22,MONTH($D1775),"")</f>
        <v/>
      </c>
      <c r="AW1775" s="86" t="str">
        <f>+IF($AG1775=AW$22,MONTH($D1775),"")</f>
        <v/>
      </c>
      <c r="AX1775" s="86" t="str">
        <f>+IF($AG1775=AX$22,MONTH($D1775),"")</f>
        <v/>
      </c>
      <c r="AY1775" s="182"/>
      <c r="AZ1775" s="2"/>
      <c r="BA1775" s="2"/>
      <c r="BB1775" s="2"/>
      <c r="BC1775" s="2"/>
      <c r="BD1775" s="2"/>
      <c r="BE1775" s="2"/>
      <c r="BF1775" s="2"/>
      <c r="BG1775" s="2"/>
      <c r="BH1775" s="192"/>
      <c r="BI1775" s="192"/>
      <c r="BJ1775" s="89"/>
      <c r="BK1775" s="89"/>
      <c r="BL1775" s="89"/>
      <c r="BM1775" s="89"/>
      <c r="BN1775" s="89"/>
      <c r="BO1775" s="89"/>
      <c r="BP1775" s="89"/>
    </row>
    <row r="1776" spans="1:68" s="56" customFormat="1" ht="13.5" hidden="1">
      <c r="A1776" s="204">
        <f>+IFERROR(VALUE(MID(AB1776,4,4)),"")</f>
        <v>206</v>
      </c>
      <c r="B1776" s="204">
        <f>VALUE(RIGHT(C1776,LEN(C1776)-2))</f>
        <v>949</v>
      </c>
      <c r="C1776" s="74" t="s">
        <v>6316</v>
      </c>
      <c r="D1776" s="75">
        <v>43395</v>
      </c>
      <c r="E1776" s="70" t="s">
        <v>5621</v>
      </c>
      <c r="F1776" s="70" t="s">
        <v>5621</v>
      </c>
      <c r="G1776" s="68"/>
      <c r="H1776" s="59"/>
      <c r="I1776" s="162" t="s">
        <v>6317</v>
      </c>
      <c r="J1776" s="162"/>
      <c r="K1776" s="68" t="s">
        <v>14</v>
      </c>
      <c r="L1776" s="69" t="s">
        <v>120</v>
      </c>
      <c r="M1776" s="71" t="s">
        <v>141</v>
      </c>
      <c r="N1776" s="69" t="e" vm="1">
        <v>#VALUE!</v>
      </c>
      <c r="O1776" s="164"/>
      <c r="P1776" s="72" t="s">
        <v>402</v>
      </c>
      <c r="Q1776" s="72" t="s">
        <v>644</v>
      </c>
      <c r="R1776" s="162"/>
      <c r="S1776" s="146" t="s">
        <v>6318</v>
      </c>
      <c r="T1776" s="68" t="s">
        <v>3</v>
      </c>
      <c r="U1776" s="87"/>
      <c r="V1776" s="183">
        <v>43395</v>
      </c>
      <c r="W1776" s="73">
        <v>320</v>
      </c>
      <c r="X1776" s="73">
        <f>450*27346.52/1000000</f>
        <v>12.305934000000001</v>
      </c>
      <c r="Y1776" s="83">
        <f>IF(SUM(W1776:W1776)&gt;0,X1776/SUM(W1776:W1776)*1000000,"N/A")</f>
        <v>38456.043750000004</v>
      </c>
      <c r="Z1776" s="183"/>
      <c r="AA1776" s="183"/>
      <c r="AB1776" s="73" t="s">
        <v>6319</v>
      </c>
      <c r="AC1776" s="153"/>
      <c r="AD1776" s="331"/>
      <c r="AE1776" s="57"/>
      <c r="AF1776" s="88"/>
      <c r="AG1776" s="182">
        <f>YEAR(D1776)</f>
        <v>2018</v>
      </c>
      <c r="AH1776" s="86" t="str">
        <f>+IF(AE1776=$AJ$22,MONTH(T1776),"")</f>
        <v/>
      </c>
      <c r="AI1776" s="86" t="str">
        <f>+IF(AF1776=$AJ$22,MONTH(U1776),"")</f>
        <v/>
      </c>
      <c r="AJ1776" s="86" t="str">
        <f>+IF(AG1776=$AJ$22,MONTH(V1776),"")</f>
        <v/>
      </c>
      <c r="AK1776" s="86" t="str">
        <f>+IF(AG1776=$AK$22,MONTH(V1776),"")</f>
        <v/>
      </c>
      <c r="AL1776" s="86" t="str">
        <f>+IF(AG1776=$AL$22,MONTH(V1776),"")</f>
        <v/>
      </c>
      <c r="AM1776" s="86" t="str">
        <f>+IF($AG1776=$AM$22,MONTH($D1776),"")</f>
        <v/>
      </c>
      <c r="AN1776" s="89" t="str">
        <f>+IF($AG1776=AN$22,MONTH($D1776),"")</f>
        <v/>
      </c>
      <c r="AO1776" s="89" t="str">
        <f>+IF($AG1776=AO$22,MONTH($D1776),"")</f>
        <v/>
      </c>
      <c r="AP1776" s="89">
        <f>+IF($AG1776=AP$22,MONTH($D1776),"")</f>
        <v>10</v>
      </c>
      <c r="AQ1776" s="89" t="str">
        <f>+IF($AG1776=AQ$22,MONTH($D1776),"")</f>
        <v/>
      </c>
      <c r="AR1776" s="89" t="str">
        <f>+IF($AG1776=AR$22,MONTH($D1776),"")</f>
        <v/>
      </c>
      <c r="AS1776" s="89" t="str">
        <f>+IF($AG1776=AS$22,MONTH($D1776),"")</f>
        <v/>
      </c>
      <c r="AT1776" s="89" t="str">
        <f>+IF($AG1776=AT$22,MONTH($D1776),"")</f>
        <v/>
      </c>
      <c r="AU1776" s="89" t="str">
        <f>+IF($AG1776=AU$22,MONTH($D1776),"")</f>
        <v/>
      </c>
      <c r="AV1776" s="89" t="str">
        <f>+IF($AG1776=AV$22,MONTH($D1776),"")</f>
        <v/>
      </c>
      <c r="AW1776" s="86" t="str">
        <f>+IF($AG1776=AW$22,MONTH($D1776),"")</f>
        <v/>
      </c>
      <c r="AX1776" s="86" t="str">
        <f>+IF($AG1776=AX$22,MONTH($D1776),"")</f>
        <v/>
      </c>
      <c r="AY1776" s="182"/>
      <c r="AZ1776" s="182"/>
      <c r="BA1776" s="182"/>
      <c r="BB1776" s="182"/>
      <c r="BC1776" s="182"/>
      <c r="BD1776" s="182"/>
      <c r="BE1776" s="182"/>
      <c r="BF1776" s="182"/>
      <c r="BG1776" s="182"/>
      <c r="BH1776" s="182"/>
      <c r="BI1776" s="182"/>
      <c r="BJ1776" s="89"/>
      <c r="BK1776" s="89"/>
      <c r="BL1776" s="89"/>
      <c r="BM1776" s="89"/>
      <c r="BN1776" s="89"/>
      <c r="BO1776" s="89"/>
      <c r="BP1776" s="89"/>
    </row>
    <row r="1777" spans="1:68" s="56" customFormat="1" ht="27" hidden="1">
      <c r="A1777" s="204" t="str">
        <f>+IFERROR(VALUE(MID(AB1777,4,4)),"")</f>
        <v/>
      </c>
      <c r="B1777" s="204">
        <f>VALUE(RIGHT(C1777,LEN(C1777)-2))</f>
        <v>948</v>
      </c>
      <c r="C1777" s="74" t="s">
        <v>6320</v>
      </c>
      <c r="D1777" s="75">
        <v>43395</v>
      </c>
      <c r="E1777" s="70" t="s">
        <v>105</v>
      </c>
      <c r="F1777" s="70" t="s">
        <v>105</v>
      </c>
      <c r="G1777" s="68"/>
      <c r="H1777" s="59"/>
      <c r="I1777" s="162" t="s">
        <v>6321</v>
      </c>
      <c r="J1777" s="162"/>
      <c r="K1777" s="68" t="s">
        <v>48</v>
      </c>
      <c r="L1777" s="69" t="s">
        <v>120</v>
      </c>
      <c r="M1777" s="71" t="s">
        <v>141</v>
      </c>
      <c r="N1777" s="69" t="e" vm="1">
        <v>#VALUE!</v>
      </c>
      <c r="O1777" s="164"/>
      <c r="P1777" s="72" t="s">
        <v>4567</v>
      </c>
      <c r="Q1777" s="72"/>
      <c r="R1777" s="162"/>
      <c r="S1777" s="146" t="s">
        <v>6322</v>
      </c>
      <c r="T1777" s="68" t="s">
        <v>165</v>
      </c>
      <c r="U1777" s="87"/>
      <c r="V1777" s="183">
        <v>43395</v>
      </c>
      <c r="W1777" s="73">
        <v>130</v>
      </c>
      <c r="X1777" s="73">
        <f>255*27346.52/1000000</f>
        <v>6.9733626000000006</v>
      </c>
      <c r="Y1777" s="83">
        <f>IF(SUM(W1777:W1777)&gt;0,X1777/SUM(W1777:W1777)*1000000,"N/A")</f>
        <v>53641.25076923077</v>
      </c>
      <c r="Z1777" s="183"/>
      <c r="AA1777" s="183"/>
      <c r="AB1777" s="73"/>
      <c r="AC1777" s="153"/>
      <c r="AD1777" s="331"/>
      <c r="AE1777" s="57"/>
      <c r="AF1777" s="88"/>
      <c r="AG1777" s="182">
        <f>YEAR(D1777)</f>
        <v>2018</v>
      </c>
      <c r="AH1777" s="86" t="str">
        <f>+IF(AE1777=$AJ$22,MONTH(T1777),"")</f>
        <v/>
      </c>
      <c r="AI1777" s="86" t="str">
        <f>+IF(AF1777=$AJ$22,MONTH(U1777),"")</f>
        <v/>
      </c>
      <c r="AJ1777" s="86" t="str">
        <f>+IF(AG1777=$AJ$22,MONTH(V1777),"")</f>
        <v/>
      </c>
      <c r="AK1777" s="86" t="str">
        <f>+IF(AG1777=$AK$22,MONTH(V1777),"")</f>
        <v/>
      </c>
      <c r="AL1777" s="86" t="str">
        <f>+IF(AG1777=$AL$22,MONTH(V1777),"")</f>
        <v/>
      </c>
      <c r="AM1777" s="86" t="str">
        <f>+IF($AG1777=$AM$22,MONTH($D1777),"")</f>
        <v/>
      </c>
      <c r="AN1777" s="89" t="str">
        <f>+IF($AG1777=AN$22,MONTH($D1777),"")</f>
        <v/>
      </c>
      <c r="AO1777" s="89" t="str">
        <f>+IF($AG1777=AO$22,MONTH($D1777),"")</f>
        <v/>
      </c>
      <c r="AP1777" s="89">
        <f>+IF($AG1777=AP$22,MONTH($D1777),"")</f>
        <v>10</v>
      </c>
      <c r="AQ1777" s="89" t="str">
        <f>+IF($AG1777=AQ$22,MONTH($D1777),"")</f>
        <v/>
      </c>
      <c r="AR1777" s="89" t="str">
        <f>+IF($AG1777=AR$22,MONTH($D1777),"")</f>
        <v/>
      </c>
      <c r="AS1777" s="89" t="str">
        <f>+IF($AG1777=AS$22,MONTH($D1777),"")</f>
        <v/>
      </c>
      <c r="AT1777" s="89" t="str">
        <f>+IF($AG1777=AT$22,MONTH($D1777),"")</f>
        <v/>
      </c>
      <c r="AU1777" s="89" t="str">
        <f>+IF($AG1777=AU$22,MONTH($D1777),"")</f>
        <v/>
      </c>
      <c r="AV1777" s="89" t="str">
        <f>+IF($AG1777=AV$22,MONTH($D1777),"")</f>
        <v/>
      </c>
      <c r="AW1777" s="86" t="str">
        <f>+IF($AG1777=AW$22,MONTH($D1777),"")</f>
        <v/>
      </c>
      <c r="AX1777" s="86" t="str">
        <f>+IF($AG1777=AX$22,MONTH($D1777),"")</f>
        <v/>
      </c>
      <c r="AY1777" s="182"/>
      <c r="AZ1777" s="182"/>
      <c r="BA1777" s="182"/>
      <c r="BB1777" s="182"/>
      <c r="BC1777" s="182"/>
      <c r="BD1777" s="182"/>
      <c r="BE1777" s="182"/>
      <c r="BF1777" s="182"/>
      <c r="BG1777" s="182"/>
      <c r="BH1777" s="182"/>
      <c r="BI1777" s="182"/>
      <c r="BJ1777" s="89"/>
      <c r="BK1777" s="89"/>
      <c r="BL1777" s="89"/>
      <c r="BM1777" s="89"/>
      <c r="BN1777" s="89"/>
      <c r="BO1777" s="89"/>
      <c r="BP1777" s="89"/>
    </row>
    <row r="1778" spans="1:68" s="56" customFormat="1" ht="13.5" hidden="1">
      <c r="A1778" s="204" t="str">
        <f>+IFERROR(VALUE(MID(AB1778,4,4)),"")</f>
        <v/>
      </c>
      <c r="B1778" s="204">
        <f>VALUE(RIGHT(C1778,LEN(C1778)-2))</f>
        <v>947</v>
      </c>
      <c r="C1778" s="74" t="s">
        <v>6323</v>
      </c>
      <c r="D1778" s="75">
        <v>43395</v>
      </c>
      <c r="E1778" s="70" t="s">
        <v>5823</v>
      </c>
      <c r="F1778" s="70" t="s">
        <v>5823</v>
      </c>
      <c r="G1778" s="68"/>
      <c r="H1778" s="59"/>
      <c r="I1778" s="162" t="s">
        <v>6324</v>
      </c>
      <c r="J1778" s="162"/>
      <c r="K1778" s="68"/>
      <c r="L1778" s="69" t="s">
        <v>120</v>
      </c>
      <c r="M1778" s="71" t="s">
        <v>141</v>
      </c>
      <c r="N1778" s="69" t="e" vm="1">
        <v>#VALUE!</v>
      </c>
      <c r="O1778" s="164"/>
      <c r="P1778" s="72" t="s">
        <v>402</v>
      </c>
      <c r="Q1778" s="72"/>
      <c r="R1778" s="162"/>
      <c r="S1778" s="146"/>
      <c r="T1778" s="68" t="s">
        <v>165</v>
      </c>
      <c r="U1778" s="87"/>
      <c r="V1778" s="183">
        <v>43399</v>
      </c>
      <c r="W1778" s="73">
        <v>392</v>
      </c>
      <c r="X1778" s="73">
        <f>652*27346.52/1000000</f>
        <v>17.829931039999998</v>
      </c>
      <c r="Y1778" s="83">
        <f>IF(SUM(W1778:W1778)&gt;0,X1778/SUM(W1778:W1778)*1000000,"N/A")</f>
        <v>45484.517959183671</v>
      </c>
      <c r="Z1778" s="183"/>
      <c r="AA1778" s="183"/>
      <c r="AB1778" s="73"/>
      <c r="AC1778" s="153"/>
      <c r="AD1778" s="331"/>
      <c r="AE1778" s="57"/>
      <c r="AF1778" s="88"/>
      <c r="AG1778" s="182">
        <f>YEAR(D1778)</f>
        <v>2018</v>
      </c>
      <c r="AH1778" s="86" t="str">
        <f>+IF(AE1778=$AJ$22,MONTH(T1778),"")</f>
        <v/>
      </c>
      <c r="AI1778" s="86" t="str">
        <f>+IF(AF1778=$AJ$22,MONTH(U1778),"")</f>
        <v/>
      </c>
      <c r="AJ1778" s="86" t="str">
        <f>+IF(AG1778=$AJ$22,MONTH(V1778),"")</f>
        <v/>
      </c>
      <c r="AK1778" s="86" t="str">
        <f>+IF(AG1778=$AK$22,MONTH(V1778),"")</f>
        <v/>
      </c>
      <c r="AL1778" s="86" t="str">
        <f>+IF(AG1778=$AL$22,MONTH(V1778),"")</f>
        <v/>
      </c>
      <c r="AM1778" s="86" t="str">
        <f>+IF($AG1778=$AM$22,MONTH($D1778),"")</f>
        <v/>
      </c>
      <c r="AN1778" s="89" t="str">
        <f>+IF($AG1778=AN$22,MONTH($D1778),"")</f>
        <v/>
      </c>
      <c r="AO1778" s="89" t="str">
        <f>+IF($AG1778=AO$22,MONTH($D1778),"")</f>
        <v/>
      </c>
      <c r="AP1778" s="89">
        <f>+IF($AG1778=AP$22,MONTH($D1778),"")</f>
        <v>10</v>
      </c>
      <c r="AQ1778" s="89" t="str">
        <f>+IF($AG1778=AQ$22,MONTH($D1778),"")</f>
        <v/>
      </c>
      <c r="AR1778" s="89" t="str">
        <f>+IF($AG1778=AR$22,MONTH($D1778),"")</f>
        <v/>
      </c>
      <c r="AS1778" s="89" t="str">
        <f>+IF($AG1778=AS$22,MONTH($D1778),"")</f>
        <v/>
      </c>
      <c r="AT1778" s="89" t="str">
        <f>+IF($AG1778=AT$22,MONTH($D1778),"")</f>
        <v/>
      </c>
      <c r="AU1778" s="89" t="str">
        <f>+IF($AG1778=AU$22,MONTH($D1778),"")</f>
        <v/>
      </c>
      <c r="AV1778" s="89" t="str">
        <f>+IF($AG1778=AV$22,MONTH($D1778),"")</f>
        <v/>
      </c>
      <c r="AW1778" s="86" t="str">
        <f>+IF($AG1778=AW$22,MONTH($D1778),"")</f>
        <v/>
      </c>
      <c r="AX1778" s="86" t="str">
        <f>+IF($AG1778=AX$22,MONTH($D1778),"")</f>
        <v/>
      </c>
      <c r="AY1778" s="182"/>
      <c r="AZ1778" s="182"/>
      <c r="BA1778" s="182"/>
      <c r="BB1778" s="182"/>
      <c r="BC1778" s="182"/>
      <c r="BD1778" s="182"/>
      <c r="BE1778" s="182"/>
      <c r="BF1778" s="182"/>
      <c r="BG1778" s="182"/>
      <c r="BH1778" s="182"/>
      <c r="BI1778" s="182"/>
      <c r="BJ1778" s="89"/>
      <c r="BK1778" s="89"/>
      <c r="BL1778" s="89"/>
      <c r="BM1778" s="89"/>
      <c r="BN1778" s="89"/>
      <c r="BO1778" s="89"/>
      <c r="BP1778" s="89"/>
    </row>
    <row r="1779" spans="1:68" s="56" customFormat="1" ht="13.5" hidden="1">
      <c r="A1779" s="204" t="str">
        <f>+IFERROR(VALUE(MID(AB1779,4,4)),"")</f>
        <v/>
      </c>
      <c r="B1779" s="204">
        <f>VALUE(RIGHT(C1779,LEN(C1779)-2))</f>
        <v>946</v>
      </c>
      <c r="C1779" s="74" t="s">
        <v>6325</v>
      </c>
      <c r="D1779" s="75">
        <v>43385</v>
      </c>
      <c r="E1779" s="70" t="s">
        <v>5621</v>
      </c>
      <c r="F1779" s="70" t="s">
        <v>5621</v>
      </c>
      <c r="G1779" s="68"/>
      <c r="H1779" s="59"/>
      <c r="I1779" s="162" t="s">
        <v>6326</v>
      </c>
      <c r="J1779" s="162"/>
      <c r="K1779" s="68" t="s">
        <v>11</v>
      </c>
      <c r="L1779" s="69" t="s">
        <v>120</v>
      </c>
      <c r="M1779" s="71" t="s">
        <v>141</v>
      </c>
      <c r="N1779" s="69" t="e" vm="1">
        <v>#VALUE!</v>
      </c>
      <c r="O1779" s="164"/>
      <c r="P1779" s="72" t="s">
        <v>402</v>
      </c>
      <c r="Q1779" s="72"/>
      <c r="R1779" s="162"/>
      <c r="S1779" s="146"/>
      <c r="T1779" s="68" t="s">
        <v>165</v>
      </c>
      <c r="U1779" s="87"/>
      <c r="V1779" s="183">
        <v>43391</v>
      </c>
      <c r="W1779" s="73">
        <v>2782</v>
      </c>
      <c r="X1779" s="73">
        <f>3698.85*27346.52/1000000</f>
        <v>101.150675502</v>
      </c>
      <c r="Y1779" s="83">
        <f>IF(SUM(W1779:W1779)&gt;0,X1779/SUM(W1779:W1779)*1000000,"N/A")</f>
        <v>36358.977534867001</v>
      </c>
      <c r="Z1779" s="183"/>
      <c r="AA1779" s="183"/>
      <c r="AB1779" s="73"/>
      <c r="AC1779" s="153"/>
      <c r="AD1779" s="331"/>
      <c r="AE1779" s="57"/>
      <c r="AF1779" s="88"/>
      <c r="AG1779" s="182">
        <f>YEAR(D1779)</f>
        <v>2018</v>
      </c>
      <c r="AH1779" s="86" t="str">
        <f>+IF(AE1779=$AJ$22,MONTH(T1779),"")</f>
        <v/>
      </c>
      <c r="AI1779" s="86" t="str">
        <f>+IF(AF1779=$AJ$22,MONTH(U1779),"")</f>
        <v/>
      </c>
      <c r="AJ1779" s="86" t="str">
        <f>+IF(AG1779=$AJ$22,MONTH(V1779),"")</f>
        <v/>
      </c>
      <c r="AK1779" s="86" t="str">
        <f>+IF(AG1779=$AK$22,MONTH(V1779),"")</f>
        <v/>
      </c>
      <c r="AL1779" s="86" t="str">
        <f>+IF(AG1779=$AL$22,MONTH(V1779),"")</f>
        <v/>
      </c>
      <c r="AM1779" s="86" t="str">
        <f>+IF($AG1779=$AM$22,MONTH($D1779),"")</f>
        <v/>
      </c>
      <c r="AN1779" s="89" t="str">
        <f>+IF($AG1779=AN$22,MONTH($D1779),"")</f>
        <v/>
      </c>
      <c r="AO1779" s="89" t="str">
        <f>+IF($AG1779=AO$22,MONTH($D1779),"")</f>
        <v/>
      </c>
      <c r="AP1779" s="89">
        <f>+IF($AG1779=AP$22,MONTH($D1779),"")</f>
        <v>10</v>
      </c>
      <c r="AQ1779" s="89" t="str">
        <f>+IF($AG1779=AQ$22,MONTH($D1779),"")</f>
        <v/>
      </c>
      <c r="AR1779" s="89" t="str">
        <f>+IF($AG1779=AR$22,MONTH($D1779),"")</f>
        <v/>
      </c>
      <c r="AS1779" s="89" t="str">
        <f>+IF($AG1779=AS$22,MONTH($D1779),"")</f>
        <v/>
      </c>
      <c r="AT1779" s="89" t="str">
        <f>+IF($AG1779=AT$22,MONTH($D1779),"")</f>
        <v/>
      </c>
      <c r="AU1779" s="89" t="str">
        <f>+IF($AG1779=AU$22,MONTH($D1779),"")</f>
        <v/>
      </c>
      <c r="AV1779" s="89" t="str">
        <f>+IF($AG1779=AV$22,MONTH($D1779),"")</f>
        <v/>
      </c>
      <c r="AW1779" s="86" t="str">
        <f>+IF($AG1779=AW$22,MONTH($D1779),"")</f>
        <v/>
      </c>
      <c r="AX1779" s="86" t="str">
        <f>+IF($AG1779=AX$22,MONTH($D1779),"")</f>
        <v/>
      </c>
      <c r="AY1779" s="182"/>
      <c r="AZ1779" s="182"/>
      <c r="BA1779" s="182"/>
      <c r="BB1779" s="182"/>
      <c r="BC1779" s="182"/>
      <c r="BD1779" s="182"/>
      <c r="BE1779" s="182"/>
      <c r="BF1779" s="182"/>
      <c r="BG1779" s="182"/>
      <c r="BH1779" s="182"/>
      <c r="BI1779" s="182"/>
      <c r="BJ1779" s="89"/>
      <c r="BK1779" s="89"/>
      <c r="BL1779" s="89"/>
      <c r="BM1779" s="89"/>
      <c r="BN1779" s="89"/>
      <c r="BO1779" s="89"/>
      <c r="BP1779" s="89"/>
    </row>
    <row r="1780" spans="1:68" s="56" customFormat="1" ht="13.5" hidden="1">
      <c r="A1780" s="204" t="str">
        <f>+IFERROR(VALUE(MID(AB1780,4,4)),"")</f>
        <v/>
      </c>
      <c r="B1780" s="204">
        <f>VALUE(RIGHT(C1780,LEN(C1780)-2))</f>
        <v>945</v>
      </c>
      <c r="C1780" s="74" t="s">
        <v>6327</v>
      </c>
      <c r="D1780" s="75">
        <v>43384</v>
      </c>
      <c r="E1780" s="70" t="s">
        <v>76</v>
      </c>
      <c r="F1780" s="70" t="s">
        <v>76</v>
      </c>
      <c r="G1780" s="68"/>
      <c r="H1780" s="59"/>
      <c r="I1780" s="162" t="s">
        <v>6328</v>
      </c>
      <c r="J1780" s="162"/>
      <c r="K1780" s="68" t="s">
        <v>13</v>
      </c>
      <c r="L1780" s="69" t="s">
        <v>120</v>
      </c>
      <c r="M1780" s="71" t="s">
        <v>141</v>
      </c>
      <c r="N1780" s="69" t="e" vm="1">
        <v>#VALUE!</v>
      </c>
      <c r="O1780" s="164"/>
      <c r="P1780" s="72" t="s">
        <v>402</v>
      </c>
      <c r="Q1780" s="72"/>
      <c r="R1780" s="162"/>
      <c r="S1780" s="146"/>
      <c r="T1780" s="68" t="s">
        <v>165</v>
      </c>
      <c r="U1780" s="87"/>
      <c r="V1780" s="183">
        <v>43389</v>
      </c>
      <c r="W1780" s="73">
        <v>1337</v>
      </c>
      <c r="X1780" s="73">
        <f>2000*27346.52/1000000</f>
        <v>54.693040000000003</v>
      </c>
      <c r="Y1780" s="83">
        <f>IF(SUM(W1780:W1780)&gt;0,X1780/SUM(W1780:W1780)*1000000,"N/A")</f>
        <v>40907.284966342566</v>
      </c>
      <c r="Z1780" s="183"/>
      <c r="AA1780" s="183"/>
      <c r="AB1780" s="73"/>
      <c r="AC1780" s="153"/>
      <c r="AD1780" s="331"/>
      <c r="AE1780" s="57"/>
      <c r="AF1780" s="88"/>
      <c r="AG1780" s="182">
        <f>YEAR(D1780)</f>
        <v>2018</v>
      </c>
      <c r="AH1780" s="86" t="str">
        <f>+IF(AE1780=$AJ$22,MONTH(T1780),"")</f>
        <v/>
      </c>
      <c r="AI1780" s="86" t="str">
        <f>+IF(AF1780=$AJ$22,MONTH(U1780),"")</f>
        <v/>
      </c>
      <c r="AJ1780" s="86" t="str">
        <f>+IF(AG1780=$AJ$22,MONTH(V1780),"")</f>
        <v/>
      </c>
      <c r="AK1780" s="86" t="str">
        <f>+IF(AG1780=$AK$22,MONTH(V1780),"")</f>
        <v/>
      </c>
      <c r="AL1780" s="86" t="str">
        <f>+IF(AG1780=$AL$22,MONTH(V1780),"")</f>
        <v/>
      </c>
      <c r="AM1780" s="86" t="str">
        <f>+IF($AG1780=$AM$22,MONTH($D1780),"")</f>
        <v/>
      </c>
      <c r="AN1780" s="89" t="str">
        <f>+IF($AG1780=AN$22,MONTH($D1780),"")</f>
        <v/>
      </c>
      <c r="AO1780" s="89" t="str">
        <f>+IF($AG1780=AO$22,MONTH($D1780),"")</f>
        <v/>
      </c>
      <c r="AP1780" s="89">
        <f>+IF($AG1780=AP$22,MONTH($D1780),"")</f>
        <v>10</v>
      </c>
      <c r="AQ1780" s="89" t="str">
        <f>+IF($AG1780=AQ$22,MONTH($D1780),"")</f>
        <v/>
      </c>
      <c r="AR1780" s="89" t="str">
        <f>+IF($AG1780=AR$22,MONTH($D1780),"")</f>
        <v/>
      </c>
      <c r="AS1780" s="89" t="str">
        <f>+IF($AG1780=AS$22,MONTH($D1780),"")</f>
        <v/>
      </c>
      <c r="AT1780" s="89" t="str">
        <f>+IF($AG1780=AT$22,MONTH($D1780),"")</f>
        <v/>
      </c>
      <c r="AU1780" s="89" t="str">
        <f>+IF($AG1780=AU$22,MONTH($D1780),"")</f>
        <v/>
      </c>
      <c r="AV1780" s="89" t="str">
        <f>+IF($AG1780=AV$22,MONTH($D1780),"")</f>
        <v/>
      </c>
      <c r="AW1780" s="86" t="str">
        <f>+IF($AG1780=AW$22,MONTH($D1780),"")</f>
        <v/>
      </c>
      <c r="AX1780" s="86" t="str">
        <f>+IF($AG1780=AX$22,MONTH($D1780),"")</f>
        <v/>
      </c>
      <c r="AY1780" s="182"/>
      <c r="AZ1780" s="182"/>
      <c r="BA1780" s="182"/>
      <c r="BB1780" s="182"/>
      <c r="BC1780" s="182"/>
      <c r="BD1780" s="182"/>
      <c r="BE1780" s="182"/>
      <c r="BF1780" s="182"/>
      <c r="BG1780" s="182"/>
      <c r="BH1780" s="182"/>
      <c r="BI1780" s="182"/>
      <c r="BJ1780" s="89"/>
      <c r="BK1780" s="89"/>
      <c r="BL1780" s="89"/>
      <c r="BM1780" s="89"/>
      <c r="BN1780" s="89"/>
      <c r="BO1780" s="89"/>
      <c r="BP1780" s="89"/>
    </row>
    <row r="1781" spans="1:68" s="56" customFormat="1" ht="67.5" hidden="1">
      <c r="A1781" s="204" t="str">
        <f>+IFERROR(VALUE(MID(AB1781,4,4)),"")</f>
        <v/>
      </c>
      <c r="B1781" s="204">
        <f>VALUE(RIGHT(C1781,LEN(C1781)-2))</f>
        <v>944</v>
      </c>
      <c r="C1781" s="74" t="s">
        <v>6329</v>
      </c>
      <c r="D1781" s="75">
        <v>43381</v>
      </c>
      <c r="E1781" s="70" t="s">
        <v>848</v>
      </c>
      <c r="F1781" s="70" t="s">
        <v>848</v>
      </c>
      <c r="G1781" s="68"/>
      <c r="H1781" s="59"/>
      <c r="I1781" s="162" t="s">
        <v>6330</v>
      </c>
      <c r="J1781" s="162"/>
      <c r="K1781" s="68" t="s">
        <v>31</v>
      </c>
      <c r="L1781" s="69" t="s">
        <v>120</v>
      </c>
      <c r="M1781" s="71" t="s">
        <v>141</v>
      </c>
      <c r="N1781" s="69" t="e" vm="1">
        <v>#VALUE!</v>
      </c>
      <c r="O1781" s="164"/>
      <c r="P1781" s="72" t="s">
        <v>274</v>
      </c>
      <c r="Q1781" s="72"/>
      <c r="R1781" s="162"/>
      <c r="S1781" s="146" t="s">
        <v>6331</v>
      </c>
      <c r="T1781" s="68" t="s">
        <v>168</v>
      </c>
      <c r="U1781" s="87"/>
      <c r="V1781" s="183">
        <v>43381</v>
      </c>
      <c r="W1781" s="73">
        <v>792</v>
      </c>
      <c r="X1781" s="73">
        <f>1852*27346.52/1000000</f>
        <v>50.645755039999997</v>
      </c>
      <c r="Y1781" s="83">
        <f>IF(SUM(W1781:W1781)&gt;0,X1781/SUM(W1781:W1781)*1000000,"N/A")</f>
        <v>63946.660404040398</v>
      </c>
      <c r="Z1781" s="183"/>
      <c r="AA1781" s="183"/>
      <c r="AB1781" s="73"/>
      <c r="AC1781" s="153"/>
      <c r="AD1781" s="331"/>
      <c r="AE1781" s="57"/>
      <c r="AF1781" s="88"/>
      <c r="AG1781" s="182">
        <f>YEAR(D1781)</f>
        <v>2018</v>
      </c>
      <c r="AH1781" s="86" t="str">
        <f>+IF(AE1781=$AJ$22,MONTH(T1781),"")</f>
        <v/>
      </c>
      <c r="AI1781" s="86" t="str">
        <f>+IF(AF1781=$AJ$22,MONTH(U1781),"")</f>
        <v/>
      </c>
      <c r="AJ1781" s="86" t="str">
        <f>+IF(AG1781=$AJ$22,MONTH(V1781),"")</f>
        <v/>
      </c>
      <c r="AK1781" s="86" t="str">
        <f>+IF(AG1781=$AK$22,MONTH(V1781),"")</f>
        <v/>
      </c>
      <c r="AL1781" s="86" t="str">
        <f>+IF(AG1781=$AL$22,MONTH(V1781),"")</f>
        <v/>
      </c>
      <c r="AM1781" s="86" t="str">
        <f>+IF($AG1781=$AM$22,MONTH($D1781),"")</f>
        <v/>
      </c>
      <c r="AN1781" s="89" t="str">
        <f>+IF($AG1781=AN$22,MONTH($D1781),"")</f>
        <v/>
      </c>
      <c r="AO1781" s="89" t="str">
        <f>+IF($AG1781=AO$22,MONTH($D1781),"")</f>
        <v/>
      </c>
      <c r="AP1781" s="89">
        <f>+IF($AG1781=AP$22,MONTH($D1781),"")</f>
        <v>10</v>
      </c>
      <c r="AQ1781" s="89" t="str">
        <f>+IF($AG1781=AQ$22,MONTH($D1781),"")</f>
        <v/>
      </c>
      <c r="AR1781" s="89" t="str">
        <f>+IF($AG1781=AR$22,MONTH($D1781),"")</f>
        <v/>
      </c>
      <c r="AS1781" s="89" t="str">
        <f>+IF($AG1781=AS$22,MONTH($D1781),"")</f>
        <v/>
      </c>
      <c r="AT1781" s="89" t="str">
        <f>+IF($AG1781=AT$22,MONTH($D1781),"")</f>
        <v/>
      </c>
      <c r="AU1781" s="89" t="str">
        <f>+IF($AG1781=AU$22,MONTH($D1781),"")</f>
        <v/>
      </c>
      <c r="AV1781" s="89" t="str">
        <f>+IF($AG1781=AV$22,MONTH($D1781),"")</f>
        <v/>
      </c>
      <c r="AW1781" s="86" t="str">
        <f>+IF($AG1781=AW$22,MONTH($D1781),"")</f>
        <v/>
      </c>
      <c r="AX1781" s="86" t="str">
        <f>+IF($AG1781=AX$22,MONTH($D1781),"")</f>
        <v/>
      </c>
      <c r="AY1781" s="182"/>
      <c r="AZ1781" s="182"/>
      <c r="BA1781" s="182"/>
      <c r="BB1781" s="182"/>
      <c r="BC1781" s="182"/>
      <c r="BD1781" s="182"/>
      <c r="BE1781" s="182"/>
      <c r="BF1781" s="182"/>
      <c r="BG1781" s="182"/>
      <c r="BH1781" s="182"/>
      <c r="BI1781" s="182"/>
      <c r="BJ1781" s="89"/>
      <c r="BK1781" s="89"/>
      <c r="BL1781" s="89"/>
      <c r="BM1781" s="89"/>
      <c r="BN1781" s="89"/>
      <c r="BO1781" s="89"/>
      <c r="BP1781" s="89"/>
    </row>
    <row r="1782" spans="1:68" s="56" customFormat="1" ht="27" hidden="1">
      <c r="A1782" s="204" t="str">
        <f>+IFERROR(VALUE(MID(AB1782,4,4)),"")</f>
        <v/>
      </c>
      <c r="B1782" s="204">
        <f>VALUE(RIGHT(C1782,LEN(C1782)-2))</f>
        <v>943</v>
      </c>
      <c r="C1782" s="74" t="s">
        <v>6332</v>
      </c>
      <c r="D1782" s="75">
        <v>43381</v>
      </c>
      <c r="E1782" s="70" t="s">
        <v>6333</v>
      </c>
      <c r="F1782" s="70" t="s">
        <v>6333</v>
      </c>
      <c r="G1782" s="68"/>
      <c r="H1782" s="59"/>
      <c r="I1782" s="162" t="s">
        <v>6334</v>
      </c>
      <c r="J1782" s="162"/>
      <c r="K1782" s="68" t="s">
        <v>13</v>
      </c>
      <c r="L1782" s="69" t="s">
        <v>120</v>
      </c>
      <c r="M1782" s="71" t="s">
        <v>141</v>
      </c>
      <c r="N1782" s="69" t="e" vm="1">
        <v>#VALUE!</v>
      </c>
      <c r="O1782" s="164"/>
      <c r="P1782" s="72" t="s">
        <v>4567</v>
      </c>
      <c r="Q1782" s="72"/>
      <c r="R1782" s="162"/>
      <c r="S1782" s="146"/>
      <c r="T1782" s="68" t="s">
        <v>165</v>
      </c>
      <c r="U1782" s="87"/>
      <c r="V1782" s="183">
        <v>43382</v>
      </c>
      <c r="W1782" s="73">
        <v>5161</v>
      </c>
      <c r="X1782" s="73">
        <f>6849*27346.52/1000000</f>
        <v>187.29631547999998</v>
      </c>
      <c r="Y1782" s="83">
        <f>IF(SUM(W1782:W1782)&gt;0,X1782/SUM(W1782:W1782)*1000000,"N/A")</f>
        <v>36290.702476264283</v>
      </c>
      <c r="Z1782" s="183"/>
      <c r="AA1782" s="183"/>
      <c r="AB1782" s="73"/>
      <c r="AC1782" s="153"/>
      <c r="AD1782" s="331"/>
      <c r="AE1782" s="57"/>
      <c r="AF1782" s="88"/>
      <c r="AG1782" s="182">
        <f>YEAR(D1782)</f>
        <v>2018</v>
      </c>
      <c r="AH1782" s="86" t="str">
        <f>+IF(AE1782=$AJ$22,MONTH(T1782),"")</f>
        <v/>
      </c>
      <c r="AI1782" s="86" t="str">
        <f>+IF(AF1782=$AJ$22,MONTH(U1782),"")</f>
        <v/>
      </c>
      <c r="AJ1782" s="86" t="str">
        <f>+IF(AG1782=$AJ$22,MONTH(V1782),"")</f>
        <v/>
      </c>
      <c r="AK1782" s="86" t="str">
        <f>+IF(AG1782=$AK$22,MONTH(V1782),"")</f>
        <v/>
      </c>
      <c r="AL1782" s="86" t="str">
        <f>+IF(AG1782=$AL$22,MONTH(V1782),"")</f>
        <v/>
      </c>
      <c r="AM1782" s="86" t="str">
        <f>+IF($AG1782=$AM$22,MONTH($D1782),"")</f>
        <v/>
      </c>
      <c r="AN1782" s="89" t="str">
        <f>+IF($AG1782=AN$22,MONTH($D1782),"")</f>
        <v/>
      </c>
      <c r="AO1782" s="89" t="str">
        <f>+IF($AG1782=AO$22,MONTH($D1782),"")</f>
        <v/>
      </c>
      <c r="AP1782" s="89">
        <f>+IF($AG1782=AP$22,MONTH($D1782),"")</f>
        <v>10</v>
      </c>
      <c r="AQ1782" s="89" t="str">
        <f>+IF($AG1782=AQ$22,MONTH($D1782),"")</f>
        <v/>
      </c>
      <c r="AR1782" s="89" t="str">
        <f>+IF($AG1782=AR$22,MONTH($D1782),"")</f>
        <v/>
      </c>
      <c r="AS1782" s="89" t="str">
        <f>+IF($AG1782=AS$22,MONTH($D1782),"")</f>
        <v/>
      </c>
      <c r="AT1782" s="89" t="str">
        <f>+IF($AG1782=AT$22,MONTH($D1782),"")</f>
        <v/>
      </c>
      <c r="AU1782" s="89" t="str">
        <f>+IF($AG1782=AU$22,MONTH($D1782),"")</f>
        <v/>
      </c>
      <c r="AV1782" s="89" t="str">
        <f>+IF($AG1782=AV$22,MONTH($D1782),"")</f>
        <v/>
      </c>
      <c r="AW1782" s="86" t="str">
        <f>+IF($AG1782=AW$22,MONTH($D1782),"")</f>
        <v/>
      </c>
      <c r="AX1782" s="86" t="str">
        <f>+IF($AG1782=AX$22,MONTH($D1782),"")</f>
        <v/>
      </c>
      <c r="AY1782" s="182"/>
      <c r="AZ1782" s="182"/>
      <c r="BA1782" s="182"/>
      <c r="BB1782" s="182"/>
      <c r="BC1782" s="182"/>
      <c r="BD1782" s="182"/>
      <c r="BE1782" s="182"/>
      <c r="BF1782" s="182"/>
      <c r="BG1782" s="182"/>
      <c r="BH1782" s="182"/>
      <c r="BI1782" s="182"/>
      <c r="BJ1782" s="89"/>
      <c r="BK1782" s="89"/>
      <c r="BL1782" s="89"/>
      <c r="BM1782" s="89"/>
      <c r="BN1782" s="89"/>
      <c r="BO1782" s="89"/>
      <c r="BP1782" s="89"/>
    </row>
    <row r="1783" spans="1:68" s="56" customFormat="1" ht="13.5" hidden="1">
      <c r="A1783" s="204" t="str">
        <f>+IFERROR(VALUE(MID(AB1783,4,4)),"")</f>
        <v/>
      </c>
      <c r="B1783" s="204">
        <f>VALUE(RIGHT(C1783,LEN(C1783)-2))</f>
        <v>942</v>
      </c>
      <c r="C1783" s="74" t="s">
        <v>6335</v>
      </c>
      <c r="D1783" s="75">
        <v>43381</v>
      </c>
      <c r="E1783" s="70" t="s">
        <v>41</v>
      </c>
      <c r="F1783" s="70" t="s">
        <v>41</v>
      </c>
      <c r="G1783" s="68"/>
      <c r="H1783" s="59"/>
      <c r="I1783" s="162" t="s">
        <v>6336</v>
      </c>
      <c r="J1783" s="162"/>
      <c r="K1783" s="68" t="s">
        <v>13</v>
      </c>
      <c r="L1783" s="69" t="s">
        <v>120</v>
      </c>
      <c r="M1783" s="71" t="s">
        <v>141</v>
      </c>
      <c r="N1783" s="69" t="e" vm="1">
        <v>#VALUE!</v>
      </c>
      <c r="O1783" s="164"/>
      <c r="P1783" s="72" t="s">
        <v>402</v>
      </c>
      <c r="Q1783" s="72"/>
      <c r="R1783" s="162"/>
      <c r="S1783" s="146"/>
      <c r="T1783" s="68" t="s">
        <v>165</v>
      </c>
      <c r="U1783" s="87"/>
      <c r="V1783" s="183">
        <v>43382</v>
      </c>
      <c r="W1783" s="73">
        <v>597</v>
      </c>
      <c r="X1783" s="73">
        <f>570*27346.52/1000000</f>
        <v>15.5875164</v>
      </c>
      <c r="Y1783" s="83">
        <f>IF(SUM(W1783:W1783)&gt;0,X1783/SUM(W1783:W1783)*1000000,"N/A")</f>
        <v>26109.742713567837</v>
      </c>
      <c r="Z1783" s="183"/>
      <c r="AA1783" s="183"/>
      <c r="AB1783" s="73"/>
      <c r="AC1783" s="153"/>
      <c r="AD1783" s="331"/>
      <c r="AE1783" s="57"/>
      <c r="AF1783" s="88"/>
      <c r="AG1783" s="182">
        <f>YEAR(D1783)</f>
        <v>2018</v>
      </c>
      <c r="AH1783" s="86" t="str">
        <f>+IF(AE1783=$AJ$22,MONTH(T1783),"")</f>
        <v/>
      </c>
      <c r="AI1783" s="86" t="str">
        <f>+IF(AF1783=$AJ$22,MONTH(U1783),"")</f>
        <v/>
      </c>
      <c r="AJ1783" s="86" t="str">
        <f>+IF(AG1783=$AJ$22,MONTH(V1783),"")</f>
        <v/>
      </c>
      <c r="AK1783" s="86" t="str">
        <f>+IF(AG1783=$AK$22,MONTH(V1783),"")</f>
        <v/>
      </c>
      <c r="AL1783" s="86" t="str">
        <f>+IF(AG1783=$AL$22,MONTH(V1783),"")</f>
        <v/>
      </c>
      <c r="AM1783" s="86" t="str">
        <f>+IF($AG1783=$AM$22,MONTH($D1783),"")</f>
        <v/>
      </c>
      <c r="AN1783" s="89" t="str">
        <f>+IF($AG1783=AN$22,MONTH($D1783),"")</f>
        <v/>
      </c>
      <c r="AO1783" s="89" t="str">
        <f>+IF($AG1783=AO$22,MONTH($D1783),"")</f>
        <v/>
      </c>
      <c r="AP1783" s="89">
        <f>+IF($AG1783=AP$22,MONTH($D1783),"")</f>
        <v>10</v>
      </c>
      <c r="AQ1783" s="89" t="str">
        <f>+IF($AG1783=AQ$22,MONTH($D1783),"")</f>
        <v/>
      </c>
      <c r="AR1783" s="89" t="str">
        <f>+IF($AG1783=AR$22,MONTH($D1783),"")</f>
        <v/>
      </c>
      <c r="AS1783" s="89" t="str">
        <f>+IF($AG1783=AS$22,MONTH($D1783),"")</f>
        <v/>
      </c>
      <c r="AT1783" s="89" t="str">
        <f>+IF($AG1783=AT$22,MONTH($D1783),"")</f>
        <v/>
      </c>
      <c r="AU1783" s="89" t="str">
        <f>+IF($AG1783=AU$22,MONTH($D1783),"")</f>
        <v/>
      </c>
      <c r="AV1783" s="89" t="str">
        <f>+IF($AG1783=AV$22,MONTH($D1783),"")</f>
        <v/>
      </c>
      <c r="AW1783" s="86" t="str">
        <f>+IF($AG1783=AW$22,MONTH($D1783),"")</f>
        <v/>
      </c>
      <c r="AX1783" s="86" t="str">
        <f>+IF($AG1783=AX$22,MONTH($D1783),"")</f>
        <v/>
      </c>
      <c r="AY1783" s="182"/>
      <c r="AZ1783" s="182"/>
      <c r="BA1783" s="182"/>
      <c r="BB1783" s="182"/>
      <c r="BC1783" s="182"/>
      <c r="BD1783" s="182"/>
      <c r="BE1783" s="182"/>
      <c r="BF1783" s="182"/>
      <c r="BG1783" s="182"/>
      <c r="BH1783" s="182"/>
      <c r="BI1783" s="182"/>
      <c r="BJ1783" s="89"/>
      <c r="BK1783" s="89"/>
      <c r="BL1783" s="89"/>
      <c r="BM1783" s="89"/>
      <c r="BN1783" s="89"/>
      <c r="BO1783" s="89"/>
      <c r="BP1783" s="89"/>
    </row>
    <row r="1784" spans="1:68" s="56" customFormat="1" ht="13.5" hidden="1">
      <c r="A1784" s="204" t="str">
        <f>+IFERROR(VALUE(MID(AB1784,4,4)),"")</f>
        <v/>
      </c>
      <c r="B1784" s="204">
        <f>VALUE(RIGHT(C1784,LEN(C1784)-2))</f>
        <v>941</v>
      </c>
      <c r="C1784" s="74" t="s">
        <v>6337</v>
      </c>
      <c r="D1784" s="75">
        <v>43381</v>
      </c>
      <c r="E1784" s="70" t="s">
        <v>41</v>
      </c>
      <c r="F1784" s="70" t="s">
        <v>41</v>
      </c>
      <c r="G1784" s="68"/>
      <c r="H1784" s="59"/>
      <c r="I1784" s="162" t="s">
        <v>6338</v>
      </c>
      <c r="J1784" s="162"/>
      <c r="K1784" s="68" t="s">
        <v>13</v>
      </c>
      <c r="L1784" s="69" t="s">
        <v>120</v>
      </c>
      <c r="M1784" s="71" t="s">
        <v>141</v>
      </c>
      <c r="N1784" s="69" t="e" vm="1">
        <v>#VALUE!</v>
      </c>
      <c r="O1784" s="164"/>
      <c r="P1784" s="72" t="s">
        <v>4567</v>
      </c>
      <c r="Q1784" s="72"/>
      <c r="R1784" s="162"/>
      <c r="S1784" s="146"/>
      <c r="T1784" s="68" t="s">
        <v>165</v>
      </c>
      <c r="U1784" s="87"/>
      <c r="V1784" s="183">
        <v>43391</v>
      </c>
      <c r="W1784" s="73">
        <v>6359</v>
      </c>
      <c r="X1784" s="73">
        <f>6037*27346.52/1000000</f>
        <v>165.09094124000001</v>
      </c>
      <c r="Y1784" s="83">
        <f>IF(SUM(W1784:W1784)&gt;0,X1784/SUM(W1784:W1784)*1000000,"N/A")</f>
        <v>25961.777203962887</v>
      </c>
      <c r="Z1784" s="183"/>
      <c r="AA1784" s="183"/>
      <c r="AB1784" s="73"/>
      <c r="AC1784" s="153"/>
      <c r="AD1784" s="331"/>
      <c r="AE1784" s="57"/>
      <c r="AF1784" s="88"/>
      <c r="AG1784" s="182">
        <f>YEAR(D1784)</f>
        <v>2018</v>
      </c>
      <c r="AH1784" s="86" t="str">
        <f>+IF(AE1784=$AJ$22,MONTH(T1784),"")</f>
        <v/>
      </c>
      <c r="AI1784" s="86" t="str">
        <f>+IF(AF1784=$AJ$22,MONTH(U1784),"")</f>
        <v/>
      </c>
      <c r="AJ1784" s="86" t="str">
        <f>+IF(AG1784=$AJ$22,MONTH(V1784),"")</f>
        <v/>
      </c>
      <c r="AK1784" s="86" t="str">
        <f>+IF(AG1784=$AK$22,MONTH(V1784),"")</f>
        <v/>
      </c>
      <c r="AL1784" s="86" t="str">
        <f>+IF(AG1784=$AL$22,MONTH(V1784),"")</f>
        <v/>
      </c>
      <c r="AM1784" s="86" t="str">
        <f>+IF($AG1784=$AM$22,MONTH($D1784),"")</f>
        <v/>
      </c>
      <c r="AN1784" s="89" t="str">
        <f>+IF($AG1784=AN$22,MONTH($D1784),"")</f>
        <v/>
      </c>
      <c r="AO1784" s="89" t="str">
        <f>+IF($AG1784=AO$22,MONTH($D1784),"")</f>
        <v/>
      </c>
      <c r="AP1784" s="89">
        <f>+IF($AG1784=AP$22,MONTH($D1784),"")</f>
        <v>10</v>
      </c>
      <c r="AQ1784" s="89" t="str">
        <f>+IF($AG1784=AQ$22,MONTH($D1784),"")</f>
        <v/>
      </c>
      <c r="AR1784" s="89" t="str">
        <f>+IF($AG1784=AR$22,MONTH($D1784),"")</f>
        <v/>
      </c>
      <c r="AS1784" s="89" t="str">
        <f>+IF($AG1784=AS$22,MONTH($D1784),"")</f>
        <v/>
      </c>
      <c r="AT1784" s="89" t="str">
        <f>+IF($AG1784=AT$22,MONTH($D1784),"")</f>
        <v/>
      </c>
      <c r="AU1784" s="89" t="str">
        <f>+IF($AG1784=AU$22,MONTH($D1784),"")</f>
        <v/>
      </c>
      <c r="AV1784" s="89" t="str">
        <f>+IF($AG1784=AV$22,MONTH($D1784),"")</f>
        <v/>
      </c>
      <c r="AW1784" s="86" t="str">
        <f>+IF($AG1784=AW$22,MONTH($D1784),"")</f>
        <v/>
      </c>
      <c r="AX1784" s="86" t="str">
        <f>+IF($AG1784=AX$22,MONTH($D1784),"")</f>
        <v/>
      </c>
      <c r="AY1784" s="182"/>
      <c r="AZ1784" s="182"/>
      <c r="BA1784" s="182"/>
      <c r="BB1784" s="182"/>
      <c r="BC1784" s="182"/>
      <c r="BD1784" s="182"/>
      <c r="BE1784" s="182"/>
      <c r="BF1784" s="182"/>
      <c r="BG1784" s="182"/>
      <c r="BH1784" s="182"/>
      <c r="BI1784" s="182"/>
      <c r="BJ1784" s="89"/>
      <c r="BK1784" s="89"/>
      <c r="BL1784" s="89"/>
      <c r="BM1784" s="89"/>
      <c r="BN1784" s="89"/>
      <c r="BO1784" s="89"/>
      <c r="BP1784" s="89"/>
    </row>
    <row r="1785" spans="1:68" s="56" customFormat="1" ht="13.5" hidden="1">
      <c r="A1785" s="204" t="str">
        <f>+IFERROR(VALUE(MID(AB1785,4,4)),"")</f>
        <v/>
      </c>
      <c r="B1785" s="204">
        <f>VALUE(RIGHT(C1785,LEN(C1785)-2))</f>
        <v>940</v>
      </c>
      <c r="C1785" s="74" t="s">
        <v>6339</v>
      </c>
      <c r="D1785" s="75">
        <v>43375</v>
      </c>
      <c r="E1785" s="70" t="s">
        <v>67</v>
      </c>
      <c r="F1785" s="70" t="s">
        <v>67</v>
      </c>
      <c r="G1785" s="68"/>
      <c r="H1785" s="59"/>
      <c r="I1785" s="162" t="s">
        <v>6340</v>
      </c>
      <c r="J1785" s="162"/>
      <c r="K1785" s="68" t="s">
        <v>12</v>
      </c>
      <c r="L1785" s="69" t="s">
        <v>120</v>
      </c>
      <c r="M1785" s="71" t="s">
        <v>141</v>
      </c>
      <c r="N1785" s="69" t="e" vm="1">
        <v>#VALUE!</v>
      </c>
      <c r="O1785" s="164"/>
      <c r="P1785" s="72" t="s">
        <v>4567</v>
      </c>
      <c r="Q1785" s="72"/>
      <c r="R1785" s="162"/>
      <c r="S1785" s="146"/>
      <c r="T1785" s="68" t="s">
        <v>165</v>
      </c>
      <c r="U1785" s="87"/>
      <c r="V1785" s="183">
        <v>43375</v>
      </c>
      <c r="W1785" s="73">
        <v>340</v>
      </c>
      <c r="X1785" s="73">
        <f>951*27346.52/1000000</f>
        <v>26.006540519999998</v>
      </c>
      <c r="Y1785" s="83">
        <f>IF(SUM(W1785:W1785)&gt;0,X1785/SUM(W1785:W1785)*1000000,"N/A")</f>
        <v>76489.825058823524</v>
      </c>
      <c r="Z1785" s="183"/>
      <c r="AA1785" s="183"/>
      <c r="AB1785" s="73"/>
      <c r="AC1785" s="153"/>
      <c r="AD1785" s="331"/>
      <c r="AE1785" s="57"/>
      <c r="AF1785" s="88"/>
      <c r="AG1785" s="182">
        <f>YEAR(D1785)</f>
        <v>2018</v>
      </c>
      <c r="AH1785" s="86" t="str">
        <f>+IF(AE1785=$AJ$22,MONTH(T1785),"")</f>
        <v/>
      </c>
      <c r="AI1785" s="86" t="str">
        <f>+IF(AF1785=$AJ$22,MONTH(U1785),"")</f>
        <v/>
      </c>
      <c r="AJ1785" s="86" t="str">
        <f>+IF(AG1785=$AJ$22,MONTH(V1785),"")</f>
        <v/>
      </c>
      <c r="AK1785" s="86" t="str">
        <f>+IF(AG1785=$AK$22,MONTH(V1785),"")</f>
        <v/>
      </c>
      <c r="AL1785" s="86" t="str">
        <f>+IF(AG1785=$AL$22,MONTH(V1785),"")</f>
        <v/>
      </c>
      <c r="AM1785" s="86" t="str">
        <f>+IF($AG1785=$AM$22,MONTH($D1785),"")</f>
        <v/>
      </c>
      <c r="AN1785" s="89" t="str">
        <f>+IF($AG1785=AN$22,MONTH($D1785),"")</f>
        <v/>
      </c>
      <c r="AO1785" s="89" t="str">
        <f>+IF($AG1785=AO$22,MONTH($D1785),"")</f>
        <v/>
      </c>
      <c r="AP1785" s="89">
        <f>+IF($AG1785=AP$22,MONTH($D1785),"")</f>
        <v>10</v>
      </c>
      <c r="AQ1785" s="89" t="str">
        <f>+IF($AG1785=AQ$22,MONTH($D1785),"")</f>
        <v/>
      </c>
      <c r="AR1785" s="89" t="str">
        <f>+IF($AG1785=AR$22,MONTH($D1785),"")</f>
        <v/>
      </c>
      <c r="AS1785" s="89" t="str">
        <f>+IF($AG1785=AS$22,MONTH($D1785),"")</f>
        <v/>
      </c>
      <c r="AT1785" s="89" t="str">
        <f>+IF($AG1785=AT$22,MONTH($D1785),"")</f>
        <v/>
      </c>
      <c r="AU1785" s="89" t="str">
        <f>+IF($AG1785=AU$22,MONTH($D1785),"")</f>
        <v/>
      </c>
      <c r="AV1785" s="89" t="str">
        <f>+IF($AG1785=AV$22,MONTH($D1785),"")</f>
        <v/>
      </c>
      <c r="AW1785" s="86" t="str">
        <f>+IF($AG1785=AW$22,MONTH($D1785),"")</f>
        <v/>
      </c>
      <c r="AX1785" s="86" t="str">
        <f>+IF($AG1785=AX$22,MONTH($D1785),"")</f>
        <v/>
      </c>
      <c r="AY1785" s="182"/>
      <c r="AZ1785" s="182"/>
      <c r="BA1785" s="182"/>
      <c r="BB1785" s="182"/>
      <c r="BC1785" s="182"/>
      <c r="BD1785" s="182"/>
      <c r="BE1785" s="182"/>
      <c r="BF1785" s="182"/>
      <c r="BG1785" s="182"/>
      <c r="BH1785" s="182"/>
      <c r="BI1785" s="182"/>
      <c r="BJ1785" s="89"/>
      <c r="BK1785" s="89"/>
      <c r="BL1785" s="89"/>
      <c r="BM1785" s="89"/>
      <c r="BN1785" s="89"/>
      <c r="BO1785" s="89"/>
      <c r="BP1785" s="89"/>
    </row>
    <row r="1786" spans="1:68" s="56" customFormat="1" ht="13.5" hidden="1">
      <c r="A1786" s="204" t="str">
        <f>+IFERROR(VALUE(MID(AB1786,4,4)),"")</f>
        <v/>
      </c>
      <c r="B1786" s="204">
        <f>VALUE(RIGHT(C1786,LEN(C1786)-2))</f>
        <v>939</v>
      </c>
      <c r="C1786" s="74" t="s">
        <v>6341</v>
      </c>
      <c r="D1786" s="75">
        <v>43371</v>
      </c>
      <c r="E1786" s="70" t="s">
        <v>4114</v>
      </c>
      <c r="F1786" s="70" t="s">
        <v>4114</v>
      </c>
      <c r="G1786" s="68"/>
      <c r="H1786" s="59"/>
      <c r="I1786" s="162" t="s">
        <v>6342</v>
      </c>
      <c r="J1786" s="162"/>
      <c r="K1786" s="68" t="s">
        <v>31</v>
      </c>
      <c r="L1786" s="69" t="s">
        <v>120</v>
      </c>
      <c r="M1786" s="71" t="s">
        <v>141</v>
      </c>
      <c r="N1786" s="69" t="e" vm="1">
        <v>#VALUE!</v>
      </c>
      <c r="O1786" s="164"/>
      <c r="P1786" s="72" t="s">
        <v>4567</v>
      </c>
      <c r="Q1786" s="72"/>
      <c r="R1786" s="162"/>
      <c r="S1786" s="146"/>
      <c r="T1786" s="68" t="s">
        <v>165</v>
      </c>
      <c r="U1786" s="87"/>
      <c r="V1786" s="183">
        <v>43371</v>
      </c>
      <c r="W1786" s="73">
        <v>1020</v>
      </c>
      <c r="X1786" s="73">
        <f>1427*27346.52/1000000</f>
        <v>39.02348404</v>
      </c>
      <c r="Y1786" s="83">
        <f>IF(SUM(W1786:W1786)&gt;0,X1786/SUM(W1786:W1786)*1000000,"N/A")</f>
        <v>38258.317686274509</v>
      </c>
      <c r="Z1786" s="183"/>
      <c r="AA1786" s="183"/>
      <c r="AB1786" s="73"/>
      <c r="AC1786" s="153"/>
      <c r="AD1786" s="331"/>
      <c r="AE1786" s="57"/>
      <c r="AF1786" s="88"/>
      <c r="AG1786" s="182">
        <f>YEAR(D1786)</f>
        <v>2018</v>
      </c>
      <c r="AH1786" s="86" t="str">
        <f>+IF(AE1786=$AJ$22,MONTH(T1786),"")</f>
        <v/>
      </c>
      <c r="AI1786" s="86" t="str">
        <f>+IF(AF1786=$AJ$22,MONTH(U1786),"")</f>
        <v/>
      </c>
      <c r="AJ1786" s="86" t="str">
        <f>+IF(AG1786=$AJ$22,MONTH(V1786),"")</f>
        <v/>
      </c>
      <c r="AK1786" s="86" t="str">
        <f>+IF(AG1786=$AK$22,MONTH(V1786),"")</f>
        <v/>
      </c>
      <c r="AL1786" s="86" t="str">
        <f>+IF(AG1786=$AL$22,MONTH(V1786),"")</f>
        <v/>
      </c>
      <c r="AM1786" s="86" t="str">
        <f>+IF($AG1786=$AM$22,MONTH($D1786),"")</f>
        <v/>
      </c>
      <c r="AN1786" s="89" t="str">
        <f>+IF($AG1786=AN$22,MONTH($D1786),"")</f>
        <v/>
      </c>
      <c r="AO1786" s="89" t="str">
        <f>+IF($AG1786=AO$22,MONTH($D1786),"")</f>
        <v/>
      </c>
      <c r="AP1786" s="89">
        <f>+IF($AG1786=AP$22,MONTH($D1786),"")</f>
        <v>9</v>
      </c>
      <c r="AQ1786" s="89" t="str">
        <f>+IF($AG1786=AQ$22,MONTH($D1786),"")</f>
        <v/>
      </c>
      <c r="AR1786" s="89" t="str">
        <f>+IF($AG1786=AR$22,MONTH($D1786),"")</f>
        <v/>
      </c>
      <c r="AS1786" s="89" t="str">
        <f>+IF($AG1786=AS$22,MONTH($D1786),"")</f>
        <v/>
      </c>
      <c r="AT1786" s="89" t="str">
        <f>+IF($AG1786=AT$22,MONTH($D1786),"")</f>
        <v/>
      </c>
      <c r="AU1786" s="89" t="str">
        <f>+IF($AG1786=AU$22,MONTH($D1786),"")</f>
        <v/>
      </c>
      <c r="AV1786" s="89" t="str">
        <f>+IF($AG1786=AV$22,MONTH($D1786),"")</f>
        <v/>
      </c>
      <c r="AW1786" s="86" t="str">
        <f>+IF($AG1786=AW$22,MONTH($D1786),"")</f>
        <v/>
      </c>
      <c r="AX1786" s="86" t="str">
        <f>+IF($AG1786=AX$22,MONTH($D1786),"")</f>
        <v/>
      </c>
      <c r="AY1786" s="182"/>
      <c r="AZ1786" s="182"/>
      <c r="BA1786" s="182"/>
      <c r="BB1786" s="182"/>
      <c r="BC1786" s="182"/>
      <c r="BD1786" s="182"/>
      <c r="BE1786" s="182"/>
      <c r="BF1786" s="182"/>
      <c r="BG1786" s="182"/>
      <c r="BH1786" s="182"/>
      <c r="BI1786" s="182"/>
      <c r="BJ1786" s="89"/>
      <c r="BK1786" s="89"/>
      <c r="BL1786" s="89"/>
      <c r="BM1786" s="89"/>
      <c r="BN1786" s="89"/>
      <c r="BO1786" s="89"/>
      <c r="BP1786" s="89"/>
    </row>
    <row r="1787" spans="1:68" s="56" customFormat="1" ht="27" hidden="1">
      <c r="A1787" s="204" t="str">
        <f>+IFERROR(VALUE(MID(AB1787,4,4)),"")</f>
        <v/>
      </c>
      <c r="B1787" s="204">
        <f>VALUE(RIGHT(C1787,LEN(C1787)-2))</f>
        <v>938</v>
      </c>
      <c r="C1787" s="74" t="s">
        <v>6343</v>
      </c>
      <c r="D1787" s="75">
        <v>43371</v>
      </c>
      <c r="E1787" s="70" t="s">
        <v>1321</v>
      </c>
      <c r="F1787" s="70" t="s">
        <v>80</v>
      </c>
      <c r="G1787" s="68"/>
      <c r="H1787" s="59"/>
      <c r="I1787" s="162" t="s">
        <v>6344</v>
      </c>
      <c r="J1787" s="162"/>
      <c r="K1787" s="68" t="s">
        <v>13</v>
      </c>
      <c r="L1787" s="69" t="s">
        <v>120</v>
      </c>
      <c r="M1787" s="71" t="s">
        <v>141</v>
      </c>
      <c r="N1787" s="69" t="e" vm="1">
        <v>#VALUE!</v>
      </c>
      <c r="O1787" s="164"/>
      <c r="P1787" s="72"/>
      <c r="Q1787" s="72"/>
      <c r="R1787" s="162"/>
      <c r="S1787" s="146"/>
      <c r="T1787" s="68" t="s">
        <v>165</v>
      </c>
      <c r="U1787" s="87"/>
      <c r="V1787" s="183">
        <v>43376</v>
      </c>
      <c r="W1787" s="73">
        <v>1004</v>
      </c>
      <c r="X1787" s="73">
        <f>45000000/1000000</f>
        <v>45</v>
      </c>
      <c r="Y1787" s="83">
        <f>IF(SUM(W1787:W1787)&gt;0,X1787/SUM(W1787:W1787)*1000000,"N/A")</f>
        <v>44820.717131474106</v>
      </c>
      <c r="Z1787" s="183"/>
      <c r="AA1787" s="183"/>
      <c r="AB1787" s="73"/>
      <c r="AC1787" s="153"/>
      <c r="AD1787" s="331"/>
      <c r="AE1787" s="57"/>
      <c r="AF1787" s="88"/>
      <c r="AG1787" s="182">
        <f>YEAR(D1787)</f>
        <v>2018</v>
      </c>
      <c r="AH1787" s="86" t="str">
        <f>+IF(AE1787=$AJ$22,MONTH(T1787),"")</f>
        <v/>
      </c>
      <c r="AI1787" s="86" t="str">
        <f>+IF(AF1787=$AJ$22,MONTH(U1787),"")</f>
        <v/>
      </c>
      <c r="AJ1787" s="86" t="str">
        <f>+IF(AG1787=$AJ$22,MONTH(V1787),"")</f>
        <v/>
      </c>
      <c r="AK1787" s="86" t="str">
        <f>+IF(AG1787=$AK$22,MONTH(V1787),"")</f>
        <v/>
      </c>
      <c r="AL1787" s="86" t="str">
        <f>+IF(AG1787=$AL$22,MONTH(V1787),"")</f>
        <v/>
      </c>
      <c r="AM1787" s="86" t="str">
        <f>+IF($AG1787=$AM$22,MONTH($D1787),"")</f>
        <v/>
      </c>
      <c r="AN1787" s="89" t="str">
        <f>+IF($AG1787=AN$22,MONTH($D1787),"")</f>
        <v/>
      </c>
      <c r="AO1787" s="89" t="str">
        <f>+IF($AG1787=AO$22,MONTH($D1787),"")</f>
        <v/>
      </c>
      <c r="AP1787" s="89">
        <f>+IF($AG1787=AP$22,MONTH($D1787),"")</f>
        <v>9</v>
      </c>
      <c r="AQ1787" s="89" t="str">
        <f>+IF($AG1787=AQ$22,MONTH($D1787),"")</f>
        <v/>
      </c>
      <c r="AR1787" s="89" t="str">
        <f>+IF($AG1787=AR$22,MONTH($D1787),"")</f>
        <v/>
      </c>
      <c r="AS1787" s="89" t="str">
        <f>+IF($AG1787=AS$22,MONTH($D1787),"")</f>
        <v/>
      </c>
      <c r="AT1787" s="89" t="str">
        <f>+IF($AG1787=AT$22,MONTH($D1787),"")</f>
        <v/>
      </c>
      <c r="AU1787" s="89" t="str">
        <f>+IF($AG1787=AU$22,MONTH($D1787),"")</f>
        <v/>
      </c>
      <c r="AV1787" s="89" t="str">
        <f>+IF($AG1787=AV$22,MONTH($D1787),"")</f>
        <v/>
      </c>
      <c r="AW1787" s="86" t="str">
        <f>+IF($AG1787=AW$22,MONTH($D1787),"")</f>
        <v/>
      </c>
      <c r="AX1787" s="86" t="str">
        <f>+IF($AG1787=AX$22,MONTH($D1787),"")</f>
        <v/>
      </c>
      <c r="AY1787" s="182"/>
      <c r="AZ1787" s="182"/>
      <c r="BA1787" s="182"/>
      <c r="BB1787" s="182"/>
      <c r="BC1787" s="182"/>
      <c r="BD1787" s="182"/>
      <c r="BE1787" s="182"/>
      <c r="BF1787" s="182"/>
      <c r="BG1787" s="182"/>
      <c r="BH1787" s="182"/>
      <c r="BI1787" s="182"/>
      <c r="BJ1787" s="89"/>
      <c r="BK1787" s="89"/>
      <c r="BL1787" s="89"/>
      <c r="BM1787" s="89"/>
      <c r="BN1787" s="89"/>
      <c r="BO1787" s="89"/>
      <c r="BP1787" s="89"/>
    </row>
    <row r="1788" spans="1:68" s="56" customFormat="1" ht="13.5" hidden="1">
      <c r="A1788" s="204" t="str">
        <f>+IFERROR(VALUE(MID(AB1788,4,4)),"")</f>
        <v/>
      </c>
      <c r="B1788" s="204">
        <f>VALUE(RIGHT(C1788,LEN(C1788)-2))</f>
        <v>937</v>
      </c>
      <c r="C1788" s="74" t="s">
        <v>6345</v>
      </c>
      <c r="D1788" s="75">
        <v>43369</v>
      </c>
      <c r="E1788" s="70" t="s">
        <v>4114</v>
      </c>
      <c r="F1788" s="70" t="s">
        <v>4114</v>
      </c>
      <c r="G1788" s="68"/>
      <c r="H1788" s="59"/>
      <c r="I1788" s="162" t="s">
        <v>6346</v>
      </c>
      <c r="J1788" s="162"/>
      <c r="K1788" s="68"/>
      <c r="L1788" s="69" t="s">
        <v>120</v>
      </c>
      <c r="M1788" s="71" t="s">
        <v>141</v>
      </c>
      <c r="N1788" s="69" t="e" vm="1">
        <v>#VALUE!</v>
      </c>
      <c r="O1788" s="164"/>
      <c r="P1788" s="72"/>
      <c r="Q1788" s="72"/>
      <c r="R1788" s="162"/>
      <c r="S1788" s="146" t="s">
        <v>6347</v>
      </c>
      <c r="T1788" s="68" t="s">
        <v>155</v>
      </c>
      <c r="U1788" s="87"/>
      <c r="V1788" s="183"/>
      <c r="W1788" s="73"/>
      <c r="X1788" s="73"/>
      <c r="Y1788" s="83" t="str">
        <f>IF(SUM(W1788:W1788)&gt;0,X1788/SUM(W1788:W1788)*1000000,"N/A")</f>
        <v>N/A</v>
      </c>
      <c r="Z1788" s="183"/>
      <c r="AA1788" s="183"/>
      <c r="AB1788" s="73"/>
      <c r="AC1788" s="153"/>
      <c r="AD1788" s="331"/>
      <c r="AE1788" s="57"/>
      <c r="AF1788" s="88"/>
      <c r="AG1788" s="182">
        <f>YEAR(D1788)</f>
        <v>2018</v>
      </c>
      <c r="AH1788" s="86" t="str">
        <f>+IF(AE1788=$AJ$22,MONTH(T1788),"")</f>
        <v/>
      </c>
      <c r="AI1788" s="86" t="str">
        <f>+IF(AF1788=$AJ$22,MONTH(U1788),"")</f>
        <v/>
      </c>
      <c r="AJ1788" s="86" t="str">
        <f>+IF(AG1788=$AJ$22,MONTH(V1788),"")</f>
        <v/>
      </c>
      <c r="AK1788" s="86" t="str">
        <f>+IF(AG1788=$AK$22,MONTH(V1788),"")</f>
        <v/>
      </c>
      <c r="AL1788" s="86" t="str">
        <f>+IF(AG1788=$AL$22,MONTH(V1788),"")</f>
        <v/>
      </c>
      <c r="AM1788" s="86" t="str">
        <f>+IF($AG1788=$AM$22,MONTH($D1788),"")</f>
        <v/>
      </c>
      <c r="AN1788" s="89" t="str">
        <f>+IF($AG1788=AN$22,MONTH($D1788),"")</f>
        <v/>
      </c>
      <c r="AO1788" s="89" t="str">
        <f>+IF($AG1788=AO$22,MONTH($D1788),"")</f>
        <v/>
      </c>
      <c r="AP1788" s="89">
        <f>+IF($AG1788=AP$22,MONTH($D1788),"")</f>
        <v>9</v>
      </c>
      <c r="AQ1788" s="89" t="str">
        <f>+IF($AG1788=AQ$22,MONTH($D1788),"")</f>
        <v/>
      </c>
      <c r="AR1788" s="89" t="str">
        <f>+IF($AG1788=AR$22,MONTH($D1788),"")</f>
        <v/>
      </c>
      <c r="AS1788" s="89" t="str">
        <f>+IF($AG1788=AS$22,MONTH($D1788),"")</f>
        <v/>
      </c>
      <c r="AT1788" s="89" t="str">
        <f>+IF($AG1788=AT$22,MONTH($D1788),"")</f>
        <v/>
      </c>
      <c r="AU1788" s="89" t="str">
        <f>+IF($AG1788=AU$22,MONTH($D1788),"")</f>
        <v/>
      </c>
      <c r="AV1788" s="89" t="str">
        <f>+IF($AG1788=AV$22,MONTH($D1788),"")</f>
        <v/>
      </c>
      <c r="AW1788" s="86" t="str">
        <f>+IF($AG1788=AW$22,MONTH($D1788),"")</f>
        <v/>
      </c>
      <c r="AX1788" s="86" t="str">
        <f>+IF($AG1788=AX$22,MONTH($D1788),"")</f>
        <v/>
      </c>
      <c r="AY1788" s="182"/>
      <c r="AZ1788" s="182"/>
      <c r="BA1788" s="182"/>
      <c r="BB1788" s="182"/>
      <c r="BC1788" s="182"/>
      <c r="BD1788" s="182"/>
      <c r="BE1788" s="182"/>
      <c r="BF1788" s="182"/>
      <c r="BG1788" s="182"/>
      <c r="BH1788" s="182"/>
      <c r="BI1788" s="182"/>
      <c r="BJ1788" s="89"/>
      <c r="BK1788" s="89"/>
      <c r="BL1788" s="89"/>
      <c r="BM1788" s="89"/>
      <c r="BN1788" s="89"/>
      <c r="BO1788" s="89"/>
      <c r="BP1788" s="89"/>
    </row>
    <row r="1789" spans="1:68" s="56" customFormat="1" ht="13.5" hidden="1">
      <c r="A1789" s="204" t="str">
        <f>+IFERROR(VALUE(MID(AB1789,4,4)),"")</f>
        <v/>
      </c>
      <c r="B1789" s="204">
        <f>VALUE(RIGHT(C1789,LEN(C1789)-2))</f>
        <v>936</v>
      </c>
      <c r="C1789" s="74" t="s">
        <v>6348</v>
      </c>
      <c r="D1789" s="75">
        <v>43368</v>
      </c>
      <c r="E1789" s="70" t="s">
        <v>4114</v>
      </c>
      <c r="F1789" s="70" t="s">
        <v>4114</v>
      </c>
      <c r="G1789" s="68"/>
      <c r="H1789" s="59"/>
      <c r="I1789" s="162" t="s">
        <v>6349</v>
      </c>
      <c r="J1789" s="162"/>
      <c r="K1789" s="68" t="s">
        <v>45</v>
      </c>
      <c r="L1789" s="69" t="s">
        <v>120</v>
      </c>
      <c r="M1789" s="71" t="s">
        <v>141</v>
      </c>
      <c r="N1789" s="69" t="e" vm="1">
        <v>#VALUE!</v>
      </c>
      <c r="O1789" s="164"/>
      <c r="P1789" s="72" t="s">
        <v>4567</v>
      </c>
      <c r="Q1789" s="72"/>
      <c r="R1789" s="162"/>
      <c r="S1789" s="146"/>
      <c r="T1789" s="68" t="s">
        <v>165</v>
      </c>
      <c r="U1789" s="87"/>
      <c r="V1789" s="183">
        <v>43369</v>
      </c>
      <c r="W1789" s="73">
        <v>5142.5</v>
      </c>
      <c r="X1789" s="73">
        <f>4960*27346.52/1000000</f>
        <v>135.63873919999997</v>
      </c>
      <c r="Y1789" s="83">
        <f>IF(SUM(W1789:W1789)&gt;0,X1789/SUM(W1789:W1789)*1000000,"N/A")</f>
        <v>26376.030957705392</v>
      </c>
      <c r="Z1789" s="183"/>
      <c r="AA1789" s="183"/>
      <c r="AB1789" s="73"/>
      <c r="AC1789" s="153"/>
      <c r="AD1789" s="331"/>
      <c r="AE1789" s="57"/>
      <c r="AF1789" s="88"/>
      <c r="AG1789" s="182">
        <f>YEAR(D1789)</f>
        <v>2018</v>
      </c>
      <c r="AH1789" s="86" t="str">
        <f>+IF(AE1789=$AJ$22,MONTH(T1789),"")</f>
        <v/>
      </c>
      <c r="AI1789" s="86" t="str">
        <f>+IF(AF1789=$AJ$22,MONTH(U1789),"")</f>
        <v/>
      </c>
      <c r="AJ1789" s="86" t="str">
        <f>+IF(AG1789=$AJ$22,MONTH(V1789),"")</f>
        <v/>
      </c>
      <c r="AK1789" s="86" t="str">
        <f>+IF(AG1789=$AK$22,MONTH(V1789),"")</f>
        <v/>
      </c>
      <c r="AL1789" s="86" t="str">
        <f>+IF(AG1789=$AL$22,MONTH(V1789),"")</f>
        <v/>
      </c>
      <c r="AM1789" s="86" t="str">
        <f>+IF($AG1789=$AM$22,MONTH($D1789),"")</f>
        <v/>
      </c>
      <c r="AN1789" s="89" t="str">
        <f>+IF($AG1789=AN$22,MONTH($D1789),"")</f>
        <v/>
      </c>
      <c r="AO1789" s="89" t="str">
        <f>+IF($AG1789=AO$22,MONTH($D1789),"")</f>
        <v/>
      </c>
      <c r="AP1789" s="89">
        <f>+IF($AG1789=AP$22,MONTH($D1789),"")</f>
        <v>9</v>
      </c>
      <c r="AQ1789" s="89" t="str">
        <f>+IF($AG1789=AQ$22,MONTH($D1789),"")</f>
        <v/>
      </c>
      <c r="AR1789" s="89" t="str">
        <f>+IF($AG1789=AR$22,MONTH($D1789),"")</f>
        <v/>
      </c>
      <c r="AS1789" s="89" t="str">
        <f>+IF($AG1789=AS$22,MONTH($D1789),"")</f>
        <v/>
      </c>
      <c r="AT1789" s="89" t="str">
        <f>+IF($AG1789=AT$22,MONTH($D1789),"")</f>
        <v/>
      </c>
      <c r="AU1789" s="89" t="str">
        <f>+IF($AG1789=AU$22,MONTH($D1789),"")</f>
        <v/>
      </c>
      <c r="AV1789" s="89" t="str">
        <f>+IF($AG1789=AV$22,MONTH($D1789),"")</f>
        <v/>
      </c>
      <c r="AW1789" s="86" t="str">
        <f>+IF($AG1789=AW$22,MONTH($D1789),"")</f>
        <v/>
      </c>
      <c r="AX1789" s="86" t="str">
        <f>+IF($AG1789=AX$22,MONTH($D1789),"")</f>
        <v/>
      </c>
      <c r="AY1789" s="182"/>
      <c r="AZ1789" s="182"/>
      <c r="BA1789" s="182"/>
      <c r="BB1789" s="182"/>
      <c r="BC1789" s="182"/>
      <c r="BD1789" s="182"/>
      <c r="BE1789" s="182"/>
      <c r="BF1789" s="182"/>
      <c r="BG1789" s="182"/>
      <c r="BH1789" s="182"/>
      <c r="BI1789" s="182"/>
      <c r="BJ1789" s="89"/>
      <c r="BK1789" s="89"/>
      <c r="BL1789" s="89"/>
      <c r="BM1789" s="89"/>
      <c r="BN1789" s="89"/>
      <c r="BO1789" s="89"/>
      <c r="BP1789" s="89"/>
    </row>
    <row r="1790" spans="1:68" s="56" customFormat="1" ht="13.5" hidden="1">
      <c r="A1790" s="204" t="str">
        <f>+IFERROR(VALUE(MID(AB1790,4,4)),"")</f>
        <v/>
      </c>
      <c r="B1790" s="204">
        <f>VALUE(RIGHT(C1790,LEN(C1790)-2))</f>
        <v>935</v>
      </c>
      <c r="C1790" s="74" t="s">
        <v>6350</v>
      </c>
      <c r="D1790" s="75">
        <v>43368</v>
      </c>
      <c r="E1790" s="70" t="s">
        <v>4114</v>
      </c>
      <c r="F1790" s="70" t="s">
        <v>4114</v>
      </c>
      <c r="G1790" s="68"/>
      <c r="H1790" s="59"/>
      <c r="I1790" s="162" t="s">
        <v>6351</v>
      </c>
      <c r="J1790" s="162"/>
      <c r="K1790" s="68" t="s">
        <v>45</v>
      </c>
      <c r="L1790" s="69" t="s">
        <v>120</v>
      </c>
      <c r="M1790" s="71" t="s">
        <v>141</v>
      </c>
      <c r="N1790" s="69" t="e" vm="1">
        <v>#VALUE!</v>
      </c>
      <c r="O1790" s="164"/>
      <c r="P1790" s="72" t="s">
        <v>4567</v>
      </c>
      <c r="Q1790" s="72"/>
      <c r="R1790" s="162"/>
      <c r="S1790" s="146"/>
      <c r="T1790" s="68" t="s">
        <v>165</v>
      </c>
      <c r="U1790" s="87"/>
      <c r="V1790" s="183">
        <v>43371</v>
      </c>
      <c r="W1790" s="73">
        <v>552.5</v>
      </c>
      <c r="X1790" s="73">
        <f>2397*27346.52/1000000</f>
        <v>65.54960844</v>
      </c>
      <c r="Y1790" s="83">
        <f>IF(SUM(W1790:W1790)&gt;0,X1790/SUM(W1790:W1790)*1000000,"N/A")</f>
        <v>118641.82523076923</v>
      </c>
      <c r="Z1790" s="183"/>
      <c r="AA1790" s="183"/>
      <c r="AB1790" s="73"/>
      <c r="AC1790" s="153"/>
      <c r="AD1790" s="331"/>
      <c r="AE1790" s="57"/>
      <c r="AF1790" s="88"/>
      <c r="AG1790" s="182">
        <f>YEAR(D1790)</f>
        <v>2018</v>
      </c>
      <c r="AH1790" s="86" t="str">
        <f>+IF(AE1790=$AJ$22,MONTH(T1790),"")</f>
        <v/>
      </c>
      <c r="AI1790" s="86" t="str">
        <f>+IF(AF1790=$AJ$22,MONTH(U1790),"")</f>
        <v/>
      </c>
      <c r="AJ1790" s="86" t="str">
        <f>+IF(AG1790=$AJ$22,MONTH(V1790),"")</f>
        <v/>
      </c>
      <c r="AK1790" s="86" t="str">
        <f>+IF(AG1790=$AK$22,MONTH(V1790),"")</f>
        <v/>
      </c>
      <c r="AL1790" s="86" t="str">
        <f>+IF(AG1790=$AL$22,MONTH(V1790),"")</f>
        <v/>
      </c>
      <c r="AM1790" s="86" t="str">
        <f>+IF($AG1790=$AM$22,MONTH($D1790),"")</f>
        <v/>
      </c>
      <c r="AN1790" s="89" t="str">
        <f>+IF($AG1790=AN$22,MONTH($D1790),"")</f>
        <v/>
      </c>
      <c r="AO1790" s="89" t="str">
        <f>+IF($AG1790=AO$22,MONTH($D1790),"")</f>
        <v/>
      </c>
      <c r="AP1790" s="89">
        <f>+IF($AG1790=AP$22,MONTH($D1790),"")</f>
        <v>9</v>
      </c>
      <c r="AQ1790" s="89" t="str">
        <f>+IF($AG1790=AQ$22,MONTH($D1790),"")</f>
        <v/>
      </c>
      <c r="AR1790" s="89" t="str">
        <f>+IF($AG1790=AR$22,MONTH($D1790),"")</f>
        <v/>
      </c>
      <c r="AS1790" s="89" t="str">
        <f>+IF($AG1790=AS$22,MONTH($D1790),"")</f>
        <v/>
      </c>
      <c r="AT1790" s="89" t="str">
        <f>+IF($AG1790=AT$22,MONTH($D1790),"")</f>
        <v/>
      </c>
      <c r="AU1790" s="89" t="str">
        <f>+IF($AG1790=AU$22,MONTH($D1790),"")</f>
        <v/>
      </c>
      <c r="AV1790" s="89" t="str">
        <f>+IF($AG1790=AV$22,MONTH($D1790),"")</f>
        <v/>
      </c>
      <c r="AW1790" s="86" t="str">
        <f>+IF($AG1790=AW$22,MONTH($D1790),"")</f>
        <v/>
      </c>
      <c r="AX1790" s="86" t="str">
        <f>+IF($AG1790=AX$22,MONTH($D1790),"")</f>
        <v/>
      </c>
      <c r="AY1790" s="182"/>
      <c r="AZ1790" s="182"/>
      <c r="BA1790" s="182"/>
      <c r="BB1790" s="182"/>
      <c r="BC1790" s="182"/>
      <c r="BD1790" s="182"/>
      <c r="BE1790" s="182"/>
      <c r="BF1790" s="182"/>
      <c r="BG1790" s="182"/>
      <c r="BH1790" s="182"/>
      <c r="BI1790" s="182"/>
      <c r="BJ1790" s="89"/>
      <c r="BK1790" s="89"/>
      <c r="BL1790" s="89"/>
      <c r="BM1790" s="89"/>
      <c r="BN1790" s="89"/>
      <c r="BO1790" s="89"/>
      <c r="BP1790" s="89"/>
    </row>
    <row r="1791" spans="1:68" s="56" customFormat="1" ht="13.5" hidden="1">
      <c r="A1791" s="204">
        <f>+IFERROR(VALUE(MID(AB1791,4,4)),"")</f>
        <v>205</v>
      </c>
      <c r="B1791" s="204">
        <f>VALUE(RIGHT(C1791,LEN(C1791)-2))</f>
        <v>934</v>
      </c>
      <c r="C1791" s="74" t="s">
        <v>6352</v>
      </c>
      <c r="D1791" s="75">
        <v>43364</v>
      </c>
      <c r="E1791" s="70" t="s">
        <v>5621</v>
      </c>
      <c r="F1791" s="70" t="s">
        <v>5621</v>
      </c>
      <c r="G1791" s="68"/>
      <c r="H1791" s="59"/>
      <c r="I1791" s="162" t="s">
        <v>6353</v>
      </c>
      <c r="J1791" s="162"/>
      <c r="K1791" s="68" t="s">
        <v>12</v>
      </c>
      <c r="L1791" s="69" t="s">
        <v>120</v>
      </c>
      <c r="M1791" s="71" t="s">
        <v>141</v>
      </c>
      <c r="N1791" s="69" t="e" vm="1">
        <v>#VALUE!</v>
      </c>
      <c r="O1791" s="164"/>
      <c r="P1791" s="72" t="s">
        <v>402</v>
      </c>
      <c r="Q1791" s="72" t="s">
        <v>1097</v>
      </c>
      <c r="R1791" s="162"/>
      <c r="S1791" s="146"/>
      <c r="T1791" s="68" t="s">
        <v>3</v>
      </c>
      <c r="U1791" s="87"/>
      <c r="V1791" s="183">
        <v>43389</v>
      </c>
      <c r="W1791" s="73">
        <v>1022</v>
      </c>
      <c r="X1791" s="73">
        <f>1395.45*27500/1000000</f>
        <v>38.374875000000003</v>
      </c>
      <c r="Y1791" s="83">
        <f>IF(SUM(W1791:W1791)&gt;0,X1791/SUM(W1791:W1791)*1000000,"N/A")</f>
        <v>37548.801369863017</v>
      </c>
      <c r="Z1791" s="183"/>
      <c r="AA1791" s="183"/>
      <c r="AB1791" s="73" t="s">
        <v>6354</v>
      </c>
      <c r="AC1791" s="153"/>
      <c r="AD1791" s="331"/>
      <c r="AE1791" s="57"/>
      <c r="AF1791" s="88"/>
      <c r="AG1791" s="182">
        <f>YEAR(D1791)</f>
        <v>2018</v>
      </c>
      <c r="AH1791" s="86" t="str">
        <f>+IF(AE1791=$AJ$22,MONTH(T1791),"")</f>
        <v/>
      </c>
      <c r="AI1791" s="86" t="str">
        <f>+IF(AF1791=$AJ$22,MONTH(U1791),"")</f>
        <v/>
      </c>
      <c r="AJ1791" s="86" t="str">
        <f>+IF(AG1791=$AJ$22,MONTH(V1791),"")</f>
        <v/>
      </c>
      <c r="AK1791" s="86" t="str">
        <f>+IF(AG1791=$AK$22,MONTH(V1791),"")</f>
        <v/>
      </c>
      <c r="AL1791" s="86" t="str">
        <f>+IF(AG1791=$AL$22,MONTH(V1791),"")</f>
        <v/>
      </c>
      <c r="AM1791" s="86" t="str">
        <f>+IF($AG1791=$AM$22,MONTH($D1791),"")</f>
        <v/>
      </c>
      <c r="AN1791" s="89" t="str">
        <f>+IF($AG1791=AN$22,MONTH($D1791),"")</f>
        <v/>
      </c>
      <c r="AO1791" s="89" t="str">
        <f>+IF($AG1791=AO$22,MONTH($D1791),"")</f>
        <v/>
      </c>
      <c r="AP1791" s="89">
        <f>+IF($AG1791=AP$22,MONTH($D1791),"")</f>
        <v>9</v>
      </c>
      <c r="AQ1791" s="89" t="str">
        <f>+IF($AG1791=AQ$22,MONTH($D1791),"")</f>
        <v/>
      </c>
      <c r="AR1791" s="89" t="str">
        <f>+IF($AG1791=AR$22,MONTH($D1791),"")</f>
        <v/>
      </c>
      <c r="AS1791" s="89" t="str">
        <f>+IF($AG1791=AS$22,MONTH($D1791),"")</f>
        <v/>
      </c>
      <c r="AT1791" s="89" t="str">
        <f>+IF($AG1791=AT$22,MONTH($D1791),"")</f>
        <v/>
      </c>
      <c r="AU1791" s="89" t="str">
        <f>+IF($AG1791=AU$22,MONTH($D1791),"")</f>
        <v/>
      </c>
      <c r="AV1791" s="89" t="str">
        <f>+IF($AG1791=AV$22,MONTH($D1791),"")</f>
        <v/>
      </c>
      <c r="AW1791" s="86" t="str">
        <f>+IF($AG1791=AW$22,MONTH($D1791),"")</f>
        <v/>
      </c>
      <c r="AX1791" s="86" t="str">
        <f>+IF($AG1791=AX$22,MONTH($D1791),"")</f>
        <v/>
      </c>
      <c r="AY1791" s="182"/>
      <c r="AZ1791" s="182"/>
      <c r="BA1791" s="182"/>
      <c r="BB1791" s="182"/>
      <c r="BC1791" s="182"/>
      <c r="BD1791" s="182"/>
      <c r="BE1791" s="182"/>
      <c r="BF1791" s="182"/>
      <c r="BG1791" s="182"/>
      <c r="BH1791" s="182"/>
      <c r="BI1791" s="182"/>
      <c r="BJ1791" s="89"/>
      <c r="BK1791" s="89"/>
      <c r="BL1791" s="89"/>
      <c r="BM1791" s="89"/>
      <c r="BN1791" s="89"/>
      <c r="BO1791" s="89"/>
      <c r="BP1791" s="89"/>
    </row>
    <row r="1792" spans="1:68" s="56" customFormat="1" ht="27" hidden="1">
      <c r="A1792" s="204">
        <f>+IFERROR(VALUE(MID(AB1792,4,4)),"")</f>
        <v>158</v>
      </c>
      <c r="B1792" s="204">
        <f>VALUE(RIGHT(C1792,LEN(C1792)-2))</f>
        <v>933</v>
      </c>
      <c r="C1792" s="74" t="s">
        <v>6355</v>
      </c>
      <c r="D1792" s="75">
        <v>43363</v>
      </c>
      <c r="E1792" s="70" t="s">
        <v>41</v>
      </c>
      <c r="F1792" s="70" t="s">
        <v>41</v>
      </c>
      <c r="G1792" s="68"/>
      <c r="H1792" s="59"/>
      <c r="I1792" s="162" t="s">
        <v>6356</v>
      </c>
      <c r="J1792" s="162"/>
      <c r="K1792" s="68" t="s">
        <v>25</v>
      </c>
      <c r="L1792" s="69" t="s">
        <v>120</v>
      </c>
      <c r="M1792" s="71" t="s">
        <v>141</v>
      </c>
      <c r="N1792" s="69" t="e" vm="1">
        <v>#VALUE!</v>
      </c>
      <c r="O1792" s="164"/>
      <c r="P1792" s="72" t="s">
        <v>5516</v>
      </c>
      <c r="Q1792" s="72" t="s">
        <v>229</v>
      </c>
      <c r="R1792" s="162"/>
      <c r="S1792" s="146"/>
      <c r="T1792" s="68" t="s">
        <v>3</v>
      </c>
      <c r="U1792" s="87"/>
      <c r="V1792" s="183">
        <v>43364</v>
      </c>
      <c r="W1792" s="73">
        <v>360</v>
      </c>
      <c r="X1792" s="73">
        <f>330*27346.52/1000000</f>
        <v>9.0243515999999993</v>
      </c>
      <c r="Y1792" s="83">
        <f>IF(SUM(W1792:W1792)&gt;0,X1792/SUM(W1792:W1792)*1000000,"N/A")</f>
        <v>25067.64333333333</v>
      </c>
      <c r="Z1792" s="183"/>
      <c r="AA1792" s="183"/>
      <c r="AB1792" s="73" t="s">
        <v>6357</v>
      </c>
      <c r="AC1792" s="153"/>
      <c r="AD1792" s="331"/>
      <c r="AE1792" s="57"/>
      <c r="AF1792" s="88"/>
      <c r="AG1792" s="182">
        <f>YEAR(D1792)</f>
        <v>2018</v>
      </c>
      <c r="AH1792" s="86" t="str">
        <f>+IF(AE1792=$AJ$22,MONTH(T1792),"")</f>
        <v/>
      </c>
      <c r="AI1792" s="86" t="str">
        <f>+IF(AF1792=$AJ$22,MONTH(U1792),"")</f>
        <v/>
      </c>
      <c r="AJ1792" s="86" t="str">
        <f>+IF(AG1792=$AJ$22,MONTH(V1792),"")</f>
        <v/>
      </c>
      <c r="AK1792" s="86" t="str">
        <f>+IF(AG1792=$AK$22,MONTH(V1792),"")</f>
        <v/>
      </c>
      <c r="AL1792" s="86" t="str">
        <f>+IF(AG1792=$AL$22,MONTH(V1792),"")</f>
        <v/>
      </c>
      <c r="AM1792" s="86" t="str">
        <f>+IF($AG1792=$AM$22,MONTH($D1792),"")</f>
        <v/>
      </c>
      <c r="AN1792" s="89" t="str">
        <f>+IF($AG1792=AN$22,MONTH($D1792),"")</f>
        <v/>
      </c>
      <c r="AO1792" s="89" t="str">
        <f>+IF($AG1792=AO$22,MONTH($D1792),"")</f>
        <v/>
      </c>
      <c r="AP1792" s="89">
        <f>+IF($AG1792=AP$22,MONTH($D1792),"")</f>
        <v>9</v>
      </c>
      <c r="AQ1792" s="89" t="str">
        <f>+IF($AG1792=AQ$22,MONTH($D1792),"")</f>
        <v/>
      </c>
      <c r="AR1792" s="89" t="str">
        <f>+IF($AG1792=AR$22,MONTH($D1792),"")</f>
        <v/>
      </c>
      <c r="AS1792" s="89" t="str">
        <f>+IF($AG1792=AS$22,MONTH($D1792),"")</f>
        <v/>
      </c>
      <c r="AT1792" s="89" t="str">
        <f>+IF($AG1792=AT$22,MONTH($D1792),"")</f>
        <v/>
      </c>
      <c r="AU1792" s="89" t="str">
        <f>+IF($AG1792=AU$22,MONTH($D1792),"")</f>
        <v/>
      </c>
      <c r="AV1792" s="89" t="str">
        <f>+IF($AG1792=AV$22,MONTH($D1792),"")</f>
        <v/>
      </c>
      <c r="AW1792" s="86" t="str">
        <f>+IF($AG1792=AW$22,MONTH($D1792),"")</f>
        <v/>
      </c>
      <c r="AX1792" s="86" t="str">
        <f>+IF($AG1792=AX$22,MONTH($D1792),"")</f>
        <v/>
      </c>
      <c r="AY1792" s="182"/>
      <c r="AZ1792" s="182"/>
      <c r="BA1792" s="182"/>
      <c r="BB1792" s="182"/>
      <c r="BC1792" s="182"/>
      <c r="BD1792" s="182"/>
      <c r="BE1792" s="182"/>
      <c r="BF1792" s="182"/>
      <c r="BG1792" s="182"/>
      <c r="BH1792" s="182"/>
      <c r="BI1792" s="182"/>
      <c r="BJ1792" s="89"/>
      <c r="BK1792" s="89"/>
      <c r="BL1792" s="89"/>
      <c r="BM1792" s="89"/>
      <c r="BN1792" s="89"/>
      <c r="BO1792" s="89"/>
      <c r="BP1792" s="89"/>
    </row>
    <row r="1793" spans="1:68" s="56" customFormat="1" ht="13.5" hidden="1">
      <c r="A1793" s="204">
        <f>+IFERROR(VALUE(MID(AB1793,4,4)),"")</f>
        <v>203</v>
      </c>
      <c r="B1793" s="204">
        <f>VALUE(RIGHT(C1793,LEN(C1793)-2))</f>
        <v>932</v>
      </c>
      <c r="C1793" s="74" t="s">
        <v>6358</v>
      </c>
      <c r="D1793" s="75">
        <v>43363</v>
      </c>
      <c r="E1793" s="70" t="s">
        <v>685</v>
      </c>
      <c r="F1793" s="70" t="s">
        <v>685</v>
      </c>
      <c r="G1793" s="68"/>
      <c r="H1793" s="59"/>
      <c r="I1793" s="162" t="s">
        <v>6359</v>
      </c>
      <c r="J1793" s="162"/>
      <c r="K1793" s="68"/>
      <c r="L1793" s="69" t="s">
        <v>120</v>
      </c>
      <c r="M1793" s="71" t="s">
        <v>141</v>
      </c>
      <c r="N1793" s="69" t="e" vm="1">
        <v>#VALUE!</v>
      </c>
      <c r="O1793" s="164"/>
      <c r="P1793" s="72" t="s">
        <v>402</v>
      </c>
      <c r="Q1793" s="72" t="s">
        <v>229</v>
      </c>
      <c r="R1793" s="162"/>
      <c r="S1793" s="146"/>
      <c r="T1793" s="68" t="s">
        <v>3</v>
      </c>
      <c r="U1793" s="87"/>
      <c r="V1793" s="183">
        <v>43364</v>
      </c>
      <c r="W1793" s="73">
        <v>179</v>
      </c>
      <c r="X1793" s="73">
        <f>10345000/1000000</f>
        <v>10.345000000000001</v>
      </c>
      <c r="Y1793" s="83">
        <f>IF(SUM(W1793:W1793)&gt;0,X1793/SUM(W1793:W1793)*1000000,"N/A")</f>
        <v>57793.296089385476</v>
      </c>
      <c r="Z1793" s="183"/>
      <c r="AA1793" s="183"/>
      <c r="AB1793" s="73" t="s">
        <v>6360</v>
      </c>
      <c r="AC1793" s="153"/>
      <c r="AD1793" s="331"/>
      <c r="AE1793" s="57"/>
      <c r="AF1793" s="88"/>
      <c r="AG1793" s="182">
        <f>YEAR(D1793)</f>
        <v>2018</v>
      </c>
      <c r="AH1793" s="86" t="str">
        <f>+IF(AE1793=$AJ$22,MONTH(T1793),"")</f>
        <v/>
      </c>
      <c r="AI1793" s="86" t="str">
        <f>+IF(AF1793=$AJ$22,MONTH(U1793),"")</f>
        <v/>
      </c>
      <c r="AJ1793" s="86" t="str">
        <f>+IF(AG1793=$AJ$22,MONTH(V1793),"")</f>
        <v/>
      </c>
      <c r="AK1793" s="86" t="str">
        <f>+IF(AG1793=$AK$22,MONTH(V1793),"")</f>
        <v/>
      </c>
      <c r="AL1793" s="86" t="str">
        <f>+IF(AG1793=$AL$22,MONTH(V1793),"")</f>
        <v/>
      </c>
      <c r="AM1793" s="86" t="str">
        <f>+IF($AG1793=$AM$22,MONTH($D1793),"")</f>
        <v/>
      </c>
      <c r="AN1793" s="89" t="str">
        <f>+IF($AG1793=AN$22,MONTH($D1793),"")</f>
        <v/>
      </c>
      <c r="AO1793" s="89" t="str">
        <f>+IF($AG1793=AO$22,MONTH($D1793),"")</f>
        <v/>
      </c>
      <c r="AP1793" s="89">
        <f>+IF($AG1793=AP$22,MONTH($D1793),"")</f>
        <v>9</v>
      </c>
      <c r="AQ1793" s="89" t="str">
        <f>+IF($AG1793=AQ$22,MONTH($D1793),"")</f>
        <v/>
      </c>
      <c r="AR1793" s="89" t="str">
        <f>+IF($AG1793=AR$22,MONTH($D1793),"")</f>
        <v/>
      </c>
      <c r="AS1793" s="89" t="str">
        <f>+IF($AG1793=AS$22,MONTH($D1793),"")</f>
        <v/>
      </c>
      <c r="AT1793" s="89" t="str">
        <f>+IF($AG1793=AT$22,MONTH($D1793),"")</f>
        <v/>
      </c>
      <c r="AU1793" s="89" t="str">
        <f>+IF($AG1793=AU$22,MONTH($D1793),"")</f>
        <v/>
      </c>
      <c r="AV1793" s="89" t="str">
        <f>+IF($AG1793=AV$22,MONTH($D1793),"")</f>
        <v/>
      </c>
      <c r="AW1793" s="86" t="str">
        <f>+IF($AG1793=AW$22,MONTH($D1793),"")</f>
        <v/>
      </c>
      <c r="AX1793" s="86" t="str">
        <f>+IF($AG1793=AX$22,MONTH($D1793),"")</f>
        <v/>
      </c>
      <c r="AY1793" s="182"/>
      <c r="AZ1793" s="182"/>
      <c r="BA1793" s="182"/>
      <c r="BB1793" s="182"/>
      <c r="BC1793" s="182"/>
      <c r="BD1793" s="182"/>
      <c r="BE1793" s="182"/>
      <c r="BF1793" s="182"/>
      <c r="BG1793" s="182"/>
      <c r="BH1793" s="182"/>
      <c r="BI1793" s="182"/>
      <c r="BJ1793" s="89"/>
      <c r="BK1793" s="89"/>
      <c r="BL1793" s="89"/>
      <c r="BM1793" s="89"/>
      <c r="BN1793" s="89"/>
      <c r="BO1793" s="89"/>
      <c r="BP1793" s="89"/>
    </row>
    <row r="1794" spans="1:68" s="56" customFormat="1" ht="13.5" hidden="1">
      <c r="A1794" s="204" t="str">
        <f>+IFERROR(VALUE(MID(AB1794,4,4)),"")</f>
        <v/>
      </c>
      <c r="B1794" s="204">
        <f>VALUE(RIGHT(C1794,LEN(C1794)-2))</f>
        <v>931</v>
      </c>
      <c r="C1794" s="74" t="s">
        <v>6361</v>
      </c>
      <c r="D1794" s="75">
        <v>43340</v>
      </c>
      <c r="E1794" s="70" t="s">
        <v>52</v>
      </c>
      <c r="F1794" s="70" t="s">
        <v>52</v>
      </c>
      <c r="G1794" s="68"/>
      <c r="H1794" s="59"/>
      <c r="I1794" s="162" t="s">
        <v>6362</v>
      </c>
      <c r="J1794" s="162"/>
      <c r="K1794" s="68" t="s">
        <v>30</v>
      </c>
      <c r="L1794" s="69" t="s">
        <v>120</v>
      </c>
      <c r="M1794" s="71" t="s">
        <v>113</v>
      </c>
      <c r="N1794" s="69" t="e" vm="4">
        <v>#VALUE!</v>
      </c>
      <c r="O1794" s="164"/>
      <c r="P1794" s="72" t="s">
        <v>274</v>
      </c>
      <c r="Q1794" s="72"/>
      <c r="R1794" s="162"/>
      <c r="S1794" s="146"/>
      <c r="T1794" s="68" t="s">
        <v>165</v>
      </c>
      <c r="U1794" s="87"/>
      <c r="V1794" s="183">
        <v>43346</v>
      </c>
      <c r="W1794" s="73">
        <v>11631</v>
      </c>
      <c r="X1794" s="73">
        <f>6639214*202.92/1000000</f>
        <v>1347.22930488</v>
      </c>
      <c r="Y1794" s="83">
        <f>IF(SUM(W1794:W1794)&gt;0,X1794/SUM(W1794:W1794)*1000000,"N/A")</f>
        <v>115830.90919783337</v>
      </c>
      <c r="Z1794" s="183"/>
      <c r="AA1794" s="183"/>
      <c r="AB1794" s="73"/>
      <c r="AC1794" s="153"/>
      <c r="AD1794" s="331"/>
      <c r="AE1794" s="57"/>
      <c r="AF1794" s="88"/>
      <c r="AG1794" s="182">
        <f>YEAR(D1794)</f>
        <v>2018</v>
      </c>
      <c r="AH1794" s="86" t="str">
        <f>+IF(AE1794=$AJ$22,MONTH(T1794),"")</f>
        <v/>
      </c>
      <c r="AI1794" s="86" t="str">
        <f>+IF(AF1794=$AJ$22,MONTH(U1794),"")</f>
        <v/>
      </c>
      <c r="AJ1794" s="86" t="str">
        <f>+IF(AG1794=$AJ$22,MONTH(V1794),"")</f>
        <v/>
      </c>
      <c r="AK1794" s="86" t="str">
        <f>+IF(AG1794=$AK$22,MONTH(V1794),"")</f>
        <v/>
      </c>
      <c r="AL1794" s="86" t="str">
        <f>+IF(AG1794=$AL$22,MONTH(V1794),"")</f>
        <v/>
      </c>
      <c r="AM1794" s="86" t="str">
        <f>+IF($AG1794=$AM$22,MONTH($D1794),"")</f>
        <v/>
      </c>
      <c r="AN1794" s="89" t="str">
        <f>+IF($AG1794=AN$22,MONTH($D1794),"")</f>
        <v/>
      </c>
      <c r="AO1794" s="89" t="str">
        <f>+IF($AG1794=AO$22,MONTH($D1794),"")</f>
        <v/>
      </c>
      <c r="AP1794" s="89">
        <f>+IF($AG1794=AP$22,MONTH($D1794),"")</f>
        <v>8</v>
      </c>
      <c r="AQ1794" s="89" t="str">
        <f>+IF($AG1794=AQ$22,MONTH($D1794),"")</f>
        <v/>
      </c>
      <c r="AR1794" s="89" t="str">
        <f>+IF($AG1794=AR$22,MONTH($D1794),"")</f>
        <v/>
      </c>
      <c r="AS1794" s="89" t="str">
        <f>+IF($AG1794=AS$22,MONTH($D1794),"")</f>
        <v/>
      </c>
      <c r="AT1794" s="89" t="str">
        <f>+IF($AG1794=AT$22,MONTH($D1794),"")</f>
        <v/>
      </c>
      <c r="AU1794" s="89" t="str">
        <f>+IF($AG1794=AU$22,MONTH($D1794),"")</f>
        <v/>
      </c>
      <c r="AV1794" s="89" t="str">
        <f>+IF($AG1794=AV$22,MONTH($D1794),"")</f>
        <v/>
      </c>
      <c r="AW1794" s="86" t="str">
        <f>+IF($AG1794=AW$22,MONTH($D1794),"")</f>
        <v/>
      </c>
      <c r="AX1794" s="86" t="str">
        <f>+IF($AG1794=AX$22,MONTH($D1794),"")</f>
        <v/>
      </c>
      <c r="AY1794" s="182"/>
      <c r="AZ1794" s="182"/>
      <c r="BA1794" s="182"/>
      <c r="BB1794" s="182"/>
      <c r="BC1794" s="182"/>
      <c r="BD1794" s="182"/>
      <c r="BE1794" s="182"/>
      <c r="BF1794" s="182"/>
      <c r="BG1794" s="182"/>
      <c r="BH1794" s="182"/>
      <c r="BI1794" s="182"/>
      <c r="BJ1794" s="89"/>
      <c r="BK1794" s="89"/>
      <c r="BL1794" s="89"/>
      <c r="BM1794" s="89"/>
      <c r="BN1794" s="89"/>
      <c r="BO1794" s="89"/>
      <c r="BP1794" s="89"/>
    </row>
    <row r="1795" spans="1:68" s="56" customFormat="1" ht="40.5" hidden="1">
      <c r="A1795" s="204" t="str">
        <f>+IFERROR(VALUE(MID(AB1795,4,4)),"")</f>
        <v/>
      </c>
      <c r="B1795" s="204">
        <f>VALUE(RIGHT(C1795,LEN(C1795)-2))</f>
        <v>930</v>
      </c>
      <c r="C1795" s="74" t="s">
        <v>6363</v>
      </c>
      <c r="D1795" s="75">
        <v>43340</v>
      </c>
      <c r="E1795" s="70" t="s">
        <v>41</v>
      </c>
      <c r="F1795" s="70" t="s">
        <v>41</v>
      </c>
      <c r="G1795" s="68"/>
      <c r="H1795" s="59"/>
      <c r="I1795" s="162" t="s">
        <v>6364</v>
      </c>
      <c r="J1795" s="162"/>
      <c r="K1795" s="68" t="s">
        <v>25</v>
      </c>
      <c r="L1795" s="69" t="s">
        <v>120</v>
      </c>
      <c r="M1795" s="71" t="s">
        <v>141</v>
      </c>
      <c r="N1795" s="69" t="e" vm="10">
        <v>#VALUE!</v>
      </c>
      <c r="O1795" s="164"/>
      <c r="P1795" s="72" t="s">
        <v>402</v>
      </c>
      <c r="Q1795" s="72"/>
      <c r="R1795" s="162"/>
      <c r="S1795" s="146"/>
      <c r="T1795" s="68" t="s">
        <v>165</v>
      </c>
      <c r="U1795" s="87"/>
      <c r="V1795" s="183">
        <v>43340</v>
      </c>
      <c r="W1795" s="73">
        <v>350</v>
      </c>
      <c r="X1795" s="73">
        <f>394*27346.52/1000000</f>
        <v>10.77452888</v>
      </c>
      <c r="Y1795" s="83">
        <f>IF(SUM(W1795:W1795)&gt;0,X1795/SUM(W1795:W1795)*1000000,"N/A")</f>
        <v>30784.368228571428</v>
      </c>
      <c r="Z1795" s="183"/>
      <c r="AA1795" s="183"/>
      <c r="AB1795" s="73"/>
      <c r="AC1795" s="153"/>
      <c r="AD1795" s="331"/>
      <c r="AE1795" s="57"/>
      <c r="AF1795" s="88"/>
      <c r="AG1795" s="182">
        <f>YEAR(D1795)</f>
        <v>2018</v>
      </c>
      <c r="AH1795" s="86" t="str">
        <f>+IF(AE1795=$AJ$22,MONTH(T1795),"")</f>
        <v/>
      </c>
      <c r="AI1795" s="86" t="str">
        <f>+IF(AF1795=$AJ$22,MONTH(U1795),"")</f>
        <v/>
      </c>
      <c r="AJ1795" s="86" t="str">
        <f>+IF(AG1795=$AJ$22,MONTH(V1795),"")</f>
        <v/>
      </c>
      <c r="AK1795" s="86" t="str">
        <f>+IF(AG1795=$AK$22,MONTH(V1795),"")</f>
        <v/>
      </c>
      <c r="AL1795" s="86" t="str">
        <f>+IF(AG1795=$AL$22,MONTH(V1795),"")</f>
        <v/>
      </c>
      <c r="AM1795" s="86" t="str">
        <f>+IF($AG1795=$AM$22,MONTH($D1795),"")</f>
        <v/>
      </c>
      <c r="AN1795" s="89" t="str">
        <f>+IF($AG1795=AN$22,MONTH($D1795),"")</f>
        <v/>
      </c>
      <c r="AO1795" s="89" t="str">
        <f>+IF($AG1795=AO$22,MONTH($D1795),"")</f>
        <v/>
      </c>
      <c r="AP1795" s="89">
        <f>+IF($AG1795=AP$22,MONTH($D1795),"")</f>
        <v>8</v>
      </c>
      <c r="AQ1795" s="89" t="str">
        <f>+IF($AG1795=AQ$22,MONTH($D1795),"")</f>
        <v/>
      </c>
      <c r="AR1795" s="89" t="str">
        <f>+IF($AG1795=AR$22,MONTH($D1795),"")</f>
        <v/>
      </c>
      <c r="AS1795" s="89" t="str">
        <f>+IF($AG1795=AS$22,MONTH($D1795),"")</f>
        <v/>
      </c>
      <c r="AT1795" s="89" t="str">
        <f>+IF($AG1795=AT$22,MONTH($D1795),"")</f>
        <v/>
      </c>
      <c r="AU1795" s="89" t="str">
        <f>+IF($AG1795=AU$22,MONTH($D1795),"")</f>
        <v/>
      </c>
      <c r="AV1795" s="89" t="str">
        <f>+IF($AG1795=AV$22,MONTH($D1795),"")</f>
        <v/>
      </c>
      <c r="AW1795" s="86" t="str">
        <f>+IF($AG1795=AW$22,MONTH($D1795),"")</f>
        <v/>
      </c>
      <c r="AX1795" s="86" t="str">
        <f>+IF($AG1795=AX$22,MONTH($D1795),"")</f>
        <v/>
      </c>
      <c r="AY1795" s="182"/>
      <c r="AZ1795" s="182"/>
      <c r="BA1795" s="182"/>
      <c r="BB1795" s="182"/>
      <c r="BC1795" s="182"/>
      <c r="BD1795" s="182"/>
      <c r="BE1795" s="182"/>
      <c r="BF1795" s="182"/>
      <c r="BG1795" s="182"/>
      <c r="BH1795" s="182"/>
      <c r="BI1795" s="182"/>
      <c r="BJ1795" s="89"/>
      <c r="BK1795" s="89"/>
      <c r="BL1795" s="89"/>
      <c r="BM1795" s="89"/>
      <c r="BN1795" s="89"/>
      <c r="BO1795" s="89"/>
      <c r="BP1795" s="89"/>
    </row>
    <row r="1796" spans="1:68" s="56" customFormat="1" ht="13.5" hidden="1">
      <c r="A1796" s="204" t="str">
        <f>+IFERROR(VALUE(MID(AB1796,4,4)),"")</f>
        <v/>
      </c>
      <c r="B1796" s="204">
        <f>VALUE(RIGHT(C1796,LEN(C1796)-2))</f>
        <v>929</v>
      </c>
      <c r="C1796" s="74" t="s">
        <v>6365</v>
      </c>
      <c r="D1796" s="75">
        <v>43340</v>
      </c>
      <c r="E1796" s="70" t="s">
        <v>53</v>
      </c>
      <c r="F1796" s="70" t="s">
        <v>313</v>
      </c>
      <c r="G1796" s="68"/>
      <c r="H1796" s="59"/>
      <c r="I1796" s="162" t="s">
        <v>6366</v>
      </c>
      <c r="J1796" s="162"/>
      <c r="K1796" s="68"/>
      <c r="L1796" s="69" t="s">
        <v>129</v>
      </c>
      <c r="M1796" s="71" t="s">
        <v>141</v>
      </c>
      <c r="N1796" s="69" t="e" vm="1">
        <v>#VALUE!</v>
      </c>
      <c r="O1796" s="164"/>
      <c r="P1796" s="72" t="s">
        <v>4567</v>
      </c>
      <c r="Q1796" s="72"/>
      <c r="R1796" s="162"/>
      <c r="S1796" s="146"/>
      <c r="T1796" s="68" t="s">
        <v>155</v>
      </c>
      <c r="U1796" s="87"/>
      <c r="V1796" s="183">
        <v>43347</v>
      </c>
      <c r="W1796" s="73"/>
      <c r="X1796" s="73"/>
      <c r="Y1796" s="83" t="str">
        <f>IF(SUM(W1796:W1796)&gt;0,X1796/SUM(W1796:W1796)*1000000,"N/A")</f>
        <v>N/A</v>
      </c>
      <c r="Z1796" s="183"/>
      <c r="AA1796" s="183"/>
      <c r="AB1796" s="73"/>
      <c r="AC1796" s="153"/>
      <c r="AD1796" s="331"/>
      <c r="AE1796" s="57"/>
      <c r="AF1796" s="88"/>
      <c r="AG1796" s="182">
        <f>YEAR(D1796)</f>
        <v>2018</v>
      </c>
      <c r="AH1796" s="86" t="str">
        <f>+IF(AE1796=$AJ$22,MONTH(T1796),"")</f>
        <v/>
      </c>
      <c r="AI1796" s="86" t="str">
        <f>+IF(AF1796=$AJ$22,MONTH(U1796),"")</f>
        <v/>
      </c>
      <c r="AJ1796" s="86" t="str">
        <f>+IF(AG1796=$AJ$22,MONTH(V1796),"")</f>
        <v/>
      </c>
      <c r="AK1796" s="86" t="str">
        <f>+IF(AG1796=$AK$22,MONTH(V1796),"")</f>
        <v/>
      </c>
      <c r="AL1796" s="86" t="str">
        <f>+IF(AG1796=$AL$22,MONTH(V1796),"")</f>
        <v/>
      </c>
      <c r="AM1796" s="86" t="str">
        <f>+IF($AG1796=$AM$22,MONTH($D1796),"")</f>
        <v/>
      </c>
      <c r="AN1796" s="89" t="str">
        <f>+IF($AG1796=AN$22,MONTH($D1796),"")</f>
        <v/>
      </c>
      <c r="AO1796" s="89" t="str">
        <f>+IF($AG1796=AO$22,MONTH($D1796),"")</f>
        <v/>
      </c>
      <c r="AP1796" s="89">
        <f>+IF($AG1796=AP$22,MONTH($D1796),"")</f>
        <v>8</v>
      </c>
      <c r="AQ1796" s="89" t="str">
        <f>+IF($AG1796=AQ$22,MONTH($D1796),"")</f>
        <v/>
      </c>
      <c r="AR1796" s="89" t="str">
        <f>+IF($AG1796=AR$22,MONTH($D1796),"")</f>
        <v/>
      </c>
      <c r="AS1796" s="89" t="str">
        <f>+IF($AG1796=AS$22,MONTH($D1796),"")</f>
        <v/>
      </c>
      <c r="AT1796" s="89" t="str">
        <f>+IF($AG1796=AT$22,MONTH($D1796),"")</f>
        <v/>
      </c>
      <c r="AU1796" s="89" t="str">
        <f>+IF($AG1796=AU$22,MONTH($D1796),"")</f>
        <v/>
      </c>
      <c r="AV1796" s="89" t="str">
        <f>+IF($AG1796=AV$22,MONTH($D1796),"")</f>
        <v/>
      </c>
      <c r="AW1796" s="86" t="str">
        <f>+IF($AG1796=AW$22,MONTH($D1796),"")</f>
        <v/>
      </c>
      <c r="AX1796" s="86" t="str">
        <f>+IF($AG1796=AX$22,MONTH($D1796),"")</f>
        <v/>
      </c>
      <c r="AY1796" s="182"/>
      <c r="AZ1796" s="182"/>
      <c r="BA1796" s="182"/>
      <c r="BB1796" s="182"/>
      <c r="BC1796" s="182"/>
      <c r="BD1796" s="182"/>
      <c r="BE1796" s="182"/>
      <c r="BF1796" s="182"/>
      <c r="BG1796" s="182"/>
      <c r="BH1796" s="182"/>
      <c r="BI1796" s="182"/>
      <c r="BJ1796" s="89"/>
      <c r="BK1796" s="89"/>
      <c r="BL1796" s="89"/>
      <c r="BM1796" s="89"/>
      <c r="BN1796" s="89"/>
      <c r="BO1796" s="89"/>
      <c r="BP1796" s="89"/>
    </row>
    <row r="1797" spans="1:68" s="56" customFormat="1" ht="40.5" hidden="1">
      <c r="A1797" s="204" t="str">
        <f>+IFERROR(VALUE(MID(AB1797,4,4)),"")</f>
        <v/>
      </c>
      <c r="B1797" s="204">
        <f>VALUE(RIGHT(C1797,LEN(C1797)-2))</f>
        <v>928</v>
      </c>
      <c r="C1797" s="74" t="s">
        <v>6367</v>
      </c>
      <c r="D1797" s="75">
        <v>43340</v>
      </c>
      <c r="E1797" s="70" t="s">
        <v>53</v>
      </c>
      <c r="F1797" s="70" t="s">
        <v>53</v>
      </c>
      <c r="G1797" s="68"/>
      <c r="H1797" s="59"/>
      <c r="I1797" s="162" t="s">
        <v>6368</v>
      </c>
      <c r="J1797" s="162"/>
      <c r="K1797" s="68"/>
      <c r="L1797" s="69" t="s">
        <v>129</v>
      </c>
      <c r="M1797" s="71" t="s">
        <v>141</v>
      </c>
      <c r="N1797" s="69" t="e" vm="10">
        <v>#VALUE!</v>
      </c>
      <c r="O1797" s="164"/>
      <c r="P1797" s="72" t="s">
        <v>4567</v>
      </c>
      <c r="Q1797" s="72"/>
      <c r="R1797" s="162"/>
      <c r="S1797" s="146" t="s">
        <v>6369</v>
      </c>
      <c r="T1797" s="68" t="s">
        <v>165</v>
      </c>
      <c r="U1797" s="87"/>
      <c r="V1797" s="183"/>
      <c r="W1797" s="73">
        <v>1</v>
      </c>
      <c r="X1797" s="73"/>
      <c r="Y1797" s="83">
        <f>IF(SUM(W1797:W1797)&gt;0,X1797/SUM(W1797:W1797)*1000000,"N/A")</f>
        <v>0</v>
      </c>
      <c r="Z1797" s="183"/>
      <c r="AA1797" s="183"/>
      <c r="AB1797" s="73"/>
      <c r="AC1797" s="153"/>
      <c r="AD1797" s="331"/>
      <c r="AE1797" s="57"/>
      <c r="AF1797" s="88"/>
      <c r="AG1797" s="182">
        <f>YEAR(D1797)</f>
        <v>2018</v>
      </c>
      <c r="AH1797" s="86" t="str">
        <f>+IF(AE1797=$AJ$22,MONTH(T1797),"")</f>
        <v/>
      </c>
      <c r="AI1797" s="86" t="str">
        <f>+IF(AF1797=$AJ$22,MONTH(U1797),"")</f>
        <v/>
      </c>
      <c r="AJ1797" s="86" t="str">
        <f>+IF(AG1797=$AJ$22,MONTH(V1797),"")</f>
        <v/>
      </c>
      <c r="AK1797" s="86" t="str">
        <f>+IF(AG1797=$AK$22,MONTH(V1797),"")</f>
        <v/>
      </c>
      <c r="AL1797" s="86" t="str">
        <f>+IF(AG1797=$AL$22,MONTH(V1797),"")</f>
        <v/>
      </c>
      <c r="AM1797" s="86" t="str">
        <f>+IF($AG1797=$AM$22,MONTH($D1797),"")</f>
        <v/>
      </c>
      <c r="AN1797" s="89" t="str">
        <f>+IF($AG1797=AN$22,MONTH($D1797),"")</f>
        <v/>
      </c>
      <c r="AO1797" s="89" t="str">
        <f>+IF($AG1797=AO$22,MONTH($D1797),"")</f>
        <v/>
      </c>
      <c r="AP1797" s="89">
        <f>+IF($AG1797=AP$22,MONTH($D1797),"")</f>
        <v>8</v>
      </c>
      <c r="AQ1797" s="89" t="str">
        <f>+IF($AG1797=AQ$22,MONTH($D1797),"")</f>
        <v/>
      </c>
      <c r="AR1797" s="89" t="str">
        <f>+IF($AG1797=AR$22,MONTH($D1797),"")</f>
        <v/>
      </c>
      <c r="AS1797" s="89" t="str">
        <f>+IF($AG1797=AS$22,MONTH($D1797),"")</f>
        <v/>
      </c>
      <c r="AT1797" s="89" t="str">
        <f>+IF($AG1797=AT$22,MONTH($D1797),"")</f>
        <v/>
      </c>
      <c r="AU1797" s="89" t="str">
        <f>+IF($AG1797=AU$22,MONTH($D1797),"")</f>
        <v/>
      </c>
      <c r="AV1797" s="89" t="str">
        <f>+IF($AG1797=AV$22,MONTH($D1797),"")</f>
        <v/>
      </c>
      <c r="AW1797" s="86" t="str">
        <f>+IF($AG1797=AW$22,MONTH($D1797),"")</f>
        <v/>
      </c>
      <c r="AX1797" s="86" t="str">
        <f>+IF($AG1797=AX$22,MONTH($D1797),"")</f>
        <v/>
      </c>
      <c r="AY1797" s="182"/>
      <c r="AZ1797" s="182"/>
      <c r="BA1797" s="182"/>
      <c r="BB1797" s="182"/>
      <c r="BC1797" s="182"/>
      <c r="BD1797" s="182"/>
      <c r="BE1797" s="182"/>
      <c r="BF1797" s="182"/>
      <c r="BG1797" s="182"/>
      <c r="BH1797" s="182"/>
      <c r="BI1797" s="182"/>
      <c r="BJ1797" s="89"/>
      <c r="BK1797" s="89"/>
      <c r="BL1797" s="89"/>
      <c r="BM1797" s="89"/>
      <c r="BN1797" s="89"/>
      <c r="BO1797" s="89"/>
      <c r="BP1797" s="89"/>
    </row>
    <row r="1798" spans="1:68" s="56" customFormat="1" ht="13.5" hidden="1">
      <c r="A1798" s="204" t="str">
        <f>+IFERROR(VALUE(MID(AB1798,4,4)),"")</f>
        <v/>
      </c>
      <c r="B1798" s="204">
        <f>VALUE(RIGHT(C1798,LEN(C1798)-2))</f>
        <v>927</v>
      </c>
      <c r="C1798" s="74" t="s">
        <v>6370</v>
      </c>
      <c r="D1798" s="75">
        <v>43335</v>
      </c>
      <c r="E1798" s="70" t="s">
        <v>685</v>
      </c>
      <c r="F1798" s="70" t="s">
        <v>685</v>
      </c>
      <c r="G1798" s="68"/>
      <c r="H1798" s="59"/>
      <c r="I1798" s="162" t="s">
        <v>6371</v>
      </c>
      <c r="J1798" s="162"/>
      <c r="K1798" s="68" t="s">
        <v>13</v>
      </c>
      <c r="L1798" s="69" t="s">
        <v>120</v>
      </c>
      <c r="M1798" s="71" t="s">
        <v>141</v>
      </c>
      <c r="N1798" s="69" t="e" vm="1">
        <v>#VALUE!</v>
      </c>
      <c r="O1798" s="164"/>
      <c r="P1798" s="72" t="s">
        <v>402</v>
      </c>
      <c r="Q1798" s="72"/>
      <c r="R1798" s="162"/>
      <c r="S1798" s="146"/>
      <c r="T1798" s="68" t="s">
        <v>155</v>
      </c>
      <c r="U1798" s="87"/>
      <c r="V1798" s="183">
        <v>43335</v>
      </c>
      <c r="W1798" s="73">
        <v>1845</v>
      </c>
      <c r="X1798" s="73">
        <f>102678700/1000000</f>
        <v>102.67870000000001</v>
      </c>
      <c r="Y1798" s="83">
        <f>IF(SUM(W1798:W1798)&gt;0,X1798/SUM(W1798:W1798)*1000000,"N/A")</f>
        <v>55652.411924119246</v>
      </c>
      <c r="Z1798" s="183"/>
      <c r="AA1798" s="183"/>
      <c r="AB1798" s="73"/>
      <c r="AC1798" s="153"/>
      <c r="AD1798" s="331"/>
      <c r="AE1798" s="57"/>
      <c r="AF1798" s="88"/>
      <c r="AG1798" s="182">
        <f>YEAR(D1798)</f>
        <v>2018</v>
      </c>
      <c r="AH1798" s="86" t="str">
        <f>+IF(AE1798=$AJ$22,MONTH(T1798),"")</f>
        <v/>
      </c>
      <c r="AI1798" s="86" t="str">
        <f>+IF(AF1798=$AJ$22,MONTH(U1798),"")</f>
        <v/>
      </c>
      <c r="AJ1798" s="86" t="str">
        <f>+IF(AG1798=$AJ$22,MONTH(V1798),"")</f>
        <v/>
      </c>
      <c r="AK1798" s="86" t="str">
        <f>+IF(AG1798=$AK$22,MONTH(V1798),"")</f>
        <v/>
      </c>
      <c r="AL1798" s="86" t="str">
        <f>+IF(AG1798=$AL$22,MONTH(V1798),"")</f>
        <v/>
      </c>
      <c r="AM1798" s="86" t="str">
        <f>+IF($AG1798=$AM$22,MONTH($D1798),"")</f>
        <v/>
      </c>
      <c r="AN1798" s="89" t="str">
        <f>+IF($AG1798=AN$22,MONTH($D1798),"")</f>
        <v/>
      </c>
      <c r="AO1798" s="89" t="str">
        <f>+IF($AG1798=AO$22,MONTH($D1798),"")</f>
        <v/>
      </c>
      <c r="AP1798" s="89">
        <f>+IF($AG1798=AP$22,MONTH($D1798),"")</f>
        <v>8</v>
      </c>
      <c r="AQ1798" s="89" t="str">
        <f>+IF($AG1798=AQ$22,MONTH($D1798),"")</f>
        <v/>
      </c>
      <c r="AR1798" s="89" t="str">
        <f>+IF($AG1798=AR$22,MONTH($D1798),"")</f>
        <v/>
      </c>
      <c r="AS1798" s="89" t="str">
        <f>+IF($AG1798=AS$22,MONTH($D1798),"")</f>
        <v/>
      </c>
      <c r="AT1798" s="89" t="str">
        <f>+IF($AG1798=AT$22,MONTH($D1798),"")</f>
        <v/>
      </c>
      <c r="AU1798" s="89" t="str">
        <f>+IF($AG1798=AU$22,MONTH($D1798),"")</f>
        <v/>
      </c>
      <c r="AV1798" s="89" t="str">
        <f>+IF($AG1798=AV$22,MONTH($D1798),"")</f>
        <v/>
      </c>
      <c r="AW1798" s="86" t="str">
        <f>+IF($AG1798=AW$22,MONTH($D1798),"")</f>
        <v/>
      </c>
      <c r="AX1798" s="86" t="str">
        <f>+IF($AG1798=AX$22,MONTH($D1798),"")</f>
        <v/>
      </c>
      <c r="AY1798" s="182"/>
      <c r="AZ1798" s="182"/>
      <c r="BA1798" s="182"/>
      <c r="BB1798" s="182"/>
      <c r="BC1798" s="182"/>
      <c r="BD1798" s="182"/>
      <c r="BE1798" s="182"/>
      <c r="BF1798" s="182"/>
      <c r="BG1798" s="182"/>
      <c r="BH1798" s="182"/>
      <c r="BI1798" s="182"/>
      <c r="BJ1798" s="89"/>
      <c r="BK1798" s="89"/>
      <c r="BL1798" s="89"/>
      <c r="BM1798" s="89"/>
      <c r="BN1798" s="89"/>
      <c r="BO1798" s="89"/>
      <c r="BP1798" s="89"/>
    </row>
    <row r="1799" spans="1:68" s="56" customFormat="1" ht="13.5" hidden="1">
      <c r="A1799" s="204" t="str">
        <f>+IFERROR(VALUE(MID(AB1799,4,4)),"")</f>
        <v/>
      </c>
      <c r="B1799" s="204">
        <f>VALUE(RIGHT(C1799,LEN(C1799)-2))</f>
        <v>926</v>
      </c>
      <c r="C1799" s="74" t="s">
        <v>6372</v>
      </c>
      <c r="D1799" s="75">
        <v>43334</v>
      </c>
      <c r="E1799" s="70" t="s">
        <v>41</v>
      </c>
      <c r="F1799" s="70" t="s">
        <v>41</v>
      </c>
      <c r="G1799" s="68"/>
      <c r="H1799" s="59"/>
      <c r="I1799" s="162" t="s">
        <v>6373</v>
      </c>
      <c r="J1799" s="162"/>
      <c r="K1799" s="68" t="s">
        <v>12</v>
      </c>
      <c r="L1799" s="69" t="s">
        <v>120</v>
      </c>
      <c r="M1799" s="71" t="s">
        <v>141</v>
      </c>
      <c r="N1799" s="69" t="e" vm="1">
        <v>#VALUE!</v>
      </c>
      <c r="O1799" s="164"/>
      <c r="P1799" s="72" t="s">
        <v>402</v>
      </c>
      <c r="Q1799" s="72"/>
      <c r="R1799" s="162"/>
      <c r="S1799" s="146"/>
      <c r="T1799" s="68" t="s">
        <v>155</v>
      </c>
      <c r="U1799" s="87"/>
      <c r="V1799" s="183">
        <v>43339</v>
      </c>
      <c r="W1799" s="73">
        <v>383</v>
      </c>
      <c r="X1799" s="73">
        <f>400*27346.52/1000000</f>
        <v>10.938608</v>
      </c>
      <c r="Y1799" s="83">
        <f>IF(SUM(W1799:W1799)&gt;0,X1799/SUM(W1799:W1799)*1000000,"N/A")</f>
        <v>28560.334203655351</v>
      </c>
      <c r="Z1799" s="183"/>
      <c r="AA1799" s="183"/>
      <c r="AB1799" s="73"/>
      <c r="AC1799" s="153"/>
      <c r="AD1799" s="331"/>
      <c r="AE1799" s="57"/>
      <c r="AF1799" s="88"/>
      <c r="AG1799" s="182">
        <f>YEAR(D1799)</f>
        <v>2018</v>
      </c>
      <c r="AH1799" s="86" t="str">
        <f>+IF(AE1799=$AJ$22,MONTH(T1799),"")</f>
        <v/>
      </c>
      <c r="AI1799" s="86" t="str">
        <f>+IF(AF1799=$AJ$22,MONTH(U1799),"")</f>
        <v/>
      </c>
      <c r="AJ1799" s="86" t="str">
        <f>+IF(AG1799=$AJ$22,MONTH(V1799),"")</f>
        <v/>
      </c>
      <c r="AK1799" s="86" t="str">
        <f>+IF(AG1799=$AK$22,MONTH(V1799),"")</f>
        <v/>
      </c>
      <c r="AL1799" s="86" t="str">
        <f>+IF(AG1799=$AL$22,MONTH(V1799),"")</f>
        <v/>
      </c>
      <c r="AM1799" s="86" t="str">
        <f>+IF($AG1799=$AM$22,MONTH($D1799),"")</f>
        <v/>
      </c>
      <c r="AN1799" s="89" t="str">
        <f>+IF($AG1799=AN$22,MONTH($D1799),"")</f>
        <v/>
      </c>
      <c r="AO1799" s="89" t="str">
        <f>+IF($AG1799=AO$22,MONTH($D1799),"")</f>
        <v/>
      </c>
      <c r="AP1799" s="89">
        <f>+IF($AG1799=AP$22,MONTH($D1799),"")</f>
        <v>8</v>
      </c>
      <c r="AQ1799" s="89" t="str">
        <f>+IF($AG1799=AQ$22,MONTH($D1799),"")</f>
        <v/>
      </c>
      <c r="AR1799" s="89" t="str">
        <f>+IF($AG1799=AR$22,MONTH($D1799),"")</f>
        <v/>
      </c>
      <c r="AS1799" s="89" t="str">
        <f>+IF($AG1799=AS$22,MONTH($D1799),"")</f>
        <v/>
      </c>
      <c r="AT1799" s="89" t="str">
        <f>+IF($AG1799=AT$22,MONTH($D1799),"")</f>
        <v/>
      </c>
      <c r="AU1799" s="89" t="str">
        <f>+IF($AG1799=AU$22,MONTH($D1799),"")</f>
        <v/>
      </c>
      <c r="AV1799" s="89" t="str">
        <f>+IF($AG1799=AV$22,MONTH($D1799),"")</f>
        <v/>
      </c>
      <c r="AW1799" s="86" t="str">
        <f>+IF($AG1799=AW$22,MONTH($D1799),"")</f>
        <v/>
      </c>
      <c r="AX1799" s="86" t="str">
        <f>+IF($AG1799=AX$22,MONTH($D1799),"")</f>
        <v/>
      </c>
      <c r="AY1799" s="182"/>
      <c r="AZ1799" s="182"/>
      <c r="BA1799" s="182"/>
      <c r="BB1799" s="182"/>
      <c r="BC1799" s="182"/>
      <c r="BD1799" s="182"/>
      <c r="BE1799" s="182"/>
      <c r="BF1799" s="182"/>
      <c r="BG1799" s="182"/>
      <c r="BH1799" s="182"/>
      <c r="BI1799" s="182"/>
      <c r="BJ1799" s="89"/>
      <c r="BK1799" s="89"/>
      <c r="BL1799" s="89"/>
      <c r="BM1799" s="89"/>
      <c r="BN1799" s="89"/>
      <c r="BO1799" s="89"/>
      <c r="BP1799" s="89"/>
    </row>
    <row r="1800" spans="1:68" s="56" customFormat="1" ht="13.5" hidden="1">
      <c r="A1800" s="204" t="str">
        <f>+IFERROR(VALUE(MID(AB1800,4,4)),"")</f>
        <v/>
      </c>
      <c r="B1800" s="204">
        <f>VALUE(RIGHT(C1800,LEN(C1800)-2))</f>
        <v>925</v>
      </c>
      <c r="C1800" s="74" t="s">
        <v>6374</v>
      </c>
      <c r="D1800" s="75">
        <v>43334</v>
      </c>
      <c r="E1800" s="70" t="s">
        <v>685</v>
      </c>
      <c r="F1800" s="70" t="s">
        <v>685</v>
      </c>
      <c r="G1800" s="68"/>
      <c r="H1800" s="59"/>
      <c r="I1800" s="162" t="s">
        <v>6375</v>
      </c>
      <c r="J1800" s="162"/>
      <c r="K1800" s="68" t="s">
        <v>13</v>
      </c>
      <c r="L1800" s="69" t="s">
        <v>129</v>
      </c>
      <c r="M1800" s="71" t="s">
        <v>141</v>
      </c>
      <c r="N1800" s="69" t="e" vm="1">
        <v>#VALUE!</v>
      </c>
      <c r="O1800" s="164"/>
      <c r="P1800" s="72" t="s">
        <v>274</v>
      </c>
      <c r="Q1800" s="72"/>
      <c r="R1800" s="162"/>
      <c r="S1800" s="146"/>
      <c r="T1800" s="68" t="s">
        <v>165</v>
      </c>
      <c r="U1800" s="87"/>
      <c r="V1800" s="183">
        <v>43398</v>
      </c>
      <c r="W1800" s="73">
        <v>16508</v>
      </c>
      <c r="X1800" s="73">
        <f>721645700/1000000</f>
        <v>721.64570000000003</v>
      </c>
      <c r="Y1800" s="83">
        <f>IF(SUM(W1800:W1800)&gt;0,X1800/SUM(W1800:W1800)*1000000,"N/A")</f>
        <v>43714.907923431063</v>
      </c>
      <c r="Z1800" s="183"/>
      <c r="AA1800" s="183"/>
      <c r="AB1800" s="73"/>
      <c r="AC1800" s="153"/>
      <c r="AD1800" s="331"/>
      <c r="AE1800" s="57"/>
      <c r="AF1800" s="88"/>
      <c r="AG1800" s="182">
        <f>YEAR(D1800)</f>
        <v>2018</v>
      </c>
      <c r="AH1800" s="86" t="str">
        <f>+IF(AE1800=$AJ$22,MONTH(T1800),"")</f>
        <v/>
      </c>
      <c r="AI1800" s="86" t="str">
        <f>+IF(AF1800=$AJ$22,MONTH(U1800),"")</f>
        <v/>
      </c>
      <c r="AJ1800" s="86" t="str">
        <f>+IF(AG1800=$AJ$22,MONTH(V1800),"")</f>
        <v/>
      </c>
      <c r="AK1800" s="86" t="str">
        <f>+IF(AG1800=$AK$22,MONTH(V1800),"")</f>
        <v/>
      </c>
      <c r="AL1800" s="86" t="str">
        <f>+IF(AG1800=$AL$22,MONTH(V1800),"")</f>
        <v/>
      </c>
      <c r="AM1800" s="86" t="str">
        <f>+IF($AG1800=$AM$22,MONTH($D1800),"")</f>
        <v/>
      </c>
      <c r="AN1800" s="89" t="str">
        <f>+IF($AG1800=AN$22,MONTH($D1800),"")</f>
        <v/>
      </c>
      <c r="AO1800" s="89" t="str">
        <f>+IF($AG1800=AO$22,MONTH($D1800),"")</f>
        <v/>
      </c>
      <c r="AP1800" s="89">
        <f>+IF($AG1800=AP$22,MONTH($D1800),"")</f>
        <v>8</v>
      </c>
      <c r="AQ1800" s="89" t="str">
        <f>+IF($AG1800=AQ$22,MONTH($D1800),"")</f>
        <v/>
      </c>
      <c r="AR1800" s="89" t="str">
        <f>+IF($AG1800=AR$22,MONTH($D1800),"")</f>
        <v/>
      </c>
      <c r="AS1800" s="89" t="str">
        <f>+IF($AG1800=AS$22,MONTH($D1800),"")</f>
        <v/>
      </c>
      <c r="AT1800" s="89" t="str">
        <f>+IF($AG1800=AT$22,MONTH($D1800),"")</f>
        <v/>
      </c>
      <c r="AU1800" s="89" t="str">
        <f>+IF($AG1800=AU$22,MONTH($D1800),"")</f>
        <v/>
      </c>
      <c r="AV1800" s="89" t="str">
        <f>+IF($AG1800=AV$22,MONTH($D1800),"")</f>
        <v/>
      </c>
      <c r="AW1800" s="86" t="str">
        <f>+IF($AG1800=AW$22,MONTH($D1800),"")</f>
        <v/>
      </c>
      <c r="AX1800" s="86" t="str">
        <f>+IF($AG1800=AX$22,MONTH($D1800),"")</f>
        <v/>
      </c>
      <c r="AY1800" s="182"/>
      <c r="AZ1800" s="182"/>
      <c r="BA1800" s="182"/>
      <c r="BB1800" s="182"/>
      <c r="BC1800" s="182"/>
      <c r="BD1800" s="182"/>
      <c r="BE1800" s="182"/>
      <c r="BF1800" s="182"/>
      <c r="BG1800" s="182"/>
      <c r="BH1800" s="182"/>
      <c r="BI1800" s="182"/>
      <c r="BJ1800" s="89"/>
      <c r="BK1800" s="89"/>
      <c r="BL1800" s="89"/>
      <c r="BM1800" s="89"/>
      <c r="BN1800" s="89"/>
      <c r="BO1800" s="89"/>
      <c r="BP1800" s="89"/>
    </row>
    <row r="1801" spans="1:68" s="56" customFormat="1" ht="13.5" hidden="1">
      <c r="A1801" s="204" t="str">
        <f>+IFERROR(VALUE(MID(AB1801,4,4)),"")</f>
        <v/>
      </c>
      <c r="B1801" s="204">
        <f>VALUE(RIGHT(C1801,LEN(C1801)-2))</f>
        <v>924</v>
      </c>
      <c r="C1801" s="74" t="s">
        <v>6376</v>
      </c>
      <c r="D1801" s="75">
        <v>43328</v>
      </c>
      <c r="E1801" s="70" t="s">
        <v>685</v>
      </c>
      <c r="F1801" s="70" t="s">
        <v>685</v>
      </c>
      <c r="G1801" s="68"/>
      <c r="H1801" s="59"/>
      <c r="I1801" s="162" t="s">
        <v>6377</v>
      </c>
      <c r="J1801" s="162"/>
      <c r="K1801" s="68" t="s">
        <v>11</v>
      </c>
      <c r="L1801" s="69" t="s">
        <v>120</v>
      </c>
      <c r="M1801" s="71" t="s">
        <v>141</v>
      </c>
      <c r="N1801" s="69" t="e" vm="1">
        <v>#VALUE!</v>
      </c>
      <c r="O1801" s="164"/>
      <c r="P1801" s="72" t="s">
        <v>402</v>
      </c>
      <c r="Q1801" s="72"/>
      <c r="R1801" s="162"/>
      <c r="S1801" s="146"/>
      <c r="T1801" s="68" t="s">
        <v>155</v>
      </c>
      <c r="U1801" s="87"/>
      <c r="V1801" s="183"/>
      <c r="W1801" s="73"/>
      <c r="X1801" s="73"/>
      <c r="Y1801" s="83" t="str">
        <f>IF(SUM(W1801:W1801)&gt;0,X1801/SUM(W1801:W1801)*1000000,"N/A")</f>
        <v>N/A</v>
      </c>
      <c r="Z1801" s="183"/>
      <c r="AA1801" s="183"/>
      <c r="AB1801" s="73"/>
      <c r="AC1801" s="153"/>
      <c r="AD1801" s="331"/>
      <c r="AE1801" s="57"/>
      <c r="AF1801" s="88"/>
      <c r="AG1801" s="182">
        <f>YEAR(D1801)</f>
        <v>2018</v>
      </c>
      <c r="AH1801" s="86" t="str">
        <f>+IF(AE1801=$AJ$22,MONTH(T1801),"")</f>
        <v/>
      </c>
      <c r="AI1801" s="86" t="str">
        <f>+IF(AF1801=$AJ$22,MONTH(U1801),"")</f>
        <v/>
      </c>
      <c r="AJ1801" s="86" t="str">
        <f>+IF(AG1801=$AJ$22,MONTH(V1801),"")</f>
        <v/>
      </c>
      <c r="AK1801" s="86" t="str">
        <f>+IF(AG1801=$AK$22,MONTH(V1801),"")</f>
        <v/>
      </c>
      <c r="AL1801" s="86" t="str">
        <f>+IF(AG1801=$AL$22,MONTH(V1801),"")</f>
        <v/>
      </c>
      <c r="AM1801" s="86" t="str">
        <f>+IF($AG1801=$AM$22,MONTH($D1801),"")</f>
        <v/>
      </c>
      <c r="AN1801" s="89" t="str">
        <f>+IF($AG1801=AN$22,MONTH($D1801),"")</f>
        <v/>
      </c>
      <c r="AO1801" s="89" t="str">
        <f>+IF($AG1801=AO$22,MONTH($D1801),"")</f>
        <v/>
      </c>
      <c r="AP1801" s="89">
        <f>+IF($AG1801=AP$22,MONTH($D1801),"")</f>
        <v>8</v>
      </c>
      <c r="AQ1801" s="89" t="str">
        <f>+IF($AG1801=AQ$22,MONTH($D1801),"")</f>
        <v/>
      </c>
      <c r="AR1801" s="89" t="str">
        <f>+IF($AG1801=AR$22,MONTH($D1801),"")</f>
        <v/>
      </c>
      <c r="AS1801" s="89" t="str">
        <f>+IF($AG1801=AS$22,MONTH($D1801),"")</f>
        <v/>
      </c>
      <c r="AT1801" s="89" t="str">
        <f>+IF($AG1801=AT$22,MONTH($D1801),"")</f>
        <v/>
      </c>
      <c r="AU1801" s="89" t="str">
        <f>+IF($AG1801=AU$22,MONTH($D1801),"")</f>
        <v/>
      </c>
      <c r="AV1801" s="89" t="str">
        <f>+IF($AG1801=AV$22,MONTH($D1801),"")</f>
        <v/>
      </c>
      <c r="AW1801" s="86" t="str">
        <f>+IF($AG1801=AW$22,MONTH($D1801),"")</f>
        <v/>
      </c>
      <c r="AX1801" s="86" t="str">
        <f>+IF($AG1801=AX$22,MONTH($D1801),"")</f>
        <v/>
      </c>
      <c r="AY1801" s="182"/>
      <c r="AZ1801" s="182"/>
      <c r="BA1801" s="182"/>
      <c r="BB1801" s="182"/>
      <c r="BC1801" s="182"/>
      <c r="BD1801" s="182"/>
      <c r="BE1801" s="182"/>
      <c r="BF1801" s="182"/>
      <c r="BG1801" s="182"/>
      <c r="BH1801" s="182"/>
      <c r="BI1801" s="182"/>
      <c r="BJ1801" s="89"/>
      <c r="BK1801" s="89"/>
      <c r="BL1801" s="89"/>
      <c r="BM1801" s="89"/>
      <c r="BN1801" s="89"/>
      <c r="BO1801" s="89"/>
      <c r="BP1801" s="89"/>
    </row>
    <row r="1802" spans="1:68" s="56" customFormat="1" ht="40.5" hidden="1">
      <c r="A1802" s="204" t="str">
        <f>+IFERROR(VALUE(MID(AB1802,4,4)),"")</f>
        <v/>
      </c>
      <c r="B1802" s="204">
        <f>VALUE(RIGHT(C1802,LEN(C1802)-2))</f>
        <v>923</v>
      </c>
      <c r="C1802" s="74" t="s">
        <v>6378</v>
      </c>
      <c r="D1802" s="75">
        <v>43328</v>
      </c>
      <c r="E1802" s="70" t="s">
        <v>5621</v>
      </c>
      <c r="F1802" s="70" t="s">
        <v>5621</v>
      </c>
      <c r="G1802" s="68"/>
      <c r="H1802" s="59"/>
      <c r="I1802" s="162" t="s">
        <v>6379</v>
      </c>
      <c r="J1802" s="162"/>
      <c r="K1802" s="68" t="s">
        <v>11</v>
      </c>
      <c r="L1802" s="69" t="s">
        <v>129</v>
      </c>
      <c r="M1802" s="71" t="s">
        <v>141</v>
      </c>
      <c r="N1802" s="69" t="e" vm="1">
        <v>#VALUE!</v>
      </c>
      <c r="O1802" s="164"/>
      <c r="P1802" s="72" t="s">
        <v>4567</v>
      </c>
      <c r="Q1802" s="72"/>
      <c r="R1802" s="162"/>
      <c r="S1802" s="146" t="s">
        <v>6380</v>
      </c>
      <c r="T1802" s="68" t="s">
        <v>155</v>
      </c>
      <c r="U1802" s="87"/>
      <c r="V1802" s="183">
        <v>43335</v>
      </c>
      <c r="W1802" s="73"/>
      <c r="X1802" s="73"/>
      <c r="Y1802" s="83" t="str">
        <f>IF(SUM(W1802:W1802)&gt;0,X1802/SUM(W1802:W1802)*1000000,"N/A")</f>
        <v>N/A</v>
      </c>
      <c r="Z1802" s="183"/>
      <c r="AA1802" s="183"/>
      <c r="AB1802" s="73"/>
      <c r="AC1802" s="153"/>
      <c r="AD1802" s="331"/>
      <c r="AE1802" s="57"/>
      <c r="AF1802" s="88"/>
      <c r="AG1802" s="182">
        <f>YEAR(D1802)</f>
        <v>2018</v>
      </c>
      <c r="AH1802" s="86" t="str">
        <f>+IF(AE1802=$AJ$22,MONTH(T1802),"")</f>
        <v/>
      </c>
      <c r="AI1802" s="86" t="str">
        <f>+IF(AF1802=$AJ$22,MONTH(U1802),"")</f>
        <v/>
      </c>
      <c r="AJ1802" s="86" t="str">
        <f>+IF(AG1802=$AJ$22,MONTH(V1802),"")</f>
        <v/>
      </c>
      <c r="AK1802" s="86" t="str">
        <f>+IF(AG1802=$AK$22,MONTH(V1802),"")</f>
        <v/>
      </c>
      <c r="AL1802" s="86" t="str">
        <f>+IF(AG1802=$AL$22,MONTH(V1802),"")</f>
        <v/>
      </c>
      <c r="AM1802" s="86" t="str">
        <f>+IF($AG1802=$AM$22,MONTH($D1802),"")</f>
        <v/>
      </c>
      <c r="AN1802" s="89" t="str">
        <f>+IF($AG1802=AN$22,MONTH($D1802),"")</f>
        <v/>
      </c>
      <c r="AO1802" s="89" t="str">
        <f>+IF($AG1802=AO$22,MONTH($D1802),"")</f>
        <v/>
      </c>
      <c r="AP1802" s="89">
        <f>+IF($AG1802=AP$22,MONTH($D1802),"")</f>
        <v>8</v>
      </c>
      <c r="AQ1802" s="89" t="str">
        <f>+IF($AG1802=AQ$22,MONTH($D1802),"")</f>
        <v/>
      </c>
      <c r="AR1802" s="89" t="str">
        <f>+IF($AG1802=AR$22,MONTH($D1802),"")</f>
        <v/>
      </c>
      <c r="AS1802" s="89" t="str">
        <f>+IF($AG1802=AS$22,MONTH($D1802),"")</f>
        <v/>
      </c>
      <c r="AT1802" s="89" t="str">
        <f>+IF($AG1802=AT$22,MONTH($D1802),"")</f>
        <v/>
      </c>
      <c r="AU1802" s="89" t="str">
        <f>+IF($AG1802=AU$22,MONTH($D1802),"")</f>
        <v/>
      </c>
      <c r="AV1802" s="89" t="str">
        <f>+IF($AG1802=AV$22,MONTH($D1802),"")</f>
        <v/>
      </c>
      <c r="AW1802" s="86" t="str">
        <f>+IF($AG1802=AW$22,MONTH($D1802),"")</f>
        <v/>
      </c>
      <c r="AX1802" s="86" t="str">
        <f>+IF($AG1802=AX$22,MONTH($D1802),"")</f>
        <v/>
      </c>
      <c r="AY1802" s="182"/>
      <c r="AZ1802" s="182"/>
      <c r="BA1802" s="182"/>
      <c r="BB1802" s="182"/>
      <c r="BC1802" s="182"/>
      <c r="BD1802" s="182"/>
      <c r="BE1802" s="182"/>
      <c r="BF1802" s="182"/>
      <c r="BG1802" s="182"/>
      <c r="BH1802" s="182"/>
      <c r="BI1802" s="182"/>
      <c r="BJ1802" s="89"/>
      <c r="BK1802" s="89"/>
      <c r="BL1802" s="89"/>
      <c r="BM1802" s="89"/>
      <c r="BN1802" s="89"/>
      <c r="BO1802" s="89"/>
      <c r="BP1802" s="89"/>
    </row>
    <row r="1803" spans="1:68" s="56" customFormat="1" ht="13.5" hidden="1">
      <c r="A1803" s="204" t="str">
        <f>+IFERROR(VALUE(MID(AB1803,4,4)),"")</f>
        <v/>
      </c>
      <c r="B1803" s="204">
        <f>VALUE(RIGHT(C1803,LEN(C1803)-2))</f>
        <v>922</v>
      </c>
      <c r="C1803" s="74" t="s">
        <v>6381</v>
      </c>
      <c r="D1803" s="75">
        <v>43321</v>
      </c>
      <c r="E1803" s="70" t="s">
        <v>685</v>
      </c>
      <c r="F1803" s="70" t="s">
        <v>685</v>
      </c>
      <c r="G1803" s="68"/>
      <c r="H1803" s="59"/>
      <c r="I1803" s="162" t="s">
        <v>6382</v>
      </c>
      <c r="J1803" s="162"/>
      <c r="K1803" s="68"/>
      <c r="L1803" s="69"/>
      <c r="M1803" s="71" t="s">
        <v>141</v>
      </c>
      <c r="N1803" s="69" t="e" vm="1">
        <v>#VALUE!</v>
      </c>
      <c r="O1803" s="164"/>
      <c r="P1803" s="72"/>
      <c r="Q1803" s="72"/>
      <c r="R1803" s="162"/>
      <c r="S1803" s="146"/>
      <c r="T1803" s="68" t="s">
        <v>155</v>
      </c>
      <c r="U1803" s="87"/>
      <c r="V1803" s="183"/>
      <c r="W1803" s="73"/>
      <c r="X1803" s="73"/>
      <c r="Y1803" s="83" t="str">
        <f>IF(SUM(W1803:W1803)&gt;0,X1803/SUM(W1803:W1803)*1000000,"N/A")</f>
        <v>N/A</v>
      </c>
      <c r="Z1803" s="183"/>
      <c r="AA1803" s="183"/>
      <c r="AB1803" s="73"/>
      <c r="AC1803" s="153"/>
      <c r="AD1803" s="331"/>
      <c r="AE1803" s="57"/>
      <c r="AF1803" s="88"/>
      <c r="AG1803" s="182">
        <f>YEAR(D1803)</f>
        <v>2018</v>
      </c>
      <c r="AH1803" s="86" t="str">
        <f>+IF(AE1803=$AJ$22,MONTH(T1803),"")</f>
        <v/>
      </c>
      <c r="AI1803" s="86" t="str">
        <f>+IF(AF1803=$AJ$22,MONTH(U1803),"")</f>
        <v/>
      </c>
      <c r="AJ1803" s="86" t="str">
        <f>+IF(AG1803=$AJ$22,MONTH(V1803),"")</f>
        <v/>
      </c>
      <c r="AK1803" s="86" t="str">
        <f>+IF(AG1803=$AK$22,MONTH(V1803),"")</f>
        <v/>
      </c>
      <c r="AL1803" s="86" t="str">
        <f>+IF(AG1803=$AL$22,MONTH(V1803),"")</f>
        <v/>
      </c>
      <c r="AM1803" s="86" t="str">
        <f>+IF($AG1803=$AM$22,MONTH($D1803),"")</f>
        <v/>
      </c>
      <c r="AN1803" s="89" t="str">
        <f>+IF($AG1803=AN$22,MONTH($D1803),"")</f>
        <v/>
      </c>
      <c r="AO1803" s="89" t="str">
        <f>+IF($AG1803=AO$22,MONTH($D1803),"")</f>
        <v/>
      </c>
      <c r="AP1803" s="89">
        <f>+IF($AG1803=AP$22,MONTH($D1803),"")</f>
        <v>8</v>
      </c>
      <c r="AQ1803" s="89" t="str">
        <f>+IF($AG1803=AQ$22,MONTH($D1803),"")</f>
        <v/>
      </c>
      <c r="AR1803" s="89" t="str">
        <f>+IF($AG1803=AR$22,MONTH($D1803),"")</f>
        <v/>
      </c>
      <c r="AS1803" s="89" t="str">
        <f>+IF($AG1803=AS$22,MONTH($D1803),"")</f>
        <v/>
      </c>
      <c r="AT1803" s="89" t="str">
        <f>+IF($AG1803=AT$22,MONTH($D1803),"")</f>
        <v/>
      </c>
      <c r="AU1803" s="89" t="str">
        <f>+IF($AG1803=AU$22,MONTH($D1803),"")</f>
        <v/>
      </c>
      <c r="AV1803" s="89" t="str">
        <f>+IF($AG1803=AV$22,MONTH($D1803),"")</f>
        <v/>
      </c>
      <c r="AW1803" s="86" t="str">
        <f>+IF($AG1803=AW$22,MONTH($D1803),"")</f>
        <v/>
      </c>
      <c r="AX1803" s="86" t="str">
        <f>+IF($AG1803=AX$22,MONTH($D1803),"")</f>
        <v/>
      </c>
      <c r="AY1803" s="182"/>
      <c r="AZ1803" s="182"/>
      <c r="BA1803" s="182"/>
      <c r="BB1803" s="182"/>
      <c r="BC1803" s="182"/>
      <c r="BD1803" s="182"/>
      <c r="BE1803" s="182"/>
      <c r="BF1803" s="182"/>
      <c r="BG1803" s="182"/>
      <c r="BH1803" s="182"/>
      <c r="BI1803" s="182"/>
      <c r="BJ1803" s="89"/>
      <c r="BK1803" s="89"/>
      <c r="BL1803" s="89"/>
      <c r="BM1803" s="89"/>
      <c r="BN1803" s="89"/>
      <c r="BO1803" s="89"/>
      <c r="BP1803" s="89"/>
    </row>
    <row r="1804" spans="1:68" s="56" customFormat="1" ht="13.5" hidden="1">
      <c r="A1804" s="204" t="str">
        <f>+IFERROR(VALUE(MID(AB1804,4,4)),"")</f>
        <v/>
      </c>
      <c r="B1804" s="204">
        <f>VALUE(RIGHT(C1804,LEN(C1804)-2))</f>
        <v>921</v>
      </c>
      <c r="C1804" s="74" t="s">
        <v>6383</v>
      </c>
      <c r="D1804" s="75">
        <v>43305</v>
      </c>
      <c r="E1804" s="70" t="s">
        <v>6384</v>
      </c>
      <c r="F1804" s="70" t="s">
        <v>6384</v>
      </c>
      <c r="G1804" s="68"/>
      <c r="H1804" s="59"/>
      <c r="I1804" s="162" t="s">
        <v>6385</v>
      </c>
      <c r="J1804" s="162"/>
      <c r="K1804" s="68" t="s">
        <v>11</v>
      </c>
      <c r="L1804" s="69"/>
      <c r="M1804" s="71" t="s">
        <v>113</v>
      </c>
      <c r="N1804" s="69" t="e" vm="2">
        <v>#VALUE!</v>
      </c>
      <c r="O1804" s="164"/>
      <c r="P1804" s="72" t="s">
        <v>402</v>
      </c>
      <c r="Q1804" s="72"/>
      <c r="R1804" s="162"/>
      <c r="S1804" s="146"/>
      <c r="T1804" s="68" t="s">
        <v>155</v>
      </c>
      <c r="U1804" s="87"/>
      <c r="V1804" s="183"/>
      <c r="W1804" s="73"/>
      <c r="X1804" s="73"/>
      <c r="Y1804" s="83" t="str">
        <f>IF(SUM(W1804:W1804)&gt;0,X1804/SUM(W1804:W1804)*1000000,"N/A")</f>
        <v>N/A</v>
      </c>
      <c r="Z1804" s="183"/>
      <c r="AA1804" s="183"/>
      <c r="AB1804" s="73"/>
      <c r="AC1804" s="153"/>
      <c r="AD1804" s="331"/>
      <c r="AE1804" s="57"/>
      <c r="AF1804" s="88"/>
      <c r="AG1804" s="182">
        <f>YEAR(D1804)</f>
        <v>2018</v>
      </c>
      <c r="AH1804" s="86" t="str">
        <f>+IF(AE1804=$AJ$22,MONTH(T1804),"")</f>
        <v/>
      </c>
      <c r="AI1804" s="86" t="str">
        <f>+IF(AF1804=$AJ$22,MONTH(U1804),"")</f>
        <v/>
      </c>
      <c r="AJ1804" s="86" t="str">
        <f>+IF(AG1804=$AJ$22,MONTH(V1804),"")</f>
        <v/>
      </c>
      <c r="AK1804" s="86" t="str">
        <f>+IF(AG1804=$AK$22,MONTH(V1804),"")</f>
        <v/>
      </c>
      <c r="AL1804" s="86" t="str">
        <f>+IF(AG1804=$AL$22,MONTH(V1804),"")</f>
        <v/>
      </c>
      <c r="AM1804" s="86" t="str">
        <f>+IF($AG1804=$AM$22,MONTH($D1804),"")</f>
        <v/>
      </c>
      <c r="AN1804" s="89" t="str">
        <f>+IF($AG1804=AN$22,MONTH($D1804),"")</f>
        <v/>
      </c>
      <c r="AO1804" s="89" t="str">
        <f>+IF($AG1804=AO$22,MONTH($D1804),"")</f>
        <v/>
      </c>
      <c r="AP1804" s="89">
        <f>+IF($AG1804=AP$22,MONTH($D1804),"")</f>
        <v>7</v>
      </c>
      <c r="AQ1804" s="89" t="str">
        <f>+IF($AG1804=AQ$22,MONTH($D1804),"")</f>
        <v/>
      </c>
      <c r="AR1804" s="89" t="str">
        <f>+IF($AG1804=AR$22,MONTH($D1804),"")</f>
        <v/>
      </c>
      <c r="AS1804" s="89" t="str">
        <f>+IF($AG1804=AS$22,MONTH($D1804),"")</f>
        <v/>
      </c>
      <c r="AT1804" s="89" t="str">
        <f>+IF($AG1804=AT$22,MONTH($D1804),"")</f>
        <v/>
      </c>
      <c r="AU1804" s="89" t="str">
        <f>+IF($AG1804=AU$22,MONTH($D1804),"")</f>
        <v/>
      </c>
      <c r="AV1804" s="89" t="str">
        <f>+IF($AG1804=AV$22,MONTH($D1804),"")</f>
        <v/>
      </c>
      <c r="AW1804" s="86" t="str">
        <f>+IF($AG1804=AW$22,MONTH($D1804),"")</f>
        <v/>
      </c>
      <c r="AX1804" s="86" t="str">
        <f>+IF($AG1804=AX$22,MONTH($D1804),"")</f>
        <v/>
      </c>
      <c r="AY1804" s="182"/>
      <c r="AZ1804" s="182"/>
      <c r="BA1804" s="182"/>
      <c r="BB1804" s="182"/>
      <c r="BC1804" s="182"/>
      <c r="BD1804" s="182"/>
      <c r="BE1804" s="182"/>
      <c r="BF1804" s="182"/>
      <c r="BG1804" s="182"/>
      <c r="BH1804" s="182"/>
      <c r="BI1804" s="182"/>
      <c r="BJ1804" s="89"/>
      <c r="BK1804" s="89"/>
      <c r="BL1804" s="89"/>
      <c r="BM1804" s="89"/>
      <c r="BN1804" s="89"/>
      <c r="BO1804" s="89"/>
      <c r="BP1804" s="89"/>
    </row>
    <row r="1805" spans="1:68" s="56" customFormat="1" ht="13.5" hidden="1">
      <c r="A1805" s="204" t="str">
        <f>+IFERROR(VALUE(MID(AB1805,4,4)),"")</f>
        <v/>
      </c>
      <c r="B1805" s="204">
        <f>VALUE(RIGHT(C1805,LEN(C1805)-2))</f>
        <v>920</v>
      </c>
      <c r="C1805" s="74" t="s">
        <v>6386</v>
      </c>
      <c r="D1805" s="75">
        <v>43321</v>
      </c>
      <c r="E1805" s="70" t="s">
        <v>685</v>
      </c>
      <c r="F1805" s="70" t="s">
        <v>685</v>
      </c>
      <c r="G1805" s="68"/>
      <c r="H1805" s="59"/>
      <c r="I1805" s="162" t="s">
        <v>6387</v>
      </c>
      <c r="J1805" s="162"/>
      <c r="K1805" s="68"/>
      <c r="L1805" s="69" t="s">
        <v>120</v>
      </c>
      <c r="M1805" s="71" t="s">
        <v>141</v>
      </c>
      <c r="N1805" s="69" t="e" vm="1">
        <v>#VALUE!</v>
      </c>
      <c r="O1805" s="164"/>
      <c r="P1805" s="72" t="s">
        <v>402</v>
      </c>
      <c r="Q1805" s="72"/>
      <c r="R1805" s="162"/>
      <c r="S1805" s="146"/>
      <c r="T1805" s="68" t="s">
        <v>165</v>
      </c>
      <c r="U1805" s="87"/>
      <c r="V1805" s="183">
        <v>43322</v>
      </c>
      <c r="W1805" s="73">
        <v>904</v>
      </c>
      <c r="X1805" s="73">
        <f>(62440000)/1000000</f>
        <v>62.44</v>
      </c>
      <c r="Y1805" s="83">
        <f>IF(SUM(W1805:W1805)&gt;0,X1805/SUM(W1805:W1805)*1000000,"N/A")</f>
        <v>69070.796460176978</v>
      </c>
      <c r="Z1805" s="183"/>
      <c r="AA1805" s="183"/>
      <c r="AB1805" s="73"/>
      <c r="AC1805" s="153"/>
      <c r="AD1805" s="331"/>
      <c r="AE1805" s="57"/>
      <c r="AF1805" s="88"/>
      <c r="AG1805" s="182">
        <f>YEAR(D1805)</f>
        <v>2018</v>
      </c>
      <c r="AH1805" s="86" t="str">
        <f>+IF(AE1805=$AJ$22,MONTH(T1805),"")</f>
        <v/>
      </c>
      <c r="AI1805" s="86" t="str">
        <f>+IF(AF1805=$AJ$22,MONTH(U1805),"")</f>
        <v/>
      </c>
      <c r="AJ1805" s="86" t="str">
        <f>+IF(AG1805=$AJ$22,MONTH(V1805),"")</f>
        <v/>
      </c>
      <c r="AK1805" s="86" t="str">
        <f>+IF(AG1805=$AK$22,MONTH(V1805),"")</f>
        <v/>
      </c>
      <c r="AL1805" s="86" t="str">
        <f>+IF(AG1805=$AL$22,MONTH(V1805),"")</f>
        <v/>
      </c>
      <c r="AM1805" s="86" t="str">
        <f>+IF($AG1805=$AM$22,MONTH($D1805),"")</f>
        <v/>
      </c>
      <c r="AN1805" s="89" t="str">
        <f>+IF($AG1805=AN$22,MONTH($D1805),"")</f>
        <v/>
      </c>
      <c r="AO1805" s="89" t="str">
        <f>+IF($AG1805=AO$22,MONTH($D1805),"")</f>
        <v/>
      </c>
      <c r="AP1805" s="89">
        <f>+IF($AG1805=AP$22,MONTH($D1805),"")</f>
        <v>8</v>
      </c>
      <c r="AQ1805" s="89" t="str">
        <f>+IF($AG1805=AQ$22,MONTH($D1805),"")</f>
        <v/>
      </c>
      <c r="AR1805" s="89" t="str">
        <f>+IF($AG1805=AR$22,MONTH($D1805),"")</f>
        <v/>
      </c>
      <c r="AS1805" s="89" t="str">
        <f>+IF($AG1805=AS$22,MONTH($D1805),"")</f>
        <v/>
      </c>
      <c r="AT1805" s="89" t="str">
        <f>+IF($AG1805=AT$22,MONTH($D1805),"")</f>
        <v/>
      </c>
      <c r="AU1805" s="89" t="str">
        <f>+IF($AG1805=AU$22,MONTH($D1805),"")</f>
        <v/>
      </c>
      <c r="AV1805" s="89" t="str">
        <f>+IF($AG1805=AV$22,MONTH($D1805),"")</f>
        <v/>
      </c>
      <c r="AW1805" s="86" t="str">
        <f>+IF($AG1805=AW$22,MONTH($D1805),"")</f>
        <v/>
      </c>
      <c r="AX1805" s="86" t="str">
        <f>+IF($AG1805=AX$22,MONTH($D1805),"")</f>
        <v/>
      </c>
      <c r="AY1805" s="182"/>
      <c r="AZ1805" s="182"/>
      <c r="BA1805" s="182"/>
      <c r="BB1805" s="182"/>
      <c r="BC1805" s="182"/>
      <c r="BD1805" s="182"/>
      <c r="BE1805" s="182"/>
      <c r="BF1805" s="182"/>
      <c r="BG1805" s="182"/>
      <c r="BH1805" s="182"/>
      <c r="BI1805" s="182"/>
      <c r="BJ1805" s="89"/>
      <c r="BK1805" s="89"/>
      <c r="BL1805" s="89"/>
      <c r="BM1805" s="89"/>
      <c r="BN1805" s="89"/>
      <c r="BO1805" s="89"/>
      <c r="BP1805" s="89"/>
    </row>
    <row r="1806" spans="1:68" s="56" customFormat="1" ht="27" hidden="1">
      <c r="A1806" s="204" t="str">
        <f>+IFERROR(VALUE(MID(AB1806,4,4)),"")</f>
        <v/>
      </c>
      <c r="B1806" s="204">
        <f>VALUE(RIGHT(C1806,LEN(C1806)-2))</f>
        <v>919</v>
      </c>
      <c r="C1806" s="74" t="s">
        <v>6388</v>
      </c>
      <c r="D1806" s="75">
        <v>43320</v>
      </c>
      <c r="E1806" s="70" t="s">
        <v>6389</v>
      </c>
      <c r="F1806" s="70" t="s">
        <v>6389</v>
      </c>
      <c r="G1806" s="68"/>
      <c r="H1806" s="59"/>
      <c r="I1806" s="162" t="s">
        <v>6390</v>
      </c>
      <c r="J1806" s="162"/>
      <c r="K1806" s="68"/>
      <c r="L1806" s="69" t="s">
        <v>120</v>
      </c>
      <c r="M1806" s="71" t="s">
        <v>141</v>
      </c>
      <c r="N1806" s="69" t="e" vm="1">
        <v>#VALUE!</v>
      </c>
      <c r="O1806" s="164"/>
      <c r="P1806" s="72" t="s">
        <v>402</v>
      </c>
      <c r="Q1806" s="72"/>
      <c r="R1806" s="162"/>
      <c r="S1806" s="146"/>
      <c r="T1806" s="68" t="s">
        <v>165</v>
      </c>
      <c r="U1806" s="87"/>
      <c r="V1806" s="183">
        <v>43328</v>
      </c>
      <c r="W1806" s="73">
        <v>300</v>
      </c>
      <c r="X1806" s="73">
        <f>563*27201.03/1000000</f>
        <v>15.314179889999998</v>
      </c>
      <c r="Y1806" s="83">
        <f>IF(SUM(W1806:W1806)&gt;0,X1806/SUM(W1806:W1806)*1000000,"N/A")</f>
        <v>51047.266299999996</v>
      </c>
      <c r="Z1806" s="183"/>
      <c r="AA1806" s="183"/>
      <c r="AB1806" s="73"/>
      <c r="AC1806" s="153"/>
      <c r="AD1806" s="331"/>
      <c r="AE1806" s="57"/>
      <c r="AF1806" s="88"/>
      <c r="AG1806" s="182">
        <f>YEAR(D1806)</f>
        <v>2018</v>
      </c>
      <c r="AH1806" s="86" t="str">
        <f>+IF(AE1806=$AJ$22,MONTH(T1806),"")</f>
        <v/>
      </c>
      <c r="AI1806" s="86" t="str">
        <f>+IF(AF1806=$AJ$22,MONTH(U1806),"")</f>
        <v/>
      </c>
      <c r="AJ1806" s="86" t="str">
        <f>+IF(AG1806=$AJ$22,MONTH(V1806),"")</f>
        <v/>
      </c>
      <c r="AK1806" s="86" t="str">
        <f>+IF(AG1806=$AK$22,MONTH(V1806),"")</f>
        <v/>
      </c>
      <c r="AL1806" s="86" t="str">
        <f>+IF(AG1806=$AL$22,MONTH(V1806),"")</f>
        <v/>
      </c>
      <c r="AM1806" s="86" t="str">
        <f>+IF($AG1806=$AM$22,MONTH($D1806),"")</f>
        <v/>
      </c>
      <c r="AN1806" s="89" t="str">
        <f>+IF($AG1806=AN$22,MONTH($D1806),"")</f>
        <v/>
      </c>
      <c r="AO1806" s="89" t="str">
        <f>+IF($AG1806=AO$22,MONTH($D1806),"")</f>
        <v/>
      </c>
      <c r="AP1806" s="89">
        <f>+IF($AG1806=AP$22,MONTH($D1806),"")</f>
        <v>8</v>
      </c>
      <c r="AQ1806" s="89" t="str">
        <f>+IF($AG1806=AQ$22,MONTH($D1806),"")</f>
        <v/>
      </c>
      <c r="AR1806" s="89" t="str">
        <f>+IF($AG1806=AR$22,MONTH($D1806),"")</f>
        <v/>
      </c>
      <c r="AS1806" s="89" t="str">
        <f>+IF($AG1806=AS$22,MONTH($D1806),"")</f>
        <v/>
      </c>
      <c r="AT1806" s="89" t="str">
        <f>+IF($AG1806=AT$22,MONTH($D1806),"")</f>
        <v/>
      </c>
      <c r="AU1806" s="89" t="str">
        <f>+IF($AG1806=AU$22,MONTH($D1806),"")</f>
        <v/>
      </c>
      <c r="AV1806" s="89" t="str">
        <f>+IF($AG1806=AV$22,MONTH($D1806),"")</f>
        <v/>
      </c>
      <c r="AW1806" s="86" t="str">
        <f>+IF($AG1806=AW$22,MONTH($D1806),"")</f>
        <v/>
      </c>
      <c r="AX1806" s="86" t="str">
        <f>+IF($AG1806=AX$22,MONTH($D1806),"")</f>
        <v/>
      </c>
      <c r="AY1806" s="182"/>
      <c r="AZ1806" s="182"/>
      <c r="BA1806" s="182"/>
      <c r="BB1806" s="182"/>
      <c r="BC1806" s="182"/>
      <c r="BD1806" s="182"/>
      <c r="BE1806" s="182"/>
      <c r="BF1806" s="182"/>
      <c r="BG1806" s="182"/>
      <c r="BH1806" s="182"/>
      <c r="BI1806" s="182"/>
      <c r="BJ1806" s="89"/>
      <c r="BK1806" s="89"/>
      <c r="BL1806" s="89"/>
      <c r="BM1806" s="89"/>
      <c r="BN1806" s="89"/>
      <c r="BO1806" s="89"/>
      <c r="BP1806" s="89"/>
    </row>
    <row r="1807" spans="1:68" s="56" customFormat="1" ht="13.5" hidden="1">
      <c r="A1807" s="204" t="str">
        <f>+IFERROR(VALUE(MID(AB1807,4,4)),"")</f>
        <v/>
      </c>
      <c r="B1807" s="204">
        <f>VALUE(RIGHT(C1807,LEN(C1807)-2))</f>
        <v>918</v>
      </c>
      <c r="C1807" s="74" t="s">
        <v>6391</v>
      </c>
      <c r="D1807" s="75">
        <v>43318</v>
      </c>
      <c r="E1807" s="70" t="s">
        <v>4114</v>
      </c>
      <c r="F1807" s="70" t="s">
        <v>4114</v>
      </c>
      <c r="G1807" s="68"/>
      <c r="H1807" s="59"/>
      <c r="I1807" s="162" t="s">
        <v>6392</v>
      </c>
      <c r="J1807" s="162"/>
      <c r="K1807" s="68" t="s">
        <v>12</v>
      </c>
      <c r="L1807" s="69" t="s">
        <v>120</v>
      </c>
      <c r="M1807" s="71" t="s">
        <v>141</v>
      </c>
      <c r="N1807" s="69" t="e" vm="1">
        <v>#VALUE!</v>
      </c>
      <c r="O1807" s="164"/>
      <c r="P1807" s="72" t="s">
        <v>402</v>
      </c>
      <c r="Q1807" s="72"/>
      <c r="R1807" s="162"/>
      <c r="S1807" s="146"/>
      <c r="T1807" s="68" t="s">
        <v>155</v>
      </c>
      <c r="U1807" s="87"/>
      <c r="V1807" s="183">
        <v>43278</v>
      </c>
      <c r="W1807" s="73"/>
      <c r="X1807" s="73"/>
      <c r="Y1807" s="83" t="str">
        <f>IF(SUM(W1807:W1807)&gt;0,X1807/SUM(W1807:W1807)*1000000,"N/A")</f>
        <v>N/A</v>
      </c>
      <c r="Z1807" s="183"/>
      <c r="AA1807" s="183"/>
      <c r="AB1807" s="73"/>
      <c r="AC1807" s="153"/>
      <c r="AD1807" s="331"/>
      <c r="AE1807" s="57"/>
      <c r="AF1807" s="88"/>
      <c r="AG1807" s="182">
        <f>YEAR(D1807)</f>
        <v>2018</v>
      </c>
      <c r="AH1807" s="86" t="str">
        <f>+IF(AE1807=$AJ$22,MONTH(T1807),"")</f>
        <v/>
      </c>
      <c r="AI1807" s="86" t="str">
        <f>+IF(AF1807=$AJ$22,MONTH(U1807),"")</f>
        <v/>
      </c>
      <c r="AJ1807" s="86" t="str">
        <f>+IF(AG1807=$AJ$22,MONTH(V1807),"")</f>
        <v/>
      </c>
      <c r="AK1807" s="86" t="str">
        <f>+IF(AG1807=$AK$22,MONTH(V1807),"")</f>
        <v/>
      </c>
      <c r="AL1807" s="86" t="str">
        <f>+IF(AG1807=$AL$22,MONTH(V1807),"")</f>
        <v/>
      </c>
      <c r="AM1807" s="86" t="str">
        <f>+IF($AG1807=$AM$22,MONTH($D1807),"")</f>
        <v/>
      </c>
      <c r="AN1807" s="89" t="str">
        <f>+IF($AG1807=AN$22,MONTH($D1807),"")</f>
        <v/>
      </c>
      <c r="AO1807" s="89" t="str">
        <f>+IF($AG1807=AO$22,MONTH($D1807),"")</f>
        <v/>
      </c>
      <c r="AP1807" s="89">
        <f>+IF($AG1807=AP$22,MONTH($D1807),"")</f>
        <v>8</v>
      </c>
      <c r="AQ1807" s="89" t="str">
        <f>+IF($AG1807=AQ$22,MONTH($D1807),"")</f>
        <v/>
      </c>
      <c r="AR1807" s="89" t="str">
        <f>+IF($AG1807=AR$22,MONTH($D1807),"")</f>
        <v/>
      </c>
      <c r="AS1807" s="89" t="str">
        <f>+IF($AG1807=AS$22,MONTH($D1807),"")</f>
        <v/>
      </c>
      <c r="AT1807" s="89" t="str">
        <f>+IF($AG1807=AT$22,MONTH($D1807),"")</f>
        <v/>
      </c>
      <c r="AU1807" s="89" t="str">
        <f>+IF($AG1807=AU$22,MONTH($D1807),"")</f>
        <v/>
      </c>
      <c r="AV1807" s="89" t="str">
        <f>+IF($AG1807=AV$22,MONTH($D1807),"")</f>
        <v/>
      </c>
      <c r="AW1807" s="86" t="str">
        <f>+IF($AG1807=AW$22,MONTH($D1807),"")</f>
        <v/>
      </c>
      <c r="AX1807" s="86" t="str">
        <f>+IF($AG1807=AX$22,MONTH($D1807),"")</f>
        <v/>
      </c>
      <c r="AY1807" s="182"/>
      <c r="AZ1807" s="182"/>
      <c r="BA1807" s="182"/>
      <c r="BB1807" s="182"/>
      <c r="BC1807" s="182"/>
      <c r="BD1807" s="182"/>
      <c r="BE1807" s="182"/>
      <c r="BF1807" s="182"/>
      <c r="BG1807" s="182"/>
      <c r="BH1807" s="182"/>
      <c r="BI1807" s="182"/>
      <c r="BJ1807" s="89"/>
      <c r="BK1807" s="89"/>
      <c r="BL1807" s="89"/>
      <c r="BM1807" s="89"/>
      <c r="BN1807" s="89"/>
      <c r="BO1807" s="89"/>
      <c r="BP1807" s="89"/>
    </row>
    <row r="1808" spans="1:68" s="56" customFormat="1" ht="27" hidden="1">
      <c r="A1808" s="204" t="str">
        <f>+IFERROR(VALUE(MID(AB1808,4,4)),"")</f>
        <v/>
      </c>
      <c r="B1808" s="204">
        <f>VALUE(RIGHT(C1808,LEN(C1808)-2))</f>
        <v>917</v>
      </c>
      <c r="C1808" s="74" t="s">
        <v>6393</v>
      </c>
      <c r="D1808" s="75">
        <v>43315</v>
      </c>
      <c r="E1808" s="70" t="s">
        <v>6394</v>
      </c>
      <c r="F1808" s="70" t="s">
        <v>6394</v>
      </c>
      <c r="G1808" s="68"/>
      <c r="H1808" s="59"/>
      <c r="I1808" s="162" t="s">
        <v>6395</v>
      </c>
      <c r="J1808" s="162"/>
      <c r="K1808" s="68" t="s">
        <v>275</v>
      </c>
      <c r="L1808" s="69" t="s">
        <v>120</v>
      </c>
      <c r="M1808" s="71" t="s">
        <v>141</v>
      </c>
      <c r="N1808" s="69" t="e" vm="1">
        <v>#VALUE!</v>
      </c>
      <c r="O1808" s="164"/>
      <c r="P1808" s="72" t="s">
        <v>4567</v>
      </c>
      <c r="Q1808" s="72"/>
      <c r="R1808" s="162"/>
      <c r="S1808" s="146"/>
      <c r="T1808" s="68" t="s">
        <v>165</v>
      </c>
      <c r="U1808" s="87"/>
      <c r="V1808" s="183">
        <v>43318</v>
      </c>
      <c r="W1808" s="73">
        <v>842</v>
      </c>
      <c r="X1808" s="73">
        <f>949*27600/1000000</f>
        <v>26.192399999999999</v>
      </c>
      <c r="Y1808" s="83">
        <f>IF(SUM(W1808:W1808)&gt;0,X1808/SUM(W1808:W1808)*1000000,"N/A")</f>
        <v>31107.363420427551</v>
      </c>
      <c r="Z1808" s="183"/>
      <c r="AA1808" s="183"/>
      <c r="AB1808" s="73"/>
      <c r="AC1808" s="153"/>
      <c r="AD1808" s="331"/>
      <c r="AE1808" s="57"/>
      <c r="AF1808" s="88"/>
      <c r="AG1808" s="182">
        <f>YEAR(D1808)</f>
        <v>2018</v>
      </c>
      <c r="AH1808" s="86" t="str">
        <f>+IF(AE1808=$AJ$22,MONTH(T1808),"")</f>
        <v/>
      </c>
      <c r="AI1808" s="86" t="str">
        <f>+IF(AF1808=$AJ$22,MONTH(U1808),"")</f>
        <v/>
      </c>
      <c r="AJ1808" s="86" t="str">
        <f>+IF(AG1808=$AJ$22,MONTH(V1808),"")</f>
        <v/>
      </c>
      <c r="AK1808" s="86" t="str">
        <f>+IF(AG1808=$AK$22,MONTH(V1808),"")</f>
        <v/>
      </c>
      <c r="AL1808" s="86" t="str">
        <f>+IF(AG1808=$AL$22,MONTH(V1808),"")</f>
        <v/>
      </c>
      <c r="AM1808" s="86" t="str">
        <f>+IF($AG1808=$AM$22,MONTH($D1808),"")</f>
        <v/>
      </c>
      <c r="AN1808" s="89" t="str">
        <f>+IF($AG1808=AN$22,MONTH($D1808),"")</f>
        <v/>
      </c>
      <c r="AO1808" s="89" t="str">
        <f>+IF($AG1808=AO$22,MONTH($D1808),"")</f>
        <v/>
      </c>
      <c r="AP1808" s="89">
        <f>+IF($AG1808=AP$22,MONTH($D1808),"")</f>
        <v>8</v>
      </c>
      <c r="AQ1808" s="89" t="str">
        <f>+IF($AG1808=AQ$22,MONTH($D1808),"")</f>
        <v/>
      </c>
      <c r="AR1808" s="89" t="str">
        <f>+IF($AG1808=AR$22,MONTH($D1808),"")</f>
        <v/>
      </c>
      <c r="AS1808" s="89" t="str">
        <f>+IF($AG1808=AS$22,MONTH($D1808),"")</f>
        <v/>
      </c>
      <c r="AT1808" s="89" t="str">
        <f>+IF($AG1808=AT$22,MONTH($D1808),"")</f>
        <v/>
      </c>
      <c r="AU1808" s="89" t="str">
        <f>+IF($AG1808=AU$22,MONTH($D1808),"")</f>
        <v/>
      </c>
      <c r="AV1808" s="89" t="str">
        <f>+IF($AG1808=AV$22,MONTH($D1808),"")</f>
        <v/>
      </c>
      <c r="AW1808" s="86" t="str">
        <f>+IF($AG1808=AW$22,MONTH($D1808),"")</f>
        <v/>
      </c>
      <c r="AX1808" s="86" t="str">
        <f>+IF($AG1808=AX$22,MONTH($D1808),"")</f>
        <v/>
      </c>
      <c r="AY1808" s="182"/>
      <c r="AZ1808" s="182"/>
      <c r="BA1808" s="182"/>
      <c r="BB1808" s="182"/>
      <c r="BC1808" s="182"/>
      <c r="BD1808" s="182"/>
      <c r="BE1808" s="182"/>
      <c r="BF1808" s="182"/>
      <c r="BG1808" s="182"/>
      <c r="BH1808" s="182"/>
      <c r="BI1808" s="182"/>
      <c r="BJ1808" s="89"/>
      <c r="BK1808" s="89"/>
      <c r="BL1808" s="89"/>
      <c r="BM1808" s="89"/>
      <c r="BN1808" s="89"/>
      <c r="BO1808" s="89"/>
      <c r="BP1808" s="89"/>
    </row>
    <row r="1809" spans="1:68" s="56" customFormat="1" ht="13.5" hidden="1">
      <c r="A1809" s="204" t="str">
        <f>+IFERROR(VALUE(MID(AB1809,4,4)),"")</f>
        <v/>
      </c>
      <c r="B1809" s="204">
        <f>VALUE(RIGHT(C1809,LEN(C1809)-2))</f>
        <v>916</v>
      </c>
      <c r="C1809" s="74" t="s">
        <v>6396</v>
      </c>
      <c r="D1809" s="75">
        <v>43312</v>
      </c>
      <c r="E1809" s="70" t="s">
        <v>685</v>
      </c>
      <c r="F1809" s="70" t="s">
        <v>685</v>
      </c>
      <c r="G1809" s="68"/>
      <c r="H1809" s="59"/>
      <c r="I1809" s="162" t="s">
        <v>6397</v>
      </c>
      <c r="J1809" s="162"/>
      <c r="K1809" s="68" t="s">
        <v>275</v>
      </c>
      <c r="L1809" s="69" t="s">
        <v>129</v>
      </c>
      <c r="M1809" s="71" t="s">
        <v>141</v>
      </c>
      <c r="N1809" s="69" t="e" vm="1">
        <v>#VALUE!</v>
      </c>
      <c r="O1809" s="164"/>
      <c r="P1809" s="72" t="s">
        <v>402</v>
      </c>
      <c r="Q1809" s="72"/>
      <c r="R1809" s="162"/>
      <c r="S1809" s="146"/>
      <c r="T1809" s="68" t="s">
        <v>155</v>
      </c>
      <c r="U1809" s="87"/>
      <c r="V1809" s="183"/>
      <c r="W1809" s="73"/>
      <c r="X1809" s="73"/>
      <c r="Y1809" s="83" t="str">
        <f>IF(SUM(W1809:W1809)&gt;0,X1809/SUM(W1809:W1809)*1000000,"N/A")</f>
        <v>N/A</v>
      </c>
      <c r="Z1809" s="183"/>
      <c r="AA1809" s="183"/>
      <c r="AB1809" s="73"/>
      <c r="AC1809" s="153"/>
      <c r="AD1809" s="331"/>
      <c r="AE1809" s="57"/>
      <c r="AF1809" s="88"/>
      <c r="AG1809" s="182">
        <f>YEAR(D1809)</f>
        <v>2018</v>
      </c>
      <c r="AH1809" s="86" t="str">
        <f>+IF(AE1809=$AJ$22,MONTH(T1809),"")</f>
        <v/>
      </c>
      <c r="AI1809" s="86" t="str">
        <f>+IF(AF1809=$AJ$22,MONTH(U1809),"")</f>
        <v/>
      </c>
      <c r="AJ1809" s="86" t="str">
        <f>+IF(AG1809=$AJ$22,MONTH(V1809),"")</f>
        <v/>
      </c>
      <c r="AK1809" s="86" t="str">
        <f>+IF(AG1809=$AK$22,MONTH(V1809),"")</f>
        <v/>
      </c>
      <c r="AL1809" s="86" t="str">
        <f>+IF(AG1809=$AL$22,MONTH(V1809),"")</f>
        <v/>
      </c>
      <c r="AM1809" s="86" t="str">
        <f>+IF($AG1809=$AM$22,MONTH($D1809),"")</f>
        <v/>
      </c>
      <c r="AN1809" s="89" t="str">
        <f>+IF($AG1809=AN$22,MONTH($D1809),"")</f>
        <v/>
      </c>
      <c r="AO1809" s="89" t="str">
        <f>+IF($AG1809=AO$22,MONTH($D1809),"")</f>
        <v/>
      </c>
      <c r="AP1809" s="89">
        <f>+IF($AG1809=AP$22,MONTH($D1809),"")</f>
        <v>7</v>
      </c>
      <c r="AQ1809" s="89" t="str">
        <f>+IF($AG1809=AQ$22,MONTH($D1809),"")</f>
        <v/>
      </c>
      <c r="AR1809" s="89" t="str">
        <f>+IF($AG1809=AR$22,MONTH($D1809),"")</f>
        <v/>
      </c>
      <c r="AS1809" s="89" t="str">
        <f>+IF($AG1809=AS$22,MONTH($D1809),"")</f>
        <v/>
      </c>
      <c r="AT1809" s="89" t="str">
        <f>+IF($AG1809=AT$22,MONTH($D1809),"")</f>
        <v/>
      </c>
      <c r="AU1809" s="89" t="str">
        <f>+IF($AG1809=AU$22,MONTH($D1809),"")</f>
        <v/>
      </c>
      <c r="AV1809" s="89" t="str">
        <f>+IF($AG1809=AV$22,MONTH($D1809),"")</f>
        <v/>
      </c>
      <c r="AW1809" s="86" t="str">
        <f>+IF($AG1809=AW$22,MONTH($D1809),"")</f>
        <v/>
      </c>
      <c r="AX1809" s="86" t="str">
        <f>+IF($AG1809=AX$22,MONTH($D1809),"")</f>
        <v/>
      </c>
      <c r="AY1809" s="182"/>
      <c r="AZ1809" s="182"/>
      <c r="BA1809" s="182"/>
      <c r="BB1809" s="182"/>
      <c r="BC1809" s="182"/>
      <c r="BD1809" s="182"/>
      <c r="BE1809" s="182"/>
      <c r="BF1809" s="182"/>
      <c r="BG1809" s="182"/>
      <c r="BH1809" s="182"/>
      <c r="BI1809" s="182"/>
      <c r="BJ1809" s="89"/>
      <c r="BK1809" s="89"/>
      <c r="BL1809" s="89"/>
      <c r="BM1809" s="89"/>
      <c r="BN1809" s="89"/>
      <c r="BO1809" s="89"/>
      <c r="BP1809" s="89"/>
    </row>
    <row r="1810" spans="1:68" s="56" customFormat="1" ht="13.5" hidden="1">
      <c r="A1810" s="204" t="str">
        <f>+IFERROR(VALUE(MID(AB1810,4,4)),"")</f>
        <v/>
      </c>
      <c r="B1810" s="204">
        <f>VALUE(RIGHT(C1810,LEN(C1810)-2))</f>
        <v>915</v>
      </c>
      <c r="C1810" s="74" t="s">
        <v>6398</v>
      </c>
      <c r="D1810" s="75">
        <v>43304</v>
      </c>
      <c r="E1810" s="70" t="s">
        <v>41</v>
      </c>
      <c r="F1810" s="70" t="s">
        <v>41</v>
      </c>
      <c r="G1810" s="68"/>
      <c r="H1810" s="59"/>
      <c r="I1810" s="162" t="s">
        <v>6399</v>
      </c>
      <c r="J1810" s="162"/>
      <c r="K1810" s="68" t="s">
        <v>13</v>
      </c>
      <c r="L1810" s="69" t="s">
        <v>120</v>
      </c>
      <c r="M1810" s="71" t="s">
        <v>141</v>
      </c>
      <c r="N1810" s="69" t="e" vm="1">
        <v>#VALUE!</v>
      </c>
      <c r="O1810" s="164"/>
      <c r="P1810" s="72" t="s">
        <v>402</v>
      </c>
      <c r="Q1810" s="72"/>
      <c r="R1810" s="162"/>
      <c r="S1810" s="146"/>
      <c r="T1810" s="68" t="s">
        <v>165</v>
      </c>
      <c r="U1810" s="87"/>
      <c r="V1810" s="183">
        <v>43306</v>
      </c>
      <c r="W1810" s="73">
        <v>565</v>
      </c>
      <c r="X1810" s="73">
        <f>561*27201/1000000</f>
        <v>15.259760999999999</v>
      </c>
      <c r="Y1810" s="83">
        <f>IF(SUM(W1810:W1810)&gt;0,X1810/SUM(W1810:W1810)*1000000,"N/A")</f>
        <v>27008.426548672564</v>
      </c>
      <c r="Z1810" s="183"/>
      <c r="AA1810" s="183"/>
      <c r="AB1810" s="73"/>
      <c r="AC1810" s="153"/>
      <c r="AD1810" s="331"/>
      <c r="AE1810" s="57"/>
      <c r="AF1810" s="88"/>
      <c r="AG1810" s="182">
        <f>YEAR(D1810)</f>
        <v>2018</v>
      </c>
      <c r="AH1810" s="86" t="str">
        <f>+IF(AE1810=$AJ$22,MONTH(T1810),"")</f>
        <v/>
      </c>
      <c r="AI1810" s="86" t="str">
        <f>+IF(AF1810=$AJ$22,MONTH(U1810),"")</f>
        <v/>
      </c>
      <c r="AJ1810" s="86" t="str">
        <f>+IF(AG1810=$AJ$22,MONTH(V1810),"")</f>
        <v/>
      </c>
      <c r="AK1810" s="86" t="str">
        <f>+IF(AG1810=$AK$22,MONTH(V1810),"")</f>
        <v/>
      </c>
      <c r="AL1810" s="86" t="str">
        <f>+IF(AG1810=$AL$22,MONTH(V1810),"")</f>
        <v/>
      </c>
      <c r="AM1810" s="86" t="str">
        <f>+IF($AG1810=$AM$22,MONTH($D1810),"")</f>
        <v/>
      </c>
      <c r="AN1810" s="89" t="str">
        <f>+IF($AG1810=AN$22,MONTH($D1810),"")</f>
        <v/>
      </c>
      <c r="AO1810" s="89" t="str">
        <f>+IF($AG1810=AO$22,MONTH($D1810),"")</f>
        <v/>
      </c>
      <c r="AP1810" s="89">
        <f>+IF($AG1810=AP$22,MONTH($D1810),"")</f>
        <v>7</v>
      </c>
      <c r="AQ1810" s="89" t="str">
        <f>+IF($AG1810=AQ$22,MONTH($D1810),"")</f>
        <v/>
      </c>
      <c r="AR1810" s="89" t="str">
        <f>+IF($AG1810=AR$22,MONTH($D1810),"")</f>
        <v/>
      </c>
      <c r="AS1810" s="89" t="str">
        <f>+IF($AG1810=AS$22,MONTH($D1810),"")</f>
        <v/>
      </c>
      <c r="AT1810" s="89" t="str">
        <f>+IF($AG1810=AT$22,MONTH($D1810),"")</f>
        <v/>
      </c>
      <c r="AU1810" s="89" t="str">
        <f>+IF($AG1810=AU$22,MONTH($D1810),"")</f>
        <v/>
      </c>
      <c r="AV1810" s="89" t="str">
        <f>+IF($AG1810=AV$22,MONTH($D1810),"")</f>
        <v/>
      </c>
      <c r="AW1810" s="86" t="str">
        <f>+IF($AG1810=AW$22,MONTH($D1810),"")</f>
        <v/>
      </c>
      <c r="AX1810" s="86" t="str">
        <f>+IF($AG1810=AX$22,MONTH($D1810),"")</f>
        <v/>
      </c>
      <c r="AY1810" s="182"/>
      <c r="AZ1810" s="182"/>
      <c r="BA1810" s="182"/>
      <c r="BB1810" s="182"/>
      <c r="BC1810" s="182"/>
      <c r="BD1810" s="182"/>
      <c r="BE1810" s="182"/>
      <c r="BF1810" s="182"/>
      <c r="BG1810" s="182"/>
      <c r="BH1810" s="182"/>
      <c r="BI1810" s="182"/>
      <c r="BJ1810" s="89"/>
      <c r="BK1810" s="89"/>
      <c r="BL1810" s="89"/>
      <c r="BM1810" s="89"/>
      <c r="BN1810" s="89"/>
      <c r="BO1810" s="89"/>
      <c r="BP1810" s="89"/>
    </row>
    <row r="1811" spans="1:68" s="56" customFormat="1" ht="27" hidden="1">
      <c r="A1811" s="204" t="str">
        <f>+IFERROR(VALUE(MID(AB1811,4,4)),"")</f>
        <v/>
      </c>
      <c r="B1811" s="204">
        <f>VALUE(RIGHT(C1811,LEN(C1811)-2))</f>
        <v>914</v>
      </c>
      <c r="C1811" s="74" t="s">
        <v>6400</v>
      </c>
      <c r="D1811" s="75">
        <v>43304</v>
      </c>
      <c r="E1811" s="70" t="s">
        <v>53</v>
      </c>
      <c r="F1811" s="70" t="s">
        <v>252</v>
      </c>
      <c r="G1811" s="68"/>
      <c r="H1811" s="59"/>
      <c r="I1811" s="162" t="s">
        <v>6401</v>
      </c>
      <c r="J1811" s="162"/>
      <c r="K1811" s="68" t="s">
        <v>13</v>
      </c>
      <c r="L1811" s="69" t="s">
        <v>129</v>
      </c>
      <c r="M1811" s="71" t="s">
        <v>141</v>
      </c>
      <c r="N1811" s="69" t="e" vm="1">
        <v>#VALUE!</v>
      </c>
      <c r="O1811" s="164"/>
      <c r="P1811" s="72" t="s">
        <v>4567</v>
      </c>
      <c r="Q1811" s="72"/>
      <c r="R1811" s="162"/>
      <c r="S1811" s="146" t="s">
        <v>838</v>
      </c>
      <c r="T1811" s="68" t="s">
        <v>165</v>
      </c>
      <c r="U1811" s="87"/>
      <c r="V1811" s="183"/>
      <c r="W1811" s="73">
        <v>1</v>
      </c>
      <c r="X1811" s="73"/>
      <c r="Y1811" s="83">
        <f>IF(SUM(W1811:W1811)&gt;0,X1811/SUM(W1811:W1811)*1000000,"N/A")</f>
        <v>0</v>
      </c>
      <c r="Z1811" s="183"/>
      <c r="AA1811" s="183"/>
      <c r="AB1811" s="73"/>
      <c r="AC1811" s="153"/>
      <c r="AD1811" s="331"/>
      <c r="AE1811" s="57"/>
      <c r="AF1811" s="88"/>
      <c r="AG1811" s="182">
        <f>YEAR(D1811)</f>
        <v>2018</v>
      </c>
      <c r="AH1811" s="86" t="str">
        <f>+IF(AE1811=$AJ$22,MONTH(T1811),"")</f>
        <v/>
      </c>
      <c r="AI1811" s="86" t="str">
        <f>+IF(AF1811=$AJ$22,MONTH(U1811),"")</f>
        <v/>
      </c>
      <c r="AJ1811" s="86" t="str">
        <f>+IF(AG1811=$AJ$22,MONTH(V1811),"")</f>
        <v/>
      </c>
      <c r="AK1811" s="86" t="str">
        <f>+IF(AG1811=$AK$22,MONTH(V1811),"")</f>
        <v/>
      </c>
      <c r="AL1811" s="86" t="str">
        <f>+IF(AG1811=$AL$22,MONTH(V1811),"")</f>
        <v/>
      </c>
      <c r="AM1811" s="86" t="str">
        <f>+IF($AG1811=$AM$22,MONTH($D1811),"")</f>
        <v/>
      </c>
      <c r="AN1811" s="89" t="str">
        <f>+IF($AG1811=AN$22,MONTH($D1811),"")</f>
        <v/>
      </c>
      <c r="AO1811" s="89" t="str">
        <f>+IF($AG1811=AO$22,MONTH($D1811),"")</f>
        <v/>
      </c>
      <c r="AP1811" s="89">
        <f>+IF($AG1811=AP$22,MONTH($D1811),"")</f>
        <v>7</v>
      </c>
      <c r="AQ1811" s="89" t="str">
        <f>+IF($AG1811=AQ$22,MONTH($D1811),"")</f>
        <v/>
      </c>
      <c r="AR1811" s="89" t="str">
        <f>+IF($AG1811=AR$22,MONTH($D1811),"")</f>
        <v/>
      </c>
      <c r="AS1811" s="89" t="str">
        <f>+IF($AG1811=AS$22,MONTH($D1811),"")</f>
        <v/>
      </c>
      <c r="AT1811" s="89" t="str">
        <f>+IF($AG1811=AT$22,MONTH($D1811),"")</f>
        <v/>
      </c>
      <c r="AU1811" s="89" t="str">
        <f>+IF($AG1811=AU$22,MONTH($D1811),"")</f>
        <v/>
      </c>
      <c r="AV1811" s="89" t="str">
        <f>+IF($AG1811=AV$22,MONTH($D1811),"")</f>
        <v/>
      </c>
      <c r="AW1811" s="86" t="str">
        <f>+IF($AG1811=AW$22,MONTH($D1811),"")</f>
        <v/>
      </c>
      <c r="AX1811" s="86" t="str">
        <f>+IF($AG1811=AX$22,MONTH($D1811),"")</f>
        <v/>
      </c>
      <c r="AY1811" s="182"/>
      <c r="AZ1811" s="182"/>
      <c r="BA1811" s="182"/>
      <c r="BB1811" s="182"/>
      <c r="BC1811" s="182"/>
      <c r="BD1811" s="182"/>
      <c r="BE1811" s="182"/>
      <c r="BF1811" s="182"/>
      <c r="BG1811" s="182"/>
      <c r="BH1811" s="182"/>
      <c r="BI1811" s="182"/>
      <c r="BJ1811" s="89"/>
      <c r="BK1811" s="89"/>
      <c r="BL1811" s="89"/>
      <c r="BM1811" s="89"/>
      <c r="BN1811" s="89"/>
      <c r="BO1811" s="89"/>
      <c r="BP1811" s="89"/>
    </row>
    <row r="1812" spans="1:68" s="56" customFormat="1" ht="13.5" hidden="1">
      <c r="A1812" s="204" t="str">
        <f>+IFERROR(VALUE(MID(AB1812,4,4)),"")</f>
        <v/>
      </c>
      <c r="B1812" s="204">
        <f>VALUE(RIGHT(C1812,LEN(C1812)-2))</f>
        <v>913</v>
      </c>
      <c r="C1812" s="74" t="s">
        <v>6402</v>
      </c>
      <c r="D1812" s="75">
        <v>43257</v>
      </c>
      <c r="E1812" s="70" t="s">
        <v>4664</v>
      </c>
      <c r="F1812" s="70" t="s">
        <v>6308</v>
      </c>
      <c r="G1812" s="68"/>
      <c r="H1812" s="59"/>
      <c r="I1812" s="162" t="s">
        <v>6403</v>
      </c>
      <c r="J1812" s="162"/>
      <c r="K1812" s="68" t="s">
        <v>11</v>
      </c>
      <c r="L1812" s="69" t="s">
        <v>120</v>
      </c>
      <c r="M1812" s="71" t="s">
        <v>113</v>
      </c>
      <c r="N1812" s="69" t="e" vm="2">
        <v>#VALUE!</v>
      </c>
      <c r="O1812" s="164"/>
      <c r="P1812" s="72" t="s">
        <v>402</v>
      </c>
      <c r="Q1812" s="72"/>
      <c r="R1812" s="162"/>
      <c r="S1812" s="146"/>
      <c r="T1812" s="68" t="s">
        <v>165</v>
      </c>
      <c r="U1812" s="87"/>
      <c r="V1812" s="183">
        <v>43427</v>
      </c>
      <c r="W1812" s="73">
        <v>290</v>
      </c>
      <c r="X1812" s="73">
        <f>45905*170/1000000</f>
        <v>7.8038499999999997</v>
      </c>
      <c r="Y1812" s="83">
        <f>IF(SUM(W1812:W1812)&gt;0,X1812/SUM(W1812:W1812)*1000000,"N/A")</f>
        <v>26909.827586206895</v>
      </c>
      <c r="Z1812" s="183"/>
      <c r="AA1812" s="183"/>
      <c r="AB1812" s="73"/>
      <c r="AC1812" s="153"/>
      <c r="AD1812" s="331"/>
      <c r="AE1812" s="57"/>
      <c r="AF1812" s="88"/>
      <c r="AG1812" s="182">
        <f>YEAR(D1812)</f>
        <v>2018</v>
      </c>
      <c r="AH1812" s="86" t="str">
        <f>+IF(AE1812=$AJ$22,MONTH(T1812),"")</f>
        <v/>
      </c>
      <c r="AI1812" s="86" t="str">
        <f>+IF(AF1812=$AJ$22,MONTH(U1812),"")</f>
        <v/>
      </c>
      <c r="AJ1812" s="86" t="str">
        <f>+IF(AG1812=$AJ$22,MONTH(V1812),"")</f>
        <v/>
      </c>
      <c r="AK1812" s="86" t="str">
        <f>+IF(AG1812=$AK$22,MONTH(V1812),"")</f>
        <v/>
      </c>
      <c r="AL1812" s="86" t="str">
        <f>+IF(AG1812=$AL$22,MONTH(V1812),"")</f>
        <v/>
      </c>
      <c r="AM1812" s="86" t="str">
        <f>+IF($AG1812=$AM$22,MONTH($D1812),"")</f>
        <v/>
      </c>
      <c r="AN1812" s="89" t="str">
        <f>+IF($AG1812=AN$22,MONTH($D1812),"")</f>
        <v/>
      </c>
      <c r="AO1812" s="89" t="str">
        <f>+IF($AG1812=AO$22,MONTH($D1812),"")</f>
        <v/>
      </c>
      <c r="AP1812" s="89">
        <f>+IF($AG1812=AP$22,MONTH($D1812),"")</f>
        <v>6</v>
      </c>
      <c r="AQ1812" s="89" t="str">
        <f>+IF($AG1812=AQ$22,MONTH($D1812),"")</f>
        <v/>
      </c>
      <c r="AR1812" s="89" t="str">
        <f>+IF($AG1812=AR$22,MONTH($D1812),"")</f>
        <v/>
      </c>
      <c r="AS1812" s="89" t="str">
        <f>+IF($AG1812=AS$22,MONTH($D1812),"")</f>
        <v/>
      </c>
      <c r="AT1812" s="89" t="str">
        <f>+IF($AG1812=AT$22,MONTH($D1812),"")</f>
        <v/>
      </c>
      <c r="AU1812" s="89" t="str">
        <f>+IF($AG1812=AU$22,MONTH($D1812),"")</f>
        <v/>
      </c>
      <c r="AV1812" s="89" t="str">
        <f>+IF($AG1812=AV$22,MONTH($D1812),"")</f>
        <v/>
      </c>
      <c r="AW1812" s="86" t="str">
        <f>+IF($AG1812=AW$22,MONTH($D1812),"")</f>
        <v/>
      </c>
      <c r="AX1812" s="86" t="str">
        <f>+IF($AG1812=AX$22,MONTH($D1812),"")</f>
        <v/>
      </c>
      <c r="AY1812" s="182"/>
      <c r="AZ1812" s="182"/>
      <c r="BA1812" s="182"/>
      <c r="BB1812" s="182"/>
      <c r="BC1812" s="182"/>
      <c r="BD1812" s="182"/>
      <c r="BE1812" s="182"/>
      <c r="BF1812" s="182"/>
      <c r="BG1812" s="182"/>
      <c r="BH1812" s="182"/>
      <c r="BI1812" s="182"/>
      <c r="BJ1812" s="89"/>
      <c r="BK1812" s="89"/>
      <c r="BL1812" s="89"/>
      <c r="BM1812" s="89"/>
      <c r="BN1812" s="89"/>
      <c r="BO1812" s="89"/>
      <c r="BP1812" s="89"/>
    </row>
    <row r="1813" spans="1:68" s="56" customFormat="1" ht="13.5" hidden="1">
      <c r="A1813" s="204">
        <f>+IFERROR(VALUE(MID(AB1813,4,4)),"")</f>
        <v>196</v>
      </c>
      <c r="B1813" s="204">
        <f>VALUE(RIGHT(C1813,LEN(C1813)-2))</f>
        <v>912</v>
      </c>
      <c r="C1813" s="74" t="s">
        <v>6404</v>
      </c>
      <c r="D1813" s="75">
        <v>43304</v>
      </c>
      <c r="E1813" s="70" t="s">
        <v>4664</v>
      </c>
      <c r="F1813" s="70" t="s">
        <v>6308</v>
      </c>
      <c r="G1813" s="68"/>
      <c r="H1813" s="59"/>
      <c r="I1813" s="162" t="s">
        <v>6405</v>
      </c>
      <c r="J1813" s="162"/>
      <c r="K1813" s="68" t="s">
        <v>12</v>
      </c>
      <c r="L1813" s="69" t="s">
        <v>120</v>
      </c>
      <c r="M1813" s="71" t="s">
        <v>113</v>
      </c>
      <c r="N1813" s="69" t="e" vm="2">
        <v>#VALUE!</v>
      </c>
      <c r="O1813" s="164"/>
      <c r="P1813" s="72" t="s">
        <v>402</v>
      </c>
      <c r="Q1813" s="72" t="s">
        <v>1097</v>
      </c>
      <c r="R1813" s="162"/>
      <c r="S1813" s="146"/>
      <c r="T1813" s="68" t="s">
        <v>3</v>
      </c>
      <c r="U1813" s="87"/>
      <c r="V1813" s="183">
        <v>43304</v>
      </c>
      <c r="W1813" s="73">
        <v>271</v>
      </c>
      <c r="X1813" s="73">
        <f>38460*173/1000000</f>
        <v>6.6535799999999998</v>
      </c>
      <c r="Y1813" s="83">
        <f>IF(SUM(W1813:W1813)&gt;0,X1813/SUM(W1813:W1813)*1000000,"N/A")</f>
        <v>24551.955719557194</v>
      </c>
      <c r="Z1813" s="183"/>
      <c r="AA1813" s="183"/>
      <c r="AB1813" s="73" t="s">
        <v>6406</v>
      </c>
      <c r="AC1813" s="153"/>
      <c r="AD1813" s="331"/>
      <c r="AE1813" s="57"/>
      <c r="AF1813" s="88"/>
      <c r="AG1813" s="182">
        <f>YEAR(D1813)</f>
        <v>2018</v>
      </c>
      <c r="AH1813" s="86" t="str">
        <f>+IF(AE1813=$AJ$22,MONTH(T1813),"")</f>
        <v/>
      </c>
      <c r="AI1813" s="86" t="str">
        <f>+IF(AF1813=$AJ$22,MONTH(U1813),"")</f>
        <v/>
      </c>
      <c r="AJ1813" s="86" t="str">
        <f>+IF(AG1813=$AJ$22,MONTH(V1813),"")</f>
        <v/>
      </c>
      <c r="AK1813" s="86" t="str">
        <f>+IF(AG1813=$AK$22,MONTH(V1813),"")</f>
        <v/>
      </c>
      <c r="AL1813" s="86" t="str">
        <f>+IF(AG1813=$AL$22,MONTH(V1813),"")</f>
        <v/>
      </c>
      <c r="AM1813" s="86" t="str">
        <f>+IF($AG1813=$AM$22,MONTH($D1813),"")</f>
        <v/>
      </c>
      <c r="AN1813" s="89" t="str">
        <f>+IF($AG1813=AN$22,MONTH($D1813),"")</f>
        <v/>
      </c>
      <c r="AO1813" s="89" t="str">
        <f>+IF($AG1813=AO$22,MONTH($D1813),"")</f>
        <v/>
      </c>
      <c r="AP1813" s="89">
        <f>+IF($AG1813=AP$22,MONTH($D1813),"")</f>
        <v>7</v>
      </c>
      <c r="AQ1813" s="89" t="str">
        <f>+IF($AG1813=AQ$22,MONTH($D1813),"")</f>
        <v/>
      </c>
      <c r="AR1813" s="89" t="str">
        <f>+IF($AG1813=AR$22,MONTH($D1813),"")</f>
        <v/>
      </c>
      <c r="AS1813" s="89" t="str">
        <f>+IF($AG1813=AS$22,MONTH($D1813),"")</f>
        <v/>
      </c>
      <c r="AT1813" s="89" t="str">
        <f>+IF($AG1813=AT$22,MONTH($D1813),"")</f>
        <v/>
      </c>
      <c r="AU1813" s="89" t="str">
        <f>+IF($AG1813=AU$22,MONTH($D1813),"")</f>
        <v/>
      </c>
      <c r="AV1813" s="89" t="str">
        <f>+IF($AG1813=AV$22,MONTH($D1813),"")</f>
        <v/>
      </c>
      <c r="AW1813" s="86" t="str">
        <f>+IF($AG1813=AW$22,MONTH($D1813),"")</f>
        <v/>
      </c>
      <c r="AX1813" s="86" t="str">
        <f>+IF($AG1813=AX$22,MONTH($D1813),"")</f>
        <v/>
      </c>
      <c r="AY1813" s="182"/>
      <c r="AZ1813" s="182"/>
      <c r="BA1813" s="182"/>
      <c r="BB1813" s="182"/>
      <c r="BC1813" s="182"/>
      <c r="BD1813" s="182"/>
      <c r="BE1813" s="182"/>
      <c r="BF1813" s="182"/>
      <c r="BG1813" s="182"/>
      <c r="BH1813" s="182"/>
      <c r="BI1813" s="182"/>
      <c r="BJ1813" s="89"/>
      <c r="BK1813" s="89"/>
      <c r="BL1813" s="89"/>
      <c r="BM1813" s="89"/>
      <c r="BN1813" s="89"/>
      <c r="BO1813" s="89"/>
      <c r="BP1813" s="89"/>
    </row>
    <row r="1814" spans="1:68" s="56" customFormat="1" ht="13.5" hidden="1">
      <c r="A1814" s="204">
        <f>+IFERROR(VALUE(MID(AB1814,4,4)),"")</f>
        <v>200</v>
      </c>
      <c r="B1814" s="204">
        <f>VALUE(RIGHT(C1814,LEN(C1814)-2))</f>
        <v>911</v>
      </c>
      <c r="C1814" s="74" t="s">
        <v>6407</v>
      </c>
      <c r="D1814" s="75">
        <v>43304</v>
      </c>
      <c r="E1814" s="70" t="s">
        <v>4114</v>
      </c>
      <c r="F1814" s="70" t="s">
        <v>4114</v>
      </c>
      <c r="G1814" s="68"/>
      <c r="H1814" s="59"/>
      <c r="I1814" s="162" t="s">
        <v>6408</v>
      </c>
      <c r="J1814" s="162"/>
      <c r="K1814" s="68" t="s">
        <v>12</v>
      </c>
      <c r="L1814" s="69" t="s">
        <v>120</v>
      </c>
      <c r="M1814" s="71" t="s">
        <v>141</v>
      </c>
      <c r="N1814" s="69" t="e" vm="1">
        <v>#VALUE!</v>
      </c>
      <c r="O1814" s="164"/>
      <c r="P1814" s="72" t="s">
        <v>402</v>
      </c>
      <c r="Q1814" s="72" t="s">
        <v>1097</v>
      </c>
      <c r="R1814" s="162"/>
      <c r="S1814" s="146"/>
      <c r="T1814" s="68" t="s">
        <v>3</v>
      </c>
      <c r="U1814" s="87"/>
      <c r="V1814" s="183">
        <v>43308</v>
      </c>
      <c r="W1814" s="73">
        <v>792</v>
      </c>
      <c r="X1814" s="73">
        <f>1051*27201/1000000</f>
        <v>28.588251</v>
      </c>
      <c r="Y1814" s="83">
        <f>IF(SUM(W1814:W1814)&gt;0,X1814/SUM(W1814:W1814)*1000000,"N/A")</f>
        <v>36096.276515151512</v>
      </c>
      <c r="Z1814" s="183"/>
      <c r="AA1814" s="183"/>
      <c r="AB1814" s="73" t="s">
        <v>6409</v>
      </c>
      <c r="AC1814" s="153"/>
      <c r="AD1814" s="331"/>
      <c r="AE1814" s="57"/>
      <c r="AF1814" s="88"/>
      <c r="AG1814" s="182">
        <f>YEAR(D1814)</f>
        <v>2018</v>
      </c>
      <c r="AH1814" s="86" t="str">
        <f>+IF(AE1814=$AJ$22,MONTH(T1814),"")</f>
        <v/>
      </c>
      <c r="AI1814" s="86" t="str">
        <f>+IF(AF1814=$AJ$22,MONTH(U1814),"")</f>
        <v/>
      </c>
      <c r="AJ1814" s="86" t="str">
        <f>+IF(AG1814=$AJ$22,MONTH(V1814),"")</f>
        <v/>
      </c>
      <c r="AK1814" s="86" t="str">
        <f>+IF(AG1814=$AK$22,MONTH(V1814),"")</f>
        <v/>
      </c>
      <c r="AL1814" s="86" t="str">
        <f>+IF(AG1814=$AL$22,MONTH(V1814),"")</f>
        <v/>
      </c>
      <c r="AM1814" s="86" t="str">
        <f>+IF($AG1814=$AM$22,MONTH($D1814),"")</f>
        <v/>
      </c>
      <c r="AN1814" s="89" t="str">
        <f>+IF($AG1814=AN$22,MONTH($D1814),"")</f>
        <v/>
      </c>
      <c r="AO1814" s="89" t="str">
        <f>+IF($AG1814=AO$22,MONTH($D1814),"")</f>
        <v/>
      </c>
      <c r="AP1814" s="89">
        <f>+IF($AG1814=AP$22,MONTH($D1814),"")</f>
        <v>7</v>
      </c>
      <c r="AQ1814" s="89" t="str">
        <f>+IF($AG1814=AQ$22,MONTH($D1814),"")</f>
        <v/>
      </c>
      <c r="AR1814" s="89" t="str">
        <f>+IF($AG1814=AR$22,MONTH($D1814),"")</f>
        <v/>
      </c>
      <c r="AS1814" s="89" t="str">
        <f>+IF($AG1814=AS$22,MONTH($D1814),"")</f>
        <v/>
      </c>
      <c r="AT1814" s="89" t="str">
        <f>+IF($AG1814=AT$22,MONTH($D1814),"")</f>
        <v/>
      </c>
      <c r="AU1814" s="89" t="str">
        <f>+IF($AG1814=AU$22,MONTH($D1814),"")</f>
        <v/>
      </c>
      <c r="AV1814" s="89" t="str">
        <f>+IF($AG1814=AV$22,MONTH($D1814),"")</f>
        <v/>
      </c>
      <c r="AW1814" s="86" t="str">
        <f>+IF($AG1814=AW$22,MONTH($D1814),"")</f>
        <v/>
      </c>
      <c r="AX1814" s="86" t="str">
        <f>+IF($AG1814=AX$22,MONTH($D1814),"")</f>
        <v/>
      </c>
      <c r="AY1814" s="182"/>
      <c r="AZ1814" s="182"/>
      <c r="BA1814" s="182"/>
      <c r="BB1814" s="182"/>
      <c r="BC1814" s="182"/>
      <c r="BD1814" s="182"/>
      <c r="BE1814" s="182"/>
      <c r="BF1814" s="182"/>
      <c r="BG1814" s="182"/>
      <c r="BH1814" s="182"/>
      <c r="BI1814" s="182"/>
      <c r="BJ1814" s="89"/>
      <c r="BK1814" s="89"/>
      <c r="BL1814" s="89"/>
      <c r="BM1814" s="89"/>
      <c r="BN1814" s="89"/>
      <c r="BO1814" s="89"/>
      <c r="BP1814" s="89"/>
    </row>
    <row r="1815" spans="1:68" s="56" customFormat="1" ht="13.5" hidden="1">
      <c r="A1815" s="204" t="str">
        <f>+IFERROR(VALUE(MID(AB1815,4,4)),"")</f>
        <v/>
      </c>
      <c r="B1815" s="204">
        <f>VALUE(RIGHT(C1815,LEN(C1815)-2))</f>
        <v>910</v>
      </c>
      <c r="C1815" s="74" t="s">
        <v>6410</v>
      </c>
      <c r="D1815" s="75">
        <v>43300</v>
      </c>
      <c r="E1815" s="70" t="s">
        <v>41</v>
      </c>
      <c r="F1815" s="70" t="s">
        <v>41</v>
      </c>
      <c r="G1815" s="68"/>
      <c r="H1815" s="59"/>
      <c r="I1815" s="162" t="s">
        <v>6411</v>
      </c>
      <c r="J1815" s="162"/>
      <c r="K1815" s="68" t="s">
        <v>3389</v>
      </c>
      <c r="L1815" s="69" t="s">
        <v>120</v>
      </c>
      <c r="M1815" s="71" t="s">
        <v>141</v>
      </c>
      <c r="N1815" s="69" t="e" vm="1">
        <v>#VALUE!</v>
      </c>
      <c r="O1815" s="164"/>
      <c r="P1815" s="72" t="s">
        <v>402</v>
      </c>
      <c r="Q1815" s="72"/>
      <c r="R1815" s="162"/>
      <c r="S1815" s="146"/>
      <c r="T1815" s="68" t="s">
        <v>165</v>
      </c>
      <c r="U1815" s="87"/>
      <c r="V1815" s="183">
        <v>43304</v>
      </c>
      <c r="W1815" s="73">
        <v>415</v>
      </c>
      <c r="X1815" s="73">
        <f>400*27201/1000000</f>
        <v>10.8804</v>
      </c>
      <c r="Y1815" s="83">
        <f>IF(SUM(W1815:W1815)&gt;0,X1815/SUM(W1815:W1815)*1000000,"N/A")</f>
        <v>26217.831325301202</v>
      </c>
      <c r="Z1815" s="183"/>
      <c r="AA1815" s="183"/>
      <c r="AB1815" s="73"/>
      <c r="AC1815" s="153"/>
      <c r="AD1815" s="331"/>
      <c r="AE1815" s="57"/>
      <c r="AF1815" s="88"/>
      <c r="AG1815" s="182">
        <f>YEAR(D1815)</f>
        <v>2018</v>
      </c>
      <c r="AH1815" s="86" t="str">
        <f>+IF(AE1815=$AJ$22,MONTH(T1815),"")</f>
        <v/>
      </c>
      <c r="AI1815" s="86" t="str">
        <f>+IF(AF1815=$AJ$22,MONTH(U1815),"")</f>
        <v/>
      </c>
      <c r="AJ1815" s="86" t="str">
        <f>+IF(AG1815=$AJ$22,MONTH(V1815),"")</f>
        <v/>
      </c>
      <c r="AK1815" s="86" t="str">
        <f>+IF(AG1815=$AK$22,MONTH(V1815),"")</f>
        <v/>
      </c>
      <c r="AL1815" s="86" t="str">
        <f>+IF(AG1815=$AL$22,MONTH(V1815),"")</f>
        <v/>
      </c>
      <c r="AM1815" s="86" t="str">
        <f>+IF($AG1815=$AM$22,MONTH($D1815),"")</f>
        <v/>
      </c>
      <c r="AN1815" s="89" t="str">
        <f>+IF($AG1815=AN$22,MONTH($D1815),"")</f>
        <v/>
      </c>
      <c r="AO1815" s="89" t="str">
        <f>+IF($AG1815=AO$22,MONTH($D1815),"")</f>
        <v/>
      </c>
      <c r="AP1815" s="89">
        <f>+IF($AG1815=AP$22,MONTH($D1815),"")</f>
        <v>7</v>
      </c>
      <c r="AQ1815" s="89" t="str">
        <f>+IF($AG1815=AQ$22,MONTH($D1815),"")</f>
        <v/>
      </c>
      <c r="AR1815" s="89" t="str">
        <f>+IF($AG1815=AR$22,MONTH($D1815),"")</f>
        <v/>
      </c>
      <c r="AS1815" s="89" t="str">
        <f>+IF($AG1815=AS$22,MONTH($D1815),"")</f>
        <v/>
      </c>
      <c r="AT1815" s="89" t="str">
        <f>+IF($AG1815=AT$22,MONTH($D1815),"")</f>
        <v/>
      </c>
      <c r="AU1815" s="89" t="str">
        <f>+IF($AG1815=AU$22,MONTH($D1815),"")</f>
        <v/>
      </c>
      <c r="AV1815" s="89" t="str">
        <f>+IF($AG1815=AV$22,MONTH($D1815),"")</f>
        <v/>
      </c>
      <c r="AW1815" s="86" t="str">
        <f>+IF($AG1815=AW$22,MONTH($D1815),"")</f>
        <v/>
      </c>
      <c r="AX1815" s="86" t="str">
        <f>+IF($AG1815=AX$22,MONTH($D1815),"")</f>
        <v/>
      </c>
      <c r="AY1815" s="182"/>
      <c r="AZ1815" s="182"/>
      <c r="BA1815" s="182"/>
      <c r="BB1815" s="182"/>
      <c r="BC1815" s="182"/>
      <c r="BD1815" s="182"/>
      <c r="BE1815" s="182"/>
      <c r="BF1815" s="182"/>
      <c r="BG1815" s="182"/>
      <c r="BH1815" s="182"/>
      <c r="BI1815" s="182"/>
      <c r="BJ1815" s="89"/>
      <c r="BK1815" s="89"/>
      <c r="BL1815" s="89"/>
      <c r="BM1815" s="89"/>
      <c r="BN1815" s="89"/>
      <c r="BO1815" s="89"/>
      <c r="BP1815" s="89"/>
    </row>
    <row r="1816" spans="1:68" s="56" customFormat="1" ht="13.5" hidden="1">
      <c r="A1816" s="204" t="str">
        <f>+IFERROR(VALUE(MID(AB1816,4,4)),"")</f>
        <v/>
      </c>
      <c r="B1816" s="204">
        <f>VALUE(RIGHT(C1816,LEN(C1816)-2))</f>
        <v>909</v>
      </c>
      <c r="C1816" s="74" t="s">
        <v>6412</v>
      </c>
      <c r="D1816" s="75">
        <v>43299</v>
      </c>
      <c r="E1816" s="70" t="s">
        <v>41</v>
      </c>
      <c r="F1816" s="70" t="s">
        <v>41</v>
      </c>
      <c r="G1816" s="68"/>
      <c r="H1816" s="59"/>
      <c r="I1816" s="162" t="s">
        <v>6413</v>
      </c>
      <c r="J1816" s="162"/>
      <c r="K1816" s="68" t="s">
        <v>13</v>
      </c>
      <c r="L1816" s="69" t="s">
        <v>120</v>
      </c>
      <c r="M1816" s="71" t="s">
        <v>141</v>
      </c>
      <c r="N1816" s="69" t="e" vm="1">
        <v>#VALUE!</v>
      </c>
      <c r="O1816" s="164"/>
      <c r="P1816" s="72" t="s">
        <v>402</v>
      </c>
      <c r="Q1816" s="72"/>
      <c r="R1816" s="162"/>
      <c r="S1816" s="146"/>
      <c r="T1816" s="68" t="s">
        <v>165</v>
      </c>
      <c r="U1816" s="87"/>
      <c r="V1816" s="183">
        <v>43299</v>
      </c>
      <c r="W1816" s="73">
        <v>2734</v>
      </c>
      <c r="X1816" s="73">
        <f>2574*27201/1000000</f>
        <v>70.015373999999994</v>
      </c>
      <c r="Y1816" s="83">
        <f>IF(SUM(W1816:W1816)&gt;0,X1816/SUM(W1816:W1816)*1000000,"N/A")</f>
        <v>25609.134601316749</v>
      </c>
      <c r="Z1816" s="183"/>
      <c r="AA1816" s="183"/>
      <c r="AB1816" s="73"/>
      <c r="AC1816" s="153"/>
      <c r="AD1816" s="331"/>
      <c r="AE1816" s="57"/>
      <c r="AF1816" s="88"/>
      <c r="AG1816" s="182">
        <f>YEAR(D1816)</f>
        <v>2018</v>
      </c>
      <c r="AH1816" s="86" t="str">
        <f>+IF(AE1816=$AJ$22,MONTH(T1816),"")</f>
        <v/>
      </c>
      <c r="AI1816" s="86" t="str">
        <f>+IF(AF1816=$AJ$22,MONTH(U1816),"")</f>
        <v/>
      </c>
      <c r="AJ1816" s="86" t="str">
        <f>+IF(AG1816=$AJ$22,MONTH(V1816),"")</f>
        <v/>
      </c>
      <c r="AK1816" s="86" t="str">
        <f>+IF(AG1816=$AK$22,MONTH(V1816),"")</f>
        <v/>
      </c>
      <c r="AL1816" s="86" t="str">
        <f>+IF(AG1816=$AL$22,MONTH(V1816),"")</f>
        <v/>
      </c>
      <c r="AM1816" s="86" t="str">
        <f>+IF($AG1816=$AM$22,MONTH($D1816),"")</f>
        <v/>
      </c>
      <c r="AN1816" s="89" t="str">
        <f>+IF($AG1816=AN$22,MONTH($D1816),"")</f>
        <v/>
      </c>
      <c r="AO1816" s="89" t="str">
        <f>+IF($AG1816=AO$22,MONTH($D1816),"")</f>
        <v/>
      </c>
      <c r="AP1816" s="89">
        <f>+IF($AG1816=AP$22,MONTH($D1816),"")</f>
        <v>7</v>
      </c>
      <c r="AQ1816" s="89" t="str">
        <f>+IF($AG1816=AQ$22,MONTH($D1816),"")</f>
        <v/>
      </c>
      <c r="AR1816" s="89" t="str">
        <f>+IF($AG1816=AR$22,MONTH($D1816),"")</f>
        <v/>
      </c>
      <c r="AS1816" s="89" t="str">
        <f>+IF($AG1816=AS$22,MONTH($D1816),"")</f>
        <v/>
      </c>
      <c r="AT1816" s="89" t="str">
        <f>+IF($AG1816=AT$22,MONTH($D1816),"")</f>
        <v/>
      </c>
      <c r="AU1816" s="89" t="str">
        <f>+IF($AG1816=AU$22,MONTH($D1816),"")</f>
        <v/>
      </c>
      <c r="AV1816" s="89" t="str">
        <f>+IF($AG1816=AV$22,MONTH($D1816),"")</f>
        <v/>
      </c>
      <c r="AW1816" s="86" t="str">
        <f>+IF($AG1816=AW$22,MONTH($D1816),"")</f>
        <v/>
      </c>
      <c r="AX1816" s="86" t="str">
        <f>+IF($AG1816=AX$22,MONTH($D1816),"")</f>
        <v/>
      </c>
      <c r="AY1816" s="182"/>
      <c r="AZ1816" s="182"/>
      <c r="BA1816" s="182"/>
      <c r="BB1816" s="182"/>
      <c r="BC1816" s="182"/>
      <c r="BD1816" s="182"/>
      <c r="BE1816" s="182"/>
      <c r="BF1816" s="182"/>
      <c r="BG1816" s="182"/>
      <c r="BH1816" s="182"/>
      <c r="BI1816" s="182"/>
      <c r="BJ1816" s="89"/>
      <c r="BK1816" s="89"/>
      <c r="BL1816" s="89"/>
      <c r="BM1816" s="89"/>
      <c r="BN1816" s="89"/>
      <c r="BO1816" s="89"/>
      <c r="BP1816" s="89"/>
    </row>
    <row r="1817" spans="1:68" s="56" customFormat="1" ht="13.5" hidden="1">
      <c r="A1817" s="204" t="str">
        <f>+IFERROR(VALUE(MID(AB1817,4,4)),"")</f>
        <v/>
      </c>
      <c r="B1817" s="204">
        <f>VALUE(RIGHT(C1817,LEN(C1817)-2))</f>
        <v>908</v>
      </c>
      <c r="C1817" s="74" t="s">
        <v>6414</v>
      </c>
      <c r="D1817" s="75">
        <v>43298</v>
      </c>
      <c r="E1817" s="70" t="s">
        <v>4664</v>
      </c>
      <c r="F1817" s="70" t="s">
        <v>6308</v>
      </c>
      <c r="G1817" s="68"/>
      <c r="H1817" s="59"/>
      <c r="I1817" s="162" t="s">
        <v>6415</v>
      </c>
      <c r="J1817" s="162"/>
      <c r="K1817" s="68" t="s">
        <v>30</v>
      </c>
      <c r="L1817" s="69" t="s">
        <v>120</v>
      </c>
      <c r="M1817" s="71" t="s">
        <v>113</v>
      </c>
      <c r="N1817" s="69" t="e" vm="2">
        <v>#VALUE!</v>
      </c>
      <c r="O1817" s="164"/>
      <c r="P1817" s="72" t="s">
        <v>402</v>
      </c>
      <c r="Q1817" s="72"/>
      <c r="R1817" s="162"/>
      <c r="S1817" s="146"/>
      <c r="T1817" s="68" t="s">
        <v>165</v>
      </c>
      <c r="U1817" s="87"/>
      <c r="V1817" s="183">
        <v>43298</v>
      </c>
      <c r="W1817" s="73">
        <v>235</v>
      </c>
      <c r="X1817" s="73">
        <f>27380*173/1000000</f>
        <v>4.7367400000000002</v>
      </c>
      <c r="Y1817" s="83">
        <f>IF(SUM(W1817:W1817)&gt;0,X1817/SUM(W1817:W1817)*1000000,"N/A")</f>
        <v>20156.340425531918</v>
      </c>
      <c r="Z1817" s="183"/>
      <c r="AA1817" s="183"/>
      <c r="AB1817" s="73"/>
      <c r="AC1817" s="153"/>
      <c r="AD1817" s="331"/>
      <c r="AE1817" s="57"/>
      <c r="AF1817" s="88"/>
      <c r="AG1817" s="182">
        <f>YEAR(D1817)</f>
        <v>2018</v>
      </c>
      <c r="AH1817" s="86" t="str">
        <f>+IF(AE1817=$AJ$22,MONTH(T1817),"")</f>
        <v/>
      </c>
      <c r="AI1817" s="86" t="str">
        <f>+IF(AF1817=$AJ$22,MONTH(U1817),"")</f>
        <v/>
      </c>
      <c r="AJ1817" s="86" t="str">
        <f>+IF(AG1817=$AJ$22,MONTH(V1817),"")</f>
        <v/>
      </c>
      <c r="AK1817" s="86" t="str">
        <f>+IF(AG1817=$AK$22,MONTH(V1817),"")</f>
        <v/>
      </c>
      <c r="AL1817" s="86" t="str">
        <f>+IF(AG1817=$AL$22,MONTH(V1817),"")</f>
        <v/>
      </c>
      <c r="AM1817" s="86" t="str">
        <f>+IF($AG1817=$AM$22,MONTH($D1817),"")</f>
        <v/>
      </c>
      <c r="AN1817" s="89" t="str">
        <f>+IF($AG1817=AN$22,MONTH($D1817),"")</f>
        <v/>
      </c>
      <c r="AO1817" s="89" t="str">
        <f>+IF($AG1817=AO$22,MONTH($D1817),"")</f>
        <v/>
      </c>
      <c r="AP1817" s="89">
        <f>+IF($AG1817=AP$22,MONTH($D1817),"")</f>
        <v>7</v>
      </c>
      <c r="AQ1817" s="89" t="str">
        <f>+IF($AG1817=AQ$22,MONTH($D1817),"")</f>
        <v/>
      </c>
      <c r="AR1817" s="89" t="str">
        <f>+IF($AG1817=AR$22,MONTH($D1817),"")</f>
        <v/>
      </c>
      <c r="AS1817" s="89" t="str">
        <f>+IF($AG1817=AS$22,MONTH($D1817),"")</f>
        <v/>
      </c>
      <c r="AT1817" s="89" t="str">
        <f>+IF($AG1817=AT$22,MONTH($D1817),"")</f>
        <v/>
      </c>
      <c r="AU1817" s="89" t="str">
        <f>+IF($AG1817=AU$22,MONTH($D1817),"")</f>
        <v/>
      </c>
      <c r="AV1817" s="89" t="str">
        <f>+IF($AG1817=AV$22,MONTH($D1817),"")</f>
        <v/>
      </c>
      <c r="AW1817" s="86" t="str">
        <f>+IF($AG1817=AW$22,MONTH($D1817),"")</f>
        <v/>
      </c>
      <c r="AX1817" s="86" t="str">
        <f>+IF($AG1817=AX$22,MONTH($D1817),"")</f>
        <v/>
      </c>
      <c r="AY1817" s="182"/>
      <c r="AZ1817" s="182"/>
      <c r="BA1817" s="182"/>
      <c r="BB1817" s="182"/>
      <c r="BC1817" s="182"/>
      <c r="BD1817" s="182"/>
      <c r="BE1817" s="182"/>
      <c r="BF1817" s="182"/>
      <c r="BG1817" s="182"/>
      <c r="BH1817" s="182"/>
      <c r="BI1817" s="182"/>
      <c r="BJ1817" s="89"/>
      <c r="BK1817" s="89"/>
      <c r="BL1817" s="89"/>
      <c r="BM1817" s="89"/>
      <c r="BN1817" s="89"/>
      <c r="BO1817" s="89"/>
      <c r="BP1817" s="89"/>
    </row>
    <row r="1818" spans="1:68" s="56" customFormat="1" ht="27" hidden="1">
      <c r="A1818" s="204" t="str">
        <f>+IFERROR(VALUE(MID(AB1818,4,4)),"")</f>
        <v/>
      </c>
      <c r="B1818" s="204">
        <f>VALUE(RIGHT(C1818,LEN(C1818)-2))</f>
        <v>907</v>
      </c>
      <c r="C1818" s="74" t="s">
        <v>6416</v>
      </c>
      <c r="D1818" s="75">
        <v>43298</v>
      </c>
      <c r="E1818" s="70" t="s">
        <v>6298</v>
      </c>
      <c r="F1818" s="70" t="s">
        <v>6126</v>
      </c>
      <c r="G1818" s="68"/>
      <c r="H1818" s="59"/>
      <c r="I1818" s="162" t="s">
        <v>6417</v>
      </c>
      <c r="J1818" s="162"/>
      <c r="K1818" s="68" t="s">
        <v>31</v>
      </c>
      <c r="L1818" s="69" t="s">
        <v>129</v>
      </c>
      <c r="M1818" s="71" t="s">
        <v>113</v>
      </c>
      <c r="N1818" s="69" t="e" vm="4">
        <v>#VALUE!</v>
      </c>
      <c r="O1818" s="164"/>
      <c r="P1818" s="72" t="s">
        <v>4567</v>
      </c>
      <c r="Q1818" s="72"/>
      <c r="R1818" s="162"/>
      <c r="S1818" s="146" t="s">
        <v>6300</v>
      </c>
      <c r="T1818" s="68" t="s">
        <v>165</v>
      </c>
      <c r="U1818" s="87"/>
      <c r="V1818" s="183"/>
      <c r="W1818" s="73">
        <v>365</v>
      </c>
      <c r="X1818" s="73">
        <f>540*27500/1000000</f>
        <v>14.85</v>
      </c>
      <c r="Y1818" s="83">
        <f>IF(SUM(W1818:W1818)&gt;0,X1818/SUM(W1818:W1818)*1000000,"N/A")</f>
        <v>40684.931506849316</v>
      </c>
      <c r="Z1818" s="183"/>
      <c r="AA1818" s="183"/>
      <c r="AB1818" s="73"/>
      <c r="AC1818" s="153"/>
      <c r="AD1818" s="331"/>
      <c r="AE1818" s="57"/>
      <c r="AF1818" s="88"/>
      <c r="AG1818" s="182">
        <f>YEAR(D1818)</f>
        <v>2018</v>
      </c>
      <c r="AH1818" s="86" t="str">
        <f>+IF(AE1818=$AJ$22,MONTH(T1818),"")</f>
        <v/>
      </c>
      <c r="AI1818" s="86" t="str">
        <f>+IF(AF1818=$AJ$22,MONTH(U1818),"")</f>
        <v/>
      </c>
      <c r="AJ1818" s="86" t="str">
        <f>+IF(AG1818=$AJ$22,MONTH(V1818),"")</f>
        <v/>
      </c>
      <c r="AK1818" s="86" t="str">
        <f>+IF(AG1818=$AK$22,MONTH(V1818),"")</f>
        <v/>
      </c>
      <c r="AL1818" s="86" t="str">
        <f>+IF(AG1818=$AL$22,MONTH(V1818),"")</f>
        <v/>
      </c>
      <c r="AM1818" s="86" t="str">
        <f>+IF($AG1818=$AM$22,MONTH($D1818),"")</f>
        <v/>
      </c>
      <c r="AN1818" s="89" t="str">
        <f>+IF($AG1818=AN$22,MONTH($D1818),"")</f>
        <v/>
      </c>
      <c r="AO1818" s="89" t="str">
        <f>+IF($AG1818=AO$22,MONTH($D1818),"")</f>
        <v/>
      </c>
      <c r="AP1818" s="89">
        <f>+IF($AG1818=AP$22,MONTH($D1818),"")</f>
        <v>7</v>
      </c>
      <c r="AQ1818" s="89" t="str">
        <f>+IF($AG1818=AQ$22,MONTH($D1818),"")</f>
        <v/>
      </c>
      <c r="AR1818" s="89" t="str">
        <f>+IF($AG1818=AR$22,MONTH($D1818),"")</f>
        <v/>
      </c>
      <c r="AS1818" s="89" t="str">
        <f>+IF($AG1818=AS$22,MONTH($D1818),"")</f>
        <v/>
      </c>
      <c r="AT1818" s="89" t="str">
        <f>+IF($AG1818=AT$22,MONTH($D1818),"")</f>
        <v/>
      </c>
      <c r="AU1818" s="89" t="str">
        <f>+IF($AG1818=AU$22,MONTH($D1818),"")</f>
        <v/>
      </c>
      <c r="AV1818" s="89" t="str">
        <f>+IF($AG1818=AV$22,MONTH($D1818),"")</f>
        <v/>
      </c>
      <c r="AW1818" s="86" t="str">
        <f>+IF($AG1818=AW$22,MONTH($D1818),"")</f>
        <v/>
      </c>
      <c r="AX1818" s="86" t="str">
        <f>+IF($AG1818=AX$22,MONTH($D1818),"")</f>
        <v/>
      </c>
      <c r="AY1818" s="182"/>
      <c r="AZ1818" s="182"/>
      <c r="BA1818" s="182"/>
      <c r="BB1818" s="182"/>
      <c r="BC1818" s="182"/>
      <c r="BD1818" s="182"/>
      <c r="BE1818" s="182"/>
      <c r="BF1818" s="182"/>
      <c r="BG1818" s="182"/>
      <c r="BH1818" s="182"/>
      <c r="BI1818" s="182"/>
      <c r="BJ1818" s="89"/>
      <c r="BK1818" s="89"/>
      <c r="BL1818" s="89"/>
      <c r="BM1818" s="89"/>
      <c r="BN1818" s="89"/>
      <c r="BO1818" s="89"/>
      <c r="BP1818" s="89"/>
    </row>
    <row r="1819" spans="1:68" s="56" customFormat="1" ht="27" hidden="1">
      <c r="A1819" s="204" t="str">
        <f>+IFERROR(VALUE(MID(AB1819,4,4)),"")</f>
        <v/>
      </c>
      <c r="B1819" s="204">
        <f>VALUE(RIGHT(C1819,LEN(C1819)-2))</f>
        <v>906</v>
      </c>
      <c r="C1819" s="74" t="s">
        <v>6418</v>
      </c>
      <c r="D1819" s="75">
        <v>43294</v>
      </c>
      <c r="E1819" s="70" t="s">
        <v>6419</v>
      </c>
      <c r="F1819" s="70" t="s">
        <v>6419</v>
      </c>
      <c r="G1819" s="68"/>
      <c r="H1819" s="59"/>
      <c r="I1819" s="162" t="s">
        <v>6420</v>
      </c>
      <c r="J1819" s="162"/>
      <c r="K1819" s="68" t="s">
        <v>275</v>
      </c>
      <c r="L1819" s="69" t="s">
        <v>120</v>
      </c>
      <c r="M1819" s="71" t="s">
        <v>141</v>
      </c>
      <c r="N1819" s="69" t="e" vm="1">
        <v>#VALUE!</v>
      </c>
      <c r="O1819" s="164"/>
      <c r="P1819" s="72" t="s">
        <v>402</v>
      </c>
      <c r="Q1819" s="72"/>
      <c r="R1819" s="162"/>
      <c r="S1819" s="146"/>
      <c r="T1819" s="68" t="s">
        <v>165</v>
      </c>
      <c r="U1819" s="87"/>
      <c r="V1819" s="183">
        <v>43299</v>
      </c>
      <c r="W1819" s="73">
        <v>1620</v>
      </c>
      <c r="X1819" s="73">
        <f>2650*27201/1000000</f>
        <v>72.082650000000001</v>
      </c>
      <c r="Y1819" s="83">
        <f>IF(SUM(W1819:W1819)&gt;0,X1819/SUM(W1819:W1819)*1000000,"N/A")</f>
        <v>44495.462962962964</v>
      </c>
      <c r="Z1819" s="183"/>
      <c r="AA1819" s="183"/>
      <c r="AB1819" s="73"/>
      <c r="AC1819" s="153"/>
      <c r="AD1819" s="331"/>
      <c r="AE1819" s="57"/>
      <c r="AF1819" s="88"/>
      <c r="AG1819" s="182">
        <f>YEAR(D1819)</f>
        <v>2018</v>
      </c>
      <c r="AH1819" s="86" t="str">
        <f>+IF(AE1819=$AJ$22,MONTH(T1819),"")</f>
        <v/>
      </c>
      <c r="AI1819" s="86" t="str">
        <f>+IF(AF1819=$AJ$22,MONTH(U1819),"")</f>
        <v/>
      </c>
      <c r="AJ1819" s="86" t="str">
        <f>+IF(AG1819=$AJ$22,MONTH(V1819),"")</f>
        <v/>
      </c>
      <c r="AK1819" s="86" t="str">
        <f>+IF(AG1819=$AK$22,MONTH(V1819),"")</f>
        <v/>
      </c>
      <c r="AL1819" s="86" t="str">
        <f>+IF(AG1819=$AL$22,MONTH(V1819),"")</f>
        <v/>
      </c>
      <c r="AM1819" s="86" t="str">
        <f>+IF($AG1819=$AM$22,MONTH($D1819),"")</f>
        <v/>
      </c>
      <c r="AN1819" s="89" t="str">
        <f>+IF($AG1819=AN$22,MONTH($D1819),"")</f>
        <v/>
      </c>
      <c r="AO1819" s="89" t="str">
        <f>+IF($AG1819=AO$22,MONTH($D1819),"")</f>
        <v/>
      </c>
      <c r="AP1819" s="89">
        <f>+IF($AG1819=AP$22,MONTH($D1819),"")</f>
        <v>7</v>
      </c>
      <c r="AQ1819" s="89" t="str">
        <f>+IF($AG1819=AQ$22,MONTH($D1819),"")</f>
        <v/>
      </c>
      <c r="AR1819" s="89" t="str">
        <f>+IF($AG1819=AR$22,MONTH($D1819),"")</f>
        <v/>
      </c>
      <c r="AS1819" s="89" t="str">
        <f>+IF($AG1819=AS$22,MONTH($D1819),"")</f>
        <v/>
      </c>
      <c r="AT1819" s="89" t="str">
        <f>+IF($AG1819=AT$22,MONTH($D1819),"")</f>
        <v/>
      </c>
      <c r="AU1819" s="89" t="str">
        <f>+IF($AG1819=AU$22,MONTH($D1819),"")</f>
        <v/>
      </c>
      <c r="AV1819" s="89" t="str">
        <f>+IF($AG1819=AV$22,MONTH($D1819),"")</f>
        <v/>
      </c>
      <c r="AW1819" s="86" t="str">
        <f>+IF($AG1819=AW$22,MONTH($D1819),"")</f>
        <v/>
      </c>
      <c r="AX1819" s="86" t="str">
        <f>+IF($AG1819=AX$22,MONTH($D1819),"")</f>
        <v/>
      </c>
      <c r="AY1819" s="182"/>
      <c r="AZ1819" s="182"/>
      <c r="BA1819" s="182"/>
      <c r="BB1819" s="182"/>
      <c r="BC1819" s="182"/>
      <c r="BD1819" s="182"/>
      <c r="BE1819" s="182"/>
      <c r="BF1819" s="182"/>
      <c r="BG1819" s="182"/>
      <c r="BH1819" s="182"/>
      <c r="BI1819" s="182"/>
      <c r="BJ1819" s="89"/>
      <c r="BK1819" s="89"/>
      <c r="BL1819" s="89"/>
      <c r="BM1819" s="89"/>
      <c r="BN1819" s="89"/>
      <c r="BO1819" s="89"/>
      <c r="BP1819" s="89"/>
    </row>
    <row r="1820" spans="1:68" s="56" customFormat="1" ht="13.5" hidden="1">
      <c r="A1820" s="204" t="str">
        <f>+IFERROR(VALUE(MID(AB1820,4,4)),"")</f>
        <v/>
      </c>
      <c r="B1820" s="204">
        <f>VALUE(RIGHT(C1820,LEN(C1820)-2))</f>
        <v>905</v>
      </c>
      <c r="C1820" s="74" t="s">
        <v>6421</v>
      </c>
      <c r="D1820" s="75">
        <v>43290</v>
      </c>
      <c r="E1820" s="70" t="s">
        <v>41</v>
      </c>
      <c r="F1820" s="70" t="s">
        <v>41</v>
      </c>
      <c r="G1820" s="68"/>
      <c r="H1820" s="59"/>
      <c r="I1820" s="162" t="s">
        <v>6422</v>
      </c>
      <c r="J1820" s="162"/>
      <c r="K1820" s="68" t="s">
        <v>13</v>
      </c>
      <c r="L1820" s="69" t="s">
        <v>120</v>
      </c>
      <c r="M1820" s="71" t="s">
        <v>141</v>
      </c>
      <c r="N1820" s="69" t="e" vm="1">
        <v>#VALUE!</v>
      </c>
      <c r="O1820" s="164"/>
      <c r="P1820" s="72" t="s">
        <v>402</v>
      </c>
      <c r="Q1820" s="72"/>
      <c r="R1820" s="162"/>
      <c r="S1820" s="146"/>
      <c r="T1820" s="68" t="s">
        <v>165</v>
      </c>
      <c r="U1820" s="87"/>
      <c r="V1820" s="183">
        <v>43299</v>
      </c>
      <c r="W1820" s="73">
        <v>610</v>
      </c>
      <c r="X1820" s="73">
        <f>637*27201/1000000</f>
        <v>17.327037000000001</v>
      </c>
      <c r="Y1820" s="83">
        <f>IF(SUM(W1820:W1820)&gt;0,X1820/SUM(W1820:W1820)*1000000,"N/A")</f>
        <v>28404.978688524592</v>
      </c>
      <c r="Z1820" s="183"/>
      <c r="AA1820" s="183"/>
      <c r="AB1820" s="73"/>
      <c r="AC1820" s="153"/>
      <c r="AD1820" s="331"/>
      <c r="AE1820" s="57"/>
      <c r="AF1820" s="88"/>
      <c r="AG1820" s="182">
        <f>YEAR(D1820)</f>
        <v>2018</v>
      </c>
      <c r="AH1820" s="86" t="str">
        <f>+IF(AE1820=$AJ$22,MONTH(T1820),"")</f>
        <v/>
      </c>
      <c r="AI1820" s="86" t="str">
        <f>+IF(AF1820=$AJ$22,MONTH(U1820),"")</f>
        <v/>
      </c>
      <c r="AJ1820" s="86" t="str">
        <f>+IF(AG1820=$AJ$22,MONTH(V1820),"")</f>
        <v/>
      </c>
      <c r="AK1820" s="86" t="str">
        <f>+IF(AG1820=$AK$22,MONTH(V1820),"")</f>
        <v/>
      </c>
      <c r="AL1820" s="86" t="str">
        <f>+IF(AG1820=$AL$22,MONTH(V1820),"")</f>
        <v/>
      </c>
      <c r="AM1820" s="86" t="str">
        <f>+IF($AG1820=$AM$22,MONTH($D1820),"")</f>
        <v/>
      </c>
      <c r="AN1820" s="89" t="str">
        <f>+IF($AG1820=AN$22,MONTH($D1820),"")</f>
        <v/>
      </c>
      <c r="AO1820" s="89" t="str">
        <f>+IF($AG1820=AO$22,MONTH($D1820),"")</f>
        <v/>
      </c>
      <c r="AP1820" s="89">
        <f>+IF($AG1820=AP$22,MONTH($D1820),"")</f>
        <v>7</v>
      </c>
      <c r="AQ1820" s="89" t="str">
        <f>+IF($AG1820=AQ$22,MONTH($D1820),"")</f>
        <v/>
      </c>
      <c r="AR1820" s="89" t="str">
        <f>+IF($AG1820=AR$22,MONTH($D1820),"")</f>
        <v/>
      </c>
      <c r="AS1820" s="89" t="str">
        <f>+IF($AG1820=AS$22,MONTH($D1820),"")</f>
        <v/>
      </c>
      <c r="AT1820" s="89" t="str">
        <f>+IF($AG1820=AT$22,MONTH($D1820),"")</f>
        <v/>
      </c>
      <c r="AU1820" s="89" t="str">
        <f>+IF($AG1820=AU$22,MONTH($D1820),"")</f>
        <v/>
      </c>
      <c r="AV1820" s="89" t="str">
        <f>+IF($AG1820=AV$22,MONTH($D1820),"")</f>
        <v/>
      </c>
      <c r="AW1820" s="86" t="str">
        <f>+IF($AG1820=AW$22,MONTH($D1820),"")</f>
        <v/>
      </c>
      <c r="AX1820" s="86" t="str">
        <f>+IF($AG1820=AX$22,MONTH($D1820),"")</f>
        <v/>
      </c>
      <c r="AY1820" s="182"/>
      <c r="AZ1820" s="182"/>
      <c r="BA1820" s="182"/>
      <c r="BB1820" s="182"/>
      <c r="BC1820" s="182"/>
      <c r="BD1820" s="182"/>
      <c r="BE1820" s="182"/>
      <c r="BF1820" s="182"/>
      <c r="BG1820" s="182"/>
      <c r="BH1820" s="182"/>
      <c r="BI1820" s="182"/>
      <c r="BJ1820" s="89"/>
      <c r="BK1820" s="89"/>
      <c r="BL1820" s="89"/>
      <c r="BM1820" s="89"/>
      <c r="BN1820" s="89"/>
      <c r="BO1820" s="89"/>
      <c r="BP1820" s="89"/>
    </row>
    <row r="1821" spans="1:68" s="56" customFormat="1" ht="27" hidden="1">
      <c r="A1821" s="204">
        <f>+IFERROR(VALUE(MID(AB1821,4,4)),"")</f>
        <v>158</v>
      </c>
      <c r="B1821" s="204">
        <f>VALUE(RIGHT(C1821,LEN(C1821)-2))</f>
        <v>904</v>
      </c>
      <c r="C1821" s="74" t="s">
        <v>6423</v>
      </c>
      <c r="D1821" s="75">
        <v>43290</v>
      </c>
      <c r="E1821" s="70" t="s">
        <v>41</v>
      </c>
      <c r="F1821" s="70" t="s">
        <v>41</v>
      </c>
      <c r="G1821" s="68"/>
      <c r="H1821" s="59"/>
      <c r="I1821" s="162" t="s">
        <v>6424</v>
      </c>
      <c r="J1821" s="162"/>
      <c r="K1821" s="68" t="s">
        <v>13</v>
      </c>
      <c r="L1821" s="69" t="s">
        <v>120</v>
      </c>
      <c r="M1821" s="71" t="s">
        <v>141</v>
      </c>
      <c r="N1821" s="69" t="e" vm="1">
        <v>#VALUE!</v>
      </c>
      <c r="O1821" s="164"/>
      <c r="P1821" s="72" t="s">
        <v>402</v>
      </c>
      <c r="Q1821" s="72" t="s">
        <v>405</v>
      </c>
      <c r="R1821" s="162"/>
      <c r="S1821" s="146"/>
      <c r="T1821" s="68" t="s">
        <v>3</v>
      </c>
      <c r="U1821" s="87"/>
      <c r="V1821" s="183">
        <v>43290</v>
      </c>
      <c r="W1821" s="73">
        <v>1080</v>
      </c>
      <c r="X1821" s="73">
        <f>1368*27201/1000000</f>
        <v>37.210968000000001</v>
      </c>
      <c r="Y1821" s="83">
        <f>IF(SUM(W1821:W1821)&gt;0,X1821/SUM(W1821:W1821)*1000000,"N/A")</f>
        <v>34454.6</v>
      </c>
      <c r="Z1821" s="183"/>
      <c r="AA1821" s="183"/>
      <c r="AB1821" s="73" t="s">
        <v>6425</v>
      </c>
      <c r="AC1821" s="153"/>
      <c r="AD1821" s="331"/>
      <c r="AE1821" s="57"/>
      <c r="AF1821" s="88"/>
      <c r="AG1821" s="182">
        <f>YEAR(D1821)</f>
        <v>2018</v>
      </c>
      <c r="AH1821" s="86" t="str">
        <f>+IF(AE1821=$AJ$22,MONTH(T1821),"")</f>
        <v/>
      </c>
      <c r="AI1821" s="86" t="str">
        <f>+IF(AF1821=$AJ$22,MONTH(U1821),"")</f>
        <v/>
      </c>
      <c r="AJ1821" s="86" t="str">
        <f>+IF(AG1821=$AJ$22,MONTH(V1821),"")</f>
        <v/>
      </c>
      <c r="AK1821" s="86" t="str">
        <f>+IF(AG1821=$AK$22,MONTH(V1821),"")</f>
        <v/>
      </c>
      <c r="AL1821" s="86" t="str">
        <f>+IF(AG1821=$AL$22,MONTH(V1821),"")</f>
        <v/>
      </c>
      <c r="AM1821" s="86" t="str">
        <f>+IF($AG1821=$AM$22,MONTH($D1821),"")</f>
        <v/>
      </c>
      <c r="AN1821" s="89" t="str">
        <f>+IF($AG1821=AN$22,MONTH($D1821),"")</f>
        <v/>
      </c>
      <c r="AO1821" s="89" t="str">
        <f>+IF($AG1821=AO$22,MONTH($D1821),"")</f>
        <v/>
      </c>
      <c r="AP1821" s="89">
        <f>+IF($AG1821=AP$22,MONTH($D1821),"")</f>
        <v>7</v>
      </c>
      <c r="AQ1821" s="89" t="str">
        <f>+IF($AG1821=AQ$22,MONTH($D1821),"")</f>
        <v/>
      </c>
      <c r="AR1821" s="89" t="str">
        <f>+IF($AG1821=AR$22,MONTH($D1821),"")</f>
        <v/>
      </c>
      <c r="AS1821" s="89" t="str">
        <f>+IF($AG1821=AS$22,MONTH($D1821),"")</f>
        <v/>
      </c>
      <c r="AT1821" s="89" t="str">
        <f>+IF($AG1821=AT$22,MONTH($D1821),"")</f>
        <v/>
      </c>
      <c r="AU1821" s="89" t="str">
        <f>+IF($AG1821=AU$22,MONTH($D1821),"")</f>
        <v/>
      </c>
      <c r="AV1821" s="89" t="str">
        <f>+IF($AG1821=AV$22,MONTH($D1821),"")</f>
        <v/>
      </c>
      <c r="AW1821" s="86" t="str">
        <f>+IF($AG1821=AW$22,MONTH($D1821),"")</f>
        <v/>
      </c>
      <c r="AX1821" s="86" t="str">
        <f>+IF($AG1821=AX$22,MONTH($D1821),"")</f>
        <v/>
      </c>
      <c r="AY1821" s="182"/>
      <c r="AZ1821" s="182"/>
      <c r="BA1821" s="182"/>
      <c r="BB1821" s="182"/>
      <c r="BC1821" s="182"/>
      <c r="BD1821" s="182"/>
      <c r="BE1821" s="182"/>
      <c r="BF1821" s="182"/>
      <c r="BG1821" s="182"/>
      <c r="BH1821" s="182"/>
      <c r="BI1821" s="182"/>
      <c r="BJ1821" s="89"/>
      <c r="BK1821" s="89"/>
      <c r="BL1821" s="89"/>
      <c r="BM1821" s="89"/>
      <c r="BN1821" s="89"/>
      <c r="BO1821" s="89"/>
      <c r="BP1821" s="89"/>
    </row>
    <row r="1822" spans="1:68" s="56" customFormat="1" ht="13.5" hidden="1">
      <c r="A1822" s="204">
        <f>+IFERROR(VALUE(MID(AB1822,4,4)),"")</f>
        <v>198</v>
      </c>
      <c r="B1822" s="204">
        <f>VALUE(RIGHT(C1822,LEN(C1822)-2))</f>
        <v>903</v>
      </c>
      <c r="C1822" s="74" t="s">
        <v>6426</v>
      </c>
      <c r="D1822" s="75">
        <v>43286</v>
      </c>
      <c r="E1822" s="70" t="s">
        <v>105</v>
      </c>
      <c r="F1822" s="70" t="s">
        <v>105</v>
      </c>
      <c r="G1822" s="68"/>
      <c r="H1822" s="59"/>
      <c r="I1822" s="162" t="s">
        <v>6427</v>
      </c>
      <c r="J1822" s="162"/>
      <c r="K1822" s="68" t="s">
        <v>48</v>
      </c>
      <c r="L1822" s="69" t="s">
        <v>120</v>
      </c>
      <c r="M1822" s="71" t="s">
        <v>141</v>
      </c>
      <c r="N1822" s="69" t="e" vm="1">
        <v>#VALUE!</v>
      </c>
      <c r="O1822" s="164"/>
      <c r="P1822" s="72" t="s">
        <v>6428</v>
      </c>
      <c r="Q1822" s="72" t="s">
        <v>229</v>
      </c>
      <c r="R1822" s="162"/>
      <c r="S1822" s="146"/>
      <c r="T1822" s="68" t="s">
        <v>3</v>
      </c>
      <c r="U1822" s="87"/>
      <c r="V1822" s="183">
        <v>43292</v>
      </c>
      <c r="W1822" s="73">
        <v>791</v>
      </c>
      <c r="X1822" s="73">
        <f>1564*27201/1000000</f>
        <v>42.542363999999999</v>
      </c>
      <c r="Y1822" s="83">
        <f>IF(SUM(W1822:W1822)&gt;0,X1822/SUM(W1822:W1822)*1000000,"N/A")</f>
        <v>53783.01390644753</v>
      </c>
      <c r="Z1822" s="183"/>
      <c r="AA1822" s="183"/>
      <c r="AB1822" s="73" t="s">
        <v>6429</v>
      </c>
      <c r="AC1822" s="153"/>
      <c r="AD1822" s="331"/>
      <c r="AE1822" s="57"/>
      <c r="AF1822" s="88"/>
      <c r="AG1822" s="182">
        <f>YEAR(D1822)</f>
        <v>2018</v>
      </c>
      <c r="AH1822" s="86" t="str">
        <f>+IF(AE1822=$AJ$22,MONTH(T1822),"")</f>
        <v/>
      </c>
      <c r="AI1822" s="86" t="str">
        <f>+IF(AF1822=$AJ$22,MONTH(U1822),"")</f>
        <v/>
      </c>
      <c r="AJ1822" s="86" t="str">
        <f>+IF(AG1822=$AJ$22,MONTH(V1822),"")</f>
        <v/>
      </c>
      <c r="AK1822" s="86" t="str">
        <f>+IF(AG1822=$AK$22,MONTH(V1822),"")</f>
        <v/>
      </c>
      <c r="AL1822" s="86" t="str">
        <f>+IF(AG1822=$AL$22,MONTH(V1822),"")</f>
        <v/>
      </c>
      <c r="AM1822" s="86" t="str">
        <f>+IF($AG1822=$AM$22,MONTH($D1822),"")</f>
        <v/>
      </c>
      <c r="AN1822" s="89" t="str">
        <f>+IF($AG1822=AN$22,MONTH($D1822),"")</f>
        <v/>
      </c>
      <c r="AO1822" s="89" t="str">
        <f>+IF($AG1822=AO$22,MONTH($D1822),"")</f>
        <v/>
      </c>
      <c r="AP1822" s="89">
        <f>+IF($AG1822=AP$22,MONTH($D1822),"")</f>
        <v>7</v>
      </c>
      <c r="AQ1822" s="89" t="str">
        <f>+IF($AG1822=AQ$22,MONTH($D1822),"")</f>
        <v/>
      </c>
      <c r="AR1822" s="89" t="str">
        <f>+IF($AG1822=AR$22,MONTH($D1822),"")</f>
        <v/>
      </c>
      <c r="AS1822" s="89" t="str">
        <f>+IF($AG1822=AS$22,MONTH($D1822),"")</f>
        <v/>
      </c>
      <c r="AT1822" s="89" t="str">
        <f>+IF($AG1822=AT$22,MONTH($D1822),"")</f>
        <v/>
      </c>
      <c r="AU1822" s="89" t="str">
        <f>+IF($AG1822=AU$22,MONTH($D1822),"")</f>
        <v/>
      </c>
      <c r="AV1822" s="89" t="str">
        <f>+IF($AG1822=AV$22,MONTH($D1822),"")</f>
        <v/>
      </c>
      <c r="AW1822" s="86"/>
      <c r="AX1822" s="86"/>
      <c r="AY1822" s="89"/>
      <c r="AZ1822" s="89"/>
      <c r="BA1822" s="89"/>
      <c r="BB1822" s="89"/>
      <c r="BC1822" s="89"/>
      <c r="BD1822" s="89"/>
      <c r="BE1822" s="89"/>
      <c r="BF1822" s="89"/>
      <c r="BG1822" s="89"/>
      <c r="BH1822" s="89"/>
      <c r="BI1822" s="89"/>
      <c r="BJ1822" s="182"/>
      <c r="BK1822" s="182"/>
      <c r="BL1822" s="182"/>
      <c r="BM1822" s="182"/>
      <c r="BN1822" s="89"/>
      <c r="BO1822" s="89"/>
      <c r="BP1822" s="89"/>
    </row>
    <row r="1823" spans="1:68" s="56" customFormat="1" ht="13.5" hidden="1">
      <c r="A1823" s="204" t="str">
        <f>+IFERROR(VALUE(MID(AB1823,4,4)),"")</f>
        <v/>
      </c>
      <c r="B1823" s="204">
        <f>VALUE(RIGHT(C1823,LEN(C1823)-2))</f>
        <v>902</v>
      </c>
      <c r="C1823" s="74" t="s">
        <v>6430</v>
      </c>
      <c r="D1823" s="75">
        <v>43285</v>
      </c>
      <c r="E1823" s="70" t="s">
        <v>685</v>
      </c>
      <c r="F1823" s="70" t="s">
        <v>685</v>
      </c>
      <c r="G1823" s="68"/>
      <c r="H1823" s="59"/>
      <c r="I1823" s="162" t="s">
        <v>6431</v>
      </c>
      <c r="J1823" s="162"/>
      <c r="K1823" s="68" t="s">
        <v>31</v>
      </c>
      <c r="L1823" s="69" t="s">
        <v>129</v>
      </c>
      <c r="M1823" s="71" t="s">
        <v>141</v>
      </c>
      <c r="N1823" s="69" t="e" vm="1">
        <v>#VALUE!</v>
      </c>
      <c r="O1823" s="164"/>
      <c r="P1823" s="161" t="s">
        <v>402</v>
      </c>
      <c r="Q1823" s="72"/>
      <c r="R1823" s="162"/>
      <c r="S1823" s="146"/>
      <c r="T1823" s="68" t="s">
        <v>165</v>
      </c>
      <c r="U1823" s="87"/>
      <c r="V1823" s="183">
        <v>43292</v>
      </c>
      <c r="W1823" s="73">
        <v>485</v>
      </c>
      <c r="X1823" s="73">
        <f>35375*640/1000000</f>
        <v>22.64</v>
      </c>
      <c r="Y1823" s="83">
        <f>IF(SUM(W1823:W1823)&gt;0,X1823/SUM(W1823:W1823)*1000000,"N/A")</f>
        <v>46680.412371134022</v>
      </c>
      <c r="Z1823" s="183"/>
      <c r="AA1823" s="183"/>
      <c r="AB1823" s="73"/>
      <c r="AC1823" s="153"/>
      <c r="AD1823" s="331"/>
      <c r="AE1823" s="57"/>
      <c r="AF1823" s="88"/>
      <c r="AG1823" s="182">
        <f>YEAR(D1823)</f>
        <v>2018</v>
      </c>
      <c r="AH1823" s="86" t="str">
        <f>+IF(AE1823=$AJ$22,MONTH(T1823),"")</f>
        <v/>
      </c>
      <c r="AI1823" s="86" t="str">
        <f>+IF(AF1823=$AJ$22,MONTH(U1823),"")</f>
        <v/>
      </c>
      <c r="AJ1823" s="86" t="str">
        <f>+IF(AG1823=$AJ$22,MONTH(V1823),"")</f>
        <v/>
      </c>
      <c r="AK1823" s="86" t="str">
        <f>+IF(AG1823=$AK$22,MONTH(V1823),"")</f>
        <v/>
      </c>
      <c r="AL1823" s="86" t="str">
        <f>+IF(AG1823=$AL$22,MONTH(V1823),"")</f>
        <v/>
      </c>
      <c r="AM1823" s="86" t="str">
        <f>+IF($AG1823=$AM$22,MONTH($D1823),"")</f>
        <v/>
      </c>
      <c r="AN1823" s="89" t="str">
        <f>+IF($AG1823=AN$22,MONTH($D1823),"")</f>
        <v/>
      </c>
      <c r="AO1823" s="89" t="str">
        <f>+IF($AG1823=AO$22,MONTH($D1823),"")</f>
        <v/>
      </c>
      <c r="AP1823" s="89">
        <f>+IF($AG1823=AP$22,MONTH($D1823),"")</f>
        <v>7</v>
      </c>
      <c r="AQ1823" s="89" t="str">
        <f>+IF($AG1823=AQ$22,MONTH($D1823),"")</f>
        <v/>
      </c>
      <c r="AR1823" s="89" t="str">
        <f>+IF($AG1823=AR$22,MONTH($D1823),"")</f>
        <v/>
      </c>
      <c r="AS1823" s="89" t="str">
        <f>+IF($AG1823=AS$22,MONTH($D1823),"")</f>
        <v/>
      </c>
      <c r="AT1823" s="89" t="str">
        <f>+IF($AG1823=AT$22,MONTH($D1823),"")</f>
        <v/>
      </c>
      <c r="AU1823" s="89" t="str">
        <f>+IF($AG1823=AU$22,MONTH($D1823),"")</f>
        <v/>
      </c>
      <c r="AV1823" s="89" t="str">
        <f>+IF($AG1823=AV$22,MONTH($D1823),"")</f>
        <v/>
      </c>
      <c r="AW1823" s="86" t="str">
        <f>+IF($AG1823=AW$22,MONTH($D1823),"")</f>
        <v/>
      </c>
      <c r="AX1823" s="86" t="str">
        <f>+IF($AG1823=AX$22,MONTH($D1823),"")</f>
        <v/>
      </c>
      <c r="AY1823" s="182"/>
      <c r="AZ1823" s="182"/>
      <c r="BA1823" s="182"/>
      <c r="BB1823" s="182"/>
      <c r="BC1823" s="182"/>
      <c r="BD1823" s="182"/>
      <c r="BE1823" s="182"/>
      <c r="BF1823" s="182"/>
      <c r="BG1823" s="182"/>
      <c r="BH1823" s="182"/>
      <c r="BI1823" s="182"/>
      <c r="BJ1823" s="89"/>
      <c r="BK1823" s="89"/>
      <c r="BL1823" s="89"/>
      <c r="BM1823" s="89"/>
      <c r="BN1823" s="89"/>
      <c r="BO1823" s="89"/>
      <c r="BP1823" s="89"/>
    </row>
    <row r="1824" spans="1:68" s="56" customFormat="1" ht="13.5" hidden="1">
      <c r="A1824" s="204" t="str">
        <f>+IFERROR(VALUE(MID(AB1824,4,4)),"")</f>
        <v/>
      </c>
      <c r="B1824" s="204">
        <f>VALUE(RIGHT(C1824,LEN(C1824)-2))</f>
        <v>901</v>
      </c>
      <c r="C1824" s="74" t="s">
        <v>6432</v>
      </c>
      <c r="D1824" s="75">
        <v>43284</v>
      </c>
      <c r="E1824" s="70" t="s">
        <v>4664</v>
      </c>
      <c r="F1824" s="70" t="s">
        <v>6308</v>
      </c>
      <c r="G1824" s="68"/>
      <c r="H1824" s="59"/>
      <c r="I1824" s="162" t="s">
        <v>6433</v>
      </c>
      <c r="J1824" s="162"/>
      <c r="K1824" s="68" t="s">
        <v>12</v>
      </c>
      <c r="L1824" s="69" t="s">
        <v>120</v>
      </c>
      <c r="M1824" s="71" t="s">
        <v>113</v>
      </c>
      <c r="N1824" s="69" t="e" vm="2">
        <v>#VALUE!</v>
      </c>
      <c r="O1824" s="164"/>
      <c r="P1824" s="72" t="s">
        <v>402</v>
      </c>
      <c r="Q1824" s="72"/>
      <c r="R1824" s="162"/>
      <c r="S1824" s="146"/>
      <c r="T1824" s="68" t="s">
        <v>165</v>
      </c>
      <c r="U1824" s="87"/>
      <c r="V1824" s="183">
        <v>43286</v>
      </c>
      <c r="W1824" s="73">
        <v>1867</v>
      </c>
      <c r="X1824" s="73">
        <f>194365*180/1000000</f>
        <v>34.985700000000001</v>
      </c>
      <c r="Y1824" s="83">
        <f>IF(SUM(W1824:W1824)&gt;0,X1824/SUM(W1824:W1824)*1000000,"N/A")</f>
        <v>18738.993036957687</v>
      </c>
      <c r="Z1824" s="183"/>
      <c r="AA1824" s="183"/>
      <c r="AB1824" s="73"/>
      <c r="AC1824" s="153"/>
      <c r="AD1824" s="331"/>
      <c r="AE1824" s="57"/>
      <c r="AF1824" s="88"/>
      <c r="AG1824" s="182">
        <f>YEAR(D1824)</f>
        <v>2018</v>
      </c>
      <c r="AH1824" s="86" t="str">
        <f>+IF(AE1824=$AJ$22,MONTH(T1824),"")</f>
        <v/>
      </c>
      <c r="AI1824" s="86" t="str">
        <f>+IF(AF1824=$AJ$22,MONTH(U1824),"")</f>
        <v/>
      </c>
      <c r="AJ1824" s="86" t="str">
        <f>+IF(AG1824=$AJ$22,MONTH(V1824),"")</f>
        <v/>
      </c>
      <c r="AK1824" s="86" t="str">
        <f>+IF(AG1824=$AK$22,MONTH(V1824),"")</f>
        <v/>
      </c>
      <c r="AL1824" s="86" t="str">
        <f>+IF(AG1824=$AL$22,MONTH(V1824),"")</f>
        <v/>
      </c>
      <c r="AM1824" s="86" t="str">
        <f>+IF($AG1824=$AM$22,MONTH($D1824),"")</f>
        <v/>
      </c>
      <c r="AN1824" s="89" t="str">
        <f>+IF($AG1824=AN$22,MONTH($D1824),"")</f>
        <v/>
      </c>
      <c r="AO1824" s="89" t="str">
        <f>+IF($AG1824=AO$22,MONTH($D1824),"")</f>
        <v/>
      </c>
      <c r="AP1824" s="89">
        <f>+IF($AG1824=AP$22,MONTH($D1824),"")</f>
        <v>7</v>
      </c>
      <c r="AQ1824" s="89" t="str">
        <f>+IF($AG1824=AQ$22,MONTH($D1824),"")</f>
        <v/>
      </c>
      <c r="AR1824" s="89" t="str">
        <f>+IF($AG1824=AR$22,MONTH($D1824),"")</f>
        <v/>
      </c>
      <c r="AS1824" s="89" t="str">
        <f>+IF($AG1824=AS$22,MONTH($D1824),"")</f>
        <v/>
      </c>
      <c r="AT1824" s="89" t="str">
        <f>+IF($AG1824=AT$22,MONTH($D1824),"")</f>
        <v/>
      </c>
      <c r="AU1824" s="89" t="str">
        <f>+IF($AG1824=AU$22,MONTH($D1824),"")</f>
        <v/>
      </c>
      <c r="AV1824" s="89" t="str">
        <f>+IF($AG1824=AV$22,MONTH($D1824),"")</f>
        <v/>
      </c>
      <c r="AW1824" s="86" t="str">
        <f>+IF($AG1824=AW$22,MONTH($D1824),"")</f>
        <v/>
      </c>
      <c r="AX1824" s="86" t="str">
        <f>+IF($AG1824=AX$22,MONTH($D1824),"")</f>
        <v/>
      </c>
      <c r="AY1824" s="182"/>
      <c r="AZ1824" s="182"/>
      <c r="BA1824" s="182"/>
      <c r="BB1824" s="182"/>
      <c r="BC1824" s="182"/>
      <c r="BD1824" s="182"/>
      <c r="BE1824" s="182"/>
      <c r="BF1824" s="182"/>
      <c r="BG1824" s="182"/>
      <c r="BH1824" s="182"/>
      <c r="BI1824" s="182"/>
      <c r="BJ1824" s="89"/>
      <c r="BK1824" s="89"/>
      <c r="BL1824" s="89"/>
      <c r="BM1824" s="89"/>
      <c r="BN1824" s="89"/>
      <c r="BO1824" s="89"/>
      <c r="BP1824" s="89"/>
    </row>
    <row r="1825" spans="1:68" s="56" customFormat="1" ht="13.5" hidden="1">
      <c r="A1825" s="204" t="str">
        <f>+IFERROR(VALUE(MID(AB1825,4,4)),"")</f>
        <v/>
      </c>
      <c r="B1825" s="204">
        <f>VALUE(RIGHT(C1825,LEN(C1825)-2))</f>
        <v>900</v>
      </c>
      <c r="C1825" s="74" t="s">
        <v>6434</v>
      </c>
      <c r="D1825" s="75">
        <v>43280</v>
      </c>
      <c r="E1825" s="70" t="s">
        <v>633</v>
      </c>
      <c r="F1825" s="70" t="s">
        <v>633</v>
      </c>
      <c r="G1825" s="68"/>
      <c r="H1825" s="59"/>
      <c r="I1825" s="162" t="s">
        <v>6435</v>
      </c>
      <c r="J1825" s="162"/>
      <c r="K1825" s="68" t="s">
        <v>12</v>
      </c>
      <c r="L1825" s="69" t="s">
        <v>129</v>
      </c>
      <c r="M1825" s="71" t="s">
        <v>141</v>
      </c>
      <c r="N1825" s="69" t="e" vm="1">
        <v>#VALUE!</v>
      </c>
      <c r="O1825" s="164"/>
      <c r="P1825" s="72" t="s">
        <v>402</v>
      </c>
      <c r="Q1825" s="72"/>
      <c r="R1825" s="162"/>
      <c r="S1825" s="146"/>
      <c r="T1825" s="68" t="s">
        <v>165</v>
      </c>
      <c r="U1825" s="87"/>
      <c r="V1825" s="183">
        <v>43306</v>
      </c>
      <c r="W1825" s="73">
        <v>1692</v>
      </c>
      <c r="X1825" s="73">
        <f>5569.4*27201/1000000</f>
        <v>151.49324939999997</v>
      </c>
      <c r="Y1825" s="83">
        <f>IF(SUM(W1825:W1825)&gt;0,X1825/SUM(W1825:W1825)*1000000,"N/A")</f>
        <v>89535.017375886513</v>
      </c>
      <c r="Z1825" s="183"/>
      <c r="AA1825" s="183"/>
      <c r="AB1825" s="73"/>
      <c r="AC1825" s="153"/>
      <c r="AD1825" s="331"/>
      <c r="AE1825" s="57"/>
      <c r="AF1825" s="88"/>
      <c r="AG1825" s="182">
        <f>YEAR(D1825)</f>
        <v>2018</v>
      </c>
      <c r="AH1825" s="86" t="str">
        <f>+IF(AE1825=$AJ$22,MONTH(T1825),"")</f>
        <v/>
      </c>
      <c r="AI1825" s="86" t="str">
        <f>+IF(AF1825=$AJ$22,MONTH(U1825),"")</f>
        <v/>
      </c>
      <c r="AJ1825" s="86" t="str">
        <f>+IF(AG1825=$AJ$22,MONTH(V1825),"")</f>
        <v/>
      </c>
      <c r="AK1825" s="86" t="str">
        <f>+IF(AG1825=$AK$22,MONTH(V1825),"")</f>
        <v/>
      </c>
      <c r="AL1825" s="86" t="str">
        <f>+IF(AG1825=$AL$22,MONTH(V1825),"")</f>
        <v/>
      </c>
      <c r="AM1825" s="86" t="str">
        <f>+IF($AG1825=$AM$22,MONTH($D1825),"")</f>
        <v/>
      </c>
      <c r="AN1825" s="89" t="str">
        <f>+IF($AG1825=AN$22,MONTH($D1825),"")</f>
        <v/>
      </c>
      <c r="AO1825" s="89" t="str">
        <f>+IF($AG1825=AO$22,MONTH($D1825),"")</f>
        <v/>
      </c>
      <c r="AP1825" s="89">
        <f>+IF($AG1825=AP$22,MONTH($D1825),"")</f>
        <v>6</v>
      </c>
      <c r="AQ1825" s="89" t="str">
        <f>+IF($AG1825=AQ$22,MONTH($D1825),"")</f>
        <v/>
      </c>
      <c r="AR1825" s="89" t="str">
        <f>+IF($AG1825=AR$22,MONTH($D1825),"")</f>
        <v/>
      </c>
      <c r="AS1825" s="89" t="str">
        <f>+IF($AG1825=AS$22,MONTH($D1825),"")</f>
        <v/>
      </c>
      <c r="AT1825" s="89" t="str">
        <f>+IF($AG1825=AT$22,MONTH($D1825),"")</f>
        <v/>
      </c>
      <c r="AU1825" s="89" t="str">
        <f>+IF($AG1825=AU$22,MONTH($D1825),"")</f>
        <v/>
      </c>
      <c r="AV1825" s="89" t="str">
        <f>+IF($AG1825=AV$22,MONTH($D1825),"")</f>
        <v/>
      </c>
      <c r="AW1825" s="86" t="str">
        <f>+IF($AG1825=AW$22,MONTH($D1825),"")</f>
        <v/>
      </c>
      <c r="AX1825" s="86" t="str">
        <f>+IF($AG1825=AX$22,MONTH($D1825),"")</f>
        <v/>
      </c>
      <c r="AY1825" s="182"/>
      <c r="AZ1825" s="182"/>
      <c r="BA1825" s="182"/>
      <c r="BB1825" s="182"/>
      <c r="BC1825" s="182"/>
      <c r="BD1825" s="182"/>
      <c r="BE1825" s="182"/>
      <c r="BF1825" s="182"/>
      <c r="BG1825" s="182"/>
      <c r="BH1825" s="182"/>
      <c r="BI1825" s="182"/>
      <c r="BJ1825" s="89"/>
      <c r="BK1825" s="89"/>
      <c r="BL1825" s="89"/>
      <c r="BM1825" s="89"/>
      <c r="BN1825" s="89"/>
      <c r="BO1825" s="89"/>
      <c r="BP1825" s="89"/>
    </row>
    <row r="1826" spans="1:68" s="56" customFormat="1" ht="13.5" hidden="1">
      <c r="A1826" s="204" t="str">
        <f>+IFERROR(VALUE(MID(AB1826,4,4)),"")</f>
        <v/>
      </c>
      <c r="B1826" s="204">
        <f>VALUE(RIGHT(C1826,LEN(C1826)-2))</f>
        <v>899</v>
      </c>
      <c r="C1826" s="74" t="s">
        <v>6436</v>
      </c>
      <c r="D1826" s="75">
        <v>43278</v>
      </c>
      <c r="E1826" s="70" t="s">
        <v>6437</v>
      </c>
      <c r="F1826" s="70" t="s">
        <v>6437</v>
      </c>
      <c r="G1826" s="68"/>
      <c r="H1826" s="59"/>
      <c r="I1826" s="162" t="s">
        <v>6438</v>
      </c>
      <c r="J1826" s="162"/>
      <c r="K1826" s="68" t="s">
        <v>13</v>
      </c>
      <c r="L1826" s="69" t="s">
        <v>120</v>
      </c>
      <c r="M1826" s="71" t="s">
        <v>141</v>
      </c>
      <c r="N1826" s="69" t="e" vm="1">
        <v>#VALUE!</v>
      </c>
      <c r="O1826" s="164"/>
      <c r="P1826" s="72" t="s">
        <v>402</v>
      </c>
      <c r="Q1826" s="72"/>
      <c r="R1826" s="162"/>
      <c r="S1826" s="146"/>
      <c r="T1826" s="68" t="s">
        <v>165</v>
      </c>
      <c r="U1826" s="87"/>
      <c r="V1826" s="183">
        <v>43298</v>
      </c>
      <c r="W1826" s="73">
        <v>2851</v>
      </c>
      <c r="X1826" s="73">
        <f>140110*640/1000000</f>
        <v>89.670400000000001</v>
      </c>
      <c r="Y1826" s="83">
        <f>IF(SUM(W1826:W1826)&gt;0,X1826/SUM(W1826:W1826)*1000000,"N/A")</f>
        <v>31452.262364082781</v>
      </c>
      <c r="Z1826" s="183"/>
      <c r="AA1826" s="183"/>
      <c r="AB1826" s="73"/>
      <c r="AC1826" s="153"/>
      <c r="AD1826" s="331"/>
      <c r="AE1826" s="57"/>
      <c r="AF1826" s="88"/>
      <c r="AG1826" s="182">
        <f>YEAR(D1826)</f>
        <v>2018</v>
      </c>
      <c r="AH1826" s="86" t="str">
        <f>+IF(AE1826=$AJ$22,MONTH(T1826),"")</f>
        <v/>
      </c>
      <c r="AI1826" s="86" t="str">
        <f>+IF(AF1826=$AJ$22,MONTH(U1826),"")</f>
        <v/>
      </c>
      <c r="AJ1826" s="86" t="str">
        <f>+IF(AG1826=$AJ$22,MONTH(V1826),"")</f>
        <v/>
      </c>
      <c r="AK1826" s="86" t="str">
        <f>+IF(AG1826=$AK$22,MONTH(V1826),"")</f>
        <v/>
      </c>
      <c r="AL1826" s="86" t="str">
        <f>+IF(AG1826=$AL$22,MONTH(V1826),"")</f>
        <v/>
      </c>
      <c r="AM1826" s="86" t="str">
        <f>+IF($AG1826=$AM$22,MONTH($D1826),"")</f>
        <v/>
      </c>
      <c r="AN1826" s="89" t="str">
        <f>+IF($AG1826=AN$22,MONTH($D1826),"")</f>
        <v/>
      </c>
      <c r="AO1826" s="89" t="str">
        <f>+IF($AG1826=AO$22,MONTH($D1826),"")</f>
        <v/>
      </c>
      <c r="AP1826" s="89">
        <f>+IF($AG1826=AP$22,MONTH($D1826),"")</f>
        <v>6</v>
      </c>
      <c r="AQ1826" s="89" t="str">
        <f>+IF($AG1826=AQ$22,MONTH($D1826),"")</f>
        <v/>
      </c>
      <c r="AR1826" s="89" t="str">
        <f>+IF($AG1826=AR$22,MONTH($D1826),"")</f>
        <v/>
      </c>
      <c r="AS1826" s="89" t="str">
        <f>+IF($AG1826=AS$22,MONTH($D1826),"")</f>
        <v/>
      </c>
      <c r="AT1826" s="89" t="str">
        <f>+IF($AG1826=AT$22,MONTH($D1826),"")</f>
        <v/>
      </c>
      <c r="AU1826" s="89" t="str">
        <f>+IF($AG1826=AU$22,MONTH($D1826),"")</f>
        <v/>
      </c>
      <c r="AV1826" s="89" t="str">
        <f>+IF($AG1826=AV$22,MONTH($D1826),"")</f>
        <v/>
      </c>
      <c r="AW1826" s="86" t="str">
        <f>+IF($AG1826=AW$22,MONTH($D1826),"")</f>
        <v/>
      </c>
      <c r="AX1826" s="86" t="str">
        <f>+IF($AG1826=AX$22,MONTH($D1826),"")</f>
        <v/>
      </c>
      <c r="AY1826" s="182"/>
      <c r="AZ1826" s="182"/>
      <c r="BA1826" s="182"/>
      <c r="BB1826" s="182"/>
      <c r="BC1826" s="182"/>
      <c r="BD1826" s="182"/>
      <c r="BE1826" s="182"/>
      <c r="BF1826" s="182"/>
      <c r="BG1826" s="182"/>
      <c r="BH1826" s="182"/>
      <c r="BI1826" s="182"/>
      <c r="BJ1826" s="89"/>
      <c r="BK1826" s="89"/>
      <c r="BL1826" s="89"/>
      <c r="BM1826" s="89"/>
      <c r="BN1826" s="89"/>
      <c r="BO1826" s="89"/>
      <c r="BP1826" s="89"/>
    </row>
    <row r="1827" spans="1:68" s="56" customFormat="1" ht="27" hidden="1">
      <c r="A1827" s="204" t="str">
        <f>+IFERROR(VALUE(MID(AB1827,4,4)),"")</f>
        <v/>
      </c>
      <c r="B1827" s="204">
        <f>VALUE(RIGHT(C1827,LEN(C1827)-2))</f>
        <v>898</v>
      </c>
      <c r="C1827" s="74" t="s">
        <v>6439</v>
      </c>
      <c r="D1827" s="75">
        <v>43277</v>
      </c>
      <c r="E1827" s="70" t="s">
        <v>4048</v>
      </c>
      <c r="F1827" s="70" t="s">
        <v>6440</v>
      </c>
      <c r="G1827" s="68"/>
      <c r="H1827" s="59"/>
      <c r="I1827" s="162" t="s">
        <v>6441</v>
      </c>
      <c r="J1827" s="162"/>
      <c r="K1827" s="68" t="s">
        <v>13</v>
      </c>
      <c r="L1827" s="69" t="s">
        <v>120</v>
      </c>
      <c r="M1827" s="71" t="s">
        <v>141</v>
      </c>
      <c r="N1827" s="69" t="e" vm="1">
        <v>#VALUE!</v>
      </c>
      <c r="O1827" s="164"/>
      <c r="P1827" s="72" t="s">
        <v>5223</v>
      </c>
      <c r="Q1827" s="72"/>
      <c r="R1827" s="162"/>
      <c r="S1827" s="146"/>
      <c r="T1827" s="68" t="s">
        <v>165</v>
      </c>
      <c r="U1827" s="87"/>
      <c r="V1827" s="183">
        <v>43307</v>
      </c>
      <c r="W1827" s="73">
        <v>2013</v>
      </c>
      <c r="X1827" s="73">
        <f>3053*27201/1000000</f>
        <v>83.044652999999997</v>
      </c>
      <c r="Y1827" s="83">
        <f>IF(SUM(W1827:W1827)&gt;0,X1827/SUM(W1827:W1827)*1000000,"N/A")</f>
        <v>41254.174366616993</v>
      </c>
      <c r="Z1827" s="183"/>
      <c r="AA1827" s="183"/>
      <c r="AB1827" s="73"/>
      <c r="AC1827" s="153"/>
      <c r="AD1827" s="331"/>
      <c r="AE1827" s="57"/>
      <c r="AF1827" s="88"/>
      <c r="AG1827" s="182">
        <f>YEAR(D1827)</f>
        <v>2018</v>
      </c>
      <c r="AH1827" s="86" t="str">
        <f>+IF(AE1827=$AJ$22,MONTH(T1827),"")</f>
        <v/>
      </c>
      <c r="AI1827" s="86" t="str">
        <f>+IF(AF1827=$AJ$22,MONTH(U1827),"")</f>
        <v/>
      </c>
      <c r="AJ1827" s="86" t="str">
        <f>+IF(AG1827=$AJ$22,MONTH(V1827),"")</f>
        <v/>
      </c>
      <c r="AK1827" s="86" t="str">
        <f>+IF(AG1827=$AK$22,MONTH(V1827),"")</f>
        <v/>
      </c>
      <c r="AL1827" s="86" t="str">
        <f>+IF(AG1827=$AL$22,MONTH(V1827),"")</f>
        <v/>
      </c>
      <c r="AM1827" s="86" t="str">
        <f>+IF($AG1827=$AM$22,MONTH($D1827),"")</f>
        <v/>
      </c>
      <c r="AN1827" s="89" t="str">
        <f>+IF($AG1827=AN$22,MONTH($D1827),"")</f>
        <v/>
      </c>
      <c r="AO1827" s="89" t="str">
        <f>+IF($AG1827=AO$22,MONTH($D1827),"")</f>
        <v/>
      </c>
      <c r="AP1827" s="89">
        <f>+IF($AG1827=AP$22,MONTH($D1827),"")</f>
        <v>6</v>
      </c>
      <c r="AQ1827" s="89" t="str">
        <f>+IF($AG1827=AQ$22,MONTH($D1827),"")</f>
        <v/>
      </c>
      <c r="AR1827" s="89" t="str">
        <f>+IF($AG1827=AR$22,MONTH($D1827),"")</f>
        <v/>
      </c>
      <c r="AS1827" s="89" t="str">
        <f>+IF($AG1827=AS$22,MONTH($D1827),"")</f>
        <v/>
      </c>
      <c r="AT1827" s="89" t="str">
        <f>+IF($AG1827=AT$22,MONTH($D1827),"")</f>
        <v/>
      </c>
      <c r="AU1827" s="89" t="str">
        <f>+IF($AG1827=AU$22,MONTH($D1827),"")</f>
        <v/>
      </c>
      <c r="AV1827" s="89" t="str">
        <f>+IF($AG1827=AV$22,MONTH($D1827),"")</f>
        <v/>
      </c>
      <c r="AW1827" s="86" t="str">
        <f>+IF($AG1827=AW$22,MONTH($D1827),"")</f>
        <v/>
      </c>
      <c r="AX1827" s="86" t="str">
        <f>+IF($AG1827=AX$22,MONTH($D1827),"")</f>
        <v/>
      </c>
      <c r="AY1827" s="182"/>
      <c r="AZ1827" s="182"/>
      <c r="BA1827" s="182"/>
      <c r="BB1827" s="182"/>
      <c r="BC1827" s="182"/>
      <c r="BD1827" s="182"/>
      <c r="BE1827" s="182"/>
      <c r="BF1827" s="182"/>
      <c r="BG1827" s="182"/>
      <c r="BH1827" s="182"/>
      <c r="BI1827" s="182"/>
      <c r="BJ1827" s="89"/>
      <c r="BK1827" s="89"/>
      <c r="BL1827" s="89"/>
      <c r="BM1827" s="89"/>
      <c r="BN1827" s="89"/>
      <c r="BO1827" s="89"/>
      <c r="BP1827" s="89"/>
    </row>
    <row r="1828" spans="1:68" s="56" customFormat="1" ht="13.5" hidden="1">
      <c r="A1828" s="204">
        <f>+IFERROR(VALUE(MID(AB1828,4,4)),"")</f>
        <v>192</v>
      </c>
      <c r="B1828" s="204">
        <f>VALUE(RIGHT(C1828,LEN(C1828)-2))</f>
        <v>897</v>
      </c>
      <c r="C1828" s="74" t="s">
        <v>6442</v>
      </c>
      <c r="D1828" s="75">
        <v>43273</v>
      </c>
      <c r="E1828" s="70" t="s">
        <v>52</v>
      </c>
      <c r="F1828" s="70" t="s">
        <v>52</v>
      </c>
      <c r="G1828" s="68"/>
      <c r="H1828" s="59"/>
      <c r="I1828" s="162" t="s">
        <v>6443</v>
      </c>
      <c r="J1828" s="162"/>
      <c r="K1828" s="68" t="s">
        <v>31</v>
      </c>
      <c r="L1828" s="69" t="s">
        <v>120</v>
      </c>
      <c r="M1828" s="71" t="s">
        <v>113</v>
      </c>
      <c r="N1828" s="69" t="e" vm="4">
        <v>#VALUE!</v>
      </c>
      <c r="O1828" s="164"/>
      <c r="P1828" s="72" t="s">
        <v>4567</v>
      </c>
      <c r="Q1828" s="72" t="s">
        <v>623</v>
      </c>
      <c r="R1828" s="162"/>
      <c r="S1828" s="146"/>
      <c r="T1828" s="68" t="s">
        <v>3</v>
      </c>
      <c r="U1828" s="87"/>
      <c r="V1828" s="183">
        <v>43273</v>
      </c>
      <c r="W1828" s="73">
        <v>305</v>
      </c>
      <c r="X1828" s="73">
        <f>64840*198.4/1000000</f>
        <v>12.864255999999999</v>
      </c>
      <c r="Y1828" s="83">
        <f>IF(SUM(W1828:W1828)&gt;0,X1828/SUM(W1828:W1828)*1000000,"N/A")</f>
        <v>42177.888524590162</v>
      </c>
      <c r="Z1828" s="183"/>
      <c r="AA1828" s="183"/>
      <c r="AB1828" s="73" t="s">
        <v>6444</v>
      </c>
      <c r="AC1828" s="153"/>
      <c r="AD1828" s="331"/>
      <c r="AE1828" s="57"/>
      <c r="AF1828" s="88"/>
      <c r="AG1828" s="182">
        <f>YEAR(D1828)</f>
        <v>2018</v>
      </c>
      <c r="AH1828" s="86" t="str">
        <f>+IF(AE1828=$AJ$22,MONTH(T1828),"")</f>
        <v/>
      </c>
      <c r="AI1828" s="86" t="str">
        <f>+IF(AF1828=$AJ$22,MONTH(U1828),"")</f>
        <v/>
      </c>
      <c r="AJ1828" s="86" t="str">
        <f>+IF(AG1828=$AJ$22,MONTH(V1828),"")</f>
        <v/>
      </c>
      <c r="AK1828" s="86" t="str">
        <f>+IF(AG1828=$AK$22,MONTH(V1828),"")</f>
        <v/>
      </c>
      <c r="AL1828" s="86" t="str">
        <f>+IF(AG1828=$AL$22,MONTH(V1828),"")</f>
        <v/>
      </c>
      <c r="AM1828" s="86" t="str">
        <f>+IF($AG1828=$AM$22,MONTH($D1828),"")</f>
        <v/>
      </c>
      <c r="AN1828" s="89" t="str">
        <f>+IF($AG1828=AN$22,MONTH($D1828),"")</f>
        <v/>
      </c>
      <c r="AO1828" s="89" t="str">
        <f>+IF($AG1828=AO$22,MONTH($D1828),"")</f>
        <v/>
      </c>
      <c r="AP1828" s="89">
        <f>+IF($AG1828=AP$22,MONTH($D1828),"")</f>
        <v>6</v>
      </c>
      <c r="AQ1828" s="89" t="str">
        <f>+IF($AG1828=AQ$22,MONTH($D1828),"")</f>
        <v/>
      </c>
      <c r="AR1828" s="89" t="str">
        <f>+IF($AG1828=AR$22,MONTH($D1828),"")</f>
        <v/>
      </c>
      <c r="AS1828" s="89" t="str">
        <f>+IF($AG1828=AS$22,MONTH($D1828),"")</f>
        <v/>
      </c>
      <c r="AT1828" s="89" t="str">
        <f>+IF($AG1828=AT$22,MONTH($D1828),"")</f>
        <v/>
      </c>
      <c r="AU1828" s="89" t="str">
        <f>+IF($AG1828=AU$22,MONTH($D1828),"")</f>
        <v/>
      </c>
      <c r="AV1828" s="89" t="str">
        <f>+IF($AG1828=AV$22,MONTH($D1828),"")</f>
        <v/>
      </c>
      <c r="AW1828" s="86" t="str">
        <f>+IF($AG1828=AW$22,MONTH($D1828),"")</f>
        <v/>
      </c>
      <c r="AX1828" s="86" t="str">
        <f>+IF($AG1828=AX$22,MONTH($D1828),"")</f>
        <v/>
      </c>
      <c r="AY1828" s="182"/>
      <c r="AZ1828" s="182"/>
      <c r="BA1828" s="182"/>
      <c r="BB1828" s="182"/>
      <c r="BC1828" s="182"/>
      <c r="BD1828" s="182"/>
      <c r="BE1828" s="182"/>
      <c r="BF1828" s="182"/>
      <c r="BG1828" s="182"/>
      <c r="BH1828" s="182"/>
      <c r="BI1828" s="182"/>
      <c r="BJ1828" s="89"/>
      <c r="BK1828" s="89"/>
      <c r="BL1828" s="89"/>
      <c r="BM1828" s="89"/>
      <c r="BN1828" s="89"/>
      <c r="BO1828" s="89"/>
      <c r="BP1828" s="89"/>
    </row>
    <row r="1829" spans="1:68" s="56" customFormat="1" ht="13.5" hidden="1">
      <c r="A1829" s="204" t="str">
        <f>+IFERROR(VALUE(MID(AB1829,4,4)),"")</f>
        <v/>
      </c>
      <c r="B1829" s="204">
        <f>VALUE(RIGHT(C1829,LEN(C1829)-2))</f>
        <v>896</v>
      </c>
      <c r="C1829" s="74" t="s">
        <v>6445</v>
      </c>
      <c r="D1829" s="75">
        <v>43269</v>
      </c>
      <c r="E1829" s="70" t="s">
        <v>41</v>
      </c>
      <c r="F1829" s="70" t="s">
        <v>41</v>
      </c>
      <c r="G1829" s="68"/>
      <c r="H1829" s="59"/>
      <c r="I1829" s="162" t="s">
        <v>6446</v>
      </c>
      <c r="J1829" s="162"/>
      <c r="K1829" s="68" t="s">
        <v>11</v>
      </c>
      <c r="L1829" s="69" t="s">
        <v>120</v>
      </c>
      <c r="M1829" s="71" t="s">
        <v>141</v>
      </c>
      <c r="N1829" s="69" t="e" vm="1">
        <v>#VALUE!</v>
      </c>
      <c r="O1829" s="164"/>
      <c r="P1829" s="72" t="s">
        <v>402</v>
      </c>
      <c r="Q1829" s="72"/>
      <c r="R1829" s="162"/>
      <c r="S1829" s="146"/>
      <c r="T1829" s="68" t="s">
        <v>165</v>
      </c>
      <c r="U1829" s="87"/>
      <c r="V1829" s="183">
        <v>43269</v>
      </c>
      <c r="W1829" s="73">
        <v>631</v>
      </c>
      <c r="X1829" s="73">
        <f>631*27000/1000000</f>
        <v>17.036999999999999</v>
      </c>
      <c r="Y1829" s="83">
        <f>IF(SUM(W1829:W1829)&gt;0,X1829/SUM(W1829:W1829)*1000000,"N/A")</f>
        <v>27000</v>
      </c>
      <c r="Z1829" s="183"/>
      <c r="AA1829" s="183"/>
      <c r="AB1829" s="73"/>
      <c r="AC1829" s="153"/>
      <c r="AD1829" s="331"/>
      <c r="AE1829" s="57"/>
      <c r="AF1829" s="88"/>
      <c r="AG1829" s="182">
        <f>YEAR(D1829)</f>
        <v>2018</v>
      </c>
      <c r="AH1829" s="86" t="str">
        <f>+IF(AE1829=$AJ$22,MONTH(T1829),"")</f>
        <v/>
      </c>
      <c r="AI1829" s="86" t="str">
        <f>+IF(AF1829=$AJ$22,MONTH(U1829),"")</f>
        <v/>
      </c>
      <c r="AJ1829" s="86" t="str">
        <f>+IF(AG1829=$AJ$22,MONTH(V1829),"")</f>
        <v/>
      </c>
      <c r="AK1829" s="86" t="str">
        <f>+IF(AG1829=$AK$22,MONTH(V1829),"")</f>
        <v/>
      </c>
      <c r="AL1829" s="86" t="str">
        <f>+IF(AG1829=$AL$22,MONTH(V1829),"")</f>
        <v/>
      </c>
      <c r="AM1829" s="86" t="str">
        <f>+IF($AG1829=$AM$22,MONTH($D1829),"")</f>
        <v/>
      </c>
      <c r="AN1829" s="89" t="str">
        <f>+IF($AG1829=AN$22,MONTH($D1829),"")</f>
        <v/>
      </c>
      <c r="AO1829" s="89" t="str">
        <f>+IF($AG1829=AO$22,MONTH($D1829),"")</f>
        <v/>
      </c>
      <c r="AP1829" s="89">
        <f>+IF($AG1829=AP$22,MONTH($D1829),"")</f>
        <v>6</v>
      </c>
      <c r="AQ1829" s="89" t="str">
        <f>+IF($AG1829=AQ$22,MONTH($D1829),"")</f>
        <v/>
      </c>
      <c r="AR1829" s="89" t="str">
        <f>+IF($AG1829=AR$22,MONTH($D1829),"")</f>
        <v/>
      </c>
      <c r="AS1829" s="89" t="str">
        <f>+IF($AG1829=AS$22,MONTH($D1829),"")</f>
        <v/>
      </c>
      <c r="AT1829" s="89" t="str">
        <f>+IF($AG1829=AT$22,MONTH($D1829),"")</f>
        <v/>
      </c>
      <c r="AU1829" s="89" t="str">
        <f>+IF($AG1829=AU$22,MONTH($D1829),"")</f>
        <v/>
      </c>
      <c r="AV1829" s="89" t="str">
        <f>+IF($AG1829=AV$22,MONTH($D1829),"")</f>
        <v/>
      </c>
      <c r="AW1829" s="86" t="str">
        <f>+IF($AG1829=AW$22,MONTH($D1829),"")</f>
        <v/>
      </c>
      <c r="AX1829" s="86" t="str">
        <f>+IF($AG1829=AX$22,MONTH($D1829),"")</f>
        <v/>
      </c>
      <c r="AY1829" s="182"/>
      <c r="AZ1829" s="182"/>
      <c r="BA1829" s="182"/>
      <c r="BB1829" s="182"/>
      <c r="BC1829" s="182"/>
      <c r="BD1829" s="182"/>
      <c r="BE1829" s="182"/>
      <c r="BF1829" s="182"/>
      <c r="BG1829" s="182"/>
      <c r="BH1829" s="182"/>
      <c r="BI1829" s="182"/>
      <c r="BJ1829" s="89"/>
      <c r="BK1829" s="89"/>
      <c r="BL1829" s="89"/>
      <c r="BM1829" s="89"/>
      <c r="BN1829" s="89"/>
      <c r="BO1829" s="89"/>
      <c r="BP1829" s="89"/>
    </row>
    <row r="1830" spans="1:68" s="56" customFormat="1" ht="13.5" hidden="1">
      <c r="A1830" s="204">
        <f>+IFERROR(VALUE(MID(AB1830,4,4)),"")</f>
        <v>201</v>
      </c>
      <c r="B1830" s="204">
        <f>VALUE(RIGHT(C1830,LEN(C1830)-2))</f>
        <v>895</v>
      </c>
      <c r="C1830" s="74" t="s">
        <v>6447</v>
      </c>
      <c r="D1830" s="75">
        <v>43269</v>
      </c>
      <c r="E1830" s="70" t="s">
        <v>67</v>
      </c>
      <c r="F1830" s="70" t="s">
        <v>67</v>
      </c>
      <c r="G1830" s="68" t="s">
        <v>6448</v>
      </c>
      <c r="H1830" s="59"/>
      <c r="I1830" s="162" t="s">
        <v>6449</v>
      </c>
      <c r="J1830" s="162"/>
      <c r="K1830" s="68" t="s">
        <v>30</v>
      </c>
      <c r="L1830" s="69" t="s">
        <v>123</v>
      </c>
      <c r="M1830" s="71" t="s">
        <v>141</v>
      </c>
      <c r="N1830" s="69" t="e" vm="1">
        <v>#VALUE!</v>
      </c>
      <c r="O1830" s="164"/>
      <c r="P1830" s="72" t="s">
        <v>402</v>
      </c>
      <c r="Q1830" s="72" t="s">
        <v>1097</v>
      </c>
      <c r="R1830" s="162"/>
      <c r="S1830" s="146"/>
      <c r="T1830" s="68" t="s">
        <v>3</v>
      </c>
      <c r="U1830" s="87"/>
      <c r="V1830" s="183">
        <v>43269</v>
      </c>
      <c r="W1830" s="73">
        <v>2346</v>
      </c>
      <c r="X1830" s="73">
        <v>91.092659999999995</v>
      </c>
      <c r="Y1830" s="83">
        <f>IF(SUM(W1830:W1830)&gt;0,X1830/SUM(W1830:W1830)*1000000,"N/A")</f>
        <v>38828.925831202047</v>
      </c>
      <c r="Z1830" s="183"/>
      <c r="AA1830" s="183"/>
      <c r="AB1830" s="73" t="s">
        <v>6450</v>
      </c>
      <c r="AC1830" s="153"/>
      <c r="AD1830" s="331"/>
      <c r="AE1830" s="57"/>
      <c r="AF1830" s="88"/>
      <c r="AG1830" s="182">
        <f>YEAR(D1830)</f>
        <v>2018</v>
      </c>
      <c r="AH1830" s="86" t="str">
        <f>+IF(AE1830=$AJ$22,MONTH(T1830),"")</f>
        <v/>
      </c>
      <c r="AI1830" s="86" t="str">
        <f>+IF(AF1830=$AJ$22,MONTH(U1830),"")</f>
        <v/>
      </c>
      <c r="AJ1830" s="86" t="str">
        <f>+IF(AG1830=$AJ$22,MONTH(V1830),"")</f>
        <v/>
      </c>
      <c r="AK1830" s="86" t="str">
        <f>+IF(AG1830=$AK$22,MONTH(V1830),"")</f>
        <v/>
      </c>
      <c r="AL1830" s="86" t="str">
        <f>+IF(AG1830=$AL$22,MONTH(V1830),"")</f>
        <v/>
      </c>
      <c r="AM1830" s="86" t="str">
        <f>+IF($AG1830=$AM$22,MONTH($D1830),"")</f>
        <v/>
      </c>
      <c r="AN1830" s="89" t="str">
        <f>+IF($AG1830=AN$22,MONTH($D1830),"")</f>
        <v/>
      </c>
      <c r="AO1830" s="89" t="str">
        <f>+IF($AG1830=AO$22,MONTH($D1830),"")</f>
        <v/>
      </c>
      <c r="AP1830" s="89">
        <f>+IF($AG1830=AP$22,MONTH($D1830),"")</f>
        <v>6</v>
      </c>
      <c r="AQ1830" s="89" t="str">
        <f>+IF($AG1830=AQ$22,MONTH($D1830),"")</f>
        <v/>
      </c>
      <c r="AR1830" s="89" t="str">
        <f>+IF($AG1830=AR$22,MONTH($D1830),"")</f>
        <v/>
      </c>
      <c r="AS1830" s="89" t="str">
        <f>+IF($AG1830=AS$22,MONTH($D1830),"")</f>
        <v/>
      </c>
      <c r="AT1830" s="89" t="str">
        <f>+IF($AG1830=AT$22,MONTH($D1830),"")</f>
        <v/>
      </c>
      <c r="AU1830" s="89" t="str">
        <f>+IF($AG1830=AU$22,MONTH($D1830),"")</f>
        <v/>
      </c>
      <c r="AV1830" s="89" t="str">
        <f>+IF($AG1830=AV$22,MONTH($D1830),"")</f>
        <v/>
      </c>
      <c r="AW1830" s="86" t="str">
        <f>+IF($AG1830=AW$22,MONTH($D1830),"")</f>
        <v/>
      </c>
      <c r="AX1830" s="86" t="str">
        <f>+IF($AG1830=AX$22,MONTH($D1830),"")</f>
        <v/>
      </c>
      <c r="AY1830" s="182"/>
      <c r="AZ1830" s="182"/>
      <c r="BA1830" s="182"/>
      <c r="BB1830" s="182"/>
      <c r="BC1830" s="182"/>
      <c r="BD1830" s="182"/>
      <c r="BE1830" s="182"/>
      <c r="BF1830" s="182"/>
      <c r="BG1830" s="182"/>
      <c r="BH1830" s="182"/>
      <c r="BI1830" s="182"/>
      <c r="BJ1830" s="89"/>
      <c r="BK1830" s="89"/>
      <c r="BL1830" s="89"/>
      <c r="BM1830" s="89"/>
      <c r="BN1830" s="89"/>
      <c r="BO1830" s="89"/>
      <c r="BP1830" s="89"/>
    </row>
    <row r="1831" spans="1:68" s="56" customFormat="1" ht="27" hidden="1">
      <c r="A1831" s="204" t="str">
        <f>+IFERROR(VALUE(MID(AB1831,4,4)),"")</f>
        <v/>
      </c>
      <c r="B1831" s="204">
        <f>VALUE(RIGHT(C1831,LEN(C1831)-2))</f>
        <v>894</v>
      </c>
      <c r="C1831" s="74" t="s">
        <v>6451</v>
      </c>
      <c r="D1831" s="75">
        <v>43264</v>
      </c>
      <c r="E1831" s="70" t="s">
        <v>4664</v>
      </c>
      <c r="F1831" s="70" t="s">
        <v>6452</v>
      </c>
      <c r="G1831" s="68"/>
      <c r="H1831" s="59"/>
      <c r="I1831" s="162" t="s">
        <v>6453</v>
      </c>
      <c r="J1831" s="162"/>
      <c r="K1831" s="68" t="s">
        <v>12</v>
      </c>
      <c r="L1831" s="69" t="s">
        <v>120</v>
      </c>
      <c r="M1831" s="71" t="s">
        <v>113</v>
      </c>
      <c r="N1831" s="71" t="e" vm="2">
        <v>#VALUE!</v>
      </c>
      <c r="O1831" s="164"/>
      <c r="P1831" s="72" t="s">
        <v>402</v>
      </c>
      <c r="Q1831" s="72"/>
      <c r="R1831" s="162"/>
      <c r="S1831" s="146"/>
      <c r="T1831" s="68" t="s">
        <v>155</v>
      </c>
      <c r="U1831" s="87"/>
      <c r="V1831" s="183"/>
      <c r="W1831" s="73"/>
      <c r="X1831" s="73"/>
      <c r="Y1831" s="83" t="str">
        <f>IF(SUM(W1831:W1831)&gt;0,X1831/SUM(W1831:W1831)*1000000,"N/A")</f>
        <v>N/A</v>
      </c>
      <c r="Z1831" s="183"/>
      <c r="AA1831" s="183"/>
      <c r="AB1831" s="73"/>
      <c r="AC1831" s="153"/>
      <c r="AD1831" s="331"/>
      <c r="AE1831" s="57"/>
      <c r="AF1831" s="88"/>
      <c r="AG1831" s="182">
        <f>YEAR(D1831)</f>
        <v>2018</v>
      </c>
      <c r="AH1831" s="86" t="str">
        <f>+IF(AE1831=$AJ$22,MONTH(T1831),"")</f>
        <v/>
      </c>
      <c r="AI1831" s="86" t="str">
        <f>+IF(AF1831=$AJ$22,MONTH(U1831),"")</f>
        <v/>
      </c>
      <c r="AJ1831" s="86" t="str">
        <f>+IF(AG1831=$AJ$22,MONTH(V1831),"")</f>
        <v/>
      </c>
      <c r="AK1831" s="86" t="str">
        <f>+IF(AG1831=$AK$22,MONTH(V1831),"")</f>
        <v/>
      </c>
      <c r="AL1831" s="86" t="str">
        <f>+IF(AG1831=$AL$22,MONTH(V1831),"")</f>
        <v/>
      </c>
      <c r="AM1831" s="86" t="str">
        <f>+IF($AG1831=$AM$22,MONTH($D1831),"")</f>
        <v/>
      </c>
      <c r="AN1831" s="89" t="str">
        <f>+IF($AG1831=AN$22,MONTH($D1831),"")</f>
        <v/>
      </c>
      <c r="AO1831" s="89" t="str">
        <f>+IF($AG1831=AO$22,MONTH($D1831),"")</f>
        <v/>
      </c>
      <c r="AP1831" s="89">
        <f>+IF($AG1831=AP$22,MONTH($D1831),"")</f>
        <v>6</v>
      </c>
      <c r="AQ1831" s="89" t="str">
        <f>+IF($AG1831=AQ$22,MONTH($D1831),"")</f>
        <v/>
      </c>
      <c r="AR1831" s="89" t="str">
        <f>+IF($AG1831=AR$22,MONTH($D1831),"")</f>
        <v/>
      </c>
      <c r="AS1831" s="89" t="str">
        <f>+IF($AG1831=AS$22,MONTH($D1831),"")</f>
        <v/>
      </c>
      <c r="AT1831" s="89" t="str">
        <f>+IF($AG1831=AT$22,MONTH($D1831),"")</f>
        <v/>
      </c>
      <c r="AU1831" s="89" t="str">
        <f>+IF($AG1831=AU$22,MONTH($D1831),"")</f>
        <v/>
      </c>
      <c r="AV1831" s="89" t="str">
        <f>+IF($AG1831=AV$22,MONTH($D1831),"")</f>
        <v/>
      </c>
      <c r="AW1831" s="86" t="str">
        <f>+IF($AG1831=AW$22,MONTH($D1831),"")</f>
        <v/>
      </c>
      <c r="AX1831" s="86" t="str">
        <f>+IF($AG1831=AX$22,MONTH($D1831),"")</f>
        <v/>
      </c>
      <c r="AY1831" s="182"/>
      <c r="AZ1831" s="182"/>
      <c r="BA1831" s="182"/>
      <c r="BB1831" s="182"/>
      <c r="BC1831" s="182"/>
      <c r="BD1831" s="182"/>
      <c r="BE1831" s="182"/>
      <c r="BF1831" s="182"/>
      <c r="BG1831" s="182"/>
      <c r="BH1831" s="182"/>
      <c r="BI1831" s="182"/>
      <c r="BJ1831" s="89"/>
      <c r="BK1831" s="89"/>
      <c r="BL1831" s="89"/>
      <c r="BM1831" s="89"/>
      <c r="BN1831" s="89"/>
      <c r="BO1831" s="89"/>
      <c r="BP1831" s="89"/>
    </row>
    <row r="1832" spans="1:68" s="56" customFormat="1" ht="13.5" hidden="1">
      <c r="A1832" s="204" t="str">
        <f>+IFERROR(VALUE(MID(AB1832,4,4)),"")</f>
        <v/>
      </c>
      <c r="B1832" s="204">
        <f>VALUE(RIGHT(C1832,LEN(C1832)-2))</f>
        <v>893</v>
      </c>
      <c r="C1832" s="74" t="s">
        <v>6454</v>
      </c>
      <c r="D1832" s="75">
        <v>43265</v>
      </c>
      <c r="E1832" s="70" t="s">
        <v>685</v>
      </c>
      <c r="F1832" s="70" t="s">
        <v>685</v>
      </c>
      <c r="G1832" s="68"/>
      <c r="H1832" s="59"/>
      <c r="I1832" s="162" t="s">
        <v>6455</v>
      </c>
      <c r="J1832" s="162"/>
      <c r="K1832" s="68" t="s">
        <v>31</v>
      </c>
      <c r="L1832" s="69" t="s">
        <v>120</v>
      </c>
      <c r="M1832" s="71" t="s">
        <v>141</v>
      </c>
      <c r="N1832" s="69" t="e" vm="1">
        <v>#VALUE!</v>
      </c>
      <c r="O1832" s="164"/>
      <c r="P1832" s="72" t="s">
        <v>402</v>
      </c>
      <c r="Q1832" s="72"/>
      <c r="R1832" s="162"/>
      <c r="S1832" s="146"/>
      <c r="T1832" s="68" t="s">
        <v>165</v>
      </c>
      <c r="U1832" s="87"/>
      <c r="V1832" s="183">
        <v>43265</v>
      </c>
      <c r="W1832" s="73">
        <v>1189</v>
      </c>
      <c r="X1832" s="73">
        <f>49075000/1000000</f>
        <v>49.075000000000003</v>
      </c>
      <c r="Y1832" s="83">
        <f>IF(SUM(W1832:W1832)&gt;0,X1832/SUM(W1832:W1832)*1000000,"N/A")</f>
        <v>41274.179983179143</v>
      </c>
      <c r="Z1832" s="183"/>
      <c r="AA1832" s="183"/>
      <c r="AB1832" s="73"/>
      <c r="AC1832" s="153"/>
      <c r="AD1832" s="331"/>
      <c r="AE1832" s="57"/>
      <c r="AF1832" s="88"/>
      <c r="AG1832" s="182">
        <f>YEAR(D1832)</f>
        <v>2018</v>
      </c>
      <c r="AH1832" s="86" t="str">
        <f>+IF(AE1832=$AJ$22,MONTH(T1832),"")</f>
        <v/>
      </c>
      <c r="AI1832" s="86" t="str">
        <f>+IF(AF1832=$AJ$22,MONTH(U1832),"")</f>
        <v/>
      </c>
      <c r="AJ1832" s="86" t="str">
        <f>+IF(AG1832=$AJ$22,MONTH(V1832),"")</f>
        <v/>
      </c>
      <c r="AK1832" s="86" t="str">
        <f>+IF(AG1832=$AK$22,MONTH(V1832),"")</f>
        <v/>
      </c>
      <c r="AL1832" s="86" t="str">
        <f>+IF(AG1832=$AL$22,MONTH(V1832),"")</f>
        <v/>
      </c>
      <c r="AM1832" s="86" t="str">
        <f>+IF($AG1832=$AM$22,MONTH($D1832),"")</f>
        <v/>
      </c>
      <c r="AN1832" s="89" t="str">
        <f>+IF($AG1832=AN$22,MONTH($D1832),"")</f>
        <v/>
      </c>
      <c r="AO1832" s="89" t="str">
        <f>+IF($AG1832=AO$22,MONTH($D1832),"")</f>
        <v/>
      </c>
      <c r="AP1832" s="89">
        <f>+IF($AG1832=AP$22,MONTH($D1832),"")</f>
        <v>6</v>
      </c>
      <c r="AQ1832" s="89" t="str">
        <f>+IF($AG1832=AQ$22,MONTH($D1832),"")</f>
        <v/>
      </c>
      <c r="AR1832" s="89" t="str">
        <f>+IF($AG1832=AR$22,MONTH($D1832),"")</f>
        <v/>
      </c>
      <c r="AS1832" s="89" t="str">
        <f>+IF($AG1832=AS$22,MONTH($D1832),"")</f>
        <v/>
      </c>
      <c r="AT1832" s="89" t="str">
        <f>+IF($AG1832=AT$22,MONTH($D1832),"")</f>
        <v/>
      </c>
      <c r="AU1832" s="89" t="str">
        <f>+IF($AG1832=AU$22,MONTH($D1832),"")</f>
        <v/>
      </c>
      <c r="AV1832" s="89" t="str">
        <f>+IF($AG1832=AV$22,MONTH($D1832),"")</f>
        <v/>
      </c>
      <c r="AW1832" s="86" t="str">
        <f>+IF($AG1832=AW$22,MONTH($D1832),"")</f>
        <v/>
      </c>
      <c r="AX1832" s="86" t="str">
        <f>+IF($AG1832=AX$22,MONTH($D1832),"")</f>
        <v/>
      </c>
      <c r="AY1832" s="182"/>
      <c r="AZ1832" s="182"/>
      <c r="BA1832" s="182"/>
      <c r="BB1832" s="182"/>
      <c r="BC1832" s="182"/>
      <c r="BD1832" s="182"/>
      <c r="BE1832" s="182"/>
      <c r="BF1832" s="182"/>
      <c r="BG1832" s="182"/>
      <c r="BH1832" s="182"/>
      <c r="BI1832" s="182"/>
      <c r="BJ1832" s="89"/>
      <c r="BK1832" s="89"/>
      <c r="BL1832" s="89"/>
      <c r="BM1832" s="89"/>
      <c r="BN1832" s="89"/>
      <c r="BO1832" s="89"/>
      <c r="BP1832" s="89"/>
    </row>
    <row r="1833" spans="1:68" s="56" customFormat="1" ht="27" hidden="1">
      <c r="A1833" s="204" t="str">
        <f>+IFERROR(VALUE(MID(AB1833,4,4)),"")</f>
        <v/>
      </c>
      <c r="B1833" s="204">
        <f>VALUE(RIGHT(C1833,LEN(C1833)-2))</f>
        <v>892</v>
      </c>
      <c r="C1833" s="74" t="s">
        <v>6456</v>
      </c>
      <c r="D1833" s="75">
        <v>43263</v>
      </c>
      <c r="E1833" s="70" t="s">
        <v>313</v>
      </c>
      <c r="F1833" s="70" t="s">
        <v>313</v>
      </c>
      <c r="G1833" s="68"/>
      <c r="H1833" s="59"/>
      <c r="I1833" s="162" t="s">
        <v>6457</v>
      </c>
      <c r="J1833" s="162"/>
      <c r="K1833" s="68" t="s">
        <v>13</v>
      </c>
      <c r="L1833" s="69" t="s">
        <v>120</v>
      </c>
      <c r="M1833" s="71" t="s">
        <v>141</v>
      </c>
      <c r="N1833" s="71" t="e" vm="1">
        <v>#VALUE!</v>
      </c>
      <c r="O1833" s="164"/>
      <c r="P1833" s="72" t="s">
        <v>274</v>
      </c>
      <c r="Q1833" s="72"/>
      <c r="R1833" s="162"/>
      <c r="S1833" s="146"/>
      <c r="T1833" s="68" t="s">
        <v>165</v>
      </c>
      <c r="U1833" s="87"/>
      <c r="V1833" s="183">
        <v>43278</v>
      </c>
      <c r="W1833" s="73">
        <v>7004</v>
      </c>
      <c r="X1833" s="73">
        <v>218.30719300000001</v>
      </c>
      <c r="Y1833" s="83">
        <f>IF(SUM(W1833:W1833)&gt;0,X1833/SUM(W1833:W1833)*1000000,"N/A")</f>
        <v>31168.931039406056</v>
      </c>
      <c r="Z1833" s="183"/>
      <c r="AA1833" s="183"/>
      <c r="AB1833" s="73"/>
      <c r="AC1833" s="153"/>
      <c r="AD1833" s="331"/>
      <c r="AE1833" s="57"/>
      <c r="AF1833" s="88"/>
      <c r="AG1833" s="182">
        <f>YEAR(D1833)</f>
        <v>2018</v>
      </c>
      <c r="AH1833" s="86" t="str">
        <f>+IF(AE1833=$AJ$22,MONTH(T1833),"")</f>
        <v/>
      </c>
      <c r="AI1833" s="86" t="str">
        <f>+IF(AF1833=$AJ$22,MONTH(U1833),"")</f>
        <v/>
      </c>
      <c r="AJ1833" s="86" t="str">
        <f>+IF(AG1833=$AJ$22,MONTH(V1833),"")</f>
        <v/>
      </c>
      <c r="AK1833" s="86" t="str">
        <f>+IF(AG1833=$AK$22,MONTH(V1833),"")</f>
        <v/>
      </c>
      <c r="AL1833" s="86" t="str">
        <f>+IF(AG1833=$AL$22,MONTH(V1833),"")</f>
        <v/>
      </c>
      <c r="AM1833" s="86" t="str">
        <f>+IF($AG1833=$AM$22,MONTH($D1833),"")</f>
        <v/>
      </c>
      <c r="AN1833" s="89" t="str">
        <f>+IF($AG1833=AN$22,MONTH($D1833),"")</f>
        <v/>
      </c>
      <c r="AO1833" s="89" t="str">
        <f>+IF($AG1833=AO$22,MONTH($D1833),"")</f>
        <v/>
      </c>
      <c r="AP1833" s="89">
        <f>+IF($AG1833=AP$22,MONTH($D1833),"")</f>
        <v>6</v>
      </c>
      <c r="AQ1833" s="89" t="str">
        <f>+IF($AG1833=AQ$22,MONTH($D1833),"")</f>
        <v/>
      </c>
      <c r="AR1833" s="89" t="str">
        <f>+IF($AG1833=AR$22,MONTH($D1833),"")</f>
        <v/>
      </c>
      <c r="AS1833" s="89" t="str">
        <f>+IF($AG1833=AS$22,MONTH($D1833),"")</f>
        <v/>
      </c>
      <c r="AT1833" s="89" t="str">
        <f>+IF($AG1833=AT$22,MONTH($D1833),"")</f>
        <v/>
      </c>
      <c r="AU1833" s="89" t="str">
        <f>+IF($AG1833=AU$22,MONTH($D1833),"")</f>
        <v/>
      </c>
      <c r="AV1833" s="89" t="str">
        <f>+IF($AG1833=AV$22,MONTH($D1833),"")</f>
        <v/>
      </c>
      <c r="AW1833" s="86" t="str">
        <f>+IF($AG1833=AW$22,MONTH($D1833),"")</f>
        <v/>
      </c>
      <c r="AX1833" s="86" t="str">
        <f>+IF($AG1833=AX$22,MONTH($D1833),"")</f>
        <v/>
      </c>
      <c r="AY1833" s="182"/>
      <c r="AZ1833" s="182"/>
      <c r="BA1833" s="182"/>
      <c r="BB1833" s="182"/>
      <c r="BC1833" s="182"/>
      <c r="BD1833" s="182"/>
      <c r="BE1833" s="182"/>
      <c r="BF1833" s="182"/>
      <c r="BG1833" s="182"/>
      <c r="BH1833" s="182"/>
      <c r="BI1833" s="182"/>
      <c r="BJ1833" s="89"/>
      <c r="BK1833" s="89"/>
      <c r="BL1833" s="89"/>
      <c r="BM1833" s="89"/>
      <c r="BN1833" s="89"/>
      <c r="BO1833" s="89"/>
      <c r="BP1833" s="89"/>
    </row>
    <row r="1834" spans="1:68" s="56" customFormat="1" ht="13.5" hidden="1">
      <c r="A1834" s="204">
        <f>+IFERROR(VALUE(MID(AB1834,4,4)),"")</f>
        <v>191</v>
      </c>
      <c r="B1834" s="204">
        <f>VALUE(RIGHT(C1834,LEN(C1834)-2))</f>
        <v>891</v>
      </c>
      <c r="C1834" s="74" t="s">
        <v>6458</v>
      </c>
      <c r="D1834" s="75">
        <v>43258</v>
      </c>
      <c r="E1834" s="70" t="s">
        <v>685</v>
      </c>
      <c r="F1834" s="70" t="s">
        <v>685</v>
      </c>
      <c r="G1834" s="68" t="s">
        <v>5407</v>
      </c>
      <c r="H1834" s="59"/>
      <c r="I1834" s="162" t="s">
        <v>6459</v>
      </c>
      <c r="J1834" s="162"/>
      <c r="K1834" s="68" t="s">
        <v>31</v>
      </c>
      <c r="L1834" s="69" t="s">
        <v>120</v>
      </c>
      <c r="M1834" s="71" t="s">
        <v>141</v>
      </c>
      <c r="N1834" s="69" t="e" vm="1">
        <v>#VALUE!</v>
      </c>
      <c r="O1834" s="164"/>
      <c r="P1834" s="72" t="s">
        <v>4567</v>
      </c>
      <c r="Q1834" s="72" t="s">
        <v>229</v>
      </c>
      <c r="R1834" s="162"/>
      <c r="S1834" s="146"/>
      <c r="T1834" s="68" t="s">
        <v>3</v>
      </c>
      <c r="U1834" s="87"/>
      <c r="V1834" s="183">
        <v>43258</v>
      </c>
      <c r="W1834" s="73">
        <v>628</v>
      </c>
      <c r="X1834" s="73">
        <f>27520000/1000000</f>
        <v>27.52</v>
      </c>
      <c r="Y1834" s="83">
        <f>IF(SUM(W1834:W1834)&gt;0,X1834/SUM(W1834:W1834)*1000000,"N/A")</f>
        <v>43821.656050955411</v>
      </c>
      <c r="Z1834" s="183"/>
      <c r="AA1834" s="183"/>
      <c r="AB1834" s="73" t="s">
        <v>6460</v>
      </c>
      <c r="AC1834" s="153"/>
      <c r="AD1834" s="331"/>
      <c r="AE1834" s="57"/>
      <c r="AF1834" s="88"/>
      <c r="AG1834" s="182">
        <f>YEAR(D1834)</f>
        <v>2018</v>
      </c>
      <c r="AH1834" s="86" t="str">
        <f>+IF(AE1834=$AJ$22,MONTH(T1834),"")</f>
        <v/>
      </c>
      <c r="AI1834" s="86" t="str">
        <f>+IF(AF1834=$AJ$22,MONTH(U1834),"")</f>
        <v/>
      </c>
      <c r="AJ1834" s="86" t="str">
        <f>+IF(AG1834=$AJ$22,MONTH(V1834),"")</f>
        <v/>
      </c>
      <c r="AK1834" s="86" t="str">
        <f>+IF(AG1834=$AK$22,MONTH(V1834),"")</f>
        <v/>
      </c>
      <c r="AL1834" s="86" t="str">
        <f>+IF(AG1834=$AL$22,MONTH(V1834),"")</f>
        <v/>
      </c>
      <c r="AM1834" s="86" t="str">
        <f>+IF($AG1834=$AM$22,MONTH($D1834),"")</f>
        <v/>
      </c>
      <c r="AN1834" s="89" t="str">
        <f>+IF($AG1834=AN$22,MONTH($D1834),"")</f>
        <v/>
      </c>
      <c r="AO1834" s="86" t="str">
        <f>+IF($AG1834=AO$22,MONTH($D1834),"")</f>
        <v/>
      </c>
      <c r="AP1834" s="86">
        <f>+IF($AG1834=AP$22,MONTH($D1834),"")</f>
        <v>6</v>
      </c>
      <c r="AQ1834" s="86" t="str">
        <f>+IF($AG1834=AQ$22,MONTH($D1834),"")</f>
        <v/>
      </c>
      <c r="AR1834" s="86" t="str">
        <f>+IF($AG1834=AR$22,MONTH($D1834),"")</f>
        <v/>
      </c>
      <c r="AS1834" s="86" t="str">
        <f>+IF($AG1834=AS$22,MONTH($D1834),"")</f>
        <v/>
      </c>
      <c r="AT1834" s="86" t="str">
        <f>+IF($AG1834=AT$22,MONTH($D1834),"")</f>
        <v/>
      </c>
      <c r="AU1834" s="86" t="str">
        <f>+IF($AG1834=AU$22,MONTH($D1834),"")</f>
        <v/>
      </c>
      <c r="AV1834" s="86" t="str">
        <f>+IF($AG1834=AV$22,MONTH($D1834),"")</f>
        <v/>
      </c>
      <c r="AW1834" s="86" t="str">
        <f>+IF($AG1834=AW$22,MONTH($D1834),"")</f>
        <v/>
      </c>
      <c r="AX1834" s="86" t="str">
        <f>+IF($AG1834=AX$22,MONTH($D1834),"")</f>
        <v/>
      </c>
      <c r="AY1834" s="182"/>
      <c r="AZ1834" s="182"/>
      <c r="BA1834" s="182"/>
      <c r="BB1834" s="182"/>
      <c r="BC1834" s="182"/>
      <c r="BD1834" s="182"/>
      <c r="BE1834" s="182"/>
      <c r="BF1834" s="182"/>
      <c r="BG1834" s="182"/>
      <c r="BH1834" s="182"/>
      <c r="BI1834" s="182"/>
      <c r="BJ1834" s="89"/>
      <c r="BK1834" s="89"/>
      <c r="BL1834" s="89"/>
      <c r="BM1834" s="89"/>
      <c r="BN1834" s="89"/>
      <c r="BO1834" s="89"/>
      <c r="BP1834" s="89"/>
    </row>
    <row r="1835" spans="1:68" s="56" customFormat="1" ht="27" hidden="1">
      <c r="A1835" s="204">
        <f>+IFERROR(VALUE(MID(AB1835,4,4)),"")</f>
        <v>194</v>
      </c>
      <c r="B1835" s="204">
        <f>VALUE(RIGHT(C1835,LEN(C1835)-2))</f>
        <v>890</v>
      </c>
      <c r="C1835" s="74" t="s">
        <v>6461</v>
      </c>
      <c r="D1835" s="75">
        <v>43259</v>
      </c>
      <c r="E1835" s="70" t="s">
        <v>4114</v>
      </c>
      <c r="F1835" s="70" t="s">
        <v>4114</v>
      </c>
      <c r="G1835" s="68"/>
      <c r="H1835" s="59"/>
      <c r="I1835" s="162" t="s">
        <v>6462</v>
      </c>
      <c r="J1835" s="162"/>
      <c r="K1835" s="68" t="s">
        <v>12</v>
      </c>
      <c r="L1835" s="69" t="s">
        <v>120</v>
      </c>
      <c r="M1835" s="71" t="s">
        <v>141</v>
      </c>
      <c r="N1835" s="69" t="e" vm="1">
        <v>#VALUE!</v>
      </c>
      <c r="O1835" s="164"/>
      <c r="P1835" s="72" t="s">
        <v>402</v>
      </c>
      <c r="Q1835" s="72" t="s">
        <v>316</v>
      </c>
      <c r="R1835" s="162"/>
      <c r="S1835" s="146"/>
      <c r="T1835" s="68" t="s">
        <v>3</v>
      </c>
      <c r="U1835" s="87"/>
      <c r="V1835" s="183">
        <v>43259</v>
      </c>
      <c r="W1835" s="73">
        <v>10120</v>
      </c>
      <c r="X1835" s="73">
        <f>13995*27500/1000000</f>
        <v>384.86250000000001</v>
      </c>
      <c r="Y1835" s="83">
        <f>IF(SUM(W1835:W1835)&gt;0,X1835/SUM(W1835:W1835)*1000000,"N/A")</f>
        <v>38029.891304347831</v>
      </c>
      <c r="Z1835" s="183"/>
      <c r="AA1835" s="183"/>
      <c r="AB1835" s="73" t="s">
        <v>6463</v>
      </c>
      <c r="AC1835" s="153"/>
      <c r="AD1835" s="331"/>
      <c r="AE1835" s="57"/>
      <c r="AF1835" s="88"/>
      <c r="AG1835" s="182">
        <f>YEAR(D1835)</f>
        <v>2018</v>
      </c>
      <c r="AH1835" s="86" t="str">
        <f>+IF(AE1835=$AJ$22,MONTH(T1835),"")</f>
        <v/>
      </c>
      <c r="AI1835" s="86" t="str">
        <f>+IF(AF1835=$AJ$22,MONTH(U1835),"")</f>
        <v/>
      </c>
      <c r="AJ1835" s="86" t="str">
        <f>+IF(AG1835=$AJ$22,MONTH(V1835),"")</f>
        <v/>
      </c>
      <c r="AK1835" s="86" t="str">
        <f>+IF(AG1835=$AK$22,MONTH(V1835),"")</f>
        <v/>
      </c>
      <c r="AL1835" s="86" t="str">
        <f>+IF(AG1835=$AL$22,MONTH(V1835),"")</f>
        <v/>
      </c>
      <c r="AM1835" s="86" t="str">
        <f>+IF($AG1835=$AM$22,MONTH($D1835),"")</f>
        <v/>
      </c>
      <c r="AN1835" s="89" t="str">
        <f>+IF($AG1835=AN$22,MONTH($D1835),"")</f>
        <v/>
      </c>
      <c r="AO1835" s="86" t="str">
        <f>+IF($AG1835=AO$22,MONTH($D1835),"")</f>
        <v/>
      </c>
      <c r="AP1835" s="86">
        <f>+IF($AG1835=AP$22,MONTH($D1835),"")</f>
        <v>6</v>
      </c>
      <c r="AQ1835" s="86" t="str">
        <f>+IF($AG1835=AQ$22,MONTH($D1835),"")</f>
        <v/>
      </c>
      <c r="AR1835" s="86" t="str">
        <f>+IF($AG1835=AR$22,MONTH($D1835),"")</f>
        <v/>
      </c>
      <c r="AS1835" s="86" t="str">
        <f>+IF($AG1835=AS$22,MONTH($D1835),"")</f>
        <v/>
      </c>
      <c r="AT1835" s="86" t="str">
        <f>+IF($AG1835=AT$22,MONTH($D1835),"")</f>
        <v/>
      </c>
      <c r="AU1835" s="86" t="str">
        <f>+IF($AG1835=AU$22,MONTH($D1835),"")</f>
        <v/>
      </c>
      <c r="AV1835" s="86" t="str">
        <f>+IF($AG1835=AV$22,MONTH($D1835),"")</f>
        <v/>
      </c>
      <c r="AW1835" s="86" t="str">
        <f>+IF($AG1835=AW$22,MONTH($D1835),"")</f>
        <v/>
      </c>
      <c r="AX1835" s="86" t="str">
        <f>+IF($AG1835=AX$22,MONTH($D1835),"")</f>
        <v/>
      </c>
      <c r="AY1835" s="182"/>
      <c r="AZ1835" s="182"/>
      <c r="BA1835" s="182"/>
      <c r="BB1835" s="182"/>
      <c r="BC1835" s="182"/>
      <c r="BD1835" s="182"/>
      <c r="BE1835" s="182"/>
      <c r="BF1835" s="182"/>
      <c r="BG1835" s="182"/>
      <c r="BH1835" s="182"/>
      <c r="BI1835" s="182"/>
      <c r="BJ1835" s="89"/>
      <c r="BK1835" s="89"/>
      <c r="BL1835" s="89"/>
      <c r="BM1835" s="89"/>
      <c r="BN1835" s="89"/>
      <c r="BO1835" s="89"/>
      <c r="BP1835" s="89"/>
    </row>
    <row r="1836" spans="1:68" s="56" customFormat="1" ht="27" hidden="1">
      <c r="A1836" s="204" t="str">
        <f>+IFERROR(VALUE(MID(AB1836,4,4)),"")</f>
        <v/>
      </c>
      <c r="B1836" s="204">
        <f>VALUE(RIGHT(C1836,LEN(C1836)-2))</f>
        <v>889</v>
      </c>
      <c r="C1836" s="74" t="s">
        <v>6464</v>
      </c>
      <c r="D1836" s="75">
        <v>43256</v>
      </c>
      <c r="E1836" s="70" t="s">
        <v>6465</v>
      </c>
      <c r="F1836" s="70" t="s">
        <v>6465</v>
      </c>
      <c r="G1836" s="68" t="s">
        <v>6466</v>
      </c>
      <c r="H1836" s="59" t="s">
        <v>6467</v>
      </c>
      <c r="I1836" s="162" t="s">
        <v>6468</v>
      </c>
      <c r="J1836" s="162"/>
      <c r="K1836" s="68" t="s">
        <v>12</v>
      </c>
      <c r="L1836" s="69" t="s">
        <v>120</v>
      </c>
      <c r="M1836" s="71" t="s">
        <v>141</v>
      </c>
      <c r="N1836" s="69" t="e" vm="1">
        <v>#VALUE!</v>
      </c>
      <c r="O1836" s="164"/>
      <c r="P1836" s="72" t="s">
        <v>402</v>
      </c>
      <c r="Q1836" s="72"/>
      <c r="R1836" s="162"/>
      <c r="S1836" s="146"/>
      <c r="T1836" s="68" t="s">
        <v>165</v>
      </c>
      <c r="U1836" s="87"/>
      <c r="V1836" s="183">
        <v>43256</v>
      </c>
      <c r="W1836" s="73">
        <v>56</v>
      </c>
      <c r="X1836" s="73">
        <f>89*27000/1000000</f>
        <v>2.403</v>
      </c>
      <c r="Y1836" s="83">
        <f>IF(SUM(W1836:W1836)&gt;0,X1836/SUM(W1836:W1836)*1000000,"N/A")</f>
        <v>42910.71428571429</v>
      </c>
      <c r="Z1836" s="183"/>
      <c r="AA1836" s="183"/>
      <c r="AB1836" s="73"/>
      <c r="AC1836" s="153"/>
      <c r="AD1836" s="331"/>
      <c r="AE1836" s="57"/>
      <c r="AF1836" s="88"/>
      <c r="AG1836" s="182">
        <f>YEAR(D1836)</f>
        <v>2018</v>
      </c>
      <c r="AH1836" s="86" t="str">
        <f>+IF(AE1836=$AJ$22,MONTH(T1836),"")</f>
        <v/>
      </c>
      <c r="AI1836" s="86" t="str">
        <f>+IF(AF1836=$AJ$22,MONTH(U1836),"")</f>
        <v/>
      </c>
      <c r="AJ1836" s="86" t="str">
        <f>+IF(AG1836=$AJ$22,MONTH(V1836),"")</f>
        <v/>
      </c>
      <c r="AK1836" s="86" t="str">
        <f>+IF(AG1836=$AK$22,MONTH(V1836),"")</f>
        <v/>
      </c>
      <c r="AL1836" s="86" t="str">
        <f>+IF(AG1836=$AL$22,MONTH(V1836),"")</f>
        <v/>
      </c>
      <c r="AM1836" s="86" t="str">
        <f>+IF($AG1836=$AM$22,MONTH($D1836),"")</f>
        <v/>
      </c>
      <c r="AN1836" s="89" t="str">
        <f>+IF($AG1836=AN$22,MONTH($D1836),"")</f>
        <v/>
      </c>
      <c r="AO1836" s="86" t="str">
        <f>+IF($AG1836=AO$22,MONTH($D1836),"")</f>
        <v/>
      </c>
      <c r="AP1836" s="86">
        <f>+IF($AG1836=AP$22,MONTH($D1836),"")</f>
        <v>6</v>
      </c>
      <c r="AQ1836" s="86" t="str">
        <f>+IF($AG1836=AQ$22,MONTH($D1836),"")</f>
        <v/>
      </c>
      <c r="AR1836" s="86" t="str">
        <f>+IF($AG1836=AR$22,MONTH($D1836),"")</f>
        <v/>
      </c>
      <c r="AS1836" s="86" t="str">
        <f>+IF($AG1836=AS$22,MONTH($D1836),"")</f>
        <v/>
      </c>
      <c r="AT1836" s="86" t="str">
        <f>+IF($AG1836=AT$22,MONTH($D1836),"")</f>
        <v/>
      </c>
      <c r="AU1836" s="86" t="str">
        <f>+IF($AG1836=AU$22,MONTH($D1836),"")</f>
        <v/>
      </c>
      <c r="AV1836" s="86" t="str">
        <f>+IF($AG1836=AV$22,MONTH($D1836),"")</f>
        <v/>
      </c>
      <c r="AW1836" s="86" t="str">
        <f>+IF($AG1836=AW$22,MONTH($D1836),"")</f>
        <v/>
      </c>
      <c r="AX1836" s="86" t="str">
        <f>+IF($AG1836=AX$22,MONTH($D1836),"")</f>
        <v/>
      </c>
      <c r="AY1836" s="182"/>
      <c r="AZ1836" s="182"/>
      <c r="BA1836" s="182"/>
      <c r="BB1836" s="182"/>
      <c r="BC1836" s="182"/>
      <c r="BD1836" s="182"/>
      <c r="BE1836" s="182"/>
      <c r="BF1836" s="182"/>
      <c r="BG1836" s="182"/>
      <c r="BH1836" s="182"/>
      <c r="BI1836" s="182"/>
      <c r="BJ1836" s="89"/>
      <c r="BK1836" s="89"/>
      <c r="BL1836" s="89"/>
      <c r="BM1836" s="89"/>
      <c r="BN1836" s="89"/>
      <c r="BO1836" s="89"/>
      <c r="BP1836" s="89"/>
    </row>
    <row r="1837" spans="1:68" s="56" customFormat="1" ht="27" hidden="1">
      <c r="A1837" s="204">
        <f>+IFERROR(VALUE(MID(AB1837,4,4)),"")</f>
        <v>158</v>
      </c>
      <c r="B1837" s="204">
        <f>VALUE(RIGHT(C1837,LEN(C1837)-2))</f>
        <v>888</v>
      </c>
      <c r="C1837" s="74" t="s">
        <v>6469</v>
      </c>
      <c r="D1837" s="75">
        <v>43256</v>
      </c>
      <c r="E1837" s="70" t="s">
        <v>41</v>
      </c>
      <c r="F1837" s="70" t="s">
        <v>41</v>
      </c>
      <c r="G1837" s="68" t="s">
        <v>6470</v>
      </c>
      <c r="H1837" s="59" t="s">
        <v>6471</v>
      </c>
      <c r="I1837" s="162" t="s">
        <v>6472</v>
      </c>
      <c r="J1837" s="162"/>
      <c r="K1837" s="68" t="s">
        <v>13</v>
      </c>
      <c r="L1837" s="69" t="s">
        <v>120</v>
      </c>
      <c r="M1837" s="71" t="s">
        <v>141</v>
      </c>
      <c r="N1837" s="69" t="e" vm="1">
        <v>#VALUE!</v>
      </c>
      <c r="O1837" s="164"/>
      <c r="P1837" s="72" t="s">
        <v>402</v>
      </c>
      <c r="Q1837" s="72" t="s">
        <v>405</v>
      </c>
      <c r="R1837" s="162"/>
      <c r="S1837" s="146"/>
      <c r="T1837" s="68" t="s">
        <v>3</v>
      </c>
      <c r="U1837" s="87"/>
      <c r="V1837" s="183">
        <v>43256</v>
      </c>
      <c r="W1837" s="73">
        <v>240</v>
      </c>
      <c r="X1837" s="73">
        <f>304*27000/1000000</f>
        <v>8.2080000000000002</v>
      </c>
      <c r="Y1837" s="83">
        <f>IF(SUM(W1837:W1837)&gt;0,X1837/SUM(W1837:W1837)*1000000,"N/A")</f>
        <v>34200</v>
      </c>
      <c r="Z1837" s="183"/>
      <c r="AA1837" s="183"/>
      <c r="AB1837" s="73" t="s">
        <v>6425</v>
      </c>
      <c r="AC1837" s="153"/>
      <c r="AD1837" s="331"/>
      <c r="AE1837" s="57"/>
      <c r="AF1837" s="88"/>
      <c r="AG1837" s="182">
        <f>YEAR(D1837)</f>
        <v>2018</v>
      </c>
      <c r="AH1837" s="86" t="str">
        <f>+IF(AE1837=$AJ$22,MONTH(T1837),"")</f>
        <v/>
      </c>
      <c r="AI1837" s="86" t="str">
        <f>+IF(AF1837=$AJ$22,MONTH(U1837),"")</f>
        <v/>
      </c>
      <c r="AJ1837" s="86" t="str">
        <f>+IF(AG1837=$AJ$22,MONTH(V1837),"")</f>
        <v/>
      </c>
      <c r="AK1837" s="86" t="str">
        <f>+IF(AG1837=$AK$22,MONTH(V1837),"")</f>
        <v/>
      </c>
      <c r="AL1837" s="86" t="str">
        <f>+IF(AG1837=$AL$22,MONTH(V1837),"")</f>
        <v/>
      </c>
      <c r="AM1837" s="86" t="str">
        <f>+IF($AG1837=$AM$22,MONTH($D1837),"")</f>
        <v/>
      </c>
      <c r="AN1837" s="89" t="str">
        <f>+IF($AG1837=AN$22,MONTH($D1837),"")</f>
        <v/>
      </c>
      <c r="AO1837" s="86" t="str">
        <f>+IF($AG1837=AO$22,MONTH($D1837),"")</f>
        <v/>
      </c>
      <c r="AP1837" s="86">
        <f>+IF($AG1837=AP$22,MONTH($D1837),"")</f>
        <v>6</v>
      </c>
      <c r="AQ1837" s="86" t="str">
        <f>+IF($AG1837=AQ$22,MONTH($D1837),"")</f>
        <v/>
      </c>
      <c r="AR1837" s="86" t="str">
        <f>+IF($AG1837=AR$22,MONTH($D1837),"")</f>
        <v/>
      </c>
      <c r="AS1837" s="86" t="str">
        <f>+IF($AG1837=AS$22,MONTH($D1837),"")</f>
        <v/>
      </c>
      <c r="AT1837" s="86" t="str">
        <f>+IF($AG1837=AT$22,MONTH($D1837),"")</f>
        <v/>
      </c>
      <c r="AU1837" s="86" t="str">
        <f>+IF($AG1837=AU$22,MONTH($D1837),"")</f>
        <v/>
      </c>
      <c r="AV1837" s="86" t="str">
        <f>+IF($AG1837=AV$22,MONTH($D1837),"")</f>
        <v/>
      </c>
      <c r="AW1837" s="86" t="str">
        <f>+IF($AG1837=AW$22,MONTH($D1837),"")</f>
        <v/>
      </c>
      <c r="AX1837" s="86" t="str">
        <f>+IF($AG1837=AX$22,MONTH($D1837),"")</f>
        <v/>
      </c>
      <c r="AY1837" s="182"/>
      <c r="AZ1837" s="182"/>
      <c r="BA1837" s="182"/>
      <c r="BB1837" s="182"/>
      <c r="BC1837" s="182"/>
      <c r="BD1837" s="182"/>
      <c r="BE1837" s="182"/>
      <c r="BF1837" s="182"/>
      <c r="BG1837" s="182"/>
      <c r="BH1837" s="182"/>
      <c r="BI1837" s="182"/>
      <c r="BJ1837" s="89"/>
      <c r="BK1837" s="89"/>
      <c r="BL1837" s="89"/>
      <c r="BM1837" s="89"/>
      <c r="BN1837" s="89"/>
      <c r="BO1837" s="89"/>
      <c r="BP1837" s="89"/>
    </row>
    <row r="1838" spans="1:68" s="56" customFormat="1" ht="13.5" hidden="1">
      <c r="A1838" s="204" t="str">
        <f>+IFERROR(VALUE(MID(AB1838,4,4)),"")</f>
        <v/>
      </c>
      <c r="B1838" s="204">
        <f>VALUE(RIGHT(C1838,LEN(C1838)-2))</f>
        <v>887</v>
      </c>
      <c r="C1838" s="74" t="s">
        <v>6473</v>
      </c>
      <c r="D1838" s="75">
        <v>43256</v>
      </c>
      <c r="E1838" s="70" t="s">
        <v>4114</v>
      </c>
      <c r="F1838" s="70" t="s">
        <v>4114</v>
      </c>
      <c r="G1838" s="68"/>
      <c r="H1838" s="59"/>
      <c r="I1838" s="162" t="s">
        <v>6474</v>
      </c>
      <c r="J1838" s="162"/>
      <c r="K1838" s="68" t="s">
        <v>31</v>
      </c>
      <c r="L1838" s="69" t="s">
        <v>120</v>
      </c>
      <c r="M1838" s="71" t="s">
        <v>141</v>
      </c>
      <c r="N1838" s="69" t="e" vm="1">
        <v>#VALUE!</v>
      </c>
      <c r="O1838" s="164"/>
      <c r="P1838" s="72"/>
      <c r="Q1838" s="72"/>
      <c r="R1838" s="162"/>
      <c r="S1838" s="146"/>
      <c r="T1838" s="68" t="s">
        <v>155</v>
      </c>
      <c r="U1838" s="87"/>
      <c r="V1838" s="183"/>
      <c r="W1838" s="73"/>
      <c r="X1838" s="73"/>
      <c r="Y1838" s="83" t="str">
        <f>IF(SUM(W1838:W1838)&gt;0,X1838/SUM(W1838:W1838)*1000000,"N/A")</f>
        <v>N/A</v>
      </c>
      <c r="Z1838" s="183"/>
      <c r="AA1838" s="183"/>
      <c r="AB1838" s="73"/>
      <c r="AC1838" s="153"/>
      <c r="AD1838" s="331"/>
      <c r="AE1838" s="57"/>
      <c r="AF1838" s="88"/>
      <c r="AG1838" s="182">
        <f>YEAR(D1838)</f>
        <v>2018</v>
      </c>
      <c r="AH1838" s="86" t="str">
        <f>+IF(AE1838=$AJ$22,MONTH(T1838),"")</f>
        <v/>
      </c>
      <c r="AI1838" s="86" t="str">
        <f>+IF(AF1838=$AJ$22,MONTH(U1838),"")</f>
        <v/>
      </c>
      <c r="AJ1838" s="86" t="str">
        <f>+IF(AG1838=$AJ$22,MONTH(V1838),"")</f>
        <v/>
      </c>
      <c r="AK1838" s="86" t="str">
        <f>+IF(AG1838=$AK$22,MONTH(V1838),"")</f>
        <v/>
      </c>
      <c r="AL1838" s="86" t="str">
        <f>+IF(AG1838=$AL$22,MONTH(V1838),"")</f>
        <v/>
      </c>
      <c r="AM1838" s="86" t="str">
        <f>+IF($AG1838=$AM$22,MONTH($D1838),"")</f>
        <v/>
      </c>
      <c r="AN1838" s="89" t="str">
        <f>+IF($AG1838=AN$22,MONTH($D1838),"")</f>
        <v/>
      </c>
      <c r="AO1838" s="86" t="str">
        <f>+IF($AG1838=AO$22,MONTH($D1838),"")</f>
        <v/>
      </c>
      <c r="AP1838" s="86">
        <f>+IF($AG1838=AP$22,MONTH($D1838),"")</f>
        <v>6</v>
      </c>
      <c r="AQ1838" s="86" t="str">
        <f>+IF($AG1838=AQ$22,MONTH($D1838),"")</f>
        <v/>
      </c>
      <c r="AR1838" s="86" t="str">
        <f>+IF($AG1838=AR$22,MONTH($D1838),"")</f>
        <v/>
      </c>
      <c r="AS1838" s="86" t="str">
        <f>+IF($AG1838=AS$22,MONTH($D1838),"")</f>
        <v/>
      </c>
      <c r="AT1838" s="86" t="str">
        <f>+IF($AG1838=AT$22,MONTH($D1838),"")</f>
        <v/>
      </c>
      <c r="AU1838" s="86" t="str">
        <f>+IF($AG1838=AU$22,MONTH($D1838),"")</f>
        <v/>
      </c>
      <c r="AV1838" s="86" t="str">
        <f>+IF($AG1838=AV$22,MONTH($D1838),"")</f>
        <v/>
      </c>
      <c r="AW1838" s="86" t="str">
        <f>+IF($AG1838=AW$22,MONTH($D1838),"")</f>
        <v/>
      </c>
      <c r="AX1838" s="86" t="str">
        <f>+IF($AG1838=AX$22,MONTH($D1838),"")</f>
        <v/>
      </c>
      <c r="AY1838" s="182"/>
      <c r="AZ1838" s="182"/>
      <c r="BA1838" s="182"/>
      <c r="BB1838" s="182"/>
      <c r="BC1838" s="182"/>
      <c r="BD1838" s="182"/>
      <c r="BE1838" s="182"/>
      <c r="BF1838" s="182"/>
      <c r="BG1838" s="182"/>
      <c r="BH1838" s="182"/>
      <c r="BI1838" s="182"/>
      <c r="BJ1838" s="89"/>
      <c r="BK1838" s="89"/>
      <c r="BL1838" s="89"/>
      <c r="BM1838" s="89"/>
      <c r="BN1838" s="89"/>
      <c r="BO1838" s="89"/>
      <c r="BP1838" s="89"/>
    </row>
    <row r="1839" spans="1:68" s="56" customFormat="1" ht="13.5" hidden="1">
      <c r="A1839" s="204" t="str">
        <f>+IFERROR(VALUE(MID(AB1839,4,4)),"")</f>
        <v/>
      </c>
      <c r="B1839" s="204">
        <f>VALUE(RIGHT(C1839,LEN(C1839)-2))</f>
        <v>886</v>
      </c>
      <c r="C1839" s="74" t="s">
        <v>6475</v>
      </c>
      <c r="D1839" s="75">
        <v>43256</v>
      </c>
      <c r="E1839" s="70" t="s">
        <v>6476</v>
      </c>
      <c r="F1839" s="70" t="s">
        <v>6476</v>
      </c>
      <c r="G1839" s="68" t="s">
        <v>6477</v>
      </c>
      <c r="H1839" s="59" t="s">
        <v>6478</v>
      </c>
      <c r="I1839" s="162" t="s">
        <v>6479</v>
      </c>
      <c r="J1839" s="162"/>
      <c r="K1839" s="68" t="s">
        <v>3389</v>
      </c>
      <c r="L1839" s="69" t="s">
        <v>120</v>
      </c>
      <c r="M1839" s="71" t="s">
        <v>141</v>
      </c>
      <c r="N1839" s="69" t="e" vm="1">
        <v>#VALUE!</v>
      </c>
      <c r="O1839" s="164"/>
      <c r="P1839" s="72" t="s">
        <v>6480</v>
      </c>
      <c r="Q1839" s="72"/>
      <c r="R1839" s="162"/>
      <c r="S1839" s="146"/>
      <c r="T1839" s="68" t="s">
        <v>165</v>
      </c>
      <c r="U1839" s="87"/>
      <c r="V1839" s="183">
        <v>43256</v>
      </c>
      <c r="W1839" s="73">
        <v>365</v>
      </c>
      <c r="X1839" s="73">
        <f>525*27000/1000000</f>
        <v>14.175000000000001</v>
      </c>
      <c r="Y1839" s="83">
        <f>IF(SUM(W1839:W1839)&gt;0,X1839/SUM(W1839:W1839)*1000000,"N/A")</f>
        <v>38835.61643835617</v>
      </c>
      <c r="Z1839" s="183"/>
      <c r="AA1839" s="183"/>
      <c r="AB1839" s="73"/>
      <c r="AC1839" s="153"/>
      <c r="AD1839" s="331"/>
      <c r="AE1839" s="57"/>
      <c r="AF1839" s="88"/>
      <c r="AG1839" s="182">
        <f>YEAR(D1839)</f>
        <v>2018</v>
      </c>
      <c r="AH1839" s="86" t="str">
        <f>+IF(AE1839=$AJ$22,MONTH(T1839),"")</f>
        <v/>
      </c>
      <c r="AI1839" s="86" t="str">
        <f>+IF(AF1839=$AJ$22,MONTH(U1839),"")</f>
        <v/>
      </c>
      <c r="AJ1839" s="86" t="str">
        <f>+IF(AG1839=$AJ$22,MONTH(V1839),"")</f>
        <v/>
      </c>
      <c r="AK1839" s="86" t="str">
        <f>+IF(AG1839=$AK$22,MONTH(V1839),"")</f>
        <v/>
      </c>
      <c r="AL1839" s="86" t="str">
        <f>+IF(AG1839=$AL$22,MONTH(V1839),"")</f>
        <v/>
      </c>
      <c r="AM1839" s="86" t="str">
        <f>+IF($AG1839=$AM$22,MONTH($D1839),"")</f>
        <v/>
      </c>
      <c r="AN1839" s="89" t="str">
        <f>+IF($AG1839=AN$22,MONTH($D1839),"")</f>
        <v/>
      </c>
      <c r="AO1839" s="86" t="str">
        <f>+IF($AG1839=AO$22,MONTH($D1839),"")</f>
        <v/>
      </c>
      <c r="AP1839" s="86">
        <f>+IF($AG1839=AP$22,MONTH($D1839),"")</f>
        <v>6</v>
      </c>
      <c r="AQ1839" s="86" t="str">
        <f>+IF($AG1839=AQ$22,MONTH($D1839),"")</f>
        <v/>
      </c>
      <c r="AR1839" s="86" t="str">
        <f>+IF($AG1839=AR$22,MONTH($D1839),"")</f>
        <v/>
      </c>
      <c r="AS1839" s="86" t="str">
        <f>+IF($AG1839=AS$22,MONTH($D1839),"")</f>
        <v/>
      </c>
      <c r="AT1839" s="86" t="str">
        <f>+IF($AG1839=AT$22,MONTH($D1839),"")</f>
        <v/>
      </c>
      <c r="AU1839" s="86" t="str">
        <f>+IF($AG1839=AU$22,MONTH($D1839),"")</f>
        <v/>
      </c>
      <c r="AV1839" s="86" t="str">
        <f>+IF($AG1839=AV$22,MONTH($D1839),"")</f>
        <v/>
      </c>
      <c r="AW1839" s="86" t="str">
        <f>+IF($AG1839=AW$22,MONTH($D1839),"")</f>
        <v/>
      </c>
      <c r="AX1839" s="86" t="str">
        <f>+IF($AG1839=AX$22,MONTH($D1839),"")</f>
        <v/>
      </c>
      <c r="AY1839" s="182"/>
      <c r="AZ1839" s="182"/>
      <c r="BA1839" s="182"/>
      <c r="BB1839" s="182"/>
      <c r="BC1839" s="182"/>
      <c r="BD1839" s="182"/>
      <c r="BE1839" s="182"/>
      <c r="BF1839" s="182"/>
      <c r="BG1839" s="182"/>
      <c r="BH1839" s="182"/>
      <c r="BI1839" s="182"/>
      <c r="BJ1839" s="89"/>
      <c r="BK1839" s="89"/>
      <c r="BL1839" s="89"/>
      <c r="BM1839" s="89"/>
      <c r="BN1839" s="89"/>
      <c r="BO1839" s="89"/>
      <c r="BP1839" s="89"/>
    </row>
    <row r="1840" spans="1:68" s="56" customFormat="1" ht="13.5" hidden="1">
      <c r="A1840" s="204" t="str">
        <f>+IFERROR(VALUE(MID(AB1840,4,4)),"")</f>
        <v/>
      </c>
      <c r="B1840" s="204">
        <f>VALUE(RIGHT(C1840,LEN(C1840)-2))</f>
        <v>885</v>
      </c>
      <c r="C1840" s="74" t="s">
        <v>6481</v>
      </c>
      <c r="D1840" s="75">
        <v>43256</v>
      </c>
      <c r="E1840" s="70" t="s">
        <v>6482</v>
      </c>
      <c r="F1840" s="70" t="s">
        <v>6483</v>
      </c>
      <c r="G1840" s="68"/>
      <c r="H1840" s="59"/>
      <c r="I1840" s="162" t="s">
        <v>6484</v>
      </c>
      <c r="J1840" s="162"/>
      <c r="K1840" s="68" t="s">
        <v>13</v>
      </c>
      <c r="L1840" s="69" t="s">
        <v>123</v>
      </c>
      <c r="M1840" s="71" t="s">
        <v>141</v>
      </c>
      <c r="N1840" s="69" t="e" vm="1">
        <v>#VALUE!</v>
      </c>
      <c r="O1840" s="164"/>
      <c r="P1840" s="72" t="s">
        <v>6485</v>
      </c>
      <c r="Q1840" s="72"/>
      <c r="R1840" s="162"/>
      <c r="S1840" s="146"/>
      <c r="T1840" s="68" t="s">
        <v>165</v>
      </c>
      <c r="U1840" s="87"/>
      <c r="V1840" s="183">
        <v>43256</v>
      </c>
      <c r="W1840" s="73">
        <v>1479</v>
      </c>
      <c r="X1840" s="73">
        <f>1717.4*27000/1000000</f>
        <v>46.369799999999998</v>
      </c>
      <c r="Y1840" s="83">
        <f>IF(SUM(W1840:W1840)&gt;0,X1840/SUM(W1840:W1840)*1000000,"N/A")</f>
        <v>31352.129817444216</v>
      </c>
      <c r="Z1840" s="183"/>
      <c r="AA1840" s="183"/>
      <c r="AB1840" s="73"/>
      <c r="AC1840" s="153"/>
      <c r="AD1840" s="331"/>
      <c r="AE1840" s="57"/>
      <c r="AF1840" s="88"/>
      <c r="AG1840" s="182">
        <f>YEAR(D1840)</f>
        <v>2018</v>
      </c>
      <c r="AH1840" s="86" t="str">
        <f>+IF(AE1840=$AJ$22,MONTH(T1840),"")</f>
        <v/>
      </c>
      <c r="AI1840" s="86" t="str">
        <f>+IF(AF1840=$AJ$22,MONTH(U1840),"")</f>
        <v/>
      </c>
      <c r="AJ1840" s="86" t="str">
        <f>+IF(AG1840=$AJ$22,MONTH(V1840),"")</f>
        <v/>
      </c>
      <c r="AK1840" s="86" t="str">
        <f>+IF(AG1840=$AK$22,MONTH(V1840),"")</f>
        <v/>
      </c>
      <c r="AL1840" s="86" t="str">
        <f>+IF(AG1840=$AL$22,MONTH(V1840),"")</f>
        <v/>
      </c>
      <c r="AM1840" s="86" t="str">
        <f>+IF($AG1840=$AM$22,MONTH($D1840),"")</f>
        <v/>
      </c>
      <c r="AN1840" s="89" t="str">
        <f>+IF($AG1840=AN$22,MONTH($D1840),"")</f>
        <v/>
      </c>
      <c r="AO1840" s="86" t="str">
        <f>+IF($AG1840=AO$22,MONTH($D1840),"")</f>
        <v/>
      </c>
      <c r="AP1840" s="86">
        <f>+IF($AG1840=AP$22,MONTH($D1840),"")</f>
        <v>6</v>
      </c>
      <c r="AQ1840" s="86" t="str">
        <f>+IF($AG1840=AQ$22,MONTH($D1840),"")</f>
        <v/>
      </c>
      <c r="AR1840" s="86" t="str">
        <f>+IF($AG1840=AR$22,MONTH($D1840),"")</f>
        <v/>
      </c>
      <c r="AS1840" s="86" t="str">
        <f>+IF($AG1840=AS$22,MONTH($D1840),"")</f>
        <v/>
      </c>
      <c r="AT1840" s="86" t="str">
        <f>+IF($AG1840=AT$22,MONTH($D1840),"")</f>
        <v/>
      </c>
      <c r="AU1840" s="86" t="str">
        <f>+IF($AG1840=AU$22,MONTH($D1840),"")</f>
        <v/>
      </c>
      <c r="AV1840" s="86" t="str">
        <f>+IF($AG1840=AV$22,MONTH($D1840),"")</f>
        <v/>
      </c>
      <c r="AW1840" s="86" t="str">
        <f>+IF($AG1840=AW$22,MONTH($D1840),"")</f>
        <v/>
      </c>
      <c r="AX1840" s="86" t="str">
        <f>+IF($AG1840=AX$22,MONTH($D1840),"")</f>
        <v/>
      </c>
      <c r="AY1840" s="182"/>
      <c r="AZ1840" s="182"/>
      <c r="BA1840" s="182"/>
      <c r="BB1840" s="182"/>
      <c r="BC1840" s="182"/>
      <c r="BD1840" s="182"/>
      <c r="BE1840" s="182"/>
      <c r="BF1840" s="182"/>
      <c r="BG1840" s="182"/>
      <c r="BH1840" s="182"/>
      <c r="BI1840" s="182"/>
      <c r="BJ1840" s="89"/>
      <c r="BK1840" s="89"/>
      <c r="BL1840" s="89"/>
      <c r="BM1840" s="89"/>
      <c r="BN1840" s="89"/>
      <c r="BO1840" s="89"/>
      <c r="BP1840" s="89"/>
    </row>
    <row r="1841" spans="1:68" s="56" customFormat="1" ht="27" hidden="1">
      <c r="A1841" s="204" t="str">
        <f>+IFERROR(VALUE(MID(AB1841,4,4)),"")</f>
        <v/>
      </c>
      <c r="B1841" s="204">
        <f>VALUE(RIGHT(C1841,LEN(C1841)-2))</f>
        <v>884</v>
      </c>
      <c r="C1841" s="74" t="s">
        <v>6486</v>
      </c>
      <c r="D1841" s="75">
        <v>43256</v>
      </c>
      <c r="E1841" s="70" t="s">
        <v>6482</v>
      </c>
      <c r="F1841" s="70" t="s">
        <v>6483</v>
      </c>
      <c r="G1841" s="68"/>
      <c r="H1841" s="59"/>
      <c r="I1841" s="162" t="s">
        <v>6487</v>
      </c>
      <c r="J1841" s="162"/>
      <c r="K1841" s="68" t="s">
        <v>13</v>
      </c>
      <c r="L1841" s="69" t="s">
        <v>123</v>
      </c>
      <c r="M1841" s="71" t="s">
        <v>141</v>
      </c>
      <c r="N1841" s="69" t="e" vm="1">
        <v>#VALUE!</v>
      </c>
      <c r="O1841" s="164"/>
      <c r="P1841" s="72" t="s">
        <v>6485</v>
      </c>
      <c r="Q1841" s="72"/>
      <c r="R1841" s="162"/>
      <c r="S1841" s="146"/>
      <c r="T1841" s="68" t="s">
        <v>165</v>
      </c>
      <c r="U1841" s="87"/>
      <c r="V1841" s="183">
        <v>43256</v>
      </c>
      <c r="W1841" s="73">
        <v>1365</v>
      </c>
      <c r="X1841" s="73">
        <f>1613.9*27000/1000000</f>
        <v>43.575299999999999</v>
      </c>
      <c r="Y1841" s="83">
        <f>IF(SUM(W1841:W1841)&gt;0,X1841/SUM(W1841:W1841)*1000000,"N/A")</f>
        <v>31923.296703296703</v>
      </c>
      <c r="Z1841" s="183"/>
      <c r="AA1841" s="183"/>
      <c r="AB1841" s="73"/>
      <c r="AC1841" s="153"/>
      <c r="AD1841" s="331"/>
      <c r="AE1841" s="57"/>
      <c r="AF1841" s="88"/>
      <c r="AG1841" s="182">
        <f>YEAR(D1841)</f>
        <v>2018</v>
      </c>
      <c r="AH1841" s="86" t="str">
        <f>+IF(AE1841=$AJ$22,MONTH(T1841),"")</f>
        <v/>
      </c>
      <c r="AI1841" s="86" t="str">
        <f>+IF(AF1841=$AJ$22,MONTH(U1841),"")</f>
        <v/>
      </c>
      <c r="AJ1841" s="86" t="str">
        <f>+IF(AG1841=$AJ$22,MONTH(V1841),"")</f>
        <v/>
      </c>
      <c r="AK1841" s="86" t="str">
        <f>+IF(AG1841=$AK$22,MONTH(V1841),"")</f>
        <v/>
      </c>
      <c r="AL1841" s="86" t="str">
        <f>+IF(AG1841=$AL$22,MONTH(V1841),"")</f>
        <v/>
      </c>
      <c r="AM1841" s="86" t="str">
        <f>+IF($AG1841=$AM$22,MONTH($D1841),"")</f>
        <v/>
      </c>
      <c r="AN1841" s="89" t="str">
        <f>+IF($AG1841=AN$22,MONTH($D1841),"")</f>
        <v/>
      </c>
      <c r="AO1841" s="86" t="str">
        <f>+IF($AG1841=AO$22,MONTH($D1841),"")</f>
        <v/>
      </c>
      <c r="AP1841" s="86">
        <f>+IF($AG1841=AP$22,MONTH($D1841),"")</f>
        <v>6</v>
      </c>
      <c r="AQ1841" s="86" t="str">
        <f>+IF($AG1841=AQ$22,MONTH($D1841),"")</f>
        <v/>
      </c>
      <c r="AR1841" s="86" t="str">
        <f>+IF($AG1841=AR$22,MONTH($D1841),"")</f>
        <v/>
      </c>
      <c r="AS1841" s="86" t="str">
        <f>+IF($AG1841=AS$22,MONTH($D1841),"")</f>
        <v/>
      </c>
      <c r="AT1841" s="86" t="str">
        <f>+IF($AG1841=AT$22,MONTH($D1841),"")</f>
        <v/>
      </c>
      <c r="AU1841" s="86" t="str">
        <f>+IF($AG1841=AU$22,MONTH($D1841),"")</f>
        <v/>
      </c>
      <c r="AV1841" s="86" t="str">
        <f>+IF($AG1841=AV$22,MONTH($D1841),"")</f>
        <v/>
      </c>
      <c r="AW1841" s="86" t="str">
        <f>+IF($AG1841=AW$22,MONTH($D1841),"")</f>
        <v/>
      </c>
      <c r="AX1841" s="86" t="str">
        <f>+IF($AG1841=AX$22,MONTH($D1841),"")</f>
        <v/>
      </c>
      <c r="AY1841" s="182"/>
      <c r="AZ1841" s="182"/>
      <c r="BA1841" s="182"/>
      <c r="BB1841" s="182"/>
      <c r="BC1841" s="182"/>
      <c r="BD1841" s="182"/>
      <c r="BE1841" s="182"/>
      <c r="BF1841" s="182"/>
      <c r="BG1841" s="182"/>
      <c r="BH1841" s="182"/>
      <c r="BI1841" s="182"/>
      <c r="BJ1841" s="89"/>
      <c r="BK1841" s="89"/>
      <c r="BL1841" s="89"/>
      <c r="BM1841" s="89"/>
      <c r="BN1841" s="89"/>
      <c r="BO1841" s="89"/>
      <c r="BP1841" s="89"/>
    </row>
    <row r="1842" spans="1:68" s="56" customFormat="1" ht="13.5" hidden="1">
      <c r="A1842" s="204" t="str">
        <f>+IFERROR(VALUE(MID(AB1842,4,4)),"")</f>
        <v/>
      </c>
      <c r="B1842" s="204">
        <f>VALUE(RIGHT(C1842,LEN(C1842)-2))</f>
        <v>883</v>
      </c>
      <c r="C1842" s="74" t="s">
        <v>6488</v>
      </c>
      <c r="D1842" s="75">
        <v>43250</v>
      </c>
      <c r="E1842" s="70" t="s">
        <v>4664</v>
      </c>
      <c r="F1842" s="70" t="s">
        <v>479</v>
      </c>
      <c r="G1842" s="68"/>
      <c r="H1842" s="59"/>
      <c r="I1842" s="162" t="s">
        <v>6489</v>
      </c>
      <c r="J1842" s="162"/>
      <c r="K1842" s="68" t="s">
        <v>13</v>
      </c>
      <c r="L1842" s="69" t="s">
        <v>120</v>
      </c>
      <c r="M1842" s="71" t="s">
        <v>113</v>
      </c>
      <c r="N1842" s="69" t="e" vm="2">
        <v>#VALUE!</v>
      </c>
      <c r="O1842" s="164"/>
      <c r="P1842" s="72" t="s">
        <v>402</v>
      </c>
      <c r="Q1842" s="72"/>
      <c r="R1842" s="162"/>
      <c r="S1842" s="146"/>
      <c r="T1842" s="68" t="s">
        <v>155</v>
      </c>
      <c r="U1842" s="87"/>
      <c r="V1842" s="183"/>
      <c r="W1842" s="73"/>
      <c r="X1842" s="73"/>
      <c r="Y1842" s="83" t="str">
        <f>IF(SUM(W1842:W1842)&gt;0,X1842/SUM(W1842:W1842)*1000000,"N/A")</f>
        <v>N/A</v>
      </c>
      <c r="Z1842" s="183"/>
      <c r="AA1842" s="183"/>
      <c r="AB1842" s="73"/>
      <c r="AC1842" s="153"/>
      <c r="AD1842" s="331"/>
      <c r="AE1842" s="57"/>
      <c r="AF1842" s="88"/>
      <c r="AG1842" s="182">
        <f>YEAR(D1842)</f>
        <v>2018</v>
      </c>
      <c r="AH1842" s="86" t="str">
        <f>+IF(AE1842=$AJ$22,MONTH(T1842),"")</f>
        <v/>
      </c>
      <c r="AI1842" s="86" t="str">
        <f>+IF(AF1842=$AJ$22,MONTH(U1842),"")</f>
        <v/>
      </c>
      <c r="AJ1842" s="86" t="str">
        <f>+IF(AG1842=$AJ$22,MONTH(V1842),"")</f>
        <v/>
      </c>
      <c r="AK1842" s="86" t="str">
        <f>+IF(AG1842=$AK$22,MONTH(V1842),"")</f>
        <v/>
      </c>
      <c r="AL1842" s="86" t="str">
        <f>+IF(AG1842=$AL$22,MONTH(V1842),"")</f>
        <v/>
      </c>
      <c r="AM1842" s="86" t="str">
        <f>+IF($AG1842=$AM$22,MONTH($D1842),"")</f>
        <v/>
      </c>
      <c r="AN1842" s="89" t="str">
        <f>+IF($AG1842=AN$22,MONTH($D1842),"")</f>
        <v/>
      </c>
      <c r="AO1842" s="86" t="str">
        <f>+IF($AG1842=AO$22,MONTH($D1842),"")</f>
        <v/>
      </c>
      <c r="AP1842" s="86">
        <f>+IF($AG1842=AP$22,MONTH($D1842),"")</f>
        <v>5</v>
      </c>
      <c r="AQ1842" s="86" t="str">
        <f>+IF($AG1842=AQ$22,MONTH($D1842),"")</f>
        <v/>
      </c>
      <c r="AR1842" s="86" t="str">
        <f>+IF($AG1842=AR$22,MONTH($D1842),"")</f>
        <v/>
      </c>
      <c r="AS1842" s="86" t="str">
        <f>+IF($AG1842=AS$22,MONTH($D1842),"")</f>
        <v/>
      </c>
      <c r="AT1842" s="86" t="str">
        <f>+IF($AG1842=AT$22,MONTH($D1842),"")</f>
        <v/>
      </c>
      <c r="AU1842" s="86" t="str">
        <f>+IF($AG1842=AU$22,MONTH($D1842),"")</f>
        <v/>
      </c>
      <c r="AV1842" s="86" t="str">
        <f>+IF($AG1842=AV$22,MONTH($D1842),"")</f>
        <v/>
      </c>
      <c r="AW1842" s="86" t="str">
        <f>+IF($AG1842=AW$22,MONTH($D1842),"")</f>
        <v/>
      </c>
      <c r="AX1842" s="86" t="str">
        <f>+IF($AG1842=AX$22,MONTH($D1842),"")</f>
        <v/>
      </c>
      <c r="AY1842" s="182"/>
      <c r="AZ1842" s="182"/>
      <c r="BA1842" s="182"/>
      <c r="BB1842" s="182"/>
      <c r="BC1842" s="182"/>
      <c r="BD1842" s="182"/>
      <c r="BE1842" s="182"/>
      <c r="BF1842" s="182"/>
      <c r="BG1842" s="182"/>
      <c r="BH1842" s="182"/>
      <c r="BI1842" s="182"/>
      <c r="BJ1842" s="89"/>
      <c r="BK1842" s="89"/>
      <c r="BL1842" s="89"/>
      <c r="BM1842" s="89"/>
      <c r="BN1842" s="89"/>
      <c r="BO1842" s="89"/>
      <c r="BP1842" s="89"/>
    </row>
    <row r="1843" spans="1:68" s="56" customFormat="1" ht="13.5" hidden="1">
      <c r="A1843" s="204">
        <f>+IFERROR(VALUE(MID(AB1843,4,4)),"")</f>
        <v>166</v>
      </c>
      <c r="B1843" s="204">
        <f>VALUE(RIGHT(C1843,LEN(C1843)-2))</f>
        <v>882</v>
      </c>
      <c r="C1843" s="74" t="s">
        <v>6490</v>
      </c>
      <c r="D1843" s="75">
        <v>43249</v>
      </c>
      <c r="E1843" s="70" t="s">
        <v>52</v>
      </c>
      <c r="F1843" s="70" t="s">
        <v>52</v>
      </c>
      <c r="G1843" s="68" t="s">
        <v>6491</v>
      </c>
      <c r="H1843" s="59"/>
      <c r="I1843" s="162" t="s">
        <v>6492</v>
      </c>
      <c r="J1843" s="162"/>
      <c r="K1843" s="68" t="s">
        <v>9</v>
      </c>
      <c r="L1843" s="69" t="s">
        <v>120</v>
      </c>
      <c r="M1843" s="71" t="s">
        <v>113</v>
      </c>
      <c r="N1843" s="69" t="e" vm="4">
        <v>#VALUE!</v>
      </c>
      <c r="O1843" s="164"/>
      <c r="P1843" s="72" t="s">
        <v>402</v>
      </c>
      <c r="Q1843" s="72" t="s">
        <v>1097</v>
      </c>
      <c r="R1843" s="162"/>
      <c r="S1843" s="146"/>
      <c r="T1843" s="68" t="s">
        <v>3</v>
      </c>
      <c r="U1843" s="87"/>
      <c r="V1843" s="183">
        <v>43250</v>
      </c>
      <c r="W1843" s="73">
        <v>70</v>
      </c>
      <c r="X1843" s="73">
        <f>15570*630/1000000</f>
        <v>9.8091000000000008</v>
      </c>
      <c r="Y1843" s="83">
        <f>IF(SUM(W1843:W1843)&gt;0,X1843/SUM(W1843:W1843)*1000000,"N/A")</f>
        <v>140130</v>
      </c>
      <c r="Z1843" s="183"/>
      <c r="AA1843" s="183"/>
      <c r="AB1843" s="73" t="s">
        <v>6493</v>
      </c>
      <c r="AC1843" s="153"/>
      <c r="AD1843" s="331"/>
      <c r="AE1843" s="57"/>
      <c r="AF1843" s="88"/>
      <c r="AG1843" s="182">
        <f>YEAR(D1843)</f>
        <v>2018</v>
      </c>
      <c r="AH1843" s="86" t="str">
        <f>+IF(AE1843=$AJ$22,MONTH(T1843),"")</f>
        <v/>
      </c>
      <c r="AI1843" s="86" t="str">
        <f>+IF(AF1843=$AJ$22,MONTH(U1843),"")</f>
        <v/>
      </c>
      <c r="AJ1843" s="86" t="str">
        <f>+IF(AG1843=$AJ$22,MONTH(V1843),"")</f>
        <v/>
      </c>
      <c r="AK1843" s="86" t="str">
        <f>+IF(AG1843=$AK$22,MONTH(V1843),"")</f>
        <v/>
      </c>
      <c r="AL1843" s="86" t="str">
        <f>+IF(AG1843=$AL$22,MONTH(V1843),"")</f>
        <v/>
      </c>
      <c r="AM1843" s="86" t="str">
        <f>+IF($AG1843=$AM$22,MONTH($D1843),"")</f>
        <v/>
      </c>
      <c r="AN1843" s="89" t="str">
        <f>+IF($AG1843=AN$22,MONTH($D1843),"")</f>
        <v/>
      </c>
      <c r="AO1843" s="86" t="str">
        <f>+IF($AG1843=AO$22,MONTH($D1843),"")</f>
        <v/>
      </c>
      <c r="AP1843" s="86">
        <f>+IF($AG1843=AP$22,MONTH($D1843),"")</f>
        <v>5</v>
      </c>
      <c r="AQ1843" s="86" t="str">
        <f>+IF($AG1843=AQ$22,MONTH($D1843),"")</f>
        <v/>
      </c>
      <c r="AR1843" s="86" t="str">
        <f>+IF($AG1843=AR$22,MONTH($D1843),"")</f>
        <v/>
      </c>
      <c r="AS1843" s="86" t="str">
        <f>+IF($AG1843=AS$22,MONTH($D1843),"")</f>
        <v/>
      </c>
      <c r="AT1843" s="86" t="str">
        <f>+IF($AG1843=AT$22,MONTH($D1843),"")</f>
        <v/>
      </c>
      <c r="AU1843" s="86" t="str">
        <f>+IF($AG1843=AU$22,MONTH($D1843),"")</f>
        <v/>
      </c>
      <c r="AV1843" s="86" t="str">
        <f>+IF($AG1843=AV$22,MONTH($D1843),"")</f>
        <v/>
      </c>
      <c r="AW1843" s="86" t="str">
        <f>+IF($AG1843=AW$22,MONTH($D1843),"")</f>
        <v/>
      </c>
      <c r="AX1843" s="86" t="str">
        <f>+IF($AG1843=AX$22,MONTH($D1843),"")</f>
        <v/>
      </c>
      <c r="AY1843" s="182"/>
      <c r="AZ1843" s="182"/>
      <c r="BA1843" s="182"/>
      <c r="BB1843" s="182"/>
      <c r="BC1843" s="182"/>
      <c r="BD1843" s="182"/>
      <c r="BE1843" s="182"/>
      <c r="BF1843" s="182"/>
      <c r="BG1843" s="182"/>
      <c r="BH1843" s="182"/>
      <c r="BI1843" s="182"/>
      <c r="BJ1843" s="89"/>
      <c r="BK1843" s="89"/>
      <c r="BL1843" s="89"/>
      <c r="BM1843" s="89"/>
      <c r="BN1843" s="89"/>
      <c r="BO1843" s="89"/>
      <c r="BP1843" s="89"/>
    </row>
    <row r="1844" spans="1:68" s="56" customFormat="1" ht="67.5" hidden="1">
      <c r="A1844" s="204" t="str">
        <f>+IFERROR(VALUE(MID(AB1844,4,4)),"")</f>
        <v/>
      </c>
      <c r="B1844" s="204">
        <f>VALUE(RIGHT(C1844,LEN(C1844)-2))</f>
        <v>881</v>
      </c>
      <c r="C1844" s="74" t="s">
        <v>6494</v>
      </c>
      <c r="D1844" s="75">
        <v>43248</v>
      </c>
      <c r="E1844" s="70" t="s">
        <v>848</v>
      </c>
      <c r="F1844" s="70" t="s">
        <v>848</v>
      </c>
      <c r="G1844" s="68"/>
      <c r="H1844" s="59"/>
      <c r="I1844" s="162" t="s">
        <v>6495</v>
      </c>
      <c r="J1844" s="162"/>
      <c r="K1844" s="68" t="s">
        <v>42</v>
      </c>
      <c r="L1844" s="69" t="s">
        <v>123</v>
      </c>
      <c r="M1844" s="71" t="s">
        <v>141</v>
      </c>
      <c r="N1844" s="69" t="e" vm="1">
        <v>#VALUE!</v>
      </c>
      <c r="O1844" s="164"/>
      <c r="P1844" s="72" t="s">
        <v>402</v>
      </c>
      <c r="Q1844" s="72"/>
      <c r="R1844" s="162"/>
      <c r="S1844" s="146" t="s">
        <v>6496</v>
      </c>
      <c r="T1844" s="68" t="s">
        <v>165</v>
      </c>
      <c r="U1844" s="87"/>
      <c r="V1844" s="183">
        <v>43249</v>
      </c>
      <c r="W1844" s="73">
        <v>1</v>
      </c>
      <c r="X1844" s="73"/>
      <c r="Y1844" s="83">
        <f>IF(SUM(W1844:W1844)&gt;0,X1844/SUM(W1844:W1844)*1000000,"N/A")</f>
        <v>0</v>
      </c>
      <c r="Z1844" s="183"/>
      <c r="AA1844" s="183"/>
      <c r="AB1844" s="73"/>
      <c r="AC1844" s="153"/>
      <c r="AD1844" s="331"/>
      <c r="AE1844" s="57"/>
      <c r="AF1844" s="88"/>
      <c r="AG1844" s="182">
        <f>YEAR(D1844)</f>
        <v>2018</v>
      </c>
      <c r="AH1844" s="86" t="str">
        <f>+IF(AE1844=$AJ$22,MONTH(T1844),"")</f>
        <v/>
      </c>
      <c r="AI1844" s="86" t="str">
        <f>+IF(AF1844=$AJ$22,MONTH(U1844),"")</f>
        <v/>
      </c>
      <c r="AJ1844" s="86" t="str">
        <f>+IF(AG1844=$AJ$22,MONTH(V1844),"")</f>
        <v/>
      </c>
      <c r="AK1844" s="86" t="str">
        <f>+IF(AG1844=$AK$22,MONTH(V1844),"")</f>
        <v/>
      </c>
      <c r="AL1844" s="86" t="str">
        <f>+IF(AG1844=$AL$22,MONTH(V1844),"")</f>
        <v/>
      </c>
      <c r="AM1844" s="86" t="str">
        <f>+IF($AG1844=$AM$22,MONTH($D1844),"")</f>
        <v/>
      </c>
      <c r="AN1844" s="89" t="str">
        <f>+IF($AG1844=AN$22,MONTH($D1844),"")</f>
        <v/>
      </c>
      <c r="AO1844" s="86" t="str">
        <f>+IF($AG1844=AO$22,MONTH($D1844),"")</f>
        <v/>
      </c>
      <c r="AP1844" s="86">
        <f>+IF($AG1844=AP$22,MONTH($D1844),"")</f>
        <v>5</v>
      </c>
      <c r="AQ1844" s="86" t="str">
        <f>+IF($AG1844=AQ$22,MONTH($D1844),"")</f>
        <v/>
      </c>
      <c r="AR1844" s="86" t="str">
        <f>+IF($AG1844=AR$22,MONTH($D1844),"")</f>
        <v/>
      </c>
      <c r="AS1844" s="86" t="str">
        <f>+IF($AG1844=AS$22,MONTH($D1844),"")</f>
        <v/>
      </c>
      <c r="AT1844" s="86" t="str">
        <f>+IF($AG1844=AT$22,MONTH($D1844),"")</f>
        <v/>
      </c>
      <c r="AU1844" s="86" t="str">
        <f>+IF($AG1844=AU$22,MONTH($D1844),"")</f>
        <v/>
      </c>
      <c r="AV1844" s="86" t="str">
        <f>+IF($AG1844=AV$22,MONTH($D1844),"")</f>
        <v/>
      </c>
      <c r="AW1844" s="86" t="str">
        <f>+IF($AG1844=AW$22,MONTH($D1844),"")</f>
        <v/>
      </c>
      <c r="AX1844" s="86" t="str">
        <f>+IF($AG1844=AX$22,MONTH($D1844),"")</f>
        <v/>
      </c>
      <c r="AY1844" s="182"/>
      <c r="AZ1844" s="182"/>
      <c r="BA1844" s="182"/>
      <c r="BB1844" s="182"/>
      <c r="BC1844" s="182"/>
      <c r="BD1844" s="182"/>
      <c r="BE1844" s="182"/>
      <c r="BF1844" s="182"/>
      <c r="BG1844" s="182"/>
      <c r="BH1844" s="182"/>
      <c r="BI1844" s="182"/>
      <c r="BJ1844" s="89"/>
      <c r="BK1844" s="89"/>
      <c r="BL1844" s="89"/>
      <c r="BM1844" s="89"/>
      <c r="BN1844" s="89"/>
      <c r="BO1844" s="89"/>
      <c r="BP1844" s="89"/>
    </row>
    <row r="1845" spans="1:68" s="56" customFormat="1" ht="13.5" hidden="1">
      <c r="A1845" s="204">
        <f>+IFERROR(VALUE(MID(AB1845,4,4)),"")</f>
        <v>190</v>
      </c>
      <c r="B1845" s="204">
        <f>VALUE(RIGHT(C1845,LEN(C1845)-2))</f>
        <v>880</v>
      </c>
      <c r="C1845" s="74" t="s">
        <v>6497</v>
      </c>
      <c r="D1845" s="75">
        <v>43249</v>
      </c>
      <c r="E1845" s="70" t="s">
        <v>4114</v>
      </c>
      <c r="F1845" s="70" t="s">
        <v>4114</v>
      </c>
      <c r="G1845" s="68" t="s">
        <v>2255</v>
      </c>
      <c r="H1845" s="59" t="s">
        <v>6498</v>
      </c>
      <c r="I1845" s="162" t="s">
        <v>6499</v>
      </c>
      <c r="J1845" s="162"/>
      <c r="K1845" s="68" t="s">
        <v>13</v>
      </c>
      <c r="L1845" s="69" t="s">
        <v>120</v>
      </c>
      <c r="M1845" s="71" t="s">
        <v>141</v>
      </c>
      <c r="N1845" s="69" t="e" vm="1">
        <v>#VALUE!</v>
      </c>
      <c r="O1845" s="164"/>
      <c r="P1845" s="72" t="s">
        <v>402</v>
      </c>
      <c r="Q1845" s="72" t="s">
        <v>229</v>
      </c>
      <c r="R1845" s="162"/>
      <c r="S1845" s="146"/>
      <c r="T1845" s="68" t="s">
        <v>3</v>
      </c>
      <c r="U1845" s="87"/>
      <c r="V1845" s="183">
        <v>43249</v>
      </c>
      <c r="W1845" s="73">
        <v>630</v>
      </c>
      <c r="X1845" s="73">
        <f>1308*27000/1000000</f>
        <v>35.316000000000003</v>
      </c>
      <c r="Y1845" s="83">
        <f>IF(SUM(W1845:W1845)&gt;0,X1845/SUM(W1845:W1845)*1000000,"N/A")</f>
        <v>56057.142857142862</v>
      </c>
      <c r="Z1845" s="183"/>
      <c r="AA1845" s="183"/>
      <c r="AB1845" s="73" t="s">
        <v>6500</v>
      </c>
      <c r="AC1845" s="153"/>
      <c r="AD1845" s="331"/>
      <c r="AE1845" s="57"/>
      <c r="AF1845" s="88"/>
      <c r="AG1845" s="182">
        <f>YEAR(D1845)</f>
        <v>2018</v>
      </c>
      <c r="AH1845" s="86" t="str">
        <f>+IF(AE1845=$AJ$22,MONTH(T1845),"")</f>
        <v/>
      </c>
      <c r="AI1845" s="86" t="str">
        <f>+IF(AF1845=$AJ$22,MONTH(U1845),"")</f>
        <v/>
      </c>
      <c r="AJ1845" s="86" t="str">
        <f>+IF(AG1845=$AJ$22,MONTH(V1845),"")</f>
        <v/>
      </c>
      <c r="AK1845" s="86" t="str">
        <f>+IF(AG1845=$AK$22,MONTH(V1845),"")</f>
        <v/>
      </c>
      <c r="AL1845" s="86" t="str">
        <f>+IF(AG1845=$AL$22,MONTH(V1845),"")</f>
        <v/>
      </c>
      <c r="AM1845" s="86" t="str">
        <f>+IF($AG1845=$AM$22,MONTH($D1845),"")</f>
        <v/>
      </c>
      <c r="AN1845" s="89" t="str">
        <f>+IF($AG1845=AN$22,MONTH($D1845),"")</f>
        <v/>
      </c>
      <c r="AO1845" s="86" t="str">
        <f>+IF($AG1845=AO$22,MONTH($D1845),"")</f>
        <v/>
      </c>
      <c r="AP1845" s="86">
        <f>+IF($AG1845=AP$22,MONTH($D1845),"")</f>
        <v>5</v>
      </c>
      <c r="AQ1845" s="86" t="str">
        <f>+IF($AG1845=AQ$22,MONTH($D1845),"")</f>
        <v/>
      </c>
      <c r="AR1845" s="86" t="str">
        <f>+IF($AG1845=AR$22,MONTH($D1845),"")</f>
        <v/>
      </c>
      <c r="AS1845" s="86" t="str">
        <f>+IF($AG1845=AS$22,MONTH($D1845),"")</f>
        <v/>
      </c>
      <c r="AT1845" s="86" t="str">
        <f>+IF($AG1845=AT$22,MONTH($D1845),"")</f>
        <v/>
      </c>
      <c r="AU1845" s="86" t="str">
        <f>+IF($AG1845=AU$22,MONTH($D1845),"")</f>
        <v/>
      </c>
      <c r="AV1845" s="86" t="str">
        <f>+IF($AG1845=AV$22,MONTH($D1845),"")</f>
        <v/>
      </c>
      <c r="AW1845" s="86" t="str">
        <f>+IF($AG1845=AW$22,MONTH($D1845),"")</f>
        <v/>
      </c>
      <c r="AX1845" s="86" t="str">
        <f>+IF($AG1845=AX$22,MONTH($D1845),"")</f>
        <v/>
      </c>
      <c r="AY1845" s="182"/>
      <c r="AZ1845" s="182"/>
      <c r="BA1845" s="182"/>
      <c r="BB1845" s="182"/>
      <c r="BC1845" s="182"/>
      <c r="BD1845" s="182"/>
      <c r="BE1845" s="182"/>
      <c r="BF1845" s="182"/>
      <c r="BG1845" s="182"/>
      <c r="BH1845" s="182"/>
      <c r="BI1845" s="182"/>
      <c r="BJ1845" s="89"/>
      <c r="BK1845" s="89"/>
      <c r="BL1845" s="89"/>
      <c r="BM1845" s="89"/>
      <c r="BN1845" s="89"/>
      <c r="BO1845" s="89"/>
      <c r="BP1845" s="89"/>
    </row>
    <row r="1846" spans="1:68" s="56" customFormat="1" ht="27" hidden="1">
      <c r="A1846" s="204" t="str">
        <f>+IFERROR(VALUE(MID(AB1846,4,4)),"")</f>
        <v/>
      </c>
      <c r="B1846" s="204">
        <f>VALUE(RIGHT(C1846,LEN(C1846)-2))</f>
        <v>879</v>
      </c>
      <c r="C1846" s="74" t="s">
        <v>6501</v>
      </c>
      <c r="D1846" s="75">
        <v>43245</v>
      </c>
      <c r="E1846" s="70" t="s">
        <v>346</v>
      </c>
      <c r="F1846" s="70" t="s">
        <v>346</v>
      </c>
      <c r="G1846" s="68" t="s">
        <v>6502</v>
      </c>
      <c r="H1846" s="59" t="s">
        <v>6503</v>
      </c>
      <c r="I1846" s="162" t="s">
        <v>6504</v>
      </c>
      <c r="J1846" s="162"/>
      <c r="K1846" s="68" t="s">
        <v>12</v>
      </c>
      <c r="L1846" s="69" t="s">
        <v>123</v>
      </c>
      <c r="M1846" s="71" t="s">
        <v>141</v>
      </c>
      <c r="N1846" s="69" t="e" vm="1">
        <v>#VALUE!</v>
      </c>
      <c r="O1846" s="164"/>
      <c r="P1846" s="72" t="s">
        <v>4567</v>
      </c>
      <c r="Q1846" s="72"/>
      <c r="R1846" s="162"/>
      <c r="S1846" s="146"/>
      <c r="T1846" s="68" t="s">
        <v>165</v>
      </c>
      <c r="U1846" s="87"/>
      <c r="V1846" s="183">
        <v>43269</v>
      </c>
      <c r="W1846" s="73">
        <v>1992</v>
      </c>
      <c r="X1846" s="73">
        <f>5700*640/1000000</f>
        <v>3.6480000000000001</v>
      </c>
      <c r="Y1846" s="83">
        <f>IF(SUM(W1846:W1846)&gt;0,X1846/SUM(W1846:W1846)*1000000,"N/A")</f>
        <v>1831.3253012048192</v>
      </c>
      <c r="Z1846" s="183"/>
      <c r="AA1846" s="183"/>
      <c r="AB1846" s="73"/>
      <c r="AC1846" s="153"/>
      <c r="AD1846" s="331"/>
      <c r="AE1846" s="57"/>
      <c r="AF1846" s="88"/>
      <c r="AG1846" s="182">
        <f>YEAR(D1846)</f>
        <v>2018</v>
      </c>
      <c r="AH1846" s="86" t="str">
        <f>+IF(AE1846=$AJ$22,MONTH(T1846),"")</f>
        <v/>
      </c>
      <c r="AI1846" s="86" t="str">
        <f>+IF(AF1846=$AJ$22,MONTH(U1846),"")</f>
        <v/>
      </c>
      <c r="AJ1846" s="86" t="str">
        <f>+IF(AG1846=$AJ$22,MONTH(V1846),"")</f>
        <v/>
      </c>
      <c r="AK1846" s="86" t="str">
        <f>+IF(AG1846=$AK$22,MONTH(V1846),"")</f>
        <v/>
      </c>
      <c r="AL1846" s="86" t="str">
        <f>+IF(AG1846=$AL$22,MONTH(V1846),"")</f>
        <v/>
      </c>
      <c r="AM1846" s="86" t="str">
        <f>+IF($AG1846=$AM$22,MONTH($D1846),"")</f>
        <v/>
      </c>
      <c r="AN1846" s="89" t="str">
        <f>+IF($AG1846=AN$22,MONTH($D1846),"")</f>
        <v/>
      </c>
      <c r="AO1846" s="86" t="str">
        <f>+IF($AG1846=AO$22,MONTH($D1846),"")</f>
        <v/>
      </c>
      <c r="AP1846" s="86">
        <f>+IF($AG1846=AP$22,MONTH($D1846),"")</f>
        <v>5</v>
      </c>
      <c r="AQ1846" s="86" t="str">
        <f>+IF($AG1846=AQ$22,MONTH($D1846),"")</f>
        <v/>
      </c>
      <c r="AR1846" s="86" t="str">
        <f>+IF($AG1846=AR$22,MONTH($D1846),"")</f>
        <v/>
      </c>
      <c r="AS1846" s="86" t="str">
        <f>+IF($AG1846=AS$22,MONTH($D1846),"")</f>
        <v/>
      </c>
      <c r="AT1846" s="86" t="str">
        <f>+IF($AG1846=AT$22,MONTH($D1846),"")</f>
        <v/>
      </c>
      <c r="AU1846" s="86" t="str">
        <f>+IF($AG1846=AU$22,MONTH($D1846),"")</f>
        <v/>
      </c>
      <c r="AV1846" s="86" t="str">
        <f>+IF($AG1846=AV$22,MONTH($D1846),"")</f>
        <v/>
      </c>
      <c r="AW1846" s="86" t="str">
        <f>+IF($AG1846=AW$22,MONTH($D1846),"")</f>
        <v/>
      </c>
      <c r="AX1846" s="86" t="str">
        <f>+IF($AG1846=AX$22,MONTH($D1846),"")</f>
        <v/>
      </c>
      <c r="AY1846" s="182"/>
      <c r="AZ1846" s="182"/>
      <c r="BA1846" s="182"/>
      <c r="BB1846" s="182"/>
      <c r="BC1846" s="182"/>
      <c r="BD1846" s="182"/>
      <c r="BE1846" s="182"/>
      <c r="BF1846" s="182"/>
      <c r="BG1846" s="182"/>
      <c r="BH1846" s="182"/>
      <c r="BI1846" s="182"/>
      <c r="BJ1846" s="89"/>
      <c r="BK1846" s="89"/>
      <c r="BL1846" s="89"/>
      <c r="BM1846" s="89"/>
      <c r="BN1846" s="89"/>
      <c r="BO1846" s="89"/>
      <c r="BP1846" s="89"/>
    </row>
    <row r="1847" spans="1:68" s="56" customFormat="1" ht="27" hidden="1">
      <c r="A1847" s="204" t="str">
        <f>+IFERROR(VALUE(MID(AB1847,4,4)),"")</f>
        <v/>
      </c>
      <c r="B1847" s="204">
        <f>VALUE(RIGHT(C1847,LEN(C1847)-2))</f>
        <v>878</v>
      </c>
      <c r="C1847" s="74" t="s">
        <v>6505</v>
      </c>
      <c r="D1847" s="75">
        <v>43277</v>
      </c>
      <c r="E1847" s="70" t="s">
        <v>346</v>
      </c>
      <c r="F1847" s="70" t="s">
        <v>346</v>
      </c>
      <c r="G1847" s="68" t="s">
        <v>6502</v>
      </c>
      <c r="H1847" s="59" t="s">
        <v>6503</v>
      </c>
      <c r="I1847" s="162" t="s">
        <v>6506</v>
      </c>
      <c r="J1847" s="162"/>
      <c r="K1847" s="68" t="s">
        <v>13</v>
      </c>
      <c r="L1847" s="69" t="s">
        <v>123</v>
      </c>
      <c r="M1847" s="71" t="s">
        <v>141</v>
      </c>
      <c r="N1847" s="69" t="e" vm="1">
        <v>#VALUE!</v>
      </c>
      <c r="O1847" s="164"/>
      <c r="P1847" s="72" t="s">
        <v>402</v>
      </c>
      <c r="Q1847" s="72"/>
      <c r="R1847" s="162"/>
      <c r="S1847" s="146" t="s">
        <v>6507</v>
      </c>
      <c r="T1847" s="68" t="s">
        <v>155</v>
      </c>
      <c r="U1847" s="87"/>
      <c r="V1847" s="183">
        <v>43270</v>
      </c>
      <c r="W1847" s="73">
        <f>2565+5979</f>
        <v>8544</v>
      </c>
      <c r="X1847" s="73">
        <f>222.81455+118.8673</f>
        <v>341.68185</v>
      </c>
      <c r="Y1847" s="83">
        <f>IF(SUM(W1847:W1847)&gt;0,X1847/SUM(W1847:W1847)*1000000,"N/A")</f>
        <v>39990.853230337074</v>
      </c>
      <c r="Z1847" s="183"/>
      <c r="AA1847" s="183"/>
      <c r="AB1847" s="73"/>
      <c r="AC1847" s="153"/>
      <c r="AD1847" s="331"/>
      <c r="AE1847" s="57"/>
      <c r="AF1847" s="88"/>
      <c r="AG1847" s="182">
        <f>YEAR(D1847)</f>
        <v>2018</v>
      </c>
      <c r="AH1847" s="86" t="str">
        <f>+IF(AE1847=$AJ$22,MONTH(T1847),"")</f>
        <v/>
      </c>
      <c r="AI1847" s="86" t="str">
        <f>+IF(AF1847=$AJ$22,MONTH(U1847),"")</f>
        <v/>
      </c>
      <c r="AJ1847" s="86" t="str">
        <f>+IF(AG1847=$AJ$22,MONTH(V1847),"")</f>
        <v/>
      </c>
      <c r="AK1847" s="86" t="str">
        <f>+IF(AG1847=$AK$22,MONTH(V1847),"")</f>
        <v/>
      </c>
      <c r="AL1847" s="86" t="str">
        <f>+IF(AG1847=$AL$22,MONTH(V1847),"")</f>
        <v/>
      </c>
      <c r="AM1847" s="86" t="str">
        <f>+IF($AG1847=$AM$22,MONTH($D1847),"")</f>
        <v/>
      </c>
      <c r="AN1847" s="89" t="str">
        <f>+IF($AG1847=AN$22,MONTH($D1847),"")</f>
        <v/>
      </c>
      <c r="AO1847" s="86" t="str">
        <f>+IF($AG1847=AO$22,MONTH($D1847),"")</f>
        <v/>
      </c>
      <c r="AP1847" s="86">
        <f>+IF($AG1847=AP$22,MONTH($D1847),"")</f>
        <v>6</v>
      </c>
      <c r="AQ1847" s="86" t="str">
        <f>+IF($AG1847=AQ$22,MONTH($D1847),"")</f>
        <v/>
      </c>
      <c r="AR1847" s="86" t="str">
        <f>+IF($AG1847=AR$22,MONTH($D1847),"")</f>
        <v/>
      </c>
      <c r="AS1847" s="86" t="str">
        <f>+IF($AG1847=AS$22,MONTH($D1847),"")</f>
        <v/>
      </c>
      <c r="AT1847" s="86" t="str">
        <f>+IF($AG1847=AT$22,MONTH($D1847),"")</f>
        <v/>
      </c>
      <c r="AU1847" s="86" t="str">
        <f>+IF($AG1847=AU$22,MONTH($D1847),"")</f>
        <v/>
      </c>
      <c r="AV1847" s="86" t="str">
        <f>+IF($AG1847=AV$22,MONTH($D1847),"")</f>
        <v/>
      </c>
      <c r="AW1847" s="86" t="str">
        <f>+IF($AG1847=AW$22,MONTH($D1847),"")</f>
        <v/>
      </c>
      <c r="AX1847" s="86" t="str">
        <f>+IF($AG1847=AX$22,MONTH($D1847),"")</f>
        <v/>
      </c>
      <c r="AY1847" s="182"/>
      <c r="AZ1847" s="182"/>
      <c r="BA1847" s="182"/>
      <c r="BB1847" s="182"/>
      <c r="BC1847" s="182"/>
      <c r="BD1847" s="182"/>
      <c r="BE1847" s="182"/>
      <c r="BF1847" s="182"/>
      <c r="BG1847" s="182"/>
      <c r="BH1847" s="182"/>
      <c r="BI1847" s="182"/>
      <c r="BJ1847" s="89"/>
      <c r="BK1847" s="89"/>
      <c r="BL1847" s="89"/>
      <c r="BM1847" s="89"/>
      <c r="BN1847" s="89"/>
      <c r="BO1847" s="89"/>
      <c r="BP1847" s="89"/>
    </row>
    <row r="1848" spans="1:68" s="56" customFormat="1" ht="27" hidden="1">
      <c r="A1848" s="204">
        <f>+IFERROR(VALUE(MID(AB1848,4,4)),"")</f>
        <v>158</v>
      </c>
      <c r="B1848" s="204">
        <f>VALUE(RIGHT(C1848,LEN(C1848)-2))</f>
        <v>877</v>
      </c>
      <c r="C1848" s="74" t="s">
        <v>6508</v>
      </c>
      <c r="D1848" s="75">
        <v>43250</v>
      </c>
      <c r="E1848" s="70" t="s">
        <v>41</v>
      </c>
      <c r="F1848" s="70" t="s">
        <v>41</v>
      </c>
      <c r="G1848" s="68" t="s">
        <v>6470</v>
      </c>
      <c r="H1848" s="59" t="s">
        <v>6471</v>
      </c>
      <c r="I1848" s="162" t="s">
        <v>6509</v>
      </c>
      <c r="J1848" s="162"/>
      <c r="K1848" s="68" t="s">
        <v>13</v>
      </c>
      <c r="L1848" s="69" t="s">
        <v>120</v>
      </c>
      <c r="M1848" s="71" t="s">
        <v>141</v>
      </c>
      <c r="N1848" s="69" t="e" vm="1">
        <v>#VALUE!</v>
      </c>
      <c r="O1848" s="164"/>
      <c r="P1848" s="72" t="s">
        <v>402</v>
      </c>
      <c r="Q1848" s="72" t="s">
        <v>1097</v>
      </c>
      <c r="R1848" s="162"/>
      <c r="S1848" s="146"/>
      <c r="T1848" s="68" t="s">
        <v>3</v>
      </c>
      <c r="U1848" s="87"/>
      <c r="V1848" s="183">
        <v>43250</v>
      </c>
      <c r="W1848" s="73">
        <v>731</v>
      </c>
      <c r="X1848" s="73">
        <f>690*27000/1000000</f>
        <v>18.63</v>
      </c>
      <c r="Y1848" s="83">
        <f>IF(SUM(W1848:W1848)&gt;0,X1848/SUM(W1848:W1848)*1000000,"N/A")</f>
        <v>25485.636114911078</v>
      </c>
      <c r="Z1848" s="183"/>
      <c r="AA1848" s="183"/>
      <c r="AB1848" s="73" t="s">
        <v>6510</v>
      </c>
      <c r="AC1848" s="153"/>
      <c r="AD1848" s="331"/>
      <c r="AE1848" s="57"/>
      <c r="AF1848" s="88"/>
      <c r="AG1848" s="182">
        <f>YEAR(D1848)</f>
        <v>2018</v>
      </c>
      <c r="AH1848" s="86" t="str">
        <f>+IF(AE1848=$AJ$22,MONTH(T1848),"")</f>
        <v/>
      </c>
      <c r="AI1848" s="86" t="str">
        <f>+IF(AF1848=$AJ$22,MONTH(U1848),"")</f>
        <v/>
      </c>
      <c r="AJ1848" s="86" t="str">
        <f>+IF(AG1848=$AJ$22,MONTH(V1848),"")</f>
        <v/>
      </c>
      <c r="AK1848" s="86" t="str">
        <f>+IF(AG1848=$AK$22,MONTH(V1848),"")</f>
        <v/>
      </c>
      <c r="AL1848" s="86" t="str">
        <f>+IF(AG1848=$AL$22,MONTH(V1848),"")</f>
        <v/>
      </c>
      <c r="AM1848" s="86" t="str">
        <f>+IF($AG1848=$AM$22,MONTH($D1848),"")</f>
        <v/>
      </c>
      <c r="AN1848" s="89" t="str">
        <f>+IF($AG1848=AN$22,MONTH($D1848),"")</f>
        <v/>
      </c>
      <c r="AO1848" s="86" t="str">
        <f>+IF($AG1848=AO$22,MONTH($D1848),"")</f>
        <v/>
      </c>
      <c r="AP1848" s="86">
        <f>+IF($AG1848=AP$22,MONTH($D1848),"")</f>
        <v>5</v>
      </c>
      <c r="AQ1848" s="86" t="str">
        <f>+IF($AG1848=AQ$22,MONTH($D1848),"")</f>
        <v/>
      </c>
      <c r="AR1848" s="86" t="str">
        <f>+IF($AG1848=AR$22,MONTH($D1848),"")</f>
        <v/>
      </c>
      <c r="AS1848" s="86" t="str">
        <f>+IF($AG1848=AS$22,MONTH($D1848),"")</f>
        <v/>
      </c>
      <c r="AT1848" s="86" t="str">
        <f>+IF($AG1848=AT$22,MONTH($D1848),"")</f>
        <v/>
      </c>
      <c r="AU1848" s="86" t="str">
        <f>+IF($AG1848=AU$22,MONTH($D1848),"")</f>
        <v/>
      </c>
      <c r="AV1848" s="86" t="str">
        <f>+IF($AG1848=AV$22,MONTH($D1848),"")</f>
        <v/>
      </c>
      <c r="AW1848" s="86" t="str">
        <f>+IF($AG1848=AW$22,MONTH($D1848),"")</f>
        <v/>
      </c>
      <c r="AX1848" s="86" t="str">
        <f>+IF($AG1848=AX$22,MONTH($D1848),"")</f>
        <v/>
      </c>
      <c r="AY1848" s="182"/>
      <c r="AZ1848" s="182"/>
      <c r="BA1848" s="182"/>
      <c r="BB1848" s="182"/>
      <c r="BC1848" s="182"/>
      <c r="BD1848" s="182"/>
      <c r="BE1848" s="182"/>
      <c r="BF1848" s="182"/>
      <c r="BG1848" s="182"/>
      <c r="BH1848" s="182"/>
      <c r="BI1848" s="182"/>
      <c r="BJ1848" s="89"/>
      <c r="BK1848" s="89"/>
      <c r="BL1848" s="89"/>
      <c r="BM1848" s="89"/>
      <c r="BN1848" s="89"/>
      <c r="BO1848" s="89"/>
      <c r="BP1848" s="89"/>
    </row>
    <row r="1849" spans="1:68" s="56" customFormat="1" ht="13.5" hidden="1">
      <c r="A1849" s="204" t="str">
        <f>+IFERROR(VALUE(MID(AB1849,4,4)),"")</f>
        <v/>
      </c>
      <c r="B1849" s="204">
        <f>VALUE(RIGHT(C1849,LEN(C1849)-2))</f>
        <v>876</v>
      </c>
      <c r="C1849" s="74" t="s">
        <v>6511</v>
      </c>
      <c r="D1849" s="75">
        <v>43242</v>
      </c>
      <c r="E1849" s="70" t="s">
        <v>4114</v>
      </c>
      <c r="F1849" s="70" t="s">
        <v>4114</v>
      </c>
      <c r="G1849" s="68" t="s">
        <v>2255</v>
      </c>
      <c r="H1849" s="59" t="s">
        <v>6498</v>
      </c>
      <c r="I1849" s="162" t="s">
        <v>6512</v>
      </c>
      <c r="J1849" s="162"/>
      <c r="K1849" s="68" t="s">
        <v>9</v>
      </c>
      <c r="L1849" s="69" t="s">
        <v>120</v>
      </c>
      <c r="M1849" s="71" t="s">
        <v>141</v>
      </c>
      <c r="N1849" s="69" t="e" vm="1">
        <v>#VALUE!</v>
      </c>
      <c r="O1849" s="164"/>
      <c r="P1849" s="72" t="s">
        <v>402</v>
      </c>
      <c r="Q1849" s="72"/>
      <c r="R1849" s="162"/>
      <c r="S1849" s="146"/>
      <c r="T1849" s="68" t="s">
        <v>155</v>
      </c>
      <c r="U1849" s="87"/>
      <c r="V1849" s="183"/>
      <c r="W1849" s="73"/>
      <c r="X1849" s="73"/>
      <c r="Y1849" s="83" t="str">
        <f>IF(SUM(W1849:W1849)&gt;0,X1849/SUM(W1849:W1849)*1000000,"N/A")</f>
        <v>N/A</v>
      </c>
      <c r="Z1849" s="183"/>
      <c r="AA1849" s="183"/>
      <c r="AB1849" s="73"/>
      <c r="AC1849" s="153"/>
      <c r="AD1849" s="331"/>
      <c r="AE1849" s="57"/>
      <c r="AF1849" s="88"/>
      <c r="AG1849" s="182">
        <f>YEAR(D1849)</f>
        <v>2018</v>
      </c>
      <c r="AH1849" s="86" t="str">
        <f>+IF(AE1849=$AJ$22,MONTH(T1849),"")</f>
        <v/>
      </c>
      <c r="AI1849" s="86" t="str">
        <f>+IF(AF1849=$AJ$22,MONTH(U1849),"")</f>
        <v/>
      </c>
      <c r="AJ1849" s="86" t="str">
        <f>+IF(AG1849=$AJ$22,MONTH(V1849),"")</f>
        <v/>
      </c>
      <c r="AK1849" s="86" t="str">
        <f>+IF(AG1849=$AK$22,MONTH(V1849),"")</f>
        <v/>
      </c>
      <c r="AL1849" s="86" t="str">
        <f>+IF(AG1849=$AL$22,MONTH(V1849),"")</f>
        <v/>
      </c>
      <c r="AM1849" s="86" t="str">
        <f>+IF($AG1849=$AM$22,MONTH($D1849),"")</f>
        <v/>
      </c>
      <c r="AN1849" s="89" t="str">
        <f>+IF($AG1849=AN$22,MONTH($D1849),"")</f>
        <v/>
      </c>
      <c r="AO1849" s="86" t="str">
        <f>+IF($AG1849=AO$22,MONTH($D1849),"")</f>
        <v/>
      </c>
      <c r="AP1849" s="86">
        <f>+IF($AG1849=AP$22,MONTH($D1849),"")</f>
        <v>5</v>
      </c>
      <c r="AQ1849" s="86" t="str">
        <f>+IF($AG1849=AQ$22,MONTH($D1849),"")</f>
        <v/>
      </c>
      <c r="AR1849" s="86" t="str">
        <f>+IF($AG1849=AR$22,MONTH($D1849),"")</f>
        <v/>
      </c>
      <c r="AS1849" s="86" t="str">
        <f>+IF($AG1849=AS$22,MONTH($D1849),"")</f>
        <v/>
      </c>
      <c r="AT1849" s="86" t="str">
        <f>+IF($AG1849=AT$22,MONTH($D1849),"")</f>
        <v/>
      </c>
      <c r="AU1849" s="86" t="str">
        <f>+IF($AG1849=AU$22,MONTH($D1849),"")</f>
        <v/>
      </c>
      <c r="AV1849" s="86" t="str">
        <f>+IF($AG1849=AV$22,MONTH($D1849),"")</f>
        <v/>
      </c>
      <c r="AW1849" s="86" t="str">
        <f>+IF($AG1849=AW$22,MONTH($D1849),"")</f>
        <v/>
      </c>
      <c r="AX1849" s="86" t="str">
        <f>+IF($AG1849=AX$22,MONTH($D1849),"")</f>
        <v/>
      </c>
      <c r="AY1849" s="182"/>
      <c r="AZ1849" s="182"/>
      <c r="BA1849" s="182"/>
      <c r="BB1849" s="182"/>
      <c r="BC1849" s="182"/>
      <c r="BD1849" s="182"/>
      <c r="BE1849" s="182"/>
      <c r="BF1849" s="182"/>
      <c r="BG1849" s="182"/>
      <c r="BH1849" s="182"/>
      <c r="BI1849" s="182"/>
      <c r="BJ1849" s="89"/>
      <c r="BK1849" s="89"/>
      <c r="BL1849" s="89"/>
      <c r="BM1849" s="89"/>
      <c r="BN1849" s="89"/>
      <c r="BO1849" s="89"/>
      <c r="BP1849" s="89"/>
    </row>
    <row r="1850" spans="1:68" s="56" customFormat="1" ht="13.5" hidden="1">
      <c r="A1850" s="204">
        <f>+IFERROR(VALUE(MID(AB1850,4,4)),"")</f>
        <v>189</v>
      </c>
      <c r="B1850" s="204">
        <f>VALUE(RIGHT(C1850,LEN(C1850)-2))</f>
        <v>875</v>
      </c>
      <c r="C1850" s="74" t="s">
        <v>6513</v>
      </c>
      <c r="D1850" s="75">
        <v>43242</v>
      </c>
      <c r="E1850" s="70" t="s">
        <v>4114</v>
      </c>
      <c r="F1850" s="70" t="s">
        <v>4114</v>
      </c>
      <c r="G1850" s="68" t="s">
        <v>2255</v>
      </c>
      <c r="H1850" s="59" t="s">
        <v>6498</v>
      </c>
      <c r="I1850" s="162" t="s">
        <v>6514</v>
      </c>
      <c r="J1850" s="162"/>
      <c r="K1850" s="68" t="s">
        <v>9</v>
      </c>
      <c r="L1850" s="69" t="s">
        <v>120</v>
      </c>
      <c r="M1850" s="71" t="s">
        <v>141</v>
      </c>
      <c r="N1850" s="69" t="e" vm="1">
        <v>#VALUE!</v>
      </c>
      <c r="O1850" s="164"/>
      <c r="P1850" s="72" t="s">
        <v>402</v>
      </c>
      <c r="Q1850" s="72" t="s">
        <v>229</v>
      </c>
      <c r="R1850" s="162"/>
      <c r="S1850" s="146"/>
      <c r="T1850" s="68" t="s">
        <v>3</v>
      </c>
      <c r="U1850" s="87"/>
      <c r="V1850" s="183">
        <v>43242</v>
      </c>
      <c r="W1850" s="73">
        <v>120</v>
      </c>
      <c r="X1850" s="73">
        <f>300*27000/1000000</f>
        <v>8.1</v>
      </c>
      <c r="Y1850" s="83">
        <f>IF(SUM(W1850:W1850)&gt;0,X1850/SUM(W1850:W1850)*1000000,"N/A")</f>
        <v>67499.999999999985</v>
      </c>
      <c r="Z1850" s="183"/>
      <c r="AA1850" s="183"/>
      <c r="AB1850" s="73" t="s">
        <v>6515</v>
      </c>
      <c r="AC1850" s="153"/>
      <c r="AD1850" s="331"/>
      <c r="AE1850" s="57"/>
      <c r="AF1850" s="88"/>
      <c r="AG1850" s="182">
        <f>YEAR(D1850)</f>
        <v>2018</v>
      </c>
      <c r="AH1850" s="86" t="str">
        <f>+IF(AE1850=$AJ$22,MONTH(T1850),"")</f>
        <v/>
      </c>
      <c r="AI1850" s="86" t="str">
        <f>+IF(AF1850=$AJ$22,MONTH(U1850),"")</f>
        <v/>
      </c>
      <c r="AJ1850" s="86" t="str">
        <f>+IF(AG1850=$AJ$22,MONTH(V1850),"")</f>
        <v/>
      </c>
      <c r="AK1850" s="86" t="str">
        <f>+IF(AG1850=$AK$22,MONTH(V1850),"")</f>
        <v/>
      </c>
      <c r="AL1850" s="86" t="str">
        <f>+IF(AG1850=$AL$22,MONTH(V1850),"")</f>
        <v/>
      </c>
      <c r="AM1850" s="86" t="str">
        <f>+IF($AG1850=$AM$22,MONTH($D1850),"")</f>
        <v/>
      </c>
      <c r="AN1850" s="89" t="str">
        <f>+IF($AG1850=AN$22,MONTH($D1850),"")</f>
        <v/>
      </c>
      <c r="AO1850" s="86" t="str">
        <f>+IF($AG1850=AO$22,MONTH($D1850),"")</f>
        <v/>
      </c>
      <c r="AP1850" s="86">
        <f>+IF($AG1850=AP$22,MONTH($D1850),"")</f>
        <v>5</v>
      </c>
      <c r="AQ1850" s="86" t="str">
        <f>+IF($AG1850=AQ$22,MONTH($D1850),"")</f>
        <v/>
      </c>
      <c r="AR1850" s="86" t="str">
        <f>+IF($AG1850=AR$22,MONTH($D1850),"")</f>
        <v/>
      </c>
      <c r="AS1850" s="86" t="str">
        <f>+IF($AG1850=AS$22,MONTH($D1850),"")</f>
        <v/>
      </c>
      <c r="AT1850" s="86" t="str">
        <f>+IF($AG1850=AT$22,MONTH($D1850),"")</f>
        <v/>
      </c>
      <c r="AU1850" s="86" t="str">
        <f>+IF($AG1850=AU$22,MONTH($D1850),"")</f>
        <v/>
      </c>
      <c r="AV1850" s="86" t="str">
        <f>+IF($AG1850=AV$22,MONTH($D1850),"")</f>
        <v/>
      </c>
      <c r="AW1850" s="86" t="str">
        <f>+IF($AG1850=AW$22,MONTH($D1850),"")</f>
        <v/>
      </c>
      <c r="AX1850" s="86" t="str">
        <f>+IF($AG1850=AX$22,MONTH($D1850),"")</f>
        <v/>
      </c>
      <c r="AY1850" s="182"/>
      <c r="AZ1850" s="182"/>
      <c r="BA1850" s="182"/>
      <c r="BB1850" s="182"/>
      <c r="BC1850" s="182"/>
      <c r="BD1850" s="182"/>
      <c r="BE1850" s="182"/>
      <c r="BF1850" s="182"/>
      <c r="BG1850" s="182"/>
      <c r="BH1850" s="182"/>
      <c r="BI1850" s="182"/>
      <c r="BJ1850" s="89"/>
      <c r="BK1850" s="89"/>
      <c r="BL1850" s="89"/>
      <c r="BM1850" s="89"/>
      <c r="BN1850" s="89"/>
      <c r="BO1850" s="89"/>
      <c r="BP1850" s="89"/>
    </row>
    <row r="1851" spans="1:68" s="56" customFormat="1" ht="13.5" hidden="1">
      <c r="A1851" s="204">
        <f>+IFERROR(VALUE(MID(AB1851,4,4)),"")</f>
        <v>188</v>
      </c>
      <c r="B1851" s="204">
        <f>VALUE(RIGHT(C1851,LEN(C1851)-2))</f>
        <v>874</v>
      </c>
      <c r="C1851" s="74" t="s">
        <v>6516</v>
      </c>
      <c r="D1851" s="75">
        <v>43237</v>
      </c>
      <c r="E1851" s="70" t="s">
        <v>99</v>
      </c>
      <c r="F1851" s="70" t="s">
        <v>99</v>
      </c>
      <c r="G1851" s="68" t="s">
        <v>6517</v>
      </c>
      <c r="H1851" s="59" t="s">
        <v>6518</v>
      </c>
      <c r="I1851" s="162" t="s">
        <v>6519</v>
      </c>
      <c r="J1851" s="162"/>
      <c r="K1851" s="68" t="s">
        <v>9</v>
      </c>
      <c r="L1851" s="69" t="s">
        <v>120</v>
      </c>
      <c r="M1851" s="71" t="s">
        <v>141</v>
      </c>
      <c r="N1851" s="69" t="e" vm="1">
        <v>#VALUE!</v>
      </c>
      <c r="O1851" s="164"/>
      <c r="P1851" s="72" t="s">
        <v>402</v>
      </c>
      <c r="Q1851" s="72" t="s">
        <v>229</v>
      </c>
      <c r="R1851" s="162"/>
      <c r="S1851" s="146"/>
      <c r="T1851" s="68" t="s">
        <v>3</v>
      </c>
      <c r="U1851" s="87"/>
      <c r="V1851" s="183">
        <v>43237</v>
      </c>
      <c r="W1851" s="73">
        <v>44</v>
      </c>
      <c r="X1851" s="73">
        <f>70*27000/1000000</f>
        <v>1.89</v>
      </c>
      <c r="Y1851" s="83">
        <f>IF(SUM(W1851:W1851)&gt;0,X1851/SUM(W1851:W1851)*1000000,"N/A")</f>
        <v>42954.545454545456</v>
      </c>
      <c r="Z1851" s="183"/>
      <c r="AA1851" s="183"/>
      <c r="AB1851" s="73" t="s">
        <v>6520</v>
      </c>
      <c r="AC1851" s="153"/>
      <c r="AD1851" s="331"/>
      <c r="AE1851" s="57"/>
      <c r="AF1851" s="88"/>
      <c r="AG1851" s="182">
        <f>YEAR(D1851)</f>
        <v>2018</v>
      </c>
      <c r="AH1851" s="86" t="str">
        <f>+IF(AE1851=$AJ$22,MONTH(T1851),"")</f>
        <v/>
      </c>
      <c r="AI1851" s="86" t="str">
        <f>+IF(AF1851=$AJ$22,MONTH(U1851),"")</f>
        <v/>
      </c>
      <c r="AJ1851" s="86" t="str">
        <f>+IF(AG1851=$AJ$22,MONTH(V1851),"")</f>
        <v/>
      </c>
      <c r="AK1851" s="86" t="str">
        <f>+IF(AG1851=$AK$22,MONTH(V1851),"")</f>
        <v/>
      </c>
      <c r="AL1851" s="86" t="str">
        <f>+IF(AG1851=$AL$22,MONTH(V1851),"")</f>
        <v/>
      </c>
      <c r="AM1851" s="86" t="str">
        <f>+IF($AG1851=$AM$22,MONTH($D1851),"")</f>
        <v/>
      </c>
      <c r="AN1851" s="89" t="str">
        <f>+IF($AG1851=AN$22,MONTH($D1851),"")</f>
        <v/>
      </c>
      <c r="AO1851" s="86" t="str">
        <f>+IF($AG1851=AO$22,MONTH($D1851),"")</f>
        <v/>
      </c>
      <c r="AP1851" s="86">
        <f>+IF($AG1851=AP$22,MONTH($D1851),"")</f>
        <v>5</v>
      </c>
      <c r="AQ1851" s="86" t="str">
        <f>+IF($AG1851=AQ$22,MONTH($D1851),"")</f>
        <v/>
      </c>
      <c r="AR1851" s="86" t="str">
        <f>+IF($AG1851=AR$22,MONTH($D1851),"")</f>
        <v/>
      </c>
      <c r="AS1851" s="86" t="str">
        <f>+IF($AG1851=AS$22,MONTH($D1851),"")</f>
        <v/>
      </c>
      <c r="AT1851" s="86" t="str">
        <f>+IF($AG1851=AT$22,MONTH($D1851),"")</f>
        <v/>
      </c>
      <c r="AU1851" s="86" t="str">
        <f>+IF($AG1851=AU$22,MONTH($D1851),"")</f>
        <v/>
      </c>
      <c r="AV1851" s="86" t="str">
        <f>+IF($AG1851=AV$22,MONTH($D1851),"")</f>
        <v/>
      </c>
      <c r="AW1851" s="86" t="str">
        <f>+IF($AG1851=AW$22,MONTH($D1851),"")</f>
        <v/>
      </c>
      <c r="AX1851" s="86" t="str">
        <f>+IF($AG1851=AX$22,MONTH($D1851),"")</f>
        <v/>
      </c>
      <c r="AY1851" s="182"/>
      <c r="AZ1851" s="182"/>
      <c r="BA1851" s="182"/>
      <c r="BB1851" s="182"/>
      <c r="BC1851" s="182"/>
      <c r="BD1851" s="182"/>
      <c r="BE1851" s="182"/>
      <c r="BF1851" s="182"/>
      <c r="BG1851" s="182"/>
      <c r="BH1851" s="182"/>
      <c r="BI1851" s="182"/>
      <c r="BJ1851" s="89"/>
      <c r="BK1851" s="89"/>
      <c r="BL1851" s="89"/>
      <c r="BM1851" s="89"/>
      <c r="BN1851" s="89"/>
      <c r="BO1851" s="89"/>
      <c r="BP1851" s="89"/>
    </row>
    <row r="1852" spans="1:68" s="56" customFormat="1" ht="27" hidden="1">
      <c r="A1852" s="204">
        <f>+IFERROR(VALUE(MID(AB1852,4,4)),"")</f>
        <v>158</v>
      </c>
      <c r="B1852" s="204">
        <f>VALUE(RIGHT(C1852,LEN(C1852)-2))</f>
        <v>873</v>
      </c>
      <c r="C1852" s="74" t="s">
        <v>6521</v>
      </c>
      <c r="D1852" s="75">
        <v>43237</v>
      </c>
      <c r="E1852" s="70" t="s">
        <v>41</v>
      </c>
      <c r="F1852" s="70" t="s">
        <v>41</v>
      </c>
      <c r="G1852" s="68" t="s">
        <v>6522</v>
      </c>
      <c r="H1852" s="59" t="s">
        <v>6523</v>
      </c>
      <c r="I1852" s="162" t="s">
        <v>6524</v>
      </c>
      <c r="J1852" s="162"/>
      <c r="K1852" s="68" t="s">
        <v>13</v>
      </c>
      <c r="L1852" s="69" t="s">
        <v>120</v>
      </c>
      <c r="M1852" s="71" t="s">
        <v>141</v>
      </c>
      <c r="N1852" s="69" t="e" vm="1">
        <v>#VALUE!</v>
      </c>
      <c r="O1852" s="164"/>
      <c r="P1852" s="72" t="s">
        <v>402</v>
      </c>
      <c r="Q1852" s="72" t="s">
        <v>316</v>
      </c>
      <c r="R1852" s="162"/>
      <c r="S1852" s="146"/>
      <c r="T1852" s="68" t="s">
        <v>3</v>
      </c>
      <c r="U1852" s="87"/>
      <c r="V1852" s="183">
        <v>43237</v>
      </c>
      <c r="W1852" s="73">
        <v>370</v>
      </c>
      <c r="X1852" s="73">
        <f>371*27000/1000000</f>
        <v>10.016999999999999</v>
      </c>
      <c r="Y1852" s="83">
        <f>IF(SUM(W1852:W1852)&gt;0,X1852/SUM(W1852:W1852)*1000000,"N/A")</f>
        <v>27072.97297297297</v>
      </c>
      <c r="Z1852" s="183"/>
      <c r="AA1852" s="183"/>
      <c r="AB1852" s="73" t="s">
        <v>6525</v>
      </c>
      <c r="AC1852" s="153"/>
      <c r="AD1852" s="331"/>
      <c r="AE1852" s="57"/>
      <c r="AF1852" s="88"/>
      <c r="AG1852" s="182">
        <f>YEAR(D1852)</f>
        <v>2018</v>
      </c>
      <c r="AH1852" s="86" t="str">
        <f>+IF(AE1852=$AJ$22,MONTH(T1852),"")</f>
        <v/>
      </c>
      <c r="AI1852" s="86" t="str">
        <f>+IF(AF1852=$AJ$22,MONTH(U1852),"")</f>
        <v/>
      </c>
      <c r="AJ1852" s="86" t="str">
        <f>+IF(AG1852=$AJ$22,MONTH(V1852),"")</f>
        <v/>
      </c>
      <c r="AK1852" s="86" t="str">
        <f>+IF(AG1852=$AK$22,MONTH(V1852),"")</f>
        <v/>
      </c>
      <c r="AL1852" s="86" t="str">
        <f>+IF(AG1852=$AL$22,MONTH(V1852),"")</f>
        <v/>
      </c>
      <c r="AM1852" s="86" t="str">
        <f>+IF($AG1852=$AM$22,MONTH($D1852),"")</f>
        <v/>
      </c>
      <c r="AN1852" s="89" t="str">
        <f>+IF($AG1852=AN$22,MONTH($D1852),"")</f>
        <v/>
      </c>
      <c r="AO1852" s="86" t="str">
        <f>+IF($AG1852=AO$22,MONTH($D1852),"")</f>
        <v/>
      </c>
      <c r="AP1852" s="86">
        <f>+IF($AG1852=AP$22,MONTH($D1852),"")</f>
        <v>5</v>
      </c>
      <c r="AQ1852" s="86" t="str">
        <f>+IF($AG1852=AQ$22,MONTH($D1852),"")</f>
        <v/>
      </c>
      <c r="AR1852" s="86" t="str">
        <f>+IF($AG1852=AR$22,MONTH($D1852),"")</f>
        <v/>
      </c>
      <c r="AS1852" s="86" t="str">
        <f>+IF($AG1852=AS$22,MONTH($D1852),"")</f>
        <v/>
      </c>
      <c r="AT1852" s="86" t="str">
        <f>+IF($AG1852=AT$22,MONTH($D1852),"")</f>
        <v/>
      </c>
      <c r="AU1852" s="86" t="str">
        <f>+IF($AG1852=AU$22,MONTH($D1852),"")</f>
        <v/>
      </c>
      <c r="AV1852" s="86" t="str">
        <f>+IF($AG1852=AV$22,MONTH($D1852),"")</f>
        <v/>
      </c>
      <c r="AW1852" s="86" t="str">
        <f>+IF($AG1852=AW$22,MONTH($D1852),"")</f>
        <v/>
      </c>
      <c r="AX1852" s="86" t="str">
        <f>+IF($AG1852=AX$22,MONTH($D1852),"")</f>
        <v/>
      </c>
      <c r="AY1852" s="182"/>
      <c r="AZ1852" s="182"/>
      <c r="BA1852" s="182"/>
      <c r="BB1852" s="182"/>
      <c r="BC1852" s="182"/>
      <c r="BD1852" s="182"/>
      <c r="BE1852" s="182"/>
      <c r="BF1852" s="182"/>
      <c r="BG1852" s="182"/>
      <c r="BH1852" s="182"/>
      <c r="BI1852" s="182"/>
      <c r="BJ1852" s="89"/>
      <c r="BK1852" s="89"/>
      <c r="BL1852" s="89"/>
      <c r="BM1852" s="89"/>
      <c r="BN1852" s="89"/>
      <c r="BO1852" s="89"/>
      <c r="BP1852" s="89"/>
    </row>
    <row r="1853" spans="1:68" s="56" customFormat="1" ht="27" hidden="1">
      <c r="A1853" s="204">
        <f>+IFERROR(VALUE(MID(AB1853,4,4)),"")</f>
        <v>158</v>
      </c>
      <c r="B1853" s="204">
        <f>VALUE(RIGHT(C1853,LEN(C1853)-2))</f>
        <v>872</v>
      </c>
      <c r="C1853" s="74" t="s">
        <v>6526</v>
      </c>
      <c r="D1853" s="75">
        <v>43237</v>
      </c>
      <c r="E1853" s="70" t="s">
        <v>41</v>
      </c>
      <c r="F1853" s="70" t="s">
        <v>41</v>
      </c>
      <c r="G1853" s="68" t="s">
        <v>6522</v>
      </c>
      <c r="H1853" s="59" t="s">
        <v>6523</v>
      </c>
      <c r="I1853" s="162" t="s">
        <v>6527</v>
      </c>
      <c r="J1853" s="162"/>
      <c r="K1853" s="68" t="s">
        <v>13</v>
      </c>
      <c r="L1853" s="69" t="s">
        <v>120</v>
      </c>
      <c r="M1853" s="71" t="s">
        <v>141</v>
      </c>
      <c r="N1853" s="69" t="e" vm="1">
        <v>#VALUE!</v>
      </c>
      <c r="O1853" s="164"/>
      <c r="P1853" s="72" t="s">
        <v>402</v>
      </c>
      <c r="Q1853" s="72" t="s">
        <v>229</v>
      </c>
      <c r="R1853" s="162"/>
      <c r="S1853" s="146"/>
      <c r="T1853" s="68" t="s">
        <v>3</v>
      </c>
      <c r="U1853" s="87"/>
      <c r="V1853" s="183">
        <v>43237</v>
      </c>
      <c r="W1853" s="73">
        <v>184</v>
      </c>
      <c r="X1853" s="73">
        <f>185*27000/1000000</f>
        <v>4.9950000000000001</v>
      </c>
      <c r="Y1853" s="83">
        <f>IF(SUM(W1853:W1853)&gt;0,X1853/SUM(W1853:W1853)*1000000,"N/A")</f>
        <v>27146.739130434784</v>
      </c>
      <c r="Z1853" s="183"/>
      <c r="AA1853" s="183"/>
      <c r="AB1853" s="73" t="s">
        <v>6528</v>
      </c>
      <c r="AC1853" s="153"/>
      <c r="AD1853" s="331"/>
      <c r="AE1853" s="57"/>
      <c r="AF1853" s="88"/>
      <c r="AG1853" s="182">
        <f>YEAR(D1853)</f>
        <v>2018</v>
      </c>
      <c r="AH1853" s="86" t="str">
        <f>+IF(AE1853=$AJ$22,MONTH(T1853),"")</f>
        <v/>
      </c>
      <c r="AI1853" s="86" t="str">
        <f>+IF(AF1853=$AJ$22,MONTH(U1853),"")</f>
        <v/>
      </c>
      <c r="AJ1853" s="86" t="str">
        <f>+IF(AG1853=$AJ$22,MONTH(V1853),"")</f>
        <v/>
      </c>
      <c r="AK1853" s="86" t="str">
        <f>+IF(AG1853=$AK$22,MONTH(V1853),"")</f>
        <v/>
      </c>
      <c r="AL1853" s="86" t="str">
        <f>+IF(AG1853=$AL$22,MONTH(V1853),"")</f>
        <v/>
      </c>
      <c r="AM1853" s="86" t="str">
        <f>+IF($AG1853=$AM$22,MONTH($D1853),"")</f>
        <v/>
      </c>
      <c r="AN1853" s="89" t="str">
        <f>+IF($AG1853=AN$22,MONTH($D1853),"")</f>
        <v/>
      </c>
      <c r="AO1853" s="86" t="str">
        <f>+IF($AG1853=AO$22,MONTH($D1853),"")</f>
        <v/>
      </c>
      <c r="AP1853" s="86">
        <f>+IF($AG1853=AP$22,MONTH($D1853),"")</f>
        <v>5</v>
      </c>
      <c r="AQ1853" s="86" t="str">
        <f>+IF($AG1853=AQ$22,MONTH($D1853),"")</f>
        <v/>
      </c>
      <c r="AR1853" s="86" t="str">
        <f>+IF($AG1853=AR$22,MONTH($D1853),"")</f>
        <v/>
      </c>
      <c r="AS1853" s="86" t="str">
        <f>+IF($AG1853=AS$22,MONTH($D1853),"")</f>
        <v/>
      </c>
      <c r="AT1853" s="86" t="str">
        <f>+IF($AG1853=AT$22,MONTH($D1853),"")</f>
        <v/>
      </c>
      <c r="AU1853" s="86" t="str">
        <f>+IF($AG1853=AU$22,MONTH($D1853),"")</f>
        <v/>
      </c>
      <c r="AV1853" s="86" t="str">
        <f>+IF($AG1853=AV$22,MONTH($D1853),"")</f>
        <v/>
      </c>
      <c r="AW1853" s="86" t="str">
        <f>+IF($AG1853=AW$22,MONTH($D1853),"")</f>
        <v/>
      </c>
      <c r="AX1853" s="86" t="str">
        <f>+IF($AG1853=AX$22,MONTH($D1853),"")</f>
        <v/>
      </c>
      <c r="AY1853" s="182"/>
      <c r="AZ1853" s="182"/>
      <c r="BA1853" s="182"/>
      <c r="BB1853" s="182"/>
      <c r="BC1853" s="182"/>
      <c r="BD1853" s="182"/>
      <c r="BE1853" s="182"/>
      <c r="BF1853" s="182"/>
      <c r="BG1853" s="182"/>
      <c r="BH1853" s="182"/>
      <c r="BI1853" s="182"/>
      <c r="BJ1853" s="89"/>
      <c r="BK1853" s="89"/>
      <c r="BL1853" s="89"/>
      <c r="BM1853" s="89"/>
      <c r="BN1853" s="89"/>
      <c r="BO1853" s="89"/>
      <c r="BP1853" s="89"/>
    </row>
    <row r="1854" spans="1:68" s="56" customFormat="1" ht="27" hidden="1">
      <c r="A1854" s="204" t="str">
        <f>+IFERROR(VALUE(MID(AB1854,4,4)),"")</f>
        <v/>
      </c>
      <c r="B1854" s="204">
        <f>VALUE(RIGHT(C1854,LEN(C1854)-2))</f>
        <v>871</v>
      </c>
      <c r="C1854" s="74" t="s">
        <v>6529</v>
      </c>
      <c r="D1854" s="75">
        <v>43236</v>
      </c>
      <c r="E1854" s="70" t="s">
        <v>53</v>
      </c>
      <c r="F1854" s="70" t="s">
        <v>630</v>
      </c>
      <c r="G1854" s="68"/>
      <c r="H1854" s="59"/>
      <c r="I1854" s="162" t="s">
        <v>6530</v>
      </c>
      <c r="J1854" s="162"/>
      <c r="K1854" s="68" t="s">
        <v>14</v>
      </c>
      <c r="L1854" s="69" t="s">
        <v>123</v>
      </c>
      <c r="M1854" s="71" t="s">
        <v>141</v>
      </c>
      <c r="N1854" s="69" t="e" vm="1">
        <v>#VALUE!</v>
      </c>
      <c r="O1854" s="164"/>
      <c r="P1854" s="72" t="s">
        <v>402</v>
      </c>
      <c r="Q1854" s="72"/>
      <c r="R1854" s="162"/>
      <c r="S1854" s="146"/>
      <c r="T1854" s="68" t="s">
        <v>155</v>
      </c>
      <c r="U1854" s="87"/>
      <c r="V1854" s="183" t="s">
        <v>4574</v>
      </c>
      <c r="W1854" s="73"/>
      <c r="X1854" s="73" t="s">
        <v>4574</v>
      </c>
      <c r="Y1854" s="83" t="str">
        <f>IF(SUM(W1854:W1854)&gt;0,X1854/SUM(W1854:W1854)*1000000,"N/A")</f>
        <v>N/A</v>
      </c>
      <c r="Z1854" s="183"/>
      <c r="AA1854" s="183"/>
      <c r="AB1854" s="73"/>
      <c r="AC1854" s="153"/>
      <c r="AD1854" s="331"/>
      <c r="AE1854" s="57"/>
      <c r="AF1854" s="88"/>
      <c r="AG1854" s="182">
        <f>YEAR(D1854)</f>
        <v>2018</v>
      </c>
      <c r="AH1854" s="86" t="str">
        <f>+IF(AE1854=$AJ$22,MONTH(T1854),"")</f>
        <v/>
      </c>
      <c r="AI1854" s="86" t="str">
        <f>+IF(AF1854=$AJ$22,MONTH(U1854),"")</f>
        <v/>
      </c>
      <c r="AJ1854" s="86" t="str">
        <f>+IF(AG1854=$AJ$22,MONTH(V1854),"")</f>
        <v/>
      </c>
      <c r="AK1854" s="86" t="str">
        <f>+IF(AG1854=$AK$22,MONTH(V1854),"")</f>
        <v/>
      </c>
      <c r="AL1854" s="86" t="str">
        <f>+IF(AG1854=$AL$22,MONTH(V1854),"")</f>
        <v/>
      </c>
      <c r="AM1854" s="86" t="str">
        <f>+IF($AG1854=$AM$22,MONTH($D1854),"")</f>
        <v/>
      </c>
      <c r="AN1854" s="89" t="str">
        <f>+IF($AG1854=AN$22,MONTH($D1854),"")</f>
        <v/>
      </c>
      <c r="AO1854" s="86" t="str">
        <f>+IF($AG1854=AO$22,MONTH($D1854),"")</f>
        <v/>
      </c>
      <c r="AP1854" s="86">
        <f>+IF($AG1854=AP$22,MONTH($D1854),"")</f>
        <v>5</v>
      </c>
      <c r="AQ1854" s="86" t="str">
        <f>+IF($AG1854=AQ$22,MONTH($D1854),"")</f>
        <v/>
      </c>
      <c r="AR1854" s="86" t="str">
        <f>+IF($AG1854=AR$22,MONTH($D1854),"")</f>
        <v/>
      </c>
      <c r="AS1854" s="86" t="str">
        <f>+IF($AG1854=AS$22,MONTH($D1854),"")</f>
        <v/>
      </c>
      <c r="AT1854" s="86" t="str">
        <f>+IF($AG1854=AT$22,MONTH($D1854),"")</f>
        <v/>
      </c>
      <c r="AU1854" s="86" t="str">
        <f>+IF($AG1854=AU$22,MONTH($D1854),"")</f>
        <v/>
      </c>
      <c r="AV1854" s="86" t="str">
        <f>+IF($AG1854=AV$22,MONTH($D1854),"")</f>
        <v/>
      </c>
      <c r="AW1854" s="86" t="str">
        <f>+IF($AG1854=AW$22,MONTH($D1854),"")</f>
        <v/>
      </c>
      <c r="AX1854" s="86" t="str">
        <f>+IF($AG1854=AX$22,MONTH($D1854),"")</f>
        <v/>
      </c>
      <c r="AY1854" s="182"/>
      <c r="AZ1854" s="182"/>
      <c r="BA1854" s="182"/>
      <c r="BB1854" s="182"/>
      <c r="BC1854" s="182"/>
      <c r="BD1854" s="182"/>
      <c r="BE1854" s="182"/>
      <c r="BF1854" s="182"/>
      <c r="BG1854" s="182"/>
      <c r="BH1854" s="182"/>
      <c r="BI1854" s="182"/>
      <c r="BJ1854" s="89"/>
      <c r="BK1854" s="89"/>
      <c r="BL1854" s="89"/>
      <c r="BM1854" s="89"/>
      <c r="BN1854" s="89"/>
      <c r="BO1854" s="89"/>
      <c r="BP1854" s="89"/>
    </row>
    <row r="1855" spans="1:68" s="56" customFormat="1" ht="13.5" hidden="1">
      <c r="A1855" s="204" t="str">
        <f>+IFERROR(VALUE(MID(AB1855,4,4)),"")</f>
        <v/>
      </c>
      <c r="B1855" s="204">
        <f>VALUE(RIGHT(C1855,LEN(C1855)-2))</f>
        <v>870</v>
      </c>
      <c r="C1855" s="74" t="s">
        <v>6531</v>
      </c>
      <c r="D1855" s="75">
        <v>43236</v>
      </c>
      <c r="E1855" s="70" t="s">
        <v>53</v>
      </c>
      <c r="F1855" s="70" t="s">
        <v>630</v>
      </c>
      <c r="G1855" s="68"/>
      <c r="H1855" s="59"/>
      <c r="I1855" s="162" t="s">
        <v>6532</v>
      </c>
      <c r="J1855" s="162"/>
      <c r="K1855" s="68" t="s">
        <v>14</v>
      </c>
      <c r="L1855" s="69" t="s">
        <v>123</v>
      </c>
      <c r="M1855" s="71" t="s">
        <v>141</v>
      </c>
      <c r="N1855" s="69" t="e" vm="1">
        <v>#VALUE!</v>
      </c>
      <c r="O1855" s="164"/>
      <c r="P1855" s="72" t="s">
        <v>402</v>
      </c>
      <c r="Q1855" s="72"/>
      <c r="R1855" s="162"/>
      <c r="S1855" s="146"/>
      <c r="T1855" s="68" t="s">
        <v>155</v>
      </c>
      <c r="U1855" s="87"/>
      <c r="V1855" s="183" t="s">
        <v>4574</v>
      </c>
      <c r="W1855" s="73"/>
      <c r="X1855" s="73" t="s">
        <v>4574</v>
      </c>
      <c r="Y1855" s="83" t="str">
        <f>IF(SUM(W1855:W1855)&gt;0,X1855/SUM(W1855:W1855)*1000000,"N/A")</f>
        <v>N/A</v>
      </c>
      <c r="Z1855" s="183"/>
      <c r="AA1855" s="183"/>
      <c r="AB1855" s="73"/>
      <c r="AC1855" s="153"/>
      <c r="AD1855" s="331"/>
      <c r="AE1855" s="57"/>
      <c r="AF1855" s="88"/>
      <c r="AG1855" s="182">
        <f>YEAR(D1855)</f>
        <v>2018</v>
      </c>
      <c r="AH1855" s="86" t="str">
        <f>+IF(AE1855=$AJ$22,MONTH(T1855),"")</f>
        <v/>
      </c>
      <c r="AI1855" s="86" t="str">
        <f>+IF(AF1855=$AJ$22,MONTH(U1855),"")</f>
        <v/>
      </c>
      <c r="AJ1855" s="86" t="str">
        <f>+IF(AG1855=$AJ$22,MONTH(V1855),"")</f>
        <v/>
      </c>
      <c r="AK1855" s="86" t="str">
        <f>+IF(AG1855=$AK$22,MONTH(V1855),"")</f>
        <v/>
      </c>
      <c r="AL1855" s="86" t="str">
        <f>+IF(AG1855=$AL$22,MONTH(V1855),"")</f>
        <v/>
      </c>
      <c r="AM1855" s="86" t="str">
        <f>+IF($AG1855=$AM$22,MONTH($D1855),"")</f>
        <v/>
      </c>
      <c r="AN1855" s="89" t="str">
        <f>+IF($AG1855=AN$22,MONTH($D1855),"")</f>
        <v/>
      </c>
      <c r="AO1855" s="86" t="str">
        <f>+IF($AG1855=AO$22,MONTH($D1855),"")</f>
        <v/>
      </c>
      <c r="AP1855" s="86">
        <f>+IF($AG1855=AP$22,MONTH($D1855),"")</f>
        <v>5</v>
      </c>
      <c r="AQ1855" s="86" t="str">
        <f>+IF($AG1855=AQ$22,MONTH($D1855),"")</f>
        <v/>
      </c>
      <c r="AR1855" s="86" t="str">
        <f>+IF($AG1855=AR$22,MONTH($D1855),"")</f>
        <v/>
      </c>
      <c r="AS1855" s="86" t="str">
        <f>+IF($AG1855=AS$22,MONTH($D1855),"")</f>
        <v/>
      </c>
      <c r="AT1855" s="86" t="str">
        <f>+IF($AG1855=AT$22,MONTH($D1855),"")</f>
        <v/>
      </c>
      <c r="AU1855" s="86" t="str">
        <f>+IF($AG1855=AU$22,MONTH($D1855),"")</f>
        <v/>
      </c>
      <c r="AV1855" s="86" t="str">
        <f>+IF($AG1855=AV$22,MONTH($D1855),"")</f>
        <v/>
      </c>
      <c r="AW1855" s="86" t="str">
        <f>+IF($AG1855=AW$22,MONTH($D1855),"")</f>
        <v/>
      </c>
      <c r="AX1855" s="86" t="str">
        <f>+IF($AG1855=AX$22,MONTH($D1855),"")</f>
        <v/>
      </c>
      <c r="AY1855" s="182"/>
      <c r="AZ1855" s="182"/>
      <c r="BA1855" s="182"/>
      <c r="BB1855" s="182"/>
      <c r="BC1855" s="182"/>
      <c r="BD1855" s="182"/>
      <c r="BE1855" s="182"/>
      <c r="BF1855" s="182"/>
      <c r="BG1855" s="182"/>
      <c r="BH1855" s="182"/>
      <c r="BI1855" s="182"/>
      <c r="BJ1855" s="89"/>
      <c r="BK1855" s="89"/>
      <c r="BL1855" s="89"/>
      <c r="BM1855" s="89"/>
      <c r="BN1855" s="89"/>
      <c r="BO1855" s="89"/>
      <c r="BP1855" s="89"/>
    </row>
    <row r="1856" spans="1:68" s="56" customFormat="1" ht="13.5" hidden="1">
      <c r="A1856" s="204" t="str">
        <f>+IFERROR(VALUE(MID(AB1856,4,4)),"")</f>
        <v/>
      </c>
      <c r="B1856" s="204">
        <f>VALUE(RIGHT(C1856,LEN(C1856)-2))</f>
        <v>869</v>
      </c>
      <c r="C1856" s="74" t="s">
        <v>6533</v>
      </c>
      <c r="D1856" s="75">
        <v>43230</v>
      </c>
      <c r="E1856" s="70" t="s">
        <v>4664</v>
      </c>
      <c r="F1856" s="70" t="s">
        <v>479</v>
      </c>
      <c r="G1856" s="68"/>
      <c r="H1856" s="59"/>
      <c r="I1856" s="162" t="s">
        <v>6534</v>
      </c>
      <c r="J1856" s="162"/>
      <c r="K1856" s="68" t="s">
        <v>9</v>
      </c>
      <c r="L1856" s="69" t="s">
        <v>120</v>
      </c>
      <c r="M1856" s="71" t="s">
        <v>113</v>
      </c>
      <c r="N1856" s="69" t="e" vm="2">
        <v>#VALUE!</v>
      </c>
      <c r="O1856" s="164"/>
      <c r="P1856" s="72" t="s">
        <v>402</v>
      </c>
      <c r="Q1856" s="72"/>
      <c r="R1856" s="162"/>
      <c r="S1856" s="146"/>
      <c r="T1856" s="68" t="s">
        <v>165</v>
      </c>
      <c r="U1856" s="87"/>
      <c r="V1856" s="183">
        <v>43230</v>
      </c>
      <c r="W1856" s="73">
        <v>100</v>
      </c>
      <c r="X1856" s="73">
        <f>13400*190/1000000</f>
        <v>2.5459999999999998</v>
      </c>
      <c r="Y1856" s="83">
        <f>IF(SUM(W1856:W1856)&gt;0,X1856/SUM(W1856:W1856)*1000000,"N/A")</f>
        <v>25459.999999999996</v>
      </c>
      <c r="Z1856" s="183"/>
      <c r="AA1856" s="183"/>
      <c r="AB1856" s="73"/>
      <c r="AC1856" s="153"/>
      <c r="AD1856" s="331"/>
      <c r="AE1856" s="57"/>
      <c r="AF1856" s="88"/>
      <c r="AG1856" s="182">
        <f>YEAR(D1856)</f>
        <v>2018</v>
      </c>
      <c r="AH1856" s="86" t="str">
        <f>+IF(AE1856=$AJ$22,MONTH(T1856),"")</f>
        <v/>
      </c>
      <c r="AI1856" s="86" t="str">
        <f>+IF(AF1856=$AJ$22,MONTH(U1856),"")</f>
        <v/>
      </c>
      <c r="AJ1856" s="86" t="str">
        <f>+IF(AG1856=$AJ$22,MONTH(V1856),"")</f>
        <v/>
      </c>
      <c r="AK1856" s="86" t="str">
        <f>+IF(AG1856=$AK$22,MONTH(V1856),"")</f>
        <v/>
      </c>
      <c r="AL1856" s="86" t="str">
        <f>+IF(AG1856=$AL$22,MONTH(V1856),"")</f>
        <v/>
      </c>
      <c r="AM1856" s="86" t="str">
        <f>+IF($AG1856=$AM$22,MONTH($D1856),"")</f>
        <v/>
      </c>
      <c r="AN1856" s="89" t="str">
        <f>+IF($AG1856=AN$22,MONTH($D1856),"")</f>
        <v/>
      </c>
      <c r="AO1856" s="86" t="str">
        <f>+IF($AG1856=AO$22,MONTH($D1856),"")</f>
        <v/>
      </c>
      <c r="AP1856" s="86">
        <f>+IF($AG1856=AP$22,MONTH($D1856),"")</f>
        <v>5</v>
      </c>
      <c r="AQ1856" s="86" t="str">
        <f>+IF($AG1856=AQ$22,MONTH($D1856),"")</f>
        <v/>
      </c>
      <c r="AR1856" s="86" t="str">
        <f>+IF($AG1856=AR$22,MONTH($D1856),"")</f>
        <v/>
      </c>
      <c r="AS1856" s="86" t="str">
        <f>+IF($AG1856=AS$22,MONTH($D1856),"")</f>
        <v/>
      </c>
      <c r="AT1856" s="86" t="str">
        <f>+IF($AG1856=AT$22,MONTH($D1856),"")</f>
        <v/>
      </c>
      <c r="AU1856" s="86" t="str">
        <f>+IF($AG1856=AU$22,MONTH($D1856),"")</f>
        <v/>
      </c>
      <c r="AV1856" s="86" t="str">
        <f>+IF($AG1856=AV$22,MONTH($D1856),"")</f>
        <v/>
      </c>
      <c r="AW1856" s="86" t="str">
        <f>+IF($AG1856=AW$22,MONTH($D1856),"")</f>
        <v/>
      </c>
      <c r="AX1856" s="86" t="str">
        <f>+IF($AG1856=AX$22,MONTH($D1856),"")</f>
        <v/>
      </c>
      <c r="AY1856" s="182"/>
      <c r="AZ1856" s="182"/>
      <c r="BA1856" s="182"/>
      <c r="BB1856" s="182"/>
      <c r="BC1856" s="182"/>
      <c r="BD1856" s="182"/>
      <c r="BE1856" s="182"/>
      <c r="BF1856" s="182"/>
      <c r="BG1856" s="182"/>
      <c r="BH1856" s="182"/>
      <c r="BI1856" s="182"/>
      <c r="BJ1856" s="89"/>
      <c r="BK1856" s="89"/>
      <c r="BL1856" s="89"/>
      <c r="BM1856" s="89"/>
      <c r="BN1856" s="89"/>
      <c r="BO1856" s="89"/>
      <c r="BP1856" s="89"/>
    </row>
    <row r="1857" spans="1:68" s="56" customFormat="1" ht="27" hidden="1">
      <c r="A1857" s="204" t="str">
        <f>+IFERROR(VALUE(MID(AB1857,4,4)),"")</f>
        <v/>
      </c>
      <c r="B1857" s="204">
        <f>VALUE(RIGHT(C1857,LEN(C1857)-2))</f>
        <v>868</v>
      </c>
      <c r="C1857" s="74" t="s">
        <v>6535</v>
      </c>
      <c r="D1857" s="75">
        <v>43229</v>
      </c>
      <c r="E1857" s="70" t="s">
        <v>6536</v>
      </c>
      <c r="F1857" s="70" t="s">
        <v>6536</v>
      </c>
      <c r="G1857" s="68" t="s">
        <v>6537</v>
      </c>
      <c r="H1857" s="59" t="s">
        <v>6538</v>
      </c>
      <c r="I1857" s="162" t="s">
        <v>6539</v>
      </c>
      <c r="J1857" s="162"/>
      <c r="K1857" s="68" t="s">
        <v>11</v>
      </c>
      <c r="L1857" s="69" t="s">
        <v>120</v>
      </c>
      <c r="M1857" s="71" t="s">
        <v>141</v>
      </c>
      <c r="N1857" s="69" t="e" vm="1">
        <v>#VALUE!</v>
      </c>
      <c r="O1857" s="164"/>
      <c r="P1857" s="72" t="s">
        <v>402</v>
      </c>
      <c r="Q1857" s="72"/>
      <c r="R1857" s="162"/>
      <c r="S1857" s="146"/>
      <c r="T1857" s="68" t="s">
        <v>165</v>
      </c>
      <c r="U1857" s="87"/>
      <c r="V1857" s="183">
        <v>43229</v>
      </c>
      <c r="W1857" s="73">
        <v>249</v>
      </c>
      <c r="X1857" s="73">
        <f>273*27000/1000000</f>
        <v>7.3710000000000004</v>
      </c>
      <c r="Y1857" s="83">
        <f>IF(SUM(W1857:W1857)&gt;0,X1857/SUM(W1857:W1857)*1000000,"N/A")</f>
        <v>29602.409638554218</v>
      </c>
      <c r="Z1857" s="183"/>
      <c r="AA1857" s="183"/>
      <c r="AB1857" s="73"/>
      <c r="AC1857" s="153"/>
      <c r="AD1857" s="331"/>
      <c r="AE1857" s="57"/>
      <c r="AF1857" s="88"/>
      <c r="AG1857" s="182">
        <f>YEAR(D1857)</f>
        <v>2018</v>
      </c>
      <c r="AH1857" s="86" t="str">
        <f>+IF(AE1857=$AJ$22,MONTH(T1857),"")</f>
        <v/>
      </c>
      <c r="AI1857" s="86" t="str">
        <f>+IF(AF1857=$AJ$22,MONTH(U1857),"")</f>
        <v/>
      </c>
      <c r="AJ1857" s="86" t="str">
        <f>+IF(AG1857=$AJ$22,MONTH(V1857),"")</f>
        <v/>
      </c>
      <c r="AK1857" s="86" t="str">
        <f>+IF(AG1857=$AK$22,MONTH(V1857),"")</f>
        <v/>
      </c>
      <c r="AL1857" s="86" t="str">
        <f>+IF(AG1857=$AL$22,MONTH(V1857),"")</f>
        <v/>
      </c>
      <c r="AM1857" s="86" t="str">
        <f>+IF($AG1857=$AM$22,MONTH($D1857),"")</f>
        <v/>
      </c>
      <c r="AN1857" s="89" t="str">
        <f>+IF($AG1857=AN$22,MONTH($D1857),"")</f>
        <v/>
      </c>
      <c r="AO1857" s="86" t="str">
        <f>+IF($AG1857=AO$22,MONTH($D1857),"")</f>
        <v/>
      </c>
      <c r="AP1857" s="86">
        <f>+IF($AG1857=AP$22,MONTH($D1857),"")</f>
        <v>5</v>
      </c>
      <c r="AQ1857" s="86" t="str">
        <f>+IF($AG1857=AQ$22,MONTH($D1857),"")</f>
        <v/>
      </c>
      <c r="AR1857" s="86" t="str">
        <f>+IF($AG1857=AR$22,MONTH($D1857),"")</f>
        <v/>
      </c>
      <c r="AS1857" s="86" t="str">
        <f>+IF($AG1857=AS$22,MONTH($D1857),"")</f>
        <v/>
      </c>
      <c r="AT1857" s="86" t="str">
        <f>+IF($AG1857=AT$22,MONTH($D1857),"")</f>
        <v/>
      </c>
      <c r="AU1857" s="86" t="str">
        <f>+IF($AG1857=AU$22,MONTH($D1857),"")</f>
        <v/>
      </c>
      <c r="AV1857" s="86" t="str">
        <f>+IF($AG1857=AV$22,MONTH($D1857),"")</f>
        <v/>
      </c>
      <c r="AW1857" s="86" t="str">
        <f>+IF($AG1857=AW$22,MONTH($D1857),"")</f>
        <v/>
      </c>
      <c r="AX1857" s="86" t="str">
        <f>+IF($AG1857=AX$22,MONTH($D1857),"")</f>
        <v/>
      </c>
      <c r="AY1857" s="182"/>
      <c r="AZ1857" s="182"/>
      <c r="BA1857" s="182"/>
      <c r="BB1857" s="182"/>
      <c r="BC1857" s="182"/>
      <c r="BD1857" s="182"/>
      <c r="BE1857" s="182"/>
      <c r="BF1857" s="182"/>
      <c r="BG1857" s="182"/>
      <c r="BH1857" s="182"/>
      <c r="BI1857" s="182"/>
      <c r="BJ1857" s="89"/>
      <c r="BK1857" s="89"/>
      <c r="BL1857" s="89"/>
      <c r="BM1857" s="89"/>
      <c r="BN1857" s="89"/>
      <c r="BO1857" s="89"/>
      <c r="BP1857" s="89"/>
    </row>
    <row r="1858" spans="1:68" s="56" customFormat="1" ht="13.5" hidden="1">
      <c r="A1858" s="204" t="str">
        <f>+IFERROR(VALUE(MID(AB1858,4,4)),"")</f>
        <v/>
      </c>
      <c r="B1858" s="204">
        <f>VALUE(RIGHT(C1858,LEN(C1858)-2))</f>
        <v>867</v>
      </c>
      <c r="C1858" s="74" t="s">
        <v>6540</v>
      </c>
      <c r="D1858" s="75">
        <v>43223</v>
      </c>
      <c r="E1858" s="70" t="s">
        <v>99</v>
      </c>
      <c r="F1858" s="70" t="s">
        <v>99</v>
      </c>
      <c r="G1858" s="68"/>
      <c r="H1858" s="59"/>
      <c r="I1858" s="162" t="s">
        <v>6541</v>
      </c>
      <c r="J1858" s="162"/>
      <c r="K1858" s="68" t="s">
        <v>3389</v>
      </c>
      <c r="L1858" s="69" t="s">
        <v>120</v>
      </c>
      <c r="M1858" s="71" t="s">
        <v>141</v>
      </c>
      <c r="N1858" s="69" t="e" vm="1">
        <v>#VALUE!</v>
      </c>
      <c r="O1858" s="164"/>
      <c r="P1858" s="72" t="s">
        <v>402</v>
      </c>
      <c r="Q1858" s="72"/>
      <c r="R1858" s="162"/>
      <c r="S1858" s="146"/>
      <c r="T1858" s="68" t="s">
        <v>165</v>
      </c>
      <c r="U1858" s="87"/>
      <c r="V1858" s="183">
        <v>43622</v>
      </c>
      <c r="W1858" s="73">
        <v>95733</v>
      </c>
      <c r="X1858" s="73">
        <f>149787*27700/1000000</f>
        <v>4149.0999000000002</v>
      </c>
      <c r="Y1858" s="83">
        <f>IF(SUM(W1858:W1858)&gt;0,X1858/SUM(W1858:W1858)*1000000,"N/A")</f>
        <v>43340.330920372289</v>
      </c>
      <c r="Z1858" s="183"/>
      <c r="AA1858" s="183"/>
      <c r="AB1858" s="73"/>
      <c r="AC1858" s="153"/>
      <c r="AD1858" s="331"/>
      <c r="AE1858" s="57"/>
      <c r="AF1858" s="88"/>
      <c r="AG1858" s="182">
        <f>YEAR(D1858)</f>
        <v>2018</v>
      </c>
      <c r="AH1858" s="86" t="str">
        <f>+IF(AE1858=$AJ$22,MONTH(T1858),"")</f>
        <v/>
      </c>
      <c r="AI1858" s="86" t="str">
        <f>+IF(AF1858=$AJ$22,MONTH(U1858),"")</f>
        <v/>
      </c>
      <c r="AJ1858" s="86" t="str">
        <f>+IF(AG1858=$AJ$22,MONTH(V1858),"")</f>
        <v/>
      </c>
      <c r="AK1858" s="86" t="str">
        <f>+IF(AG1858=$AK$22,MONTH(V1858),"")</f>
        <v/>
      </c>
      <c r="AL1858" s="86" t="str">
        <f>+IF(AG1858=$AL$22,MONTH(V1858),"")</f>
        <v/>
      </c>
      <c r="AM1858" s="86" t="str">
        <f>+IF($AG1858=$AM$22,MONTH($D1858),"")</f>
        <v/>
      </c>
      <c r="AN1858" s="89" t="str">
        <f>+IF($AG1858=AN$22,MONTH($D1858),"")</f>
        <v/>
      </c>
      <c r="AO1858" s="86" t="str">
        <f>+IF($AG1858=AO$22,MONTH($D1858),"")</f>
        <v/>
      </c>
      <c r="AP1858" s="86">
        <f>+IF($AG1858=AP$22,MONTH($D1858),"")</f>
        <v>5</v>
      </c>
      <c r="AQ1858" s="86" t="str">
        <f>+IF($AG1858=AQ$22,MONTH($D1858),"")</f>
        <v/>
      </c>
      <c r="AR1858" s="86" t="str">
        <f>+IF($AG1858=AR$22,MONTH($D1858),"")</f>
        <v/>
      </c>
      <c r="AS1858" s="86" t="str">
        <f>+IF($AG1858=AS$22,MONTH($D1858),"")</f>
        <v/>
      </c>
      <c r="AT1858" s="86" t="str">
        <f>+IF($AG1858=AT$22,MONTH($D1858),"")</f>
        <v/>
      </c>
      <c r="AU1858" s="86" t="str">
        <f>+IF($AG1858=AU$22,MONTH($D1858),"")</f>
        <v/>
      </c>
      <c r="AV1858" s="86" t="str">
        <f>+IF($AG1858=AV$22,MONTH($D1858),"")</f>
        <v/>
      </c>
      <c r="AW1858" s="86" t="str">
        <f>+IF($AG1858=AW$22,MONTH($D1858),"")</f>
        <v/>
      </c>
      <c r="AX1858" s="86" t="str">
        <f>+IF($AG1858=AX$22,MONTH($D1858),"")</f>
        <v/>
      </c>
      <c r="AY1858" s="182"/>
      <c r="AZ1858" s="182"/>
      <c r="BA1858" s="182"/>
      <c r="BB1858" s="182"/>
      <c r="BC1858" s="182"/>
      <c r="BD1858" s="182"/>
      <c r="BE1858" s="182"/>
      <c r="BF1858" s="182"/>
      <c r="BG1858" s="182"/>
      <c r="BH1858" s="182"/>
      <c r="BI1858" s="182"/>
      <c r="BJ1858" s="89"/>
      <c r="BK1858" s="89"/>
      <c r="BL1858" s="89"/>
      <c r="BM1858" s="89"/>
      <c r="BN1858" s="89"/>
      <c r="BO1858" s="89"/>
      <c r="BP1858" s="89"/>
    </row>
    <row r="1859" spans="1:68" s="56" customFormat="1" ht="27" hidden="1">
      <c r="A1859" s="204" t="str">
        <f>+IFERROR(VALUE(MID(AB1859,4,4)),"")</f>
        <v/>
      </c>
      <c r="B1859" s="204">
        <f>VALUE(RIGHT(C1859,LEN(C1859)-2))</f>
        <v>866</v>
      </c>
      <c r="C1859" s="74" t="s">
        <v>6542</v>
      </c>
      <c r="D1859" s="75">
        <v>43209</v>
      </c>
      <c r="E1859" s="70" t="s">
        <v>53</v>
      </c>
      <c r="F1859" s="70" t="s">
        <v>313</v>
      </c>
      <c r="G1859" s="68"/>
      <c r="H1859" s="59"/>
      <c r="I1859" s="162" t="s">
        <v>6543</v>
      </c>
      <c r="J1859" s="162"/>
      <c r="K1859" s="68" t="s">
        <v>13</v>
      </c>
      <c r="L1859" s="69" t="s">
        <v>123</v>
      </c>
      <c r="M1859" s="71" t="s">
        <v>141</v>
      </c>
      <c r="N1859" s="69" t="e" vm="1">
        <v>#VALUE!</v>
      </c>
      <c r="O1859" s="164"/>
      <c r="P1859" s="72" t="s">
        <v>402</v>
      </c>
      <c r="Q1859" s="72"/>
      <c r="R1859" s="162"/>
      <c r="S1859" s="146" t="s">
        <v>838</v>
      </c>
      <c r="T1859" s="68" t="s">
        <v>165</v>
      </c>
      <c r="U1859" s="87"/>
      <c r="V1859" s="183">
        <v>43217</v>
      </c>
      <c r="W1859" s="73">
        <v>1</v>
      </c>
      <c r="X1859" s="73"/>
      <c r="Y1859" s="83">
        <f>IF(SUM(W1859:W1859)&gt;0,X1859/SUM(W1859:W1859)*1000000,"N/A")</f>
        <v>0</v>
      </c>
      <c r="Z1859" s="183"/>
      <c r="AA1859" s="183"/>
      <c r="AB1859" s="73"/>
      <c r="AC1859" s="153"/>
      <c r="AD1859" s="331"/>
      <c r="AE1859" s="57"/>
      <c r="AF1859" s="88"/>
      <c r="AG1859" s="182">
        <f>YEAR(D1859)</f>
        <v>2018</v>
      </c>
      <c r="AH1859" s="86" t="str">
        <f>+IF(AE1859=$AJ$22,MONTH(T1859),"")</f>
        <v/>
      </c>
      <c r="AI1859" s="86" t="str">
        <f>+IF(AF1859=$AJ$22,MONTH(U1859),"")</f>
        <v/>
      </c>
      <c r="AJ1859" s="86" t="str">
        <f>+IF(AG1859=$AJ$22,MONTH(V1859),"")</f>
        <v/>
      </c>
      <c r="AK1859" s="86" t="str">
        <f>+IF(AG1859=$AK$22,MONTH(V1859),"")</f>
        <v/>
      </c>
      <c r="AL1859" s="86" t="str">
        <f>+IF(AG1859=$AL$22,MONTH(V1859),"")</f>
        <v/>
      </c>
      <c r="AM1859" s="86" t="str">
        <f>+IF($AG1859=$AM$22,MONTH($D1859),"")</f>
        <v/>
      </c>
      <c r="AN1859" s="89" t="str">
        <f>+IF($AG1859=AN$22,MONTH($D1859),"")</f>
        <v/>
      </c>
      <c r="AO1859" s="86" t="str">
        <f>+IF($AG1859=AO$22,MONTH($D1859),"")</f>
        <v/>
      </c>
      <c r="AP1859" s="86">
        <f>+IF($AG1859=AP$22,MONTH($D1859),"")</f>
        <v>4</v>
      </c>
      <c r="AQ1859" s="86" t="str">
        <f>+IF($AG1859=AQ$22,MONTH($D1859),"")</f>
        <v/>
      </c>
      <c r="AR1859" s="86" t="str">
        <f>+IF($AG1859=AR$22,MONTH($D1859),"")</f>
        <v/>
      </c>
      <c r="AS1859" s="86" t="str">
        <f>+IF($AG1859=AS$22,MONTH($D1859),"")</f>
        <v/>
      </c>
      <c r="AT1859" s="86" t="str">
        <f>+IF($AG1859=AT$22,MONTH($D1859),"")</f>
        <v/>
      </c>
      <c r="AU1859" s="86" t="str">
        <f>+IF($AG1859=AU$22,MONTH($D1859),"")</f>
        <v/>
      </c>
      <c r="AV1859" s="86" t="str">
        <f>+IF($AG1859=AV$22,MONTH($D1859),"")</f>
        <v/>
      </c>
      <c r="AW1859" s="86" t="str">
        <f>+IF($AG1859=AW$22,MONTH($D1859),"")</f>
        <v/>
      </c>
      <c r="AX1859" s="86" t="str">
        <f>+IF($AG1859=AX$22,MONTH($D1859),"")</f>
        <v/>
      </c>
      <c r="AY1859" s="182"/>
      <c r="AZ1859" s="182"/>
      <c r="BA1859" s="182"/>
      <c r="BB1859" s="182"/>
      <c r="BC1859" s="182"/>
      <c r="BD1859" s="182"/>
      <c r="BE1859" s="182"/>
      <c r="BF1859" s="182"/>
      <c r="BG1859" s="182"/>
      <c r="BH1859" s="182"/>
      <c r="BI1859" s="182"/>
      <c r="BJ1859" s="89"/>
      <c r="BK1859" s="89"/>
      <c r="BL1859" s="89"/>
      <c r="BM1859" s="89"/>
      <c r="BN1859" s="89"/>
      <c r="BO1859" s="89"/>
      <c r="BP1859" s="89"/>
    </row>
    <row r="1860" spans="1:68" s="56" customFormat="1" ht="29.25" hidden="1" customHeight="1">
      <c r="A1860" s="204">
        <f>+IFERROR(VALUE(MID(AB1860,4,4)),"")</f>
        <v>202</v>
      </c>
      <c r="B1860" s="204">
        <f>VALUE(RIGHT(C1860,LEN(C1860)-2))</f>
        <v>865</v>
      </c>
      <c r="C1860" s="74" t="s">
        <v>6544</v>
      </c>
      <c r="D1860" s="75">
        <v>43234</v>
      </c>
      <c r="E1860" s="70" t="s">
        <v>53</v>
      </c>
      <c r="F1860" s="70" t="s">
        <v>630</v>
      </c>
      <c r="G1860" s="68"/>
      <c r="H1860" s="59"/>
      <c r="I1860" s="162" t="s">
        <v>6545</v>
      </c>
      <c r="J1860" s="162"/>
      <c r="K1860" s="68" t="s">
        <v>45</v>
      </c>
      <c r="L1860" s="69" t="s">
        <v>123</v>
      </c>
      <c r="M1860" s="71" t="s">
        <v>141</v>
      </c>
      <c r="N1860" s="69" t="e" vm="1">
        <v>#VALUE!</v>
      </c>
      <c r="O1860" s="164"/>
      <c r="P1860" s="72" t="s">
        <v>402</v>
      </c>
      <c r="Q1860" s="72" t="s">
        <v>1097</v>
      </c>
      <c r="R1860" s="162"/>
      <c r="S1860" s="146"/>
      <c r="T1860" s="68" t="s">
        <v>3</v>
      </c>
      <c r="U1860" s="87"/>
      <c r="V1860" s="183">
        <v>43262</v>
      </c>
      <c r="W1860" s="73">
        <v>40208</v>
      </c>
      <c r="X1860" s="73">
        <f>1537716119.41/1000000</f>
        <v>1537.7161194100001</v>
      </c>
      <c r="Y1860" s="83">
        <f>IF(SUM(W1860:W1860)&gt;0,X1860/SUM(W1860:W1860)*1000000,"N/A")</f>
        <v>38244.034008406292</v>
      </c>
      <c r="Z1860" s="183"/>
      <c r="AA1860" s="183"/>
      <c r="AB1860" s="73" t="s">
        <v>6058</v>
      </c>
      <c r="AC1860" s="153"/>
      <c r="AD1860" s="331"/>
      <c r="AE1860" s="57"/>
      <c r="AF1860" s="88"/>
      <c r="AG1860" s="182">
        <f>YEAR(D1860)</f>
        <v>2018</v>
      </c>
      <c r="AH1860" s="86" t="str">
        <f>+IF(AE1860=$AJ$22,MONTH(T1860),"")</f>
        <v/>
      </c>
      <c r="AI1860" s="86" t="str">
        <f>+IF(AF1860=$AJ$22,MONTH(U1860),"")</f>
        <v/>
      </c>
      <c r="AJ1860" s="86" t="str">
        <f>+IF(AG1860=$AJ$22,MONTH(V1860),"")</f>
        <v/>
      </c>
      <c r="AK1860" s="86" t="str">
        <f>+IF(AG1860=$AK$22,MONTH(V1860),"")</f>
        <v/>
      </c>
      <c r="AL1860" s="86" t="str">
        <f>+IF(AG1860=$AL$22,MONTH(V1860),"")</f>
        <v/>
      </c>
      <c r="AM1860" s="86" t="str">
        <f>+IF($AG1860=$AM$22,MONTH($D1860),"")</f>
        <v/>
      </c>
      <c r="AN1860" s="89" t="str">
        <f>+IF($AG1860=AN$22,MONTH($D1860),"")</f>
        <v/>
      </c>
      <c r="AO1860" s="86" t="str">
        <f>+IF($AG1860=AO$22,MONTH($D1860),"")</f>
        <v/>
      </c>
      <c r="AP1860" s="86">
        <f>+IF($AG1860=AP$22,MONTH($D1860),"")</f>
        <v>5</v>
      </c>
      <c r="AQ1860" s="86" t="str">
        <f>+IF($AG1860=AQ$22,MONTH($D1860),"")</f>
        <v/>
      </c>
      <c r="AR1860" s="86" t="str">
        <f>+IF($AG1860=AR$22,MONTH($D1860),"")</f>
        <v/>
      </c>
      <c r="AS1860" s="86" t="str">
        <f>+IF($AG1860=AS$22,MONTH($D1860),"")</f>
        <v/>
      </c>
      <c r="AT1860" s="86" t="str">
        <f>+IF($AG1860=AT$22,MONTH($D1860),"")</f>
        <v/>
      </c>
      <c r="AU1860" s="86" t="str">
        <f>+IF($AG1860=AU$22,MONTH($D1860),"")</f>
        <v/>
      </c>
      <c r="AV1860" s="86" t="str">
        <f>+IF($AG1860=AV$22,MONTH($D1860),"")</f>
        <v/>
      </c>
      <c r="AW1860" s="86" t="str">
        <f>+IF($AG1860=AW$22,MONTH($D1860),"")</f>
        <v/>
      </c>
      <c r="AX1860" s="86" t="str">
        <f>+IF($AG1860=AX$22,MONTH($D1860),"")</f>
        <v/>
      </c>
      <c r="AY1860" s="182"/>
      <c r="AZ1860" s="182"/>
      <c r="BA1860" s="182"/>
      <c r="BB1860" s="182"/>
      <c r="BC1860" s="182"/>
      <c r="BD1860" s="182"/>
      <c r="BE1860" s="182"/>
      <c r="BF1860" s="182"/>
      <c r="BG1860" s="182"/>
      <c r="BH1860" s="182"/>
      <c r="BI1860" s="182"/>
      <c r="BJ1860" s="89"/>
      <c r="BK1860" s="89"/>
      <c r="BL1860" s="89"/>
      <c r="BM1860" s="89"/>
      <c r="BN1860" s="89"/>
      <c r="BO1860" s="89"/>
      <c r="BP1860" s="89"/>
    </row>
    <row r="1861" spans="1:68" s="56" customFormat="1" ht="13.5" hidden="1">
      <c r="A1861" s="204" t="str">
        <f>+IFERROR(VALUE(MID(AB1861,4,4)),"")</f>
        <v/>
      </c>
      <c r="B1861" s="204">
        <f>VALUE(RIGHT(C1861,LEN(C1861)-2))</f>
        <v>864</v>
      </c>
      <c r="C1861" s="74" t="s">
        <v>6546</v>
      </c>
      <c r="D1861" s="75">
        <v>43216</v>
      </c>
      <c r="E1861" s="70"/>
      <c r="F1861" s="70" t="s">
        <v>6547</v>
      </c>
      <c r="G1861" s="68"/>
      <c r="H1861" s="59"/>
      <c r="I1861" s="162" t="s">
        <v>6548</v>
      </c>
      <c r="J1861" s="162"/>
      <c r="K1861" s="68"/>
      <c r="L1861" s="69"/>
      <c r="M1861" s="71"/>
      <c r="N1861" s="69"/>
      <c r="O1861" s="164"/>
      <c r="P1861" s="72"/>
      <c r="Q1861" s="72"/>
      <c r="R1861" s="162"/>
      <c r="S1861" s="146"/>
      <c r="T1861" s="68" t="s">
        <v>155</v>
      </c>
      <c r="U1861" s="87"/>
      <c r="V1861" s="183"/>
      <c r="W1861" s="73"/>
      <c r="X1861" s="73"/>
      <c r="Y1861" s="83"/>
      <c r="Z1861" s="183"/>
      <c r="AA1861" s="183"/>
      <c r="AB1861" s="73"/>
      <c r="AC1861" s="153"/>
      <c r="AD1861" s="331"/>
      <c r="AE1861" s="57"/>
      <c r="AF1861" s="88"/>
      <c r="AG1861" s="182"/>
      <c r="AH1861" s="86" t="str">
        <f>+IF(AE1861=$AJ$22,MONTH(T1861),"")</f>
        <v/>
      </c>
      <c r="AI1861" s="86" t="str">
        <f>+IF(AF1861=$AJ$22,MONTH(U1861),"")</f>
        <v/>
      </c>
      <c r="AJ1861" s="86" t="str">
        <f>+IF(AG1861=$AJ$22,MONTH(V1861),"")</f>
        <v/>
      </c>
      <c r="AK1861" s="86" t="str">
        <f>+IF(AG1861=$AK$22,MONTH(V1861),"")</f>
        <v/>
      </c>
      <c r="AL1861" s="86" t="str">
        <f>+IF(AG1861=$AL$22,MONTH(V1861),"")</f>
        <v/>
      </c>
      <c r="AM1861" s="86" t="str">
        <f>+IF($AG1861=$AM$22,MONTH($D1861),"")</f>
        <v/>
      </c>
      <c r="AN1861" s="89" t="str">
        <f>+IF($AG1861=AN$22,MONTH($D1861),"")</f>
        <v/>
      </c>
      <c r="AO1861" s="86" t="str">
        <f>+IF($AG1861=AO$22,MONTH($D1861),"")</f>
        <v/>
      </c>
      <c r="AP1861" s="86" t="str">
        <f>+IF($AG1861=AP$22,MONTH($D1861),"")</f>
        <v/>
      </c>
      <c r="AQ1861" s="86" t="str">
        <f>+IF($AG1861=AQ$22,MONTH($D1861),"")</f>
        <v/>
      </c>
      <c r="AR1861" s="86" t="str">
        <f>+IF($AG1861=AR$22,MONTH($D1861),"")</f>
        <v/>
      </c>
      <c r="AS1861" s="86" t="str">
        <f>+IF($AG1861=AS$22,MONTH($D1861),"")</f>
        <v/>
      </c>
      <c r="AT1861" s="86" t="str">
        <f>+IF($AG1861=AT$22,MONTH($D1861),"")</f>
        <v/>
      </c>
      <c r="AU1861" s="86" t="str">
        <f>+IF($AG1861=AU$22,MONTH($D1861),"")</f>
        <v/>
      </c>
      <c r="AV1861" s="86" t="str">
        <f>+IF($AG1861=AV$22,MONTH($D1861),"")</f>
        <v/>
      </c>
      <c r="AW1861" s="86" t="str">
        <f>+IF($AG1861=AW$22,MONTH($D1861),"")</f>
        <v/>
      </c>
      <c r="AX1861" s="86" t="str">
        <f>+IF($AG1861=AX$22,MONTH($D1861),"")</f>
        <v/>
      </c>
      <c r="AY1861" s="182"/>
      <c r="AZ1861" s="182"/>
      <c r="BA1861" s="182"/>
      <c r="BB1861" s="182"/>
      <c r="BC1861" s="182"/>
      <c r="BD1861" s="182"/>
      <c r="BE1861" s="182"/>
      <c r="BF1861" s="182"/>
      <c r="BG1861" s="182"/>
      <c r="BH1861" s="182"/>
      <c r="BI1861" s="182"/>
      <c r="BJ1861" s="89"/>
      <c r="BK1861" s="89"/>
      <c r="BL1861" s="89"/>
      <c r="BM1861" s="89"/>
      <c r="BN1861" s="89"/>
      <c r="BO1861" s="89"/>
      <c r="BP1861" s="89"/>
    </row>
    <row r="1862" spans="1:68" s="56" customFormat="1" ht="27" hidden="1">
      <c r="A1862" s="204" t="str">
        <f>+IFERROR(VALUE(MID(AB1862,4,4)),"")</f>
        <v/>
      </c>
      <c r="B1862" s="204">
        <f>VALUE(RIGHT(C1862,LEN(C1862)-2))</f>
        <v>863</v>
      </c>
      <c r="C1862" s="74" t="s">
        <v>6549</v>
      </c>
      <c r="D1862" s="75">
        <v>43220</v>
      </c>
      <c r="E1862" s="70" t="s">
        <v>332</v>
      </c>
      <c r="F1862" s="70" t="s">
        <v>332</v>
      </c>
      <c r="G1862" s="68" t="s">
        <v>6522</v>
      </c>
      <c r="H1862" s="59" t="s">
        <v>6550</v>
      </c>
      <c r="I1862" s="162" t="s">
        <v>6551</v>
      </c>
      <c r="J1862" s="162"/>
      <c r="K1862" s="68" t="s">
        <v>13</v>
      </c>
      <c r="L1862" s="69" t="s">
        <v>120</v>
      </c>
      <c r="M1862" s="71" t="s">
        <v>141</v>
      </c>
      <c r="N1862" s="69" t="e" vm="1">
        <v>#VALUE!</v>
      </c>
      <c r="O1862" s="164"/>
      <c r="P1862" s="72" t="s">
        <v>402</v>
      </c>
      <c r="Q1862" s="72"/>
      <c r="R1862" s="162"/>
      <c r="S1862" s="146"/>
      <c r="T1862" s="68" t="s">
        <v>165</v>
      </c>
      <c r="U1862" s="87"/>
      <c r="V1862" s="183">
        <v>43220</v>
      </c>
      <c r="W1862" s="73">
        <v>575</v>
      </c>
      <c r="X1862" s="73">
        <f>606*27000/1000000</f>
        <v>16.361999999999998</v>
      </c>
      <c r="Y1862" s="83">
        <f>IF(SUM(W1862:W1862)&gt;0,X1862/SUM(W1862:W1862)*1000000,"N/A")</f>
        <v>28455.65217391304</v>
      </c>
      <c r="Z1862" s="183"/>
      <c r="AA1862" s="183"/>
      <c r="AB1862" s="73"/>
      <c r="AC1862" s="153"/>
      <c r="AD1862" s="331"/>
      <c r="AE1862" s="57"/>
      <c r="AF1862" s="88"/>
      <c r="AG1862" s="182">
        <f>YEAR(D1862)</f>
        <v>2018</v>
      </c>
      <c r="AH1862" s="86" t="str">
        <f>+IF(AE1862=$AJ$22,MONTH(T1862),"")</f>
        <v/>
      </c>
      <c r="AI1862" s="86" t="str">
        <f>+IF(AF1862=$AJ$22,MONTH(U1862),"")</f>
        <v/>
      </c>
      <c r="AJ1862" s="86" t="str">
        <f>+IF(AG1862=$AJ$22,MONTH(V1862),"")</f>
        <v/>
      </c>
      <c r="AK1862" s="86" t="str">
        <f>+IF(AG1862=$AK$22,MONTH(V1862),"")</f>
        <v/>
      </c>
      <c r="AL1862" s="86" t="str">
        <f>+IF(AG1862=$AL$22,MONTH(V1862),"")</f>
        <v/>
      </c>
      <c r="AM1862" s="86" t="str">
        <f>+IF($AG1862=$AM$22,MONTH($D1862),"")</f>
        <v/>
      </c>
      <c r="AN1862" s="89" t="str">
        <f>+IF($AG1862=AN$22,MONTH($D1862),"")</f>
        <v/>
      </c>
      <c r="AO1862" s="86" t="str">
        <f>+IF($AG1862=AO$22,MONTH($D1862),"")</f>
        <v/>
      </c>
      <c r="AP1862" s="86">
        <f>+IF($AG1862=AP$22,MONTH($D1862),"")</f>
        <v>4</v>
      </c>
      <c r="AQ1862" s="86" t="str">
        <f>+IF($AG1862=AQ$22,MONTH($D1862),"")</f>
        <v/>
      </c>
      <c r="AR1862" s="86" t="str">
        <f>+IF($AG1862=AR$22,MONTH($D1862),"")</f>
        <v/>
      </c>
      <c r="AS1862" s="86" t="str">
        <f>+IF($AG1862=AS$22,MONTH($D1862),"")</f>
        <v/>
      </c>
      <c r="AT1862" s="86" t="str">
        <f>+IF($AG1862=AT$22,MONTH($D1862),"")</f>
        <v/>
      </c>
      <c r="AU1862" s="86" t="str">
        <f>+IF($AG1862=AU$22,MONTH($D1862),"")</f>
        <v/>
      </c>
      <c r="AV1862" s="86" t="str">
        <f>+IF($AG1862=AV$22,MONTH($D1862),"")</f>
        <v/>
      </c>
      <c r="AW1862" s="86" t="str">
        <f>+IF($AG1862=AW$22,MONTH($D1862),"")</f>
        <v/>
      </c>
      <c r="AX1862" s="86" t="str">
        <f>+IF($AG1862=AX$22,MONTH($D1862),"")</f>
        <v/>
      </c>
      <c r="AY1862" s="182"/>
      <c r="AZ1862" s="182"/>
      <c r="BA1862" s="182"/>
      <c r="BB1862" s="182"/>
      <c r="BC1862" s="182"/>
      <c r="BD1862" s="182"/>
      <c r="BE1862" s="182"/>
      <c r="BF1862" s="182"/>
      <c r="BG1862" s="182"/>
      <c r="BH1862" s="182"/>
      <c r="BI1862" s="182"/>
      <c r="BJ1862" s="89"/>
      <c r="BK1862" s="89"/>
      <c r="BL1862" s="89"/>
      <c r="BM1862" s="89"/>
      <c r="BN1862" s="89"/>
      <c r="BO1862" s="89"/>
      <c r="BP1862" s="89"/>
    </row>
    <row r="1863" spans="1:68" s="56" customFormat="1" ht="27" hidden="1">
      <c r="A1863" s="204" t="str">
        <f>+IFERROR(VALUE(MID(AB1863,4,4)),"")</f>
        <v/>
      </c>
      <c r="B1863" s="204">
        <f>VALUE(RIGHT(C1863,LEN(C1863)-2))</f>
        <v>862</v>
      </c>
      <c r="C1863" s="74" t="s">
        <v>6552</v>
      </c>
      <c r="D1863" s="75">
        <v>43222</v>
      </c>
      <c r="E1863" s="70" t="s">
        <v>6536</v>
      </c>
      <c r="F1863" s="70" t="s">
        <v>6536</v>
      </c>
      <c r="G1863" s="68" t="s">
        <v>6537</v>
      </c>
      <c r="H1863" s="59" t="s">
        <v>6538</v>
      </c>
      <c r="I1863" s="162" t="s">
        <v>6553</v>
      </c>
      <c r="J1863" s="162"/>
      <c r="K1863" s="68" t="s">
        <v>11</v>
      </c>
      <c r="L1863" s="69" t="s">
        <v>120</v>
      </c>
      <c r="M1863" s="71" t="s">
        <v>141</v>
      </c>
      <c r="N1863" s="69" t="e" vm="1">
        <v>#VALUE!</v>
      </c>
      <c r="O1863" s="164"/>
      <c r="P1863" s="72" t="s">
        <v>402</v>
      </c>
      <c r="Q1863" s="72"/>
      <c r="R1863" s="162"/>
      <c r="S1863" s="146"/>
      <c r="T1863" s="68" t="s">
        <v>165</v>
      </c>
      <c r="U1863" s="87"/>
      <c r="V1863" s="183" t="s">
        <v>6554</v>
      </c>
      <c r="W1863" s="73">
        <v>1096</v>
      </c>
      <c r="X1863" s="73">
        <f>8445*27000/1000000</f>
        <v>228.01499999999999</v>
      </c>
      <c r="Y1863" s="83">
        <f>IF(SUM(W1863:W1863)&gt;0,X1863/SUM(W1863:W1863)*1000000,"N/A")</f>
        <v>208042.88321167883</v>
      </c>
      <c r="Z1863" s="183"/>
      <c r="AA1863" s="183"/>
      <c r="AB1863" s="73"/>
      <c r="AC1863" s="153"/>
      <c r="AD1863" s="331"/>
      <c r="AE1863" s="57"/>
      <c r="AF1863" s="88"/>
      <c r="AG1863" s="182">
        <f>YEAR(D1863)</f>
        <v>2018</v>
      </c>
      <c r="AH1863" s="86" t="str">
        <f>+IF(AE1863=$AJ$22,MONTH(T1863),"")</f>
        <v/>
      </c>
      <c r="AI1863" s="86" t="str">
        <f>+IF(AF1863=$AJ$22,MONTH(U1863),"")</f>
        <v/>
      </c>
      <c r="AJ1863" s="86" t="str">
        <f>+IF(AG1863=$AJ$22,MONTH(V1863),"")</f>
        <v/>
      </c>
      <c r="AK1863" s="86" t="str">
        <f>+IF(AG1863=$AK$22,MONTH(V1863),"")</f>
        <v/>
      </c>
      <c r="AL1863" s="86" t="str">
        <f>+IF(AG1863=$AL$22,MONTH(V1863),"")</f>
        <v/>
      </c>
      <c r="AM1863" s="86" t="str">
        <f>+IF($AG1863=$AM$22,MONTH($D1863),"")</f>
        <v/>
      </c>
      <c r="AN1863" s="89" t="str">
        <f>+IF($AG1863=AN$22,MONTH($D1863),"")</f>
        <v/>
      </c>
      <c r="AO1863" s="86" t="str">
        <f>+IF($AG1863=AO$22,MONTH($D1863),"")</f>
        <v/>
      </c>
      <c r="AP1863" s="86">
        <f>+IF($AG1863=AP$22,MONTH($D1863),"")</f>
        <v>5</v>
      </c>
      <c r="AQ1863" s="86" t="str">
        <f>+IF($AG1863=AQ$22,MONTH($D1863),"")</f>
        <v/>
      </c>
      <c r="AR1863" s="86" t="str">
        <f>+IF($AG1863=AR$22,MONTH($D1863),"")</f>
        <v/>
      </c>
      <c r="AS1863" s="86" t="str">
        <f>+IF($AG1863=AS$22,MONTH($D1863),"")</f>
        <v/>
      </c>
      <c r="AT1863" s="86" t="str">
        <f>+IF($AG1863=AT$22,MONTH($D1863),"")</f>
        <v/>
      </c>
      <c r="AU1863" s="86" t="str">
        <f>+IF($AG1863=AU$22,MONTH($D1863),"")</f>
        <v/>
      </c>
      <c r="AV1863" s="86" t="str">
        <f>+IF($AG1863=AV$22,MONTH($D1863),"")</f>
        <v/>
      </c>
      <c r="AW1863" s="86" t="str">
        <f>+IF($AG1863=AW$22,MONTH($D1863),"")</f>
        <v/>
      </c>
      <c r="AX1863" s="86" t="str">
        <f>+IF($AG1863=AX$22,MONTH($D1863),"")</f>
        <v/>
      </c>
      <c r="AY1863" s="182"/>
      <c r="AZ1863" s="182"/>
      <c r="BA1863" s="182"/>
      <c r="BB1863" s="182"/>
      <c r="BC1863" s="182"/>
      <c r="BD1863" s="182"/>
      <c r="BE1863" s="182"/>
      <c r="BF1863" s="182"/>
      <c r="BG1863" s="182"/>
      <c r="BH1863" s="182"/>
      <c r="BI1863" s="182"/>
      <c r="BJ1863" s="89"/>
      <c r="BK1863" s="89"/>
      <c r="BL1863" s="89"/>
      <c r="BM1863" s="89"/>
      <c r="BN1863" s="89"/>
      <c r="BO1863" s="89"/>
      <c r="BP1863" s="89"/>
    </row>
    <row r="1864" spans="1:68" s="56" customFormat="1" ht="13.5" hidden="1">
      <c r="A1864" s="204">
        <f>+IFERROR(VALUE(MID(AB1864,4,4)),"")</f>
        <v>193</v>
      </c>
      <c r="B1864" s="204">
        <f>VALUE(RIGHT(C1864,LEN(C1864)-2))</f>
        <v>861</v>
      </c>
      <c r="C1864" s="74" t="s">
        <v>6555</v>
      </c>
      <c r="D1864" s="75">
        <v>43230</v>
      </c>
      <c r="E1864" s="70" t="s">
        <v>277</v>
      </c>
      <c r="F1864" s="70" t="s">
        <v>277</v>
      </c>
      <c r="G1864" s="68"/>
      <c r="H1864" s="59"/>
      <c r="I1864" s="162" t="s">
        <v>6556</v>
      </c>
      <c r="J1864" s="162"/>
      <c r="K1864" s="68" t="s">
        <v>42</v>
      </c>
      <c r="L1864" s="69" t="s">
        <v>123</v>
      </c>
      <c r="M1864" s="71" t="s">
        <v>141</v>
      </c>
      <c r="N1864" s="69" t="e" vm="1">
        <v>#VALUE!</v>
      </c>
      <c r="O1864" s="164"/>
      <c r="P1864" s="72" t="s">
        <v>402</v>
      </c>
      <c r="Q1864" s="72" t="s">
        <v>1097</v>
      </c>
      <c r="R1864" s="162"/>
      <c r="S1864" s="146"/>
      <c r="T1864" s="68" t="s">
        <v>3</v>
      </c>
      <c r="U1864" s="87"/>
      <c r="V1864" s="183">
        <v>43230</v>
      </c>
      <c r="W1864" s="73">
        <v>455</v>
      </c>
      <c r="X1864" s="73">
        <v>15.75</v>
      </c>
      <c r="Y1864" s="83">
        <f>IF(SUM(W1864:W1864)&gt;0,X1864/SUM(W1864:W1864)*1000000,"N/A")</f>
        <v>34615.384615384617</v>
      </c>
      <c r="Z1864" s="183"/>
      <c r="AA1864" s="183"/>
      <c r="AB1864" s="73" t="s">
        <v>6557</v>
      </c>
      <c r="AC1864" s="153"/>
      <c r="AD1864" s="331"/>
      <c r="AE1864" s="57"/>
      <c r="AF1864" s="88"/>
      <c r="AG1864" s="182">
        <f>YEAR(D1864)</f>
        <v>2018</v>
      </c>
      <c r="AH1864" s="86" t="str">
        <f>+IF(AE1864=$AJ$22,MONTH(T1864),"")</f>
        <v/>
      </c>
      <c r="AI1864" s="86" t="str">
        <f>+IF(AF1864=$AJ$22,MONTH(U1864),"")</f>
        <v/>
      </c>
      <c r="AJ1864" s="86" t="str">
        <f>+IF(AG1864=$AJ$22,MONTH(V1864),"")</f>
        <v/>
      </c>
      <c r="AK1864" s="86" t="str">
        <f>+IF(AG1864=$AK$22,MONTH(V1864),"")</f>
        <v/>
      </c>
      <c r="AL1864" s="86" t="str">
        <f>+IF(AG1864=$AL$22,MONTH(V1864),"")</f>
        <v/>
      </c>
      <c r="AM1864" s="86" t="str">
        <f>+IF($AG1864=$AM$22,MONTH($D1864),"")</f>
        <v/>
      </c>
      <c r="AN1864" s="89" t="str">
        <f>+IF($AG1864=AN$22,MONTH($D1864),"")</f>
        <v/>
      </c>
      <c r="AO1864" s="86" t="str">
        <f>+IF($AG1864=AO$22,MONTH($D1864),"")</f>
        <v/>
      </c>
      <c r="AP1864" s="86">
        <f>+IF($AG1864=AP$22,MONTH($D1864),"")</f>
        <v>5</v>
      </c>
      <c r="AQ1864" s="86" t="str">
        <f>+IF($AG1864=AQ$22,MONTH($D1864),"")</f>
        <v/>
      </c>
      <c r="AR1864" s="86" t="str">
        <f>+IF($AG1864=AR$22,MONTH($D1864),"")</f>
        <v/>
      </c>
      <c r="AS1864" s="86" t="str">
        <f>+IF($AG1864=AS$22,MONTH($D1864),"")</f>
        <v/>
      </c>
      <c r="AT1864" s="86" t="str">
        <f>+IF($AG1864=AT$22,MONTH($D1864),"")</f>
        <v/>
      </c>
      <c r="AU1864" s="86" t="str">
        <f>+IF($AG1864=AU$22,MONTH($D1864),"")</f>
        <v/>
      </c>
      <c r="AV1864" s="86" t="str">
        <f>+IF($AG1864=AV$22,MONTH($D1864),"")</f>
        <v/>
      </c>
      <c r="AW1864" s="86" t="str">
        <f>+IF($AG1864=AW$22,MONTH($D1864),"")</f>
        <v/>
      </c>
      <c r="AX1864" s="86" t="str">
        <f>+IF($AG1864=AX$22,MONTH($D1864),"")</f>
        <v/>
      </c>
      <c r="AY1864" s="182"/>
      <c r="AZ1864" s="182"/>
      <c r="BA1864" s="182"/>
      <c r="BB1864" s="182"/>
      <c r="BC1864" s="182"/>
      <c r="BD1864" s="182"/>
      <c r="BE1864" s="182"/>
      <c r="BF1864" s="182"/>
      <c r="BG1864" s="182"/>
      <c r="BH1864" s="182"/>
      <c r="BI1864" s="182"/>
      <c r="BJ1864" s="89"/>
      <c r="BK1864" s="89"/>
      <c r="BL1864" s="89"/>
      <c r="BM1864" s="89"/>
      <c r="BN1864" s="89"/>
      <c r="BO1864" s="89"/>
      <c r="BP1864" s="89"/>
    </row>
    <row r="1865" spans="1:68" s="56" customFormat="1" ht="13.5" hidden="1">
      <c r="A1865" s="204" t="str">
        <f>+IFERROR(VALUE(MID(AB1865,4,4)),"")</f>
        <v/>
      </c>
      <c r="B1865" s="204">
        <f>VALUE(RIGHT(C1865,LEN(C1865)-2))</f>
        <v>860</v>
      </c>
      <c r="C1865" s="74" t="s">
        <v>6558</v>
      </c>
      <c r="D1865" s="75">
        <v>43224</v>
      </c>
      <c r="E1865" s="70" t="s">
        <v>685</v>
      </c>
      <c r="F1865" s="70" t="s">
        <v>685</v>
      </c>
      <c r="G1865" s="68" t="s">
        <v>6559</v>
      </c>
      <c r="H1865" s="59"/>
      <c r="I1865" s="162" t="s">
        <v>6560</v>
      </c>
      <c r="J1865" s="162"/>
      <c r="K1865" s="68" t="s">
        <v>30</v>
      </c>
      <c r="L1865" s="69" t="s">
        <v>120</v>
      </c>
      <c r="M1865" s="71" t="s">
        <v>141</v>
      </c>
      <c r="N1865" s="69" t="e" vm="1">
        <v>#VALUE!</v>
      </c>
      <c r="O1865" s="164"/>
      <c r="P1865" s="72" t="s">
        <v>402</v>
      </c>
      <c r="Q1865" s="72"/>
      <c r="R1865" s="162"/>
      <c r="S1865" s="146"/>
      <c r="T1865" s="68" t="s">
        <v>165</v>
      </c>
      <c r="U1865" s="87"/>
      <c r="V1865" s="183">
        <v>43224</v>
      </c>
      <c r="W1865" s="73">
        <v>383</v>
      </c>
      <c r="X1865" s="73">
        <f>14700000/1000000</f>
        <v>14.7</v>
      </c>
      <c r="Y1865" s="83">
        <f>IF(SUM(W1865:W1865)&gt;0,X1865/SUM(W1865:W1865)*1000000,"N/A")</f>
        <v>38381.20104438642</v>
      </c>
      <c r="Z1865" s="183"/>
      <c r="AA1865" s="183"/>
      <c r="AB1865" s="73"/>
      <c r="AC1865" s="153"/>
      <c r="AD1865" s="331"/>
      <c r="AE1865" s="57"/>
      <c r="AF1865" s="88"/>
      <c r="AG1865" s="182">
        <f>YEAR(D1865)</f>
        <v>2018</v>
      </c>
      <c r="AH1865" s="86" t="str">
        <f>+IF(AE1865=$AJ$22,MONTH(T1865),"")</f>
        <v/>
      </c>
      <c r="AI1865" s="86" t="str">
        <f>+IF(AF1865=$AJ$22,MONTH(U1865),"")</f>
        <v/>
      </c>
      <c r="AJ1865" s="86" t="str">
        <f>+IF(AG1865=$AJ$22,MONTH(V1865),"")</f>
        <v/>
      </c>
      <c r="AK1865" s="86" t="str">
        <f>+IF(AG1865=$AK$22,MONTH(V1865),"")</f>
        <v/>
      </c>
      <c r="AL1865" s="86" t="str">
        <f>+IF(AG1865=$AL$22,MONTH(V1865),"")</f>
        <v/>
      </c>
      <c r="AM1865" s="86" t="str">
        <f>+IF($AG1865=$AM$22,MONTH($D1865),"")</f>
        <v/>
      </c>
      <c r="AN1865" s="89" t="str">
        <f>+IF($AG1865=AN$22,MONTH($D1865),"")</f>
        <v/>
      </c>
      <c r="AO1865" s="86" t="str">
        <f>+IF($AG1865=AO$22,MONTH($D1865),"")</f>
        <v/>
      </c>
      <c r="AP1865" s="86">
        <f>+IF($AG1865=AP$22,MONTH($D1865),"")</f>
        <v>5</v>
      </c>
      <c r="AQ1865" s="86" t="str">
        <f>+IF($AG1865=AQ$22,MONTH($D1865),"")</f>
        <v/>
      </c>
      <c r="AR1865" s="86" t="str">
        <f>+IF($AG1865=AR$22,MONTH($D1865),"")</f>
        <v/>
      </c>
      <c r="AS1865" s="86" t="str">
        <f>+IF($AG1865=AS$22,MONTH($D1865),"")</f>
        <v/>
      </c>
      <c r="AT1865" s="86" t="str">
        <f>+IF($AG1865=AT$22,MONTH($D1865),"")</f>
        <v/>
      </c>
      <c r="AU1865" s="86" t="str">
        <f>+IF($AG1865=AU$22,MONTH($D1865),"")</f>
        <v/>
      </c>
      <c r="AV1865" s="86" t="str">
        <f>+IF($AG1865=AV$22,MONTH($D1865),"")</f>
        <v/>
      </c>
      <c r="AW1865" s="86" t="str">
        <f>+IF($AG1865=AW$22,MONTH($D1865),"")</f>
        <v/>
      </c>
      <c r="AX1865" s="86" t="str">
        <f>+IF($AG1865=AX$22,MONTH($D1865),"")</f>
        <v/>
      </c>
      <c r="AY1865" s="182"/>
      <c r="AZ1865" s="182"/>
      <c r="BA1865" s="182"/>
      <c r="BB1865" s="182"/>
      <c r="BC1865" s="182"/>
      <c r="BD1865" s="182"/>
      <c r="BE1865" s="182"/>
      <c r="BF1865" s="182"/>
      <c r="BG1865" s="182"/>
      <c r="BH1865" s="182"/>
      <c r="BI1865" s="182"/>
      <c r="BJ1865" s="89"/>
      <c r="BK1865" s="89"/>
      <c r="BL1865" s="89"/>
      <c r="BM1865" s="89"/>
      <c r="BN1865" s="89"/>
      <c r="BO1865" s="89"/>
      <c r="BP1865" s="89"/>
    </row>
    <row r="1866" spans="1:68" s="56" customFormat="1" ht="13.5" hidden="1">
      <c r="A1866" s="204" t="str">
        <f>+IFERROR(VALUE(MID(AB1866,4,4)),"")</f>
        <v/>
      </c>
      <c r="B1866" s="204">
        <f>VALUE(RIGHT(C1866,LEN(C1866)-2))</f>
        <v>859</v>
      </c>
      <c r="C1866" s="74" t="s">
        <v>6561</v>
      </c>
      <c r="D1866" s="75">
        <v>43257</v>
      </c>
      <c r="E1866" s="70" t="s">
        <v>53</v>
      </c>
      <c r="F1866" s="70" t="s">
        <v>313</v>
      </c>
      <c r="G1866" s="68"/>
      <c r="H1866" s="59"/>
      <c r="I1866" s="162" t="s">
        <v>6562</v>
      </c>
      <c r="J1866" s="162"/>
      <c r="K1866" s="68" t="s">
        <v>13</v>
      </c>
      <c r="L1866" s="69" t="s">
        <v>123</v>
      </c>
      <c r="M1866" s="71" t="s">
        <v>141</v>
      </c>
      <c r="N1866" s="69" t="e" vm="1">
        <v>#VALUE!</v>
      </c>
      <c r="O1866" s="164"/>
      <c r="P1866" s="72" t="s">
        <v>402</v>
      </c>
      <c r="Q1866" s="72"/>
      <c r="R1866" s="162"/>
      <c r="S1866" s="146"/>
      <c r="T1866" s="68" t="s">
        <v>165</v>
      </c>
      <c r="U1866" s="87"/>
      <c r="V1866" s="183">
        <v>43257</v>
      </c>
      <c r="W1866" s="73">
        <v>1</v>
      </c>
      <c r="X1866" s="73"/>
      <c r="Y1866" s="83">
        <f>IF(SUM(W1866:W1866)&gt;0,X1866/SUM(W1866:W1866)*1000000,"N/A")</f>
        <v>0</v>
      </c>
      <c r="Z1866" s="183"/>
      <c r="AA1866" s="183"/>
      <c r="AB1866" s="73"/>
      <c r="AC1866" s="153"/>
      <c r="AD1866" s="331"/>
      <c r="AE1866" s="57"/>
      <c r="AF1866" s="88"/>
      <c r="AG1866" s="182">
        <f>YEAR(D1866)</f>
        <v>2018</v>
      </c>
      <c r="AH1866" s="86" t="str">
        <f>+IF(AE1866=$AJ$22,MONTH(T1866),"")</f>
        <v/>
      </c>
      <c r="AI1866" s="86" t="str">
        <f>+IF(AF1866=$AJ$22,MONTH(U1866),"")</f>
        <v/>
      </c>
      <c r="AJ1866" s="86" t="str">
        <f>+IF(AG1866=$AJ$22,MONTH(V1866),"")</f>
        <v/>
      </c>
      <c r="AK1866" s="86" t="str">
        <f>+IF(AG1866=$AK$22,MONTH(V1866),"")</f>
        <v/>
      </c>
      <c r="AL1866" s="86" t="str">
        <f>+IF(AG1866=$AL$22,MONTH(V1866),"")</f>
        <v/>
      </c>
      <c r="AM1866" s="86" t="str">
        <f>+IF($AG1866=$AM$22,MONTH($D1866),"")</f>
        <v/>
      </c>
      <c r="AN1866" s="89" t="str">
        <f>+IF($AG1866=AN$22,MONTH($D1866),"")</f>
        <v/>
      </c>
      <c r="AO1866" s="86" t="str">
        <f>+IF($AG1866=AO$22,MONTH($D1866),"")</f>
        <v/>
      </c>
      <c r="AP1866" s="86">
        <f>+IF($AG1866=AP$22,MONTH($D1866),"")</f>
        <v>6</v>
      </c>
      <c r="AQ1866" s="86" t="str">
        <f>+IF($AG1866=AQ$22,MONTH($D1866),"")</f>
        <v/>
      </c>
      <c r="AR1866" s="86" t="str">
        <f>+IF($AG1866=AR$22,MONTH($D1866),"")</f>
        <v/>
      </c>
      <c r="AS1866" s="86" t="str">
        <f>+IF($AG1866=AS$22,MONTH($D1866),"")</f>
        <v/>
      </c>
      <c r="AT1866" s="86" t="str">
        <f>+IF($AG1866=AT$22,MONTH($D1866),"")</f>
        <v/>
      </c>
      <c r="AU1866" s="86" t="str">
        <f>+IF($AG1866=AU$22,MONTH($D1866),"")</f>
        <v/>
      </c>
      <c r="AV1866" s="86" t="str">
        <f>+IF($AG1866=AV$22,MONTH($D1866),"")</f>
        <v/>
      </c>
      <c r="AW1866" s="86" t="str">
        <f>+IF($AG1866=AW$22,MONTH($D1866),"")</f>
        <v/>
      </c>
      <c r="AX1866" s="86" t="str">
        <f>+IF($AG1866=AX$22,MONTH($D1866),"")</f>
        <v/>
      </c>
      <c r="AY1866" s="182"/>
      <c r="AZ1866" s="182"/>
      <c r="BA1866" s="182"/>
      <c r="BB1866" s="182"/>
      <c r="BC1866" s="182"/>
      <c r="BD1866" s="182"/>
      <c r="BE1866" s="182"/>
      <c r="BF1866" s="182"/>
      <c r="BG1866" s="182"/>
      <c r="BH1866" s="182"/>
      <c r="BI1866" s="182"/>
      <c r="BJ1866" s="89"/>
      <c r="BK1866" s="89"/>
      <c r="BL1866" s="89"/>
      <c r="BM1866" s="89"/>
      <c r="BN1866" s="89"/>
      <c r="BO1866" s="89"/>
      <c r="BP1866" s="89"/>
    </row>
    <row r="1867" spans="1:68" s="56" customFormat="1" ht="27" hidden="1">
      <c r="A1867" s="204" t="str">
        <f>+IFERROR(VALUE(MID(AB1867,4,4)),"")</f>
        <v/>
      </c>
      <c r="B1867" s="204">
        <f>VALUE(RIGHT(C1867,LEN(C1867)-2))</f>
        <v>858</v>
      </c>
      <c r="C1867" s="74" t="s">
        <v>6563</v>
      </c>
      <c r="D1867" s="75">
        <v>43209</v>
      </c>
      <c r="E1867" s="70" t="s">
        <v>6564</v>
      </c>
      <c r="F1867" s="70" t="s">
        <v>6564</v>
      </c>
      <c r="G1867" s="68" t="s">
        <v>6565</v>
      </c>
      <c r="H1867" s="59"/>
      <c r="I1867" s="162" t="s">
        <v>6566</v>
      </c>
      <c r="J1867" s="162"/>
      <c r="K1867" s="68" t="s">
        <v>30</v>
      </c>
      <c r="L1867" s="69" t="s">
        <v>120</v>
      </c>
      <c r="M1867" s="71" t="s">
        <v>141</v>
      </c>
      <c r="N1867" s="69" t="e" vm="1">
        <v>#VALUE!</v>
      </c>
      <c r="O1867" s="164"/>
      <c r="P1867" s="72" t="s">
        <v>402</v>
      </c>
      <c r="Q1867" s="72"/>
      <c r="R1867" s="162"/>
      <c r="S1867" s="146"/>
      <c r="T1867" s="68" t="s">
        <v>165</v>
      </c>
      <c r="U1867" s="87"/>
      <c r="V1867" s="183">
        <v>43209</v>
      </c>
      <c r="W1867" s="73">
        <v>200</v>
      </c>
      <c r="X1867" s="73">
        <f>250*27000/1000000</f>
        <v>6.75</v>
      </c>
      <c r="Y1867" s="83">
        <f>IF(SUM(W1867:W1867)&gt;0,X1867/SUM(W1867:W1867)*1000000,"N/A")</f>
        <v>33750</v>
      </c>
      <c r="Z1867" s="183"/>
      <c r="AA1867" s="183"/>
      <c r="AB1867" s="73"/>
      <c r="AC1867" s="153"/>
      <c r="AD1867" s="331"/>
      <c r="AE1867" s="57"/>
      <c r="AF1867" s="88"/>
      <c r="AG1867" s="182">
        <f>YEAR(D1867)</f>
        <v>2018</v>
      </c>
      <c r="AH1867" s="86" t="str">
        <f>+IF(AE1867=$AJ$22,MONTH(T1867),"")</f>
        <v/>
      </c>
      <c r="AI1867" s="86" t="str">
        <f>+IF(AF1867=$AJ$22,MONTH(U1867),"")</f>
        <v/>
      </c>
      <c r="AJ1867" s="86" t="str">
        <f>+IF(AG1867=$AJ$22,MONTH(V1867),"")</f>
        <v/>
      </c>
      <c r="AK1867" s="86" t="str">
        <f>+IF(AG1867=$AK$22,MONTH(V1867),"")</f>
        <v/>
      </c>
      <c r="AL1867" s="86" t="str">
        <f>+IF(AG1867=$AL$22,MONTH(V1867),"")</f>
        <v/>
      </c>
      <c r="AM1867" s="86" t="str">
        <f>+IF($AG1867=$AM$22,MONTH($D1867),"")</f>
        <v/>
      </c>
      <c r="AN1867" s="89" t="str">
        <f>+IF($AG1867=AN$22,MONTH($D1867),"")</f>
        <v/>
      </c>
      <c r="AO1867" s="86" t="str">
        <f>+IF($AG1867=AO$22,MONTH($D1867),"")</f>
        <v/>
      </c>
      <c r="AP1867" s="86">
        <f>+IF($AG1867=AP$22,MONTH($D1867),"")</f>
        <v>4</v>
      </c>
      <c r="AQ1867" s="86" t="str">
        <f>+IF($AG1867=AQ$22,MONTH($D1867),"")</f>
        <v/>
      </c>
      <c r="AR1867" s="86" t="str">
        <f>+IF($AG1867=AR$22,MONTH($D1867),"")</f>
        <v/>
      </c>
      <c r="AS1867" s="86" t="str">
        <f>+IF($AG1867=AS$22,MONTH($D1867),"")</f>
        <v/>
      </c>
      <c r="AT1867" s="86" t="str">
        <f>+IF($AG1867=AT$22,MONTH($D1867),"")</f>
        <v/>
      </c>
      <c r="AU1867" s="86" t="str">
        <f>+IF($AG1867=AU$22,MONTH($D1867),"")</f>
        <v/>
      </c>
      <c r="AV1867" s="86" t="str">
        <f>+IF($AG1867=AV$22,MONTH($D1867),"")</f>
        <v/>
      </c>
      <c r="AW1867" s="86" t="str">
        <f>+IF($AG1867=AW$22,MONTH($D1867),"")</f>
        <v/>
      </c>
      <c r="AX1867" s="86" t="str">
        <f>+IF($AG1867=AX$22,MONTH($D1867),"")</f>
        <v/>
      </c>
      <c r="AY1867" s="182"/>
      <c r="AZ1867" s="182"/>
      <c r="BA1867" s="182"/>
      <c r="BB1867" s="182"/>
      <c r="BC1867" s="182"/>
      <c r="BD1867" s="182"/>
      <c r="BE1867" s="182"/>
      <c r="BF1867" s="182"/>
      <c r="BG1867" s="182"/>
      <c r="BH1867" s="182"/>
      <c r="BI1867" s="182"/>
      <c r="BJ1867" s="89"/>
      <c r="BK1867" s="89"/>
      <c r="BL1867" s="89"/>
      <c r="BM1867" s="89"/>
      <c r="BN1867" s="89"/>
      <c r="BO1867" s="89"/>
      <c r="BP1867" s="89"/>
    </row>
    <row r="1868" spans="1:68" s="56" customFormat="1" ht="13.5" hidden="1">
      <c r="A1868" s="204" t="str">
        <f>+IFERROR(VALUE(MID(AB1868,4,4)),"")</f>
        <v/>
      </c>
      <c r="B1868" s="204">
        <f>VALUE(RIGHT(C1868,LEN(C1868)-2))</f>
        <v>857</v>
      </c>
      <c r="C1868" s="74" t="s">
        <v>6567</v>
      </c>
      <c r="D1868" s="75">
        <v>43202</v>
      </c>
      <c r="E1868" s="70" t="s">
        <v>332</v>
      </c>
      <c r="F1868" s="70" t="s">
        <v>332</v>
      </c>
      <c r="G1868" s="68"/>
      <c r="H1868" s="59"/>
      <c r="I1868" s="162" t="s">
        <v>6568</v>
      </c>
      <c r="J1868" s="162"/>
      <c r="K1868" s="68" t="s">
        <v>13</v>
      </c>
      <c r="L1868" s="69" t="s">
        <v>129</v>
      </c>
      <c r="M1868" s="71" t="s">
        <v>141</v>
      </c>
      <c r="N1868" s="69" t="e" vm="1">
        <v>#VALUE!</v>
      </c>
      <c r="O1868" s="164"/>
      <c r="P1868" s="72" t="s">
        <v>402</v>
      </c>
      <c r="Q1868" s="72"/>
      <c r="R1868" s="162"/>
      <c r="S1868" s="146"/>
      <c r="T1868" s="68" t="s">
        <v>165</v>
      </c>
      <c r="U1868" s="87"/>
      <c r="V1868" s="183">
        <v>43299</v>
      </c>
      <c r="W1868" s="73">
        <v>974</v>
      </c>
      <c r="X1868" s="73">
        <f>936*27000/1000000</f>
        <v>25.271999999999998</v>
      </c>
      <c r="Y1868" s="83">
        <f>IF(SUM(W1868:W1868)&gt;0,X1868/SUM(W1868:W1868)*1000000,"N/A")</f>
        <v>25946.611909650921</v>
      </c>
      <c r="Z1868" s="183"/>
      <c r="AA1868" s="183"/>
      <c r="AB1868" s="73"/>
      <c r="AC1868" s="153"/>
      <c r="AD1868" s="331"/>
      <c r="AE1868" s="57"/>
      <c r="AF1868" s="88"/>
      <c r="AG1868" s="182">
        <f>YEAR(D1868)</f>
        <v>2018</v>
      </c>
      <c r="AH1868" s="86" t="str">
        <f>+IF(AE1868=$AJ$22,MONTH(T1868),"")</f>
        <v/>
      </c>
      <c r="AI1868" s="86" t="str">
        <f>+IF(AF1868=$AJ$22,MONTH(U1868),"")</f>
        <v/>
      </c>
      <c r="AJ1868" s="86" t="str">
        <f>+IF(AG1868=$AJ$22,MONTH(V1868),"")</f>
        <v/>
      </c>
      <c r="AK1868" s="86" t="str">
        <f>+IF(AG1868=$AK$22,MONTH(V1868),"")</f>
        <v/>
      </c>
      <c r="AL1868" s="86" t="str">
        <f>+IF(AG1868=$AL$22,MONTH(V1868),"")</f>
        <v/>
      </c>
      <c r="AM1868" s="86" t="str">
        <f>+IF($AG1868=$AM$22,MONTH($D1868),"")</f>
        <v/>
      </c>
      <c r="AN1868" s="89" t="str">
        <f>+IF($AG1868=AN$22,MONTH($D1868),"")</f>
        <v/>
      </c>
      <c r="AO1868" s="86" t="str">
        <f>+IF($AG1868=AO$22,MONTH($D1868),"")</f>
        <v/>
      </c>
      <c r="AP1868" s="86">
        <f>+IF($AG1868=AP$22,MONTH($D1868),"")</f>
        <v>4</v>
      </c>
      <c r="AQ1868" s="86" t="str">
        <f>+IF($AG1868=AQ$22,MONTH($D1868),"")</f>
        <v/>
      </c>
      <c r="AR1868" s="86" t="str">
        <f>+IF($AG1868=AR$22,MONTH($D1868),"")</f>
        <v/>
      </c>
      <c r="AS1868" s="86" t="str">
        <f>+IF($AG1868=AS$22,MONTH($D1868),"")</f>
        <v/>
      </c>
      <c r="AT1868" s="86" t="str">
        <f>+IF($AG1868=AT$22,MONTH($D1868),"")</f>
        <v/>
      </c>
      <c r="AU1868" s="86" t="str">
        <f>+IF($AG1868=AU$22,MONTH($D1868),"")</f>
        <v/>
      </c>
      <c r="AV1868" s="86" t="str">
        <f>+IF($AG1868=AV$22,MONTH($D1868),"")</f>
        <v/>
      </c>
      <c r="AW1868" s="86" t="str">
        <f>+IF($AG1868=AW$22,MONTH($D1868),"")</f>
        <v/>
      </c>
      <c r="AX1868" s="86" t="str">
        <f>+IF($AG1868=AX$22,MONTH($D1868),"")</f>
        <v/>
      </c>
      <c r="AY1868" s="182"/>
      <c r="AZ1868" s="182"/>
      <c r="BA1868" s="182"/>
      <c r="BB1868" s="182"/>
      <c r="BC1868" s="182"/>
      <c r="BD1868" s="182"/>
      <c r="BE1868" s="182"/>
      <c r="BF1868" s="182"/>
      <c r="BG1868" s="182"/>
      <c r="BH1868" s="182"/>
      <c r="BI1868" s="182"/>
      <c r="BJ1868" s="89"/>
      <c r="BK1868" s="89"/>
      <c r="BL1868" s="89"/>
      <c r="BM1868" s="89"/>
      <c r="BN1868" s="89"/>
      <c r="BO1868" s="89"/>
      <c r="BP1868" s="89"/>
    </row>
    <row r="1869" spans="1:68" s="56" customFormat="1" ht="27" hidden="1">
      <c r="A1869" s="204">
        <f>+IFERROR(VALUE(MID(AB1869,4,4)),"")</f>
        <v>158</v>
      </c>
      <c r="B1869" s="204">
        <f>VALUE(RIGHT(C1869,LEN(C1869)-2))</f>
        <v>856</v>
      </c>
      <c r="C1869" s="74" t="s">
        <v>6569</v>
      </c>
      <c r="D1869" s="75">
        <v>43202</v>
      </c>
      <c r="E1869" s="70" t="s">
        <v>41</v>
      </c>
      <c r="F1869" s="70" t="s">
        <v>41</v>
      </c>
      <c r="G1869" s="68"/>
      <c r="H1869" s="59"/>
      <c r="I1869" s="162" t="s">
        <v>6570</v>
      </c>
      <c r="J1869" s="162"/>
      <c r="K1869" s="68" t="s">
        <v>13</v>
      </c>
      <c r="L1869" s="69" t="s">
        <v>120</v>
      </c>
      <c r="M1869" s="71" t="s">
        <v>141</v>
      </c>
      <c r="N1869" s="69" t="e" vm="1">
        <v>#VALUE!</v>
      </c>
      <c r="O1869" s="164"/>
      <c r="P1869" s="72" t="s">
        <v>402</v>
      </c>
      <c r="Q1869" s="72" t="s">
        <v>623</v>
      </c>
      <c r="R1869" s="162"/>
      <c r="S1869" s="146"/>
      <c r="T1869" s="68" t="s">
        <v>3</v>
      </c>
      <c r="U1869" s="87"/>
      <c r="V1869" s="183">
        <v>43299</v>
      </c>
      <c r="W1869" s="73">
        <v>656</v>
      </c>
      <c r="X1869" s="73">
        <f>613*27000/1000000</f>
        <v>16.550999999999998</v>
      </c>
      <c r="Y1869" s="83">
        <f>IF(SUM(W1869:W1869)&gt;0,X1869/SUM(W1869:W1869)*1000000,"N/A")</f>
        <v>25230.182926829268</v>
      </c>
      <c r="Z1869" s="183"/>
      <c r="AA1869" s="183"/>
      <c r="AB1869" s="73" t="s">
        <v>6571</v>
      </c>
      <c r="AC1869" s="153"/>
      <c r="AD1869" s="331"/>
      <c r="AE1869" s="57"/>
      <c r="AF1869" s="88"/>
      <c r="AG1869" s="182">
        <f>YEAR(D1869)</f>
        <v>2018</v>
      </c>
      <c r="AH1869" s="86" t="str">
        <f>+IF(AE1869=$AJ$22,MONTH(T1869),"")</f>
        <v/>
      </c>
      <c r="AI1869" s="86" t="str">
        <f>+IF(AF1869=$AJ$22,MONTH(U1869),"")</f>
        <v/>
      </c>
      <c r="AJ1869" s="86" t="str">
        <f>+IF(AG1869=$AJ$22,MONTH(V1869),"")</f>
        <v/>
      </c>
      <c r="AK1869" s="86" t="str">
        <f>+IF(AG1869=$AK$22,MONTH(V1869),"")</f>
        <v/>
      </c>
      <c r="AL1869" s="86" t="str">
        <f>+IF(AG1869=$AL$22,MONTH(V1869),"")</f>
        <v/>
      </c>
      <c r="AM1869" s="86" t="str">
        <f>+IF($AG1869=$AM$22,MONTH($D1869),"")</f>
        <v/>
      </c>
      <c r="AN1869" s="89" t="str">
        <f>+IF($AG1869=AN$22,MONTH($D1869),"")</f>
        <v/>
      </c>
      <c r="AO1869" s="86" t="str">
        <f>+IF($AG1869=AO$22,MONTH($D1869),"")</f>
        <v/>
      </c>
      <c r="AP1869" s="86">
        <f>+IF($AG1869=AP$22,MONTH($D1869),"")</f>
        <v>4</v>
      </c>
      <c r="AQ1869" s="86" t="str">
        <f>+IF($AG1869=AQ$22,MONTH($D1869),"")</f>
        <v/>
      </c>
      <c r="AR1869" s="86" t="str">
        <f>+IF($AG1869=AR$22,MONTH($D1869),"")</f>
        <v/>
      </c>
      <c r="AS1869" s="86" t="str">
        <f>+IF($AG1869=AS$22,MONTH($D1869),"")</f>
        <v/>
      </c>
      <c r="AT1869" s="86" t="str">
        <f>+IF($AG1869=AT$22,MONTH($D1869),"")</f>
        <v/>
      </c>
      <c r="AU1869" s="86" t="str">
        <f>+IF($AG1869=AU$22,MONTH($D1869),"")</f>
        <v/>
      </c>
      <c r="AV1869" s="86" t="str">
        <f>+IF($AG1869=AV$22,MONTH($D1869),"")</f>
        <v/>
      </c>
      <c r="AW1869" s="86" t="str">
        <f>+IF($AG1869=AW$22,MONTH($D1869),"")</f>
        <v/>
      </c>
      <c r="AX1869" s="86" t="str">
        <f>+IF($AG1869=AX$22,MONTH($D1869),"")</f>
        <v/>
      </c>
      <c r="AY1869" s="182"/>
      <c r="AZ1869" s="182"/>
      <c r="BA1869" s="182"/>
      <c r="BB1869" s="182"/>
      <c r="BC1869" s="182"/>
      <c r="BD1869" s="182"/>
      <c r="BE1869" s="182"/>
      <c r="BF1869" s="182"/>
      <c r="BG1869" s="182"/>
      <c r="BH1869" s="182"/>
      <c r="BI1869" s="182"/>
      <c r="BJ1869" s="89"/>
      <c r="BK1869" s="89"/>
      <c r="BL1869" s="89"/>
      <c r="BM1869" s="89"/>
      <c r="BN1869" s="89"/>
      <c r="BO1869" s="89"/>
      <c r="BP1869" s="89"/>
    </row>
    <row r="1870" spans="1:68" s="56" customFormat="1" ht="13.5" hidden="1">
      <c r="A1870" s="204" t="str">
        <f>+IFERROR(VALUE(MID(AB1870,4,4)),"")</f>
        <v/>
      </c>
      <c r="B1870" s="204">
        <f>VALUE(RIGHT(C1870,LEN(C1870)-2))</f>
        <v>855</v>
      </c>
      <c r="C1870" s="74" t="s">
        <v>6572</v>
      </c>
      <c r="D1870" s="75">
        <v>43202</v>
      </c>
      <c r="E1870" s="70" t="s">
        <v>4664</v>
      </c>
      <c r="F1870" s="70" t="s">
        <v>479</v>
      </c>
      <c r="G1870" s="68"/>
      <c r="H1870" s="59"/>
      <c r="I1870" s="162" t="s">
        <v>6573</v>
      </c>
      <c r="J1870" s="162"/>
      <c r="K1870" s="68" t="s">
        <v>12</v>
      </c>
      <c r="L1870" s="69" t="s">
        <v>129</v>
      </c>
      <c r="M1870" s="71" t="s">
        <v>113</v>
      </c>
      <c r="N1870" s="69" t="e" vm="2">
        <v>#VALUE!</v>
      </c>
      <c r="O1870" s="164"/>
      <c r="P1870" s="72" t="s">
        <v>402</v>
      </c>
      <c r="Q1870" s="72"/>
      <c r="R1870" s="162"/>
      <c r="S1870" s="146"/>
      <c r="T1870" s="68" t="s">
        <v>165</v>
      </c>
      <c r="U1870" s="87"/>
      <c r="V1870" s="183">
        <v>43299</v>
      </c>
      <c r="W1870" s="73">
        <v>252</v>
      </c>
      <c r="X1870" s="73">
        <f>33100*190/1000000</f>
        <v>6.2889999999999997</v>
      </c>
      <c r="Y1870" s="83">
        <f>IF(SUM(W1870:W1870)&gt;0,X1870/SUM(W1870:W1870)*1000000,"N/A")</f>
        <v>24956.349206349205</v>
      </c>
      <c r="Z1870" s="183"/>
      <c r="AA1870" s="183"/>
      <c r="AB1870" s="73"/>
      <c r="AC1870" s="153"/>
      <c r="AD1870" s="331"/>
      <c r="AE1870" s="57"/>
      <c r="AF1870" s="88"/>
      <c r="AG1870" s="182">
        <f>YEAR(D1870)</f>
        <v>2018</v>
      </c>
      <c r="AH1870" s="86" t="str">
        <f>+IF(AE1870=$AJ$22,MONTH(T1870),"")</f>
        <v/>
      </c>
      <c r="AI1870" s="86" t="str">
        <f>+IF(AF1870=$AJ$22,MONTH(U1870),"")</f>
        <v/>
      </c>
      <c r="AJ1870" s="86" t="str">
        <f>+IF(AG1870=$AJ$22,MONTH(V1870),"")</f>
        <v/>
      </c>
      <c r="AK1870" s="86" t="str">
        <f>+IF(AG1870=$AK$22,MONTH(V1870),"")</f>
        <v/>
      </c>
      <c r="AL1870" s="86" t="str">
        <f>+IF(AG1870=$AL$22,MONTH(V1870),"")</f>
        <v/>
      </c>
      <c r="AM1870" s="86" t="str">
        <f>+IF($AG1870=$AM$22,MONTH($D1870),"")</f>
        <v/>
      </c>
      <c r="AN1870" s="89" t="str">
        <f>+IF($AG1870=AN$22,MONTH($D1870),"")</f>
        <v/>
      </c>
      <c r="AO1870" s="86" t="str">
        <f>+IF($AG1870=AO$22,MONTH($D1870),"")</f>
        <v/>
      </c>
      <c r="AP1870" s="86">
        <f>+IF($AG1870=AP$22,MONTH($D1870),"")</f>
        <v>4</v>
      </c>
      <c r="AQ1870" s="86" t="str">
        <f>+IF($AG1870=AQ$22,MONTH($D1870),"")</f>
        <v/>
      </c>
      <c r="AR1870" s="86" t="str">
        <f>+IF($AG1870=AR$22,MONTH($D1870),"")</f>
        <v/>
      </c>
      <c r="AS1870" s="86" t="str">
        <f>+IF($AG1870=AS$22,MONTH($D1870),"")</f>
        <v/>
      </c>
      <c r="AT1870" s="86" t="str">
        <f>+IF($AG1870=AT$22,MONTH($D1870),"")</f>
        <v/>
      </c>
      <c r="AU1870" s="86" t="str">
        <f>+IF($AG1870=AU$22,MONTH($D1870),"")</f>
        <v/>
      </c>
      <c r="AV1870" s="86" t="str">
        <f>+IF($AG1870=AV$22,MONTH($D1870),"")</f>
        <v/>
      </c>
      <c r="AW1870" s="86" t="str">
        <f>+IF($AG1870=AW$22,MONTH($D1870),"")</f>
        <v/>
      </c>
      <c r="AX1870" s="86" t="str">
        <f>+IF($AG1870=AX$22,MONTH($D1870),"")</f>
        <v/>
      </c>
      <c r="AY1870" s="182"/>
      <c r="AZ1870" s="182"/>
      <c r="BA1870" s="182"/>
      <c r="BB1870" s="182"/>
      <c r="BC1870" s="182"/>
      <c r="BD1870" s="182"/>
      <c r="BE1870" s="182"/>
      <c r="BF1870" s="182"/>
      <c r="BG1870" s="182"/>
      <c r="BH1870" s="182"/>
      <c r="BI1870" s="182"/>
      <c r="BJ1870" s="89"/>
      <c r="BK1870" s="89"/>
      <c r="BL1870" s="89"/>
      <c r="BM1870" s="89"/>
      <c r="BN1870" s="89"/>
      <c r="BO1870" s="89"/>
      <c r="BP1870" s="89"/>
    </row>
    <row r="1871" spans="1:68" s="56" customFormat="1" ht="13.5" hidden="1">
      <c r="A1871" s="204" t="str">
        <f>+IFERROR(VALUE(MID(AB1871,4,4)),"")</f>
        <v/>
      </c>
      <c r="B1871" s="204">
        <f>VALUE(RIGHT(C1871,LEN(C1871)-2))</f>
        <v>854</v>
      </c>
      <c r="C1871" s="74" t="s">
        <v>6574</v>
      </c>
      <c r="D1871" s="75">
        <v>43201</v>
      </c>
      <c r="E1871" s="70" t="s">
        <v>106</v>
      </c>
      <c r="F1871" s="70" t="s">
        <v>106</v>
      </c>
      <c r="G1871" s="68" t="s">
        <v>6575</v>
      </c>
      <c r="H1871" s="59"/>
      <c r="I1871" s="162" t="s">
        <v>6576</v>
      </c>
      <c r="J1871" s="162"/>
      <c r="K1871" s="68" t="s">
        <v>13</v>
      </c>
      <c r="L1871" s="69" t="s">
        <v>123</v>
      </c>
      <c r="M1871" s="71" t="s">
        <v>141</v>
      </c>
      <c r="N1871" s="69" t="e" vm="1">
        <v>#VALUE!</v>
      </c>
      <c r="O1871" s="164"/>
      <c r="P1871" s="72" t="s">
        <v>4567</v>
      </c>
      <c r="Q1871" s="72"/>
      <c r="R1871" s="162"/>
      <c r="S1871" s="146"/>
      <c r="T1871" s="68" t="s">
        <v>165</v>
      </c>
      <c r="U1871" s="87"/>
      <c r="V1871" s="183">
        <v>43299</v>
      </c>
      <c r="W1871" s="73">
        <v>1400</v>
      </c>
      <c r="X1871" s="73">
        <f>1438*27000/1000000</f>
        <v>38.826000000000001</v>
      </c>
      <c r="Y1871" s="83">
        <f>IF(SUM(W1871:W1871)&gt;0,X1871/SUM(W1871:W1871)*1000000,"N/A")</f>
        <v>27732.857142857141</v>
      </c>
      <c r="Z1871" s="183"/>
      <c r="AA1871" s="183"/>
      <c r="AB1871" s="73"/>
      <c r="AC1871" s="153"/>
      <c r="AD1871" s="331"/>
      <c r="AE1871" s="57"/>
      <c r="AF1871" s="88"/>
      <c r="AG1871" s="182">
        <f>YEAR(D1871)</f>
        <v>2018</v>
      </c>
      <c r="AH1871" s="86" t="str">
        <f>+IF(AE1871=$AJ$22,MONTH(T1871),"")</f>
        <v/>
      </c>
      <c r="AI1871" s="86" t="str">
        <f>+IF(AF1871=$AJ$22,MONTH(U1871),"")</f>
        <v/>
      </c>
      <c r="AJ1871" s="86" t="str">
        <f>+IF(AG1871=$AJ$22,MONTH(V1871),"")</f>
        <v/>
      </c>
      <c r="AK1871" s="86" t="str">
        <f>+IF(AG1871=$AK$22,MONTH(V1871),"")</f>
        <v/>
      </c>
      <c r="AL1871" s="86" t="str">
        <f>+IF(AG1871=$AL$22,MONTH(V1871),"")</f>
        <v/>
      </c>
      <c r="AM1871" s="86" t="str">
        <f>+IF($AG1871=$AM$22,MONTH($D1871),"")</f>
        <v/>
      </c>
      <c r="AN1871" s="89" t="str">
        <f>+IF($AG1871=AN$22,MONTH($D1871),"")</f>
        <v/>
      </c>
      <c r="AO1871" s="86" t="str">
        <f>+IF($AG1871=AO$22,MONTH($D1871),"")</f>
        <v/>
      </c>
      <c r="AP1871" s="86">
        <f>+IF($AG1871=AP$22,MONTH($D1871),"")</f>
        <v>4</v>
      </c>
      <c r="AQ1871" s="86" t="str">
        <f>+IF($AG1871=AQ$22,MONTH($D1871),"")</f>
        <v/>
      </c>
      <c r="AR1871" s="86" t="str">
        <f>+IF($AG1871=AR$22,MONTH($D1871),"")</f>
        <v/>
      </c>
      <c r="AS1871" s="86" t="str">
        <f>+IF($AG1871=AS$22,MONTH($D1871),"")</f>
        <v/>
      </c>
      <c r="AT1871" s="86" t="str">
        <f>+IF($AG1871=AT$22,MONTH($D1871),"")</f>
        <v/>
      </c>
      <c r="AU1871" s="86" t="str">
        <f>+IF($AG1871=AU$22,MONTH($D1871),"")</f>
        <v/>
      </c>
      <c r="AV1871" s="86" t="str">
        <f>+IF($AG1871=AV$22,MONTH($D1871),"")</f>
        <v/>
      </c>
      <c r="AW1871" s="86" t="str">
        <f>+IF($AG1871=AW$22,MONTH($D1871),"")</f>
        <v/>
      </c>
      <c r="AX1871" s="86" t="str">
        <f>+IF($AG1871=AX$22,MONTH($D1871),"")</f>
        <v/>
      </c>
      <c r="AY1871" s="182"/>
      <c r="AZ1871" s="182"/>
      <c r="BA1871" s="182"/>
      <c r="BB1871" s="182"/>
      <c r="BC1871" s="182"/>
      <c r="BD1871" s="182"/>
      <c r="BE1871" s="182"/>
      <c r="BF1871" s="182"/>
      <c r="BG1871" s="182"/>
      <c r="BH1871" s="182"/>
      <c r="BI1871" s="182"/>
      <c r="BJ1871" s="89"/>
      <c r="BK1871" s="89"/>
      <c r="BL1871" s="89"/>
      <c r="BM1871" s="89"/>
      <c r="BN1871" s="89"/>
      <c r="BO1871" s="89"/>
      <c r="BP1871" s="89"/>
    </row>
    <row r="1872" spans="1:68" s="56" customFormat="1" ht="13.5" hidden="1">
      <c r="A1872" s="204" t="str">
        <f>+IFERROR(VALUE(MID(AB1872,4,4)),"")</f>
        <v/>
      </c>
      <c r="B1872" s="204">
        <f>VALUE(RIGHT(C1872,LEN(C1872)-2))</f>
        <v>853</v>
      </c>
      <c r="C1872" s="74" t="s">
        <v>6577</v>
      </c>
      <c r="D1872" s="75">
        <v>43200</v>
      </c>
      <c r="E1872" s="70" t="s">
        <v>99</v>
      </c>
      <c r="F1872" s="70" t="s">
        <v>4343</v>
      </c>
      <c r="G1872" s="68"/>
      <c r="H1872" s="59"/>
      <c r="I1872" s="162" t="s">
        <v>6578</v>
      </c>
      <c r="J1872" s="162"/>
      <c r="K1872" s="68" t="s">
        <v>14</v>
      </c>
      <c r="L1872" s="69" t="s">
        <v>120</v>
      </c>
      <c r="M1872" s="71" t="s">
        <v>113</v>
      </c>
      <c r="N1872" s="69" t="e" vm="4">
        <v>#VALUE!</v>
      </c>
      <c r="O1872" s="164"/>
      <c r="P1872" s="72" t="s">
        <v>274</v>
      </c>
      <c r="Q1872" s="72"/>
      <c r="R1872" s="162"/>
      <c r="S1872" s="146"/>
      <c r="T1872" s="68" t="s">
        <v>165</v>
      </c>
      <c r="U1872" s="87"/>
      <c r="V1872" s="183">
        <v>43208</v>
      </c>
      <c r="W1872" s="73">
        <v>633</v>
      </c>
      <c r="X1872" s="73">
        <f>42565*600/1000000</f>
        <v>25.539000000000001</v>
      </c>
      <c r="Y1872" s="83">
        <f>IF(SUM(W1872:W1872)&gt;0,X1872/SUM(W1872:W1872)*1000000,"N/A")</f>
        <v>40345.971563981046</v>
      </c>
      <c r="Z1872" s="183"/>
      <c r="AA1872" s="183"/>
      <c r="AB1872" s="73"/>
      <c r="AC1872" s="153"/>
      <c r="AD1872" s="331"/>
      <c r="AE1872" s="57"/>
      <c r="AF1872" s="88"/>
      <c r="AG1872" s="182">
        <f>YEAR(D1872)</f>
        <v>2018</v>
      </c>
      <c r="AH1872" s="86" t="str">
        <f>+IF(AE1872=$AJ$22,MONTH(T1872),"")</f>
        <v/>
      </c>
      <c r="AI1872" s="86" t="str">
        <f>+IF(AF1872=$AJ$22,MONTH(U1872),"")</f>
        <v/>
      </c>
      <c r="AJ1872" s="86" t="str">
        <f>+IF(AG1872=$AJ$22,MONTH(V1872),"")</f>
        <v/>
      </c>
      <c r="AK1872" s="86" t="str">
        <f>+IF(AG1872=$AK$22,MONTH(V1872),"")</f>
        <v/>
      </c>
      <c r="AL1872" s="86" t="str">
        <f>+IF(AG1872=$AL$22,MONTH(V1872),"")</f>
        <v/>
      </c>
      <c r="AM1872" s="86" t="str">
        <f>+IF($AG1872=$AM$22,MONTH($D1872),"")</f>
        <v/>
      </c>
      <c r="AN1872" s="89" t="str">
        <f>+IF($AG1872=AN$22,MONTH($D1872),"")</f>
        <v/>
      </c>
      <c r="AO1872" s="86" t="str">
        <f>+IF($AG1872=AO$22,MONTH($D1872),"")</f>
        <v/>
      </c>
      <c r="AP1872" s="86">
        <f>+IF($AG1872=AP$22,MONTH($D1872),"")</f>
        <v>4</v>
      </c>
      <c r="AQ1872" s="86" t="str">
        <f>+IF($AG1872=AQ$22,MONTH($D1872),"")</f>
        <v/>
      </c>
      <c r="AR1872" s="86" t="str">
        <f>+IF($AG1872=AR$22,MONTH($D1872),"")</f>
        <v/>
      </c>
      <c r="AS1872" s="86" t="str">
        <f>+IF($AG1872=AS$22,MONTH($D1872),"")</f>
        <v/>
      </c>
      <c r="AT1872" s="86" t="str">
        <f>+IF($AG1872=AT$22,MONTH($D1872),"")</f>
        <v/>
      </c>
      <c r="AU1872" s="86" t="str">
        <f>+IF($AG1872=AU$22,MONTH($D1872),"")</f>
        <v/>
      </c>
      <c r="AV1872" s="86" t="str">
        <f>+IF($AG1872=AV$22,MONTH($D1872),"")</f>
        <v/>
      </c>
      <c r="AW1872" s="86" t="str">
        <f>+IF($AG1872=AW$22,MONTH($D1872),"")</f>
        <v/>
      </c>
      <c r="AX1872" s="86" t="str">
        <f>+IF($AG1872=AX$22,MONTH($D1872),"")</f>
        <v/>
      </c>
      <c r="AY1872" s="182"/>
      <c r="AZ1872" s="182"/>
      <c r="BA1872" s="182"/>
      <c r="BB1872" s="182"/>
      <c r="BC1872" s="182"/>
      <c r="BD1872" s="182"/>
      <c r="BE1872" s="182"/>
      <c r="BF1872" s="182"/>
      <c r="BG1872" s="182"/>
      <c r="BH1872" s="182"/>
      <c r="BI1872" s="182"/>
      <c r="BJ1872" s="89"/>
      <c r="BK1872" s="89"/>
      <c r="BL1872" s="89"/>
      <c r="BM1872" s="89"/>
      <c r="BN1872" s="89"/>
      <c r="BO1872" s="89"/>
      <c r="BP1872" s="89"/>
    </row>
    <row r="1873" spans="1:68" s="56" customFormat="1" ht="27" hidden="1">
      <c r="A1873" s="204">
        <f>+IFERROR(VALUE(MID(AB1873,4,4)),"")</f>
        <v>185</v>
      </c>
      <c r="B1873" s="204">
        <f>VALUE(RIGHT(C1873,LEN(C1873)-2))</f>
        <v>852</v>
      </c>
      <c r="C1873" s="74" t="s">
        <v>6579</v>
      </c>
      <c r="D1873" s="75">
        <v>43199</v>
      </c>
      <c r="E1873" s="70" t="s">
        <v>4664</v>
      </c>
      <c r="F1873" s="70" t="s">
        <v>479</v>
      </c>
      <c r="G1873" s="68"/>
      <c r="H1873" s="59"/>
      <c r="I1873" s="162" t="s">
        <v>6580</v>
      </c>
      <c r="J1873" s="162"/>
      <c r="K1873" s="68" t="s">
        <v>30</v>
      </c>
      <c r="L1873" s="69" t="s">
        <v>123</v>
      </c>
      <c r="M1873" s="71" t="s">
        <v>113</v>
      </c>
      <c r="N1873" s="69" t="e" vm="2">
        <v>#VALUE!</v>
      </c>
      <c r="O1873" s="164"/>
      <c r="P1873" s="72" t="s">
        <v>402</v>
      </c>
      <c r="Q1873" s="72" t="s">
        <v>229</v>
      </c>
      <c r="R1873" s="162"/>
      <c r="S1873" s="146"/>
      <c r="T1873" s="68" t="s">
        <v>3</v>
      </c>
      <c r="U1873" s="87"/>
      <c r="V1873" s="183">
        <v>43208</v>
      </c>
      <c r="W1873" s="73">
        <v>94</v>
      </c>
      <c r="X1873" s="73">
        <f>11200*190/1000000</f>
        <v>2.1280000000000001</v>
      </c>
      <c r="Y1873" s="83">
        <f>IF(SUM(W1873:W1873)&gt;0,X1873/SUM(W1873:W1873)*1000000,"N/A")</f>
        <v>22638.297872340427</v>
      </c>
      <c r="Z1873" s="183"/>
      <c r="AA1873" s="183"/>
      <c r="AB1873" s="73" t="s">
        <v>6581</v>
      </c>
      <c r="AC1873" s="153"/>
      <c r="AD1873" s="331"/>
      <c r="AE1873" s="57"/>
      <c r="AF1873" s="88"/>
      <c r="AG1873" s="182">
        <f>YEAR(D1873)</f>
        <v>2018</v>
      </c>
      <c r="AH1873" s="86" t="str">
        <f>+IF(AE1873=$AJ$22,MONTH(T1873),"")</f>
        <v/>
      </c>
      <c r="AI1873" s="86" t="str">
        <f>+IF(AF1873=$AJ$22,MONTH(U1873),"")</f>
        <v/>
      </c>
      <c r="AJ1873" s="86" t="str">
        <f>+IF(AG1873=$AJ$22,MONTH(V1873),"")</f>
        <v/>
      </c>
      <c r="AK1873" s="86" t="str">
        <f>+IF(AG1873=$AK$22,MONTH(V1873),"")</f>
        <v/>
      </c>
      <c r="AL1873" s="86" t="str">
        <f>+IF(AG1873=$AL$22,MONTH(V1873),"")</f>
        <v/>
      </c>
      <c r="AM1873" s="86" t="str">
        <f>+IF($AG1873=$AM$22,MONTH($D1873),"")</f>
        <v/>
      </c>
      <c r="AN1873" s="89" t="str">
        <f>+IF($AG1873=AN$22,MONTH($D1873),"")</f>
        <v/>
      </c>
      <c r="AO1873" s="86" t="str">
        <f>+IF($AG1873=AO$22,MONTH($D1873),"")</f>
        <v/>
      </c>
      <c r="AP1873" s="86">
        <f>+IF($AG1873=AP$22,MONTH($D1873),"")</f>
        <v>4</v>
      </c>
      <c r="AQ1873" s="86" t="str">
        <f>+IF($AG1873=AQ$22,MONTH($D1873),"")</f>
        <v/>
      </c>
      <c r="AR1873" s="86" t="str">
        <f>+IF($AG1873=AR$22,MONTH($D1873),"")</f>
        <v/>
      </c>
      <c r="AS1873" s="86" t="str">
        <f>+IF($AG1873=AS$22,MONTH($D1873),"")</f>
        <v/>
      </c>
      <c r="AT1873" s="86" t="str">
        <f>+IF($AG1873=AT$22,MONTH($D1873),"")</f>
        <v/>
      </c>
      <c r="AU1873" s="86" t="str">
        <f>+IF($AG1873=AU$22,MONTH($D1873),"")</f>
        <v/>
      </c>
      <c r="AV1873" s="86" t="str">
        <f>+IF($AG1873=AV$22,MONTH($D1873),"")</f>
        <v/>
      </c>
      <c r="AW1873" s="86" t="str">
        <f>+IF($AG1873=AW$22,MONTH($D1873),"")</f>
        <v/>
      </c>
      <c r="AX1873" s="86" t="str">
        <f>+IF($AG1873=AX$22,MONTH($D1873),"")</f>
        <v/>
      </c>
      <c r="AY1873" s="182"/>
      <c r="AZ1873" s="182"/>
      <c r="BA1873" s="182"/>
      <c r="BB1873" s="182"/>
      <c r="BC1873" s="182"/>
      <c r="BD1873" s="182"/>
      <c r="BE1873" s="182"/>
      <c r="BF1873" s="182"/>
      <c r="BG1873" s="182"/>
      <c r="BH1873" s="182"/>
      <c r="BI1873" s="182"/>
      <c r="BJ1873" s="89"/>
      <c r="BK1873" s="89"/>
      <c r="BL1873" s="89"/>
      <c r="BM1873" s="89"/>
      <c r="BN1873" s="89"/>
      <c r="BO1873" s="89"/>
      <c r="BP1873" s="89"/>
    </row>
    <row r="1874" spans="1:68" s="56" customFormat="1" ht="13.5" hidden="1">
      <c r="A1874" s="204" t="str">
        <f>+IFERROR(VALUE(MID(AB1874,4,4)),"")</f>
        <v/>
      </c>
      <c r="B1874" s="204">
        <f>VALUE(RIGHT(C1874,LEN(C1874)-2))</f>
        <v>851</v>
      </c>
      <c r="C1874" s="74" t="s">
        <v>6582</v>
      </c>
      <c r="D1874" s="75">
        <v>43194</v>
      </c>
      <c r="E1874" s="70" t="s">
        <v>685</v>
      </c>
      <c r="F1874" s="70" t="s">
        <v>685</v>
      </c>
      <c r="G1874" s="68"/>
      <c r="H1874" s="59"/>
      <c r="I1874" s="162" t="s">
        <v>6583</v>
      </c>
      <c r="J1874" s="162"/>
      <c r="K1874" s="68" t="s">
        <v>11</v>
      </c>
      <c r="L1874" s="69" t="s">
        <v>123</v>
      </c>
      <c r="M1874" s="71" t="s">
        <v>141</v>
      </c>
      <c r="N1874" s="69" t="e" vm="1">
        <v>#VALUE!</v>
      </c>
      <c r="O1874" s="164"/>
      <c r="P1874" s="72" t="s">
        <v>402</v>
      </c>
      <c r="Q1874" s="72"/>
      <c r="R1874" s="162"/>
      <c r="S1874" s="146"/>
      <c r="T1874" s="68" t="s">
        <v>165</v>
      </c>
      <c r="U1874" s="87"/>
      <c r="V1874" s="183">
        <v>43208</v>
      </c>
      <c r="W1874" s="73">
        <v>15531</v>
      </c>
      <c r="X1874" s="73">
        <f>16261*27000/1000000</f>
        <v>439.04700000000003</v>
      </c>
      <c r="Y1874" s="83">
        <f>IF(SUM(W1874:W1874)&gt;0,X1874/SUM(W1874:W1874)*1000000,"N/A")</f>
        <v>28269.074753718371</v>
      </c>
      <c r="Z1874" s="183"/>
      <c r="AA1874" s="183"/>
      <c r="AB1874" s="73"/>
      <c r="AC1874" s="153"/>
      <c r="AD1874" s="331"/>
      <c r="AE1874" s="57"/>
      <c r="AF1874" s="88"/>
      <c r="AG1874" s="182">
        <f>YEAR(D1874)</f>
        <v>2018</v>
      </c>
      <c r="AH1874" s="86" t="str">
        <f>+IF(AE1874=$AJ$22,MONTH(T1874),"")</f>
        <v/>
      </c>
      <c r="AI1874" s="86" t="str">
        <f>+IF(AF1874=$AJ$22,MONTH(U1874),"")</f>
        <v/>
      </c>
      <c r="AJ1874" s="86" t="str">
        <f>+IF(AG1874=$AJ$22,MONTH(V1874),"")</f>
        <v/>
      </c>
      <c r="AK1874" s="86" t="str">
        <f>+IF(AG1874=$AK$22,MONTH(V1874),"")</f>
        <v/>
      </c>
      <c r="AL1874" s="86" t="str">
        <f>+IF(AG1874=$AL$22,MONTH(V1874),"")</f>
        <v/>
      </c>
      <c r="AM1874" s="86" t="str">
        <f>+IF($AG1874=$AM$22,MONTH($D1874),"")</f>
        <v/>
      </c>
      <c r="AN1874" s="89" t="str">
        <f>+IF($AG1874=AN$22,MONTH($D1874),"")</f>
        <v/>
      </c>
      <c r="AO1874" s="86" t="str">
        <f>+IF($AG1874=AO$22,MONTH($D1874),"")</f>
        <v/>
      </c>
      <c r="AP1874" s="86">
        <f>+IF($AG1874=AP$22,MONTH($D1874),"")</f>
        <v>4</v>
      </c>
      <c r="AQ1874" s="86" t="str">
        <f>+IF($AG1874=AQ$22,MONTH($D1874),"")</f>
        <v/>
      </c>
      <c r="AR1874" s="86" t="str">
        <f>+IF($AG1874=AR$22,MONTH($D1874),"")</f>
        <v/>
      </c>
      <c r="AS1874" s="86" t="str">
        <f>+IF($AG1874=AS$22,MONTH($D1874),"")</f>
        <v/>
      </c>
      <c r="AT1874" s="86" t="str">
        <f>+IF($AG1874=AT$22,MONTH($D1874),"")</f>
        <v/>
      </c>
      <c r="AU1874" s="86" t="str">
        <f>+IF($AG1874=AU$22,MONTH($D1874),"")</f>
        <v/>
      </c>
      <c r="AV1874" s="86" t="str">
        <f>+IF($AG1874=AV$22,MONTH($D1874),"")</f>
        <v/>
      </c>
      <c r="AW1874" s="86" t="str">
        <f>+IF($AG1874=AW$22,MONTH($D1874),"")</f>
        <v/>
      </c>
      <c r="AX1874" s="86" t="str">
        <f>+IF($AG1874=AX$22,MONTH($D1874),"")</f>
        <v/>
      </c>
      <c r="AY1874" s="182"/>
      <c r="AZ1874" s="182"/>
      <c r="BA1874" s="182"/>
      <c r="BB1874" s="182"/>
      <c r="BC1874" s="182"/>
      <c r="BD1874" s="182"/>
      <c r="BE1874" s="182"/>
      <c r="BF1874" s="182"/>
      <c r="BG1874" s="182"/>
      <c r="BH1874" s="182"/>
      <c r="BI1874" s="182"/>
      <c r="BJ1874" s="89"/>
      <c r="BK1874" s="89"/>
      <c r="BL1874" s="89"/>
      <c r="BM1874" s="89"/>
      <c r="BN1874" s="89"/>
      <c r="BO1874" s="89"/>
      <c r="BP1874" s="89"/>
    </row>
    <row r="1875" spans="1:68" s="56" customFormat="1" ht="13.5" hidden="1">
      <c r="A1875" s="204" t="str">
        <f>+IFERROR(VALUE(MID(AB1875,4,4)),"")</f>
        <v/>
      </c>
      <c r="B1875" s="204">
        <f>VALUE(RIGHT(C1875,LEN(C1875)-2))</f>
        <v>850</v>
      </c>
      <c r="C1875" s="74" t="s">
        <v>6584</v>
      </c>
      <c r="D1875" s="75">
        <v>43195</v>
      </c>
      <c r="E1875" s="70" t="s">
        <v>6585</v>
      </c>
      <c r="F1875" s="70" t="s">
        <v>6585</v>
      </c>
      <c r="G1875" s="68" t="s">
        <v>6586</v>
      </c>
      <c r="H1875" s="59" t="s">
        <v>6587</v>
      </c>
      <c r="I1875" s="162" t="s">
        <v>6588</v>
      </c>
      <c r="J1875" s="162"/>
      <c r="K1875" s="68" t="s">
        <v>30</v>
      </c>
      <c r="L1875" s="69" t="s">
        <v>123</v>
      </c>
      <c r="M1875" s="71" t="s">
        <v>141</v>
      </c>
      <c r="N1875" s="69" t="e" vm="1">
        <v>#VALUE!</v>
      </c>
      <c r="O1875" s="164"/>
      <c r="P1875" s="72" t="s">
        <v>4567</v>
      </c>
      <c r="Q1875" s="72"/>
      <c r="R1875" s="162"/>
      <c r="S1875" s="146"/>
      <c r="T1875" s="68" t="s">
        <v>165</v>
      </c>
      <c r="U1875" s="87"/>
      <c r="V1875" s="183">
        <v>43209</v>
      </c>
      <c r="W1875" s="73">
        <v>510</v>
      </c>
      <c r="X1875" s="73">
        <f>1200*27000/1000000</f>
        <v>32.4</v>
      </c>
      <c r="Y1875" s="83">
        <f>IF(SUM(W1875:W1875)&gt;0,X1875/SUM(W1875:W1875)*1000000,"N/A")</f>
        <v>63529.411764705874</v>
      </c>
      <c r="Z1875" s="183"/>
      <c r="AA1875" s="183"/>
      <c r="AB1875" s="73"/>
      <c r="AC1875" s="153"/>
      <c r="AD1875" s="331"/>
      <c r="AE1875" s="57"/>
      <c r="AF1875" s="88"/>
      <c r="AG1875" s="182">
        <f>YEAR(D1875)</f>
        <v>2018</v>
      </c>
      <c r="AH1875" s="86" t="str">
        <f>+IF(AE1875=$AJ$22,MONTH(T1875),"")</f>
        <v/>
      </c>
      <c r="AI1875" s="86" t="str">
        <f>+IF(AF1875=$AJ$22,MONTH(U1875),"")</f>
        <v/>
      </c>
      <c r="AJ1875" s="86" t="str">
        <f>+IF(AG1875=$AJ$22,MONTH(V1875),"")</f>
        <v/>
      </c>
      <c r="AK1875" s="86" t="str">
        <f>+IF(AG1875=$AK$22,MONTH(V1875),"")</f>
        <v/>
      </c>
      <c r="AL1875" s="86" t="str">
        <f>+IF(AG1875=$AL$22,MONTH(V1875),"")</f>
        <v/>
      </c>
      <c r="AM1875" s="86" t="str">
        <f>+IF($AG1875=$AM$22,MONTH($D1875),"")</f>
        <v/>
      </c>
      <c r="AN1875" s="89" t="str">
        <f>+IF($AG1875=AN$22,MONTH($D1875),"")</f>
        <v/>
      </c>
      <c r="AO1875" s="86" t="str">
        <f>+IF($AG1875=AO$22,MONTH($D1875),"")</f>
        <v/>
      </c>
      <c r="AP1875" s="86">
        <f>+IF($AG1875=AP$22,MONTH($D1875),"")</f>
        <v>4</v>
      </c>
      <c r="AQ1875" s="86" t="str">
        <f>+IF($AG1875=AQ$22,MONTH($D1875),"")</f>
        <v/>
      </c>
      <c r="AR1875" s="86" t="str">
        <f>+IF($AG1875=AR$22,MONTH($D1875),"")</f>
        <v/>
      </c>
      <c r="AS1875" s="86" t="str">
        <f>+IF($AG1875=AS$22,MONTH($D1875),"")</f>
        <v/>
      </c>
      <c r="AT1875" s="86" t="str">
        <f>+IF($AG1875=AT$22,MONTH($D1875),"")</f>
        <v/>
      </c>
      <c r="AU1875" s="86" t="str">
        <f>+IF($AG1875=AU$22,MONTH($D1875),"")</f>
        <v/>
      </c>
      <c r="AV1875" s="86" t="str">
        <f>+IF($AG1875=AV$22,MONTH($D1875),"")</f>
        <v/>
      </c>
      <c r="AW1875" s="86" t="str">
        <f>+IF($AG1875=AW$22,MONTH($D1875),"")</f>
        <v/>
      </c>
      <c r="AX1875" s="86" t="str">
        <f>+IF($AG1875=AX$22,MONTH($D1875),"")</f>
        <v/>
      </c>
      <c r="AY1875" s="182"/>
      <c r="AZ1875" s="182"/>
      <c r="BA1875" s="182"/>
      <c r="BB1875" s="182"/>
      <c r="BC1875" s="182"/>
      <c r="BD1875" s="182"/>
      <c r="BE1875" s="182"/>
      <c r="BF1875" s="182"/>
      <c r="BG1875" s="182"/>
      <c r="BH1875" s="182"/>
      <c r="BI1875" s="182"/>
      <c r="BJ1875" s="89"/>
      <c r="BK1875" s="89"/>
      <c r="BL1875" s="89"/>
      <c r="BM1875" s="89"/>
      <c r="BN1875" s="89"/>
      <c r="BO1875" s="89"/>
      <c r="BP1875" s="89"/>
    </row>
    <row r="1876" spans="1:68" s="56" customFormat="1" ht="13.5" hidden="1">
      <c r="A1876" s="204" t="str">
        <f>+IFERROR(VALUE(MID(AB1876,4,4)),"")</f>
        <v/>
      </c>
      <c r="B1876" s="204">
        <f>VALUE(RIGHT(C1876,LEN(C1876)-2))</f>
        <v>848</v>
      </c>
      <c r="C1876" s="74" t="s">
        <v>6589</v>
      </c>
      <c r="D1876" s="75">
        <v>43202</v>
      </c>
      <c r="E1876" s="70" t="s">
        <v>4664</v>
      </c>
      <c r="F1876" s="70" t="s">
        <v>6590</v>
      </c>
      <c r="G1876" s="68"/>
      <c r="H1876" s="59"/>
      <c r="I1876" s="162" t="s">
        <v>6591</v>
      </c>
      <c r="J1876" s="162"/>
      <c r="K1876" s="68" t="s">
        <v>30</v>
      </c>
      <c r="L1876" s="69" t="s">
        <v>129</v>
      </c>
      <c r="M1876" s="71" t="s">
        <v>141</v>
      </c>
      <c r="N1876" s="69" t="e" vm="1">
        <v>#VALUE!</v>
      </c>
      <c r="O1876" s="164"/>
      <c r="P1876" s="72" t="s">
        <v>402</v>
      </c>
      <c r="Q1876" s="72"/>
      <c r="R1876" s="162"/>
      <c r="S1876" s="146"/>
      <c r="T1876" s="68" t="s">
        <v>165</v>
      </c>
      <c r="U1876" s="87"/>
      <c r="V1876" s="183">
        <v>43194</v>
      </c>
      <c r="W1876" s="73">
        <v>100</v>
      </c>
      <c r="X1876" s="73">
        <f>13400*173/1000000</f>
        <v>2.3182</v>
      </c>
      <c r="Y1876" s="83">
        <f>IF(SUM(W1876:W1876)&gt;0,X1876/SUM(W1876:W1876)*1000000,"N/A")</f>
        <v>23182</v>
      </c>
      <c r="Z1876" s="183"/>
      <c r="AA1876" s="183"/>
      <c r="AB1876" s="73"/>
      <c r="AC1876" s="153"/>
      <c r="AD1876" s="331"/>
      <c r="AE1876" s="57"/>
      <c r="AF1876" s="88"/>
      <c r="AG1876" s="182">
        <f>YEAR(D1876)</f>
        <v>2018</v>
      </c>
      <c r="AH1876" s="86" t="str">
        <f>+IF(AE1876=$AJ$22,MONTH(T1876),"")</f>
        <v/>
      </c>
      <c r="AI1876" s="86" t="str">
        <f>+IF(AF1876=$AJ$22,MONTH(U1876),"")</f>
        <v/>
      </c>
      <c r="AJ1876" s="86" t="str">
        <f>+IF(AG1876=$AJ$22,MONTH(V1876),"")</f>
        <v/>
      </c>
      <c r="AK1876" s="86" t="str">
        <f>+IF(AG1876=$AK$22,MONTH(V1876),"")</f>
        <v/>
      </c>
      <c r="AL1876" s="86" t="str">
        <f>+IF(AG1876=$AL$22,MONTH(V1876),"")</f>
        <v/>
      </c>
      <c r="AM1876" s="86" t="str">
        <f>+IF($AG1876=$AM$22,MONTH($D1876),"")</f>
        <v/>
      </c>
      <c r="AN1876" s="89" t="str">
        <f>+IF($AG1876=AN$22,MONTH($D1876),"")</f>
        <v/>
      </c>
      <c r="AO1876" s="86" t="str">
        <f>+IF($AG1876=AO$22,MONTH($D1876),"")</f>
        <v/>
      </c>
      <c r="AP1876" s="86">
        <f>+IF($AG1876=AP$22,MONTH($D1876),"")</f>
        <v>4</v>
      </c>
      <c r="AQ1876" s="86" t="str">
        <f>+IF($AG1876=AQ$22,MONTH($D1876),"")</f>
        <v/>
      </c>
      <c r="AR1876" s="86" t="str">
        <f>+IF($AG1876=AR$22,MONTH($D1876),"")</f>
        <v/>
      </c>
      <c r="AS1876" s="86" t="str">
        <f>+IF($AG1876=AS$22,MONTH($D1876),"")</f>
        <v/>
      </c>
      <c r="AT1876" s="86" t="str">
        <f>+IF($AG1876=AT$22,MONTH($D1876),"")</f>
        <v/>
      </c>
      <c r="AU1876" s="86" t="str">
        <f>+IF($AG1876=AU$22,MONTH($D1876),"")</f>
        <v/>
      </c>
      <c r="AV1876" s="86" t="str">
        <f>+IF($AG1876=AV$22,MONTH($D1876),"")</f>
        <v/>
      </c>
      <c r="AW1876" s="86" t="str">
        <f>+IF($AG1876=AW$22,MONTH($D1876),"")</f>
        <v/>
      </c>
      <c r="AX1876" s="86" t="str">
        <f>+IF($AG1876=AX$22,MONTH($D1876),"")</f>
        <v/>
      </c>
      <c r="AY1876" s="182"/>
      <c r="AZ1876" s="182"/>
      <c r="BA1876" s="182"/>
      <c r="BB1876" s="182"/>
      <c r="BC1876" s="182"/>
      <c r="BD1876" s="182"/>
      <c r="BE1876" s="182"/>
      <c r="BF1876" s="182"/>
      <c r="BG1876" s="182"/>
      <c r="BH1876" s="182"/>
      <c r="BI1876" s="182"/>
      <c r="BJ1876" s="89"/>
      <c r="BK1876" s="89"/>
      <c r="BL1876" s="89"/>
      <c r="BM1876" s="89"/>
      <c r="BN1876" s="89"/>
      <c r="BO1876" s="89"/>
      <c r="BP1876" s="89"/>
    </row>
    <row r="1877" spans="1:68" s="56" customFormat="1" ht="13.5" hidden="1">
      <c r="A1877" s="204" t="str">
        <f>+IFERROR(VALUE(MID(AB1877,4,4)),"")</f>
        <v/>
      </c>
      <c r="B1877" s="204">
        <f>VALUE(RIGHT(C1877,LEN(C1877)-2))</f>
        <v>848</v>
      </c>
      <c r="C1877" s="74" t="s">
        <v>6589</v>
      </c>
      <c r="D1877" s="75">
        <v>43202</v>
      </c>
      <c r="E1877" s="70" t="s">
        <v>685</v>
      </c>
      <c r="F1877" s="70" t="s">
        <v>685</v>
      </c>
      <c r="G1877" s="68" t="s">
        <v>6592</v>
      </c>
      <c r="H1877" s="59"/>
      <c r="I1877" s="162" t="s">
        <v>6593</v>
      </c>
      <c r="J1877" s="162"/>
      <c r="K1877" s="68" t="s">
        <v>11</v>
      </c>
      <c r="L1877" s="69" t="s">
        <v>123</v>
      </c>
      <c r="M1877" s="71" t="s">
        <v>141</v>
      </c>
      <c r="N1877" s="69" t="e" vm="1">
        <v>#VALUE!</v>
      </c>
      <c r="O1877" s="164"/>
      <c r="P1877" s="72" t="s">
        <v>402</v>
      </c>
      <c r="Q1877" s="72"/>
      <c r="R1877" s="162"/>
      <c r="S1877" s="146"/>
      <c r="T1877" s="68" t="s">
        <v>165</v>
      </c>
      <c r="U1877" s="87"/>
      <c r="V1877" s="183">
        <v>43202</v>
      </c>
      <c r="W1877" s="73">
        <v>12190</v>
      </c>
      <c r="X1877" s="73">
        <f>12646.7*27000/1000000</f>
        <v>341.46089999999998</v>
      </c>
      <c r="Y1877" s="83">
        <f>IF(SUM(W1877:W1877)&gt;0,X1877/SUM(W1877:W1877)*1000000,"N/A")</f>
        <v>28011.558654634944</v>
      </c>
      <c r="Z1877" s="183"/>
      <c r="AA1877" s="183"/>
      <c r="AB1877" s="73"/>
      <c r="AC1877" s="153"/>
      <c r="AD1877" s="331"/>
      <c r="AE1877" s="57"/>
      <c r="AF1877" s="88"/>
      <c r="AG1877" s="182">
        <f>YEAR(D1877)</f>
        <v>2018</v>
      </c>
      <c r="AH1877" s="86" t="str">
        <f>+IF(AE1877=$AJ$22,MONTH(T1877),"")</f>
        <v/>
      </c>
      <c r="AI1877" s="86" t="str">
        <f>+IF(AF1877=$AJ$22,MONTH(U1877),"")</f>
        <v/>
      </c>
      <c r="AJ1877" s="86" t="str">
        <f>+IF(AG1877=$AJ$22,MONTH(V1877),"")</f>
        <v/>
      </c>
      <c r="AK1877" s="86" t="str">
        <f>+IF(AG1877=$AK$22,MONTH(V1877),"")</f>
        <v/>
      </c>
      <c r="AL1877" s="86" t="str">
        <f>+IF(AG1877=$AL$22,MONTH(V1877),"")</f>
        <v/>
      </c>
      <c r="AM1877" s="86" t="str">
        <f>+IF($AG1877=$AM$22,MONTH($D1877),"")</f>
        <v/>
      </c>
      <c r="AN1877" s="89" t="str">
        <f>+IF($AG1877=AN$22,MONTH($D1877),"")</f>
        <v/>
      </c>
      <c r="AO1877" s="86" t="str">
        <f>+IF($AG1877=AO$22,MONTH($D1877),"")</f>
        <v/>
      </c>
      <c r="AP1877" s="86">
        <f>+IF($AG1877=AP$22,MONTH($D1877),"")</f>
        <v>4</v>
      </c>
      <c r="AQ1877" s="86" t="str">
        <f>+IF($AG1877=AQ$22,MONTH($D1877),"")</f>
        <v/>
      </c>
      <c r="AR1877" s="86" t="str">
        <f>+IF($AG1877=AR$22,MONTH($D1877),"")</f>
        <v/>
      </c>
      <c r="AS1877" s="86" t="str">
        <f>+IF($AG1877=AS$22,MONTH($D1877),"")</f>
        <v/>
      </c>
      <c r="AT1877" s="86" t="str">
        <f>+IF($AG1877=AT$22,MONTH($D1877),"")</f>
        <v/>
      </c>
      <c r="AU1877" s="86" t="str">
        <f>+IF($AG1877=AU$22,MONTH($D1877),"")</f>
        <v/>
      </c>
      <c r="AV1877" s="86" t="str">
        <f>+IF($AG1877=AV$22,MONTH($D1877),"")</f>
        <v/>
      </c>
      <c r="AW1877" s="86" t="str">
        <f>+IF($AG1877=AW$22,MONTH($D1877),"")</f>
        <v/>
      </c>
      <c r="AX1877" s="86" t="str">
        <f>+IF($AG1877=AX$22,MONTH($D1877),"")</f>
        <v/>
      </c>
      <c r="AY1877" s="182"/>
      <c r="AZ1877" s="182"/>
      <c r="BA1877" s="182"/>
      <c r="BB1877" s="182"/>
      <c r="BC1877" s="182"/>
      <c r="BD1877" s="182"/>
      <c r="BE1877" s="182"/>
      <c r="BF1877" s="182"/>
      <c r="BG1877" s="182"/>
      <c r="BH1877" s="182"/>
      <c r="BI1877" s="182"/>
      <c r="BJ1877" s="89"/>
      <c r="BK1877" s="89"/>
      <c r="BL1877" s="89"/>
      <c r="BM1877" s="89"/>
      <c r="BN1877" s="89"/>
      <c r="BO1877" s="89"/>
      <c r="BP1877" s="89"/>
    </row>
    <row r="1878" spans="1:68" s="56" customFormat="1" ht="27" hidden="1">
      <c r="A1878" s="204">
        <f>+IFERROR(VALUE(MID(AB1878,4,4)),"")</f>
        <v>195</v>
      </c>
      <c r="B1878" s="204">
        <f>VALUE(RIGHT(C1878,LEN(C1878)-2))</f>
        <v>847</v>
      </c>
      <c r="C1878" s="74" t="s">
        <v>6594</v>
      </c>
      <c r="D1878" s="75">
        <v>43202</v>
      </c>
      <c r="E1878" s="70" t="s">
        <v>67</v>
      </c>
      <c r="F1878" s="70" t="s">
        <v>67</v>
      </c>
      <c r="G1878" s="68" t="s">
        <v>6595</v>
      </c>
      <c r="H1878" s="307" t="s">
        <v>6596</v>
      </c>
      <c r="I1878" s="162" t="s">
        <v>6597</v>
      </c>
      <c r="J1878" s="162"/>
      <c r="K1878" s="68" t="s">
        <v>11</v>
      </c>
      <c r="L1878" s="69" t="s">
        <v>123</v>
      </c>
      <c r="M1878" s="71" t="s">
        <v>141</v>
      </c>
      <c r="N1878" s="69" t="e" vm="1">
        <v>#VALUE!</v>
      </c>
      <c r="O1878" s="164"/>
      <c r="P1878" s="72" t="s">
        <v>402</v>
      </c>
      <c r="Q1878" s="72" t="s">
        <v>1097</v>
      </c>
      <c r="R1878" s="162"/>
      <c r="S1878" s="146"/>
      <c r="T1878" s="68" t="s">
        <v>3</v>
      </c>
      <c r="U1878" s="87"/>
      <c r="V1878" s="183">
        <v>43229</v>
      </c>
      <c r="W1878" s="73">
        <v>3320</v>
      </c>
      <c r="X1878" s="73">
        <v>139.40720200000001</v>
      </c>
      <c r="Y1878" s="83">
        <f>IF(SUM(W1878:W1878)&gt;0,X1878/SUM(W1878:W1878)*1000000,"N/A")</f>
        <v>41990.121084337356</v>
      </c>
      <c r="Z1878" s="183"/>
      <c r="AA1878" s="183"/>
      <c r="AB1878" s="73" t="s">
        <v>6598</v>
      </c>
      <c r="AC1878" s="153"/>
      <c r="AD1878" s="331"/>
      <c r="AE1878" s="57"/>
      <c r="AF1878" s="88"/>
      <c r="AG1878" s="182">
        <f>YEAR(D1878)</f>
        <v>2018</v>
      </c>
      <c r="AH1878" s="86" t="str">
        <f>+IF(AE1878=$AJ$22,MONTH(T1878),"")</f>
        <v/>
      </c>
      <c r="AI1878" s="86" t="str">
        <f>+IF(AF1878=$AJ$22,MONTH(U1878),"")</f>
        <v/>
      </c>
      <c r="AJ1878" s="86" t="str">
        <f>+IF(AG1878=$AJ$22,MONTH(V1878),"")</f>
        <v/>
      </c>
      <c r="AK1878" s="86" t="str">
        <f>+IF(AG1878=$AK$22,MONTH(V1878),"")</f>
        <v/>
      </c>
      <c r="AL1878" s="86" t="str">
        <f>+IF(AG1878=$AL$22,MONTH(V1878),"")</f>
        <v/>
      </c>
      <c r="AM1878" s="86" t="str">
        <f>+IF($AG1878=$AM$22,MONTH($D1878),"")</f>
        <v/>
      </c>
      <c r="AN1878" s="89" t="str">
        <f>+IF($AG1878=AN$22,MONTH($D1878),"")</f>
        <v/>
      </c>
      <c r="AO1878" s="86" t="str">
        <f>+IF($AG1878=AO$22,MONTH($D1878),"")</f>
        <v/>
      </c>
      <c r="AP1878" s="86">
        <f>+IF($AG1878=AP$22,MONTH($D1878),"")</f>
        <v>4</v>
      </c>
      <c r="AQ1878" s="86" t="str">
        <f>+IF($AG1878=AQ$22,MONTH($D1878),"")</f>
        <v/>
      </c>
      <c r="AR1878" s="86" t="str">
        <f>+IF($AG1878=AR$22,MONTH($D1878),"")</f>
        <v/>
      </c>
      <c r="AS1878" s="86" t="str">
        <f>+IF($AG1878=AS$22,MONTH($D1878),"")</f>
        <v/>
      </c>
      <c r="AT1878" s="86" t="str">
        <f>+IF($AG1878=AT$22,MONTH($D1878),"")</f>
        <v/>
      </c>
      <c r="AU1878" s="86" t="str">
        <f>+IF($AG1878=AU$22,MONTH($D1878),"")</f>
        <v/>
      </c>
      <c r="AV1878" s="86" t="str">
        <f>+IF($AG1878=AV$22,MONTH($D1878),"")</f>
        <v/>
      </c>
      <c r="AW1878" s="86" t="str">
        <f>+IF($AG1878=AW$22,MONTH($D1878),"")</f>
        <v/>
      </c>
      <c r="AX1878" s="86" t="str">
        <f>+IF($AG1878=AX$22,MONTH($D1878),"")</f>
        <v/>
      </c>
      <c r="AY1878" s="182"/>
      <c r="AZ1878" s="182"/>
      <c r="BA1878" s="182"/>
      <c r="BB1878" s="182"/>
      <c r="BC1878" s="182"/>
      <c r="BD1878" s="182"/>
      <c r="BE1878" s="182"/>
      <c r="BF1878" s="182"/>
      <c r="BG1878" s="182"/>
      <c r="BH1878" s="182"/>
      <c r="BI1878" s="182"/>
      <c r="BJ1878" s="89"/>
      <c r="BK1878" s="89"/>
      <c r="BL1878" s="89"/>
      <c r="BM1878" s="89"/>
      <c r="BN1878" s="89"/>
      <c r="BO1878" s="89"/>
      <c r="BP1878" s="89"/>
    </row>
    <row r="1879" spans="1:68" s="56" customFormat="1" ht="27" hidden="1">
      <c r="A1879" s="204">
        <f>+IFERROR(VALUE(MID(AB1879,4,4)),"")</f>
        <v>158</v>
      </c>
      <c r="B1879" s="204">
        <f>VALUE(RIGHT(C1879,LEN(C1879)-2))</f>
        <v>846</v>
      </c>
      <c r="C1879" s="74" t="s">
        <v>6599</v>
      </c>
      <c r="D1879" s="75">
        <v>43199</v>
      </c>
      <c r="E1879" s="70" t="s">
        <v>41</v>
      </c>
      <c r="F1879" s="70" t="s">
        <v>41</v>
      </c>
      <c r="G1879" s="68"/>
      <c r="H1879" s="59"/>
      <c r="I1879" s="162" t="s">
        <v>6600</v>
      </c>
      <c r="J1879" s="162"/>
      <c r="K1879" s="68" t="s">
        <v>13</v>
      </c>
      <c r="L1879" s="69" t="s">
        <v>120</v>
      </c>
      <c r="M1879" s="71" t="s">
        <v>141</v>
      </c>
      <c r="N1879" s="69" t="e" vm="1">
        <v>#VALUE!</v>
      </c>
      <c r="O1879" s="164"/>
      <c r="P1879" s="72" t="s">
        <v>402</v>
      </c>
      <c r="Q1879" s="72" t="s">
        <v>316</v>
      </c>
      <c r="R1879" s="162"/>
      <c r="S1879" s="146"/>
      <c r="T1879" s="68" t="s">
        <v>3</v>
      </c>
      <c r="U1879" s="87"/>
      <c r="V1879" s="183">
        <v>43201</v>
      </c>
      <c r="W1879" s="73">
        <v>1249</v>
      </c>
      <c r="X1879" s="73">
        <f>1189*27000/1000000</f>
        <v>32.103000000000002</v>
      </c>
      <c r="Y1879" s="83">
        <f>IF(SUM(W1879:W1879)&gt;0,X1879/SUM(W1879:W1879)*1000000,"N/A")</f>
        <v>25702.962369895919</v>
      </c>
      <c r="Z1879" s="183"/>
      <c r="AA1879" s="183"/>
      <c r="AB1879" s="73" t="s">
        <v>6601</v>
      </c>
      <c r="AC1879" s="153"/>
      <c r="AD1879" s="331"/>
      <c r="AE1879" s="57"/>
      <c r="AF1879" s="88"/>
      <c r="AG1879" s="182">
        <f>YEAR(D1879)</f>
        <v>2018</v>
      </c>
      <c r="AH1879" s="86" t="str">
        <f>+IF(AE1879=$AJ$22,MONTH(T1879),"")</f>
        <v/>
      </c>
      <c r="AI1879" s="86" t="str">
        <f>+IF(AF1879=$AJ$22,MONTH(U1879),"")</f>
        <v/>
      </c>
      <c r="AJ1879" s="86" t="str">
        <f>+IF(AG1879=$AJ$22,MONTH(V1879),"")</f>
        <v/>
      </c>
      <c r="AK1879" s="86" t="str">
        <f>+IF(AG1879=$AK$22,MONTH(V1879),"")</f>
        <v/>
      </c>
      <c r="AL1879" s="86" t="str">
        <f>+IF(AG1879=$AL$22,MONTH(V1879),"")</f>
        <v/>
      </c>
      <c r="AM1879" s="86" t="str">
        <f>+IF($AG1879=$AM$22,MONTH($D1879),"")</f>
        <v/>
      </c>
      <c r="AN1879" s="89" t="str">
        <f>+IF($AG1879=AN$22,MONTH($D1879),"")</f>
        <v/>
      </c>
      <c r="AO1879" s="86" t="str">
        <f>+IF($AG1879=AO$22,MONTH($D1879),"")</f>
        <v/>
      </c>
      <c r="AP1879" s="86">
        <f>+IF($AG1879=AP$22,MONTH($D1879),"")</f>
        <v>4</v>
      </c>
      <c r="AQ1879" s="86" t="str">
        <f>+IF($AG1879=AQ$22,MONTH($D1879),"")</f>
        <v/>
      </c>
      <c r="AR1879" s="86" t="str">
        <f>+IF($AG1879=AR$22,MONTH($D1879),"")</f>
        <v/>
      </c>
      <c r="AS1879" s="86" t="str">
        <f>+IF($AG1879=AS$22,MONTH($D1879),"")</f>
        <v/>
      </c>
      <c r="AT1879" s="86" t="str">
        <f>+IF($AG1879=AT$22,MONTH($D1879),"")</f>
        <v/>
      </c>
      <c r="AU1879" s="86" t="str">
        <f>+IF($AG1879=AU$22,MONTH($D1879),"")</f>
        <v/>
      </c>
      <c r="AV1879" s="86" t="str">
        <f>+IF($AG1879=AV$22,MONTH($D1879),"")</f>
        <v/>
      </c>
      <c r="AW1879" s="86" t="str">
        <f>+IF($AG1879=AW$22,MONTH($D1879),"")</f>
        <v/>
      </c>
      <c r="AX1879" s="86" t="str">
        <f>+IF($AG1879=AX$22,MONTH($D1879),"")</f>
        <v/>
      </c>
      <c r="AY1879" s="182"/>
      <c r="AZ1879" s="182"/>
      <c r="BA1879" s="182"/>
      <c r="BB1879" s="182"/>
      <c r="BC1879" s="182"/>
      <c r="BD1879" s="182"/>
      <c r="BE1879" s="182"/>
      <c r="BF1879" s="182"/>
      <c r="BG1879" s="182"/>
      <c r="BH1879" s="182"/>
      <c r="BI1879" s="182"/>
      <c r="BJ1879" s="89"/>
      <c r="BK1879" s="89"/>
      <c r="BL1879" s="89"/>
      <c r="BM1879" s="89"/>
      <c r="BN1879" s="89"/>
      <c r="BO1879" s="89"/>
      <c r="BP1879" s="89"/>
    </row>
    <row r="1880" spans="1:68" s="56" customFormat="1" ht="13.5" hidden="1">
      <c r="A1880" s="204" t="str">
        <f>+IFERROR(VALUE(MID(AB1880,4,4)),"")</f>
        <v/>
      </c>
      <c r="B1880" s="204">
        <f>VALUE(RIGHT(C1880,LEN(C1880)-2))</f>
        <v>845</v>
      </c>
      <c r="C1880" s="74" t="s">
        <v>6602</v>
      </c>
      <c r="D1880" s="75">
        <v>43188</v>
      </c>
      <c r="E1880" s="70" t="s">
        <v>332</v>
      </c>
      <c r="F1880" s="70" t="s">
        <v>332</v>
      </c>
      <c r="G1880" s="68"/>
      <c r="H1880" s="59"/>
      <c r="I1880" s="162" t="s">
        <v>6603</v>
      </c>
      <c r="J1880" s="162"/>
      <c r="K1880" s="68" t="s">
        <v>13</v>
      </c>
      <c r="L1880" s="69" t="s">
        <v>120</v>
      </c>
      <c r="M1880" s="71" t="s">
        <v>141</v>
      </c>
      <c r="N1880" s="69" t="e" vm="1">
        <v>#VALUE!</v>
      </c>
      <c r="O1880" s="164"/>
      <c r="P1880" s="72" t="s">
        <v>402</v>
      </c>
      <c r="Q1880" s="72"/>
      <c r="R1880" s="162"/>
      <c r="S1880" s="146"/>
      <c r="T1880" s="68" t="s">
        <v>165</v>
      </c>
      <c r="U1880" s="87"/>
      <c r="V1880" s="183">
        <v>43188</v>
      </c>
      <c r="W1880" s="73">
        <v>723</v>
      </c>
      <c r="X1880" s="73">
        <f>715*27000/1000000</f>
        <v>19.305</v>
      </c>
      <c r="Y1880" s="83">
        <f>IF(SUM(W1880:W1880)&gt;0,X1880/SUM(W1880:W1880)*1000000,"N/A")</f>
        <v>26701.244813278008</v>
      </c>
      <c r="Z1880" s="183"/>
      <c r="AA1880" s="183"/>
      <c r="AB1880" s="73"/>
      <c r="AC1880" s="153"/>
      <c r="AD1880" s="331"/>
      <c r="AE1880" s="57"/>
      <c r="AF1880" s="88"/>
      <c r="AG1880" s="182">
        <f>YEAR(D1880)</f>
        <v>2018</v>
      </c>
      <c r="AH1880" s="86" t="str">
        <f>+IF(AE1880=$AJ$22,MONTH(T1880),"")</f>
        <v/>
      </c>
      <c r="AI1880" s="86" t="str">
        <f>+IF(AF1880=$AJ$22,MONTH(U1880),"")</f>
        <v/>
      </c>
      <c r="AJ1880" s="86" t="str">
        <f>+IF(AG1880=$AJ$22,MONTH(V1880),"")</f>
        <v/>
      </c>
      <c r="AK1880" s="86" t="str">
        <f>+IF(AG1880=$AK$22,MONTH(V1880),"")</f>
        <v/>
      </c>
      <c r="AL1880" s="86" t="str">
        <f>+IF(AG1880=$AL$22,MONTH(V1880),"")</f>
        <v/>
      </c>
      <c r="AM1880" s="86" t="str">
        <f>+IF($AG1880=$AM$22,MONTH($D1880),"")</f>
        <v/>
      </c>
      <c r="AN1880" s="89" t="str">
        <f>+IF($AG1880=AN$22,MONTH($D1880),"")</f>
        <v/>
      </c>
      <c r="AO1880" s="86" t="str">
        <f>+IF($AG1880=AO$22,MONTH($D1880),"")</f>
        <v/>
      </c>
      <c r="AP1880" s="86">
        <f>+IF($AG1880=AP$22,MONTH($D1880),"")</f>
        <v>3</v>
      </c>
      <c r="AQ1880" s="86" t="str">
        <f>+IF($AG1880=AQ$22,MONTH($D1880),"")</f>
        <v/>
      </c>
      <c r="AR1880" s="86" t="str">
        <f>+IF($AG1880=AR$22,MONTH($D1880),"")</f>
        <v/>
      </c>
      <c r="AS1880" s="86" t="str">
        <f>+IF($AG1880=AS$22,MONTH($D1880),"")</f>
        <v/>
      </c>
      <c r="AT1880" s="86" t="str">
        <f>+IF($AG1880=AT$22,MONTH($D1880),"")</f>
        <v/>
      </c>
      <c r="AU1880" s="86" t="str">
        <f>+IF($AG1880=AU$22,MONTH($D1880),"")</f>
        <v/>
      </c>
      <c r="AV1880" s="86" t="str">
        <f>+IF($AG1880=AV$22,MONTH($D1880),"")</f>
        <v/>
      </c>
      <c r="AW1880" s="86" t="str">
        <f>+IF($AG1880=AW$22,MONTH($D1880),"")</f>
        <v/>
      </c>
      <c r="AX1880" s="86" t="str">
        <f>+IF($AG1880=AX$22,MONTH($D1880),"")</f>
        <v/>
      </c>
      <c r="AY1880" s="182"/>
      <c r="AZ1880" s="182"/>
      <c r="BA1880" s="182"/>
      <c r="BB1880" s="182"/>
      <c r="BC1880" s="182"/>
      <c r="BD1880" s="182"/>
      <c r="BE1880" s="182"/>
      <c r="BF1880" s="182"/>
      <c r="BG1880" s="182"/>
      <c r="BH1880" s="182"/>
      <c r="BI1880" s="182"/>
      <c r="BJ1880" s="89"/>
      <c r="BK1880" s="89"/>
      <c r="BL1880" s="89"/>
      <c r="BM1880" s="89"/>
      <c r="BN1880" s="89"/>
      <c r="BO1880" s="89"/>
      <c r="BP1880" s="89"/>
    </row>
    <row r="1881" spans="1:68" s="56" customFormat="1" ht="13.5" hidden="1">
      <c r="A1881" s="204" t="str">
        <f>+IFERROR(VALUE(MID(AB1881,4,4)),"")</f>
        <v/>
      </c>
      <c r="B1881" s="204">
        <f>VALUE(RIGHT(C1881,LEN(C1881)-2))</f>
        <v>844</v>
      </c>
      <c r="C1881" s="74" t="s">
        <v>6604</v>
      </c>
      <c r="D1881" s="75">
        <v>43185</v>
      </c>
      <c r="E1881" s="70" t="s">
        <v>4664</v>
      </c>
      <c r="F1881" s="70" t="s">
        <v>479</v>
      </c>
      <c r="G1881" s="68"/>
      <c r="H1881" s="59"/>
      <c r="I1881" s="162" t="s">
        <v>6605</v>
      </c>
      <c r="J1881" s="162"/>
      <c r="K1881" s="68" t="s">
        <v>12</v>
      </c>
      <c r="L1881" s="69" t="s">
        <v>123</v>
      </c>
      <c r="M1881" s="71" t="s">
        <v>113</v>
      </c>
      <c r="N1881" s="69" t="e" vm="2">
        <v>#VALUE!</v>
      </c>
      <c r="O1881" s="164"/>
      <c r="P1881" s="72" t="s">
        <v>402</v>
      </c>
      <c r="Q1881" s="72"/>
      <c r="R1881" s="162"/>
      <c r="S1881" s="146"/>
      <c r="T1881" s="68" t="s">
        <v>165</v>
      </c>
      <c r="U1881" s="87"/>
      <c r="V1881" s="183">
        <v>43185</v>
      </c>
      <c r="W1881" s="73">
        <v>357</v>
      </c>
      <c r="X1881" s="73">
        <f>41230*190/1000000</f>
        <v>7.8337000000000003</v>
      </c>
      <c r="Y1881" s="83">
        <f>IF(SUM(W1881:W1881)&gt;0,X1881/SUM(W1881:W1881)*1000000,"N/A")</f>
        <v>21943.137254901962</v>
      </c>
      <c r="Z1881" s="183"/>
      <c r="AA1881" s="183"/>
      <c r="AB1881" s="73"/>
      <c r="AC1881" s="153"/>
      <c r="AD1881" s="331"/>
      <c r="AE1881" s="57"/>
      <c r="AF1881" s="88"/>
      <c r="AG1881" s="182">
        <f>YEAR(D1881)</f>
        <v>2018</v>
      </c>
      <c r="AH1881" s="86" t="str">
        <f>+IF(AE1881=$AJ$22,MONTH(T1881),"")</f>
        <v/>
      </c>
      <c r="AI1881" s="86" t="str">
        <f>+IF(AF1881=$AJ$22,MONTH(U1881),"")</f>
        <v/>
      </c>
      <c r="AJ1881" s="86" t="str">
        <f>+IF(AG1881=$AJ$22,MONTH(V1881),"")</f>
        <v/>
      </c>
      <c r="AK1881" s="86" t="str">
        <f>+IF(AG1881=$AK$22,MONTH(V1881),"")</f>
        <v/>
      </c>
      <c r="AL1881" s="86" t="str">
        <f>+IF(AG1881=$AL$22,MONTH(V1881),"")</f>
        <v/>
      </c>
      <c r="AM1881" s="86" t="str">
        <f>+IF($AG1881=$AM$22,MONTH($D1881),"")</f>
        <v/>
      </c>
      <c r="AN1881" s="89" t="str">
        <f>+IF($AG1881=AN$22,MONTH($D1881),"")</f>
        <v/>
      </c>
      <c r="AO1881" s="86" t="str">
        <f>+IF($AG1881=AO$22,MONTH($D1881),"")</f>
        <v/>
      </c>
      <c r="AP1881" s="86">
        <f>+IF($AG1881=AP$22,MONTH($D1881),"")</f>
        <v>3</v>
      </c>
      <c r="AQ1881" s="86" t="str">
        <f>+IF($AG1881=AQ$22,MONTH($D1881),"")</f>
        <v/>
      </c>
      <c r="AR1881" s="86" t="str">
        <f>+IF($AG1881=AR$22,MONTH($D1881),"")</f>
        <v/>
      </c>
      <c r="AS1881" s="86" t="str">
        <f>+IF($AG1881=AS$22,MONTH($D1881),"")</f>
        <v/>
      </c>
      <c r="AT1881" s="86" t="str">
        <f>+IF($AG1881=AT$22,MONTH($D1881),"")</f>
        <v/>
      </c>
      <c r="AU1881" s="86" t="str">
        <f>+IF($AG1881=AU$22,MONTH($D1881),"")</f>
        <v/>
      </c>
      <c r="AV1881" s="86" t="str">
        <f>+IF($AG1881=AV$22,MONTH($D1881),"")</f>
        <v/>
      </c>
      <c r="AW1881" s="86" t="str">
        <f>+IF($AG1881=AW$22,MONTH($D1881),"")</f>
        <v/>
      </c>
      <c r="AX1881" s="86" t="str">
        <f>+IF($AG1881=AX$22,MONTH($D1881),"")</f>
        <v/>
      </c>
      <c r="AY1881" s="182"/>
      <c r="AZ1881" s="182"/>
      <c r="BA1881" s="182"/>
      <c r="BB1881" s="182"/>
      <c r="BC1881" s="182"/>
      <c r="BD1881" s="182"/>
      <c r="BE1881" s="182"/>
      <c r="BF1881" s="182"/>
      <c r="BG1881" s="182"/>
      <c r="BH1881" s="182"/>
      <c r="BI1881" s="182"/>
      <c r="BJ1881" s="89"/>
      <c r="BK1881" s="89"/>
      <c r="BL1881" s="89"/>
      <c r="BM1881" s="89"/>
      <c r="BN1881" s="89"/>
      <c r="BO1881" s="89"/>
      <c r="BP1881" s="89"/>
    </row>
    <row r="1882" spans="1:68" s="56" customFormat="1" ht="27" hidden="1">
      <c r="A1882" s="204" t="str">
        <f>+IFERROR(VALUE(MID(AB1882,4,4)),"")</f>
        <v/>
      </c>
      <c r="B1882" s="204">
        <f>VALUE(RIGHT(C1882,LEN(C1882)-2))</f>
        <v>843</v>
      </c>
      <c r="C1882" s="74" t="s">
        <v>6606</v>
      </c>
      <c r="D1882" s="75">
        <v>43182</v>
      </c>
      <c r="E1882" s="70" t="s">
        <v>4664</v>
      </c>
      <c r="F1882" s="70" t="s">
        <v>479</v>
      </c>
      <c r="G1882" s="68"/>
      <c r="H1882" s="59"/>
      <c r="I1882" s="162" t="s">
        <v>6607</v>
      </c>
      <c r="J1882" s="162"/>
      <c r="K1882" s="68" t="s">
        <v>212</v>
      </c>
      <c r="L1882" s="69" t="s">
        <v>120</v>
      </c>
      <c r="M1882" s="71" t="s">
        <v>113</v>
      </c>
      <c r="N1882" s="69" t="e" vm="2">
        <v>#VALUE!</v>
      </c>
      <c r="O1882" s="164"/>
      <c r="P1882" s="72" t="s">
        <v>402</v>
      </c>
      <c r="Q1882" s="72" t="s">
        <v>1097</v>
      </c>
      <c r="R1882" s="162"/>
      <c r="S1882" s="146" t="s">
        <v>651</v>
      </c>
      <c r="T1882" s="68" t="s">
        <v>3</v>
      </c>
      <c r="U1882" s="87"/>
      <c r="V1882" s="183"/>
      <c r="W1882" s="73">
        <v>1000</v>
      </c>
      <c r="X1882" s="73"/>
      <c r="Y1882" s="83">
        <f>IF(SUM(W1882:W1882)&gt;0,X1882/SUM(W1882:W1882)*1000000,"N/A")</f>
        <v>0</v>
      </c>
      <c r="Z1882" s="183"/>
      <c r="AA1882" s="183"/>
      <c r="AB1882" s="73"/>
      <c r="AC1882" s="153"/>
      <c r="AD1882" s="331"/>
      <c r="AE1882" s="57"/>
      <c r="AF1882" s="88"/>
      <c r="AG1882" s="182">
        <f>YEAR(D1882)</f>
        <v>2018</v>
      </c>
      <c r="AH1882" s="86" t="str">
        <f>+IF(AE1882=$AJ$22,MONTH(T1882),"")</f>
        <v/>
      </c>
      <c r="AI1882" s="86" t="str">
        <f>+IF(AF1882=$AJ$22,MONTH(U1882),"")</f>
        <v/>
      </c>
      <c r="AJ1882" s="86" t="str">
        <f>+IF(AG1882=$AJ$22,MONTH(V1882),"")</f>
        <v/>
      </c>
      <c r="AK1882" s="86" t="str">
        <f>+IF(AG1882=$AK$22,MONTH(V1882),"")</f>
        <v/>
      </c>
      <c r="AL1882" s="86" t="str">
        <f>+IF(AG1882=$AL$22,MONTH(V1882),"")</f>
        <v/>
      </c>
      <c r="AM1882" s="86" t="str">
        <f>+IF($AG1882=$AM$22,MONTH($D1882),"")</f>
        <v/>
      </c>
      <c r="AN1882" s="89" t="str">
        <f>+IF($AG1882=AN$22,MONTH($D1882),"")</f>
        <v/>
      </c>
      <c r="AO1882" s="86" t="str">
        <f>+IF($AG1882=AO$22,MONTH($D1882),"")</f>
        <v/>
      </c>
      <c r="AP1882" s="86">
        <f>+IF($AG1882=AP$22,MONTH($D1882),"")</f>
        <v>3</v>
      </c>
      <c r="AQ1882" s="86" t="str">
        <f>+IF($AG1882=AQ$22,MONTH($D1882),"")</f>
        <v/>
      </c>
      <c r="AR1882" s="86" t="str">
        <f>+IF($AG1882=AR$22,MONTH($D1882),"")</f>
        <v/>
      </c>
      <c r="AS1882" s="86" t="str">
        <f>+IF($AG1882=AS$22,MONTH($D1882),"")</f>
        <v/>
      </c>
      <c r="AT1882" s="86" t="str">
        <f>+IF($AG1882=AT$22,MONTH($D1882),"")</f>
        <v/>
      </c>
      <c r="AU1882" s="86" t="str">
        <f>+IF($AG1882=AU$22,MONTH($D1882),"")</f>
        <v/>
      </c>
      <c r="AV1882" s="86" t="str">
        <f>+IF($AG1882=AV$22,MONTH($D1882),"")</f>
        <v/>
      </c>
      <c r="AW1882" s="86" t="str">
        <f>+IF($AG1882=AW$22,MONTH($D1882),"")</f>
        <v/>
      </c>
      <c r="AX1882" s="86" t="str">
        <f>+IF($AG1882=AX$22,MONTH($D1882),"")</f>
        <v/>
      </c>
      <c r="AY1882" s="182"/>
      <c r="AZ1882" s="182"/>
      <c r="BA1882" s="182"/>
      <c r="BB1882" s="182"/>
      <c r="BC1882" s="182"/>
      <c r="BD1882" s="182"/>
      <c r="BE1882" s="182"/>
      <c r="BF1882" s="182"/>
      <c r="BG1882" s="182"/>
      <c r="BH1882" s="182"/>
      <c r="BI1882" s="182"/>
      <c r="BJ1882" s="89"/>
      <c r="BK1882" s="89"/>
      <c r="BL1882" s="89"/>
      <c r="BM1882" s="89"/>
      <c r="BN1882" s="89"/>
      <c r="BO1882" s="89"/>
      <c r="BP1882" s="89"/>
    </row>
    <row r="1883" spans="1:68" s="56" customFormat="1" ht="53.25" hidden="1">
      <c r="A1883" s="204" t="str">
        <f>+IFERROR(VALUE(MID(AB1883,4,4)),"")</f>
        <v/>
      </c>
      <c r="B1883" s="204">
        <f>VALUE(RIGHT(C1883,LEN(C1883)-2))</f>
        <v>842</v>
      </c>
      <c r="C1883" s="74" t="s">
        <v>6608</v>
      </c>
      <c r="D1883" s="75">
        <v>43179</v>
      </c>
      <c r="E1883" s="70" t="s">
        <v>2286</v>
      </c>
      <c r="F1883" s="70" t="s">
        <v>6609</v>
      </c>
      <c r="G1883" s="68"/>
      <c r="H1883" s="59"/>
      <c r="I1883" s="162" t="s">
        <v>6610</v>
      </c>
      <c r="J1883" s="162"/>
      <c r="K1883" s="68" t="s">
        <v>3389</v>
      </c>
      <c r="L1883" s="69" t="s">
        <v>123</v>
      </c>
      <c r="M1883" s="71" t="s">
        <v>113</v>
      </c>
      <c r="N1883" s="69" t="e" vm="4">
        <v>#VALUE!</v>
      </c>
      <c r="O1883" s="164"/>
      <c r="P1883" s="72" t="s">
        <v>4567</v>
      </c>
      <c r="Q1883" s="72"/>
      <c r="R1883" s="162"/>
      <c r="S1883" s="146" t="s">
        <v>6611</v>
      </c>
      <c r="T1883" s="68" t="s">
        <v>165</v>
      </c>
      <c r="U1883" s="87"/>
      <c r="V1883" s="183"/>
      <c r="W1883" s="73">
        <v>1</v>
      </c>
      <c r="X1883" s="73"/>
      <c r="Y1883" s="83">
        <f>IF(SUM(W1883:W1883)&gt;0,X1883/SUM(W1883:W1883)*1000000,"N/A")</f>
        <v>0</v>
      </c>
      <c r="Z1883" s="183"/>
      <c r="AA1883" s="183"/>
      <c r="AB1883" s="73"/>
      <c r="AC1883" s="153"/>
      <c r="AD1883" s="331"/>
      <c r="AE1883" s="57"/>
      <c r="AF1883" s="88"/>
      <c r="AG1883" s="182">
        <f>YEAR(D1883)</f>
        <v>2018</v>
      </c>
      <c r="AH1883" s="86" t="str">
        <f>+IF(AE1883=$AJ$22,MONTH(T1883),"")</f>
        <v/>
      </c>
      <c r="AI1883" s="86" t="str">
        <f>+IF(AF1883=$AJ$22,MONTH(U1883),"")</f>
        <v/>
      </c>
      <c r="AJ1883" s="86" t="str">
        <f>+IF(AG1883=$AJ$22,MONTH(V1883),"")</f>
        <v/>
      </c>
      <c r="AK1883" s="86" t="str">
        <f>+IF(AG1883=$AK$22,MONTH(V1883),"")</f>
        <v/>
      </c>
      <c r="AL1883" s="86" t="str">
        <f>+IF(AG1883=$AL$22,MONTH(V1883),"")</f>
        <v/>
      </c>
      <c r="AM1883" s="86" t="str">
        <f>+IF($AG1883=$AM$22,MONTH($D1883),"")</f>
        <v/>
      </c>
      <c r="AN1883" s="89" t="str">
        <f>+IF($AG1883=AN$22,MONTH($D1883),"")</f>
        <v/>
      </c>
      <c r="AO1883" s="86" t="str">
        <f>+IF($AG1883=AO$22,MONTH($D1883),"")</f>
        <v/>
      </c>
      <c r="AP1883" s="86">
        <f>+IF($AG1883=AP$22,MONTH($D1883),"")</f>
        <v>3</v>
      </c>
      <c r="AQ1883" s="86" t="str">
        <f>+IF($AG1883=AQ$22,MONTH($D1883),"")</f>
        <v/>
      </c>
      <c r="AR1883" s="86" t="str">
        <f>+IF($AG1883=AR$22,MONTH($D1883),"")</f>
        <v/>
      </c>
      <c r="AS1883" s="86" t="str">
        <f>+IF($AG1883=AS$22,MONTH($D1883),"")</f>
        <v/>
      </c>
      <c r="AT1883" s="86" t="str">
        <f>+IF($AG1883=AT$22,MONTH($D1883),"")</f>
        <v/>
      </c>
      <c r="AU1883" s="86" t="str">
        <f>+IF($AG1883=AU$22,MONTH($D1883),"")</f>
        <v/>
      </c>
      <c r="AV1883" s="86" t="str">
        <f>+IF($AG1883=AV$22,MONTH($D1883),"")</f>
        <v/>
      </c>
      <c r="AW1883" s="86" t="str">
        <f>+IF($AG1883=AW$22,MONTH($D1883),"")</f>
        <v/>
      </c>
      <c r="AX1883" s="86" t="str">
        <f>+IF($AG1883=AX$22,MONTH($D1883),"")</f>
        <v/>
      </c>
      <c r="AY1883" s="182"/>
      <c r="AZ1883" s="182"/>
      <c r="BA1883" s="182"/>
      <c r="BB1883" s="182"/>
      <c r="BC1883" s="182"/>
      <c r="BD1883" s="182"/>
      <c r="BE1883" s="182"/>
      <c r="BF1883" s="182"/>
      <c r="BG1883" s="182"/>
      <c r="BH1883" s="182"/>
      <c r="BI1883" s="182"/>
      <c r="BJ1883" s="89"/>
      <c r="BK1883" s="89"/>
      <c r="BL1883" s="89"/>
      <c r="BM1883" s="89"/>
      <c r="BN1883" s="89"/>
      <c r="BO1883" s="89"/>
      <c r="BP1883" s="89"/>
    </row>
    <row r="1884" spans="1:68" s="56" customFormat="1" ht="13.5" hidden="1">
      <c r="A1884" s="204" t="str">
        <f>+IFERROR(VALUE(MID(AB1884,4,4)),"")</f>
        <v/>
      </c>
      <c r="B1884" s="204">
        <f>VALUE(RIGHT(C1884,LEN(C1884)-2))</f>
        <v>841</v>
      </c>
      <c r="C1884" s="74" t="s">
        <v>6612</v>
      </c>
      <c r="D1884" s="75">
        <v>43179</v>
      </c>
      <c r="E1884" s="70" t="s">
        <v>50</v>
      </c>
      <c r="F1884" s="70" t="s">
        <v>50</v>
      </c>
      <c r="G1884" s="68"/>
      <c r="H1884" s="59"/>
      <c r="I1884" s="162" t="s">
        <v>6613</v>
      </c>
      <c r="J1884" s="162"/>
      <c r="K1884" s="68" t="s">
        <v>30</v>
      </c>
      <c r="L1884" s="69" t="s">
        <v>120</v>
      </c>
      <c r="M1884" s="71" t="s">
        <v>141</v>
      </c>
      <c r="N1884" s="69" t="e" vm="1">
        <v>#VALUE!</v>
      </c>
      <c r="O1884" s="164"/>
      <c r="P1884" s="72" t="s">
        <v>402</v>
      </c>
      <c r="Q1884" s="72"/>
      <c r="R1884" s="162"/>
      <c r="S1884" s="146"/>
      <c r="T1884" s="68" t="s">
        <v>165</v>
      </c>
      <c r="U1884" s="87"/>
      <c r="V1884" s="183"/>
      <c r="W1884" s="73">
        <v>396</v>
      </c>
      <c r="X1884" s="73">
        <v>16.899999999999999</v>
      </c>
      <c r="Y1884" s="83">
        <f>IF(SUM(W1884:W1884)&gt;0,X1884/SUM(W1884:W1884)*1000000,"N/A")</f>
        <v>42676.767676767675</v>
      </c>
      <c r="Z1884" s="183"/>
      <c r="AA1884" s="183"/>
      <c r="AB1884" s="73"/>
      <c r="AC1884" s="153"/>
      <c r="AD1884" s="331"/>
      <c r="AE1884" s="57"/>
      <c r="AF1884" s="88"/>
      <c r="AG1884" s="182">
        <f>YEAR(D1884)</f>
        <v>2018</v>
      </c>
      <c r="AH1884" s="86" t="str">
        <f>+IF(AE1884=$AJ$22,MONTH(T1884),"")</f>
        <v/>
      </c>
      <c r="AI1884" s="86" t="str">
        <f>+IF(AF1884=$AJ$22,MONTH(U1884),"")</f>
        <v/>
      </c>
      <c r="AJ1884" s="86" t="str">
        <f>+IF(AG1884=$AJ$22,MONTH(V1884),"")</f>
        <v/>
      </c>
      <c r="AK1884" s="86" t="str">
        <f>+IF(AG1884=$AK$22,MONTH(V1884),"")</f>
        <v/>
      </c>
      <c r="AL1884" s="86" t="str">
        <f>+IF(AG1884=$AL$22,MONTH(V1884),"")</f>
        <v/>
      </c>
      <c r="AM1884" s="86" t="str">
        <f>+IF($AG1884=$AM$22,MONTH($D1884),"")</f>
        <v/>
      </c>
      <c r="AN1884" s="89" t="str">
        <f>+IF($AG1884=AN$22,MONTH($D1884),"")</f>
        <v/>
      </c>
      <c r="AO1884" s="86" t="str">
        <f>+IF($AG1884=AO$22,MONTH($D1884),"")</f>
        <v/>
      </c>
      <c r="AP1884" s="86">
        <f>+IF($AG1884=AP$22,MONTH($D1884),"")</f>
        <v>3</v>
      </c>
      <c r="AQ1884" s="86" t="str">
        <f>+IF($AG1884=AQ$22,MONTH($D1884),"")</f>
        <v/>
      </c>
      <c r="AR1884" s="86" t="str">
        <f>+IF($AG1884=AR$22,MONTH($D1884),"")</f>
        <v/>
      </c>
      <c r="AS1884" s="86" t="str">
        <f>+IF($AG1884=AS$22,MONTH($D1884),"")</f>
        <v/>
      </c>
      <c r="AT1884" s="86" t="str">
        <f>+IF($AG1884=AT$22,MONTH($D1884),"")</f>
        <v/>
      </c>
      <c r="AU1884" s="86" t="str">
        <f>+IF($AG1884=AU$22,MONTH($D1884),"")</f>
        <v/>
      </c>
      <c r="AV1884" s="86" t="str">
        <f>+IF($AG1884=AV$22,MONTH($D1884),"")</f>
        <v/>
      </c>
      <c r="AW1884" s="86" t="str">
        <f>+IF($AG1884=AW$22,MONTH($D1884),"")</f>
        <v/>
      </c>
      <c r="AX1884" s="86" t="str">
        <f>+IF($AG1884=AX$22,MONTH($D1884),"")</f>
        <v/>
      </c>
      <c r="AY1884" s="182"/>
      <c r="AZ1884" s="182"/>
      <c r="BA1884" s="182"/>
      <c r="BB1884" s="182"/>
      <c r="BC1884" s="182"/>
      <c r="BD1884" s="182"/>
      <c r="BE1884" s="182"/>
      <c r="BF1884" s="182"/>
      <c r="BG1884" s="182"/>
      <c r="BH1884" s="182"/>
      <c r="BI1884" s="182"/>
      <c r="BJ1884" s="89"/>
      <c r="BK1884" s="89"/>
      <c r="BL1884" s="89"/>
      <c r="BM1884" s="89"/>
      <c r="BN1884" s="89"/>
      <c r="BO1884" s="89"/>
      <c r="BP1884" s="89"/>
    </row>
    <row r="1885" spans="1:68" s="56" customFormat="1" ht="27" hidden="1">
      <c r="A1885" s="204" t="str">
        <f>+IFERROR(VALUE(MID(AB1885,4,4)),"")</f>
        <v/>
      </c>
      <c r="B1885" s="204">
        <f>VALUE(RIGHT(C1885,LEN(C1885)-2))</f>
        <v>840</v>
      </c>
      <c r="C1885" s="74" t="s">
        <v>6614</v>
      </c>
      <c r="D1885" s="75">
        <v>43171</v>
      </c>
      <c r="E1885" s="70" t="s">
        <v>848</v>
      </c>
      <c r="F1885" s="70" t="s">
        <v>848</v>
      </c>
      <c r="G1885" s="68"/>
      <c r="H1885" s="59"/>
      <c r="I1885" s="162" t="s">
        <v>6615</v>
      </c>
      <c r="J1885" s="162"/>
      <c r="K1885" s="68" t="s">
        <v>9</v>
      </c>
      <c r="L1885" s="69" t="s">
        <v>123</v>
      </c>
      <c r="M1885" s="71" t="s">
        <v>141</v>
      </c>
      <c r="N1885" s="69" t="e" vm="1">
        <v>#VALUE!</v>
      </c>
      <c r="O1885" s="164"/>
      <c r="P1885" s="72" t="s">
        <v>402</v>
      </c>
      <c r="Q1885" s="72"/>
      <c r="R1885" s="162"/>
      <c r="S1885" s="146" t="s">
        <v>6507</v>
      </c>
      <c r="T1885" s="68" t="s">
        <v>155</v>
      </c>
      <c r="U1885" s="87"/>
      <c r="V1885" s="183"/>
      <c r="W1885" s="73"/>
      <c r="X1885" s="73"/>
      <c r="Y1885" s="83" t="str">
        <f>IF(SUM(W1885:W1885)&gt;0,X1885/SUM(W1885:W1885)*1000000,"N/A")</f>
        <v>N/A</v>
      </c>
      <c r="Z1885" s="183"/>
      <c r="AA1885" s="183"/>
      <c r="AB1885" s="73"/>
      <c r="AC1885" s="153"/>
      <c r="AD1885" s="331"/>
      <c r="AE1885" s="57"/>
      <c r="AF1885" s="88"/>
      <c r="AG1885" s="182">
        <f>YEAR(D1885)</f>
        <v>2018</v>
      </c>
      <c r="AH1885" s="86" t="str">
        <f>+IF(AE1885=$AJ$22,MONTH(T1885),"")</f>
        <v/>
      </c>
      <c r="AI1885" s="86" t="str">
        <f>+IF(AF1885=$AJ$22,MONTH(U1885),"")</f>
        <v/>
      </c>
      <c r="AJ1885" s="86" t="str">
        <f>+IF(AG1885=$AJ$22,MONTH(V1885),"")</f>
        <v/>
      </c>
      <c r="AK1885" s="86" t="str">
        <f>+IF(AG1885=$AK$22,MONTH(V1885),"")</f>
        <v/>
      </c>
      <c r="AL1885" s="86" t="str">
        <f>+IF(AG1885=$AL$22,MONTH(V1885),"")</f>
        <v/>
      </c>
      <c r="AM1885" s="86" t="str">
        <f>+IF($AG1885=$AM$22,MONTH($D1885),"")</f>
        <v/>
      </c>
      <c r="AN1885" s="89" t="str">
        <f>+IF($AG1885=AN$22,MONTH($D1885),"")</f>
        <v/>
      </c>
      <c r="AO1885" s="86" t="str">
        <f>+IF($AG1885=AO$22,MONTH($D1885),"")</f>
        <v/>
      </c>
      <c r="AP1885" s="86">
        <f>+IF($AG1885=AP$22,MONTH($D1885),"")</f>
        <v>3</v>
      </c>
      <c r="AQ1885" s="86" t="str">
        <f>+IF($AG1885=AQ$22,MONTH($D1885),"")</f>
        <v/>
      </c>
      <c r="AR1885" s="86" t="str">
        <f>+IF($AG1885=AR$22,MONTH($D1885),"")</f>
        <v/>
      </c>
      <c r="AS1885" s="86" t="str">
        <f>+IF($AG1885=AS$22,MONTH($D1885),"")</f>
        <v/>
      </c>
      <c r="AT1885" s="86" t="str">
        <f>+IF($AG1885=AT$22,MONTH($D1885),"")</f>
        <v/>
      </c>
      <c r="AU1885" s="86" t="str">
        <f>+IF($AG1885=AU$22,MONTH($D1885),"")</f>
        <v/>
      </c>
      <c r="AV1885" s="86" t="str">
        <f>+IF($AG1885=AV$22,MONTH($D1885),"")</f>
        <v/>
      </c>
      <c r="AW1885" s="86" t="str">
        <f>+IF($AG1885=AW$22,MONTH($D1885),"")</f>
        <v/>
      </c>
      <c r="AX1885" s="86" t="str">
        <f>+IF($AG1885=AX$22,MONTH($D1885),"")</f>
        <v/>
      </c>
      <c r="AY1885" s="182"/>
      <c r="AZ1885" s="182"/>
      <c r="BA1885" s="182"/>
      <c r="BB1885" s="182"/>
      <c r="BC1885" s="182"/>
      <c r="BD1885" s="182"/>
      <c r="BE1885" s="182"/>
      <c r="BF1885" s="182"/>
      <c r="BG1885" s="182"/>
      <c r="BH1885" s="182"/>
      <c r="BI1885" s="182"/>
      <c r="BJ1885" s="89"/>
      <c r="BK1885" s="89"/>
      <c r="BL1885" s="89"/>
      <c r="BM1885" s="89"/>
      <c r="BN1885" s="89"/>
      <c r="BO1885" s="89"/>
      <c r="BP1885" s="89"/>
    </row>
    <row r="1886" spans="1:68" s="56" customFormat="1" ht="27" hidden="1">
      <c r="A1886" s="204" t="str">
        <f>+IFERROR(VALUE(MID(AB1886,4,4)),"")</f>
        <v/>
      </c>
      <c r="B1886" s="204">
        <f>VALUE(RIGHT(C1886,LEN(C1886)-2))</f>
        <v>839</v>
      </c>
      <c r="C1886" s="74" t="s">
        <v>6616</v>
      </c>
      <c r="D1886" s="75">
        <v>43171</v>
      </c>
      <c r="E1886" s="70" t="s">
        <v>4664</v>
      </c>
      <c r="F1886" s="70" t="s">
        <v>479</v>
      </c>
      <c r="G1886" s="68"/>
      <c r="H1886" s="59"/>
      <c r="I1886" s="162" t="s">
        <v>6617</v>
      </c>
      <c r="J1886" s="162"/>
      <c r="K1886" s="68" t="s">
        <v>11</v>
      </c>
      <c r="L1886" s="69" t="s">
        <v>120</v>
      </c>
      <c r="M1886" s="71" t="s">
        <v>113</v>
      </c>
      <c r="N1886" s="69" t="e" vm="2">
        <v>#VALUE!</v>
      </c>
      <c r="O1886" s="164"/>
      <c r="P1886" s="72" t="s">
        <v>402</v>
      </c>
      <c r="Q1886" s="72"/>
      <c r="R1886" s="162"/>
      <c r="S1886" s="146" t="s">
        <v>6618</v>
      </c>
      <c r="T1886" s="68" t="s">
        <v>165</v>
      </c>
      <c r="U1886" s="87"/>
      <c r="V1886" s="183">
        <v>43186</v>
      </c>
      <c r="W1886" s="73">
        <v>120</v>
      </c>
      <c r="X1886" s="73">
        <f>15075*200/1000000</f>
        <v>3.0150000000000001</v>
      </c>
      <c r="Y1886" s="83">
        <f>IF(SUM(W1886:W1886)&gt;0,X1886/SUM(W1886:W1886)*1000000,"N/A")</f>
        <v>25125</v>
      </c>
      <c r="Z1886" s="183"/>
      <c r="AA1886" s="183"/>
      <c r="AB1886" s="73"/>
      <c r="AC1886" s="153"/>
      <c r="AD1886" s="331"/>
      <c r="AE1886" s="57"/>
      <c r="AF1886" s="88"/>
      <c r="AG1886" s="182">
        <f>YEAR(D1886)</f>
        <v>2018</v>
      </c>
      <c r="AH1886" s="86" t="str">
        <f>+IF(AE1886=$AJ$22,MONTH(T1886),"")</f>
        <v/>
      </c>
      <c r="AI1886" s="86" t="str">
        <f>+IF(AF1886=$AJ$22,MONTH(U1886),"")</f>
        <v/>
      </c>
      <c r="AJ1886" s="86" t="str">
        <f>+IF(AG1886=$AJ$22,MONTH(V1886),"")</f>
        <v/>
      </c>
      <c r="AK1886" s="86" t="str">
        <f>+IF(AG1886=$AK$22,MONTH(V1886),"")</f>
        <v/>
      </c>
      <c r="AL1886" s="86" t="str">
        <f>+IF(AG1886=$AL$22,MONTH(V1886),"")</f>
        <v/>
      </c>
      <c r="AM1886" s="86" t="str">
        <f>+IF($AG1886=$AM$22,MONTH($D1886),"")</f>
        <v/>
      </c>
      <c r="AN1886" s="89" t="str">
        <f>+IF($AG1886=AN$22,MONTH($D1886),"")</f>
        <v/>
      </c>
      <c r="AO1886" s="86" t="str">
        <f>+IF($AG1886=AO$22,MONTH($D1886),"")</f>
        <v/>
      </c>
      <c r="AP1886" s="86">
        <f>+IF($AG1886=AP$22,MONTH($D1886),"")</f>
        <v>3</v>
      </c>
      <c r="AQ1886" s="86" t="str">
        <f>+IF($AG1886=AQ$22,MONTH($D1886),"")</f>
        <v/>
      </c>
      <c r="AR1886" s="86" t="str">
        <f>+IF($AG1886=AR$22,MONTH($D1886),"")</f>
        <v/>
      </c>
      <c r="AS1886" s="86" t="str">
        <f>+IF($AG1886=AS$22,MONTH($D1886),"")</f>
        <v/>
      </c>
      <c r="AT1886" s="86" t="str">
        <f>+IF($AG1886=AT$22,MONTH($D1886),"")</f>
        <v/>
      </c>
      <c r="AU1886" s="86" t="str">
        <f>+IF($AG1886=AU$22,MONTH($D1886),"")</f>
        <v/>
      </c>
      <c r="AV1886" s="86" t="str">
        <f>+IF($AG1886=AV$22,MONTH($D1886),"")</f>
        <v/>
      </c>
      <c r="AW1886" s="86" t="str">
        <f>+IF($AG1886=AW$22,MONTH($D1886),"")</f>
        <v/>
      </c>
      <c r="AX1886" s="86" t="str">
        <f>+IF($AG1886=AX$22,MONTH($D1886),"")</f>
        <v/>
      </c>
      <c r="AY1886" s="182"/>
      <c r="AZ1886" s="182"/>
      <c r="BA1886" s="182"/>
      <c r="BB1886" s="182"/>
      <c r="BC1886" s="182"/>
      <c r="BD1886" s="182"/>
      <c r="BE1886" s="182"/>
      <c r="BF1886" s="182"/>
      <c r="BG1886" s="182"/>
      <c r="BH1886" s="182"/>
      <c r="BI1886" s="182"/>
      <c r="BJ1886" s="89"/>
      <c r="BK1886" s="89"/>
      <c r="BL1886" s="89"/>
      <c r="BM1886" s="89"/>
      <c r="BN1886" s="89"/>
      <c r="BO1886" s="89"/>
      <c r="BP1886" s="89"/>
    </row>
    <row r="1887" spans="1:68" s="56" customFormat="1" ht="13.5" hidden="1">
      <c r="A1887" s="204">
        <f>+IFERROR(VALUE(MID(AB1887,4,4)),"")</f>
        <v>183</v>
      </c>
      <c r="B1887" s="204">
        <f>VALUE(RIGHT(C1887,LEN(C1887)-2))</f>
        <v>838</v>
      </c>
      <c r="C1887" s="74" t="s">
        <v>6619</v>
      </c>
      <c r="D1887" s="75">
        <v>43171</v>
      </c>
      <c r="E1887" s="70" t="s">
        <v>939</v>
      </c>
      <c r="F1887" s="70" t="s">
        <v>940</v>
      </c>
      <c r="G1887" s="68" t="s">
        <v>6620</v>
      </c>
      <c r="H1887" s="59"/>
      <c r="I1887" s="162" t="s">
        <v>6621</v>
      </c>
      <c r="J1887" s="162"/>
      <c r="K1887" s="68" t="s">
        <v>9</v>
      </c>
      <c r="L1887" s="69" t="s">
        <v>120</v>
      </c>
      <c r="M1887" s="71" t="s">
        <v>141</v>
      </c>
      <c r="N1887" s="69" t="e" vm="1">
        <v>#VALUE!</v>
      </c>
      <c r="O1887" s="164"/>
      <c r="P1887" s="72" t="s">
        <v>274</v>
      </c>
      <c r="Q1887" s="72" t="s">
        <v>623</v>
      </c>
      <c r="R1887" s="162"/>
      <c r="S1887" s="146"/>
      <c r="T1887" s="68" t="s">
        <v>3</v>
      </c>
      <c r="U1887" s="87"/>
      <c r="V1887" s="183">
        <v>43171</v>
      </c>
      <c r="W1887" s="73">
        <v>36</v>
      </c>
      <c r="X1887" s="73">
        <f>4824*600/1000000</f>
        <v>2.8944000000000001</v>
      </c>
      <c r="Y1887" s="83">
        <f>IF(SUM(W1887:W1887)&gt;0,X1887/SUM(W1887:W1887)*1000000,"N/A")</f>
        <v>80400</v>
      </c>
      <c r="Z1887" s="183"/>
      <c r="AA1887" s="183"/>
      <c r="AB1887" s="73" t="s">
        <v>6622</v>
      </c>
      <c r="AC1887" s="153"/>
      <c r="AD1887" s="331"/>
      <c r="AE1887" s="57"/>
      <c r="AF1887" s="88"/>
      <c r="AG1887" s="182">
        <f>YEAR(D1887)</f>
        <v>2018</v>
      </c>
      <c r="AH1887" s="86" t="str">
        <f>+IF(AE1887=$AJ$22,MONTH(T1887),"")</f>
        <v/>
      </c>
      <c r="AI1887" s="86" t="str">
        <f>+IF(AF1887=$AJ$22,MONTH(U1887),"")</f>
        <v/>
      </c>
      <c r="AJ1887" s="86" t="str">
        <f>+IF(AG1887=$AJ$22,MONTH(V1887),"")</f>
        <v/>
      </c>
      <c r="AK1887" s="86" t="str">
        <f>+IF(AG1887=$AK$22,MONTH(V1887),"")</f>
        <v/>
      </c>
      <c r="AL1887" s="86" t="str">
        <f>+IF(AG1887=$AL$22,MONTH(V1887),"")</f>
        <v/>
      </c>
      <c r="AM1887" s="86" t="str">
        <f>+IF($AG1887=$AM$22,MONTH($D1887),"")</f>
        <v/>
      </c>
      <c r="AN1887" s="89" t="str">
        <f>+IF($AG1887=AN$22,MONTH($D1887),"")</f>
        <v/>
      </c>
      <c r="AO1887" s="86" t="str">
        <f>+IF($AG1887=AO$22,MONTH($D1887),"")</f>
        <v/>
      </c>
      <c r="AP1887" s="86">
        <f>+IF($AG1887=AP$22,MONTH($D1887),"")</f>
        <v>3</v>
      </c>
      <c r="AQ1887" s="86" t="str">
        <f>+IF($AG1887=AQ$22,MONTH($D1887),"")</f>
        <v/>
      </c>
      <c r="AR1887" s="86" t="str">
        <f>+IF($AG1887=AR$22,MONTH($D1887),"")</f>
        <v/>
      </c>
      <c r="AS1887" s="86" t="str">
        <f>+IF($AG1887=AS$22,MONTH($D1887),"")</f>
        <v/>
      </c>
      <c r="AT1887" s="86" t="str">
        <f>+IF($AG1887=AT$22,MONTH($D1887),"")</f>
        <v/>
      </c>
      <c r="AU1887" s="86" t="str">
        <f>+IF($AG1887=AU$22,MONTH($D1887),"")</f>
        <v/>
      </c>
      <c r="AV1887" s="86" t="str">
        <f>+IF($AG1887=AV$22,MONTH($D1887),"")</f>
        <v/>
      </c>
      <c r="AW1887" s="86" t="str">
        <f>+IF($AG1887=AW$22,MONTH($D1887),"")</f>
        <v/>
      </c>
      <c r="AX1887" s="86" t="str">
        <f>+IF($AG1887=AX$22,MONTH($D1887),"")</f>
        <v/>
      </c>
      <c r="AY1887" s="182"/>
      <c r="AZ1887" s="182"/>
      <c r="BA1887" s="182"/>
      <c r="BB1887" s="182"/>
      <c r="BC1887" s="182"/>
      <c r="BD1887" s="182"/>
      <c r="BE1887" s="182"/>
      <c r="BF1887" s="182"/>
      <c r="BG1887" s="182"/>
      <c r="BH1887" s="182"/>
      <c r="BI1887" s="182"/>
      <c r="BJ1887" s="89"/>
      <c r="BK1887" s="89"/>
      <c r="BL1887" s="89"/>
      <c r="BM1887" s="89"/>
      <c r="BN1887" s="89"/>
      <c r="BO1887" s="89"/>
      <c r="BP1887" s="89"/>
    </row>
    <row r="1888" spans="1:68" s="56" customFormat="1" ht="27" hidden="1">
      <c r="A1888" s="204" t="str">
        <f>+IFERROR(VALUE(MID(AB1888,4,4)),"")</f>
        <v/>
      </c>
      <c r="B1888" s="204">
        <f>VALUE(RIGHT(C1888,LEN(C1888)-2))</f>
        <v>837</v>
      </c>
      <c r="C1888" s="74" t="s">
        <v>6623</v>
      </c>
      <c r="D1888" s="75">
        <v>43170</v>
      </c>
      <c r="E1888" s="70" t="s">
        <v>685</v>
      </c>
      <c r="F1888" s="70" t="s">
        <v>685</v>
      </c>
      <c r="G1888" s="68"/>
      <c r="H1888" s="59"/>
      <c r="I1888" s="162" t="s">
        <v>6624</v>
      </c>
      <c r="J1888" s="162"/>
      <c r="K1888" s="68" t="s">
        <v>30</v>
      </c>
      <c r="L1888" s="69" t="s">
        <v>120</v>
      </c>
      <c r="M1888" s="71" t="s">
        <v>141</v>
      </c>
      <c r="N1888" s="69" t="e" vm="1">
        <v>#VALUE!</v>
      </c>
      <c r="O1888" s="164"/>
      <c r="P1888" s="72" t="s">
        <v>402</v>
      </c>
      <c r="Q1888" s="72"/>
      <c r="R1888" s="162"/>
      <c r="S1888" s="146"/>
      <c r="T1888" s="68" t="s">
        <v>165</v>
      </c>
      <c r="U1888" s="87"/>
      <c r="V1888" s="183">
        <v>43186</v>
      </c>
      <c r="W1888" s="73">
        <v>317</v>
      </c>
      <c r="X1888" s="73">
        <v>12.086</v>
      </c>
      <c r="Y1888" s="83">
        <f>IF(SUM(W1888:W1888)&gt;0,X1888/SUM(W1888:W1888)*1000000,"N/A")</f>
        <v>38126.182965299689</v>
      </c>
      <c r="Z1888" s="183"/>
      <c r="AA1888" s="183"/>
      <c r="AB1888" s="73"/>
      <c r="AC1888" s="153"/>
      <c r="AD1888" s="331"/>
      <c r="AE1888" s="57"/>
      <c r="AF1888" s="88"/>
      <c r="AG1888" s="182">
        <f>YEAR(D1888)</f>
        <v>2018</v>
      </c>
      <c r="AH1888" s="86" t="str">
        <f>+IF(AE1888=$AJ$22,MONTH(T1888),"")</f>
        <v/>
      </c>
      <c r="AI1888" s="86" t="str">
        <f>+IF(AF1888=$AJ$22,MONTH(U1888),"")</f>
        <v/>
      </c>
      <c r="AJ1888" s="86" t="str">
        <f>+IF(AG1888=$AJ$22,MONTH(V1888),"")</f>
        <v/>
      </c>
      <c r="AK1888" s="86" t="str">
        <f>+IF(AG1888=$AK$22,MONTH(V1888),"")</f>
        <v/>
      </c>
      <c r="AL1888" s="86" t="str">
        <f>+IF(AG1888=$AL$22,MONTH(V1888),"")</f>
        <v/>
      </c>
      <c r="AM1888" s="86" t="str">
        <f>+IF($AG1888=$AM$22,MONTH($D1888),"")</f>
        <v/>
      </c>
      <c r="AN1888" s="89" t="str">
        <f>+IF($AG1888=AN$22,MONTH($D1888),"")</f>
        <v/>
      </c>
      <c r="AO1888" s="86" t="str">
        <f>+IF($AG1888=AO$22,MONTH($D1888),"")</f>
        <v/>
      </c>
      <c r="AP1888" s="86">
        <f>+IF($AG1888=AP$22,MONTH($D1888),"")</f>
        <v>3</v>
      </c>
      <c r="AQ1888" s="86" t="str">
        <f>+IF($AG1888=AQ$22,MONTH($D1888),"")</f>
        <v/>
      </c>
      <c r="AR1888" s="86" t="str">
        <f>+IF($AG1888=AR$22,MONTH($D1888),"")</f>
        <v/>
      </c>
      <c r="AS1888" s="86" t="str">
        <f>+IF($AG1888=AS$22,MONTH($D1888),"")</f>
        <v/>
      </c>
      <c r="AT1888" s="86" t="str">
        <f>+IF($AG1888=AT$22,MONTH($D1888),"")</f>
        <v/>
      </c>
      <c r="AU1888" s="86" t="str">
        <f>+IF($AG1888=AU$22,MONTH($D1888),"")</f>
        <v/>
      </c>
      <c r="AV1888" s="86" t="str">
        <f>+IF($AG1888=AV$22,MONTH($D1888),"")</f>
        <v/>
      </c>
      <c r="AW1888" s="86" t="str">
        <f>+IF($AG1888=AW$22,MONTH($D1888),"")</f>
        <v/>
      </c>
      <c r="AX1888" s="86" t="str">
        <f>+IF($AG1888=AX$22,MONTH($D1888),"")</f>
        <v/>
      </c>
      <c r="AY1888" s="182"/>
      <c r="AZ1888" s="182"/>
      <c r="BA1888" s="182"/>
      <c r="BB1888" s="182"/>
      <c r="BC1888" s="182"/>
      <c r="BD1888" s="182"/>
      <c r="BE1888" s="182"/>
      <c r="BF1888" s="182"/>
      <c r="BG1888" s="182"/>
      <c r="BH1888" s="182"/>
      <c r="BI1888" s="182"/>
      <c r="BJ1888" s="89"/>
      <c r="BK1888" s="89"/>
      <c r="BL1888" s="89"/>
      <c r="BM1888" s="89"/>
      <c r="BN1888" s="89"/>
      <c r="BO1888" s="89"/>
      <c r="BP1888" s="89"/>
    </row>
    <row r="1889" spans="1:68" s="56" customFormat="1" ht="27" hidden="1">
      <c r="A1889" s="204">
        <f>+IFERROR(VALUE(MID(AB1889,4,4)),"")</f>
        <v>158</v>
      </c>
      <c r="B1889" s="204">
        <f>VALUE(RIGHT(C1889,LEN(C1889)-2))</f>
        <v>836</v>
      </c>
      <c r="C1889" s="74" t="s">
        <v>6625</v>
      </c>
      <c r="D1889" s="75">
        <v>43159</v>
      </c>
      <c r="E1889" s="70" t="s">
        <v>41</v>
      </c>
      <c r="F1889" s="70" t="s">
        <v>41</v>
      </c>
      <c r="G1889" s="68"/>
      <c r="H1889" s="59"/>
      <c r="I1889" s="162" t="s">
        <v>6626</v>
      </c>
      <c r="J1889" s="162"/>
      <c r="K1889" s="68" t="s">
        <v>13</v>
      </c>
      <c r="L1889" s="69" t="s">
        <v>120</v>
      </c>
      <c r="M1889" s="71" t="s">
        <v>141</v>
      </c>
      <c r="N1889" s="69" t="e" vm="1">
        <v>#VALUE!</v>
      </c>
      <c r="O1889" s="164"/>
      <c r="P1889" s="72" t="s">
        <v>402</v>
      </c>
      <c r="Q1889" s="72" t="s">
        <v>623</v>
      </c>
      <c r="R1889" s="162"/>
      <c r="S1889" s="146"/>
      <c r="T1889" s="68" t="s">
        <v>3</v>
      </c>
      <c r="U1889" s="87"/>
      <c r="V1889" s="183">
        <v>43186</v>
      </c>
      <c r="W1889" s="73">
        <v>470</v>
      </c>
      <c r="X1889" s="73">
        <f>461*27000/1000000</f>
        <v>12.446999999999999</v>
      </c>
      <c r="Y1889" s="83">
        <f>IF(SUM(W1889:W1889)&gt;0,X1889/SUM(W1889:W1889)*1000000,"N/A")</f>
        <v>26482.978723404252</v>
      </c>
      <c r="Z1889" s="183"/>
      <c r="AA1889" s="183"/>
      <c r="AB1889" s="73" t="s">
        <v>6627</v>
      </c>
      <c r="AC1889" s="153"/>
      <c r="AD1889" s="331"/>
      <c r="AE1889" s="57"/>
      <c r="AF1889" s="88"/>
      <c r="AG1889" s="182">
        <f>YEAR(D1889)</f>
        <v>2018</v>
      </c>
      <c r="AH1889" s="86" t="str">
        <f>+IF(AE1889=$AJ$22,MONTH(T1889),"")</f>
        <v/>
      </c>
      <c r="AI1889" s="86" t="str">
        <f>+IF(AF1889=$AJ$22,MONTH(U1889),"")</f>
        <v/>
      </c>
      <c r="AJ1889" s="86" t="str">
        <f>+IF(AG1889=$AJ$22,MONTH(V1889),"")</f>
        <v/>
      </c>
      <c r="AK1889" s="86" t="str">
        <f>+IF(AG1889=$AK$22,MONTH(V1889),"")</f>
        <v/>
      </c>
      <c r="AL1889" s="86" t="str">
        <f>+IF(AG1889=$AL$22,MONTH(V1889),"")</f>
        <v/>
      </c>
      <c r="AM1889" s="86" t="str">
        <f>+IF($AG1889=$AM$22,MONTH($D1889),"")</f>
        <v/>
      </c>
      <c r="AN1889" s="89" t="str">
        <f>+IF($AG1889=AN$22,MONTH($D1889),"")</f>
        <v/>
      </c>
      <c r="AO1889" s="86" t="str">
        <f>+IF($AG1889=AO$22,MONTH($D1889),"")</f>
        <v/>
      </c>
      <c r="AP1889" s="86">
        <f>+IF($AG1889=AP$22,MONTH($D1889),"")</f>
        <v>2</v>
      </c>
      <c r="AQ1889" s="86" t="str">
        <f>+IF($AG1889=AQ$22,MONTH($D1889),"")</f>
        <v/>
      </c>
      <c r="AR1889" s="86" t="str">
        <f>+IF($AG1889=AR$22,MONTH($D1889),"")</f>
        <v/>
      </c>
      <c r="AS1889" s="86" t="str">
        <f>+IF($AG1889=AS$22,MONTH($D1889),"")</f>
        <v/>
      </c>
      <c r="AT1889" s="86" t="str">
        <f>+IF($AG1889=AT$22,MONTH($D1889),"")</f>
        <v/>
      </c>
      <c r="AU1889" s="86" t="str">
        <f>+IF($AG1889=AU$22,MONTH($D1889),"")</f>
        <v/>
      </c>
      <c r="AV1889" s="86" t="str">
        <f>+IF($AG1889=AV$22,MONTH($D1889),"")</f>
        <v/>
      </c>
      <c r="AW1889" s="86" t="str">
        <f>+IF($AG1889=AW$22,MONTH($D1889),"")</f>
        <v/>
      </c>
      <c r="AX1889" s="86" t="str">
        <f>+IF($AG1889=AX$22,MONTH($D1889),"")</f>
        <v/>
      </c>
      <c r="AY1889" s="182"/>
      <c r="AZ1889" s="182"/>
      <c r="BA1889" s="182"/>
      <c r="BB1889" s="182"/>
      <c r="BC1889" s="182"/>
      <c r="BD1889" s="182"/>
      <c r="BE1889" s="182"/>
      <c r="BF1889" s="182"/>
      <c r="BG1889" s="182"/>
      <c r="BH1889" s="182"/>
      <c r="BI1889" s="182"/>
      <c r="BJ1889" s="89"/>
      <c r="BK1889" s="89"/>
      <c r="BL1889" s="89"/>
      <c r="BM1889" s="89"/>
      <c r="BN1889" s="89"/>
      <c r="BO1889" s="89"/>
      <c r="BP1889" s="89"/>
    </row>
    <row r="1890" spans="1:68" s="56" customFormat="1" ht="27" hidden="1">
      <c r="A1890" s="204">
        <f>+IFERROR(VALUE(MID(AB1890,4,4)),"")</f>
        <v>158</v>
      </c>
      <c r="B1890" s="204">
        <f>VALUE(RIGHT(C1890,LEN(C1890)-2))</f>
        <v>835</v>
      </c>
      <c r="C1890" s="74" t="s">
        <v>6628</v>
      </c>
      <c r="D1890" s="75">
        <v>43159</v>
      </c>
      <c r="E1890" s="70" t="s">
        <v>41</v>
      </c>
      <c r="F1890" s="70" t="s">
        <v>41</v>
      </c>
      <c r="G1890" s="68"/>
      <c r="H1890" s="59"/>
      <c r="I1890" s="162" t="s">
        <v>6629</v>
      </c>
      <c r="J1890" s="162"/>
      <c r="K1890" s="68" t="s">
        <v>13</v>
      </c>
      <c r="L1890" s="69" t="s">
        <v>120</v>
      </c>
      <c r="M1890" s="71" t="s">
        <v>141</v>
      </c>
      <c r="N1890" s="69" t="e" vm="1">
        <v>#VALUE!</v>
      </c>
      <c r="O1890" s="164"/>
      <c r="P1890" s="72" t="s">
        <v>402</v>
      </c>
      <c r="Q1890" s="72" t="s">
        <v>623</v>
      </c>
      <c r="R1890" s="162"/>
      <c r="S1890" s="146"/>
      <c r="T1890" s="68" t="s">
        <v>3</v>
      </c>
      <c r="U1890" s="87"/>
      <c r="V1890" s="183">
        <v>43186</v>
      </c>
      <c r="W1890" s="73">
        <v>385</v>
      </c>
      <c r="X1890" s="73">
        <f>362*27000/1000000</f>
        <v>9.7739999999999991</v>
      </c>
      <c r="Y1890" s="83">
        <f>IF(SUM(W1890:W1890)&gt;0,X1890/SUM(W1890:W1890)*1000000,"N/A")</f>
        <v>25387.012987012986</v>
      </c>
      <c r="Z1890" s="183"/>
      <c r="AA1890" s="183"/>
      <c r="AB1890" s="73" t="s">
        <v>6630</v>
      </c>
      <c r="AC1890" s="153"/>
      <c r="AD1890" s="331"/>
      <c r="AE1890" s="57"/>
      <c r="AF1890" s="88"/>
      <c r="AG1890" s="182">
        <f>YEAR(D1890)</f>
        <v>2018</v>
      </c>
      <c r="AH1890" s="86" t="str">
        <f>+IF(AE1890=$AJ$22,MONTH(T1890),"")</f>
        <v/>
      </c>
      <c r="AI1890" s="86" t="str">
        <f>+IF(AF1890=$AJ$22,MONTH(U1890),"")</f>
        <v/>
      </c>
      <c r="AJ1890" s="86" t="str">
        <f>+IF(AG1890=$AJ$22,MONTH(V1890),"")</f>
        <v/>
      </c>
      <c r="AK1890" s="86" t="str">
        <f>+IF(AG1890=$AK$22,MONTH(V1890),"")</f>
        <v/>
      </c>
      <c r="AL1890" s="86" t="str">
        <f>+IF(AG1890=$AL$22,MONTH(V1890),"")</f>
        <v/>
      </c>
      <c r="AM1890" s="86" t="str">
        <f>+IF($AG1890=$AM$22,MONTH($D1890),"")</f>
        <v/>
      </c>
      <c r="AN1890" s="89" t="str">
        <f>+IF($AG1890=AN$22,MONTH($D1890),"")</f>
        <v/>
      </c>
      <c r="AO1890" s="86" t="str">
        <f>+IF($AG1890=AO$22,MONTH($D1890),"")</f>
        <v/>
      </c>
      <c r="AP1890" s="86">
        <f>+IF($AG1890=AP$22,MONTH($D1890),"")</f>
        <v>2</v>
      </c>
      <c r="AQ1890" s="86" t="str">
        <f>+IF($AG1890=AQ$22,MONTH($D1890),"")</f>
        <v/>
      </c>
      <c r="AR1890" s="86" t="str">
        <f>+IF($AG1890=AR$22,MONTH($D1890),"")</f>
        <v/>
      </c>
      <c r="AS1890" s="86" t="str">
        <f>+IF($AG1890=AS$22,MONTH($D1890),"")</f>
        <v/>
      </c>
      <c r="AT1890" s="86" t="str">
        <f>+IF($AG1890=AT$22,MONTH($D1890),"")</f>
        <v/>
      </c>
      <c r="AU1890" s="86" t="str">
        <f>+IF($AG1890=AU$22,MONTH($D1890),"")</f>
        <v/>
      </c>
      <c r="AV1890" s="86" t="str">
        <f>+IF($AG1890=AV$22,MONTH($D1890),"")</f>
        <v/>
      </c>
      <c r="AW1890" s="86" t="str">
        <f>+IF($AG1890=AW$22,MONTH($D1890),"")</f>
        <v/>
      </c>
      <c r="AX1890" s="86" t="str">
        <f>+IF($AG1890=AX$22,MONTH($D1890),"")</f>
        <v/>
      </c>
      <c r="AY1890" s="182"/>
      <c r="AZ1890" s="182"/>
      <c r="BA1890" s="182"/>
      <c r="BB1890" s="182"/>
      <c r="BC1890" s="182"/>
      <c r="BD1890" s="182"/>
      <c r="BE1890" s="182"/>
      <c r="BF1890" s="182"/>
      <c r="BG1890" s="182"/>
      <c r="BH1890" s="182"/>
      <c r="BI1890" s="182"/>
      <c r="BJ1890" s="89"/>
      <c r="BK1890" s="89"/>
      <c r="BL1890" s="89"/>
      <c r="BM1890" s="89"/>
      <c r="BN1890" s="89"/>
      <c r="BO1890" s="89"/>
      <c r="BP1890" s="89"/>
    </row>
    <row r="1891" spans="1:68" s="56" customFormat="1" ht="13.5" hidden="1">
      <c r="A1891" s="204" t="str">
        <f>+IFERROR(VALUE(MID(AB1891,4,4)),"")</f>
        <v/>
      </c>
      <c r="B1891" s="204">
        <f>VALUE(RIGHT(C1891,LEN(C1891)-2))</f>
        <v>834</v>
      </c>
      <c r="C1891" s="74" t="s">
        <v>6631</v>
      </c>
      <c r="D1891" s="75">
        <v>43159</v>
      </c>
      <c r="E1891" s="70" t="s">
        <v>332</v>
      </c>
      <c r="F1891" s="70" t="s">
        <v>332</v>
      </c>
      <c r="G1891" s="68"/>
      <c r="H1891" s="59"/>
      <c r="I1891" s="162" t="s">
        <v>6632</v>
      </c>
      <c r="J1891" s="162"/>
      <c r="K1891" s="68" t="s">
        <v>13</v>
      </c>
      <c r="L1891" s="69" t="s">
        <v>120</v>
      </c>
      <c r="M1891" s="71" t="s">
        <v>141</v>
      </c>
      <c r="N1891" s="69" t="e" vm="1">
        <v>#VALUE!</v>
      </c>
      <c r="O1891" s="164"/>
      <c r="P1891" s="72" t="s">
        <v>402</v>
      </c>
      <c r="Q1891" s="72"/>
      <c r="R1891" s="162"/>
      <c r="S1891" s="146"/>
      <c r="T1891" s="68" t="s">
        <v>165</v>
      </c>
      <c r="U1891" s="87"/>
      <c r="V1891" s="183">
        <v>43186</v>
      </c>
      <c r="W1891" s="73">
        <v>445</v>
      </c>
      <c r="X1891" s="73">
        <f>395*27000/1000000</f>
        <v>10.664999999999999</v>
      </c>
      <c r="Y1891" s="83">
        <f>IF(SUM(W1891:W1891)&gt;0,X1891/SUM(W1891:W1891)*1000000,"N/A")</f>
        <v>23966.292134831459</v>
      </c>
      <c r="Z1891" s="183"/>
      <c r="AA1891" s="183"/>
      <c r="AB1891" s="73"/>
      <c r="AC1891" s="153"/>
      <c r="AD1891" s="331"/>
      <c r="AE1891" s="57"/>
      <c r="AF1891" s="88"/>
      <c r="AG1891" s="182">
        <f>YEAR(D1891)</f>
        <v>2018</v>
      </c>
      <c r="AH1891" s="86" t="str">
        <f>+IF(AE1891=$AJ$22,MONTH(T1891),"")</f>
        <v/>
      </c>
      <c r="AI1891" s="86" t="str">
        <f>+IF(AF1891=$AJ$22,MONTH(U1891),"")</f>
        <v/>
      </c>
      <c r="AJ1891" s="86" t="str">
        <f>+IF(AG1891=$AJ$22,MONTH(V1891),"")</f>
        <v/>
      </c>
      <c r="AK1891" s="86" t="str">
        <f>+IF(AG1891=$AK$22,MONTH(V1891),"")</f>
        <v/>
      </c>
      <c r="AL1891" s="86" t="str">
        <f>+IF(AG1891=$AL$22,MONTH(V1891),"")</f>
        <v/>
      </c>
      <c r="AM1891" s="86" t="str">
        <f>+IF($AG1891=$AM$22,MONTH($D1891),"")</f>
        <v/>
      </c>
      <c r="AN1891" s="89" t="str">
        <f>+IF($AG1891=AN$22,MONTH($D1891),"")</f>
        <v/>
      </c>
      <c r="AO1891" s="86" t="str">
        <f>+IF($AG1891=AO$22,MONTH($D1891),"")</f>
        <v/>
      </c>
      <c r="AP1891" s="86">
        <f>+IF($AG1891=AP$22,MONTH($D1891),"")</f>
        <v>2</v>
      </c>
      <c r="AQ1891" s="86" t="str">
        <f>+IF($AG1891=AQ$22,MONTH($D1891),"")</f>
        <v/>
      </c>
      <c r="AR1891" s="86" t="str">
        <f>+IF($AG1891=AR$22,MONTH($D1891),"")</f>
        <v/>
      </c>
      <c r="AS1891" s="86" t="str">
        <f>+IF($AG1891=AS$22,MONTH($D1891),"")</f>
        <v/>
      </c>
      <c r="AT1891" s="86" t="str">
        <f>+IF($AG1891=AT$22,MONTH($D1891),"")</f>
        <v/>
      </c>
      <c r="AU1891" s="86" t="str">
        <f>+IF($AG1891=AU$22,MONTH($D1891),"")</f>
        <v/>
      </c>
      <c r="AV1891" s="86" t="str">
        <f>+IF($AG1891=AV$22,MONTH($D1891),"")</f>
        <v/>
      </c>
      <c r="AW1891" s="86" t="str">
        <f>+IF($AG1891=AW$22,MONTH($D1891),"")</f>
        <v/>
      </c>
      <c r="AX1891" s="86" t="str">
        <f>+IF($AG1891=AX$22,MONTH($D1891),"")</f>
        <v/>
      </c>
      <c r="AY1891" s="182"/>
      <c r="AZ1891" s="182"/>
      <c r="BA1891" s="182"/>
      <c r="BB1891" s="182"/>
      <c r="BC1891" s="182"/>
      <c r="BD1891" s="182"/>
      <c r="BE1891" s="182"/>
      <c r="BF1891" s="182"/>
      <c r="BG1891" s="182"/>
      <c r="BH1891" s="182"/>
      <c r="BI1891" s="182"/>
      <c r="BJ1891" s="89"/>
      <c r="BK1891" s="89"/>
      <c r="BL1891" s="89"/>
      <c r="BM1891" s="89"/>
      <c r="BN1891" s="89"/>
      <c r="BO1891" s="89"/>
      <c r="BP1891" s="89"/>
    </row>
    <row r="1892" spans="1:68" s="56" customFormat="1" ht="27" hidden="1">
      <c r="A1892" s="204" t="str">
        <f>+IFERROR(VALUE(MID(AB1892,4,4)),"")</f>
        <v/>
      </c>
      <c r="B1892" s="204">
        <f>VALUE(RIGHT(C1892,LEN(C1892)-2))</f>
        <v>833</v>
      </c>
      <c r="C1892" s="74" t="s">
        <v>6633</v>
      </c>
      <c r="D1892" s="75">
        <v>43159</v>
      </c>
      <c r="E1892" s="70" t="s">
        <v>332</v>
      </c>
      <c r="F1892" s="70" t="s">
        <v>332</v>
      </c>
      <c r="G1892" s="68"/>
      <c r="H1892" s="59"/>
      <c r="I1892" s="162" t="s">
        <v>6634</v>
      </c>
      <c r="J1892" s="162"/>
      <c r="K1892" s="68" t="s">
        <v>13</v>
      </c>
      <c r="L1892" s="69" t="s">
        <v>120</v>
      </c>
      <c r="M1892" s="71" t="s">
        <v>141</v>
      </c>
      <c r="N1892" s="69" t="e" vm="1">
        <v>#VALUE!</v>
      </c>
      <c r="O1892" s="164"/>
      <c r="P1892" s="72" t="s">
        <v>402</v>
      </c>
      <c r="Q1892" s="72"/>
      <c r="R1892" s="162"/>
      <c r="S1892" s="146"/>
      <c r="T1892" s="68" t="s">
        <v>165</v>
      </c>
      <c r="U1892" s="87"/>
      <c r="V1892" s="183">
        <v>43186</v>
      </c>
      <c r="W1892" s="73">
        <v>290</v>
      </c>
      <c r="X1892" s="73">
        <f>280*27000/1000000</f>
        <v>7.56</v>
      </c>
      <c r="Y1892" s="83">
        <f>IF(SUM(W1892:W1892)&gt;0,X1892/SUM(W1892:W1892)*1000000,"N/A")</f>
        <v>26068.965517241377</v>
      </c>
      <c r="Z1892" s="183"/>
      <c r="AA1892" s="183"/>
      <c r="AB1892" s="73"/>
      <c r="AC1892" s="153"/>
      <c r="AD1892" s="331"/>
      <c r="AE1892" s="57"/>
      <c r="AF1892" s="88"/>
      <c r="AG1892" s="182">
        <f>YEAR(D1892)</f>
        <v>2018</v>
      </c>
      <c r="AH1892" s="86" t="str">
        <f>+IF(AE1892=$AJ$22,MONTH(T1892),"")</f>
        <v/>
      </c>
      <c r="AI1892" s="86" t="str">
        <f>+IF(AF1892=$AJ$22,MONTH(U1892),"")</f>
        <v/>
      </c>
      <c r="AJ1892" s="86" t="str">
        <f>+IF(AG1892=$AJ$22,MONTH(V1892),"")</f>
        <v/>
      </c>
      <c r="AK1892" s="86" t="str">
        <f>+IF(AG1892=$AK$22,MONTH(V1892),"")</f>
        <v/>
      </c>
      <c r="AL1892" s="86" t="str">
        <f>+IF(AG1892=$AL$22,MONTH(V1892),"")</f>
        <v/>
      </c>
      <c r="AM1892" s="86" t="str">
        <f>+IF($AG1892=$AM$22,MONTH($D1892),"")</f>
        <v/>
      </c>
      <c r="AN1892" s="89" t="str">
        <f>+IF($AG1892=AN$22,MONTH($D1892),"")</f>
        <v/>
      </c>
      <c r="AO1892" s="86" t="str">
        <f>+IF($AG1892=AO$22,MONTH($D1892),"")</f>
        <v/>
      </c>
      <c r="AP1892" s="86">
        <f>+IF($AG1892=AP$22,MONTH($D1892),"")</f>
        <v>2</v>
      </c>
      <c r="AQ1892" s="86" t="str">
        <f>+IF($AG1892=AQ$22,MONTH($D1892),"")</f>
        <v/>
      </c>
      <c r="AR1892" s="86" t="str">
        <f>+IF($AG1892=AR$22,MONTH($D1892),"")</f>
        <v/>
      </c>
      <c r="AS1892" s="86" t="str">
        <f>+IF($AG1892=AS$22,MONTH($D1892),"")</f>
        <v/>
      </c>
      <c r="AT1892" s="86" t="str">
        <f>+IF($AG1892=AT$22,MONTH($D1892),"")</f>
        <v/>
      </c>
      <c r="AU1892" s="86" t="str">
        <f>+IF($AG1892=AU$22,MONTH($D1892),"")</f>
        <v/>
      </c>
      <c r="AV1892" s="86" t="str">
        <f>+IF($AG1892=AV$22,MONTH($D1892),"")</f>
        <v/>
      </c>
      <c r="AW1892" s="86" t="str">
        <f>+IF($AG1892=AW$22,MONTH($D1892),"")</f>
        <v/>
      </c>
      <c r="AX1892" s="86" t="str">
        <f>+IF($AG1892=AX$22,MONTH($D1892),"")</f>
        <v/>
      </c>
      <c r="AY1892" s="182"/>
      <c r="AZ1892" s="182"/>
      <c r="BA1892" s="182"/>
      <c r="BB1892" s="182"/>
      <c r="BC1892" s="182"/>
      <c r="BD1892" s="182"/>
      <c r="BE1892" s="182"/>
      <c r="BF1892" s="182"/>
      <c r="BG1892" s="182"/>
      <c r="BH1892" s="182"/>
      <c r="BI1892" s="182"/>
      <c r="BJ1892" s="89"/>
      <c r="BK1892" s="89"/>
      <c r="BL1892" s="89"/>
      <c r="BM1892" s="89"/>
      <c r="BN1892" s="89"/>
      <c r="BO1892" s="89"/>
      <c r="BP1892" s="89"/>
    </row>
    <row r="1893" spans="1:68" s="56" customFormat="1" ht="13.5" hidden="1">
      <c r="A1893" s="204">
        <f>+IFERROR(VALUE(MID(AB1893,4,4)),"")</f>
        <v>184</v>
      </c>
      <c r="B1893" s="204">
        <f>VALUE(RIGHT(C1893,LEN(C1893)-2))</f>
        <v>832</v>
      </c>
      <c r="C1893" s="74" t="s">
        <v>6635</v>
      </c>
      <c r="D1893" s="75">
        <v>43158</v>
      </c>
      <c r="E1893" s="70" t="s">
        <v>4664</v>
      </c>
      <c r="F1893" s="70" t="s">
        <v>479</v>
      </c>
      <c r="G1893" s="68"/>
      <c r="H1893" s="59"/>
      <c r="I1893" s="162" t="s">
        <v>6636</v>
      </c>
      <c r="J1893" s="162"/>
      <c r="K1893" s="68" t="s">
        <v>12</v>
      </c>
      <c r="L1893" s="69" t="s">
        <v>120</v>
      </c>
      <c r="M1893" s="71" t="s">
        <v>113</v>
      </c>
      <c r="N1893" s="69" t="e" vm="2">
        <v>#VALUE!</v>
      </c>
      <c r="O1893" s="164"/>
      <c r="P1893" s="72" t="s">
        <v>402</v>
      </c>
      <c r="Q1893" s="72" t="s">
        <v>1097</v>
      </c>
      <c r="R1893" s="162"/>
      <c r="S1893" s="146"/>
      <c r="T1893" s="68" t="s">
        <v>3</v>
      </c>
      <c r="U1893" s="87"/>
      <c r="V1893" s="183">
        <v>43186</v>
      </c>
      <c r="W1893" s="73">
        <v>320</v>
      </c>
      <c r="X1893" s="73">
        <f>41270*200/1000000</f>
        <v>8.2539999999999996</v>
      </c>
      <c r="Y1893" s="83">
        <f>IF(SUM(W1893:W1893)&gt;0,X1893/SUM(W1893:W1893)*1000000,"N/A")</f>
        <v>25793.749999999996</v>
      </c>
      <c r="Z1893" s="183"/>
      <c r="AA1893" s="183"/>
      <c r="AB1893" s="73" t="s">
        <v>6637</v>
      </c>
      <c r="AC1893" s="153"/>
      <c r="AD1893" s="331"/>
      <c r="AE1893" s="57"/>
      <c r="AF1893" s="88"/>
      <c r="AG1893" s="182">
        <f>YEAR(D1893)</f>
        <v>2018</v>
      </c>
      <c r="AH1893" s="86" t="str">
        <f>+IF(AE1893=$AJ$22,MONTH(T1893),"")</f>
        <v/>
      </c>
      <c r="AI1893" s="86" t="str">
        <f>+IF(AF1893=$AJ$22,MONTH(U1893),"")</f>
        <v/>
      </c>
      <c r="AJ1893" s="86" t="str">
        <f>+IF(AG1893=$AJ$22,MONTH(V1893),"")</f>
        <v/>
      </c>
      <c r="AK1893" s="86" t="str">
        <f>+IF(AG1893=$AK$22,MONTH(V1893),"")</f>
        <v/>
      </c>
      <c r="AL1893" s="86" t="str">
        <f>+IF(AG1893=$AL$22,MONTH(V1893),"")</f>
        <v/>
      </c>
      <c r="AM1893" s="86" t="str">
        <f>+IF($AG1893=$AM$22,MONTH($D1893),"")</f>
        <v/>
      </c>
      <c r="AN1893" s="89" t="str">
        <f>+IF($AG1893=AN$22,MONTH($D1893),"")</f>
        <v/>
      </c>
      <c r="AO1893" s="86" t="str">
        <f>+IF($AG1893=AO$22,MONTH($D1893),"")</f>
        <v/>
      </c>
      <c r="AP1893" s="86">
        <f>+IF($AG1893=AP$22,MONTH($D1893),"")</f>
        <v>2</v>
      </c>
      <c r="AQ1893" s="86" t="str">
        <f>+IF($AG1893=AQ$22,MONTH($D1893),"")</f>
        <v/>
      </c>
      <c r="AR1893" s="86" t="str">
        <f>+IF($AG1893=AR$22,MONTH($D1893),"")</f>
        <v/>
      </c>
      <c r="AS1893" s="86" t="str">
        <f>+IF($AG1893=AS$22,MONTH($D1893),"")</f>
        <v/>
      </c>
      <c r="AT1893" s="86" t="str">
        <f>+IF($AG1893=AT$22,MONTH($D1893),"")</f>
        <v/>
      </c>
      <c r="AU1893" s="86" t="str">
        <f>+IF($AG1893=AU$22,MONTH($D1893),"")</f>
        <v/>
      </c>
      <c r="AV1893" s="86" t="str">
        <f>+IF($AG1893=AV$22,MONTH($D1893),"")</f>
        <v/>
      </c>
      <c r="AW1893" s="86" t="str">
        <f>+IF($AG1893=AW$22,MONTH($D1893),"")</f>
        <v/>
      </c>
      <c r="AX1893" s="86" t="str">
        <f>+IF($AG1893=AX$22,MONTH($D1893),"")</f>
        <v/>
      </c>
      <c r="AY1893" s="182"/>
      <c r="AZ1893" s="182"/>
      <c r="BA1893" s="182"/>
      <c r="BB1893" s="182"/>
      <c r="BC1893" s="182"/>
      <c r="BD1893" s="182"/>
      <c r="BE1893" s="182"/>
      <c r="BF1893" s="182"/>
      <c r="BG1893" s="182"/>
      <c r="BH1893" s="182"/>
      <c r="BI1893" s="182"/>
      <c r="BJ1893" s="89"/>
      <c r="BK1893" s="89"/>
      <c r="BL1893" s="89"/>
      <c r="BM1893" s="89"/>
      <c r="BN1893" s="89"/>
      <c r="BO1893" s="89"/>
      <c r="BP1893" s="89"/>
    </row>
    <row r="1894" spans="1:68" s="56" customFormat="1" ht="13.5" hidden="1">
      <c r="A1894" s="204" t="str">
        <f>+IFERROR(VALUE(MID(AB1894,4,4)),"")</f>
        <v/>
      </c>
      <c r="B1894" s="204">
        <f>VALUE(RIGHT(C1894,LEN(C1894)-2))</f>
        <v>831</v>
      </c>
      <c r="C1894" s="74" t="s">
        <v>6638</v>
      </c>
      <c r="D1894" s="75">
        <v>43158</v>
      </c>
      <c r="E1894" s="70" t="s">
        <v>4664</v>
      </c>
      <c r="F1894" s="70" t="s">
        <v>479</v>
      </c>
      <c r="G1894" s="68"/>
      <c r="H1894" s="59"/>
      <c r="I1894" s="162" t="s">
        <v>6639</v>
      </c>
      <c r="J1894" s="162"/>
      <c r="K1894" s="68" t="s">
        <v>11</v>
      </c>
      <c r="L1894" s="69" t="s">
        <v>120</v>
      </c>
      <c r="M1894" s="71" t="s">
        <v>113</v>
      </c>
      <c r="N1894" s="69" t="e" vm="2">
        <v>#VALUE!</v>
      </c>
      <c r="O1894" s="164"/>
      <c r="P1894" s="72" t="s">
        <v>402</v>
      </c>
      <c r="Q1894" s="72"/>
      <c r="R1894" s="162"/>
      <c r="S1894" s="146"/>
      <c r="T1894" s="68" t="s">
        <v>165</v>
      </c>
      <c r="U1894" s="87"/>
      <c r="V1894" s="183">
        <v>43186</v>
      </c>
      <c r="W1894" s="73">
        <v>9717</v>
      </c>
      <c r="X1894" s="73">
        <f>1150015*200/1000000</f>
        <v>230.00299999999999</v>
      </c>
      <c r="Y1894" s="83">
        <f>IF(SUM(W1894:W1894)&gt;0,X1894/SUM(W1894:W1894)*1000000,"N/A")</f>
        <v>23670.165688998659</v>
      </c>
      <c r="Z1894" s="183"/>
      <c r="AA1894" s="183"/>
      <c r="AB1894" s="73"/>
      <c r="AC1894" s="153"/>
      <c r="AD1894" s="331"/>
      <c r="AE1894" s="57"/>
      <c r="AF1894" s="88"/>
      <c r="AG1894" s="182">
        <f>YEAR(D1894)</f>
        <v>2018</v>
      </c>
      <c r="AH1894" s="86" t="str">
        <f>+IF(AE1894=$AJ$22,MONTH(T1894),"")</f>
        <v/>
      </c>
      <c r="AI1894" s="86" t="str">
        <f>+IF(AF1894=$AJ$22,MONTH(U1894),"")</f>
        <v/>
      </c>
      <c r="AJ1894" s="86" t="str">
        <f>+IF(AG1894=$AJ$22,MONTH(V1894),"")</f>
        <v/>
      </c>
      <c r="AK1894" s="86" t="str">
        <f>+IF(AG1894=$AK$22,MONTH(V1894),"")</f>
        <v/>
      </c>
      <c r="AL1894" s="86" t="str">
        <f>+IF(AG1894=$AL$22,MONTH(V1894),"")</f>
        <v/>
      </c>
      <c r="AM1894" s="86" t="str">
        <f>+IF($AG1894=$AM$22,MONTH($D1894),"")</f>
        <v/>
      </c>
      <c r="AN1894" s="89" t="str">
        <f>+IF($AG1894=AN$22,MONTH($D1894),"")</f>
        <v/>
      </c>
      <c r="AO1894" s="86" t="str">
        <f>+IF($AG1894=AO$22,MONTH($D1894),"")</f>
        <v/>
      </c>
      <c r="AP1894" s="86">
        <f>+IF($AG1894=AP$22,MONTH($D1894),"")</f>
        <v>2</v>
      </c>
      <c r="AQ1894" s="86" t="str">
        <f>+IF($AG1894=AQ$22,MONTH($D1894),"")</f>
        <v/>
      </c>
      <c r="AR1894" s="86" t="str">
        <f>+IF($AG1894=AR$22,MONTH($D1894),"")</f>
        <v/>
      </c>
      <c r="AS1894" s="86" t="str">
        <f>+IF($AG1894=AS$22,MONTH($D1894),"")</f>
        <v/>
      </c>
      <c r="AT1894" s="86" t="str">
        <f>+IF($AG1894=AT$22,MONTH($D1894),"")</f>
        <v/>
      </c>
      <c r="AU1894" s="86" t="str">
        <f>+IF($AG1894=AU$22,MONTH($D1894),"")</f>
        <v/>
      </c>
      <c r="AV1894" s="86" t="str">
        <f>+IF($AG1894=AV$22,MONTH($D1894),"")</f>
        <v/>
      </c>
      <c r="AW1894" s="86" t="str">
        <f>+IF($AG1894=AW$22,MONTH($D1894),"")</f>
        <v/>
      </c>
      <c r="AX1894" s="86" t="str">
        <f>+IF($AG1894=AX$22,MONTH($D1894),"")</f>
        <v/>
      </c>
      <c r="AY1894" s="182"/>
      <c r="AZ1894" s="182"/>
      <c r="BA1894" s="182"/>
      <c r="BB1894" s="182"/>
      <c r="BC1894" s="182"/>
      <c r="BD1894" s="182"/>
      <c r="BE1894" s="182"/>
      <c r="BF1894" s="182"/>
      <c r="BG1894" s="182"/>
      <c r="BH1894" s="182"/>
      <c r="BI1894" s="182"/>
      <c r="BJ1894" s="89"/>
      <c r="BK1894" s="89"/>
      <c r="BL1894" s="89"/>
      <c r="BM1894" s="89"/>
      <c r="BN1894" s="89"/>
      <c r="BO1894" s="89"/>
      <c r="BP1894" s="89"/>
    </row>
    <row r="1895" spans="1:68" s="56" customFormat="1" ht="13.5" hidden="1">
      <c r="A1895" s="204" t="str">
        <f>+IFERROR(VALUE(MID(AB1895,4,4)),"")</f>
        <v/>
      </c>
      <c r="B1895" s="204">
        <f>VALUE(RIGHT(C1895,LEN(C1895)-2))</f>
        <v>830</v>
      </c>
      <c r="C1895" s="74" t="s">
        <v>6640</v>
      </c>
      <c r="D1895" s="75">
        <v>43153</v>
      </c>
      <c r="E1895" s="70" t="s">
        <v>4664</v>
      </c>
      <c r="F1895" s="70" t="s">
        <v>479</v>
      </c>
      <c r="G1895" s="68"/>
      <c r="H1895" s="59"/>
      <c r="I1895" s="162" t="s">
        <v>6641</v>
      </c>
      <c r="J1895" s="162"/>
      <c r="K1895" s="68" t="s">
        <v>12</v>
      </c>
      <c r="L1895" s="69" t="s">
        <v>120</v>
      </c>
      <c r="M1895" s="71" t="s">
        <v>113</v>
      </c>
      <c r="N1895" s="69" t="e" vm="2">
        <v>#VALUE!</v>
      </c>
      <c r="O1895" s="164"/>
      <c r="P1895" s="72" t="s">
        <v>402</v>
      </c>
      <c r="Q1895" s="72"/>
      <c r="R1895" s="162"/>
      <c r="S1895" s="146"/>
      <c r="T1895" s="68" t="s">
        <v>165</v>
      </c>
      <c r="U1895" s="87"/>
      <c r="V1895" s="183">
        <v>43186</v>
      </c>
      <c r="W1895" s="73">
        <v>275</v>
      </c>
      <c r="X1895" s="73">
        <f>33025*200/1000000</f>
        <v>6.6050000000000004</v>
      </c>
      <c r="Y1895" s="83">
        <f>IF(SUM(W1895:W1895)&gt;0,X1895/SUM(W1895:W1895)*1000000,"N/A")</f>
        <v>24018.18181818182</v>
      </c>
      <c r="Z1895" s="183"/>
      <c r="AA1895" s="183"/>
      <c r="AB1895" s="73"/>
      <c r="AC1895" s="153"/>
      <c r="AD1895" s="331"/>
      <c r="AE1895" s="57"/>
      <c r="AF1895" s="88"/>
      <c r="AG1895" s="182">
        <f>YEAR(D1895)</f>
        <v>2018</v>
      </c>
      <c r="AH1895" s="86" t="str">
        <f>+IF(AE1895=$AJ$22,MONTH(T1895),"")</f>
        <v/>
      </c>
      <c r="AI1895" s="86" t="str">
        <f>+IF(AF1895=$AJ$22,MONTH(U1895),"")</f>
        <v/>
      </c>
      <c r="AJ1895" s="86" t="str">
        <f>+IF(AG1895=$AJ$22,MONTH(V1895),"")</f>
        <v/>
      </c>
      <c r="AK1895" s="86" t="str">
        <f>+IF(AG1895=$AK$22,MONTH(V1895),"")</f>
        <v/>
      </c>
      <c r="AL1895" s="86" t="str">
        <f>+IF(AG1895=$AL$22,MONTH(V1895),"")</f>
        <v/>
      </c>
      <c r="AM1895" s="86" t="str">
        <f>+IF($AG1895=$AM$22,MONTH($D1895),"")</f>
        <v/>
      </c>
      <c r="AN1895" s="89" t="str">
        <f>+IF($AG1895=AN$22,MONTH($D1895),"")</f>
        <v/>
      </c>
      <c r="AO1895" s="86" t="str">
        <f>+IF($AG1895=AO$22,MONTH($D1895),"")</f>
        <v/>
      </c>
      <c r="AP1895" s="86">
        <f>+IF($AG1895=AP$22,MONTH($D1895),"")</f>
        <v>2</v>
      </c>
      <c r="AQ1895" s="86" t="str">
        <f>+IF($AG1895=AQ$22,MONTH($D1895),"")</f>
        <v/>
      </c>
      <c r="AR1895" s="86" t="str">
        <f>+IF($AG1895=AR$22,MONTH($D1895),"")</f>
        <v/>
      </c>
      <c r="AS1895" s="86" t="str">
        <f>+IF($AG1895=AS$22,MONTH($D1895),"")</f>
        <v/>
      </c>
      <c r="AT1895" s="86" t="str">
        <f>+IF($AG1895=AT$22,MONTH($D1895),"")</f>
        <v/>
      </c>
      <c r="AU1895" s="86" t="str">
        <f>+IF($AG1895=AU$22,MONTH($D1895),"")</f>
        <v/>
      </c>
      <c r="AV1895" s="86" t="str">
        <f>+IF($AG1895=AV$22,MONTH($D1895),"")</f>
        <v/>
      </c>
      <c r="AW1895" s="86" t="str">
        <f>+IF($AG1895=AW$22,MONTH($D1895),"")</f>
        <v/>
      </c>
      <c r="AX1895" s="86" t="str">
        <f>+IF($AG1895=AX$22,MONTH($D1895),"")</f>
        <v/>
      </c>
      <c r="AY1895" s="182"/>
      <c r="AZ1895" s="182"/>
      <c r="BA1895" s="182"/>
      <c r="BB1895" s="182"/>
      <c r="BC1895" s="182"/>
      <c r="BD1895" s="182"/>
      <c r="BE1895" s="182"/>
      <c r="BF1895" s="182"/>
      <c r="BG1895" s="182"/>
      <c r="BH1895" s="182"/>
      <c r="BI1895" s="182"/>
      <c r="BJ1895" s="89"/>
      <c r="BK1895" s="89"/>
      <c r="BL1895" s="89"/>
      <c r="BM1895" s="89"/>
      <c r="BN1895" s="89"/>
      <c r="BO1895" s="89"/>
      <c r="BP1895" s="89"/>
    </row>
    <row r="1896" spans="1:68" s="56" customFormat="1" ht="13.5" hidden="1">
      <c r="A1896" s="204" t="str">
        <f>+IFERROR(VALUE(MID(AB1896,4,4)),"")</f>
        <v/>
      </c>
      <c r="B1896" s="204">
        <f>VALUE(RIGHT(C1896,LEN(C1896)-2))</f>
        <v>829</v>
      </c>
      <c r="C1896" s="74" t="s">
        <v>6642</v>
      </c>
      <c r="D1896" s="75">
        <v>43153</v>
      </c>
      <c r="E1896" s="70" t="s">
        <v>6643</v>
      </c>
      <c r="F1896" s="70" t="s">
        <v>51</v>
      </c>
      <c r="G1896" s="68"/>
      <c r="H1896" s="59"/>
      <c r="I1896" s="162" t="s">
        <v>6644</v>
      </c>
      <c r="J1896" s="162"/>
      <c r="K1896" s="68" t="s">
        <v>45</v>
      </c>
      <c r="L1896" s="69" t="s">
        <v>123</v>
      </c>
      <c r="M1896" s="71" t="s">
        <v>141</v>
      </c>
      <c r="N1896" s="69" t="e" vm="1">
        <v>#VALUE!</v>
      </c>
      <c r="O1896" s="164"/>
      <c r="P1896" s="72" t="s">
        <v>274</v>
      </c>
      <c r="Q1896" s="72"/>
      <c r="R1896" s="162"/>
      <c r="S1896" s="146"/>
      <c r="T1896" s="68" t="s">
        <v>165</v>
      </c>
      <c r="U1896" s="87"/>
      <c r="V1896" s="183">
        <v>43186</v>
      </c>
      <c r="W1896" s="73">
        <v>1728</v>
      </c>
      <c r="X1896" s="73">
        <v>83.98</v>
      </c>
      <c r="Y1896" s="83">
        <f>IF(SUM(W1896:W1896)&gt;0,X1896/SUM(W1896:W1896)*1000000,"N/A")</f>
        <v>48599.537037037036</v>
      </c>
      <c r="Z1896" s="183"/>
      <c r="AA1896" s="183"/>
      <c r="AB1896" s="73"/>
      <c r="AC1896" s="153"/>
      <c r="AD1896" s="331"/>
      <c r="AE1896" s="57"/>
      <c r="AF1896" s="88"/>
      <c r="AG1896" s="182">
        <f>YEAR(D1896)</f>
        <v>2018</v>
      </c>
      <c r="AH1896" s="86" t="str">
        <f>+IF(AE1896=$AJ$22,MONTH(T1896),"")</f>
        <v/>
      </c>
      <c r="AI1896" s="86" t="str">
        <f>+IF(AF1896=$AJ$22,MONTH(U1896),"")</f>
        <v/>
      </c>
      <c r="AJ1896" s="86" t="str">
        <f>+IF(AG1896=$AJ$22,MONTH(V1896),"")</f>
        <v/>
      </c>
      <c r="AK1896" s="86" t="str">
        <f>+IF(AG1896=$AK$22,MONTH(V1896),"")</f>
        <v/>
      </c>
      <c r="AL1896" s="86" t="str">
        <f>+IF(AG1896=$AL$22,MONTH(V1896),"")</f>
        <v/>
      </c>
      <c r="AM1896" s="86" t="str">
        <f>+IF($AG1896=$AM$22,MONTH($D1896),"")</f>
        <v/>
      </c>
      <c r="AN1896" s="89" t="str">
        <f>+IF($AG1896=AN$22,MONTH($D1896),"")</f>
        <v/>
      </c>
      <c r="AO1896" s="86" t="str">
        <f>+IF($AG1896=AO$22,MONTH($D1896),"")</f>
        <v/>
      </c>
      <c r="AP1896" s="86">
        <f>+IF($AG1896=AP$22,MONTH($D1896),"")</f>
        <v>2</v>
      </c>
      <c r="AQ1896" s="86" t="str">
        <f>+IF($AG1896=AQ$22,MONTH($D1896),"")</f>
        <v/>
      </c>
      <c r="AR1896" s="86" t="str">
        <f>+IF($AG1896=AR$22,MONTH($D1896),"")</f>
        <v/>
      </c>
      <c r="AS1896" s="86" t="str">
        <f>+IF($AG1896=AS$22,MONTH($D1896),"")</f>
        <v/>
      </c>
      <c r="AT1896" s="86" t="str">
        <f>+IF($AG1896=AT$22,MONTH($D1896),"")</f>
        <v/>
      </c>
      <c r="AU1896" s="86" t="str">
        <f>+IF($AG1896=AU$22,MONTH($D1896),"")</f>
        <v/>
      </c>
      <c r="AV1896" s="86" t="str">
        <f>+IF($AG1896=AV$22,MONTH($D1896),"")</f>
        <v/>
      </c>
      <c r="AW1896" s="86" t="str">
        <f>+IF($AG1896=AW$22,MONTH($D1896),"")</f>
        <v/>
      </c>
      <c r="AX1896" s="86" t="str">
        <f>+IF($AG1896=AX$22,MONTH($D1896),"")</f>
        <v/>
      </c>
      <c r="AY1896" s="182"/>
      <c r="AZ1896" s="182"/>
      <c r="BA1896" s="182"/>
      <c r="BB1896" s="182"/>
      <c r="BC1896" s="182"/>
      <c r="BD1896" s="182"/>
      <c r="BE1896" s="182"/>
      <c r="BF1896" s="182"/>
      <c r="BG1896" s="182"/>
      <c r="BH1896" s="182"/>
      <c r="BI1896" s="182"/>
      <c r="BJ1896" s="89"/>
      <c r="BK1896" s="89"/>
      <c r="BL1896" s="89"/>
      <c r="BM1896" s="89"/>
      <c r="BN1896" s="89"/>
      <c r="BO1896" s="89"/>
      <c r="BP1896" s="89"/>
    </row>
    <row r="1897" spans="1:68" s="56" customFormat="1" ht="13.5" hidden="1">
      <c r="A1897" s="204" t="str">
        <f>+IFERROR(VALUE(MID(AB1897,4,4)),"")</f>
        <v/>
      </c>
      <c r="B1897" s="204">
        <f>VALUE(RIGHT(C1897,LEN(C1897)-2))</f>
        <v>828</v>
      </c>
      <c r="C1897" s="74" t="s">
        <v>6645</v>
      </c>
      <c r="D1897" s="75">
        <v>43153</v>
      </c>
      <c r="E1897" s="70" t="s">
        <v>41</v>
      </c>
      <c r="F1897" s="70" t="s">
        <v>41</v>
      </c>
      <c r="G1897" s="68"/>
      <c r="H1897" s="59"/>
      <c r="I1897" s="162" t="s">
        <v>6646</v>
      </c>
      <c r="J1897" s="162"/>
      <c r="K1897" s="68" t="s">
        <v>212</v>
      </c>
      <c r="L1897" s="69" t="s">
        <v>120</v>
      </c>
      <c r="M1897" s="71" t="s">
        <v>141</v>
      </c>
      <c r="N1897" s="69" t="e" vm="1">
        <v>#VALUE!</v>
      </c>
      <c r="O1897" s="164"/>
      <c r="P1897" s="72" t="s">
        <v>402</v>
      </c>
      <c r="Q1897" s="72" t="s">
        <v>405</v>
      </c>
      <c r="R1897" s="162"/>
      <c r="S1897" s="146"/>
      <c r="T1897" s="68" t="s">
        <v>3</v>
      </c>
      <c r="U1897" s="87"/>
      <c r="V1897" s="183">
        <v>43186</v>
      </c>
      <c r="W1897" s="73">
        <v>1000</v>
      </c>
      <c r="X1897" s="73"/>
      <c r="Y1897" s="83">
        <f>IF(SUM(W1897:W1897)&gt;0,X1897/SUM(W1897:W1897)*1000000,"N/A")</f>
        <v>0</v>
      </c>
      <c r="Z1897" s="183"/>
      <c r="AA1897" s="183"/>
      <c r="AB1897" s="73"/>
      <c r="AC1897" s="153"/>
      <c r="AD1897" s="331"/>
      <c r="AE1897" s="57"/>
      <c r="AF1897" s="88"/>
      <c r="AG1897" s="182">
        <f>YEAR(D1897)</f>
        <v>2018</v>
      </c>
      <c r="AH1897" s="86" t="str">
        <f>+IF(AE1897=$AJ$22,MONTH(T1897),"")</f>
        <v/>
      </c>
      <c r="AI1897" s="86" t="str">
        <f>+IF(AF1897=$AJ$22,MONTH(U1897),"")</f>
        <v/>
      </c>
      <c r="AJ1897" s="86" t="str">
        <f>+IF(AG1897=$AJ$22,MONTH(V1897),"")</f>
        <v/>
      </c>
      <c r="AK1897" s="86" t="str">
        <f>+IF(AG1897=$AK$22,MONTH(V1897),"")</f>
        <v/>
      </c>
      <c r="AL1897" s="86" t="str">
        <f>+IF(AG1897=$AL$22,MONTH(V1897),"")</f>
        <v/>
      </c>
      <c r="AM1897" s="86" t="str">
        <f>+IF($AG1897=$AM$22,MONTH($D1897),"")</f>
        <v/>
      </c>
      <c r="AN1897" s="89" t="str">
        <f>+IF($AG1897=AN$22,MONTH($D1897),"")</f>
        <v/>
      </c>
      <c r="AO1897" s="86" t="str">
        <f>+IF($AG1897=AO$22,MONTH($D1897),"")</f>
        <v/>
      </c>
      <c r="AP1897" s="86">
        <f>+IF($AG1897=AP$22,MONTH($D1897),"")</f>
        <v>2</v>
      </c>
      <c r="AQ1897" s="86" t="str">
        <f>+IF($AG1897=AQ$22,MONTH($D1897),"")</f>
        <v/>
      </c>
      <c r="AR1897" s="86" t="str">
        <f>+IF($AG1897=AR$22,MONTH($D1897),"")</f>
        <v/>
      </c>
      <c r="AS1897" s="86" t="str">
        <f>+IF($AG1897=AS$22,MONTH($D1897),"")</f>
        <v/>
      </c>
      <c r="AT1897" s="86" t="str">
        <f>+IF($AG1897=AT$22,MONTH($D1897),"")</f>
        <v/>
      </c>
      <c r="AU1897" s="86" t="str">
        <f>+IF($AG1897=AU$22,MONTH($D1897),"")</f>
        <v/>
      </c>
      <c r="AV1897" s="86" t="str">
        <f>+IF($AG1897=AV$22,MONTH($D1897),"")</f>
        <v/>
      </c>
      <c r="AW1897" s="86" t="str">
        <f>+IF($AG1897=AW$22,MONTH($D1897),"")</f>
        <v/>
      </c>
      <c r="AX1897" s="86" t="str">
        <f>+IF($AG1897=AX$22,MONTH($D1897),"")</f>
        <v/>
      </c>
      <c r="AY1897" s="182"/>
      <c r="AZ1897" s="182"/>
      <c r="BA1897" s="182"/>
      <c r="BB1897" s="182"/>
      <c r="BC1897" s="182"/>
      <c r="BD1897" s="182"/>
      <c r="BE1897" s="182"/>
      <c r="BF1897" s="182"/>
      <c r="BG1897" s="182"/>
      <c r="BH1897" s="182"/>
      <c r="BI1897" s="182"/>
      <c r="BJ1897" s="89"/>
      <c r="BK1897" s="89"/>
      <c r="BL1897" s="89"/>
      <c r="BM1897" s="89"/>
      <c r="BN1897" s="89"/>
      <c r="BO1897" s="89"/>
      <c r="BP1897" s="89"/>
    </row>
    <row r="1898" spans="1:68" s="56" customFormat="1" ht="13.5" hidden="1">
      <c r="A1898" s="204" t="str">
        <f>+IFERROR(VALUE(MID(AB1898,4,4)),"")</f>
        <v/>
      </c>
      <c r="B1898" s="204">
        <f>VALUE(RIGHT(C1898,LEN(C1898)-2))</f>
        <v>827</v>
      </c>
      <c r="C1898" s="74" t="s">
        <v>6647</v>
      </c>
      <c r="D1898" s="75">
        <v>43153</v>
      </c>
      <c r="E1898" s="70" t="s">
        <v>53</v>
      </c>
      <c r="F1898" s="70" t="s">
        <v>252</v>
      </c>
      <c r="G1898" s="68"/>
      <c r="H1898" s="59"/>
      <c r="I1898" s="162" t="s">
        <v>6648</v>
      </c>
      <c r="J1898" s="162"/>
      <c r="K1898" s="68" t="s">
        <v>12</v>
      </c>
      <c r="L1898" s="69" t="s">
        <v>123</v>
      </c>
      <c r="M1898" s="71" t="s">
        <v>141</v>
      </c>
      <c r="N1898" s="69" t="e" vm="1">
        <v>#VALUE!</v>
      </c>
      <c r="O1898" s="164"/>
      <c r="P1898" s="72" t="s">
        <v>402</v>
      </c>
      <c r="Q1898" s="72"/>
      <c r="R1898" s="162"/>
      <c r="S1898" s="146"/>
      <c r="T1898" s="68" t="s">
        <v>165</v>
      </c>
      <c r="U1898" s="87"/>
      <c r="V1898" s="183">
        <v>43167</v>
      </c>
      <c r="W1898" s="73">
        <v>1</v>
      </c>
      <c r="X1898" s="73"/>
      <c r="Y1898" s="83">
        <f>IF(SUM(W1898:W1898)&gt;0,X1898/SUM(W1898:W1898)*1000000,"N/A")</f>
        <v>0</v>
      </c>
      <c r="Z1898" s="183"/>
      <c r="AA1898" s="183"/>
      <c r="AB1898" s="73"/>
      <c r="AC1898" s="153"/>
      <c r="AD1898" s="331"/>
      <c r="AE1898" s="57"/>
      <c r="AF1898" s="88"/>
      <c r="AG1898" s="182">
        <f>YEAR(D1898)</f>
        <v>2018</v>
      </c>
      <c r="AH1898" s="86" t="str">
        <f>+IF(AE1898=$AJ$22,MONTH(T1898),"")</f>
        <v/>
      </c>
      <c r="AI1898" s="86" t="str">
        <f>+IF(AF1898=$AJ$22,MONTH(U1898),"")</f>
        <v/>
      </c>
      <c r="AJ1898" s="86" t="str">
        <f>+IF(AG1898=$AJ$22,MONTH(V1898),"")</f>
        <v/>
      </c>
      <c r="AK1898" s="86" t="str">
        <f>+IF(AG1898=$AK$22,MONTH(V1898),"")</f>
        <v/>
      </c>
      <c r="AL1898" s="86" t="str">
        <f>+IF(AG1898=$AL$22,MONTH(V1898),"")</f>
        <v/>
      </c>
      <c r="AM1898" s="86" t="str">
        <f>+IF($AG1898=$AM$22,MONTH($D1898),"")</f>
        <v/>
      </c>
      <c r="AN1898" s="89" t="str">
        <f>+IF($AG1898=AN$22,MONTH($D1898),"")</f>
        <v/>
      </c>
      <c r="AO1898" s="86" t="str">
        <f>+IF($AG1898=AO$22,MONTH($D1898),"")</f>
        <v/>
      </c>
      <c r="AP1898" s="86">
        <f>+IF($AG1898=AP$22,MONTH($D1898),"")</f>
        <v>2</v>
      </c>
      <c r="AQ1898" s="86" t="str">
        <f>+IF($AG1898=AQ$22,MONTH($D1898),"")</f>
        <v/>
      </c>
      <c r="AR1898" s="86" t="str">
        <f>+IF($AG1898=AR$22,MONTH($D1898),"")</f>
        <v/>
      </c>
      <c r="AS1898" s="86" t="str">
        <f>+IF($AG1898=AS$22,MONTH($D1898),"")</f>
        <v/>
      </c>
      <c r="AT1898" s="86" t="str">
        <f>+IF($AG1898=AT$22,MONTH($D1898),"")</f>
        <v/>
      </c>
      <c r="AU1898" s="86" t="str">
        <f>+IF($AG1898=AU$22,MONTH($D1898),"")</f>
        <v/>
      </c>
      <c r="AV1898" s="86" t="str">
        <f>+IF($AG1898=AV$22,MONTH($D1898),"")</f>
        <v/>
      </c>
      <c r="AW1898" s="86" t="str">
        <f>+IF($AG1898=AW$22,MONTH($D1898),"")</f>
        <v/>
      </c>
      <c r="AX1898" s="86" t="str">
        <f>+IF($AG1898=AX$22,MONTH($D1898),"")</f>
        <v/>
      </c>
      <c r="AY1898" s="182"/>
      <c r="AZ1898" s="182"/>
      <c r="BA1898" s="182"/>
      <c r="BB1898" s="182"/>
      <c r="BC1898" s="182"/>
      <c r="BD1898" s="182"/>
      <c r="BE1898" s="182"/>
      <c r="BF1898" s="182"/>
      <c r="BG1898" s="182"/>
      <c r="BH1898" s="182"/>
      <c r="BI1898" s="182"/>
      <c r="BJ1898" s="89"/>
      <c r="BK1898" s="89"/>
      <c r="BL1898" s="89"/>
      <c r="BM1898" s="89"/>
      <c r="BN1898" s="89"/>
      <c r="BO1898" s="89"/>
      <c r="BP1898" s="89"/>
    </row>
    <row r="1899" spans="1:68" s="56" customFormat="1" ht="40.5" hidden="1">
      <c r="A1899" s="204" t="str">
        <f>+IFERROR(VALUE(MID(AB1899,4,4)),"")</f>
        <v/>
      </c>
      <c r="B1899" s="204">
        <f>VALUE(RIGHT(C1899,LEN(C1899)-2))</f>
        <v>826</v>
      </c>
      <c r="C1899" s="74" t="s">
        <v>6649</v>
      </c>
      <c r="D1899" s="75">
        <v>43150</v>
      </c>
      <c r="E1899" s="70" t="s">
        <v>53</v>
      </c>
      <c r="F1899" s="70" t="s">
        <v>313</v>
      </c>
      <c r="G1899" s="68"/>
      <c r="H1899" s="59"/>
      <c r="I1899" s="162" t="s">
        <v>6650</v>
      </c>
      <c r="J1899" s="162"/>
      <c r="K1899" s="68" t="s">
        <v>45</v>
      </c>
      <c r="L1899" s="69" t="s">
        <v>123</v>
      </c>
      <c r="M1899" s="71" t="s">
        <v>141</v>
      </c>
      <c r="N1899" s="69" t="e" vm="1">
        <v>#VALUE!</v>
      </c>
      <c r="O1899" s="164"/>
      <c r="P1899" s="72" t="s">
        <v>402</v>
      </c>
      <c r="Q1899" s="72"/>
      <c r="R1899" s="162"/>
      <c r="S1899" s="146" t="s">
        <v>6651</v>
      </c>
      <c r="T1899" s="68" t="s">
        <v>155</v>
      </c>
      <c r="U1899" s="87"/>
      <c r="V1899" s="183">
        <v>43164</v>
      </c>
      <c r="W1899" s="73"/>
      <c r="X1899" s="73"/>
      <c r="Y1899" s="83" t="str">
        <f>IF(SUM(W1899:W1899)&gt;0,X1899/SUM(W1899:W1899)*1000000,"N/A")</f>
        <v>N/A</v>
      </c>
      <c r="Z1899" s="183"/>
      <c r="AA1899" s="183"/>
      <c r="AB1899" s="73"/>
      <c r="AC1899" s="153"/>
      <c r="AD1899" s="331"/>
      <c r="AE1899" s="57"/>
      <c r="AF1899" s="88"/>
      <c r="AG1899" s="182">
        <f>YEAR(D1899)</f>
        <v>2018</v>
      </c>
      <c r="AH1899" s="86" t="str">
        <f>+IF(AE1899=$AJ$22,MONTH(T1899),"")</f>
        <v/>
      </c>
      <c r="AI1899" s="86" t="str">
        <f>+IF(AF1899=$AJ$22,MONTH(U1899),"")</f>
        <v/>
      </c>
      <c r="AJ1899" s="86" t="str">
        <f>+IF(AG1899=$AJ$22,MONTH(V1899),"")</f>
        <v/>
      </c>
      <c r="AK1899" s="86" t="str">
        <f>+IF(AG1899=$AK$22,MONTH(V1899),"")</f>
        <v/>
      </c>
      <c r="AL1899" s="86" t="str">
        <f>+IF(AG1899=$AL$22,MONTH(V1899),"")</f>
        <v/>
      </c>
      <c r="AM1899" s="86" t="str">
        <f>+IF($AG1899=$AM$22,MONTH($D1899),"")</f>
        <v/>
      </c>
      <c r="AN1899" s="89" t="str">
        <f>+IF($AG1899=AN$22,MONTH($D1899),"")</f>
        <v/>
      </c>
      <c r="AO1899" s="86" t="str">
        <f>+IF($AG1899=AO$22,MONTH($D1899),"")</f>
        <v/>
      </c>
      <c r="AP1899" s="86">
        <f>+IF($AG1899=AP$22,MONTH($D1899),"")</f>
        <v>2</v>
      </c>
      <c r="AQ1899" s="86" t="str">
        <f>+IF($AG1899=AQ$22,MONTH($D1899),"")</f>
        <v/>
      </c>
      <c r="AR1899" s="86" t="str">
        <f>+IF($AG1899=AR$22,MONTH($D1899),"")</f>
        <v/>
      </c>
      <c r="AS1899" s="86" t="str">
        <f>+IF($AG1899=AS$22,MONTH($D1899),"")</f>
        <v/>
      </c>
      <c r="AT1899" s="86" t="str">
        <f>+IF($AG1899=AT$22,MONTH($D1899),"")</f>
        <v/>
      </c>
      <c r="AU1899" s="86" t="str">
        <f>+IF($AG1899=AU$22,MONTH($D1899),"")</f>
        <v/>
      </c>
      <c r="AV1899" s="86" t="str">
        <f>+IF($AG1899=AV$22,MONTH($D1899),"")</f>
        <v/>
      </c>
      <c r="AW1899" s="86" t="str">
        <f>+IF($AG1899=AW$22,MONTH($D1899),"")</f>
        <v/>
      </c>
      <c r="AX1899" s="86" t="str">
        <f>+IF($AG1899=AX$22,MONTH($D1899),"")</f>
        <v/>
      </c>
      <c r="AY1899" s="182"/>
      <c r="AZ1899" s="182"/>
      <c r="BA1899" s="182"/>
      <c r="BB1899" s="182"/>
      <c r="BC1899" s="182"/>
      <c r="BD1899" s="182"/>
      <c r="BE1899" s="182"/>
      <c r="BF1899" s="182"/>
      <c r="BG1899" s="182"/>
      <c r="BH1899" s="182"/>
      <c r="BI1899" s="182"/>
      <c r="BJ1899" s="89"/>
      <c r="BK1899" s="89"/>
      <c r="BL1899" s="89"/>
      <c r="BM1899" s="89"/>
      <c r="BN1899" s="89"/>
      <c r="BO1899" s="89"/>
      <c r="BP1899" s="89"/>
    </row>
    <row r="1900" spans="1:68" s="56" customFormat="1" ht="27" hidden="1">
      <c r="A1900" s="204" t="str">
        <f>+IFERROR(VALUE(MID(AB1900,4,4)),"")</f>
        <v/>
      </c>
      <c r="B1900" s="204">
        <f>VALUE(RIGHT(C1900,LEN(C1900)-2))</f>
        <v>825</v>
      </c>
      <c r="C1900" s="74" t="s">
        <v>6652</v>
      </c>
      <c r="D1900" s="75">
        <v>43143</v>
      </c>
      <c r="E1900" s="70" t="s">
        <v>52</v>
      </c>
      <c r="F1900" s="70" t="s">
        <v>52</v>
      </c>
      <c r="G1900" s="68"/>
      <c r="H1900" s="59"/>
      <c r="I1900" s="162" t="s">
        <v>6653</v>
      </c>
      <c r="J1900" s="162"/>
      <c r="K1900" s="68" t="s">
        <v>45</v>
      </c>
      <c r="L1900" s="69" t="s">
        <v>129</v>
      </c>
      <c r="M1900" s="71" t="s">
        <v>113</v>
      </c>
      <c r="N1900" s="69" t="e" vm="4">
        <v>#VALUE!</v>
      </c>
      <c r="O1900" s="164"/>
      <c r="P1900" s="72" t="s">
        <v>4567</v>
      </c>
      <c r="Q1900" s="72"/>
      <c r="R1900" s="162"/>
      <c r="S1900" s="146"/>
      <c r="T1900" s="68" t="s">
        <v>165</v>
      </c>
      <c r="U1900" s="87"/>
      <c r="V1900" s="183">
        <v>43144</v>
      </c>
      <c r="W1900" s="73">
        <v>405</v>
      </c>
      <c r="X1900" s="73">
        <f>36450*600/1000000</f>
        <v>21.87</v>
      </c>
      <c r="Y1900" s="83">
        <f>IF(SUM(W1900:W1900)&gt;0,X1900/SUM(W1900:W1900)*1000000,"N/A")</f>
        <v>54000</v>
      </c>
      <c r="Z1900" s="183"/>
      <c r="AA1900" s="183"/>
      <c r="AB1900" s="73"/>
      <c r="AC1900" s="153"/>
      <c r="AD1900" s="331"/>
      <c r="AE1900" s="57"/>
      <c r="AF1900" s="88"/>
      <c r="AG1900" s="182">
        <f>YEAR(D1900)</f>
        <v>2018</v>
      </c>
      <c r="AH1900" s="86" t="str">
        <f>+IF(AE1900=$AJ$22,MONTH(T1900),"")</f>
        <v/>
      </c>
      <c r="AI1900" s="86" t="str">
        <f>+IF(AF1900=$AJ$22,MONTH(U1900),"")</f>
        <v/>
      </c>
      <c r="AJ1900" s="86" t="str">
        <f>+IF(AG1900=$AJ$22,MONTH(V1900),"")</f>
        <v/>
      </c>
      <c r="AK1900" s="86" t="str">
        <f>+IF(AG1900=$AK$22,MONTH(V1900),"")</f>
        <v/>
      </c>
      <c r="AL1900" s="86" t="str">
        <f>+IF(AG1900=$AL$22,MONTH(V1900),"")</f>
        <v/>
      </c>
      <c r="AM1900" s="86" t="str">
        <f>+IF($AG1900=$AM$22,MONTH($D1900),"")</f>
        <v/>
      </c>
      <c r="AN1900" s="89" t="str">
        <f>+IF($AG1900=AN$22,MONTH($D1900),"")</f>
        <v/>
      </c>
      <c r="AO1900" s="86" t="str">
        <f>+IF($AG1900=AO$22,MONTH($D1900),"")</f>
        <v/>
      </c>
      <c r="AP1900" s="86">
        <f>+IF($AG1900=AP$22,MONTH($D1900),"")</f>
        <v>2</v>
      </c>
      <c r="AQ1900" s="86" t="str">
        <f>+IF($AG1900=AQ$22,MONTH($D1900),"")</f>
        <v/>
      </c>
      <c r="AR1900" s="86" t="str">
        <f>+IF($AG1900=AR$22,MONTH($D1900),"")</f>
        <v/>
      </c>
      <c r="AS1900" s="86" t="str">
        <f>+IF($AG1900=AS$22,MONTH($D1900),"")</f>
        <v/>
      </c>
      <c r="AT1900" s="86" t="str">
        <f>+IF($AG1900=AT$22,MONTH($D1900),"")</f>
        <v/>
      </c>
      <c r="AU1900" s="86" t="str">
        <f>+IF($AG1900=AU$22,MONTH($D1900),"")</f>
        <v/>
      </c>
      <c r="AV1900" s="86" t="str">
        <f>+IF($AG1900=AV$22,MONTH($D1900),"")</f>
        <v/>
      </c>
      <c r="AW1900" s="86" t="str">
        <f>+IF($AG1900=AW$22,MONTH($D1900),"")</f>
        <v/>
      </c>
      <c r="AX1900" s="86" t="str">
        <f>+IF($AG1900=AX$22,MONTH($D1900),"")</f>
        <v/>
      </c>
      <c r="AY1900" s="182"/>
      <c r="AZ1900" s="182"/>
      <c r="BA1900" s="182"/>
      <c r="BB1900" s="182"/>
      <c r="BC1900" s="182"/>
      <c r="BD1900" s="182"/>
      <c r="BE1900" s="182"/>
      <c r="BF1900" s="182"/>
      <c r="BG1900" s="182"/>
      <c r="BH1900" s="182"/>
      <c r="BI1900" s="182"/>
      <c r="BJ1900" s="89"/>
      <c r="BK1900" s="89"/>
      <c r="BL1900" s="89"/>
      <c r="BM1900" s="89"/>
      <c r="BN1900" s="89"/>
      <c r="BO1900" s="89"/>
      <c r="BP1900" s="89"/>
    </row>
    <row r="1901" spans="1:68" s="56" customFormat="1" ht="27" hidden="1">
      <c r="A1901" s="204">
        <f>+IFERROR(VALUE(MID(AB1901,4,4)),"")</f>
        <v>197</v>
      </c>
      <c r="B1901" s="204">
        <f>VALUE(RIGHT(C1901,LEN(C1901)-2))</f>
        <v>824</v>
      </c>
      <c r="C1901" s="74" t="s">
        <v>6654</v>
      </c>
      <c r="D1901" s="75">
        <v>43140</v>
      </c>
      <c r="E1901" s="70" t="s">
        <v>4664</v>
      </c>
      <c r="F1901" s="70" t="s">
        <v>479</v>
      </c>
      <c r="G1901" s="68"/>
      <c r="H1901" s="59"/>
      <c r="I1901" s="162" t="s">
        <v>6655</v>
      </c>
      <c r="J1901" s="162"/>
      <c r="K1901" s="68" t="s">
        <v>13</v>
      </c>
      <c r="L1901" s="69" t="s">
        <v>120</v>
      </c>
      <c r="M1901" s="71" t="s">
        <v>113</v>
      </c>
      <c r="N1901" s="69" t="e" vm="2">
        <v>#VALUE!</v>
      </c>
      <c r="O1901" s="164"/>
      <c r="P1901" s="72" t="s">
        <v>402</v>
      </c>
      <c r="Q1901" s="72"/>
      <c r="R1901" s="162"/>
      <c r="S1901" s="146" t="s">
        <v>6656</v>
      </c>
      <c r="T1901" s="68" t="s">
        <v>165</v>
      </c>
      <c r="U1901" s="87"/>
      <c r="V1901" s="183">
        <v>43308</v>
      </c>
      <c r="W1901" s="73">
        <v>1310</v>
      </c>
      <c r="X1901" s="73">
        <f>192835*180/1000000</f>
        <v>34.710299999999997</v>
      </c>
      <c r="Y1901" s="83">
        <f>IF(SUM(W1901:W1901)&gt;0,X1901/SUM(W1901:W1901)*1000000,"N/A")</f>
        <v>26496.412213740456</v>
      </c>
      <c r="Z1901" s="183"/>
      <c r="AA1901" s="183"/>
      <c r="AB1901" s="73" t="s">
        <v>5876</v>
      </c>
      <c r="AC1901" s="153"/>
      <c r="AD1901" s="331"/>
      <c r="AE1901" s="57"/>
      <c r="AF1901" s="88"/>
      <c r="AG1901" s="182">
        <f>YEAR(D1901)</f>
        <v>2018</v>
      </c>
      <c r="AH1901" s="86" t="str">
        <f>+IF(AE1901=$AJ$22,MONTH(T1901),"")</f>
        <v/>
      </c>
      <c r="AI1901" s="86" t="str">
        <f>+IF(AF1901=$AJ$22,MONTH(U1901),"")</f>
        <v/>
      </c>
      <c r="AJ1901" s="86" t="str">
        <f>+IF(AG1901=$AJ$22,MONTH(V1901),"")</f>
        <v/>
      </c>
      <c r="AK1901" s="86" t="str">
        <f>+IF(AG1901=$AK$22,MONTH(V1901),"")</f>
        <v/>
      </c>
      <c r="AL1901" s="86" t="str">
        <f>+IF(AG1901=$AL$22,MONTH(V1901),"")</f>
        <v/>
      </c>
      <c r="AM1901" s="86" t="str">
        <f>+IF($AG1901=$AM$22,MONTH($D1901),"")</f>
        <v/>
      </c>
      <c r="AN1901" s="89" t="str">
        <f>+IF($AG1901=AN$22,MONTH($D1901),"")</f>
        <v/>
      </c>
      <c r="AO1901" s="86" t="str">
        <f>+IF($AG1901=AO$22,MONTH($D1901),"")</f>
        <v/>
      </c>
      <c r="AP1901" s="86">
        <f>+IF($AG1901=AP$22,MONTH($D1901),"")</f>
        <v>2</v>
      </c>
      <c r="AQ1901" s="86" t="str">
        <f>+IF($AG1901=AQ$22,MONTH($D1901),"")</f>
        <v/>
      </c>
      <c r="AR1901" s="86" t="str">
        <f>+IF($AG1901=AR$22,MONTH($D1901),"")</f>
        <v/>
      </c>
      <c r="AS1901" s="86" t="str">
        <f>+IF($AG1901=AS$22,MONTH($D1901),"")</f>
        <v/>
      </c>
      <c r="AT1901" s="86" t="str">
        <f>+IF($AG1901=AT$22,MONTH($D1901),"")</f>
        <v/>
      </c>
      <c r="AU1901" s="86" t="str">
        <f>+IF($AG1901=AU$22,MONTH($D1901),"")</f>
        <v/>
      </c>
      <c r="AV1901" s="86" t="str">
        <f>+IF($AG1901=AV$22,MONTH($D1901),"")</f>
        <v/>
      </c>
      <c r="AW1901" s="86" t="str">
        <f>+IF($AG1901=AW$22,MONTH($D1901),"")</f>
        <v/>
      </c>
      <c r="AX1901" s="86" t="str">
        <f>+IF($AG1901=AX$22,MONTH($D1901),"")</f>
        <v/>
      </c>
      <c r="AY1901" s="182"/>
      <c r="AZ1901" s="182"/>
      <c r="BA1901" s="182"/>
      <c r="BB1901" s="182"/>
      <c r="BC1901" s="182"/>
      <c r="BD1901" s="182"/>
      <c r="BE1901" s="182"/>
      <c r="BF1901" s="182"/>
      <c r="BG1901" s="182"/>
      <c r="BH1901" s="182"/>
      <c r="BI1901" s="182"/>
      <c r="BJ1901" s="89"/>
      <c r="BK1901" s="89"/>
      <c r="BL1901" s="89"/>
      <c r="BM1901" s="89"/>
      <c r="BN1901" s="89"/>
      <c r="BO1901" s="89"/>
      <c r="BP1901" s="89"/>
    </row>
    <row r="1902" spans="1:68" s="56" customFormat="1" ht="13.5" hidden="1">
      <c r="A1902" s="204" t="str">
        <f>+IFERROR(VALUE(MID(AB1902,4,4)),"")</f>
        <v/>
      </c>
      <c r="B1902" s="204">
        <f>VALUE(RIGHT(C1902,LEN(C1902)-2))</f>
        <v>823</v>
      </c>
      <c r="C1902" s="74" t="s">
        <v>6657</v>
      </c>
      <c r="D1902" s="75">
        <v>43139</v>
      </c>
      <c r="E1902" s="70" t="s">
        <v>2961</v>
      </c>
      <c r="F1902" s="70" t="s">
        <v>2961</v>
      </c>
      <c r="G1902" s="68"/>
      <c r="H1902" s="59"/>
      <c r="I1902" s="162" t="s">
        <v>6658</v>
      </c>
      <c r="J1902" s="162"/>
      <c r="K1902" s="68" t="s">
        <v>24</v>
      </c>
      <c r="L1902" s="69" t="s">
        <v>120</v>
      </c>
      <c r="M1902" s="71" t="s">
        <v>141</v>
      </c>
      <c r="N1902" s="69" t="e" vm="1">
        <v>#VALUE!</v>
      </c>
      <c r="O1902" s="164"/>
      <c r="P1902" s="72" t="s">
        <v>4567</v>
      </c>
      <c r="Q1902" s="72"/>
      <c r="R1902" s="162"/>
      <c r="S1902" s="146"/>
      <c r="T1902" s="68" t="s">
        <v>165</v>
      </c>
      <c r="U1902" s="87"/>
      <c r="V1902" s="183">
        <v>43144</v>
      </c>
      <c r="W1902" s="73">
        <v>170</v>
      </c>
      <c r="X1902" s="73">
        <f>208.3*26800/1000000</f>
        <v>5.5824400000000001</v>
      </c>
      <c r="Y1902" s="83">
        <f>IF(SUM(W1902:W1902)&gt;0,X1902/SUM(W1902:W1902)*1000000,"N/A")</f>
        <v>32837.882352941175</v>
      </c>
      <c r="Z1902" s="183"/>
      <c r="AA1902" s="183"/>
      <c r="AB1902" s="73"/>
      <c r="AC1902" s="153"/>
      <c r="AD1902" s="331"/>
      <c r="AE1902" s="57"/>
      <c r="AF1902" s="88"/>
      <c r="AG1902" s="182">
        <f>YEAR(D1902)</f>
        <v>2018</v>
      </c>
      <c r="AH1902" s="86" t="str">
        <f>+IF(AE1902=$AJ$22,MONTH(T1902),"")</f>
        <v/>
      </c>
      <c r="AI1902" s="86" t="str">
        <f>+IF(AF1902=$AJ$22,MONTH(U1902),"")</f>
        <v/>
      </c>
      <c r="AJ1902" s="86" t="str">
        <f>+IF(AG1902=$AJ$22,MONTH(V1902),"")</f>
        <v/>
      </c>
      <c r="AK1902" s="86" t="str">
        <f>+IF(AG1902=$AK$22,MONTH(V1902),"")</f>
        <v/>
      </c>
      <c r="AL1902" s="86" t="str">
        <f>+IF(AG1902=$AL$22,MONTH(V1902),"")</f>
        <v/>
      </c>
      <c r="AM1902" s="86" t="str">
        <f>+IF($AG1902=$AM$22,MONTH($D1902),"")</f>
        <v/>
      </c>
      <c r="AN1902" s="89" t="str">
        <f>+IF($AG1902=AN$22,MONTH($D1902),"")</f>
        <v/>
      </c>
      <c r="AO1902" s="86" t="str">
        <f>+IF($AG1902=AO$22,MONTH($D1902),"")</f>
        <v/>
      </c>
      <c r="AP1902" s="86">
        <f>+IF($AG1902=AP$22,MONTH($D1902),"")</f>
        <v>2</v>
      </c>
      <c r="AQ1902" s="86" t="str">
        <f>+IF($AG1902=AQ$22,MONTH($D1902),"")</f>
        <v/>
      </c>
      <c r="AR1902" s="86" t="str">
        <f>+IF($AG1902=AR$22,MONTH($D1902),"")</f>
        <v/>
      </c>
      <c r="AS1902" s="86" t="str">
        <f>+IF($AG1902=AS$22,MONTH($D1902),"")</f>
        <v/>
      </c>
      <c r="AT1902" s="86" t="str">
        <f>+IF($AG1902=AT$22,MONTH($D1902),"")</f>
        <v/>
      </c>
      <c r="AU1902" s="86" t="str">
        <f>+IF($AG1902=AU$22,MONTH($D1902),"")</f>
        <v/>
      </c>
      <c r="AV1902" s="86" t="str">
        <f>+IF($AG1902=AV$22,MONTH($D1902),"")</f>
        <v/>
      </c>
      <c r="AW1902" s="86" t="str">
        <f>+IF($AG1902=AW$22,MONTH($D1902),"")</f>
        <v/>
      </c>
      <c r="AX1902" s="86" t="str">
        <f>+IF($AG1902=AX$22,MONTH($D1902),"")</f>
        <v/>
      </c>
      <c r="AY1902" s="182"/>
      <c r="AZ1902" s="182"/>
      <c r="BA1902" s="182"/>
      <c r="BB1902" s="182"/>
      <c r="BC1902" s="182"/>
      <c r="BD1902" s="182"/>
      <c r="BE1902" s="182"/>
      <c r="BF1902" s="182"/>
      <c r="BG1902" s="182"/>
      <c r="BH1902" s="182"/>
      <c r="BI1902" s="182"/>
      <c r="BJ1902" s="89"/>
      <c r="BK1902" s="89"/>
      <c r="BL1902" s="89"/>
      <c r="BM1902" s="89"/>
      <c r="BN1902" s="89"/>
      <c r="BO1902" s="89"/>
      <c r="BP1902" s="89"/>
    </row>
    <row r="1903" spans="1:68" s="56" customFormat="1" ht="27" hidden="1">
      <c r="A1903" s="204" t="str">
        <f>+IFERROR(VALUE(MID(AB1903,4,4)),"")</f>
        <v/>
      </c>
      <c r="B1903" s="204">
        <f>VALUE(RIGHT(C1903,LEN(C1903)-2))</f>
        <v>821</v>
      </c>
      <c r="C1903" s="74" t="s">
        <v>6659</v>
      </c>
      <c r="D1903" s="75">
        <v>43138</v>
      </c>
      <c r="E1903" s="70" t="s">
        <v>6660</v>
      </c>
      <c r="F1903" s="70" t="s">
        <v>6660</v>
      </c>
      <c r="G1903" s="68"/>
      <c r="H1903" s="59"/>
      <c r="I1903" s="162" t="s">
        <v>6661</v>
      </c>
      <c r="J1903" s="162"/>
      <c r="K1903" s="68" t="s">
        <v>13</v>
      </c>
      <c r="L1903" s="69" t="s">
        <v>120</v>
      </c>
      <c r="M1903" s="71" t="s">
        <v>141</v>
      </c>
      <c r="N1903" s="69" t="e" vm="1">
        <v>#VALUE!</v>
      </c>
      <c r="O1903" s="164"/>
      <c r="P1903" s="72" t="s">
        <v>402</v>
      </c>
      <c r="Q1903" s="72"/>
      <c r="R1903" s="162"/>
      <c r="S1903" s="146"/>
      <c r="T1903" s="68" t="s">
        <v>165</v>
      </c>
      <c r="U1903" s="87"/>
      <c r="V1903" s="183">
        <v>43144</v>
      </c>
      <c r="W1903" s="73">
        <v>945</v>
      </c>
      <c r="X1903" s="73">
        <f>1275*26800/1000000</f>
        <v>34.17</v>
      </c>
      <c r="Y1903" s="83">
        <f>IF(SUM(W1903:W1903)&gt;0,X1903/SUM(W1903:W1903)*1000000,"N/A")</f>
        <v>36158.730158730163</v>
      </c>
      <c r="Z1903" s="183"/>
      <c r="AA1903" s="183"/>
      <c r="AB1903" s="73"/>
      <c r="AC1903" s="153"/>
      <c r="AD1903" s="331"/>
      <c r="AE1903" s="57"/>
      <c r="AF1903" s="88"/>
      <c r="AG1903" s="182">
        <f>YEAR(D1903)</f>
        <v>2018</v>
      </c>
      <c r="AH1903" s="86" t="str">
        <f>+IF(AE1903=$AJ$22,MONTH(T1903),"")</f>
        <v/>
      </c>
      <c r="AI1903" s="86" t="str">
        <f>+IF(AF1903=$AJ$22,MONTH(U1903),"")</f>
        <v/>
      </c>
      <c r="AJ1903" s="86" t="str">
        <f>+IF(AG1903=$AJ$22,MONTH(V1903),"")</f>
        <v/>
      </c>
      <c r="AK1903" s="86" t="str">
        <f>+IF(AG1903=$AK$22,MONTH(V1903),"")</f>
        <v/>
      </c>
      <c r="AL1903" s="86" t="str">
        <f>+IF(AG1903=$AL$22,MONTH(V1903),"")</f>
        <v/>
      </c>
      <c r="AM1903" s="86" t="str">
        <f>+IF($AG1903=$AM$22,MONTH($D1903),"")</f>
        <v/>
      </c>
      <c r="AN1903" s="89" t="str">
        <f>+IF($AG1903=AN$22,MONTH($D1903),"")</f>
        <v/>
      </c>
      <c r="AO1903" s="86" t="str">
        <f>+IF($AG1903=AO$22,MONTH($D1903),"")</f>
        <v/>
      </c>
      <c r="AP1903" s="86">
        <f>+IF($AG1903=AP$22,MONTH($D1903),"")</f>
        <v>2</v>
      </c>
      <c r="AQ1903" s="86" t="str">
        <f>+IF($AG1903=AQ$22,MONTH($D1903),"")</f>
        <v/>
      </c>
      <c r="AR1903" s="86" t="str">
        <f>+IF($AG1903=AR$22,MONTH($D1903),"")</f>
        <v/>
      </c>
      <c r="AS1903" s="86" t="str">
        <f>+IF($AG1903=AS$22,MONTH($D1903),"")</f>
        <v/>
      </c>
      <c r="AT1903" s="86" t="str">
        <f>+IF($AG1903=AT$22,MONTH($D1903),"")</f>
        <v/>
      </c>
      <c r="AU1903" s="86" t="str">
        <f>+IF($AG1903=AU$22,MONTH($D1903),"")</f>
        <v/>
      </c>
      <c r="AV1903" s="86" t="str">
        <f>+IF($AG1903=AV$22,MONTH($D1903),"")</f>
        <v/>
      </c>
      <c r="AW1903" s="86" t="str">
        <f>+IF($AG1903=AW$22,MONTH($D1903),"")</f>
        <v/>
      </c>
      <c r="AX1903" s="86" t="str">
        <f>+IF($AG1903=AX$22,MONTH($D1903),"")</f>
        <v/>
      </c>
      <c r="AY1903" s="182"/>
      <c r="AZ1903" s="182"/>
      <c r="BA1903" s="182"/>
      <c r="BB1903" s="182"/>
      <c r="BC1903" s="182"/>
      <c r="BD1903" s="182"/>
      <c r="BE1903" s="182"/>
      <c r="BF1903" s="182"/>
      <c r="BG1903" s="182"/>
      <c r="BH1903" s="182"/>
      <c r="BI1903" s="182"/>
      <c r="BJ1903" s="89"/>
      <c r="BK1903" s="89"/>
      <c r="BL1903" s="89"/>
      <c r="BM1903" s="89"/>
      <c r="BN1903" s="89"/>
      <c r="BO1903" s="89"/>
      <c r="BP1903" s="89"/>
    </row>
    <row r="1904" spans="1:68" s="56" customFormat="1" ht="27" hidden="1">
      <c r="A1904" s="204">
        <f>+IFERROR(VALUE(MID(AB1904,4,4)),"")</f>
        <v>199</v>
      </c>
      <c r="B1904" s="204">
        <f>VALUE(RIGHT(C1904,LEN(C1904)-2))</f>
        <v>821</v>
      </c>
      <c r="C1904" s="74" t="s">
        <v>6659</v>
      </c>
      <c r="D1904" s="75">
        <v>43137</v>
      </c>
      <c r="E1904" s="70" t="s">
        <v>67</v>
      </c>
      <c r="F1904" s="70" t="s">
        <v>67</v>
      </c>
      <c r="G1904" s="68" t="s">
        <v>6595</v>
      </c>
      <c r="H1904" s="59"/>
      <c r="I1904" s="162" t="s">
        <v>6662</v>
      </c>
      <c r="J1904" s="162"/>
      <c r="K1904" s="68" t="s">
        <v>11</v>
      </c>
      <c r="L1904" s="69" t="s">
        <v>123</v>
      </c>
      <c r="M1904" s="71" t="s">
        <v>141</v>
      </c>
      <c r="N1904" s="69" t="e" vm="1">
        <v>#VALUE!</v>
      </c>
      <c r="O1904" s="164"/>
      <c r="P1904" s="72" t="s">
        <v>402</v>
      </c>
      <c r="Q1904" s="72" t="s">
        <v>1097</v>
      </c>
      <c r="R1904" s="162"/>
      <c r="S1904" s="146"/>
      <c r="T1904" s="68" t="s">
        <v>3</v>
      </c>
      <c r="U1904" s="87"/>
      <c r="V1904" s="183">
        <v>43172</v>
      </c>
      <c r="W1904" s="73">
        <v>8606</v>
      </c>
      <c r="X1904" s="73">
        <v>274.97000000000003</v>
      </c>
      <c r="Y1904" s="83">
        <f>IF(SUM(W1904:W1904)&gt;0,X1904/SUM(W1904:W1904)*1000000,"N/A")</f>
        <v>31950.964443411576</v>
      </c>
      <c r="Z1904" s="183"/>
      <c r="AA1904" s="183"/>
      <c r="AB1904" s="73" t="s">
        <v>6663</v>
      </c>
      <c r="AC1904" s="153"/>
      <c r="AD1904" s="331"/>
      <c r="AE1904" s="57"/>
      <c r="AF1904" s="88"/>
      <c r="AG1904" s="182">
        <f>YEAR(D1904)</f>
        <v>2018</v>
      </c>
      <c r="AH1904" s="86" t="str">
        <f>+IF(AE1904=$AJ$22,MONTH(T1904),"")</f>
        <v/>
      </c>
      <c r="AI1904" s="86" t="str">
        <f>+IF(AF1904=$AJ$22,MONTH(U1904),"")</f>
        <v/>
      </c>
      <c r="AJ1904" s="86" t="str">
        <f>+IF(AG1904=$AJ$22,MONTH(V1904),"")</f>
        <v/>
      </c>
      <c r="AK1904" s="86" t="str">
        <f>+IF(AG1904=$AK$22,MONTH(V1904),"")</f>
        <v/>
      </c>
      <c r="AL1904" s="86" t="str">
        <f>+IF(AG1904=$AL$22,MONTH(V1904),"")</f>
        <v/>
      </c>
      <c r="AM1904" s="86" t="str">
        <f>+IF($AG1904=$AM$22,MONTH($D1904),"")</f>
        <v/>
      </c>
      <c r="AN1904" s="89" t="str">
        <f>+IF($AG1904=AN$22,MONTH($D1904),"")</f>
        <v/>
      </c>
      <c r="AO1904" s="86" t="str">
        <f>+IF($AG1904=AO$22,MONTH($D1904),"")</f>
        <v/>
      </c>
      <c r="AP1904" s="86">
        <f>+IF($AG1904=AP$22,MONTH($D1904),"")</f>
        <v>2</v>
      </c>
      <c r="AQ1904" s="86" t="str">
        <f>+IF($AG1904=AQ$22,MONTH($D1904),"")</f>
        <v/>
      </c>
      <c r="AR1904" s="86" t="str">
        <f>+IF($AG1904=AR$22,MONTH($D1904),"")</f>
        <v/>
      </c>
      <c r="AS1904" s="86" t="str">
        <f>+IF($AG1904=AS$22,MONTH($D1904),"")</f>
        <v/>
      </c>
      <c r="AT1904" s="86" t="str">
        <f>+IF($AG1904=AT$22,MONTH($D1904),"")</f>
        <v/>
      </c>
      <c r="AU1904" s="86" t="str">
        <f>+IF($AG1904=AU$22,MONTH($D1904),"")</f>
        <v/>
      </c>
      <c r="AV1904" s="86" t="str">
        <f>+IF($AG1904=AV$22,MONTH($D1904),"")</f>
        <v/>
      </c>
      <c r="AW1904" s="86" t="str">
        <f>+IF($AG1904=AW$22,MONTH($D1904),"")</f>
        <v/>
      </c>
      <c r="AX1904" s="86" t="str">
        <f>+IF($AG1904=AX$22,MONTH($D1904),"")</f>
        <v/>
      </c>
      <c r="AY1904" s="182"/>
      <c r="AZ1904" s="182"/>
      <c r="BA1904" s="182"/>
      <c r="BB1904" s="182"/>
      <c r="BC1904" s="182"/>
      <c r="BD1904" s="182"/>
      <c r="BE1904" s="182"/>
      <c r="BF1904" s="182"/>
      <c r="BG1904" s="182"/>
      <c r="BH1904" s="182"/>
      <c r="BI1904" s="182"/>
      <c r="BJ1904" s="89"/>
      <c r="BK1904" s="89"/>
      <c r="BL1904" s="89"/>
      <c r="BM1904" s="89"/>
      <c r="BN1904" s="89"/>
      <c r="BO1904" s="89"/>
      <c r="BP1904" s="89"/>
    </row>
    <row r="1905" spans="1:68" s="56" customFormat="1" ht="13.5" hidden="1">
      <c r="A1905" s="204">
        <f>+IFERROR(VALUE(MID(AB1905,4,4)),"")</f>
        <v>180</v>
      </c>
      <c r="B1905" s="204">
        <f>VALUE(RIGHT(C1905,LEN(C1905)-2))</f>
        <v>820</v>
      </c>
      <c r="C1905" s="74" t="s">
        <v>6664</v>
      </c>
      <c r="D1905" s="75">
        <v>43136</v>
      </c>
      <c r="E1905" s="70" t="s">
        <v>2961</v>
      </c>
      <c r="F1905" s="70" t="s">
        <v>2961</v>
      </c>
      <c r="G1905" s="68"/>
      <c r="H1905" s="59"/>
      <c r="I1905" s="162" t="s">
        <v>6665</v>
      </c>
      <c r="J1905" s="162"/>
      <c r="K1905" s="68" t="s">
        <v>28</v>
      </c>
      <c r="L1905" s="69" t="s">
        <v>120</v>
      </c>
      <c r="M1905" s="71" t="s">
        <v>141</v>
      </c>
      <c r="N1905" s="69" t="e" vm="1">
        <v>#VALUE!</v>
      </c>
      <c r="O1905" s="164"/>
      <c r="P1905" s="72" t="s">
        <v>274</v>
      </c>
      <c r="Q1905" s="72" t="s">
        <v>259</v>
      </c>
      <c r="R1905" s="162"/>
      <c r="S1905" s="146"/>
      <c r="T1905" s="68" t="s">
        <v>3</v>
      </c>
      <c r="U1905" s="87"/>
      <c r="V1905" s="183">
        <v>43144</v>
      </c>
      <c r="W1905" s="73">
        <v>47</v>
      </c>
      <c r="X1905" s="73">
        <f>141*26800/1000000</f>
        <v>3.7787999999999999</v>
      </c>
      <c r="Y1905" s="83">
        <f>IF(SUM(W1905:W1905)&gt;0,X1905/SUM(W1905:W1905)*1000000,"N/A")</f>
        <v>80400</v>
      </c>
      <c r="Z1905" s="183"/>
      <c r="AA1905" s="183"/>
      <c r="AB1905" s="73" t="s">
        <v>6666</v>
      </c>
      <c r="AC1905" s="153"/>
      <c r="AD1905" s="331"/>
      <c r="AE1905" s="57"/>
      <c r="AF1905" s="88"/>
      <c r="AG1905" s="182">
        <f>YEAR(D1905)</f>
        <v>2018</v>
      </c>
      <c r="AH1905" s="86" t="str">
        <f>+IF(AE1905=$AJ$22,MONTH(T1905),"")</f>
        <v/>
      </c>
      <c r="AI1905" s="86" t="str">
        <f>+IF(AF1905=$AJ$22,MONTH(U1905),"")</f>
        <v/>
      </c>
      <c r="AJ1905" s="86" t="str">
        <f>+IF(AG1905=$AJ$22,MONTH(V1905),"")</f>
        <v/>
      </c>
      <c r="AK1905" s="86" t="str">
        <f>+IF(AG1905=$AK$22,MONTH(V1905),"")</f>
        <v/>
      </c>
      <c r="AL1905" s="86" t="str">
        <f>+IF(AG1905=$AL$22,MONTH(V1905),"")</f>
        <v/>
      </c>
      <c r="AM1905" s="86" t="str">
        <f>+IF($AG1905=$AM$22,MONTH($D1905),"")</f>
        <v/>
      </c>
      <c r="AN1905" s="89" t="str">
        <f>+IF($AG1905=AN$22,MONTH($D1905),"")</f>
        <v/>
      </c>
      <c r="AO1905" s="86" t="str">
        <f>+IF($AG1905=AO$22,MONTH($D1905),"")</f>
        <v/>
      </c>
      <c r="AP1905" s="86">
        <f>+IF($AG1905=AP$22,MONTH($D1905),"")</f>
        <v>2</v>
      </c>
      <c r="AQ1905" s="86" t="str">
        <f>+IF($AG1905=AQ$22,MONTH($D1905),"")</f>
        <v/>
      </c>
      <c r="AR1905" s="86" t="str">
        <f>+IF($AG1905=AR$22,MONTH($D1905),"")</f>
        <v/>
      </c>
      <c r="AS1905" s="86" t="str">
        <f>+IF($AG1905=AS$22,MONTH($D1905),"")</f>
        <v/>
      </c>
      <c r="AT1905" s="86" t="str">
        <f>+IF($AG1905=AT$22,MONTH($D1905),"")</f>
        <v/>
      </c>
      <c r="AU1905" s="86" t="str">
        <f>+IF($AG1905=AU$22,MONTH($D1905),"")</f>
        <v/>
      </c>
      <c r="AV1905" s="86" t="str">
        <f>+IF($AG1905=AV$22,MONTH($D1905),"")</f>
        <v/>
      </c>
      <c r="AW1905" s="86" t="str">
        <f>+IF($AG1905=AW$22,MONTH($D1905),"")</f>
        <v/>
      </c>
      <c r="AX1905" s="86" t="str">
        <f>+IF($AG1905=AX$22,MONTH($D1905),"")</f>
        <v/>
      </c>
      <c r="AY1905" s="182"/>
      <c r="AZ1905" s="182"/>
      <c r="BA1905" s="182"/>
      <c r="BB1905" s="182"/>
      <c r="BC1905" s="182"/>
      <c r="BD1905" s="182"/>
      <c r="BE1905" s="182"/>
      <c r="BF1905" s="182"/>
      <c r="BG1905" s="182"/>
      <c r="BH1905" s="182"/>
      <c r="BI1905" s="182"/>
      <c r="BJ1905" s="89"/>
      <c r="BK1905" s="89"/>
      <c r="BL1905" s="89"/>
      <c r="BM1905" s="89"/>
      <c r="BN1905" s="89"/>
      <c r="BO1905" s="89"/>
      <c r="BP1905" s="89"/>
    </row>
    <row r="1906" spans="1:68" s="56" customFormat="1" ht="27" hidden="1">
      <c r="A1906" s="204" t="str">
        <f>+IFERROR(VALUE(MID(AB1906,4,4)),"")</f>
        <v/>
      </c>
      <c r="B1906" s="204">
        <f>VALUE(RIGHT(C1906,LEN(C1906)-2))</f>
        <v>819</v>
      </c>
      <c r="C1906" s="74" t="s">
        <v>6667</v>
      </c>
      <c r="D1906" s="75">
        <v>43130</v>
      </c>
      <c r="E1906" s="70" t="s">
        <v>332</v>
      </c>
      <c r="F1906" s="70" t="s">
        <v>332</v>
      </c>
      <c r="G1906" s="68"/>
      <c r="H1906" s="60"/>
      <c r="I1906" s="162" t="s">
        <v>6668</v>
      </c>
      <c r="J1906" s="162"/>
      <c r="K1906" s="68" t="s">
        <v>13</v>
      </c>
      <c r="L1906" s="69" t="s">
        <v>129</v>
      </c>
      <c r="M1906" s="71" t="s">
        <v>141</v>
      </c>
      <c r="N1906" s="69" t="e" vm="1">
        <v>#VALUE!</v>
      </c>
      <c r="O1906" s="164"/>
      <c r="P1906" s="72" t="s">
        <v>402</v>
      </c>
      <c r="Q1906" s="72"/>
      <c r="R1906" s="162"/>
      <c r="S1906" s="146"/>
      <c r="T1906" s="68" t="s">
        <v>165</v>
      </c>
      <c r="U1906" s="87"/>
      <c r="V1906" s="183">
        <v>43133</v>
      </c>
      <c r="W1906" s="73">
        <v>535</v>
      </c>
      <c r="X1906" s="73">
        <f>500*26800/1000000</f>
        <v>13.4</v>
      </c>
      <c r="Y1906" s="83">
        <f>IF(SUM(W1906:W1906)&gt;0,X1906/SUM(W1906:W1906)*1000000,"N/A")</f>
        <v>25046.728971962621</v>
      </c>
      <c r="Z1906" s="183"/>
      <c r="AA1906" s="183"/>
      <c r="AB1906" s="73"/>
      <c r="AC1906" s="153"/>
      <c r="AD1906" s="331"/>
      <c r="AE1906" s="57"/>
      <c r="AF1906" s="88"/>
      <c r="AG1906" s="182">
        <f>YEAR(D1906)</f>
        <v>2018</v>
      </c>
      <c r="AH1906" s="86" t="str">
        <f>+IF(AE1906=$AJ$22,MONTH(T1906),"")</f>
        <v/>
      </c>
      <c r="AI1906" s="86" t="str">
        <f>+IF(AF1906=$AJ$22,MONTH(U1906),"")</f>
        <v/>
      </c>
      <c r="AJ1906" s="86" t="str">
        <f>+IF(AG1906=$AJ$22,MONTH(V1906),"")</f>
        <v/>
      </c>
      <c r="AK1906" s="86" t="str">
        <f>+IF(AG1906=$AK$22,MONTH(V1906),"")</f>
        <v/>
      </c>
      <c r="AL1906" s="86" t="str">
        <f>+IF(AG1906=$AL$22,MONTH(V1906),"")</f>
        <v/>
      </c>
      <c r="AM1906" s="86" t="str">
        <f>+IF($AG1906=$AM$22,MONTH($D1906),"")</f>
        <v/>
      </c>
      <c r="AN1906" s="89" t="str">
        <f>+IF($AG1906=AN$22,MONTH($D1906),"")</f>
        <v/>
      </c>
      <c r="AO1906" s="86" t="str">
        <f>+IF($AG1906=AO$22,MONTH($D1906),"")</f>
        <v/>
      </c>
      <c r="AP1906" s="86">
        <f>+IF($AG1906=AP$22,MONTH($D1906),"")</f>
        <v>1</v>
      </c>
      <c r="AQ1906" s="86" t="str">
        <f>+IF($AG1906=AQ$22,MONTH($D1906),"")</f>
        <v/>
      </c>
      <c r="AR1906" s="86" t="str">
        <f>+IF($AG1906=AR$22,MONTH($D1906),"")</f>
        <v/>
      </c>
      <c r="AS1906" s="86" t="str">
        <f>+IF($AG1906=AS$22,MONTH($D1906),"")</f>
        <v/>
      </c>
      <c r="AT1906" s="86" t="str">
        <f>+IF($AG1906=AT$22,MONTH($D1906),"")</f>
        <v/>
      </c>
      <c r="AU1906" s="86" t="str">
        <f>+IF($AG1906=AU$22,MONTH($D1906),"")</f>
        <v/>
      </c>
      <c r="AV1906" s="86" t="str">
        <f>+IF($AG1906=AV$22,MONTH($D1906),"")</f>
        <v/>
      </c>
      <c r="AW1906" s="86" t="str">
        <f>+IF($AG1906=AW$22,MONTH($D1906),"")</f>
        <v/>
      </c>
      <c r="AX1906" s="86" t="str">
        <f>+IF($AG1906=AX$22,MONTH($D1906),"")</f>
        <v/>
      </c>
      <c r="AY1906" s="182"/>
      <c r="AZ1906" s="182"/>
      <c r="BA1906" s="182"/>
      <c r="BB1906" s="182"/>
      <c r="BC1906" s="182"/>
      <c r="BD1906" s="182"/>
      <c r="BE1906" s="182"/>
      <c r="BF1906" s="182"/>
      <c r="BG1906" s="182"/>
      <c r="BH1906" s="182"/>
      <c r="BI1906" s="182"/>
      <c r="BJ1906" s="89"/>
      <c r="BK1906" s="89"/>
      <c r="BL1906" s="89"/>
      <c r="BM1906" s="89"/>
      <c r="BN1906" s="89"/>
      <c r="BO1906" s="89"/>
      <c r="BP1906" s="89"/>
    </row>
    <row r="1907" spans="1:68" s="56" customFormat="1" ht="27" hidden="1">
      <c r="A1907" s="204">
        <f>+IFERROR(VALUE(MID(AB1907,4,4)),"")</f>
        <v>158</v>
      </c>
      <c r="B1907" s="204">
        <f>VALUE(RIGHT(C1907,LEN(C1907)-2))</f>
        <v>818</v>
      </c>
      <c r="C1907" s="74" t="s">
        <v>6669</v>
      </c>
      <c r="D1907" s="75">
        <v>43130</v>
      </c>
      <c r="E1907" s="70" t="s">
        <v>41</v>
      </c>
      <c r="F1907" s="70" t="s">
        <v>41</v>
      </c>
      <c r="G1907" s="68"/>
      <c r="H1907" s="59"/>
      <c r="I1907" s="162" t="s">
        <v>6670</v>
      </c>
      <c r="J1907" s="162"/>
      <c r="K1907" s="68" t="s">
        <v>13</v>
      </c>
      <c r="L1907" s="69" t="s">
        <v>129</v>
      </c>
      <c r="M1907" s="71" t="s">
        <v>141</v>
      </c>
      <c r="N1907" s="69" t="e" vm="1">
        <v>#VALUE!</v>
      </c>
      <c r="O1907" s="164"/>
      <c r="P1907" s="72" t="s">
        <v>402</v>
      </c>
      <c r="Q1907" s="72" t="s">
        <v>229</v>
      </c>
      <c r="R1907" s="162"/>
      <c r="S1907" s="146"/>
      <c r="T1907" s="68" t="s">
        <v>3</v>
      </c>
      <c r="U1907" s="87"/>
      <c r="V1907" s="183">
        <v>43131</v>
      </c>
      <c r="W1907" s="73">
        <v>723</v>
      </c>
      <c r="X1907" s="83">
        <f>700*26800/1000000</f>
        <v>18.760000000000002</v>
      </c>
      <c r="Y1907" s="83">
        <f>IF(SUM(W1907:W1907)&gt;0,X1907/SUM(W1907:W1907)*1000000,"N/A")</f>
        <v>25947.441217150765</v>
      </c>
      <c r="Z1907" s="183"/>
      <c r="AA1907" s="183"/>
      <c r="AB1907" s="73" t="s">
        <v>6671</v>
      </c>
      <c r="AC1907" s="153"/>
      <c r="AD1907" s="331"/>
      <c r="AE1907" s="57"/>
      <c r="AF1907" s="88"/>
      <c r="AG1907" s="182">
        <f>YEAR(D1907)</f>
        <v>2018</v>
      </c>
      <c r="AH1907" s="86" t="str">
        <f>+IF(AE1907=$AJ$22,MONTH(T1907),"")</f>
        <v/>
      </c>
      <c r="AI1907" s="86" t="str">
        <f>+IF(AF1907=$AJ$22,MONTH(U1907),"")</f>
        <v/>
      </c>
      <c r="AJ1907" s="86" t="str">
        <f>+IF(AG1907=$AJ$22,MONTH(V1907),"")</f>
        <v/>
      </c>
      <c r="AK1907" s="86" t="str">
        <f>+IF(AG1907=$AK$22,MONTH(V1907),"")</f>
        <v/>
      </c>
      <c r="AL1907" s="86" t="str">
        <f>+IF(AG1907=$AL$22,MONTH(V1907),"")</f>
        <v/>
      </c>
      <c r="AM1907" s="86" t="str">
        <f>+IF($AG1907=$AM$22,MONTH($D1907),"")</f>
        <v/>
      </c>
      <c r="AN1907" s="89" t="str">
        <f>+IF($AG1907=AN$22,MONTH($D1907),"")</f>
        <v/>
      </c>
      <c r="AO1907" s="86" t="str">
        <f>+IF($AG1907=AO$22,MONTH($D1907),"")</f>
        <v/>
      </c>
      <c r="AP1907" s="86">
        <f>+IF($AG1907=AP$22,MONTH($D1907),"")</f>
        <v>1</v>
      </c>
      <c r="AQ1907" s="86" t="str">
        <f>+IF($AG1907=AQ$22,MONTH($D1907),"")</f>
        <v/>
      </c>
      <c r="AR1907" s="86" t="str">
        <f>+IF($AG1907=AR$22,MONTH($D1907),"")</f>
        <v/>
      </c>
      <c r="AS1907" s="86" t="str">
        <f>+IF($AG1907=AS$22,MONTH($D1907),"")</f>
        <v/>
      </c>
      <c r="AT1907" s="86" t="str">
        <f>+IF($AG1907=AT$22,MONTH($D1907),"")</f>
        <v/>
      </c>
      <c r="AU1907" s="86" t="str">
        <f>+IF($AG1907=AU$22,MONTH($D1907),"")</f>
        <v/>
      </c>
      <c r="AV1907" s="86" t="str">
        <f>+IF($AG1907=AV$22,MONTH($D1907),"")</f>
        <v/>
      </c>
      <c r="AW1907" s="86" t="str">
        <f>+IF($AG1907=AW$22,MONTH($D1907),"")</f>
        <v/>
      </c>
      <c r="AX1907" s="86" t="str">
        <f>+IF($AG1907=AX$22,MONTH($D1907),"")</f>
        <v/>
      </c>
      <c r="AY1907" s="182"/>
      <c r="AZ1907" s="182"/>
      <c r="BA1907" s="182"/>
      <c r="BB1907" s="182"/>
      <c r="BC1907" s="182"/>
      <c r="BD1907" s="182"/>
      <c r="BE1907" s="182"/>
      <c r="BF1907" s="182"/>
      <c r="BG1907" s="182"/>
      <c r="BH1907" s="182"/>
      <c r="BI1907" s="182"/>
      <c r="BJ1907" s="89"/>
      <c r="BK1907" s="89"/>
      <c r="BL1907" s="89"/>
      <c r="BM1907" s="89"/>
      <c r="BN1907" s="89"/>
      <c r="BO1907" s="89"/>
      <c r="BP1907" s="89"/>
    </row>
    <row r="1908" spans="1:68" s="56" customFormat="1" ht="13.5" hidden="1">
      <c r="A1908" s="204" t="str">
        <f>+IFERROR(VALUE(MID(AB1908,4,4)),"")</f>
        <v/>
      </c>
      <c r="B1908" s="204">
        <f>VALUE(RIGHT(C1908,LEN(C1908)-2))</f>
        <v>817</v>
      </c>
      <c r="C1908" s="74" t="s">
        <v>6672</v>
      </c>
      <c r="D1908" s="75">
        <v>43130</v>
      </c>
      <c r="E1908" s="70" t="s">
        <v>3790</v>
      </c>
      <c r="F1908" s="70" t="s">
        <v>3790</v>
      </c>
      <c r="G1908" s="68" t="s">
        <v>6673</v>
      </c>
      <c r="H1908" s="59"/>
      <c r="I1908" s="162" t="s">
        <v>6674</v>
      </c>
      <c r="J1908" s="162"/>
      <c r="K1908" s="68" t="s">
        <v>12</v>
      </c>
      <c r="L1908" s="69" t="s">
        <v>120</v>
      </c>
      <c r="M1908" s="71" t="s">
        <v>141</v>
      </c>
      <c r="N1908" s="69" t="e" vm="1">
        <v>#VALUE!</v>
      </c>
      <c r="O1908" s="164"/>
      <c r="P1908" s="72" t="s">
        <v>402</v>
      </c>
      <c r="Q1908" s="72"/>
      <c r="R1908" s="162"/>
      <c r="S1908" s="146"/>
      <c r="T1908" s="68" t="s">
        <v>165</v>
      </c>
      <c r="U1908" s="87"/>
      <c r="V1908" s="183">
        <v>43133</v>
      </c>
      <c r="W1908" s="73">
        <v>62</v>
      </c>
      <c r="X1908" s="73">
        <f>100*26800/1000000</f>
        <v>2.68</v>
      </c>
      <c r="Y1908" s="83">
        <f>IF(SUM(W1908:W1908)&gt;0,X1908/SUM(W1908:W1908)*1000000,"N/A")</f>
        <v>43225.806451612909</v>
      </c>
      <c r="Z1908" s="183"/>
      <c r="AA1908" s="183"/>
      <c r="AB1908" s="73"/>
      <c r="AC1908" s="153"/>
      <c r="AD1908" s="331"/>
      <c r="AE1908" s="57"/>
      <c r="AF1908" s="88"/>
      <c r="AG1908" s="182">
        <f>YEAR(D1908)</f>
        <v>2018</v>
      </c>
      <c r="AH1908" s="86" t="str">
        <f>+IF(AE1908=$AJ$22,MONTH(T1908),"")</f>
        <v/>
      </c>
      <c r="AI1908" s="86" t="str">
        <f>+IF(AF1908=$AJ$22,MONTH(U1908),"")</f>
        <v/>
      </c>
      <c r="AJ1908" s="86" t="str">
        <f>+IF(AG1908=$AJ$22,MONTH(V1908),"")</f>
        <v/>
      </c>
      <c r="AK1908" s="86" t="str">
        <f>+IF(AG1908=$AK$22,MONTH(V1908),"")</f>
        <v/>
      </c>
      <c r="AL1908" s="86" t="str">
        <f>+IF(AG1908=$AL$22,MONTH(V1908),"")</f>
        <v/>
      </c>
      <c r="AM1908" s="86" t="str">
        <f>+IF($AG1908=$AM$22,MONTH($D1908),"")</f>
        <v/>
      </c>
      <c r="AN1908" s="89" t="str">
        <f>+IF($AG1908=AN$22,MONTH($D1908),"")</f>
        <v/>
      </c>
      <c r="AO1908" s="86" t="str">
        <f>+IF($AG1908=AO$22,MONTH($D1908),"")</f>
        <v/>
      </c>
      <c r="AP1908" s="86">
        <f>+IF($AG1908=AP$22,MONTH($D1908),"")</f>
        <v>1</v>
      </c>
      <c r="AQ1908" s="86" t="str">
        <f>+IF($AG1908=AQ$22,MONTH($D1908),"")</f>
        <v/>
      </c>
      <c r="AR1908" s="86" t="str">
        <f>+IF($AG1908=AR$22,MONTH($D1908),"")</f>
        <v/>
      </c>
      <c r="AS1908" s="86" t="str">
        <f>+IF($AG1908=AS$22,MONTH($D1908),"")</f>
        <v/>
      </c>
      <c r="AT1908" s="86" t="str">
        <f>+IF($AG1908=AT$22,MONTH($D1908),"")</f>
        <v/>
      </c>
      <c r="AU1908" s="86" t="str">
        <f>+IF($AG1908=AU$22,MONTH($D1908),"")</f>
        <v/>
      </c>
      <c r="AV1908" s="86" t="str">
        <f>+IF($AG1908=AV$22,MONTH($D1908),"")</f>
        <v/>
      </c>
      <c r="AW1908" s="86" t="str">
        <f>+IF($AG1908=AW$22,MONTH($D1908),"")</f>
        <v/>
      </c>
      <c r="AX1908" s="86" t="str">
        <f>+IF($AG1908=AX$22,MONTH($D1908),"")</f>
        <v/>
      </c>
      <c r="AY1908" s="182"/>
      <c r="AZ1908" s="182"/>
      <c r="BA1908" s="182"/>
      <c r="BB1908" s="182"/>
      <c r="BC1908" s="182"/>
      <c r="BD1908" s="182"/>
      <c r="BE1908" s="182"/>
      <c r="BF1908" s="182"/>
      <c r="BG1908" s="182"/>
      <c r="BH1908" s="182"/>
      <c r="BI1908" s="182"/>
      <c r="BJ1908" s="89"/>
      <c r="BK1908" s="89"/>
      <c r="BL1908" s="89"/>
      <c r="BM1908" s="89"/>
      <c r="BN1908" s="89"/>
      <c r="BO1908" s="89"/>
      <c r="BP1908" s="89"/>
    </row>
    <row r="1909" spans="1:68" s="56" customFormat="1" ht="13.5" hidden="1">
      <c r="A1909" s="204">
        <f>+IFERROR(VALUE(MID(AB1909,4,4)),"")</f>
        <v>186</v>
      </c>
      <c r="B1909" s="204">
        <f>VALUE(RIGHT(C1909,LEN(C1909)-2))</f>
        <v>816</v>
      </c>
      <c r="C1909" s="74" t="s">
        <v>6675</v>
      </c>
      <c r="D1909" s="75">
        <v>43130</v>
      </c>
      <c r="E1909" s="70" t="s">
        <v>685</v>
      </c>
      <c r="F1909" s="70" t="s">
        <v>685</v>
      </c>
      <c r="G1909" s="68"/>
      <c r="H1909" s="59"/>
      <c r="I1909" s="162" t="s">
        <v>6676</v>
      </c>
      <c r="J1909" s="162"/>
      <c r="K1909" s="68" t="s">
        <v>13</v>
      </c>
      <c r="L1909" s="69" t="s">
        <v>120</v>
      </c>
      <c r="M1909" s="71" t="s">
        <v>141</v>
      </c>
      <c r="N1909" s="69" t="e" vm="1">
        <v>#VALUE!</v>
      </c>
      <c r="O1909" s="164"/>
      <c r="P1909" s="72" t="s">
        <v>402</v>
      </c>
      <c r="Q1909" s="72" t="s">
        <v>316</v>
      </c>
      <c r="R1909" s="162"/>
      <c r="S1909" s="146"/>
      <c r="T1909" s="68" t="s">
        <v>3</v>
      </c>
      <c r="U1909" s="87"/>
      <c r="V1909" s="183">
        <v>43229</v>
      </c>
      <c r="W1909" s="73">
        <v>4511</v>
      </c>
      <c r="X1909" s="73">
        <f>122767000/1000000</f>
        <v>122.767</v>
      </c>
      <c r="Y1909" s="83">
        <f>IF(SUM(W1909:W1909)&gt;0,X1909/SUM(W1909:W1909)*1000000,"N/A")</f>
        <v>27215.029926845487</v>
      </c>
      <c r="Z1909" s="183"/>
      <c r="AA1909" s="183"/>
      <c r="AB1909" s="73" t="s">
        <v>6677</v>
      </c>
      <c r="AC1909" s="153"/>
      <c r="AD1909" s="331"/>
      <c r="AE1909" s="57"/>
      <c r="AF1909" s="88"/>
      <c r="AG1909" s="182">
        <f>YEAR(D1909)</f>
        <v>2018</v>
      </c>
      <c r="AH1909" s="86" t="str">
        <f>+IF(AE1909=$AJ$22,MONTH(T1909),"")</f>
        <v/>
      </c>
      <c r="AI1909" s="86" t="str">
        <f>+IF(AF1909=$AJ$22,MONTH(U1909),"")</f>
        <v/>
      </c>
      <c r="AJ1909" s="86" t="str">
        <f>+IF(AG1909=$AJ$22,MONTH(V1909),"")</f>
        <v/>
      </c>
      <c r="AK1909" s="86" t="str">
        <f>+IF(AG1909=$AK$22,MONTH(V1909),"")</f>
        <v/>
      </c>
      <c r="AL1909" s="86" t="str">
        <f>+IF(AG1909=$AL$22,MONTH(V1909),"")</f>
        <v/>
      </c>
      <c r="AM1909" s="86" t="str">
        <f>+IF($AG1909=$AM$22,MONTH($D1909),"")</f>
        <v/>
      </c>
      <c r="AN1909" s="89" t="str">
        <f>+IF($AG1909=AN$22,MONTH($D1909),"")</f>
        <v/>
      </c>
      <c r="AO1909" s="86" t="str">
        <f>+IF($AG1909=AO$22,MONTH($D1909),"")</f>
        <v/>
      </c>
      <c r="AP1909" s="86">
        <f>+IF($AG1909=AP$22,MONTH($D1909),"")</f>
        <v>1</v>
      </c>
      <c r="AQ1909" s="86" t="str">
        <f>+IF($AG1909=AQ$22,MONTH($D1909),"")</f>
        <v/>
      </c>
      <c r="AR1909" s="86" t="str">
        <f>+IF($AG1909=AR$22,MONTH($D1909),"")</f>
        <v/>
      </c>
      <c r="AS1909" s="86" t="str">
        <f>+IF($AG1909=AS$22,MONTH($D1909),"")</f>
        <v/>
      </c>
      <c r="AT1909" s="86" t="str">
        <f>+IF($AG1909=AT$22,MONTH($D1909),"")</f>
        <v/>
      </c>
      <c r="AU1909" s="86" t="str">
        <f>+IF($AG1909=AU$22,MONTH($D1909),"")</f>
        <v/>
      </c>
      <c r="AV1909" s="86" t="str">
        <f>+IF($AG1909=AV$22,MONTH($D1909),"")</f>
        <v/>
      </c>
      <c r="AW1909" s="86" t="str">
        <f>+IF($AG1909=AW$22,MONTH($D1909),"")</f>
        <v/>
      </c>
      <c r="AX1909" s="86" t="str">
        <f>+IF($AG1909=AX$22,MONTH($D1909),"")</f>
        <v/>
      </c>
      <c r="AY1909" s="182"/>
      <c r="AZ1909" s="182"/>
      <c r="BA1909" s="182"/>
      <c r="BB1909" s="182"/>
      <c r="BC1909" s="182"/>
      <c r="BD1909" s="182"/>
      <c r="BE1909" s="182"/>
      <c r="BF1909" s="182"/>
      <c r="BG1909" s="182"/>
      <c r="BH1909" s="182"/>
      <c r="BI1909" s="182"/>
      <c r="BJ1909" s="89"/>
      <c r="BK1909" s="89"/>
      <c r="BL1909" s="89"/>
      <c r="BM1909" s="89"/>
      <c r="BN1909" s="89"/>
      <c r="BO1909" s="89"/>
      <c r="BP1909" s="89"/>
    </row>
    <row r="1910" spans="1:68" s="56" customFormat="1" ht="13.5" hidden="1">
      <c r="A1910" s="204">
        <f>+IFERROR(VALUE(MID(AB1910,4,4)),"")</f>
        <v>182</v>
      </c>
      <c r="B1910" s="204">
        <f>VALUE(RIGHT(C1910,LEN(C1910)-2))</f>
        <v>815</v>
      </c>
      <c r="C1910" s="74" t="s">
        <v>6678</v>
      </c>
      <c r="D1910" s="75">
        <v>43129</v>
      </c>
      <c r="E1910" s="70" t="s">
        <v>4664</v>
      </c>
      <c r="F1910" s="70"/>
      <c r="G1910" s="68"/>
      <c r="H1910" s="59"/>
      <c r="I1910" s="162" t="s">
        <v>6679</v>
      </c>
      <c r="J1910" s="162"/>
      <c r="K1910" s="68" t="s">
        <v>12</v>
      </c>
      <c r="L1910" s="69" t="s">
        <v>129</v>
      </c>
      <c r="M1910" s="71" t="s">
        <v>141</v>
      </c>
      <c r="N1910" s="69" t="e" vm="2">
        <v>#VALUE!</v>
      </c>
      <c r="O1910" s="164"/>
      <c r="P1910" s="72" t="s">
        <v>402</v>
      </c>
      <c r="Q1910" s="72" t="s">
        <v>623</v>
      </c>
      <c r="R1910" s="162"/>
      <c r="S1910" s="146"/>
      <c r="T1910" s="68" t="s">
        <v>3</v>
      </c>
      <c r="U1910" s="87"/>
      <c r="V1910" s="183">
        <v>43133</v>
      </c>
      <c r="W1910" s="73">
        <v>975</v>
      </c>
      <c r="X1910" s="73">
        <f>119725*200/1000000</f>
        <v>23.945</v>
      </c>
      <c r="Y1910" s="83">
        <f>IF(SUM(W1910:W1910)&gt;0,X1910/SUM(W1910:W1910)*1000000,"N/A")</f>
        <v>24558.974358974359</v>
      </c>
      <c r="Z1910" s="183"/>
      <c r="AA1910" s="183"/>
      <c r="AB1910" s="73" t="s">
        <v>6680</v>
      </c>
      <c r="AC1910" s="153"/>
      <c r="AD1910" s="331"/>
      <c r="AE1910" s="57"/>
      <c r="AF1910" s="88"/>
      <c r="AG1910" s="182">
        <f>YEAR(D1910)</f>
        <v>2018</v>
      </c>
      <c r="AH1910" s="86" t="str">
        <f>+IF(AE1910=$AJ$22,MONTH(T1910),"")</f>
        <v/>
      </c>
      <c r="AI1910" s="86" t="str">
        <f>+IF(AF1910=$AJ$22,MONTH(U1910),"")</f>
        <v/>
      </c>
      <c r="AJ1910" s="86" t="str">
        <f>+IF(AG1910=$AJ$22,MONTH(V1910),"")</f>
        <v/>
      </c>
      <c r="AK1910" s="86" t="str">
        <f>+IF(AG1910=$AK$22,MONTH(V1910),"")</f>
        <v/>
      </c>
      <c r="AL1910" s="86" t="str">
        <f>+IF(AG1910=$AL$22,MONTH(V1910),"")</f>
        <v/>
      </c>
      <c r="AM1910" s="86" t="str">
        <f>+IF($AG1910=$AM$22,MONTH($D1910),"")</f>
        <v/>
      </c>
      <c r="AN1910" s="89" t="str">
        <f>+IF($AG1910=AN$22,MONTH($D1910),"")</f>
        <v/>
      </c>
      <c r="AO1910" s="86" t="str">
        <f>+IF($AG1910=AO$22,MONTH($D1910),"")</f>
        <v/>
      </c>
      <c r="AP1910" s="86">
        <f>+IF($AG1910=AP$22,MONTH($D1910),"")</f>
        <v>1</v>
      </c>
      <c r="AQ1910" s="86" t="str">
        <f>+IF($AG1910=AQ$22,MONTH($D1910),"")</f>
        <v/>
      </c>
      <c r="AR1910" s="86" t="str">
        <f>+IF($AG1910=AR$22,MONTH($D1910),"")</f>
        <v/>
      </c>
      <c r="AS1910" s="86" t="str">
        <f>+IF($AG1910=AS$22,MONTH($D1910),"")</f>
        <v/>
      </c>
      <c r="AT1910" s="86" t="str">
        <f>+IF($AG1910=AT$22,MONTH($D1910),"")</f>
        <v/>
      </c>
      <c r="AU1910" s="86" t="str">
        <f>+IF($AG1910=AU$22,MONTH($D1910),"")</f>
        <v/>
      </c>
      <c r="AV1910" s="86" t="str">
        <f>+IF($AG1910=AV$22,MONTH($D1910),"")</f>
        <v/>
      </c>
      <c r="AW1910" s="86" t="str">
        <f>+IF($AG1910=AW$22,MONTH($D1910),"")</f>
        <v/>
      </c>
      <c r="AX1910" s="86" t="str">
        <f>+IF($AG1910=AX$22,MONTH($D1910),"")</f>
        <v/>
      </c>
      <c r="AY1910" s="182"/>
      <c r="AZ1910" s="182"/>
      <c r="BA1910" s="182"/>
      <c r="BB1910" s="182"/>
      <c r="BC1910" s="182"/>
      <c r="BD1910" s="182"/>
      <c r="BE1910" s="182"/>
      <c r="BF1910" s="182"/>
      <c r="BG1910" s="182"/>
      <c r="BH1910" s="182"/>
      <c r="BI1910" s="182"/>
      <c r="BJ1910" s="89"/>
      <c r="BK1910" s="89"/>
      <c r="BL1910" s="89"/>
      <c r="BM1910" s="89"/>
      <c r="BN1910" s="89"/>
      <c r="BO1910" s="89"/>
      <c r="BP1910" s="89"/>
    </row>
    <row r="1911" spans="1:68" s="56" customFormat="1" ht="53.25" hidden="1">
      <c r="A1911" s="204" t="str">
        <f>+IFERROR(VALUE(MID(AB1911,4,4)),"")</f>
        <v/>
      </c>
      <c r="B1911" s="204">
        <f>VALUE(RIGHT(C1911,LEN(C1911)-2))</f>
        <v>814</v>
      </c>
      <c r="C1911" s="74" t="s">
        <v>6681</v>
      </c>
      <c r="D1911" s="75">
        <v>43125</v>
      </c>
      <c r="E1911" s="70" t="s">
        <v>6682</v>
      </c>
      <c r="F1911" s="70" t="s">
        <v>6682</v>
      </c>
      <c r="G1911" s="68"/>
      <c r="H1911" s="59"/>
      <c r="I1911" s="162" t="s">
        <v>6683</v>
      </c>
      <c r="J1911" s="162"/>
      <c r="K1911" s="68" t="s">
        <v>12</v>
      </c>
      <c r="L1911" s="69" t="s">
        <v>123</v>
      </c>
      <c r="M1911" s="71" t="s">
        <v>113</v>
      </c>
      <c r="N1911" s="69" t="e" vm="11">
        <v>#VALUE!</v>
      </c>
      <c r="O1911" s="164"/>
      <c r="P1911" s="72" t="s">
        <v>402</v>
      </c>
      <c r="Q1911" s="72"/>
      <c r="R1911" s="162"/>
      <c r="S1911" s="146" t="s">
        <v>6684</v>
      </c>
      <c r="T1911" s="68" t="s">
        <v>165</v>
      </c>
      <c r="U1911" s="87"/>
      <c r="V1911" s="183">
        <v>43130</v>
      </c>
      <c r="W1911" s="73">
        <v>1</v>
      </c>
      <c r="X1911" s="73"/>
      <c r="Y1911" s="83">
        <f>IF(SUM(W1911:W1911)&gt;0,X1911/SUM(W1911:W1911)*1000000,"N/A")</f>
        <v>0</v>
      </c>
      <c r="Z1911" s="183"/>
      <c r="AA1911" s="183"/>
      <c r="AB1911" s="73"/>
      <c r="AC1911" s="153"/>
      <c r="AD1911" s="331"/>
      <c r="AE1911" s="57"/>
      <c r="AF1911" s="88"/>
      <c r="AG1911" s="182">
        <f>YEAR(D1911)</f>
        <v>2018</v>
      </c>
      <c r="AH1911" s="86" t="str">
        <f>+IF(AE1911=$AJ$22,MONTH(T1911),"")</f>
        <v/>
      </c>
      <c r="AI1911" s="86" t="str">
        <f>+IF(AF1911=$AJ$22,MONTH(U1911),"")</f>
        <v/>
      </c>
      <c r="AJ1911" s="86" t="str">
        <f>+IF(AG1911=$AJ$22,MONTH(V1911),"")</f>
        <v/>
      </c>
      <c r="AK1911" s="86" t="str">
        <f>+IF(AG1911=$AK$22,MONTH(V1911),"")</f>
        <v/>
      </c>
      <c r="AL1911" s="86" t="str">
        <f>+IF(AG1911=$AL$22,MONTH(V1911),"")</f>
        <v/>
      </c>
      <c r="AM1911" s="86" t="str">
        <f>+IF($AG1911=$AM$22,MONTH($D1911),"")</f>
        <v/>
      </c>
      <c r="AN1911" s="89" t="str">
        <f>+IF($AG1911=AN$22,MONTH($D1911),"")</f>
        <v/>
      </c>
      <c r="AO1911" s="86" t="str">
        <f>+IF($AG1911=AO$22,MONTH($D1911),"")</f>
        <v/>
      </c>
      <c r="AP1911" s="86">
        <f>+IF($AG1911=AP$22,MONTH($D1911),"")</f>
        <v>1</v>
      </c>
      <c r="AQ1911" s="86" t="str">
        <f>+IF($AG1911=AQ$22,MONTH($D1911),"")</f>
        <v/>
      </c>
      <c r="AR1911" s="86" t="str">
        <f>+IF($AG1911=AR$22,MONTH($D1911),"")</f>
        <v/>
      </c>
      <c r="AS1911" s="86" t="str">
        <f>+IF($AG1911=AS$22,MONTH($D1911),"")</f>
        <v/>
      </c>
      <c r="AT1911" s="86" t="str">
        <f>+IF($AG1911=AT$22,MONTH($D1911),"")</f>
        <v/>
      </c>
      <c r="AU1911" s="86" t="str">
        <f>+IF($AG1911=AU$22,MONTH($D1911),"")</f>
        <v/>
      </c>
      <c r="AV1911" s="86" t="str">
        <f>+IF($AG1911=AV$22,MONTH($D1911),"")</f>
        <v/>
      </c>
      <c r="AW1911" s="86" t="str">
        <f>+IF($AG1911=AW$22,MONTH($D1911),"")</f>
        <v/>
      </c>
      <c r="AX1911" s="86" t="str">
        <f>+IF($AG1911=AX$22,MONTH($D1911),"")</f>
        <v/>
      </c>
      <c r="AY1911" s="182"/>
      <c r="AZ1911" s="182"/>
      <c r="BA1911" s="182"/>
      <c r="BB1911" s="182"/>
      <c r="BC1911" s="182"/>
      <c r="BD1911" s="182"/>
      <c r="BE1911" s="182"/>
      <c r="BF1911" s="182"/>
      <c r="BG1911" s="182"/>
      <c r="BH1911" s="182"/>
      <c r="BI1911" s="182"/>
      <c r="BJ1911" s="89"/>
      <c r="BK1911" s="89"/>
      <c r="BL1911" s="89"/>
      <c r="BM1911" s="89"/>
      <c r="BN1911" s="89"/>
      <c r="BO1911" s="89"/>
      <c r="BP1911" s="89"/>
    </row>
    <row r="1912" spans="1:68" s="56" customFormat="1" ht="13.5" hidden="1">
      <c r="A1912" s="204">
        <f>+IFERROR(VALUE(MID(AB1912,4,4)),"")</f>
        <v>181</v>
      </c>
      <c r="B1912" s="204">
        <f>VALUE(RIGHT(C1912,LEN(C1912)-2))</f>
        <v>813</v>
      </c>
      <c r="C1912" s="74" t="s">
        <v>6685</v>
      </c>
      <c r="D1912" s="75">
        <v>43125</v>
      </c>
      <c r="E1912" s="70" t="s">
        <v>685</v>
      </c>
      <c r="F1912" s="70" t="s">
        <v>685</v>
      </c>
      <c r="G1912" s="68"/>
      <c r="H1912" s="59"/>
      <c r="I1912" s="162" t="s">
        <v>6686</v>
      </c>
      <c r="J1912" s="162"/>
      <c r="K1912" s="68" t="s">
        <v>12</v>
      </c>
      <c r="L1912" s="69" t="s">
        <v>120</v>
      </c>
      <c r="M1912" s="71" t="s">
        <v>141</v>
      </c>
      <c r="N1912" s="69" t="e" vm="1">
        <v>#VALUE!</v>
      </c>
      <c r="O1912" s="164"/>
      <c r="P1912" s="72" t="s">
        <v>274</v>
      </c>
      <c r="Q1912" s="72" t="s">
        <v>837</v>
      </c>
      <c r="R1912" s="162"/>
      <c r="S1912" s="146"/>
      <c r="T1912" s="68" t="s">
        <v>3</v>
      </c>
      <c r="U1912" s="87"/>
      <c r="V1912" s="183">
        <v>43126</v>
      </c>
      <c r="W1912" s="73">
        <v>166</v>
      </c>
      <c r="X1912" s="73">
        <v>5.4756558000000002</v>
      </c>
      <c r="Y1912" s="83">
        <f>IF(SUM(W1912:W1912)&gt;0,X1912/SUM(W1912:W1912)*1000000,"N/A")</f>
        <v>32985.878313253008</v>
      </c>
      <c r="Z1912" s="183"/>
      <c r="AA1912" s="183"/>
      <c r="AB1912" s="73" t="s">
        <v>6687</v>
      </c>
      <c r="AC1912" s="153"/>
      <c r="AD1912" s="331"/>
      <c r="AE1912" s="57"/>
      <c r="AF1912" s="88"/>
      <c r="AG1912" s="182">
        <f>YEAR(D1912)</f>
        <v>2018</v>
      </c>
      <c r="AH1912" s="86" t="str">
        <f>+IF(AE1912=$AJ$22,MONTH(T1912),"")</f>
        <v/>
      </c>
      <c r="AI1912" s="86" t="str">
        <f>+IF(AF1912=$AJ$22,MONTH(U1912),"")</f>
        <v/>
      </c>
      <c r="AJ1912" s="86" t="str">
        <f>+IF(AG1912=$AJ$22,MONTH(V1912),"")</f>
        <v/>
      </c>
      <c r="AK1912" s="86" t="str">
        <f>+IF(AG1912=$AK$22,MONTH(V1912),"")</f>
        <v/>
      </c>
      <c r="AL1912" s="86" t="str">
        <f>+IF(AG1912=$AL$22,MONTH(V1912),"")</f>
        <v/>
      </c>
      <c r="AM1912" s="86" t="str">
        <f>+IF($AG1912=$AM$22,MONTH($D1912),"")</f>
        <v/>
      </c>
      <c r="AN1912" s="89" t="str">
        <f>+IF($AG1912=AN$22,MONTH($D1912),"")</f>
        <v/>
      </c>
      <c r="AO1912" s="86" t="str">
        <f>+IF($AG1912=AO$22,MONTH($D1912),"")</f>
        <v/>
      </c>
      <c r="AP1912" s="86">
        <f>+IF($AG1912=AP$22,MONTH($D1912),"")</f>
        <v>1</v>
      </c>
      <c r="AQ1912" s="86" t="str">
        <f>+IF($AG1912=AQ$22,MONTH($D1912),"")</f>
        <v/>
      </c>
      <c r="AR1912" s="86" t="str">
        <f>+IF($AG1912=AR$22,MONTH($D1912),"")</f>
        <v/>
      </c>
      <c r="AS1912" s="86" t="str">
        <f>+IF($AG1912=AS$22,MONTH($D1912),"")</f>
        <v/>
      </c>
      <c r="AT1912" s="86" t="str">
        <f>+IF($AG1912=AT$22,MONTH($D1912),"")</f>
        <v/>
      </c>
      <c r="AU1912" s="86" t="str">
        <f>+IF($AG1912=AU$22,MONTH($D1912),"")</f>
        <v/>
      </c>
      <c r="AV1912" s="86" t="str">
        <f>+IF($AG1912=AV$22,MONTH($D1912),"")</f>
        <v/>
      </c>
      <c r="AW1912" s="86" t="str">
        <f>+IF($AG1912=AW$22,MONTH($D1912),"")</f>
        <v/>
      </c>
      <c r="AX1912" s="86" t="str">
        <f>+IF($AG1912=AX$22,MONTH($D1912),"")</f>
        <v/>
      </c>
      <c r="AY1912" s="182"/>
      <c r="AZ1912" s="182"/>
      <c r="BA1912" s="182"/>
      <c r="BB1912" s="182"/>
      <c r="BC1912" s="182"/>
      <c r="BD1912" s="182"/>
      <c r="BE1912" s="182"/>
      <c r="BF1912" s="182"/>
      <c r="BG1912" s="182"/>
      <c r="BH1912" s="182"/>
      <c r="BI1912" s="182"/>
      <c r="BJ1912" s="89"/>
      <c r="BK1912" s="89"/>
      <c r="BL1912" s="89"/>
      <c r="BM1912" s="89"/>
      <c r="BN1912" s="89"/>
      <c r="BO1912" s="89"/>
      <c r="BP1912" s="89"/>
    </row>
    <row r="1913" spans="1:68" s="56" customFormat="1" ht="13.5" hidden="1">
      <c r="A1913" s="204" t="str">
        <f>+IFERROR(VALUE(MID(AB1913,4,4)),"")</f>
        <v/>
      </c>
      <c r="B1913" s="204">
        <f>VALUE(RIGHT(C1913,LEN(C1913)-2))</f>
        <v>812</v>
      </c>
      <c r="C1913" s="74" t="s">
        <v>6688</v>
      </c>
      <c r="D1913" s="75">
        <v>43125</v>
      </c>
      <c r="E1913" s="70" t="s">
        <v>685</v>
      </c>
      <c r="F1913" s="70" t="s">
        <v>685</v>
      </c>
      <c r="G1913" s="68"/>
      <c r="H1913" s="59"/>
      <c r="I1913" s="162" t="s">
        <v>6689</v>
      </c>
      <c r="J1913" s="162"/>
      <c r="K1913" s="68" t="s">
        <v>30</v>
      </c>
      <c r="L1913" s="69" t="s">
        <v>120</v>
      </c>
      <c r="M1913" s="71" t="s">
        <v>141</v>
      </c>
      <c r="N1913" s="69" t="e" vm="1">
        <v>#VALUE!</v>
      </c>
      <c r="O1913" s="164"/>
      <c r="P1913" s="72" t="s">
        <v>274</v>
      </c>
      <c r="Q1913" s="72"/>
      <c r="R1913" s="162"/>
      <c r="S1913" s="146"/>
      <c r="T1913" s="68" t="s">
        <v>165</v>
      </c>
      <c r="U1913" s="87"/>
      <c r="V1913" s="183">
        <v>43126</v>
      </c>
      <c r="W1913" s="73">
        <v>330</v>
      </c>
      <c r="X1913" s="73">
        <v>9.1039200000000005</v>
      </c>
      <c r="Y1913" s="83">
        <f>IF(SUM(W1913:W1913)&gt;0,X1913/SUM(W1913:W1913)*1000000,"N/A")</f>
        <v>27587.636363636368</v>
      </c>
      <c r="Z1913" s="183"/>
      <c r="AA1913" s="183"/>
      <c r="AB1913" s="73"/>
      <c r="AC1913" s="153"/>
      <c r="AD1913" s="331"/>
      <c r="AE1913" s="57"/>
      <c r="AF1913" s="88"/>
      <c r="AG1913" s="182">
        <f>YEAR(D1913)</f>
        <v>2018</v>
      </c>
      <c r="AH1913" s="86" t="str">
        <f>+IF(AE1913=$AJ$22,MONTH(T1913),"")</f>
        <v/>
      </c>
      <c r="AI1913" s="86" t="str">
        <f>+IF(AF1913=$AJ$22,MONTH(U1913),"")</f>
        <v/>
      </c>
      <c r="AJ1913" s="86" t="str">
        <f>+IF(AG1913=$AJ$22,MONTH(V1913),"")</f>
        <v/>
      </c>
      <c r="AK1913" s="86" t="str">
        <f>+IF(AG1913=$AK$22,MONTH(V1913),"")</f>
        <v/>
      </c>
      <c r="AL1913" s="86" t="str">
        <f>+IF(AG1913=$AL$22,MONTH(V1913),"")</f>
        <v/>
      </c>
      <c r="AM1913" s="86" t="str">
        <f>+IF($AG1913=$AM$22,MONTH($D1913),"")</f>
        <v/>
      </c>
      <c r="AN1913" s="89" t="str">
        <f>+IF($AG1913=AN$22,MONTH($D1913),"")</f>
        <v/>
      </c>
      <c r="AO1913" s="86" t="str">
        <f>+IF($AG1913=AO$22,MONTH($D1913),"")</f>
        <v/>
      </c>
      <c r="AP1913" s="86">
        <f>+IF($AG1913=AP$22,MONTH($D1913),"")</f>
        <v>1</v>
      </c>
      <c r="AQ1913" s="86" t="str">
        <f>+IF($AG1913=AQ$22,MONTH($D1913),"")</f>
        <v/>
      </c>
      <c r="AR1913" s="86" t="str">
        <f>+IF($AG1913=AR$22,MONTH($D1913),"")</f>
        <v/>
      </c>
      <c r="AS1913" s="86" t="str">
        <f>+IF($AG1913=AS$22,MONTH($D1913),"")</f>
        <v/>
      </c>
      <c r="AT1913" s="86" t="str">
        <f>+IF($AG1913=AT$22,MONTH($D1913),"")</f>
        <v/>
      </c>
      <c r="AU1913" s="86" t="str">
        <f>+IF($AG1913=AU$22,MONTH($D1913),"")</f>
        <v/>
      </c>
      <c r="AV1913" s="86" t="str">
        <f>+IF($AG1913=AV$22,MONTH($D1913),"")</f>
        <v/>
      </c>
      <c r="AW1913" s="86" t="str">
        <f>+IF($AG1913=AW$22,MONTH($D1913),"")</f>
        <v/>
      </c>
      <c r="AX1913" s="86" t="str">
        <f>+IF($AG1913=AX$22,MONTH($D1913),"")</f>
        <v/>
      </c>
      <c r="AY1913" s="182"/>
      <c r="AZ1913" s="182"/>
      <c r="BA1913" s="182"/>
      <c r="BB1913" s="182"/>
      <c r="BC1913" s="182"/>
      <c r="BD1913" s="182"/>
      <c r="BE1913" s="182"/>
      <c r="BF1913" s="182"/>
      <c r="BG1913" s="182"/>
      <c r="BH1913" s="182"/>
      <c r="BI1913" s="182"/>
      <c r="BJ1913" s="89"/>
      <c r="BK1913" s="89"/>
      <c r="BL1913" s="89"/>
      <c r="BM1913" s="89"/>
      <c r="BN1913" s="89"/>
      <c r="BO1913" s="89"/>
      <c r="BP1913" s="89"/>
    </row>
    <row r="1914" spans="1:68" s="56" customFormat="1" ht="13.5" hidden="1">
      <c r="A1914" s="204" t="str">
        <f>+IFERROR(VALUE(MID(AB1914,4,4)),"")</f>
        <v/>
      </c>
      <c r="B1914" s="204">
        <f>VALUE(RIGHT(C1914,LEN(C1914)-2))</f>
        <v>811</v>
      </c>
      <c r="C1914" s="74" t="s">
        <v>6690</v>
      </c>
      <c r="D1914" s="75">
        <v>43125</v>
      </c>
      <c r="E1914" s="70" t="s">
        <v>685</v>
      </c>
      <c r="F1914" s="70" t="s">
        <v>685</v>
      </c>
      <c r="G1914" s="68"/>
      <c r="H1914" s="59"/>
      <c r="I1914" s="162" t="s">
        <v>6691</v>
      </c>
      <c r="J1914" s="162"/>
      <c r="K1914" s="68" t="s">
        <v>30</v>
      </c>
      <c r="L1914" s="69" t="s">
        <v>120</v>
      </c>
      <c r="M1914" s="71" t="s">
        <v>141</v>
      </c>
      <c r="N1914" s="69" t="e" vm="1">
        <v>#VALUE!</v>
      </c>
      <c r="O1914" s="164"/>
      <c r="P1914" s="72" t="s">
        <v>274</v>
      </c>
      <c r="Q1914" s="72"/>
      <c r="R1914" s="162"/>
      <c r="S1914" s="146"/>
      <c r="T1914" s="68" t="s">
        <v>165</v>
      </c>
      <c r="U1914" s="87"/>
      <c r="V1914" s="183">
        <v>43126</v>
      </c>
      <c r="W1914" s="73">
        <v>130</v>
      </c>
      <c r="X1914" s="73">
        <v>4.3012480000000002</v>
      </c>
      <c r="Y1914" s="83">
        <f>IF(SUM(W1914:W1914)&gt;0,X1914/SUM(W1914:W1914)*1000000,"N/A")</f>
        <v>33086.523076923077</v>
      </c>
      <c r="Z1914" s="183"/>
      <c r="AA1914" s="183"/>
      <c r="AB1914" s="73"/>
      <c r="AC1914" s="153"/>
      <c r="AD1914" s="331"/>
      <c r="AE1914" s="57"/>
      <c r="AF1914" s="88"/>
      <c r="AG1914" s="182">
        <f>YEAR(D1914)</f>
        <v>2018</v>
      </c>
      <c r="AH1914" s="86" t="str">
        <f>+IF(AE1914=$AJ$22,MONTH(T1914),"")</f>
        <v/>
      </c>
      <c r="AI1914" s="86" t="str">
        <f>+IF(AF1914=$AJ$22,MONTH(U1914),"")</f>
        <v/>
      </c>
      <c r="AJ1914" s="86" t="str">
        <f>+IF(AG1914=$AJ$22,MONTH(V1914),"")</f>
        <v/>
      </c>
      <c r="AK1914" s="86" t="str">
        <f>+IF(AG1914=$AK$22,MONTH(V1914),"")</f>
        <v/>
      </c>
      <c r="AL1914" s="86" t="str">
        <f>+IF(AG1914=$AL$22,MONTH(V1914),"")</f>
        <v/>
      </c>
      <c r="AM1914" s="86" t="str">
        <f>+IF($AG1914=$AM$22,MONTH($D1914),"")</f>
        <v/>
      </c>
      <c r="AN1914" s="89" t="str">
        <f>+IF($AG1914=AN$22,MONTH($D1914),"")</f>
        <v/>
      </c>
      <c r="AO1914" s="86" t="str">
        <f>+IF($AG1914=AO$22,MONTH($D1914),"")</f>
        <v/>
      </c>
      <c r="AP1914" s="86">
        <f>+IF($AG1914=AP$22,MONTH($D1914),"")</f>
        <v>1</v>
      </c>
      <c r="AQ1914" s="86" t="str">
        <f>+IF($AG1914=AQ$22,MONTH($D1914),"")</f>
        <v/>
      </c>
      <c r="AR1914" s="86" t="str">
        <f>+IF($AG1914=AR$22,MONTH($D1914),"")</f>
        <v/>
      </c>
      <c r="AS1914" s="86" t="str">
        <f>+IF($AG1914=AS$22,MONTH($D1914),"")</f>
        <v/>
      </c>
      <c r="AT1914" s="86" t="str">
        <f>+IF($AG1914=AT$22,MONTH($D1914),"")</f>
        <v/>
      </c>
      <c r="AU1914" s="86" t="str">
        <f>+IF($AG1914=AU$22,MONTH($D1914),"")</f>
        <v/>
      </c>
      <c r="AV1914" s="86" t="str">
        <f>+IF($AG1914=AV$22,MONTH($D1914),"")</f>
        <v/>
      </c>
      <c r="AW1914" s="86" t="str">
        <f>+IF($AG1914=AW$22,MONTH($D1914),"")</f>
        <v/>
      </c>
      <c r="AX1914" s="86" t="str">
        <f>+IF($AG1914=AX$22,MONTH($D1914),"")</f>
        <v/>
      </c>
      <c r="AY1914" s="182"/>
      <c r="AZ1914" s="182"/>
      <c r="BA1914" s="182"/>
      <c r="BB1914" s="182"/>
      <c r="BC1914" s="182"/>
      <c r="BD1914" s="182"/>
      <c r="BE1914" s="182"/>
      <c r="BF1914" s="182"/>
      <c r="BG1914" s="182"/>
      <c r="BH1914" s="182"/>
      <c r="BI1914" s="182"/>
      <c r="BJ1914" s="89"/>
      <c r="BK1914" s="89"/>
      <c r="BL1914" s="89"/>
      <c r="BM1914" s="89"/>
      <c r="BN1914" s="89"/>
      <c r="BO1914" s="89"/>
      <c r="BP1914" s="89"/>
    </row>
    <row r="1915" spans="1:68" s="56" customFormat="1" ht="13.5" hidden="1">
      <c r="A1915" s="204">
        <f>+IFERROR(VALUE(MID(AB1915,4,4)),"")</f>
        <v>187</v>
      </c>
      <c r="B1915" s="204">
        <f>VALUE(RIGHT(C1915,LEN(C1915)-2))</f>
        <v>810</v>
      </c>
      <c r="C1915" s="74" t="s">
        <v>6692</v>
      </c>
      <c r="D1915" s="75">
        <v>43125</v>
      </c>
      <c r="E1915" s="70" t="s">
        <v>685</v>
      </c>
      <c r="F1915" s="70" t="s">
        <v>685</v>
      </c>
      <c r="G1915" s="68"/>
      <c r="H1915" s="59"/>
      <c r="I1915" s="162" t="s">
        <v>5935</v>
      </c>
      <c r="J1915" s="162"/>
      <c r="K1915" s="68" t="s">
        <v>13</v>
      </c>
      <c r="L1915" s="69" t="s">
        <v>120</v>
      </c>
      <c r="M1915" s="71" t="s">
        <v>141</v>
      </c>
      <c r="N1915" s="69" t="e" vm="1">
        <v>#VALUE!</v>
      </c>
      <c r="O1915" s="164"/>
      <c r="P1915" s="72" t="s">
        <v>274</v>
      </c>
      <c r="Q1915" s="72" t="s">
        <v>623</v>
      </c>
      <c r="R1915" s="162"/>
      <c r="S1915" s="146"/>
      <c r="T1915" s="68" t="s">
        <v>3</v>
      </c>
      <c r="U1915" s="87"/>
      <c r="V1915" s="183">
        <v>43126</v>
      </c>
      <c r="W1915" s="73">
        <v>200</v>
      </c>
      <c r="X1915" s="73">
        <v>5.8544210000000003</v>
      </c>
      <c r="Y1915" s="83">
        <f>IF(SUM(W1915:W1915)&gt;0,X1915/SUM(W1915:W1915)*1000000,"N/A")</f>
        <v>29272.105000000003</v>
      </c>
      <c r="Z1915" s="183"/>
      <c r="AA1915" s="183"/>
      <c r="AB1915" s="73" t="s">
        <v>6693</v>
      </c>
      <c r="AC1915" s="153"/>
      <c r="AD1915" s="331"/>
      <c r="AE1915" s="57"/>
      <c r="AF1915" s="88"/>
      <c r="AG1915" s="182">
        <f>YEAR(D1915)</f>
        <v>2018</v>
      </c>
      <c r="AH1915" s="86" t="str">
        <f>+IF(AE1915=$AJ$22,MONTH(T1915),"")</f>
        <v/>
      </c>
      <c r="AI1915" s="86" t="str">
        <f>+IF(AF1915=$AJ$22,MONTH(U1915),"")</f>
        <v/>
      </c>
      <c r="AJ1915" s="86" t="str">
        <f>+IF(AG1915=$AJ$22,MONTH(V1915),"")</f>
        <v/>
      </c>
      <c r="AK1915" s="86" t="str">
        <f>+IF(AG1915=$AK$22,MONTH(V1915),"")</f>
        <v/>
      </c>
      <c r="AL1915" s="86" t="str">
        <f>+IF(AG1915=$AL$22,MONTH(V1915),"")</f>
        <v/>
      </c>
      <c r="AM1915" s="86" t="str">
        <f>+IF($AG1915=$AM$22,MONTH($D1915),"")</f>
        <v/>
      </c>
      <c r="AN1915" s="89" t="str">
        <f>+IF($AG1915=AN$22,MONTH($D1915),"")</f>
        <v/>
      </c>
      <c r="AO1915" s="86" t="str">
        <f>+IF($AG1915=AO$22,MONTH($D1915),"")</f>
        <v/>
      </c>
      <c r="AP1915" s="86">
        <f>+IF($AG1915=AP$22,MONTH($D1915),"")</f>
        <v>1</v>
      </c>
      <c r="AQ1915" s="86" t="str">
        <f>+IF($AG1915=AQ$22,MONTH($D1915),"")</f>
        <v/>
      </c>
      <c r="AR1915" s="86" t="str">
        <f>+IF($AG1915=AR$22,MONTH($D1915),"")</f>
        <v/>
      </c>
      <c r="AS1915" s="86" t="str">
        <f>+IF($AG1915=AS$22,MONTH($D1915),"")</f>
        <v/>
      </c>
      <c r="AT1915" s="86" t="str">
        <f>+IF($AG1915=AT$22,MONTH($D1915),"")</f>
        <v/>
      </c>
      <c r="AU1915" s="86" t="str">
        <f>+IF($AG1915=AU$22,MONTH($D1915),"")</f>
        <v/>
      </c>
      <c r="AV1915" s="86" t="str">
        <f>+IF($AG1915=AV$22,MONTH($D1915),"")</f>
        <v/>
      </c>
      <c r="AW1915" s="86" t="str">
        <f>+IF($AG1915=AW$22,MONTH($D1915),"")</f>
        <v/>
      </c>
      <c r="AX1915" s="86" t="str">
        <f>+IF($AG1915=AX$22,MONTH($D1915),"")</f>
        <v/>
      </c>
      <c r="AY1915" s="182"/>
      <c r="AZ1915" s="182"/>
      <c r="BA1915" s="182"/>
      <c r="BB1915" s="182"/>
      <c r="BC1915" s="182"/>
      <c r="BD1915" s="182"/>
      <c r="BE1915" s="182"/>
      <c r="BF1915" s="182"/>
      <c r="BG1915" s="182"/>
      <c r="BH1915" s="182"/>
      <c r="BI1915" s="182"/>
      <c r="BJ1915" s="89"/>
      <c r="BK1915" s="89"/>
      <c r="BL1915" s="89"/>
      <c r="BM1915" s="89"/>
      <c r="BN1915" s="89"/>
      <c r="BO1915" s="89"/>
      <c r="BP1915" s="89"/>
    </row>
    <row r="1916" spans="1:68" s="56" customFormat="1" ht="27" hidden="1">
      <c r="A1916" s="204" t="str">
        <f>+IFERROR(VALUE(MID(AB1916,4,4)),"")</f>
        <v/>
      </c>
      <c r="B1916" s="204">
        <f>VALUE(RIGHT(C1916,LEN(C1916)-2))</f>
        <v>809</v>
      </c>
      <c r="C1916" s="74" t="s">
        <v>6694</v>
      </c>
      <c r="D1916" s="75">
        <v>43123</v>
      </c>
      <c r="E1916" s="70" t="s">
        <v>332</v>
      </c>
      <c r="F1916" s="70" t="s">
        <v>332</v>
      </c>
      <c r="G1916" s="68"/>
      <c r="H1916" s="59"/>
      <c r="I1916" s="162" t="s">
        <v>6695</v>
      </c>
      <c r="J1916" s="162"/>
      <c r="K1916" s="68" t="s">
        <v>13</v>
      </c>
      <c r="L1916" s="69" t="s">
        <v>129</v>
      </c>
      <c r="M1916" s="71" t="s">
        <v>141</v>
      </c>
      <c r="N1916" s="69" t="e" vm="1">
        <v>#VALUE!</v>
      </c>
      <c r="O1916" s="164"/>
      <c r="P1916" s="72" t="s">
        <v>402</v>
      </c>
      <c r="Q1916" s="72"/>
      <c r="R1916" s="162"/>
      <c r="S1916" s="146"/>
      <c r="T1916" s="68" t="s">
        <v>165</v>
      </c>
      <c r="U1916" s="87"/>
      <c r="V1916" s="183">
        <v>43125</v>
      </c>
      <c r="W1916" s="73">
        <v>1104</v>
      </c>
      <c r="X1916" s="73">
        <v>26.8</v>
      </c>
      <c r="Y1916" s="83">
        <f>IF(SUM(W1916:W1916)&gt;0,X1916/SUM(W1916:W1916)*1000000,"N/A")</f>
        <v>24275.36231884058</v>
      </c>
      <c r="Z1916" s="183"/>
      <c r="AA1916" s="183"/>
      <c r="AB1916" s="73"/>
      <c r="AC1916" s="153"/>
      <c r="AD1916" s="331"/>
      <c r="AE1916" s="57"/>
      <c r="AF1916" s="88"/>
      <c r="AG1916" s="182">
        <f>YEAR(D1916)</f>
        <v>2018</v>
      </c>
      <c r="AH1916" s="86" t="str">
        <f>+IF(AE1916=$AJ$22,MONTH(T1916),"")</f>
        <v/>
      </c>
      <c r="AI1916" s="86" t="str">
        <f>+IF(AF1916=$AJ$22,MONTH(U1916),"")</f>
        <v/>
      </c>
      <c r="AJ1916" s="86" t="str">
        <f>+IF(AG1916=$AJ$22,MONTH(V1916),"")</f>
        <v/>
      </c>
      <c r="AK1916" s="86" t="str">
        <f>+IF(AG1916=$AK$22,MONTH(V1916),"")</f>
        <v/>
      </c>
      <c r="AL1916" s="86" t="str">
        <f>+IF(AG1916=$AL$22,MONTH(V1916),"")</f>
        <v/>
      </c>
      <c r="AM1916" s="86" t="str">
        <f>+IF($AG1916=$AM$22,MONTH($D1916),"")</f>
        <v/>
      </c>
      <c r="AN1916" s="89" t="str">
        <f>+IF($AG1916=AN$22,MONTH($D1916),"")</f>
        <v/>
      </c>
      <c r="AO1916" s="86" t="str">
        <f>+IF($AG1916=AO$22,MONTH($D1916),"")</f>
        <v/>
      </c>
      <c r="AP1916" s="86">
        <f>+IF($AG1916=AP$22,MONTH($D1916),"")</f>
        <v>1</v>
      </c>
      <c r="AQ1916" s="86" t="str">
        <f>+IF($AG1916=AQ$22,MONTH($D1916),"")</f>
        <v/>
      </c>
      <c r="AR1916" s="86" t="str">
        <f>+IF($AG1916=AR$22,MONTH($D1916),"")</f>
        <v/>
      </c>
      <c r="AS1916" s="86" t="str">
        <f>+IF($AG1916=AS$22,MONTH($D1916),"")</f>
        <v/>
      </c>
      <c r="AT1916" s="86" t="str">
        <f>+IF($AG1916=AT$22,MONTH($D1916),"")</f>
        <v/>
      </c>
      <c r="AU1916" s="86" t="str">
        <f>+IF($AG1916=AU$22,MONTH($D1916),"")</f>
        <v/>
      </c>
      <c r="AV1916" s="86" t="str">
        <f>+IF($AG1916=AV$22,MONTH($D1916),"")</f>
        <v/>
      </c>
      <c r="AW1916" s="86" t="str">
        <f>+IF($AG1916=AW$22,MONTH($D1916),"")</f>
        <v/>
      </c>
      <c r="AX1916" s="86" t="str">
        <f>+IF($AG1916=AX$22,MONTH($D1916),"")</f>
        <v/>
      </c>
      <c r="AY1916" s="182"/>
      <c r="AZ1916" s="182"/>
      <c r="BA1916" s="182"/>
      <c r="BB1916" s="182"/>
      <c r="BC1916" s="182"/>
      <c r="BD1916" s="182"/>
      <c r="BE1916" s="182"/>
      <c r="BF1916" s="182"/>
      <c r="BG1916" s="182"/>
      <c r="BH1916" s="182"/>
      <c r="BI1916" s="182"/>
      <c r="BJ1916" s="89"/>
      <c r="BK1916" s="89"/>
      <c r="BL1916" s="89"/>
      <c r="BM1916" s="89"/>
      <c r="BN1916" s="89"/>
      <c r="BO1916" s="89"/>
      <c r="BP1916" s="89"/>
    </row>
    <row r="1917" spans="1:68" s="56" customFormat="1" ht="53.25" hidden="1">
      <c r="A1917" s="204" t="str">
        <f>+IFERROR(VALUE(MID(AB1917,4,4)),"")</f>
        <v/>
      </c>
      <c r="B1917" s="204">
        <f>VALUE(RIGHT(C1917,LEN(C1917)-2))</f>
        <v>808</v>
      </c>
      <c r="C1917" s="74" t="s">
        <v>6696</v>
      </c>
      <c r="D1917" s="75">
        <v>43123</v>
      </c>
      <c r="E1917" s="70" t="s">
        <v>6697</v>
      </c>
      <c r="F1917" s="70" t="s">
        <v>5382</v>
      </c>
      <c r="G1917" s="68"/>
      <c r="H1917" s="59"/>
      <c r="I1917" s="162" t="s">
        <v>6698</v>
      </c>
      <c r="J1917" s="162"/>
      <c r="K1917" s="68" t="s">
        <v>13</v>
      </c>
      <c r="L1917" s="69" t="s">
        <v>123</v>
      </c>
      <c r="M1917" s="71" t="s">
        <v>141</v>
      </c>
      <c r="N1917" s="69" t="e" vm="1">
        <v>#VALUE!</v>
      </c>
      <c r="O1917" s="164"/>
      <c r="P1917" s="72" t="s">
        <v>402</v>
      </c>
      <c r="Q1917" s="72"/>
      <c r="R1917" s="162"/>
      <c r="S1917" s="146" t="s">
        <v>6699</v>
      </c>
      <c r="T1917" s="68" t="s">
        <v>165</v>
      </c>
      <c r="U1917" s="87"/>
      <c r="V1917" s="183">
        <v>43129</v>
      </c>
      <c r="W1917" s="73">
        <v>1</v>
      </c>
      <c r="X1917" s="73"/>
      <c r="Y1917" s="83">
        <f>IF(SUM(W1917:W1917)&gt;0,X1917/SUM(W1917:W1917)*1000000,"N/A")</f>
        <v>0</v>
      </c>
      <c r="Z1917" s="183"/>
      <c r="AA1917" s="183"/>
      <c r="AB1917" s="73"/>
      <c r="AC1917" s="153"/>
      <c r="AD1917" s="331"/>
      <c r="AE1917" s="57"/>
      <c r="AF1917" s="88"/>
      <c r="AG1917" s="182">
        <f>YEAR(D1917)</f>
        <v>2018</v>
      </c>
      <c r="AH1917" s="86" t="str">
        <f>+IF(AE1917=$AJ$22,MONTH(T1917),"")</f>
        <v/>
      </c>
      <c r="AI1917" s="86" t="str">
        <f>+IF(AF1917=$AJ$22,MONTH(U1917),"")</f>
        <v/>
      </c>
      <c r="AJ1917" s="86" t="str">
        <f>+IF(AG1917=$AJ$22,MONTH(V1917),"")</f>
        <v/>
      </c>
      <c r="AK1917" s="86" t="str">
        <f>+IF(AG1917=$AK$22,MONTH(V1917),"")</f>
        <v/>
      </c>
      <c r="AL1917" s="86" t="str">
        <f>+IF(AG1917=$AL$22,MONTH(V1917),"")</f>
        <v/>
      </c>
      <c r="AM1917" s="86" t="str">
        <f>+IF($AG1917=$AM$22,MONTH($D1917),"")</f>
        <v/>
      </c>
      <c r="AN1917" s="89" t="str">
        <f>+IF($AG1917=AN$22,MONTH($D1917),"")</f>
        <v/>
      </c>
      <c r="AO1917" s="86" t="str">
        <f>+IF($AG1917=AO$22,MONTH($D1917),"")</f>
        <v/>
      </c>
      <c r="AP1917" s="86">
        <f>+IF($AG1917=AP$22,MONTH($D1917),"")</f>
        <v>1</v>
      </c>
      <c r="AQ1917" s="86" t="str">
        <f>+IF($AG1917=AQ$22,MONTH($D1917),"")</f>
        <v/>
      </c>
      <c r="AR1917" s="86" t="str">
        <f>+IF($AG1917=AR$22,MONTH($D1917),"")</f>
        <v/>
      </c>
      <c r="AS1917" s="86" t="str">
        <f>+IF($AG1917=AS$22,MONTH($D1917),"")</f>
        <v/>
      </c>
      <c r="AT1917" s="86" t="str">
        <f>+IF($AG1917=AT$22,MONTH($D1917),"")</f>
        <v/>
      </c>
      <c r="AU1917" s="86" t="str">
        <f>+IF($AG1917=AU$22,MONTH($D1917),"")</f>
        <v/>
      </c>
      <c r="AV1917" s="86" t="str">
        <f>+IF($AG1917=AV$22,MONTH($D1917),"")</f>
        <v/>
      </c>
      <c r="AW1917" s="86" t="str">
        <f>+IF($AG1917=AW$22,MONTH($D1917),"")</f>
        <v/>
      </c>
      <c r="AX1917" s="86" t="str">
        <f>+IF($AG1917=AX$22,MONTH($D1917),"")</f>
        <v/>
      </c>
      <c r="AY1917" s="182"/>
      <c r="AZ1917" s="182"/>
      <c r="BA1917" s="182"/>
      <c r="BB1917" s="182"/>
      <c r="BC1917" s="182"/>
      <c r="BD1917" s="182"/>
      <c r="BE1917" s="182"/>
      <c r="BF1917" s="182"/>
      <c r="BG1917" s="182"/>
      <c r="BH1917" s="182"/>
      <c r="BI1917" s="182"/>
      <c r="BJ1917" s="89"/>
      <c r="BK1917" s="89"/>
      <c r="BL1917" s="89"/>
      <c r="BM1917" s="89"/>
      <c r="BN1917" s="89"/>
      <c r="BO1917" s="89"/>
      <c r="BP1917" s="89"/>
    </row>
    <row r="1918" spans="1:68" s="56" customFormat="1" ht="13.5" hidden="1">
      <c r="A1918" s="204" t="str">
        <f>+IFERROR(VALUE(MID(AB1918,4,4)),"")</f>
        <v/>
      </c>
      <c r="B1918" s="204">
        <f>VALUE(RIGHT(C1918,LEN(C1918)-2))</f>
        <v>807</v>
      </c>
      <c r="C1918" s="74" t="s">
        <v>6700</v>
      </c>
      <c r="D1918" s="75">
        <v>43119</v>
      </c>
      <c r="E1918" s="70" t="s">
        <v>479</v>
      </c>
      <c r="F1918" s="70" t="s">
        <v>479</v>
      </c>
      <c r="G1918" s="68"/>
      <c r="H1918" s="59"/>
      <c r="I1918" s="162" t="s">
        <v>6701</v>
      </c>
      <c r="J1918" s="162"/>
      <c r="K1918" s="68" t="s">
        <v>12</v>
      </c>
      <c r="L1918" s="69" t="s">
        <v>129</v>
      </c>
      <c r="M1918" s="71" t="s">
        <v>113</v>
      </c>
      <c r="N1918" s="69" t="e" vm="2">
        <v>#VALUE!</v>
      </c>
      <c r="O1918" s="164"/>
      <c r="P1918" s="72" t="s">
        <v>402</v>
      </c>
      <c r="Q1918" s="72"/>
      <c r="R1918" s="162"/>
      <c r="S1918" s="146"/>
      <c r="T1918" s="68" t="s">
        <v>165</v>
      </c>
      <c r="U1918" s="87"/>
      <c r="V1918" s="183">
        <v>43125</v>
      </c>
      <c r="W1918" s="73">
        <v>1990</v>
      </c>
      <c r="X1918" s="73">
        <f>246400*200/1000000</f>
        <v>49.28</v>
      </c>
      <c r="Y1918" s="83">
        <f>IF(SUM(W1918:W1918)&gt;0,X1918/SUM(W1918:W1918)*1000000,"N/A")</f>
        <v>24763.819095477385</v>
      </c>
      <c r="Z1918" s="183"/>
      <c r="AA1918" s="183"/>
      <c r="AB1918" s="73"/>
      <c r="AC1918" s="153"/>
      <c r="AD1918" s="331"/>
      <c r="AE1918" s="57"/>
      <c r="AF1918" s="88"/>
      <c r="AG1918" s="182">
        <f>YEAR(D1918)</f>
        <v>2018</v>
      </c>
      <c r="AH1918" s="86" t="str">
        <f>+IF(AE1918=$AJ$22,MONTH(T1918),"")</f>
        <v/>
      </c>
      <c r="AI1918" s="86" t="str">
        <f>+IF(AF1918=$AJ$22,MONTH(U1918),"")</f>
        <v/>
      </c>
      <c r="AJ1918" s="86" t="str">
        <f>+IF(AG1918=$AJ$22,MONTH(V1918),"")</f>
        <v/>
      </c>
      <c r="AK1918" s="86" t="str">
        <f>+IF(AG1918=$AK$22,MONTH(V1918),"")</f>
        <v/>
      </c>
      <c r="AL1918" s="86" t="str">
        <f>+IF(AG1918=$AL$22,MONTH(V1918),"")</f>
        <v/>
      </c>
      <c r="AM1918" s="86" t="str">
        <f>+IF($AG1918=$AM$22,MONTH($D1918),"")</f>
        <v/>
      </c>
      <c r="AN1918" s="89" t="str">
        <f>+IF($AG1918=AN$22,MONTH($D1918),"")</f>
        <v/>
      </c>
      <c r="AO1918" s="86" t="str">
        <f>+IF($AG1918=AO$22,MONTH($D1918),"")</f>
        <v/>
      </c>
      <c r="AP1918" s="86">
        <f>+IF($AG1918=AP$22,MONTH($D1918),"")</f>
        <v>1</v>
      </c>
      <c r="AQ1918" s="86" t="str">
        <f>+IF($AG1918=AQ$22,MONTH($D1918),"")</f>
        <v/>
      </c>
      <c r="AR1918" s="86" t="str">
        <f>+IF($AG1918=AR$22,MONTH($D1918),"")</f>
        <v/>
      </c>
      <c r="AS1918" s="86" t="str">
        <f>+IF($AG1918=AS$22,MONTH($D1918),"")</f>
        <v/>
      </c>
      <c r="AT1918" s="86" t="str">
        <f>+IF($AG1918=AT$22,MONTH($D1918),"")</f>
        <v/>
      </c>
      <c r="AU1918" s="86" t="str">
        <f>+IF($AG1918=AU$22,MONTH($D1918),"")</f>
        <v/>
      </c>
      <c r="AV1918" s="86" t="str">
        <f>+IF($AG1918=AV$22,MONTH($D1918),"")</f>
        <v/>
      </c>
      <c r="AW1918" s="86" t="str">
        <f>+IF($AG1918=AW$22,MONTH($D1918),"")</f>
        <v/>
      </c>
      <c r="AX1918" s="86" t="str">
        <f>+IF($AG1918=AX$22,MONTH($D1918),"")</f>
        <v/>
      </c>
      <c r="AY1918" s="182"/>
      <c r="AZ1918" s="182"/>
      <c r="BA1918" s="182"/>
      <c r="BB1918" s="182"/>
      <c r="BC1918" s="182"/>
      <c r="BD1918" s="182"/>
      <c r="BE1918" s="182"/>
      <c r="BF1918" s="182"/>
      <c r="BG1918" s="182"/>
      <c r="BH1918" s="182"/>
      <c r="BI1918" s="182"/>
      <c r="BJ1918" s="89"/>
      <c r="BK1918" s="89"/>
      <c r="BL1918" s="89"/>
      <c r="BM1918" s="89"/>
      <c r="BN1918" s="89"/>
      <c r="BO1918" s="89"/>
      <c r="BP1918" s="89"/>
    </row>
    <row r="1919" spans="1:68" s="56" customFormat="1" ht="13.5" hidden="1">
      <c r="A1919" s="204" t="str">
        <f>+IFERROR(VALUE(MID(AB1919,4,4)),"")</f>
        <v/>
      </c>
      <c r="B1919" s="204">
        <f>VALUE(RIGHT(C1919,LEN(C1919)-2))</f>
        <v>806</v>
      </c>
      <c r="C1919" s="74" t="s">
        <v>6702</v>
      </c>
      <c r="D1919" s="75">
        <v>43117</v>
      </c>
      <c r="E1919" s="70" t="s">
        <v>6703</v>
      </c>
      <c r="F1919" s="70" t="s">
        <v>5382</v>
      </c>
      <c r="G1919" s="68"/>
      <c r="H1919" s="59"/>
      <c r="I1919" s="162" t="s">
        <v>6704</v>
      </c>
      <c r="J1919" s="162"/>
      <c r="K1919" s="68" t="s">
        <v>275</v>
      </c>
      <c r="L1919" s="69" t="s">
        <v>123</v>
      </c>
      <c r="M1919" s="71" t="s">
        <v>141</v>
      </c>
      <c r="N1919" s="69" t="e" vm="1">
        <v>#VALUE!</v>
      </c>
      <c r="O1919" s="164"/>
      <c r="P1919" s="72" t="s">
        <v>402</v>
      </c>
      <c r="Q1919" s="72"/>
      <c r="R1919" s="162"/>
      <c r="S1919" s="146"/>
      <c r="T1919" s="68" t="s">
        <v>165</v>
      </c>
      <c r="U1919" s="87"/>
      <c r="V1919" s="183"/>
      <c r="W1919" s="73">
        <v>1000</v>
      </c>
      <c r="X1919" s="73"/>
      <c r="Y1919" s="83">
        <f>IF(SUM(W1919:W1919)&gt;0,X1919/SUM(W1919:W1919)*1000000,"N/A")</f>
        <v>0</v>
      </c>
      <c r="Z1919" s="183"/>
      <c r="AA1919" s="183"/>
      <c r="AB1919" s="73"/>
      <c r="AC1919" s="153"/>
      <c r="AD1919" s="331"/>
      <c r="AE1919" s="57"/>
      <c r="AF1919" s="88"/>
      <c r="AG1919" s="182">
        <f>YEAR(D1919)</f>
        <v>2018</v>
      </c>
      <c r="AH1919" s="86" t="str">
        <f>+IF(AE1919=$AJ$22,MONTH(T1919),"")</f>
        <v/>
      </c>
      <c r="AI1919" s="86" t="str">
        <f>+IF(AF1919=$AJ$22,MONTH(U1919),"")</f>
        <v/>
      </c>
      <c r="AJ1919" s="86" t="str">
        <f>+IF(AG1919=$AJ$22,MONTH(V1919),"")</f>
        <v/>
      </c>
      <c r="AK1919" s="86" t="str">
        <f>+IF(AG1919=$AK$22,MONTH(V1919),"")</f>
        <v/>
      </c>
      <c r="AL1919" s="86" t="str">
        <f>+IF(AG1919=$AL$22,MONTH(V1919),"")</f>
        <v/>
      </c>
      <c r="AM1919" s="86" t="str">
        <f>+IF($AG1919=$AM$22,MONTH($D1919),"")</f>
        <v/>
      </c>
      <c r="AN1919" s="89" t="str">
        <f>+IF($AG1919=AN$22,MONTH($D1919),"")</f>
        <v/>
      </c>
      <c r="AO1919" s="86" t="str">
        <f>+IF($AG1919=AO$22,MONTH($D1919),"")</f>
        <v/>
      </c>
      <c r="AP1919" s="86">
        <f>+IF($AG1919=AP$22,MONTH($D1919),"")</f>
        <v>1</v>
      </c>
      <c r="AQ1919" s="86" t="str">
        <f>+IF($AG1919=AQ$22,MONTH($D1919),"")</f>
        <v/>
      </c>
      <c r="AR1919" s="86" t="str">
        <f>+IF($AG1919=AR$22,MONTH($D1919),"")</f>
        <v/>
      </c>
      <c r="AS1919" s="86" t="str">
        <f>+IF($AG1919=AS$22,MONTH($D1919),"")</f>
        <v/>
      </c>
      <c r="AT1919" s="86" t="str">
        <f>+IF($AG1919=AT$22,MONTH($D1919),"")</f>
        <v/>
      </c>
      <c r="AU1919" s="86" t="str">
        <f>+IF($AG1919=AU$22,MONTH($D1919),"")</f>
        <v/>
      </c>
      <c r="AV1919" s="86" t="str">
        <f>+IF($AG1919=AV$22,MONTH($D1919),"")</f>
        <v/>
      </c>
      <c r="AW1919" s="86" t="str">
        <f>+IF($AG1919=AW$22,MONTH($D1919),"")</f>
        <v/>
      </c>
      <c r="AX1919" s="86" t="str">
        <f>+IF($AG1919=AX$22,MONTH($D1919),"")</f>
        <v/>
      </c>
      <c r="AY1919" s="182"/>
      <c r="AZ1919" s="182"/>
      <c r="BA1919" s="182"/>
      <c r="BB1919" s="182"/>
      <c r="BC1919" s="182"/>
      <c r="BD1919" s="182"/>
      <c r="BE1919" s="182"/>
      <c r="BF1919" s="182"/>
      <c r="BG1919" s="182"/>
      <c r="BH1919" s="182"/>
      <c r="BI1919" s="182"/>
      <c r="BJ1919" s="89"/>
      <c r="BK1919" s="89"/>
      <c r="BL1919" s="89"/>
      <c r="BM1919" s="89"/>
      <c r="BN1919" s="89"/>
      <c r="BO1919" s="89"/>
      <c r="BP1919" s="89"/>
    </row>
    <row r="1920" spans="1:68" s="56" customFormat="1" ht="13.5" hidden="1">
      <c r="A1920" s="204">
        <f>+IFERROR(VALUE(MID(AB1920,4,4)),"")</f>
        <v>183</v>
      </c>
      <c r="B1920" s="204">
        <f>VALUE(RIGHT(C1920,LEN(C1920)-2))</f>
        <v>805</v>
      </c>
      <c r="C1920" s="74" t="s">
        <v>6705</v>
      </c>
      <c r="D1920" s="75">
        <v>43117</v>
      </c>
      <c r="E1920" s="70" t="s">
        <v>939</v>
      </c>
      <c r="F1920" s="70" t="s">
        <v>940</v>
      </c>
      <c r="G1920" s="68" t="s">
        <v>6620</v>
      </c>
      <c r="H1920" s="59"/>
      <c r="I1920" s="162" t="s">
        <v>6706</v>
      </c>
      <c r="J1920" s="162"/>
      <c r="K1920" s="68" t="s">
        <v>31</v>
      </c>
      <c r="L1920" s="69" t="s">
        <v>120</v>
      </c>
      <c r="M1920" s="71" t="s">
        <v>141</v>
      </c>
      <c r="N1920" s="69" t="e" vm="1">
        <v>#VALUE!</v>
      </c>
      <c r="O1920" s="164"/>
      <c r="P1920" s="72" t="s">
        <v>274</v>
      </c>
      <c r="Q1920" s="72" t="s">
        <v>623</v>
      </c>
      <c r="R1920" s="162"/>
      <c r="S1920" s="146"/>
      <c r="T1920" s="68" t="s">
        <v>3</v>
      </c>
      <c r="U1920" s="87"/>
      <c r="V1920" s="183">
        <v>43118</v>
      </c>
      <c r="W1920" s="73">
        <v>1040</v>
      </c>
      <c r="X1920" s="73">
        <f>2466*27000/1000000</f>
        <v>66.581999999999994</v>
      </c>
      <c r="Y1920" s="83">
        <f>IF(SUM(W1920:W1920)&gt;0,X1920/SUM(W1920:W1920)*1000000,"N/A")</f>
        <v>64021.153846153837</v>
      </c>
      <c r="Z1920" s="183"/>
      <c r="AA1920" s="183"/>
      <c r="AB1920" s="73" t="s">
        <v>6622</v>
      </c>
      <c r="AC1920" s="153"/>
      <c r="AD1920" s="331"/>
      <c r="AE1920" s="57"/>
      <c r="AF1920" s="88"/>
      <c r="AG1920" s="182">
        <f>YEAR(D1920)</f>
        <v>2018</v>
      </c>
      <c r="AH1920" s="86" t="str">
        <f>+IF(AE1920=$AJ$22,MONTH(T1920),"")</f>
        <v/>
      </c>
      <c r="AI1920" s="86" t="str">
        <f>+IF(AF1920=$AJ$22,MONTH(U1920),"")</f>
        <v/>
      </c>
      <c r="AJ1920" s="86" t="str">
        <f>+IF(AG1920=$AJ$22,MONTH(V1920),"")</f>
        <v/>
      </c>
      <c r="AK1920" s="86" t="str">
        <f>+IF(AG1920=$AK$22,MONTH(V1920),"")</f>
        <v/>
      </c>
      <c r="AL1920" s="86" t="str">
        <f>+IF(AG1920=$AL$22,MONTH(V1920),"")</f>
        <v/>
      </c>
      <c r="AM1920" s="86" t="str">
        <f>+IF($AG1920=$AM$22,MONTH($D1920),"")</f>
        <v/>
      </c>
      <c r="AN1920" s="89" t="str">
        <f>+IF($AG1920=AN$22,MONTH($D1920),"")</f>
        <v/>
      </c>
      <c r="AO1920" s="86" t="str">
        <f>+IF($AG1920=AO$22,MONTH($D1920),"")</f>
        <v/>
      </c>
      <c r="AP1920" s="86">
        <f>+IF($AG1920=AP$22,MONTH($D1920),"")</f>
        <v>1</v>
      </c>
      <c r="AQ1920" s="86" t="str">
        <f>+IF($AG1920=AQ$22,MONTH($D1920),"")</f>
        <v/>
      </c>
      <c r="AR1920" s="86" t="str">
        <f>+IF($AG1920=AR$22,MONTH($D1920),"")</f>
        <v/>
      </c>
      <c r="AS1920" s="86" t="str">
        <f>+IF($AG1920=AS$22,MONTH($D1920),"")</f>
        <v/>
      </c>
      <c r="AT1920" s="86" t="str">
        <f>+IF($AG1920=AT$22,MONTH($D1920),"")</f>
        <v/>
      </c>
      <c r="AU1920" s="86" t="str">
        <f>+IF($AG1920=AU$22,MONTH($D1920),"")</f>
        <v/>
      </c>
      <c r="AV1920" s="86" t="str">
        <f>+IF($AG1920=AV$22,MONTH($D1920),"")</f>
        <v/>
      </c>
      <c r="AW1920" s="86" t="str">
        <f>+IF($AG1920=AW$22,MONTH($D1920),"")</f>
        <v/>
      </c>
      <c r="AX1920" s="86" t="str">
        <f>+IF($AG1920=AX$22,MONTH($D1920),"")</f>
        <v/>
      </c>
      <c r="AY1920" s="182"/>
      <c r="AZ1920" s="182"/>
      <c r="BA1920" s="182"/>
      <c r="BB1920" s="182"/>
      <c r="BC1920" s="182"/>
      <c r="BD1920" s="182"/>
      <c r="BE1920" s="182"/>
      <c r="BF1920" s="182"/>
      <c r="BG1920" s="182"/>
      <c r="BH1920" s="182"/>
      <c r="BI1920" s="182"/>
      <c r="BJ1920" s="89"/>
      <c r="BK1920" s="89"/>
      <c r="BL1920" s="89"/>
      <c r="BM1920" s="89"/>
      <c r="BN1920" s="89"/>
      <c r="BO1920" s="89"/>
      <c r="BP1920" s="89"/>
    </row>
    <row r="1921" spans="1:68" s="56" customFormat="1" ht="13.5" hidden="1">
      <c r="A1921" s="204" t="str">
        <f>+IFERROR(VALUE(MID(AB1921,4,4)),"")</f>
        <v/>
      </c>
      <c r="B1921" s="204">
        <f>VALUE(RIGHT(C1921,LEN(C1921)-2))</f>
        <v>804</v>
      </c>
      <c r="C1921" s="74" t="s">
        <v>6707</v>
      </c>
      <c r="D1921" s="75">
        <v>43110</v>
      </c>
      <c r="E1921" s="70" t="s">
        <v>6708</v>
      </c>
      <c r="F1921" s="70" t="s">
        <v>6708</v>
      </c>
      <c r="G1921" s="68"/>
      <c r="H1921" s="59"/>
      <c r="I1921" s="162" t="s">
        <v>6709</v>
      </c>
      <c r="J1921" s="162"/>
      <c r="K1921" s="68" t="s">
        <v>12</v>
      </c>
      <c r="L1921" s="69" t="s">
        <v>129</v>
      </c>
      <c r="M1921" s="71" t="s">
        <v>141</v>
      </c>
      <c r="N1921" s="69" t="e" vm="1">
        <v>#VALUE!</v>
      </c>
      <c r="O1921" s="164"/>
      <c r="P1921" s="72" t="s">
        <v>4567</v>
      </c>
      <c r="Q1921" s="72"/>
      <c r="R1921" s="162"/>
      <c r="S1921" s="146"/>
      <c r="T1921" s="68" t="s">
        <v>165</v>
      </c>
      <c r="U1921" s="87"/>
      <c r="V1921" s="183">
        <v>43112</v>
      </c>
      <c r="W1921" s="73">
        <v>250</v>
      </c>
      <c r="X1921" s="73">
        <f>395*26800/1000000</f>
        <v>10.586</v>
      </c>
      <c r="Y1921" s="83">
        <f>IF(SUM(W1921:W1921)&gt;0,X1921/SUM(W1921:W1921)*1000000,"N/A")</f>
        <v>42344</v>
      </c>
      <c r="Z1921" s="183"/>
      <c r="AA1921" s="183"/>
      <c r="AB1921" s="73"/>
      <c r="AC1921" s="153"/>
      <c r="AD1921" s="331"/>
      <c r="AE1921" s="57"/>
      <c r="AF1921" s="88"/>
      <c r="AG1921" s="182">
        <f>YEAR(D1921)</f>
        <v>2018</v>
      </c>
      <c r="AH1921" s="86" t="str">
        <f>+IF(AE1921=$AJ$22,MONTH(T1921),"")</f>
        <v/>
      </c>
      <c r="AI1921" s="86" t="str">
        <f>+IF(AF1921=$AJ$22,MONTH(U1921),"")</f>
        <v/>
      </c>
      <c r="AJ1921" s="86" t="str">
        <f>+IF(AG1921=$AJ$22,MONTH(V1921),"")</f>
        <v/>
      </c>
      <c r="AK1921" s="86" t="str">
        <f>+IF(AG1921=$AK$22,MONTH(V1921),"")</f>
        <v/>
      </c>
      <c r="AL1921" s="86" t="str">
        <f>+IF(AG1921=$AL$22,MONTH(V1921),"")</f>
        <v/>
      </c>
      <c r="AM1921" s="86" t="str">
        <f>+IF($AG1921=$AM$22,MONTH($D1921),"")</f>
        <v/>
      </c>
      <c r="AN1921" s="89" t="str">
        <f>+IF($AG1921=AN$22,MONTH($D1921),"")</f>
        <v/>
      </c>
      <c r="AO1921" s="86" t="str">
        <f>+IF($AG1921=AO$22,MONTH($D1921),"")</f>
        <v/>
      </c>
      <c r="AP1921" s="86">
        <f>+IF($AG1921=AP$22,MONTH($D1921),"")</f>
        <v>1</v>
      </c>
      <c r="AQ1921" s="86" t="str">
        <f>+IF($AG1921=AQ$22,MONTH($D1921),"")</f>
        <v/>
      </c>
      <c r="AR1921" s="86" t="str">
        <f>+IF($AG1921=AR$22,MONTH($D1921),"")</f>
        <v/>
      </c>
      <c r="AS1921" s="86" t="str">
        <f>+IF($AG1921=AS$22,MONTH($D1921),"")</f>
        <v/>
      </c>
      <c r="AT1921" s="86" t="str">
        <f>+IF($AG1921=AT$22,MONTH($D1921),"")</f>
        <v/>
      </c>
      <c r="AU1921" s="86" t="str">
        <f>+IF($AG1921=AU$22,MONTH($D1921),"")</f>
        <v/>
      </c>
      <c r="AV1921" s="86" t="str">
        <f>+IF($AG1921=AV$22,MONTH($D1921),"")</f>
        <v/>
      </c>
      <c r="AW1921" s="86" t="str">
        <f>+IF($AG1921=AW$22,MONTH($D1921),"")</f>
        <v/>
      </c>
      <c r="AX1921" s="86" t="str">
        <f>+IF($AG1921=AX$22,MONTH($D1921),"")</f>
        <v/>
      </c>
      <c r="AY1921" s="182"/>
      <c r="AZ1921" s="182"/>
      <c r="BA1921" s="182"/>
      <c r="BB1921" s="182"/>
      <c r="BC1921" s="182"/>
      <c r="BD1921" s="182"/>
      <c r="BE1921" s="182"/>
      <c r="BF1921" s="182"/>
      <c r="BG1921" s="182"/>
      <c r="BH1921" s="182"/>
      <c r="BI1921" s="182"/>
      <c r="BJ1921" s="89"/>
      <c r="BK1921" s="89"/>
      <c r="BL1921" s="89"/>
      <c r="BM1921" s="89"/>
      <c r="BN1921" s="89"/>
      <c r="BO1921" s="89"/>
      <c r="BP1921" s="89"/>
    </row>
    <row r="1922" spans="1:68" s="56" customFormat="1" ht="13.5" hidden="1">
      <c r="A1922" s="204" t="str">
        <f>+IFERROR(VALUE(MID(AB1922,4,4)),"")</f>
        <v/>
      </c>
      <c r="B1922" s="204">
        <f>VALUE(RIGHT(C1922,LEN(C1922)-2))</f>
        <v>803</v>
      </c>
      <c r="C1922" s="74" t="s">
        <v>6710</v>
      </c>
      <c r="D1922" s="75">
        <v>43109</v>
      </c>
      <c r="E1922" s="70" t="s">
        <v>97</v>
      </c>
      <c r="F1922" s="70" t="s">
        <v>685</v>
      </c>
      <c r="G1922" s="68"/>
      <c r="H1922" s="59"/>
      <c r="I1922" s="162" t="s">
        <v>6711</v>
      </c>
      <c r="J1922" s="162"/>
      <c r="K1922" s="68" t="s">
        <v>31</v>
      </c>
      <c r="L1922" s="69" t="s">
        <v>129</v>
      </c>
      <c r="M1922" s="71" t="s">
        <v>141</v>
      </c>
      <c r="N1922" s="69" t="e" vm="1">
        <v>#VALUE!</v>
      </c>
      <c r="O1922" s="164"/>
      <c r="P1922" s="72" t="s">
        <v>4567</v>
      </c>
      <c r="Q1922" s="72"/>
      <c r="R1922" s="162"/>
      <c r="S1922" s="146"/>
      <c r="T1922" s="68" t="s">
        <v>165</v>
      </c>
      <c r="U1922" s="87"/>
      <c r="V1922" s="183">
        <v>43109</v>
      </c>
      <c r="W1922" s="73">
        <v>6060</v>
      </c>
      <c r="X1922" s="73">
        <v>224.48</v>
      </c>
      <c r="Y1922" s="83">
        <f>IF(SUM(W1922:W1922)&gt;0,X1922/SUM(W1922:W1922)*1000000,"N/A")</f>
        <v>37042.90429042904</v>
      </c>
      <c r="Z1922" s="183"/>
      <c r="AA1922" s="183"/>
      <c r="AB1922" s="73"/>
      <c r="AC1922" s="153"/>
      <c r="AD1922" s="331"/>
      <c r="AE1922" s="57"/>
      <c r="AF1922" s="88"/>
      <c r="AG1922" s="182">
        <f>YEAR(D1922)</f>
        <v>2018</v>
      </c>
      <c r="AH1922" s="86" t="str">
        <f>+IF(AE1922=$AJ$22,MONTH(T1922),"")</f>
        <v/>
      </c>
      <c r="AI1922" s="86" t="str">
        <f>+IF(AF1922=$AJ$22,MONTH(U1922),"")</f>
        <v/>
      </c>
      <c r="AJ1922" s="86" t="str">
        <f>+IF(AG1922=$AJ$22,MONTH(V1922),"")</f>
        <v/>
      </c>
      <c r="AK1922" s="86" t="str">
        <f>+IF(AG1922=$AK$22,MONTH(V1922),"")</f>
        <v/>
      </c>
      <c r="AL1922" s="86" t="str">
        <f>+IF(AG1922=$AL$22,MONTH(V1922),"")</f>
        <v/>
      </c>
      <c r="AM1922" s="86" t="str">
        <f>+IF($AG1922=$AM$22,MONTH($D1922),"")</f>
        <v/>
      </c>
      <c r="AN1922" s="89" t="str">
        <f>+IF($AG1922=AN$22,MONTH($D1922),"")</f>
        <v/>
      </c>
      <c r="AO1922" s="86" t="str">
        <f>+IF($AG1922=AO$22,MONTH($D1922),"")</f>
        <v/>
      </c>
      <c r="AP1922" s="86">
        <f>+IF($AG1922=AP$22,MONTH($D1922),"")</f>
        <v>1</v>
      </c>
      <c r="AQ1922" s="86" t="str">
        <f>+IF($AG1922=AQ$22,MONTH($D1922),"")</f>
        <v/>
      </c>
      <c r="AR1922" s="86" t="str">
        <f>+IF($AG1922=AR$22,MONTH($D1922),"")</f>
        <v/>
      </c>
      <c r="AS1922" s="86" t="str">
        <f>+IF($AG1922=AS$22,MONTH($D1922),"")</f>
        <v/>
      </c>
      <c r="AT1922" s="86" t="str">
        <f>+IF($AG1922=AT$22,MONTH($D1922),"")</f>
        <v/>
      </c>
      <c r="AU1922" s="86" t="str">
        <f>+IF($AG1922=AU$22,MONTH($D1922),"")</f>
        <v/>
      </c>
      <c r="AV1922" s="86" t="str">
        <f>+IF($AG1922=AV$22,MONTH($D1922),"")</f>
        <v/>
      </c>
      <c r="AW1922" s="86" t="str">
        <f>+IF($AG1922=AW$22,MONTH($D1922),"")</f>
        <v/>
      </c>
      <c r="AX1922" s="86" t="str">
        <f>+IF($AG1922=AX$22,MONTH($D1922),"")</f>
        <v/>
      </c>
      <c r="AY1922" s="182"/>
      <c r="AZ1922" s="182"/>
      <c r="BA1922" s="182"/>
      <c r="BB1922" s="182"/>
      <c r="BC1922" s="182"/>
      <c r="BD1922" s="182"/>
      <c r="BE1922" s="182"/>
      <c r="BF1922" s="182"/>
      <c r="BG1922" s="182"/>
      <c r="BH1922" s="182"/>
      <c r="BI1922" s="182"/>
      <c r="BJ1922" s="89"/>
      <c r="BK1922" s="89"/>
      <c r="BL1922" s="89"/>
      <c r="BM1922" s="89"/>
      <c r="BN1922" s="89"/>
      <c r="BO1922" s="89"/>
      <c r="BP1922" s="89"/>
    </row>
    <row r="1923" spans="1:68" s="56" customFormat="1" ht="53.25" hidden="1">
      <c r="A1923" s="204" t="str">
        <f>+IFERROR(VALUE(MID(AB1923,4,4)),"")</f>
        <v/>
      </c>
      <c r="B1923" s="204">
        <f>VALUE(RIGHT(C1923,LEN(C1923)-2))</f>
        <v>802</v>
      </c>
      <c r="C1923" s="74" t="s">
        <v>6712</v>
      </c>
      <c r="D1923" s="75">
        <v>43105</v>
      </c>
      <c r="E1923" s="70" t="s">
        <v>51</v>
      </c>
      <c r="F1923" s="70" t="s">
        <v>51</v>
      </c>
      <c r="G1923" s="68"/>
      <c r="H1923" s="59"/>
      <c r="I1923" s="162" t="s">
        <v>6713</v>
      </c>
      <c r="J1923" s="162"/>
      <c r="K1923" s="68" t="s">
        <v>13</v>
      </c>
      <c r="L1923" s="69" t="s">
        <v>129</v>
      </c>
      <c r="M1923" s="71" t="s">
        <v>141</v>
      </c>
      <c r="N1923" s="69" t="e" vm="1">
        <v>#VALUE!</v>
      </c>
      <c r="O1923" s="164"/>
      <c r="P1923" s="72" t="s">
        <v>4567</v>
      </c>
      <c r="Q1923" s="72"/>
      <c r="R1923" s="162"/>
      <c r="S1923" s="146" t="s">
        <v>6714</v>
      </c>
      <c r="T1923" s="68" t="s">
        <v>155</v>
      </c>
      <c r="U1923" s="87"/>
      <c r="V1923" s="183"/>
      <c r="W1923" s="73"/>
      <c r="X1923" s="73"/>
      <c r="Y1923" s="83" t="str">
        <f>IF(SUM(W1923:W1923)&gt;0,X1923/SUM(W1923:W1923)*1000000,"N/A")</f>
        <v>N/A</v>
      </c>
      <c r="Z1923" s="183"/>
      <c r="AA1923" s="183"/>
      <c r="AB1923" s="73"/>
      <c r="AC1923" s="153"/>
      <c r="AD1923" s="331"/>
      <c r="AE1923" s="57"/>
      <c r="AF1923" s="88"/>
      <c r="AG1923" s="182">
        <f>YEAR(D1923)</f>
        <v>2018</v>
      </c>
      <c r="AH1923" s="86" t="str">
        <f>+IF(AE1923=$AJ$22,MONTH(T1923),"")</f>
        <v/>
      </c>
      <c r="AI1923" s="86" t="str">
        <f>+IF(AF1923=$AJ$22,MONTH(U1923),"")</f>
        <v/>
      </c>
      <c r="AJ1923" s="86" t="str">
        <f>+IF(AG1923=$AJ$22,MONTH(V1923),"")</f>
        <v/>
      </c>
      <c r="AK1923" s="86" t="str">
        <f>+IF(AG1923=$AK$22,MONTH(V1923),"")</f>
        <v/>
      </c>
      <c r="AL1923" s="86" t="str">
        <f>+IF(AG1923=$AL$22,MONTH(V1923),"")</f>
        <v/>
      </c>
      <c r="AM1923" s="86" t="str">
        <f>+IF($AG1923=$AM$22,MONTH($D1923),"")</f>
        <v/>
      </c>
      <c r="AN1923" s="89" t="str">
        <f>+IF($AG1923=AN$22,MONTH($D1923),"")</f>
        <v/>
      </c>
      <c r="AO1923" s="86" t="str">
        <f>+IF($AG1923=AO$22,MONTH($D1923),"")</f>
        <v/>
      </c>
      <c r="AP1923" s="86">
        <f>+IF($AG1923=AP$22,MONTH($D1923),"")</f>
        <v>1</v>
      </c>
      <c r="AQ1923" s="86" t="str">
        <f>+IF($AG1923=AQ$22,MONTH($D1923),"")</f>
        <v/>
      </c>
      <c r="AR1923" s="86" t="str">
        <f>+IF($AG1923=AR$22,MONTH($D1923),"")</f>
        <v/>
      </c>
      <c r="AS1923" s="86" t="str">
        <f>+IF($AG1923=AS$22,MONTH($D1923),"")</f>
        <v/>
      </c>
      <c r="AT1923" s="86" t="str">
        <f>+IF($AG1923=AT$22,MONTH($D1923),"")</f>
        <v/>
      </c>
      <c r="AU1923" s="86" t="str">
        <f>+IF($AG1923=AU$22,MONTH($D1923),"")</f>
        <v/>
      </c>
      <c r="AV1923" s="86" t="str">
        <f>+IF($AG1923=AV$22,MONTH($D1923),"")</f>
        <v/>
      </c>
      <c r="AW1923" s="86" t="str">
        <f>+IF($AG1923=AW$22,MONTH($D1923),"")</f>
        <v/>
      </c>
      <c r="AX1923" s="86" t="str">
        <f>+IF($AG1923=AX$22,MONTH($D1923),"")</f>
        <v/>
      </c>
      <c r="AY1923" s="182"/>
      <c r="AZ1923" s="182"/>
      <c r="BA1923" s="182"/>
      <c r="BB1923" s="182"/>
      <c r="BC1923" s="182"/>
      <c r="BD1923" s="182"/>
      <c r="BE1923" s="182"/>
      <c r="BF1923" s="182"/>
      <c r="BG1923" s="182"/>
      <c r="BH1923" s="182"/>
      <c r="BI1923" s="182"/>
      <c r="BJ1923" s="89"/>
      <c r="BK1923" s="89"/>
      <c r="BL1923" s="89"/>
      <c r="BM1923" s="89"/>
      <c r="BN1923" s="89"/>
      <c r="BO1923" s="89"/>
      <c r="BP1923" s="89"/>
    </row>
    <row r="1924" spans="1:68" s="56" customFormat="1" ht="13.5" hidden="1">
      <c r="A1924" s="204">
        <f>+IFERROR(VALUE(MID(AB1924,4,4)),"")</f>
        <v>177</v>
      </c>
      <c r="B1924" s="204">
        <f>VALUE(RIGHT(C1924,LEN(C1924)-2))</f>
        <v>801</v>
      </c>
      <c r="C1924" s="74" t="s">
        <v>6715</v>
      </c>
      <c r="D1924" s="75">
        <v>43105</v>
      </c>
      <c r="E1924" s="70" t="s">
        <v>41</v>
      </c>
      <c r="F1924" s="70" t="s">
        <v>41</v>
      </c>
      <c r="G1924" s="68" t="s">
        <v>4675</v>
      </c>
      <c r="H1924" s="59"/>
      <c r="I1924" s="162" t="s">
        <v>6716</v>
      </c>
      <c r="J1924" s="162"/>
      <c r="K1924" s="68" t="s">
        <v>30</v>
      </c>
      <c r="L1924" s="69" t="s">
        <v>129</v>
      </c>
      <c r="M1924" s="71" t="s">
        <v>141</v>
      </c>
      <c r="N1924" s="69" t="e" vm="1">
        <v>#VALUE!</v>
      </c>
      <c r="O1924" s="164"/>
      <c r="P1924" s="72" t="s">
        <v>402</v>
      </c>
      <c r="Q1924" s="72" t="s">
        <v>229</v>
      </c>
      <c r="R1924" s="162"/>
      <c r="S1924" s="146"/>
      <c r="T1924" s="68" t="s">
        <v>3</v>
      </c>
      <c r="U1924" s="87"/>
      <c r="V1924" s="183">
        <v>43105</v>
      </c>
      <c r="W1924" s="73">
        <v>100</v>
      </c>
      <c r="X1924" s="73">
        <f>120*26800/1000000</f>
        <v>3.2160000000000002</v>
      </c>
      <c r="Y1924" s="83"/>
      <c r="Z1924" s="183"/>
      <c r="AA1924" s="183"/>
      <c r="AB1924" s="73" t="s">
        <v>6717</v>
      </c>
      <c r="AC1924" s="153"/>
      <c r="AD1924" s="331"/>
      <c r="AE1924" s="57"/>
      <c r="AF1924" s="88"/>
      <c r="AG1924" s="182">
        <f>YEAR(D1924)</f>
        <v>2018</v>
      </c>
      <c r="AH1924" s="86" t="str">
        <f>+IF(AE1924=$AJ$22,MONTH(T1924),"")</f>
        <v/>
      </c>
      <c r="AI1924" s="86" t="str">
        <f>+IF(AF1924=$AJ$22,MONTH(U1924),"")</f>
        <v/>
      </c>
      <c r="AJ1924" s="86" t="str">
        <f>+IF(AG1924=$AJ$22,MONTH(V1924),"")</f>
        <v/>
      </c>
      <c r="AK1924" s="86" t="str">
        <f>+IF(AG1924=$AK$22,MONTH(V1924),"")</f>
        <v/>
      </c>
      <c r="AL1924" s="86" t="str">
        <f>+IF(AG1924=$AL$22,MONTH(V1924),"")</f>
        <v/>
      </c>
      <c r="AM1924" s="86" t="str">
        <f>+IF($AG1924=$AM$22,MONTH($D1924),"")</f>
        <v/>
      </c>
      <c r="AN1924" s="89" t="str">
        <f>+IF($AG1924=AN$22,MONTH($D1924),"")</f>
        <v/>
      </c>
      <c r="AO1924" s="86" t="str">
        <f>+IF($AG1924=AO$22,MONTH($D1924),"")</f>
        <v/>
      </c>
      <c r="AP1924" s="86">
        <f>+IF($AG1924=AP$22,MONTH($D1924),"")</f>
        <v>1</v>
      </c>
      <c r="AQ1924" s="86" t="str">
        <f>+IF($AG1924=AQ$22,MONTH($D1924),"")</f>
        <v/>
      </c>
      <c r="AR1924" s="86" t="str">
        <f>+IF($AG1924=AR$22,MONTH($D1924),"")</f>
        <v/>
      </c>
      <c r="AS1924" s="86" t="str">
        <f>+IF($AG1924=AS$22,MONTH($D1924),"")</f>
        <v/>
      </c>
      <c r="AT1924" s="86" t="str">
        <f>+IF($AG1924=AT$22,MONTH($D1924),"")</f>
        <v/>
      </c>
      <c r="AU1924" s="86" t="str">
        <f>+IF($AG1924=AU$22,MONTH($D1924),"")</f>
        <v/>
      </c>
      <c r="AV1924" s="86" t="str">
        <f>+IF($AG1924=AV$22,MONTH($D1924),"")</f>
        <v/>
      </c>
      <c r="AW1924" s="86" t="str">
        <f>+IF($AG1924=AW$22,MONTH($D1924),"")</f>
        <v/>
      </c>
      <c r="AX1924" s="86" t="str">
        <f>+IF($AG1924=AX$22,MONTH($D1924),"")</f>
        <v/>
      </c>
      <c r="AY1924" s="182"/>
      <c r="AZ1924" s="182"/>
      <c r="BA1924" s="182"/>
      <c r="BB1924" s="182"/>
      <c r="BC1924" s="182"/>
      <c r="BD1924" s="182"/>
      <c r="BE1924" s="182"/>
      <c r="BF1924" s="182"/>
      <c r="BG1924" s="182"/>
      <c r="BH1924" s="182"/>
      <c r="BI1924" s="182"/>
      <c r="BJ1924" s="89"/>
      <c r="BK1924" s="89"/>
      <c r="BL1924" s="89"/>
      <c r="BM1924" s="89"/>
      <c r="BN1924" s="89"/>
      <c r="BO1924" s="89"/>
      <c r="BP1924" s="89"/>
    </row>
    <row r="1925" spans="1:68" s="56" customFormat="1" ht="27" hidden="1">
      <c r="A1925" s="204">
        <f>+IFERROR(VALUE(MID(AB1925,4,4)),"")</f>
        <v>158</v>
      </c>
      <c r="B1925" s="204">
        <f>VALUE(RIGHT(C1925,LEN(C1925)-2))</f>
        <v>800</v>
      </c>
      <c r="C1925" s="74" t="s">
        <v>6718</v>
      </c>
      <c r="D1925" s="75">
        <v>43104</v>
      </c>
      <c r="E1925" s="70" t="s">
        <v>41</v>
      </c>
      <c r="F1925" s="70" t="s">
        <v>41</v>
      </c>
      <c r="G1925" s="68"/>
      <c r="H1925" s="59"/>
      <c r="I1925" s="162" t="s">
        <v>6719</v>
      </c>
      <c r="J1925" s="162"/>
      <c r="K1925" s="68" t="s">
        <v>13</v>
      </c>
      <c r="L1925" s="69" t="s">
        <v>129</v>
      </c>
      <c r="M1925" s="71" t="s">
        <v>141</v>
      </c>
      <c r="N1925" s="69" t="e" vm="1">
        <v>#VALUE!</v>
      </c>
      <c r="O1925" s="164"/>
      <c r="P1925" s="72" t="s">
        <v>402</v>
      </c>
      <c r="Q1925" s="72" t="s">
        <v>837</v>
      </c>
      <c r="R1925" s="162"/>
      <c r="S1925" s="146"/>
      <c r="T1925" s="68" t="s">
        <v>3</v>
      </c>
      <c r="U1925" s="87"/>
      <c r="V1925" s="183">
        <v>43109</v>
      </c>
      <c r="W1925" s="73">
        <v>1883</v>
      </c>
      <c r="X1925" s="73">
        <f>1763*26800/1000000</f>
        <v>47.248399999999997</v>
      </c>
      <c r="Y1925" s="83">
        <f>IF(SUM(W1925:W1925)&gt;0,X1925/SUM(W1925:W1925)*1000000,"N/A")</f>
        <v>25092.087095061073</v>
      </c>
      <c r="Z1925" s="183"/>
      <c r="AA1925" s="183"/>
      <c r="AB1925" s="73" t="s">
        <v>6720</v>
      </c>
      <c r="AC1925" s="153"/>
      <c r="AD1925" s="331"/>
      <c r="AE1925" s="57"/>
      <c r="AF1925" s="88"/>
      <c r="AG1925" s="182">
        <f>YEAR(D1925)</f>
        <v>2018</v>
      </c>
      <c r="AH1925" s="86" t="str">
        <f>+IF(AE1925=$AJ$22,MONTH(T1925),"")</f>
        <v/>
      </c>
      <c r="AI1925" s="86" t="str">
        <f>+IF(AF1925=$AJ$22,MONTH(U1925),"")</f>
        <v/>
      </c>
      <c r="AJ1925" s="86" t="str">
        <f>+IF(AG1925=$AJ$22,MONTH(V1925),"")</f>
        <v/>
      </c>
      <c r="AK1925" s="86" t="str">
        <f>+IF(AG1925=$AK$22,MONTH(V1925),"")</f>
        <v/>
      </c>
      <c r="AL1925" s="86" t="str">
        <f>+IF(AG1925=$AL$22,MONTH(V1925),"")</f>
        <v/>
      </c>
      <c r="AM1925" s="86" t="str">
        <f>+IF($AG1925=$AM$22,MONTH($D1925),"")</f>
        <v/>
      </c>
      <c r="AN1925" s="89" t="str">
        <f>+IF($AG1925=AN$22,MONTH($D1925),"")</f>
        <v/>
      </c>
      <c r="AO1925" s="86" t="str">
        <f>+IF($AG1925=AO$22,MONTH($D1925),"")</f>
        <v/>
      </c>
      <c r="AP1925" s="86">
        <f>+IF($AG1925=AP$22,MONTH($D1925),"")</f>
        <v>1</v>
      </c>
      <c r="AQ1925" s="86" t="str">
        <f>+IF($AG1925=AQ$22,MONTH($D1925),"")</f>
        <v/>
      </c>
      <c r="AR1925" s="86" t="str">
        <f>+IF($AG1925=AR$22,MONTH($D1925),"")</f>
        <v/>
      </c>
      <c r="AS1925" s="86" t="str">
        <f>+IF($AG1925=AS$22,MONTH($D1925),"")</f>
        <v/>
      </c>
      <c r="AT1925" s="86" t="str">
        <f>+IF($AG1925=AT$22,MONTH($D1925),"")</f>
        <v/>
      </c>
      <c r="AU1925" s="86" t="str">
        <f>+IF($AG1925=AU$22,MONTH($D1925),"")</f>
        <v/>
      </c>
      <c r="AV1925" s="86" t="str">
        <f>+IF($AG1925=AV$22,MONTH($D1925),"")</f>
        <v/>
      </c>
      <c r="AW1925" s="86" t="str">
        <f>+IF($AG1925=AW$22,MONTH($D1925),"")</f>
        <v/>
      </c>
      <c r="AX1925" s="86" t="str">
        <f>+IF($AG1925=AX$22,MONTH($D1925),"")</f>
        <v/>
      </c>
      <c r="AY1925" s="182"/>
      <c r="AZ1925" s="182"/>
      <c r="BA1925" s="182"/>
      <c r="BB1925" s="182"/>
      <c r="BC1925" s="182"/>
      <c r="BD1925" s="182"/>
      <c r="BE1925" s="182"/>
      <c r="BF1925" s="182"/>
      <c r="BG1925" s="182"/>
      <c r="BH1925" s="182"/>
      <c r="BI1925" s="182"/>
      <c r="BJ1925" s="89"/>
      <c r="BK1925" s="89"/>
      <c r="BL1925" s="89"/>
      <c r="BM1925" s="89"/>
      <c r="BN1925" s="89"/>
      <c r="BO1925" s="89"/>
      <c r="BP1925" s="89"/>
    </row>
    <row r="1926" spans="1:68" s="56" customFormat="1" ht="53.25" hidden="1">
      <c r="A1926" s="204" t="str">
        <f>+IFERROR(VALUE(MID(AB1926,4,4)),"")</f>
        <v/>
      </c>
      <c r="B1926" s="204">
        <f>VALUE(RIGHT(C1926,LEN(C1926)-2))</f>
        <v>799</v>
      </c>
      <c r="C1926" s="74" t="s">
        <v>6721</v>
      </c>
      <c r="D1926" s="75">
        <v>43102</v>
      </c>
      <c r="E1926" s="70" t="s">
        <v>76</v>
      </c>
      <c r="F1926" s="70" t="s">
        <v>332</v>
      </c>
      <c r="G1926" s="68"/>
      <c r="H1926" s="59"/>
      <c r="I1926" s="162" t="s">
        <v>6722</v>
      </c>
      <c r="J1926" s="162"/>
      <c r="K1926" s="68" t="s">
        <v>25</v>
      </c>
      <c r="L1926" s="69" t="s">
        <v>120</v>
      </c>
      <c r="M1926" s="71" t="s">
        <v>141</v>
      </c>
      <c r="N1926" s="69" t="e" vm="1">
        <v>#VALUE!</v>
      </c>
      <c r="O1926" s="164"/>
      <c r="P1926" s="72" t="s">
        <v>402</v>
      </c>
      <c r="Q1926" s="72"/>
      <c r="R1926" s="162"/>
      <c r="S1926" s="146" t="s">
        <v>6723</v>
      </c>
      <c r="T1926" s="68" t="s">
        <v>165</v>
      </c>
      <c r="U1926" s="87"/>
      <c r="V1926" s="183">
        <v>43110</v>
      </c>
      <c r="W1926" s="73">
        <v>36</v>
      </c>
      <c r="X1926" s="73">
        <f>72*26800/1000000</f>
        <v>1.9296</v>
      </c>
      <c r="Y1926" s="83">
        <f>IF(SUM(W1926:W1926)&gt;0,X1926/SUM(W1926:W1926)*1000000,"N/A")</f>
        <v>53600</v>
      </c>
      <c r="Z1926" s="183"/>
      <c r="AA1926" s="183"/>
      <c r="AB1926" s="73"/>
      <c r="AC1926" s="153"/>
      <c r="AD1926" s="331"/>
      <c r="AE1926" s="57"/>
      <c r="AF1926" s="88"/>
      <c r="AG1926" s="182">
        <f>YEAR(D1926)</f>
        <v>2018</v>
      </c>
      <c r="AH1926" s="86" t="str">
        <f>+IF(AE1926=$AJ$22,MONTH(T1926),"")</f>
        <v/>
      </c>
      <c r="AI1926" s="86" t="str">
        <f>+IF(AF1926=$AJ$22,MONTH(U1926),"")</f>
        <v/>
      </c>
      <c r="AJ1926" s="86" t="str">
        <f>+IF(AG1926=$AJ$22,MONTH(V1926),"")</f>
        <v/>
      </c>
      <c r="AK1926" s="86" t="str">
        <f>+IF(AG1926=$AK$22,MONTH(V1926),"")</f>
        <v/>
      </c>
      <c r="AL1926" s="86" t="str">
        <f>+IF(AG1926=$AL$22,MONTH(V1926),"")</f>
        <v/>
      </c>
      <c r="AM1926" s="86" t="str">
        <f>+IF($AG1926=$AM$22,MONTH($D1926),"")</f>
        <v/>
      </c>
      <c r="AN1926" s="89" t="str">
        <f>+IF($AG1926=AN$22,MONTH($D1926),"")</f>
        <v/>
      </c>
      <c r="AO1926" s="86" t="str">
        <f>+IF($AG1926=AO$22,MONTH($D1926),"")</f>
        <v/>
      </c>
      <c r="AP1926" s="86">
        <f>+IF($AG1926=AP$22,MONTH($D1926),"")</f>
        <v>1</v>
      </c>
      <c r="AQ1926" s="86" t="str">
        <f>+IF($AG1926=AQ$22,MONTH($D1926),"")</f>
        <v/>
      </c>
      <c r="AR1926" s="86" t="str">
        <f>+IF($AG1926=AR$22,MONTH($D1926),"")</f>
        <v/>
      </c>
      <c r="AS1926" s="86" t="str">
        <f>+IF($AG1926=AS$22,MONTH($D1926),"")</f>
        <v/>
      </c>
      <c r="AT1926" s="86" t="str">
        <f>+IF($AG1926=AT$22,MONTH($D1926),"")</f>
        <v/>
      </c>
      <c r="AU1926" s="86" t="str">
        <f>+IF($AG1926=AU$22,MONTH($D1926),"")</f>
        <v/>
      </c>
      <c r="AV1926" s="86" t="str">
        <f>+IF($AG1926=AV$22,MONTH($D1926),"")</f>
        <v/>
      </c>
      <c r="AW1926" s="86" t="str">
        <f>+IF($AG1926=AW$22,MONTH($D1926),"")</f>
        <v/>
      </c>
      <c r="AX1926" s="86" t="str">
        <f>+IF($AG1926=AX$22,MONTH($D1926),"")</f>
        <v/>
      </c>
      <c r="AY1926" s="182"/>
      <c r="AZ1926" s="182"/>
      <c r="BA1926" s="182"/>
      <c r="BB1926" s="182"/>
      <c r="BC1926" s="182"/>
      <c r="BD1926" s="182"/>
      <c r="BE1926" s="182"/>
      <c r="BF1926" s="182"/>
      <c r="BG1926" s="182"/>
      <c r="BH1926" s="182"/>
      <c r="BI1926" s="182"/>
      <c r="BJ1926" s="89"/>
      <c r="BK1926" s="89"/>
      <c r="BL1926" s="89"/>
      <c r="BM1926" s="89"/>
      <c r="BN1926" s="89"/>
      <c r="BO1926" s="89"/>
      <c r="BP1926" s="89"/>
    </row>
    <row r="1927" spans="1:68" s="56" customFormat="1" ht="13.5" hidden="1">
      <c r="A1927" s="204" t="str">
        <f>+IFERROR(VALUE(MID(AB1927,4,4)),"")</f>
        <v/>
      </c>
      <c r="B1927" s="204">
        <f>VALUE(RIGHT(C1927,LEN(C1927)-2))</f>
        <v>798</v>
      </c>
      <c r="C1927" s="74" t="s">
        <v>6724</v>
      </c>
      <c r="D1927" s="75">
        <v>43087</v>
      </c>
      <c r="E1927" s="70" t="s">
        <v>685</v>
      </c>
      <c r="F1927" s="70" t="s">
        <v>685</v>
      </c>
      <c r="G1927" s="68" t="s">
        <v>6725</v>
      </c>
      <c r="H1927" s="59"/>
      <c r="I1927" s="162" t="s">
        <v>6726</v>
      </c>
      <c r="J1927" s="162"/>
      <c r="K1927" s="68" t="s">
        <v>27</v>
      </c>
      <c r="L1927" s="69" t="s">
        <v>120</v>
      </c>
      <c r="M1927" s="71" t="s">
        <v>141</v>
      </c>
      <c r="N1927" s="69" t="e" vm="1">
        <v>#VALUE!</v>
      </c>
      <c r="O1927" s="164"/>
      <c r="P1927" s="72" t="s">
        <v>402</v>
      </c>
      <c r="Q1927" s="72"/>
      <c r="R1927" s="162"/>
      <c r="S1927" s="146"/>
      <c r="T1927" s="68" t="s">
        <v>165</v>
      </c>
      <c r="U1927" s="87"/>
      <c r="V1927" s="183">
        <v>43090</v>
      </c>
      <c r="W1927" s="73">
        <v>2273</v>
      </c>
      <c r="X1927" s="73">
        <v>77.686999999999998</v>
      </c>
      <c r="Y1927" s="83">
        <f>IF(SUM(W1927:W1927)&gt;0,X1927/SUM(W1927:W1927)*1000000,"N/A")</f>
        <v>34178.178618565769</v>
      </c>
      <c r="Z1927" s="183"/>
      <c r="AA1927" s="183"/>
      <c r="AB1927" s="73"/>
      <c r="AC1927" s="153"/>
      <c r="AD1927" s="331"/>
      <c r="AE1927" s="57"/>
      <c r="AF1927" s="88"/>
      <c r="AG1927" s="182">
        <f>YEAR(D1927)</f>
        <v>2017</v>
      </c>
      <c r="AH1927" s="86" t="str">
        <f>+IF(AE1927=$AJ$22,MONTH(T1927),"")</f>
        <v/>
      </c>
      <c r="AI1927" s="86" t="str">
        <f>+IF(AF1927=$AJ$22,MONTH(U1927),"")</f>
        <v/>
      </c>
      <c r="AJ1927" s="86" t="str">
        <f>+IF(AG1927=$AJ$22,MONTH(V1927),"")</f>
        <v/>
      </c>
      <c r="AK1927" s="86" t="str">
        <f>+IF(AG1927=$AK$22,MONTH(V1927),"")</f>
        <v/>
      </c>
      <c r="AL1927" s="86" t="str">
        <f>+IF(AG1927=$AL$22,MONTH(V1927),"")</f>
        <v/>
      </c>
      <c r="AM1927" s="86" t="str">
        <f>+IF($AG1927=$AM$22,MONTH($D1927),"")</f>
        <v/>
      </c>
      <c r="AN1927" s="89" t="str">
        <f>+IF($AG1927=AN$22,MONTH($D1927),"")</f>
        <v/>
      </c>
      <c r="AO1927" s="86" t="str">
        <f>+IF($AG1927=AO$22,MONTH($D1927),"")</f>
        <v/>
      </c>
      <c r="AP1927" s="86" t="str">
        <f>+IF($AG1927=AP$22,MONTH($D1927),"")</f>
        <v/>
      </c>
      <c r="AQ1927" s="86">
        <f>+IF($AG1927=AQ$22,MONTH($D1927),"")</f>
        <v>12</v>
      </c>
      <c r="AR1927" s="86" t="str">
        <f>+IF($AG1927=AR$22,MONTH($D1927),"")</f>
        <v/>
      </c>
      <c r="AS1927" s="86" t="str">
        <f>+IF($AG1927=AS$22,MONTH($D1927),"")</f>
        <v/>
      </c>
      <c r="AT1927" s="86" t="str">
        <f>+IF($AG1927=AT$22,MONTH($D1927),"")</f>
        <v/>
      </c>
      <c r="AU1927" s="86" t="str">
        <f>+IF($AG1927=AU$22,MONTH($D1927),"")</f>
        <v/>
      </c>
      <c r="AV1927" s="86" t="str">
        <f>+IF($AG1927=AV$22,MONTH($D1927),"")</f>
        <v/>
      </c>
      <c r="AW1927" s="86" t="str">
        <f>+IF($AG1927=AW$22,MONTH($D1927),"")</f>
        <v/>
      </c>
      <c r="AX1927" s="86" t="str">
        <f>+IF($AG1927=AX$22,MONTH($D1927),"")</f>
        <v/>
      </c>
      <c r="AY1927" s="182"/>
      <c r="AZ1927" s="182"/>
      <c r="BA1927" s="182"/>
      <c r="BB1927" s="182"/>
      <c r="BC1927" s="182"/>
      <c r="BD1927" s="182"/>
      <c r="BE1927" s="182"/>
      <c r="BF1927" s="182"/>
      <c r="BG1927" s="182"/>
      <c r="BH1927" s="182"/>
      <c r="BI1927" s="182"/>
      <c r="BJ1927" s="89"/>
      <c r="BK1927" s="89"/>
      <c r="BL1927" s="89"/>
      <c r="BM1927" s="89"/>
      <c r="BN1927" s="89"/>
      <c r="BO1927" s="89"/>
      <c r="BP1927" s="89"/>
    </row>
    <row r="1928" spans="1:68" s="56" customFormat="1" ht="13.5" hidden="1">
      <c r="A1928" s="204" t="str">
        <f>+IFERROR(VALUE(MID(AB1928,4,4)),"")</f>
        <v/>
      </c>
      <c r="B1928" s="204">
        <f>VALUE(RIGHT(C1928,LEN(C1928)-2))</f>
        <v>797</v>
      </c>
      <c r="C1928" s="74" t="s">
        <v>6727</v>
      </c>
      <c r="D1928" s="75">
        <v>43087</v>
      </c>
      <c r="E1928" s="70" t="s">
        <v>6728</v>
      </c>
      <c r="F1928" s="70"/>
      <c r="G1928" s="68" t="s">
        <v>6729</v>
      </c>
      <c r="H1928" s="59"/>
      <c r="I1928" s="162" t="s">
        <v>6730</v>
      </c>
      <c r="J1928" s="162"/>
      <c r="K1928" s="68" t="s">
        <v>12</v>
      </c>
      <c r="L1928" s="69" t="s">
        <v>120</v>
      </c>
      <c r="M1928" s="71" t="s">
        <v>141</v>
      </c>
      <c r="N1928" s="69" t="e" vm="1">
        <v>#VALUE!</v>
      </c>
      <c r="O1928" s="164"/>
      <c r="P1928" s="72" t="s">
        <v>274</v>
      </c>
      <c r="Q1928" s="72"/>
      <c r="R1928" s="162"/>
      <c r="S1928" s="146"/>
      <c r="T1928" s="68" t="s">
        <v>165</v>
      </c>
      <c r="U1928" s="87"/>
      <c r="V1928" s="183">
        <v>43090</v>
      </c>
      <c r="W1928" s="73">
        <v>815</v>
      </c>
      <c r="X1928" s="73">
        <f>52430*620/1000000</f>
        <v>32.506599999999999</v>
      </c>
      <c r="Y1928" s="83">
        <f>IF(SUM(W1928:W1928)&gt;0,X1928/SUM(W1928:W1928)*1000000,"N/A")</f>
        <v>39885.398773006134</v>
      </c>
      <c r="Z1928" s="183"/>
      <c r="AA1928" s="183"/>
      <c r="AB1928" s="73"/>
      <c r="AC1928" s="153"/>
      <c r="AD1928" s="331"/>
      <c r="AE1928" s="57"/>
      <c r="AF1928" s="88"/>
      <c r="AG1928" s="182">
        <f>YEAR(D1928)</f>
        <v>2017</v>
      </c>
      <c r="AH1928" s="86" t="str">
        <f>+IF(AE1928=$AJ$22,MONTH(T1928),"")</f>
        <v/>
      </c>
      <c r="AI1928" s="86" t="str">
        <f>+IF(AF1928=$AJ$22,MONTH(U1928),"")</f>
        <v/>
      </c>
      <c r="AJ1928" s="86" t="str">
        <f>+IF(AG1928=$AJ$22,MONTH(V1928),"")</f>
        <v/>
      </c>
      <c r="AK1928" s="86" t="str">
        <f>+IF(AG1928=$AK$22,MONTH(V1928),"")</f>
        <v/>
      </c>
      <c r="AL1928" s="86" t="str">
        <f>+IF(AG1928=$AL$22,MONTH(V1928),"")</f>
        <v/>
      </c>
      <c r="AM1928" s="86" t="str">
        <f>+IF($AG1928=$AM$22,MONTH($D1928),"")</f>
        <v/>
      </c>
      <c r="AN1928" s="89" t="str">
        <f>+IF($AG1928=AN$22,MONTH($D1928),"")</f>
        <v/>
      </c>
      <c r="AO1928" s="86" t="str">
        <f>+IF($AG1928=AO$22,MONTH($D1928),"")</f>
        <v/>
      </c>
      <c r="AP1928" s="86" t="str">
        <f>+IF($AG1928=AP$22,MONTH($D1928),"")</f>
        <v/>
      </c>
      <c r="AQ1928" s="86">
        <f>+IF($AG1928=AQ$22,MONTH($D1928),"")</f>
        <v>12</v>
      </c>
      <c r="AR1928" s="86" t="str">
        <f>+IF($AG1928=AR$22,MONTH($D1928),"")</f>
        <v/>
      </c>
      <c r="AS1928" s="86" t="str">
        <f>+IF($AG1928=AS$22,MONTH($D1928),"")</f>
        <v/>
      </c>
      <c r="AT1928" s="86" t="str">
        <f>+IF($AG1928=AT$22,MONTH($D1928),"")</f>
        <v/>
      </c>
      <c r="AU1928" s="86" t="str">
        <f>+IF($AG1928=AU$22,MONTH($D1928),"")</f>
        <v/>
      </c>
      <c r="AV1928" s="86" t="str">
        <f>+IF($AG1928=AV$22,MONTH($D1928),"")</f>
        <v/>
      </c>
      <c r="AW1928" s="86" t="str">
        <f>+IF($AG1928=AW$22,MONTH($D1928),"")</f>
        <v/>
      </c>
      <c r="AX1928" s="86" t="str">
        <f>+IF($AG1928=AX$22,MONTH($D1928),"")</f>
        <v/>
      </c>
      <c r="AY1928" s="182"/>
      <c r="AZ1928" s="182"/>
      <c r="BA1928" s="182"/>
      <c r="BB1928" s="182"/>
      <c r="BC1928" s="182"/>
      <c r="BD1928" s="182"/>
      <c r="BE1928" s="182"/>
      <c r="BF1928" s="182"/>
      <c r="BG1928" s="182"/>
      <c r="BH1928" s="182"/>
      <c r="BI1928" s="182"/>
      <c r="BJ1928" s="89"/>
      <c r="BK1928" s="89"/>
      <c r="BL1928" s="89"/>
      <c r="BM1928" s="89"/>
      <c r="BN1928" s="89"/>
      <c r="BO1928" s="89"/>
      <c r="BP1928" s="89"/>
    </row>
    <row r="1929" spans="1:68" s="56" customFormat="1" ht="27" hidden="1">
      <c r="A1929" s="204">
        <f>+IFERROR(VALUE(MID(AB1929,4,4)),"")</f>
        <v>158</v>
      </c>
      <c r="B1929" s="204">
        <f>VALUE(RIGHT(C1929,LEN(C1929)-2))</f>
        <v>796</v>
      </c>
      <c r="C1929" s="74" t="s">
        <v>6731</v>
      </c>
      <c r="D1929" s="75">
        <v>43082</v>
      </c>
      <c r="E1929" s="70" t="s">
        <v>41</v>
      </c>
      <c r="F1929" s="70" t="s">
        <v>41</v>
      </c>
      <c r="G1929" s="68"/>
      <c r="H1929" s="59"/>
      <c r="I1929" s="162" t="s">
        <v>6732</v>
      </c>
      <c r="J1929" s="162"/>
      <c r="K1929" s="68" t="s">
        <v>13</v>
      </c>
      <c r="L1929" s="69" t="s">
        <v>123</v>
      </c>
      <c r="M1929" s="71" t="s">
        <v>141</v>
      </c>
      <c r="N1929" s="69" t="e" vm="1">
        <v>#VALUE!</v>
      </c>
      <c r="O1929" s="164"/>
      <c r="P1929" s="72" t="s">
        <v>402</v>
      </c>
      <c r="Q1929" s="72" t="s">
        <v>623</v>
      </c>
      <c r="R1929" s="162"/>
      <c r="S1929" s="146"/>
      <c r="T1929" s="68" t="s">
        <v>3</v>
      </c>
      <c r="U1929" s="87"/>
      <c r="V1929" s="183">
        <v>43090</v>
      </c>
      <c r="W1929" s="73">
        <v>441</v>
      </c>
      <c r="X1929" s="73">
        <f>420*26600/1000000</f>
        <v>11.172000000000001</v>
      </c>
      <c r="Y1929" s="83">
        <f>IF(SUM(W1929:W1929)&gt;0,X1929/SUM(W1929:W1929)*1000000,"N/A")</f>
        <v>25333.333333333336</v>
      </c>
      <c r="Z1929" s="183"/>
      <c r="AA1929" s="183"/>
      <c r="AB1929" s="73" t="s">
        <v>6733</v>
      </c>
      <c r="AC1929" s="153"/>
      <c r="AD1929" s="331"/>
      <c r="AE1929" s="57"/>
      <c r="AF1929" s="88"/>
      <c r="AG1929" s="182">
        <f>YEAR(D1929)</f>
        <v>2017</v>
      </c>
      <c r="AH1929" s="86" t="str">
        <f>+IF(AE1929=$AJ$22,MONTH(T1929),"")</f>
        <v/>
      </c>
      <c r="AI1929" s="86" t="str">
        <f>+IF(AF1929=$AJ$22,MONTH(U1929),"")</f>
        <v/>
      </c>
      <c r="AJ1929" s="86" t="str">
        <f>+IF(AG1929=$AJ$22,MONTH(V1929),"")</f>
        <v/>
      </c>
      <c r="AK1929" s="86" t="str">
        <f>+IF(AG1929=$AK$22,MONTH(V1929),"")</f>
        <v/>
      </c>
      <c r="AL1929" s="86" t="str">
        <f>+IF(AG1929=$AL$22,MONTH(V1929),"")</f>
        <v/>
      </c>
      <c r="AM1929" s="86" t="str">
        <f>+IF($AG1929=$AM$22,MONTH($D1929),"")</f>
        <v/>
      </c>
      <c r="AN1929" s="89" t="str">
        <f>+IF($AG1929=AN$22,MONTH($D1929),"")</f>
        <v/>
      </c>
      <c r="AO1929" s="86" t="str">
        <f>+IF($AG1929=AO$22,MONTH($D1929),"")</f>
        <v/>
      </c>
      <c r="AP1929" s="86" t="str">
        <f>+IF($AG1929=AP$22,MONTH($D1929),"")</f>
        <v/>
      </c>
      <c r="AQ1929" s="86">
        <f>+IF($AG1929=AQ$22,MONTH($D1929),"")</f>
        <v>12</v>
      </c>
      <c r="AR1929" s="86" t="str">
        <f>+IF($AG1929=AR$22,MONTH($D1929),"")</f>
        <v/>
      </c>
      <c r="AS1929" s="86" t="str">
        <f>+IF($AG1929=AS$22,MONTH($D1929),"")</f>
        <v/>
      </c>
      <c r="AT1929" s="86" t="str">
        <f>+IF($AG1929=AT$22,MONTH($D1929),"")</f>
        <v/>
      </c>
      <c r="AU1929" s="86" t="str">
        <f>+IF($AG1929=AU$22,MONTH($D1929),"")</f>
        <v/>
      </c>
      <c r="AV1929" s="86" t="str">
        <f>+IF($AG1929=AV$22,MONTH($D1929),"")</f>
        <v/>
      </c>
      <c r="AW1929" s="86" t="str">
        <f>+IF($AG1929=AW$22,MONTH($D1929),"")</f>
        <v/>
      </c>
      <c r="AX1929" s="86" t="str">
        <f>+IF($AG1929=AX$22,MONTH($D1929),"")</f>
        <v/>
      </c>
      <c r="AY1929" s="182"/>
      <c r="AZ1929" s="182"/>
      <c r="BA1929" s="182"/>
      <c r="BB1929" s="182"/>
      <c r="BC1929" s="182"/>
      <c r="BD1929" s="182"/>
      <c r="BE1929" s="182"/>
      <c r="BF1929" s="182"/>
      <c r="BG1929" s="182"/>
      <c r="BH1929" s="182"/>
      <c r="BI1929" s="182"/>
      <c r="BJ1929" s="89"/>
      <c r="BK1929" s="89"/>
      <c r="BL1929" s="89"/>
      <c r="BM1929" s="89"/>
      <c r="BN1929" s="89"/>
      <c r="BO1929" s="89"/>
      <c r="BP1929" s="89"/>
    </row>
    <row r="1930" spans="1:68" s="56" customFormat="1" ht="13.5" hidden="1">
      <c r="A1930" s="204" t="str">
        <f>+IFERROR(VALUE(MID(AB1930,4,4)),"")</f>
        <v/>
      </c>
      <c r="B1930" s="204">
        <f>VALUE(RIGHT(C1930,LEN(C1930)-2))</f>
        <v>795</v>
      </c>
      <c r="C1930" s="74" t="s">
        <v>6734</v>
      </c>
      <c r="D1930" s="75">
        <v>43080</v>
      </c>
      <c r="E1930" s="70" t="s">
        <v>685</v>
      </c>
      <c r="F1930" s="70" t="s">
        <v>685</v>
      </c>
      <c r="G1930" s="68" t="s">
        <v>6735</v>
      </c>
      <c r="H1930" s="59"/>
      <c r="I1930" s="162" t="s">
        <v>6736</v>
      </c>
      <c r="J1930" s="162"/>
      <c r="K1930" s="68" t="s">
        <v>30</v>
      </c>
      <c r="L1930" s="69" t="s">
        <v>123</v>
      </c>
      <c r="M1930" s="71" t="s">
        <v>141</v>
      </c>
      <c r="N1930" s="69" t="e" vm="1">
        <v>#VALUE!</v>
      </c>
      <c r="O1930" s="164"/>
      <c r="P1930" s="72" t="s">
        <v>402</v>
      </c>
      <c r="Q1930" s="72"/>
      <c r="R1930" s="162"/>
      <c r="S1930" s="146"/>
      <c r="T1930" s="68" t="s">
        <v>165</v>
      </c>
      <c r="U1930" s="87"/>
      <c r="V1930" s="183">
        <v>43090</v>
      </c>
      <c r="W1930" s="73">
        <v>1100</v>
      </c>
      <c r="X1930" s="73">
        <v>37.565494999999999</v>
      </c>
      <c r="Y1930" s="83">
        <f>IF(SUM(W1930:W1930)&gt;0,X1930/SUM(W1930:W1930)*1000000,"N/A")</f>
        <v>34150.449999999997</v>
      </c>
      <c r="Z1930" s="183"/>
      <c r="AA1930" s="183"/>
      <c r="AB1930" s="73"/>
      <c r="AC1930" s="153"/>
      <c r="AD1930" s="331"/>
      <c r="AE1930" s="57"/>
      <c r="AF1930" s="88"/>
      <c r="AG1930" s="182">
        <f>YEAR(D1930)</f>
        <v>2017</v>
      </c>
      <c r="AH1930" s="86" t="str">
        <f>+IF(AE1930=$AJ$22,MONTH(T1930),"")</f>
        <v/>
      </c>
      <c r="AI1930" s="86" t="str">
        <f>+IF(AF1930=$AJ$22,MONTH(U1930),"")</f>
        <v/>
      </c>
      <c r="AJ1930" s="86" t="str">
        <f>+IF(AG1930=$AJ$22,MONTH(V1930),"")</f>
        <v/>
      </c>
      <c r="AK1930" s="86" t="str">
        <f>+IF(AG1930=$AK$22,MONTH(V1930),"")</f>
        <v/>
      </c>
      <c r="AL1930" s="86" t="str">
        <f>+IF(AG1930=$AL$22,MONTH(V1930),"")</f>
        <v/>
      </c>
      <c r="AM1930" s="86" t="str">
        <f>+IF($AG1930=$AM$22,MONTH($D1930),"")</f>
        <v/>
      </c>
      <c r="AN1930" s="89" t="str">
        <f>+IF($AG1930=AN$22,MONTH($D1930),"")</f>
        <v/>
      </c>
      <c r="AO1930" s="86" t="str">
        <f>+IF($AG1930=AO$22,MONTH($D1930),"")</f>
        <v/>
      </c>
      <c r="AP1930" s="86" t="str">
        <f>+IF($AG1930=AP$22,MONTH($D1930),"")</f>
        <v/>
      </c>
      <c r="AQ1930" s="86">
        <f>+IF($AG1930=AQ$22,MONTH($D1930),"")</f>
        <v>12</v>
      </c>
      <c r="AR1930" s="86" t="str">
        <f>+IF($AG1930=AR$22,MONTH($D1930),"")</f>
        <v/>
      </c>
      <c r="AS1930" s="86" t="str">
        <f>+IF($AG1930=AS$22,MONTH($D1930),"")</f>
        <v/>
      </c>
      <c r="AT1930" s="86" t="str">
        <f>+IF($AG1930=AT$22,MONTH($D1930),"")</f>
        <v/>
      </c>
      <c r="AU1930" s="86" t="str">
        <f>+IF($AG1930=AU$22,MONTH($D1930),"")</f>
        <v/>
      </c>
      <c r="AV1930" s="86" t="str">
        <f>+IF($AG1930=AV$22,MONTH($D1930),"")</f>
        <v/>
      </c>
      <c r="AW1930" s="86" t="str">
        <f>+IF($AG1930=AW$22,MONTH($D1930),"")</f>
        <v/>
      </c>
      <c r="AX1930" s="86" t="str">
        <f>+IF($AG1930=AX$22,MONTH($D1930),"")</f>
        <v/>
      </c>
      <c r="AY1930" s="182"/>
      <c r="AZ1930" s="182"/>
      <c r="BA1930" s="182"/>
      <c r="BB1930" s="182"/>
      <c r="BC1930" s="182"/>
      <c r="BD1930" s="182"/>
      <c r="BE1930" s="182"/>
      <c r="BF1930" s="182"/>
      <c r="BG1930" s="182"/>
      <c r="BH1930" s="182"/>
      <c r="BI1930" s="182"/>
      <c r="BJ1930" s="89"/>
      <c r="BK1930" s="89"/>
      <c r="BL1930" s="89"/>
      <c r="BM1930" s="89"/>
      <c r="BN1930" s="89"/>
      <c r="BO1930" s="89"/>
      <c r="BP1930" s="89"/>
    </row>
    <row r="1931" spans="1:68" s="56" customFormat="1" ht="40.5" hidden="1">
      <c r="A1931" s="204" t="str">
        <f>+IFERROR(VALUE(MID(AB1931,4,4)),"")</f>
        <v/>
      </c>
      <c r="B1931" s="204">
        <f>VALUE(RIGHT(C1931,LEN(C1931)-2))</f>
        <v>794</v>
      </c>
      <c r="C1931" s="74" t="s">
        <v>6737</v>
      </c>
      <c r="D1931" s="75">
        <v>43075</v>
      </c>
      <c r="E1931" s="70" t="s">
        <v>332</v>
      </c>
      <c r="F1931" s="70" t="s">
        <v>332</v>
      </c>
      <c r="G1931" s="68" t="s">
        <v>6738</v>
      </c>
      <c r="H1931" s="59"/>
      <c r="I1931" s="162" t="s">
        <v>6739</v>
      </c>
      <c r="J1931" s="162"/>
      <c r="K1931" s="68" t="s">
        <v>13</v>
      </c>
      <c r="L1931" s="69" t="s">
        <v>123</v>
      </c>
      <c r="M1931" s="71" t="s">
        <v>141</v>
      </c>
      <c r="N1931" s="69" t="e" vm="1">
        <v>#VALUE!</v>
      </c>
      <c r="O1931" s="164"/>
      <c r="P1931" s="72" t="s">
        <v>274</v>
      </c>
      <c r="Q1931" s="72"/>
      <c r="R1931" s="162"/>
      <c r="S1931" s="146" t="s">
        <v>6740</v>
      </c>
      <c r="T1931" s="68" t="s">
        <v>165</v>
      </c>
      <c r="U1931" s="87"/>
      <c r="V1931" s="183">
        <v>43144</v>
      </c>
      <c r="W1931" s="73">
        <v>6996</v>
      </c>
      <c r="X1931" s="73">
        <v>270.727915</v>
      </c>
      <c r="Y1931" s="83">
        <f>IF(SUM(W1931:W1931)&gt;0,X1931/SUM(W1931:W1931)*1000000,"N/A")</f>
        <v>38697.529302458548</v>
      </c>
      <c r="Z1931" s="183"/>
      <c r="AA1931" s="183"/>
      <c r="AB1931" s="73"/>
      <c r="AC1931" s="153"/>
      <c r="AD1931" s="331"/>
      <c r="AE1931" s="57"/>
      <c r="AF1931" s="88"/>
      <c r="AG1931" s="182">
        <f>YEAR(D1931)</f>
        <v>2017</v>
      </c>
      <c r="AH1931" s="86" t="str">
        <f>+IF(AE1931=$AJ$22,MONTH(T1931),"")</f>
        <v/>
      </c>
      <c r="AI1931" s="86" t="str">
        <f>+IF(AF1931=$AJ$22,MONTH(U1931),"")</f>
        <v/>
      </c>
      <c r="AJ1931" s="86" t="str">
        <f>+IF(AG1931=$AJ$22,MONTH(V1931),"")</f>
        <v/>
      </c>
      <c r="AK1931" s="86" t="str">
        <f>+IF(AG1931=$AK$22,MONTH(V1931),"")</f>
        <v/>
      </c>
      <c r="AL1931" s="86" t="str">
        <f>+IF(AG1931=$AL$22,MONTH(V1931),"")</f>
        <v/>
      </c>
      <c r="AM1931" s="86" t="str">
        <f>+IF($AG1931=$AM$22,MONTH($D1931),"")</f>
        <v/>
      </c>
      <c r="AN1931" s="89" t="str">
        <f>+IF($AG1931=AN$22,MONTH($D1931),"")</f>
        <v/>
      </c>
      <c r="AO1931" s="86" t="str">
        <f>+IF($AG1931=AO$22,MONTH($D1931),"")</f>
        <v/>
      </c>
      <c r="AP1931" s="86" t="str">
        <f>+IF($AG1931=AP$22,MONTH($D1931),"")</f>
        <v/>
      </c>
      <c r="AQ1931" s="86">
        <f>+IF($AG1931=AQ$22,MONTH($D1931),"")</f>
        <v>12</v>
      </c>
      <c r="AR1931" s="86" t="str">
        <f>+IF($AG1931=AR$22,MONTH($D1931),"")</f>
        <v/>
      </c>
      <c r="AS1931" s="86" t="str">
        <f>+IF($AG1931=AS$22,MONTH($D1931),"")</f>
        <v/>
      </c>
      <c r="AT1931" s="86" t="str">
        <f>+IF($AG1931=AT$22,MONTH($D1931),"")</f>
        <v/>
      </c>
      <c r="AU1931" s="86" t="str">
        <f>+IF($AG1931=AU$22,MONTH($D1931),"")</f>
        <v/>
      </c>
      <c r="AV1931" s="86" t="str">
        <f>+IF($AG1931=AV$22,MONTH($D1931),"")</f>
        <v/>
      </c>
      <c r="AW1931" s="86" t="str">
        <f>+IF($AG1931=AW$22,MONTH($D1931),"")</f>
        <v/>
      </c>
      <c r="AX1931" s="86" t="str">
        <f>+IF($AG1931=AX$22,MONTH($D1931),"")</f>
        <v/>
      </c>
      <c r="AY1931" s="182"/>
      <c r="AZ1931" s="182"/>
      <c r="BA1931" s="182"/>
      <c r="BB1931" s="182"/>
      <c r="BC1931" s="182"/>
      <c r="BD1931" s="182"/>
      <c r="BE1931" s="182"/>
      <c r="BF1931" s="182"/>
      <c r="BG1931" s="182"/>
      <c r="BH1931" s="182"/>
      <c r="BI1931" s="182"/>
      <c r="BJ1931" s="89"/>
      <c r="BK1931" s="89"/>
      <c r="BL1931" s="89"/>
      <c r="BM1931" s="89"/>
      <c r="BN1931" s="89"/>
      <c r="BO1931" s="89"/>
      <c r="BP1931" s="89"/>
    </row>
    <row r="1932" spans="1:68" s="56" customFormat="1" ht="27" hidden="1">
      <c r="A1932" s="204">
        <f>+IFERROR(VALUE(MID(AB1932,4,4)),"")</f>
        <v>178</v>
      </c>
      <c r="B1932" s="204">
        <f>VALUE(RIGHT(C1932,LEN(C1932)-2))</f>
        <v>793</v>
      </c>
      <c r="C1932" s="74" t="s">
        <v>6741</v>
      </c>
      <c r="D1932" s="75">
        <v>43074</v>
      </c>
      <c r="E1932" s="70" t="s">
        <v>262</v>
      </c>
      <c r="F1932" s="70" t="s">
        <v>270</v>
      </c>
      <c r="G1932" s="68" t="s">
        <v>5978</v>
      </c>
      <c r="H1932" s="59"/>
      <c r="I1932" s="162" t="s">
        <v>6742</v>
      </c>
      <c r="J1932" s="162"/>
      <c r="K1932" s="68" t="s">
        <v>31</v>
      </c>
      <c r="L1932" s="69" t="s">
        <v>120</v>
      </c>
      <c r="M1932" s="71" t="s">
        <v>141</v>
      </c>
      <c r="N1932" s="69" t="e" vm="1">
        <v>#VALUE!</v>
      </c>
      <c r="O1932" s="164"/>
      <c r="P1932" s="72" t="s">
        <v>402</v>
      </c>
      <c r="Q1932" s="72" t="s">
        <v>623</v>
      </c>
      <c r="R1932" s="162"/>
      <c r="S1932" s="146"/>
      <c r="T1932" s="68" t="s">
        <v>3</v>
      </c>
      <c r="U1932" s="87"/>
      <c r="V1932" s="183">
        <v>43081</v>
      </c>
      <c r="W1932" s="73">
        <v>1750</v>
      </c>
      <c r="X1932" s="73">
        <f>5000*26800/1000000</f>
        <v>134</v>
      </c>
      <c r="Y1932" s="83">
        <f>IF(SUM(W1932:W1932)&gt;0,X1932/SUM(W1932:W1932)*1000000,"N/A")</f>
        <v>76571.428571428565</v>
      </c>
      <c r="Z1932" s="183"/>
      <c r="AA1932" s="183"/>
      <c r="AB1932" s="73" t="s">
        <v>5981</v>
      </c>
      <c r="AC1932" s="153"/>
      <c r="AD1932" s="331"/>
      <c r="AE1932" s="57"/>
      <c r="AF1932" s="88"/>
      <c r="AG1932" s="182">
        <f>YEAR(D1932)</f>
        <v>2017</v>
      </c>
      <c r="AH1932" s="86" t="str">
        <f>+IF(AE1932=$AJ$22,MONTH(T1932),"")</f>
        <v/>
      </c>
      <c r="AI1932" s="86" t="str">
        <f>+IF(AF1932=$AJ$22,MONTH(U1932),"")</f>
        <v/>
      </c>
      <c r="AJ1932" s="86" t="str">
        <f>+IF(AG1932=$AJ$22,MONTH(V1932),"")</f>
        <v/>
      </c>
      <c r="AK1932" s="86" t="str">
        <f>+IF(AG1932=$AK$22,MONTH(V1932),"")</f>
        <v/>
      </c>
      <c r="AL1932" s="86" t="str">
        <f>+IF(AG1932=$AL$22,MONTH(V1932),"")</f>
        <v/>
      </c>
      <c r="AM1932" s="86" t="str">
        <f>+IF($AG1932=$AM$22,MONTH($D1932),"")</f>
        <v/>
      </c>
      <c r="AN1932" s="89" t="str">
        <f>+IF($AG1932=AN$22,MONTH($D1932),"")</f>
        <v/>
      </c>
      <c r="AO1932" s="86" t="str">
        <f>+IF($AG1932=AO$22,MONTH($D1932),"")</f>
        <v/>
      </c>
      <c r="AP1932" s="86" t="str">
        <f>+IF($AG1932=AP$22,MONTH($D1932),"")</f>
        <v/>
      </c>
      <c r="AQ1932" s="86">
        <f>+IF($AG1932=AQ$22,MONTH($D1932),"")</f>
        <v>12</v>
      </c>
      <c r="AR1932" s="86" t="str">
        <f>+IF($AG1932=AR$22,MONTH($D1932),"")</f>
        <v/>
      </c>
      <c r="AS1932" s="86" t="str">
        <f>+IF($AG1932=AS$22,MONTH($D1932),"")</f>
        <v/>
      </c>
      <c r="AT1932" s="86" t="str">
        <f>+IF($AG1932=AT$22,MONTH($D1932),"")</f>
        <v/>
      </c>
      <c r="AU1932" s="86" t="str">
        <f>+IF($AG1932=AU$22,MONTH($D1932),"")</f>
        <v/>
      </c>
      <c r="AV1932" s="86" t="str">
        <f>+IF($AG1932=AV$22,MONTH($D1932),"")</f>
        <v/>
      </c>
      <c r="AW1932" s="86" t="str">
        <f>+IF($AG1932=AW$22,MONTH($D1932),"")</f>
        <v/>
      </c>
      <c r="AX1932" s="86" t="str">
        <f>+IF($AG1932=AX$22,MONTH($D1932),"")</f>
        <v/>
      </c>
      <c r="AY1932" s="182"/>
      <c r="AZ1932" s="182"/>
      <c r="BA1932" s="182"/>
      <c r="BB1932" s="182"/>
      <c r="BC1932" s="182"/>
      <c r="BD1932" s="182"/>
      <c r="BE1932" s="182"/>
      <c r="BF1932" s="182"/>
      <c r="BG1932" s="182"/>
      <c r="BH1932" s="182"/>
      <c r="BI1932" s="182"/>
      <c r="BJ1932" s="89"/>
      <c r="BK1932" s="89"/>
      <c r="BL1932" s="89"/>
      <c r="BM1932" s="89"/>
      <c r="BN1932" s="89"/>
      <c r="BO1932" s="89"/>
      <c r="BP1932" s="89"/>
    </row>
    <row r="1933" spans="1:68" s="56" customFormat="1" ht="13.5" hidden="1">
      <c r="A1933" s="204" t="str">
        <f>+IFERROR(VALUE(MID(AB1933,4,4)),"")</f>
        <v/>
      </c>
      <c r="B1933" s="204">
        <f>VALUE(RIGHT(C1933,LEN(C1933)-2))</f>
        <v>792</v>
      </c>
      <c r="C1933" s="74" t="s">
        <v>6743</v>
      </c>
      <c r="D1933" s="75">
        <v>43074</v>
      </c>
      <c r="E1933" s="70" t="s">
        <v>106</v>
      </c>
      <c r="F1933" s="70" t="s">
        <v>106</v>
      </c>
      <c r="G1933" s="68" t="s">
        <v>6744</v>
      </c>
      <c r="H1933" s="59"/>
      <c r="I1933" s="162" t="s">
        <v>6745</v>
      </c>
      <c r="J1933" s="162"/>
      <c r="K1933" s="68" t="s">
        <v>13</v>
      </c>
      <c r="L1933" s="69" t="s">
        <v>123</v>
      </c>
      <c r="M1933" s="71" t="s">
        <v>141</v>
      </c>
      <c r="N1933" s="69" t="e" vm="1">
        <v>#VALUE!</v>
      </c>
      <c r="O1933" s="164"/>
      <c r="P1933" s="72" t="s">
        <v>4567</v>
      </c>
      <c r="Q1933" s="72"/>
      <c r="R1933" s="162"/>
      <c r="S1933" s="146"/>
      <c r="T1933" s="68" t="s">
        <v>165</v>
      </c>
      <c r="U1933" s="87"/>
      <c r="V1933" s="183">
        <v>43110</v>
      </c>
      <c r="W1933" s="73">
        <v>27123</v>
      </c>
      <c r="X1933" s="73">
        <f>39718*26800/1000000</f>
        <v>1064.4423999999999</v>
      </c>
      <c r="Y1933" s="83">
        <f>IF(SUM(W1933:W1933)&gt;0,X1933/SUM(W1933:W1933)*1000000,"N/A")</f>
        <v>39245.009770305645</v>
      </c>
      <c r="Z1933" s="183"/>
      <c r="AA1933" s="183"/>
      <c r="AB1933" s="73"/>
      <c r="AC1933" s="153"/>
      <c r="AD1933" s="331"/>
      <c r="AE1933" s="57"/>
      <c r="AF1933" s="88"/>
      <c r="AG1933" s="182">
        <f>YEAR(D1933)</f>
        <v>2017</v>
      </c>
      <c r="AH1933" s="86" t="str">
        <f>+IF(AE1933=$AJ$22,MONTH(T1933),"")</f>
        <v/>
      </c>
      <c r="AI1933" s="86" t="str">
        <f>+IF(AF1933=$AJ$22,MONTH(U1933),"")</f>
        <v/>
      </c>
      <c r="AJ1933" s="86" t="str">
        <f>+IF(AG1933=$AJ$22,MONTH(V1933),"")</f>
        <v/>
      </c>
      <c r="AK1933" s="86" t="str">
        <f>+IF(AG1933=$AK$22,MONTH(V1933),"")</f>
        <v/>
      </c>
      <c r="AL1933" s="86" t="str">
        <f>+IF(AG1933=$AL$22,MONTH(V1933),"")</f>
        <v/>
      </c>
      <c r="AM1933" s="86" t="str">
        <f>+IF($AG1933=$AM$22,MONTH($D1933),"")</f>
        <v/>
      </c>
      <c r="AN1933" s="89" t="str">
        <f>+IF($AG1933=AN$22,MONTH($D1933),"")</f>
        <v/>
      </c>
      <c r="AO1933" s="86" t="str">
        <f>+IF($AG1933=AO$22,MONTH($D1933),"")</f>
        <v/>
      </c>
      <c r="AP1933" s="86" t="str">
        <f>+IF($AG1933=AP$22,MONTH($D1933),"")</f>
        <v/>
      </c>
      <c r="AQ1933" s="86">
        <f>+IF($AG1933=AQ$22,MONTH($D1933),"")</f>
        <v>12</v>
      </c>
      <c r="AR1933" s="86" t="str">
        <f>+IF($AG1933=AR$22,MONTH($D1933),"")</f>
        <v/>
      </c>
      <c r="AS1933" s="86" t="str">
        <f>+IF($AG1933=AS$22,MONTH($D1933),"")</f>
        <v/>
      </c>
      <c r="AT1933" s="86" t="str">
        <f>+IF($AG1933=AT$22,MONTH($D1933),"")</f>
        <v/>
      </c>
      <c r="AU1933" s="86" t="str">
        <f>+IF($AG1933=AU$22,MONTH($D1933),"")</f>
        <v/>
      </c>
      <c r="AV1933" s="86" t="str">
        <f>+IF($AG1933=AV$22,MONTH($D1933),"")</f>
        <v/>
      </c>
      <c r="AW1933" s="86" t="str">
        <f>+IF($AG1933=AW$22,MONTH($D1933),"")</f>
        <v/>
      </c>
      <c r="AX1933" s="86" t="str">
        <f>+IF($AG1933=AX$22,MONTH($D1933),"")</f>
        <v/>
      </c>
      <c r="AY1933" s="182"/>
      <c r="AZ1933" s="182"/>
      <c r="BA1933" s="182"/>
      <c r="BB1933" s="182"/>
      <c r="BC1933" s="182"/>
      <c r="BD1933" s="182"/>
      <c r="BE1933" s="182"/>
      <c r="BF1933" s="182"/>
      <c r="BG1933" s="182"/>
      <c r="BH1933" s="182"/>
      <c r="BI1933" s="182"/>
      <c r="BJ1933" s="89"/>
      <c r="BK1933" s="89"/>
      <c r="BL1933" s="89"/>
      <c r="BM1933" s="89"/>
      <c r="BN1933" s="89"/>
      <c r="BO1933" s="89"/>
      <c r="BP1933" s="89"/>
    </row>
    <row r="1934" spans="1:68" s="56" customFormat="1" ht="13.5" hidden="1">
      <c r="A1934" s="204" t="str">
        <f>+IFERROR(VALUE(MID(AB1934,4,4)),"")</f>
        <v/>
      </c>
      <c r="B1934" s="204">
        <f>VALUE(RIGHT(C1934,LEN(C1934)-2))</f>
        <v>791</v>
      </c>
      <c r="C1934" s="74" t="s">
        <v>6746</v>
      </c>
      <c r="D1934" s="75">
        <v>43074</v>
      </c>
      <c r="E1934" s="70" t="s">
        <v>6747</v>
      </c>
      <c r="F1934" s="70" t="s">
        <v>6747</v>
      </c>
      <c r="G1934" s="68" t="s">
        <v>6748</v>
      </c>
      <c r="H1934" s="59"/>
      <c r="I1934" s="162" t="s">
        <v>6749</v>
      </c>
      <c r="J1934" s="162"/>
      <c r="K1934" s="68" t="s">
        <v>13</v>
      </c>
      <c r="L1934" s="69" t="s">
        <v>123</v>
      </c>
      <c r="M1934" s="71" t="s">
        <v>141</v>
      </c>
      <c r="N1934" s="69" t="e" vm="1">
        <v>#VALUE!</v>
      </c>
      <c r="O1934" s="164"/>
      <c r="P1934" s="72" t="s">
        <v>4567</v>
      </c>
      <c r="Q1934" s="72"/>
      <c r="R1934" s="162"/>
      <c r="S1934" s="146"/>
      <c r="T1934" s="68" t="s">
        <v>165</v>
      </c>
      <c r="U1934" s="87"/>
      <c r="V1934" s="183">
        <v>43081</v>
      </c>
      <c r="W1934" s="73">
        <v>200</v>
      </c>
      <c r="X1934" s="73"/>
      <c r="Y1934" s="83">
        <f>IF(SUM(W1934:W1934)&gt;0,X1934/SUM(W1934:W1934)*1000000,"N/A")</f>
        <v>0</v>
      </c>
      <c r="Z1934" s="183"/>
      <c r="AA1934" s="183"/>
      <c r="AB1934" s="73"/>
      <c r="AC1934" s="153"/>
      <c r="AD1934" s="331"/>
      <c r="AE1934" s="57"/>
      <c r="AF1934" s="88"/>
      <c r="AG1934" s="182">
        <f>YEAR(D1934)</f>
        <v>2017</v>
      </c>
      <c r="AH1934" s="86" t="str">
        <f>+IF(AE1934=$AJ$22,MONTH(T1934),"")</f>
        <v/>
      </c>
      <c r="AI1934" s="86" t="str">
        <f>+IF(AF1934=$AJ$22,MONTH(U1934),"")</f>
        <v/>
      </c>
      <c r="AJ1934" s="86" t="str">
        <f>+IF(AG1934=$AJ$22,MONTH(V1934),"")</f>
        <v/>
      </c>
      <c r="AK1934" s="86" t="str">
        <f>+IF(AG1934=$AK$22,MONTH(V1934),"")</f>
        <v/>
      </c>
      <c r="AL1934" s="86" t="str">
        <f>+IF(AG1934=$AL$22,MONTH(V1934),"")</f>
        <v/>
      </c>
      <c r="AM1934" s="86" t="str">
        <f>+IF($AG1934=$AM$22,MONTH($D1934),"")</f>
        <v/>
      </c>
      <c r="AN1934" s="89" t="str">
        <f>+IF($AG1934=AN$22,MONTH($D1934),"")</f>
        <v/>
      </c>
      <c r="AO1934" s="86" t="str">
        <f>+IF($AG1934=AO$22,MONTH($D1934),"")</f>
        <v/>
      </c>
      <c r="AP1934" s="86" t="str">
        <f>+IF($AG1934=AP$22,MONTH($D1934),"")</f>
        <v/>
      </c>
      <c r="AQ1934" s="86">
        <f>+IF($AG1934=AQ$22,MONTH($D1934),"")</f>
        <v>12</v>
      </c>
      <c r="AR1934" s="86" t="str">
        <f>+IF($AG1934=AR$22,MONTH($D1934),"")</f>
        <v/>
      </c>
      <c r="AS1934" s="86" t="str">
        <f>+IF($AG1934=AS$22,MONTH($D1934),"")</f>
        <v/>
      </c>
      <c r="AT1934" s="86" t="str">
        <f>+IF($AG1934=AT$22,MONTH($D1934),"")</f>
        <v/>
      </c>
      <c r="AU1934" s="86" t="str">
        <f>+IF($AG1934=AU$22,MONTH($D1934),"")</f>
        <v/>
      </c>
      <c r="AV1934" s="86" t="str">
        <f>+IF($AG1934=AV$22,MONTH($D1934),"")</f>
        <v/>
      </c>
      <c r="AW1934" s="86" t="str">
        <f>+IF($AG1934=AW$22,MONTH($D1934),"")</f>
        <v/>
      </c>
      <c r="AX1934" s="86" t="str">
        <f>+IF($AG1934=AX$22,MONTH($D1934),"")</f>
        <v/>
      </c>
      <c r="AY1934" s="182"/>
      <c r="AZ1934" s="182"/>
      <c r="BA1934" s="182"/>
      <c r="BB1934" s="182"/>
      <c r="BC1934" s="182"/>
      <c r="BD1934" s="182"/>
      <c r="BE1934" s="182"/>
      <c r="BF1934" s="182"/>
      <c r="BG1934" s="182"/>
      <c r="BH1934" s="182"/>
      <c r="BI1934" s="182"/>
      <c r="BJ1934" s="89"/>
      <c r="BK1934" s="89"/>
      <c r="BL1934" s="89"/>
      <c r="BM1934" s="89"/>
      <c r="BN1934" s="89"/>
      <c r="BO1934" s="89"/>
      <c r="BP1934" s="89"/>
    </row>
    <row r="1935" spans="1:68" s="56" customFormat="1" ht="13.5" hidden="1">
      <c r="A1935" s="204" t="str">
        <f>+IFERROR(VALUE(MID(AB1935,4,4)),"")</f>
        <v/>
      </c>
      <c r="B1935" s="204">
        <f>VALUE(RIGHT(C1935,LEN(C1935)-2))</f>
        <v>790</v>
      </c>
      <c r="C1935" s="74" t="s">
        <v>6750</v>
      </c>
      <c r="D1935" s="75">
        <v>43069</v>
      </c>
      <c r="E1935" s="70" t="s">
        <v>332</v>
      </c>
      <c r="F1935" s="70" t="s">
        <v>332</v>
      </c>
      <c r="G1935" s="68" t="s">
        <v>6751</v>
      </c>
      <c r="H1935" s="59"/>
      <c r="I1935" s="162" t="s">
        <v>6752</v>
      </c>
      <c r="J1935" s="162"/>
      <c r="K1935" s="68" t="s">
        <v>13</v>
      </c>
      <c r="L1935" s="69" t="s">
        <v>123</v>
      </c>
      <c r="M1935" s="71" t="s">
        <v>141</v>
      </c>
      <c r="N1935" s="69" t="e" vm="1">
        <v>#VALUE!</v>
      </c>
      <c r="O1935" s="164"/>
      <c r="P1935" s="72" t="s">
        <v>402</v>
      </c>
      <c r="Q1935" s="72"/>
      <c r="R1935" s="162"/>
      <c r="S1935" s="146"/>
      <c r="T1935" s="68" t="s">
        <v>165</v>
      </c>
      <c r="U1935" s="87"/>
      <c r="V1935" s="183">
        <v>43081</v>
      </c>
      <c r="W1935" s="73">
        <v>770</v>
      </c>
      <c r="X1935" s="73">
        <f>714*26700/1000000</f>
        <v>19.063800000000001</v>
      </c>
      <c r="Y1935" s="83">
        <f>IF(SUM(W1935:W1935)&gt;0,X1935/SUM(W1935:W1935)*1000000,"N/A")</f>
        <v>24758.18181818182</v>
      </c>
      <c r="Z1935" s="183"/>
      <c r="AA1935" s="183"/>
      <c r="AB1935" s="73"/>
      <c r="AC1935" s="153"/>
      <c r="AD1935" s="331"/>
      <c r="AE1935" s="57"/>
      <c r="AF1935" s="88"/>
      <c r="AG1935" s="182">
        <f>YEAR(D1935)</f>
        <v>2017</v>
      </c>
      <c r="AH1935" s="86" t="str">
        <f>+IF(AE1935=$AJ$22,MONTH(T1935),"")</f>
        <v/>
      </c>
      <c r="AI1935" s="86" t="str">
        <f>+IF(AF1935=$AJ$22,MONTH(U1935),"")</f>
        <v/>
      </c>
      <c r="AJ1935" s="86" t="str">
        <f>+IF(AG1935=$AJ$22,MONTH(V1935),"")</f>
        <v/>
      </c>
      <c r="AK1935" s="86" t="str">
        <f>+IF(AG1935=$AK$22,MONTH(V1935),"")</f>
        <v/>
      </c>
      <c r="AL1935" s="86" t="str">
        <f>+IF(AG1935=$AL$22,MONTH(V1935),"")</f>
        <v/>
      </c>
      <c r="AM1935" s="86" t="str">
        <f>+IF($AG1935=$AM$22,MONTH($D1935),"")</f>
        <v/>
      </c>
      <c r="AN1935" s="89" t="str">
        <f>+IF($AG1935=AN$22,MONTH($D1935),"")</f>
        <v/>
      </c>
      <c r="AO1935" s="86" t="str">
        <f>+IF($AG1935=AO$22,MONTH($D1935),"")</f>
        <v/>
      </c>
      <c r="AP1935" s="86" t="str">
        <f>+IF($AG1935=AP$22,MONTH($D1935),"")</f>
        <v/>
      </c>
      <c r="AQ1935" s="86">
        <f>+IF($AG1935=AQ$22,MONTH($D1935),"")</f>
        <v>11</v>
      </c>
      <c r="AR1935" s="86" t="str">
        <f>+IF($AG1935=AR$22,MONTH($D1935),"")</f>
        <v/>
      </c>
      <c r="AS1935" s="86" t="str">
        <f>+IF($AG1935=AS$22,MONTH($D1935),"")</f>
        <v/>
      </c>
      <c r="AT1935" s="86" t="str">
        <f>+IF($AG1935=AT$22,MONTH($D1935),"")</f>
        <v/>
      </c>
      <c r="AU1935" s="86" t="str">
        <f>+IF($AG1935=AU$22,MONTH($D1935),"")</f>
        <v/>
      </c>
      <c r="AV1935" s="86" t="str">
        <f>+IF($AG1935=AV$22,MONTH($D1935),"")</f>
        <v/>
      </c>
      <c r="AW1935" s="86" t="str">
        <f>+IF($AG1935=AW$22,MONTH($D1935),"")</f>
        <v/>
      </c>
      <c r="AX1935" s="86" t="str">
        <f>+IF($AG1935=AX$22,MONTH($D1935),"")</f>
        <v/>
      </c>
      <c r="AY1935" s="182"/>
      <c r="AZ1935" s="182"/>
      <c r="BA1935" s="182"/>
      <c r="BB1935" s="182"/>
      <c r="BC1935" s="182"/>
      <c r="BD1935" s="182"/>
      <c r="BE1935" s="182"/>
      <c r="BF1935" s="182"/>
      <c r="BG1935" s="182"/>
      <c r="BH1935" s="182"/>
      <c r="BI1935" s="182"/>
      <c r="BJ1935" s="89"/>
      <c r="BK1935" s="89"/>
      <c r="BL1935" s="89"/>
      <c r="BM1935" s="89"/>
      <c r="BN1935" s="89"/>
      <c r="BO1935" s="89"/>
      <c r="BP1935" s="89"/>
    </row>
    <row r="1936" spans="1:68" s="56" customFormat="1" ht="27" hidden="1">
      <c r="A1936" s="204">
        <f>+IFERROR(VALUE(MID(AB1936,4,4)),"")</f>
        <v>158</v>
      </c>
      <c r="B1936" s="204">
        <f>VALUE(RIGHT(C1936,LEN(C1936)-2))</f>
        <v>789</v>
      </c>
      <c r="C1936" s="74" t="s">
        <v>6753</v>
      </c>
      <c r="D1936" s="75">
        <v>43069</v>
      </c>
      <c r="E1936" s="70" t="s">
        <v>41</v>
      </c>
      <c r="F1936" s="70" t="s">
        <v>41</v>
      </c>
      <c r="G1936" s="68" t="s">
        <v>6751</v>
      </c>
      <c r="H1936" s="59"/>
      <c r="I1936" s="162" t="s">
        <v>6754</v>
      </c>
      <c r="J1936" s="162"/>
      <c r="K1936" s="68" t="s">
        <v>13</v>
      </c>
      <c r="L1936" s="69" t="s">
        <v>123</v>
      </c>
      <c r="M1936" s="71" t="s">
        <v>141</v>
      </c>
      <c r="N1936" s="69" t="e" vm="1">
        <v>#VALUE!</v>
      </c>
      <c r="O1936" s="164"/>
      <c r="P1936" s="72" t="s">
        <v>402</v>
      </c>
      <c r="Q1936" s="72" t="s">
        <v>623</v>
      </c>
      <c r="R1936" s="162"/>
      <c r="S1936" s="146"/>
      <c r="T1936" s="68" t="s">
        <v>3</v>
      </c>
      <c r="U1936" s="87"/>
      <c r="V1936" s="183">
        <v>43081</v>
      </c>
      <c r="W1936" s="73">
        <v>1315</v>
      </c>
      <c r="X1936" s="73">
        <f>1213*26700/1000000</f>
        <v>32.387099999999997</v>
      </c>
      <c r="Y1936" s="83">
        <f>IF(SUM(W1936:W1936)&gt;0,X1936/SUM(W1936:W1936)*1000000,"N/A")</f>
        <v>24628.973384030418</v>
      </c>
      <c r="Z1936" s="183"/>
      <c r="AA1936" s="183"/>
      <c r="AB1936" s="73" t="s">
        <v>6755</v>
      </c>
      <c r="AC1936" s="153"/>
      <c r="AD1936" s="331"/>
      <c r="AE1936" s="57"/>
      <c r="AF1936" s="88"/>
      <c r="AG1936" s="182">
        <f>YEAR(D1936)</f>
        <v>2017</v>
      </c>
      <c r="AH1936" s="86" t="str">
        <f>+IF(AE1936=$AJ$22,MONTH(T1936),"")</f>
        <v/>
      </c>
      <c r="AI1936" s="86" t="str">
        <f>+IF(AF1936=$AJ$22,MONTH(U1936),"")</f>
        <v/>
      </c>
      <c r="AJ1936" s="86" t="str">
        <f>+IF(AG1936=$AJ$22,MONTH(V1936),"")</f>
        <v/>
      </c>
      <c r="AK1936" s="86" t="str">
        <f>+IF(AG1936=$AK$22,MONTH(V1936),"")</f>
        <v/>
      </c>
      <c r="AL1936" s="86" t="str">
        <f>+IF(AG1936=$AL$22,MONTH(V1936),"")</f>
        <v/>
      </c>
      <c r="AM1936" s="86" t="str">
        <f>+IF($AG1936=$AM$22,MONTH($D1936),"")</f>
        <v/>
      </c>
      <c r="AN1936" s="89" t="str">
        <f>+IF($AG1936=AN$22,MONTH($D1936),"")</f>
        <v/>
      </c>
      <c r="AO1936" s="86" t="str">
        <f>+IF($AG1936=AO$22,MONTH($D1936),"")</f>
        <v/>
      </c>
      <c r="AP1936" s="86" t="str">
        <f>+IF($AG1936=AP$22,MONTH($D1936),"")</f>
        <v/>
      </c>
      <c r="AQ1936" s="86">
        <f>+IF($AG1936=AQ$22,MONTH($D1936),"")</f>
        <v>11</v>
      </c>
      <c r="AR1936" s="86" t="str">
        <f>+IF($AG1936=AR$22,MONTH($D1936),"")</f>
        <v/>
      </c>
      <c r="AS1936" s="86" t="str">
        <f>+IF($AG1936=AS$22,MONTH($D1936),"")</f>
        <v/>
      </c>
      <c r="AT1936" s="86" t="str">
        <f>+IF($AG1936=AT$22,MONTH($D1936),"")</f>
        <v/>
      </c>
      <c r="AU1936" s="86" t="str">
        <f>+IF($AG1936=AU$22,MONTH($D1936),"")</f>
        <v/>
      </c>
      <c r="AV1936" s="86" t="str">
        <f>+IF($AG1936=AV$22,MONTH($D1936),"")</f>
        <v/>
      </c>
      <c r="AW1936" s="86" t="str">
        <f>+IF($AG1936=AW$22,MONTH($D1936),"")</f>
        <v/>
      </c>
      <c r="AX1936" s="86" t="str">
        <f>+IF($AG1936=AX$22,MONTH($D1936),"")</f>
        <v/>
      </c>
      <c r="AY1936" s="182"/>
      <c r="AZ1936" s="182"/>
      <c r="BA1936" s="182"/>
      <c r="BB1936" s="182"/>
      <c r="BC1936" s="182"/>
      <c r="BD1936" s="182"/>
      <c r="BE1936" s="182"/>
      <c r="BF1936" s="182"/>
      <c r="BG1936" s="182"/>
      <c r="BH1936" s="182"/>
      <c r="BI1936" s="182"/>
      <c r="BJ1936" s="89"/>
      <c r="BK1936" s="89"/>
      <c r="BL1936" s="89"/>
      <c r="BM1936" s="89"/>
      <c r="BN1936" s="89"/>
      <c r="BO1936" s="89"/>
      <c r="BP1936" s="89"/>
    </row>
    <row r="1937" spans="1:68" s="56" customFormat="1" ht="27" hidden="1">
      <c r="A1937" s="204" t="str">
        <f>+IFERROR(VALUE(MID(AB1937,4,4)),"")</f>
        <v/>
      </c>
      <c r="B1937" s="204">
        <f>VALUE(RIGHT(C1937,LEN(C1937)-2))</f>
        <v>788</v>
      </c>
      <c r="C1937" s="74" t="s">
        <v>6756</v>
      </c>
      <c r="D1937" s="75">
        <v>43067</v>
      </c>
      <c r="E1937" s="70" t="s">
        <v>6419</v>
      </c>
      <c r="F1937" s="70" t="s">
        <v>6757</v>
      </c>
      <c r="G1937" s="68" t="s">
        <v>6758</v>
      </c>
      <c r="H1937" s="59"/>
      <c r="I1937" s="162" t="s">
        <v>6759</v>
      </c>
      <c r="J1937" s="162"/>
      <c r="K1937" s="68" t="s">
        <v>12</v>
      </c>
      <c r="L1937" s="69" t="s">
        <v>123</v>
      </c>
      <c r="M1937" s="71" t="s">
        <v>141</v>
      </c>
      <c r="N1937" s="69" t="e" vm="1">
        <v>#VALUE!</v>
      </c>
      <c r="O1937" s="164"/>
      <c r="P1937" s="72" t="s">
        <v>402</v>
      </c>
      <c r="Q1937" s="72"/>
      <c r="R1937" s="162"/>
      <c r="S1937" s="146"/>
      <c r="T1937" s="68" t="s">
        <v>165</v>
      </c>
      <c r="U1937" s="87"/>
      <c r="V1937" s="183">
        <v>43090</v>
      </c>
      <c r="W1937" s="73">
        <v>1460</v>
      </c>
      <c r="X1937" s="73">
        <f>2240*26600/1000000</f>
        <v>59.584000000000003</v>
      </c>
      <c r="Y1937" s="83">
        <f>IF(SUM(W1937:W1937)&gt;0,X1937/SUM(W1937:W1937)*1000000,"N/A")</f>
        <v>40810.958904109597</v>
      </c>
      <c r="Z1937" s="183"/>
      <c r="AA1937" s="183"/>
      <c r="AB1937" s="73"/>
      <c r="AC1937" s="153"/>
      <c r="AD1937" s="331"/>
      <c r="AE1937" s="57"/>
      <c r="AF1937" s="88"/>
      <c r="AG1937" s="182">
        <f>YEAR(D1937)</f>
        <v>2017</v>
      </c>
      <c r="AH1937" s="86" t="str">
        <f>+IF(AE1937=$AJ$22,MONTH(T1937),"")</f>
        <v/>
      </c>
      <c r="AI1937" s="86" t="str">
        <f>+IF(AF1937=$AJ$22,MONTH(U1937),"")</f>
        <v/>
      </c>
      <c r="AJ1937" s="86" t="str">
        <f>+IF(AG1937=$AJ$22,MONTH(V1937),"")</f>
        <v/>
      </c>
      <c r="AK1937" s="86" t="str">
        <f>+IF(AG1937=$AK$22,MONTH(V1937),"")</f>
        <v/>
      </c>
      <c r="AL1937" s="86" t="str">
        <f>+IF(AG1937=$AL$22,MONTH(V1937),"")</f>
        <v/>
      </c>
      <c r="AM1937" s="86" t="str">
        <f>+IF($AG1937=$AM$22,MONTH($D1937),"")</f>
        <v/>
      </c>
      <c r="AN1937" s="89" t="str">
        <f>+IF($AG1937=AN$22,MONTH($D1937),"")</f>
        <v/>
      </c>
      <c r="AO1937" s="86" t="str">
        <f>+IF($AG1937=AO$22,MONTH($D1937),"")</f>
        <v/>
      </c>
      <c r="AP1937" s="86" t="str">
        <f>+IF($AG1937=AP$22,MONTH($D1937),"")</f>
        <v/>
      </c>
      <c r="AQ1937" s="86">
        <f>+IF($AG1937=AQ$22,MONTH($D1937),"")</f>
        <v>11</v>
      </c>
      <c r="AR1937" s="86" t="str">
        <f>+IF($AG1937=AR$22,MONTH($D1937),"")</f>
        <v/>
      </c>
      <c r="AS1937" s="86" t="str">
        <f>+IF($AG1937=AS$22,MONTH($D1937),"")</f>
        <v/>
      </c>
      <c r="AT1937" s="86" t="str">
        <f>+IF($AG1937=AT$22,MONTH($D1937),"")</f>
        <v/>
      </c>
      <c r="AU1937" s="86" t="str">
        <f>+IF($AG1937=AU$22,MONTH($D1937),"")</f>
        <v/>
      </c>
      <c r="AV1937" s="86" t="str">
        <f>+IF($AG1937=AV$22,MONTH($D1937),"")</f>
        <v/>
      </c>
      <c r="AW1937" s="86" t="str">
        <f>+IF($AG1937=AW$22,MONTH($D1937),"")</f>
        <v/>
      </c>
      <c r="AX1937" s="86" t="str">
        <f>+IF($AG1937=AX$22,MONTH($D1937),"")</f>
        <v/>
      </c>
      <c r="AY1937" s="182"/>
      <c r="AZ1937" s="182"/>
      <c r="BA1937" s="182"/>
      <c r="BB1937" s="182"/>
      <c r="BC1937" s="182"/>
      <c r="BD1937" s="182"/>
      <c r="BE1937" s="182"/>
      <c r="BF1937" s="182"/>
      <c r="BG1937" s="182"/>
      <c r="BH1937" s="182"/>
      <c r="BI1937" s="182"/>
      <c r="BJ1937" s="89"/>
      <c r="BK1937" s="89"/>
      <c r="BL1937" s="89"/>
      <c r="BM1937" s="89"/>
      <c r="BN1937" s="89"/>
      <c r="BO1937" s="89"/>
      <c r="BP1937" s="89"/>
    </row>
    <row r="1938" spans="1:68" s="56" customFormat="1" ht="13.5" hidden="1">
      <c r="A1938" s="204" t="str">
        <f>+IFERROR(VALUE(MID(AB1938,4,4)),"")</f>
        <v/>
      </c>
      <c r="B1938" s="204">
        <f>VALUE(RIGHT(C1938,LEN(C1938)-2))</f>
        <v>787</v>
      </c>
      <c r="C1938" s="74" t="s">
        <v>6760</v>
      </c>
      <c r="D1938" s="75">
        <v>43062</v>
      </c>
      <c r="E1938" s="70" t="s">
        <v>6761</v>
      </c>
      <c r="F1938" s="70" t="s">
        <v>6761</v>
      </c>
      <c r="G1938" s="68"/>
      <c r="H1938" s="59"/>
      <c r="I1938" s="162" t="s">
        <v>6762</v>
      </c>
      <c r="J1938" s="162"/>
      <c r="K1938" s="68" t="s">
        <v>13</v>
      </c>
      <c r="L1938" s="69" t="s">
        <v>123</v>
      </c>
      <c r="M1938" s="71" t="s">
        <v>141</v>
      </c>
      <c r="N1938" s="69" t="e" vm="1">
        <v>#VALUE!</v>
      </c>
      <c r="O1938" s="164"/>
      <c r="P1938" s="72" t="s">
        <v>4567</v>
      </c>
      <c r="Q1938" s="72"/>
      <c r="R1938" s="162"/>
      <c r="S1938" s="146"/>
      <c r="T1938" s="68" t="s">
        <v>165</v>
      </c>
      <c r="U1938" s="87"/>
      <c r="V1938" s="183">
        <v>43097</v>
      </c>
      <c r="W1938" s="73">
        <v>1565</v>
      </c>
      <c r="X1938" s="73">
        <f>2148.5*26700/1000000</f>
        <v>57.36495</v>
      </c>
      <c r="Y1938" s="83">
        <f>IF(SUM(W1938:W1938)&gt;0,X1938/SUM(W1938:W1938)*1000000,"N/A")</f>
        <v>36654.920127795522</v>
      </c>
      <c r="Z1938" s="183"/>
      <c r="AA1938" s="183"/>
      <c r="AB1938" s="73"/>
      <c r="AC1938" s="153"/>
      <c r="AD1938" s="331"/>
      <c r="AE1938" s="57"/>
      <c r="AF1938" s="88"/>
      <c r="AG1938" s="182">
        <f>YEAR(D1938)</f>
        <v>2017</v>
      </c>
      <c r="AH1938" s="86" t="str">
        <f>+IF(AE1938=$AJ$22,MONTH(T1938),"")</f>
        <v/>
      </c>
      <c r="AI1938" s="86" t="str">
        <f>+IF(AF1938=$AJ$22,MONTH(U1938),"")</f>
        <v/>
      </c>
      <c r="AJ1938" s="86" t="str">
        <f>+IF(AG1938=$AJ$22,MONTH(V1938),"")</f>
        <v/>
      </c>
      <c r="AK1938" s="86" t="str">
        <f>+IF(AG1938=$AK$22,MONTH(V1938),"")</f>
        <v/>
      </c>
      <c r="AL1938" s="86" t="str">
        <f>+IF(AG1938=$AL$22,MONTH(V1938),"")</f>
        <v/>
      </c>
      <c r="AM1938" s="86" t="str">
        <f>+IF($AG1938=$AM$22,MONTH($D1938),"")</f>
        <v/>
      </c>
      <c r="AN1938" s="89" t="str">
        <f>+IF($AG1938=AN$22,MONTH($D1938),"")</f>
        <v/>
      </c>
      <c r="AO1938" s="86" t="str">
        <f>+IF($AG1938=AO$22,MONTH($D1938),"")</f>
        <v/>
      </c>
      <c r="AP1938" s="86" t="str">
        <f>+IF($AG1938=AP$22,MONTH($D1938),"")</f>
        <v/>
      </c>
      <c r="AQ1938" s="86">
        <f>+IF($AG1938=AQ$22,MONTH($D1938),"")</f>
        <v>11</v>
      </c>
      <c r="AR1938" s="86" t="str">
        <f>+IF($AG1938=AR$22,MONTH($D1938),"")</f>
        <v/>
      </c>
      <c r="AS1938" s="86" t="str">
        <f>+IF($AG1938=AS$22,MONTH($D1938),"")</f>
        <v/>
      </c>
      <c r="AT1938" s="86" t="str">
        <f>+IF($AG1938=AT$22,MONTH($D1938),"")</f>
        <v/>
      </c>
      <c r="AU1938" s="86" t="str">
        <f>+IF($AG1938=AU$22,MONTH($D1938),"")</f>
        <v/>
      </c>
      <c r="AV1938" s="86" t="str">
        <f>+IF($AG1938=AV$22,MONTH($D1938),"")</f>
        <v/>
      </c>
      <c r="AW1938" s="86" t="str">
        <f>+IF($AG1938=AW$22,MONTH($D1938),"")</f>
        <v/>
      </c>
      <c r="AX1938" s="86" t="str">
        <f>+IF($AG1938=AX$22,MONTH($D1938),"")</f>
        <v/>
      </c>
      <c r="AY1938" s="182"/>
      <c r="AZ1938" s="182"/>
      <c r="BA1938" s="182"/>
      <c r="BB1938" s="182"/>
      <c r="BC1938" s="182"/>
      <c r="BD1938" s="182"/>
      <c r="BE1938" s="182"/>
      <c r="BF1938" s="182"/>
      <c r="BG1938" s="182"/>
      <c r="BH1938" s="182"/>
      <c r="BI1938" s="182"/>
      <c r="BJ1938" s="89"/>
      <c r="BK1938" s="89"/>
      <c r="BL1938" s="89"/>
      <c r="BM1938" s="89"/>
      <c r="BN1938" s="89"/>
      <c r="BO1938" s="89"/>
      <c r="BP1938" s="89"/>
    </row>
    <row r="1939" spans="1:68" s="56" customFormat="1" ht="27" hidden="1">
      <c r="A1939" s="204">
        <f>+IFERROR(VALUE(MID(AB1939,4,4)),"")</f>
        <v>158</v>
      </c>
      <c r="B1939" s="204">
        <f>VALUE(RIGHT(C1939,LEN(C1939)-2))</f>
        <v>786</v>
      </c>
      <c r="C1939" s="74" t="s">
        <v>6763</v>
      </c>
      <c r="D1939" s="75">
        <v>43054</v>
      </c>
      <c r="E1939" s="70" t="s">
        <v>41</v>
      </c>
      <c r="F1939" s="70" t="s">
        <v>41</v>
      </c>
      <c r="G1939" s="68" t="s">
        <v>6764</v>
      </c>
      <c r="H1939" s="59"/>
      <c r="I1939" s="162" t="s">
        <v>6765</v>
      </c>
      <c r="J1939" s="162"/>
      <c r="K1939" s="68" t="s">
        <v>30</v>
      </c>
      <c r="L1939" s="69" t="s">
        <v>123</v>
      </c>
      <c r="M1939" s="71" t="s">
        <v>141</v>
      </c>
      <c r="N1939" s="69" t="e" vm="1">
        <v>#VALUE!</v>
      </c>
      <c r="O1939" s="164"/>
      <c r="P1939" s="72" t="s">
        <v>402</v>
      </c>
      <c r="Q1939" s="72" t="s">
        <v>229</v>
      </c>
      <c r="R1939" s="162"/>
      <c r="S1939" s="146"/>
      <c r="T1939" s="68" t="s">
        <v>3</v>
      </c>
      <c r="U1939" s="87"/>
      <c r="V1939" s="183">
        <v>43081</v>
      </c>
      <c r="W1939" s="73">
        <v>37</v>
      </c>
      <c r="X1939" s="73">
        <f>54*26700/1000000</f>
        <v>1.4418</v>
      </c>
      <c r="Y1939" s="83">
        <f>IF(SUM(W1939:W1939)&gt;0,X1939/SUM(W1939:W1939)*1000000,"N/A")</f>
        <v>38967.567567567567</v>
      </c>
      <c r="Z1939" s="183"/>
      <c r="AA1939" s="183"/>
      <c r="AB1939" s="73" t="s">
        <v>6766</v>
      </c>
      <c r="AC1939" s="153"/>
      <c r="AD1939" s="331"/>
      <c r="AE1939" s="57"/>
      <c r="AF1939" s="88"/>
      <c r="AG1939" s="182">
        <f>YEAR(D1939)</f>
        <v>2017</v>
      </c>
      <c r="AH1939" s="86" t="str">
        <f>+IF(AE1939=$AJ$22,MONTH(T1939),"")</f>
        <v/>
      </c>
      <c r="AI1939" s="86" t="str">
        <f>+IF(AF1939=$AJ$22,MONTH(U1939),"")</f>
        <v/>
      </c>
      <c r="AJ1939" s="86" t="str">
        <f>+IF(AG1939=$AJ$22,MONTH(V1939),"")</f>
        <v/>
      </c>
      <c r="AK1939" s="86" t="str">
        <f>+IF(AG1939=$AK$22,MONTH(V1939),"")</f>
        <v/>
      </c>
      <c r="AL1939" s="86" t="str">
        <f>+IF(AG1939=$AL$22,MONTH(V1939),"")</f>
        <v/>
      </c>
      <c r="AM1939" s="86" t="str">
        <f>+IF($AG1939=$AM$22,MONTH($D1939),"")</f>
        <v/>
      </c>
      <c r="AN1939" s="89" t="str">
        <f>+IF($AG1939=AN$22,MONTH($D1939),"")</f>
        <v/>
      </c>
      <c r="AO1939" s="86" t="str">
        <f>+IF($AG1939=AO$22,MONTH($D1939),"")</f>
        <v/>
      </c>
      <c r="AP1939" s="86" t="str">
        <f>+IF($AG1939=AP$22,MONTH($D1939),"")</f>
        <v/>
      </c>
      <c r="AQ1939" s="86">
        <f>+IF($AG1939=AQ$22,MONTH($D1939),"")</f>
        <v>11</v>
      </c>
      <c r="AR1939" s="86" t="str">
        <f>+IF($AG1939=AR$22,MONTH($D1939),"")</f>
        <v/>
      </c>
      <c r="AS1939" s="86" t="str">
        <f>+IF($AG1939=AS$22,MONTH($D1939),"")</f>
        <v/>
      </c>
      <c r="AT1939" s="86" t="str">
        <f>+IF($AG1939=AT$22,MONTH($D1939),"")</f>
        <v/>
      </c>
      <c r="AU1939" s="86" t="str">
        <f>+IF($AG1939=AU$22,MONTH($D1939),"")</f>
        <v/>
      </c>
      <c r="AV1939" s="86" t="str">
        <f>+IF($AG1939=AV$22,MONTH($D1939),"")</f>
        <v/>
      </c>
      <c r="AW1939" s="86" t="str">
        <f>+IF($AG1939=AW$22,MONTH($D1939),"")</f>
        <v/>
      </c>
      <c r="AX1939" s="86" t="str">
        <f>+IF($AG1939=AX$22,MONTH($D1939),"")</f>
        <v/>
      </c>
      <c r="AY1939" s="182"/>
      <c r="AZ1939" s="182"/>
      <c r="BA1939" s="182"/>
      <c r="BB1939" s="182"/>
      <c r="BC1939" s="182"/>
      <c r="BD1939" s="182"/>
      <c r="BE1939" s="182"/>
      <c r="BF1939" s="182"/>
      <c r="BG1939" s="182"/>
      <c r="BH1939" s="182"/>
      <c r="BI1939" s="182"/>
      <c r="BJ1939" s="89"/>
      <c r="BK1939" s="89"/>
      <c r="BL1939" s="89"/>
      <c r="BM1939" s="89"/>
      <c r="BN1939" s="89"/>
      <c r="BO1939" s="89"/>
      <c r="BP1939" s="89"/>
    </row>
    <row r="1940" spans="1:68" s="56" customFormat="1" ht="67.5" hidden="1">
      <c r="A1940" s="204" t="str">
        <f>+IFERROR(VALUE(MID(AB1940,4,4)),"")</f>
        <v/>
      </c>
      <c r="B1940" s="204">
        <f>VALUE(RIGHT(C1940,LEN(C1940)-2))</f>
        <v>785</v>
      </c>
      <c r="C1940" s="74" t="s">
        <v>6767</v>
      </c>
      <c r="D1940" s="75">
        <v>43048</v>
      </c>
      <c r="E1940" s="70" t="s">
        <v>106</v>
      </c>
      <c r="F1940" s="70" t="s">
        <v>106</v>
      </c>
      <c r="G1940" s="68"/>
      <c r="H1940" s="59"/>
      <c r="I1940" s="162" t="s">
        <v>6768</v>
      </c>
      <c r="J1940" s="162"/>
      <c r="K1940" s="68" t="s">
        <v>11</v>
      </c>
      <c r="L1940" s="69" t="s">
        <v>123</v>
      </c>
      <c r="M1940" s="71" t="s">
        <v>141</v>
      </c>
      <c r="N1940" s="69" t="e" vm="1">
        <v>#VALUE!</v>
      </c>
      <c r="O1940" s="164"/>
      <c r="P1940" s="72" t="s">
        <v>4567</v>
      </c>
      <c r="Q1940" s="72"/>
      <c r="R1940" s="162"/>
      <c r="S1940" s="146" t="s">
        <v>6769</v>
      </c>
      <c r="T1940" s="68" t="s">
        <v>155</v>
      </c>
      <c r="U1940" s="87"/>
      <c r="V1940" s="183"/>
      <c r="W1940" s="73"/>
      <c r="X1940" s="73"/>
      <c r="Y1940" s="83"/>
      <c r="Z1940" s="183"/>
      <c r="AA1940" s="183"/>
      <c r="AB1940" s="73"/>
      <c r="AC1940" s="153"/>
      <c r="AD1940" s="331"/>
      <c r="AE1940" s="57"/>
      <c r="AF1940" s="88"/>
      <c r="AG1940" s="182">
        <f>YEAR(D1940)</f>
        <v>2017</v>
      </c>
      <c r="AH1940" s="86" t="str">
        <f>+IF(AE1940=$AJ$22,MONTH(T1940),"")</f>
        <v/>
      </c>
      <c r="AI1940" s="86" t="str">
        <f>+IF(AF1940=$AJ$22,MONTH(U1940),"")</f>
        <v/>
      </c>
      <c r="AJ1940" s="86" t="str">
        <f>+IF(AG1940=$AJ$22,MONTH(V1940),"")</f>
        <v/>
      </c>
      <c r="AK1940" s="86" t="str">
        <f>+IF(AG1940=$AK$22,MONTH(V1940),"")</f>
        <v/>
      </c>
      <c r="AL1940" s="86" t="str">
        <f>+IF(AG1940=$AL$22,MONTH(V1940),"")</f>
        <v/>
      </c>
      <c r="AM1940" s="86" t="str">
        <f>+IF($AG1940=$AM$22,MONTH($D1940),"")</f>
        <v/>
      </c>
      <c r="AN1940" s="89" t="str">
        <f>+IF($AG1940=AN$22,MONTH($D1940),"")</f>
        <v/>
      </c>
      <c r="AO1940" s="86" t="str">
        <f>+IF($AG1940=AO$22,MONTH($D1940),"")</f>
        <v/>
      </c>
      <c r="AP1940" s="86" t="str">
        <f>+IF($AG1940=AP$22,MONTH($D1940),"")</f>
        <v/>
      </c>
      <c r="AQ1940" s="86">
        <f>+IF($AG1940=AQ$22,MONTH($D1940),"")</f>
        <v>11</v>
      </c>
      <c r="AR1940" s="86" t="str">
        <f>+IF($AG1940=AR$22,MONTH($D1940),"")</f>
        <v/>
      </c>
      <c r="AS1940" s="86" t="str">
        <f>+IF($AG1940=AS$22,MONTH($D1940),"")</f>
        <v/>
      </c>
      <c r="AT1940" s="86" t="str">
        <f>+IF($AG1940=AT$22,MONTH($D1940),"")</f>
        <v/>
      </c>
      <c r="AU1940" s="86" t="str">
        <f>+IF($AG1940=AU$22,MONTH($D1940),"")</f>
        <v/>
      </c>
      <c r="AV1940" s="86" t="str">
        <f>+IF($AG1940=AV$22,MONTH($D1940),"")</f>
        <v/>
      </c>
      <c r="AW1940" s="86" t="str">
        <f>+IF($AG1940=AW$22,MONTH($D1940),"")</f>
        <v/>
      </c>
      <c r="AX1940" s="86" t="str">
        <f>+IF($AG1940=AX$22,MONTH($D1940),"")</f>
        <v/>
      </c>
      <c r="AY1940" s="182"/>
      <c r="AZ1940" s="182"/>
      <c r="BA1940" s="182"/>
      <c r="BB1940" s="182"/>
      <c r="BC1940" s="182"/>
      <c r="BD1940" s="182"/>
      <c r="BE1940" s="182"/>
      <c r="BF1940" s="182"/>
      <c r="BG1940" s="182"/>
      <c r="BH1940" s="182"/>
      <c r="BI1940" s="182"/>
      <c r="BJ1940" s="89"/>
      <c r="BK1940" s="89"/>
      <c r="BL1940" s="89"/>
      <c r="BM1940" s="89"/>
      <c r="BN1940" s="89"/>
      <c r="BO1940" s="89"/>
      <c r="BP1940" s="89"/>
    </row>
    <row r="1941" spans="1:68" s="56" customFormat="1" ht="27" hidden="1">
      <c r="A1941" s="204">
        <f>+IFERROR(VALUE(MID(AB1941,4,4)),"")</f>
        <v>176</v>
      </c>
      <c r="B1941" s="204">
        <f>VALUE(RIGHT(C1941,LEN(C1941)-2))</f>
        <v>784</v>
      </c>
      <c r="C1941" s="74" t="s">
        <v>6770</v>
      </c>
      <c r="D1941" s="75">
        <v>43046</v>
      </c>
      <c r="E1941" s="70" t="s">
        <v>685</v>
      </c>
      <c r="F1941" s="70" t="s">
        <v>685</v>
      </c>
      <c r="G1941" s="68" t="s">
        <v>6771</v>
      </c>
      <c r="H1941" s="59"/>
      <c r="I1941" s="162" t="s">
        <v>6772</v>
      </c>
      <c r="J1941" s="162"/>
      <c r="K1941" s="68" t="s">
        <v>30</v>
      </c>
      <c r="L1941" s="69" t="s">
        <v>123</v>
      </c>
      <c r="M1941" s="71" t="s">
        <v>141</v>
      </c>
      <c r="N1941" s="69" t="e" vm="1">
        <v>#VALUE!</v>
      </c>
      <c r="O1941" s="164"/>
      <c r="P1941" s="72" t="s">
        <v>402</v>
      </c>
      <c r="Q1941" s="72" t="s">
        <v>837</v>
      </c>
      <c r="R1941" s="162"/>
      <c r="S1941" s="146"/>
      <c r="T1941" s="68" t="s">
        <v>3</v>
      </c>
      <c r="U1941" s="87"/>
      <c r="V1941" s="183">
        <v>43081</v>
      </c>
      <c r="W1941" s="73">
        <v>1065</v>
      </c>
      <c r="X1941" s="73">
        <v>34.591489000000003</v>
      </c>
      <c r="Y1941" s="83">
        <f>IF(SUM(W1941:W1941)&gt;0,X1941/SUM(W1941:W1941)*1000000,"N/A")</f>
        <v>32480.271361502346</v>
      </c>
      <c r="Z1941" s="183"/>
      <c r="AA1941" s="183"/>
      <c r="AB1941" s="73" t="s">
        <v>6773</v>
      </c>
      <c r="AC1941" s="153"/>
      <c r="AD1941" s="331"/>
      <c r="AE1941" s="57"/>
      <c r="AF1941" s="88"/>
      <c r="AG1941" s="182">
        <f>YEAR(D1941)</f>
        <v>2017</v>
      </c>
      <c r="AH1941" s="86" t="str">
        <f>+IF(AE1941=$AJ$22,MONTH(T1941),"")</f>
        <v/>
      </c>
      <c r="AI1941" s="86" t="str">
        <f>+IF(AF1941=$AJ$22,MONTH(U1941),"")</f>
        <v/>
      </c>
      <c r="AJ1941" s="86" t="str">
        <f>+IF(AG1941=$AJ$22,MONTH(V1941),"")</f>
        <v/>
      </c>
      <c r="AK1941" s="86" t="str">
        <f>+IF(AG1941=$AK$22,MONTH(V1941),"")</f>
        <v/>
      </c>
      <c r="AL1941" s="86" t="str">
        <f>+IF(AG1941=$AL$22,MONTH(V1941),"")</f>
        <v/>
      </c>
      <c r="AM1941" s="86" t="str">
        <f>+IF($AG1941=$AM$22,MONTH($D1941),"")</f>
        <v/>
      </c>
      <c r="AN1941" s="89" t="str">
        <f>+IF($AG1941=AN$22,MONTH($D1941),"")</f>
        <v/>
      </c>
      <c r="AO1941" s="86" t="str">
        <f>+IF($AG1941=AO$22,MONTH($D1941),"")</f>
        <v/>
      </c>
      <c r="AP1941" s="86" t="str">
        <f>+IF($AG1941=AP$22,MONTH($D1941),"")</f>
        <v/>
      </c>
      <c r="AQ1941" s="86">
        <f>+IF($AG1941=AQ$22,MONTH($D1941),"")</f>
        <v>11</v>
      </c>
      <c r="AR1941" s="86" t="str">
        <f>+IF($AG1941=AR$22,MONTH($D1941),"")</f>
        <v/>
      </c>
      <c r="AS1941" s="86" t="str">
        <f>+IF($AG1941=AS$22,MONTH($D1941),"")</f>
        <v/>
      </c>
      <c r="AT1941" s="86" t="str">
        <f>+IF($AG1941=AT$22,MONTH($D1941),"")</f>
        <v/>
      </c>
      <c r="AU1941" s="86" t="str">
        <f>+IF($AG1941=AU$22,MONTH($D1941),"")</f>
        <v/>
      </c>
      <c r="AV1941" s="86" t="str">
        <f>+IF($AG1941=AV$22,MONTH($D1941),"")</f>
        <v/>
      </c>
      <c r="AW1941" s="86" t="str">
        <f>+IF($AG1941=AW$22,MONTH($D1941),"")</f>
        <v/>
      </c>
      <c r="AX1941" s="86" t="str">
        <f>+IF($AG1941=AX$22,MONTH($D1941),"")</f>
        <v/>
      </c>
      <c r="AY1941" s="182"/>
      <c r="AZ1941" s="182"/>
      <c r="BA1941" s="182"/>
      <c r="BB1941" s="182"/>
      <c r="BC1941" s="182"/>
      <c r="BD1941" s="182"/>
      <c r="BE1941" s="182"/>
      <c r="BF1941" s="182"/>
      <c r="BG1941" s="182"/>
      <c r="BH1941" s="182"/>
      <c r="BI1941" s="182"/>
      <c r="BJ1941" s="89"/>
      <c r="BK1941" s="89"/>
      <c r="BL1941" s="89"/>
      <c r="BM1941" s="89"/>
      <c r="BN1941" s="89"/>
      <c r="BO1941" s="89"/>
      <c r="BP1941" s="89"/>
    </row>
    <row r="1942" spans="1:68" s="56" customFormat="1" ht="27" hidden="1">
      <c r="A1942" s="204">
        <f>+IFERROR(VALUE(MID(AB1942,4,4)),"")</f>
        <v>158</v>
      </c>
      <c r="B1942" s="204">
        <f>VALUE(RIGHT(C1942,LEN(C1942)-2))</f>
        <v>783</v>
      </c>
      <c r="C1942" s="74" t="s">
        <v>6774</v>
      </c>
      <c r="D1942" s="75">
        <v>43045</v>
      </c>
      <c r="E1942" s="70" t="s">
        <v>41</v>
      </c>
      <c r="F1942" s="70" t="s">
        <v>41</v>
      </c>
      <c r="G1942" s="68" t="s">
        <v>6764</v>
      </c>
      <c r="H1942" s="59"/>
      <c r="I1942" s="162" t="s">
        <v>6775</v>
      </c>
      <c r="J1942" s="162"/>
      <c r="K1942" s="68" t="s">
        <v>13</v>
      </c>
      <c r="L1942" s="69" t="s">
        <v>123</v>
      </c>
      <c r="M1942" s="71" t="s">
        <v>141</v>
      </c>
      <c r="N1942" s="69" t="e" vm="1">
        <v>#VALUE!</v>
      </c>
      <c r="O1942" s="164"/>
      <c r="P1942" s="72" t="s">
        <v>402</v>
      </c>
      <c r="Q1942" s="72" t="s">
        <v>259</v>
      </c>
      <c r="R1942" s="162"/>
      <c r="S1942" s="146"/>
      <c r="T1942" s="68" t="s">
        <v>3</v>
      </c>
      <c r="U1942" s="87"/>
      <c r="V1942" s="183">
        <v>43081</v>
      </c>
      <c r="W1942" s="73">
        <v>1144</v>
      </c>
      <c r="X1942" s="73">
        <f>1104*26700/1000000</f>
        <v>29.476800000000001</v>
      </c>
      <c r="Y1942" s="83">
        <f>IF(SUM(W1942:W1942)&gt;0,X1942/SUM(W1942:W1942)*1000000,"N/A")</f>
        <v>25766.433566433567</v>
      </c>
      <c r="Z1942" s="183"/>
      <c r="AA1942" s="183"/>
      <c r="AB1942" s="73" t="s">
        <v>6776</v>
      </c>
      <c r="AC1942" s="153"/>
      <c r="AD1942" s="331"/>
      <c r="AE1942" s="57"/>
      <c r="AF1942" s="88"/>
      <c r="AG1942" s="182">
        <f>YEAR(D1942)</f>
        <v>2017</v>
      </c>
      <c r="AH1942" s="86" t="str">
        <f>+IF(AE1942=$AJ$22,MONTH(T1942),"")</f>
        <v/>
      </c>
      <c r="AI1942" s="86" t="str">
        <f>+IF(AF1942=$AJ$22,MONTH(U1942),"")</f>
        <v/>
      </c>
      <c r="AJ1942" s="86" t="str">
        <f>+IF(AG1942=$AJ$22,MONTH(V1942),"")</f>
        <v/>
      </c>
      <c r="AK1942" s="86" t="str">
        <f>+IF(AG1942=$AK$22,MONTH(V1942),"")</f>
        <v/>
      </c>
      <c r="AL1942" s="86" t="str">
        <f>+IF(AG1942=$AL$22,MONTH(V1942),"")</f>
        <v/>
      </c>
      <c r="AM1942" s="86" t="str">
        <f>+IF($AG1942=$AM$22,MONTH($D1942),"")</f>
        <v/>
      </c>
      <c r="AN1942" s="89" t="str">
        <f>+IF($AG1942=AN$22,MONTH($D1942),"")</f>
        <v/>
      </c>
      <c r="AO1942" s="86" t="str">
        <f>+IF($AG1942=AO$22,MONTH($D1942),"")</f>
        <v/>
      </c>
      <c r="AP1942" s="86" t="str">
        <f>+IF($AG1942=AP$22,MONTH($D1942),"")</f>
        <v/>
      </c>
      <c r="AQ1942" s="86">
        <f>+IF($AG1942=AQ$22,MONTH($D1942),"")</f>
        <v>11</v>
      </c>
      <c r="AR1942" s="86" t="str">
        <f>+IF($AG1942=AR$22,MONTH($D1942),"")</f>
        <v/>
      </c>
      <c r="AS1942" s="86" t="str">
        <f>+IF($AG1942=AS$22,MONTH($D1942),"")</f>
        <v/>
      </c>
      <c r="AT1942" s="86" t="str">
        <f>+IF($AG1942=AT$22,MONTH($D1942),"")</f>
        <v/>
      </c>
      <c r="AU1942" s="86" t="str">
        <f>+IF($AG1942=AU$22,MONTH($D1942),"")</f>
        <v/>
      </c>
      <c r="AV1942" s="86" t="str">
        <f>+IF($AG1942=AV$22,MONTH($D1942),"")</f>
        <v/>
      </c>
      <c r="AW1942" s="86" t="str">
        <f>+IF($AG1942=AW$22,MONTH($D1942),"")</f>
        <v/>
      </c>
      <c r="AX1942" s="86" t="str">
        <f>+IF($AG1942=AX$22,MONTH($D1942),"")</f>
        <v/>
      </c>
      <c r="AY1942" s="182"/>
      <c r="AZ1942" s="182"/>
      <c r="BA1942" s="182"/>
      <c r="BB1942" s="182"/>
      <c r="BC1942" s="182"/>
      <c r="BD1942" s="182"/>
      <c r="BE1942" s="182"/>
      <c r="BF1942" s="182"/>
      <c r="BG1942" s="182"/>
      <c r="BH1942" s="182"/>
      <c r="BI1942" s="182"/>
      <c r="BJ1942" s="89"/>
      <c r="BK1942" s="89"/>
      <c r="BL1942" s="89"/>
      <c r="BM1942" s="89"/>
      <c r="BN1942" s="89"/>
      <c r="BO1942" s="89"/>
      <c r="BP1942" s="89"/>
    </row>
    <row r="1943" spans="1:68" s="56" customFormat="1" ht="13.5" hidden="1">
      <c r="A1943" s="204" t="str">
        <f>+IFERROR(VALUE(MID(AB1943,4,4)),"")</f>
        <v/>
      </c>
      <c r="B1943" s="204">
        <f>VALUE(RIGHT(C1943,LEN(C1943)-2))</f>
        <v>782</v>
      </c>
      <c r="C1943" s="74" t="s">
        <v>6777</v>
      </c>
      <c r="D1943" s="75">
        <v>43034</v>
      </c>
      <c r="E1943" s="70" t="s">
        <v>6778</v>
      </c>
      <c r="F1943" s="70" t="s">
        <v>106</v>
      </c>
      <c r="G1943" s="68" t="s">
        <v>6779</v>
      </c>
      <c r="H1943" s="59"/>
      <c r="I1943" s="162" t="s">
        <v>6780</v>
      </c>
      <c r="J1943" s="162"/>
      <c r="K1943" s="68" t="s">
        <v>13</v>
      </c>
      <c r="L1943" s="69" t="s">
        <v>123</v>
      </c>
      <c r="M1943" s="71" t="s">
        <v>141</v>
      </c>
      <c r="N1943" s="69" t="e" vm="1">
        <v>#VALUE!</v>
      </c>
      <c r="O1943" s="164"/>
      <c r="P1943" s="72" t="s">
        <v>4567</v>
      </c>
      <c r="Q1943" s="72"/>
      <c r="R1943" s="162"/>
      <c r="S1943" s="146"/>
      <c r="T1943" s="68" t="s">
        <v>165</v>
      </c>
      <c r="U1943" s="87"/>
      <c r="V1943" s="183">
        <v>43081</v>
      </c>
      <c r="W1943" s="73">
        <v>6778</v>
      </c>
      <c r="X1943" s="73">
        <f>8708*26600/1000000</f>
        <v>231.6328</v>
      </c>
      <c r="Y1943" s="83">
        <f>IF(SUM(W1943:W1943)&gt;0,X1943/SUM(W1943:W1943)*1000000,"N/A")</f>
        <v>34174.210681616998</v>
      </c>
      <c r="Z1943" s="183"/>
      <c r="AA1943" s="183"/>
      <c r="AB1943" s="73"/>
      <c r="AC1943" s="153"/>
      <c r="AD1943" s="331"/>
      <c r="AE1943" s="57"/>
      <c r="AF1943" s="88"/>
      <c r="AG1943" s="182">
        <f>YEAR(D1943)</f>
        <v>2017</v>
      </c>
      <c r="AH1943" s="86" t="str">
        <f>+IF(AE1943=$AJ$22,MONTH(T1943),"")</f>
        <v/>
      </c>
      <c r="AI1943" s="86" t="str">
        <f>+IF(AF1943=$AJ$22,MONTH(U1943),"")</f>
        <v/>
      </c>
      <c r="AJ1943" s="86" t="str">
        <f>+IF(AG1943=$AJ$22,MONTH(V1943),"")</f>
        <v/>
      </c>
      <c r="AK1943" s="86" t="str">
        <f>+IF(AG1943=$AK$22,MONTH(V1943),"")</f>
        <v/>
      </c>
      <c r="AL1943" s="86" t="str">
        <f>+IF(AG1943=$AL$22,MONTH(V1943),"")</f>
        <v/>
      </c>
      <c r="AM1943" s="86" t="str">
        <f>+IF($AG1943=$AM$22,MONTH($D1943),"")</f>
        <v/>
      </c>
      <c r="AN1943" s="89" t="str">
        <f>+IF($AG1943=AN$22,MONTH($D1943),"")</f>
        <v/>
      </c>
      <c r="AO1943" s="86" t="str">
        <f>+IF($AG1943=AO$22,MONTH($D1943),"")</f>
        <v/>
      </c>
      <c r="AP1943" s="86" t="str">
        <f>+IF($AG1943=AP$22,MONTH($D1943),"")</f>
        <v/>
      </c>
      <c r="AQ1943" s="86">
        <f>+IF($AG1943=AQ$22,MONTH($D1943),"")</f>
        <v>10</v>
      </c>
      <c r="AR1943" s="86" t="str">
        <f>+IF($AG1943=AR$22,MONTH($D1943),"")</f>
        <v/>
      </c>
      <c r="AS1943" s="86" t="str">
        <f>+IF($AG1943=AS$22,MONTH($D1943),"")</f>
        <v/>
      </c>
      <c r="AT1943" s="86" t="str">
        <f>+IF($AG1943=AT$22,MONTH($D1943),"")</f>
        <v/>
      </c>
      <c r="AU1943" s="86" t="str">
        <f>+IF($AG1943=AU$22,MONTH($D1943),"")</f>
        <v/>
      </c>
      <c r="AV1943" s="86" t="str">
        <f>+IF($AG1943=AV$22,MONTH($D1943),"")</f>
        <v/>
      </c>
      <c r="AW1943" s="86" t="str">
        <f>+IF($AG1943=AW$22,MONTH($D1943),"")</f>
        <v/>
      </c>
      <c r="AX1943" s="86" t="str">
        <f>+IF($AG1943=AX$22,MONTH($D1943),"")</f>
        <v/>
      </c>
      <c r="AY1943" s="182"/>
      <c r="AZ1943" s="182"/>
      <c r="BA1943" s="182"/>
      <c r="BB1943" s="182"/>
      <c r="BC1943" s="182"/>
      <c r="BD1943" s="182"/>
      <c r="BE1943" s="182"/>
      <c r="BF1943" s="182"/>
      <c r="BG1943" s="182"/>
      <c r="BH1943" s="182"/>
      <c r="BI1943" s="182"/>
      <c r="BJ1943" s="89"/>
      <c r="BK1943" s="89"/>
      <c r="BL1943" s="89"/>
      <c r="BM1943" s="89"/>
      <c r="BN1943" s="89"/>
      <c r="BO1943" s="89"/>
      <c r="BP1943" s="89"/>
    </row>
    <row r="1944" spans="1:68" s="56" customFormat="1" ht="27" hidden="1">
      <c r="A1944" s="204" t="str">
        <f>+IFERROR(VALUE(MID(AB1944,4,4)),"")</f>
        <v/>
      </c>
      <c r="B1944" s="204">
        <f>VALUE(RIGHT(C1944,LEN(C1944)-2))</f>
        <v>781</v>
      </c>
      <c r="C1944" s="74" t="s">
        <v>6781</v>
      </c>
      <c r="D1944" s="75">
        <v>43027</v>
      </c>
      <c r="E1944" s="70" t="s">
        <v>4048</v>
      </c>
      <c r="F1944" s="70" t="s">
        <v>848</v>
      </c>
      <c r="G1944" s="68" t="s">
        <v>4508</v>
      </c>
      <c r="H1944" s="59"/>
      <c r="I1944" s="162" t="s">
        <v>6782</v>
      </c>
      <c r="J1944" s="162"/>
      <c r="K1944" s="68" t="s">
        <v>13</v>
      </c>
      <c r="L1944" s="69" t="s">
        <v>120</v>
      </c>
      <c r="M1944" s="71" t="s">
        <v>141</v>
      </c>
      <c r="N1944" s="69" t="e" vm="1">
        <v>#VALUE!</v>
      </c>
      <c r="O1944" s="164"/>
      <c r="P1944" s="72" t="s">
        <v>4567</v>
      </c>
      <c r="Q1944" s="72"/>
      <c r="R1944" s="162"/>
      <c r="S1944" s="146"/>
      <c r="T1944" s="68" t="s">
        <v>165</v>
      </c>
      <c r="U1944" s="87"/>
      <c r="V1944" s="183">
        <v>43075</v>
      </c>
      <c r="W1944" s="73">
        <v>1005</v>
      </c>
      <c r="X1944" s="73"/>
      <c r="Y1944" s="83"/>
      <c r="Z1944" s="183"/>
      <c r="AA1944" s="183"/>
      <c r="AB1944" s="73"/>
      <c r="AC1944" s="153"/>
      <c r="AD1944" s="331"/>
      <c r="AE1944" s="57"/>
      <c r="AF1944" s="88"/>
      <c r="AG1944" s="182">
        <f>YEAR(D1944)</f>
        <v>2017</v>
      </c>
      <c r="AH1944" s="86" t="str">
        <f>+IF(AE1944=$AJ$22,MONTH(T1944),"")</f>
        <v/>
      </c>
      <c r="AI1944" s="86" t="str">
        <f>+IF(AF1944=$AJ$22,MONTH(U1944),"")</f>
        <v/>
      </c>
      <c r="AJ1944" s="86" t="str">
        <f>+IF(AG1944=$AJ$22,MONTH(V1944),"")</f>
        <v/>
      </c>
      <c r="AK1944" s="86" t="str">
        <f>+IF(AG1944=$AK$22,MONTH(V1944),"")</f>
        <v/>
      </c>
      <c r="AL1944" s="86" t="str">
        <f>+IF(AG1944=$AL$22,MONTH(V1944),"")</f>
        <v/>
      </c>
      <c r="AM1944" s="86" t="str">
        <f>+IF($AG1944=$AM$22,MONTH($D1944),"")</f>
        <v/>
      </c>
      <c r="AN1944" s="89" t="str">
        <f>+IF($AG1944=AN$22,MONTH($D1944),"")</f>
        <v/>
      </c>
      <c r="AO1944" s="86" t="str">
        <f>+IF($AG1944=AO$22,MONTH($D1944),"")</f>
        <v/>
      </c>
      <c r="AP1944" s="86" t="str">
        <f>+IF($AG1944=AP$22,MONTH($D1944),"")</f>
        <v/>
      </c>
      <c r="AQ1944" s="86">
        <f>+IF($AG1944=AQ$22,MONTH($D1944),"")</f>
        <v>10</v>
      </c>
      <c r="AR1944" s="86" t="str">
        <f>+IF($AG1944=AR$22,MONTH($D1944),"")</f>
        <v/>
      </c>
      <c r="AS1944" s="86" t="str">
        <f>+IF($AG1944=AS$22,MONTH($D1944),"")</f>
        <v/>
      </c>
      <c r="AT1944" s="86" t="str">
        <f>+IF($AG1944=AT$22,MONTH($D1944),"")</f>
        <v/>
      </c>
      <c r="AU1944" s="86" t="str">
        <f>+IF($AG1944=AU$22,MONTH($D1944),"")</f>
        <v/>
      </c>
      <c r="AV1944" s="86" t="str">
        <f>+IF($AG1944=AV$22,MONTH($D1944),"")</f>
        <v/>
      </c>
      <c r="AW1944" s="86" t="str">
        <f>+IF($AG1944=AW$22,MONTH($D1944),"")</f>
        <v/>
      </c>
      <c r="AX1944" s="86" t="str">
        <f>+IF($AG1944=AX$22,MONTH($D1944),"")</f>
        <v/>
      </c>
      <c r="AY1944" s="89"/>
      <c r="AZ1944" s="89"/>
      <c r="BA1944" s="89"/>
      <c r="BB1944" s="89"/>
      <c r="BC1944" s="89"/>
      <c r="BD1944" s="89"/>
      <c r="BE1944" s="89"/>
      <c r="BF1944" s="89"/>
      <c r="BG1944" s="89"/>
      <c r="BH1944" s="89"/>
      <c r="BI1944" s="89"/>
      <c r="BJ1944" s="89"/>
      <c r="BK1944" s="89"/>
      <c r="BL1944" s="89"/>
      <c r="BM1944" s="89"/>
      <c r="BN1944" s="89"/>
      <c r="BO1944" s="89"/>
      <c r="BP1944" s="89"/>
    </row>
    <row r="1945" spans="1:68" s="56" customFormat="1" ht="13.5" hidden="1">
      <c r="A1945" s="204" t="str">
        <f>+IFERROR(VALUE(MID(AB1945,4,4)),"")</f>
        <v/>
      </c>
      <c r="B1945" s="204">
        <f>VALUE(RIGHT(C1945,LEN(C1945)-2))</f>
        <v>780</v>
      </c>
      <c r="C1945" s="74" t="s">
        <v>6783</v>
      </c>
      <c r="D1945" s="75">
        <v>43026</v>
      </c>
      <c r="E1945" s="70" t="s">
        <v>106</v>
      </c>
      <c r="F1945" s="70" t="s">
        <v>106</v>
      </c>
      <c r="G1945" s="68" t="s">
        <v>6744</v>
      </c>
      <c r="H1945" s="59"/>
      <c r="I1945" s="162" t="s">
        <v>6784</v>
      </c>
      <c r="J1945" s="162"/>
      <c r="K1945" s="68" t="s">
        <v>13</v>
      </c>
      <c r="L1945" s="69" t="s">
        <v>123</v>
      </c>
      <c r="M1945" s="71" t="s">
        <v>141</v>
      </c>
      <c r="N1945" s="69" t="e" vm="1">
        <v>#VALUE!</v>
      </c>
      <c r="O1945" s="164"/>
      <c r="P1945" s="72" t="s">
        <v>4567</v>
      </c>
      <c r="Q1945" s="72"/>
      <c r="R1945" s="162"/>
      <c r="S1945" s="146"/>
      <c r="T1945" s="68" t="s">
        <v>165</v>
      </c>
      <c r="U1945" s="87"/>
      <c r="V1945" s="183">
        <v>43075</v>
      </c>
      <c r="W1945" s="73">
        <v>28332</v>
      </c>
      <c r="X1945" s="73">
        <f>26193*26700/1000000</f>
        <v>699.35310000000004</v>
      </c>
      <c r="Y1945" s="83">
        <f>IF(SUM(W1945:W1945)&gt;0,X1945/SUM(W1945:W1945)*1000000,"N/A")</f>
        <v>24684.212198221092</v>
      </c>
      <c r="Z1945" s="183"/>
      <c r="AA1945" s="183"/>
      <c r="AB1945" s="73"/>
      <c r="AC1945" s="153"/>
      <c r="AD1945" s="331"/>
      <c r="AE1945" s="57"/>
      <c r="AF1945" s="88"/>
      <c r="AG1945" s="182">
        <f>YEAR(D1945)</f>
        <v>2017</v>
      </c>
      <c r="AH1945" s="86" t="str">
        <f>+IF(AE1945=$AJ$22,MONTH(T1945),"")</f>
        <v/>
      </c>
      <c r="AI1945" s="86" t="str">
        <f>+IF(AF1945=$AJ$22,MONTH(U1945),"")</f>
        <v/>
      </c>
      <c r="AJ1945" s="86" t="str">
        <f>+IF(AG1945=$AJ$22,MONTH(V1945),"")</f>
        <v/>
      </c>
      <c r="AK1945" s="86" t="str">
        <f>+IF(AG1945=$AK$22,MONTH(V1945),"")</f>
        <v/>
      </c>
      <c r="AL1945" s="86" t="str">
        <f>+IF(AG1945=$AL$22,MONTH(V1945),"")</f>
        <v/>
      </c>
      <c r="AM1945" s="86" t="str">
        <f>+IF($AG1945=$AM$22,MONTH($D1945),"")</f>
        <v/>
      </c>
      <c r="AN1945" s="89" t="str">
        <f>+IF($AG1945=AN$22,MONTH($D1945),"")</f>
        <v/>
      </c>
      <c r="AO1945" s="86" t="str">
        <f>+IF($AG1945=AO$22,MONTH($D1945),"")</f>
        <v/>
      </c>
      <c r="AP1945" s="86" t="str">
        <f>+IF($AG1945=AP$22,MONTH($D1945),"")</f>
        <v/>
      </c>
      <c r="AQ1945" s="86">
        <f>+IF($AG1945=AQ$22,MONTH($D1945),"")</f>
        <v>10</v>
      </c>
      <c r="AR1945" s="86" t="str">
        <f>+IF($AG1945=AR$22,MONTH($D1945),"")</f>
        <v/>
      </c>
      <c r="AS1945" s="86" t="str">
        <f>+IF($AG1945=AS$22,MONTH($D1945),"")</f>
        <v/>
      </c>
      <c r="AT1945" s="86" t="str">
        <f>+IF($AG1945=AT$22,MONTH($D1945),"")</f>
        <v/>
      </c>
      <c r="AU1945" s="86" t="str">
        <f>+IF($AG1945=AU$22,MONTH($D1945),"")</f>
        <v/>
      </c>
      <c r="AV1945" s="86" t="str">
        <f>+IF($AG1945=AV$22,MONTH($D1945),"")</f>
        <v/>
      </c>
      <c r="AW1945" s="86" t="str">
        <f>+IF($AG1945=AW$22,MONTH($D1945),"")</f>
        <v/>
      </c>
      <c r="AX1945" s="86" t="str">
        <f>+IF($AG1945=AX$22,MONTH($D1945),"")</f>
        <v/>
      </c>
      <c r="AY1945" s="182"/>
      <c r="AZ1945" s="182"/>
      <c r="BA1945" s="182"/>
      <c r="BB1945" s="182"/>
      <c r="BC1945" s="182"/>
      <c r="BD1945" s="182"/>
      <c r="BE1945" s="182"/>
      <c r="BF1945" s="182"/>
      <c r="BG1945" s="182"/>
      <c r="BH1945" s="182"/>
      <c r="BI1945" s="182"/>
      <c r="BJ1945" s="89"/>
      <c r="BK1945" s="89"/>
      <c r="BL1945" s="89"/>
      <c r="BM1945" s="89"/>
      <c r="BN1945" s="89"/>
      <c r="BO1945" s="89"/>
      <c r="BP1945" s="89"/>
    </row>
    <row r="1946" spans="1:68" s="56" customFormat="1" ht="13.5" hidden="1">
      <c r="A1946" s="204">
        <f>+IFERROR(VALUE(MID(AB1946,4,4)),"")</f>
        <v>173</v>
      </c>
      <c r="B1946" s="204">
        <f>VALUE(RIGHT(C1946,LEN(C1946)-2))</f>
        <v>779</v>
      </c>
      <c r="C1946" s="74" t="s">
        <v>6785</v>
      </c>
      <c r="D1946" s="75">
        <v>43026</v>
      </c>
      <c r="E1946" s="70" t="s">
        <v>53</v>
      </c>
      <c r="F1946" s="70" t="s">
        <v>460</v>
      </c>
      <c r="G1946" s="68" t="s">
        <v>6786</v>
      </c>
      <c r="H1946" s="59"/>
      <c r="I1946" s="162" t="s">
        <v>6787</v>
      </c>
      <c r="J1946" s="162"/>
      <c r="K1946" s="68" t="s">
        <v>13</v>
      </c>
      <c r="L1946" s="69" t="s">
        <v>120</v>
      </c>
      <c r="M1946" s="71" t="s">
        <v>141</v>
      </c>
      <c r="N1946" s="69" t="e" vm="1">
        <v>#VALUE!</v>
      </c>
      <c r="O1946" s="164"/>
      <c r="P1946" s="72" t="s">
        <v>4567</v>
      </c>
      <c r="Q1946" s="72" t="s">
        <v>259</v>
      </c>
      <c r="R1946" s="162"/>
      <c r="S1946" s="146"/>
      <c r="T1946" s="68" t="s">
        <v>3</v>
      </c>
      <c r="U1946" s="87"/>
      <c r="V1946" s="183">
        <v>43075</v>
      </c>
      <c r="W1946" s="73">
        <v>109</v>
      </c>
      <c r="X1946" s="73">
        <v>2.560908</v>
      </c>
      <c r="Y1946" s="83">
        <f>IF(SUM(W1946:W1946)&gt;0,X1946/SUM(W1946:W1946)*1000000,"N/A")</f>
        <v>23494.568807339449</v>
      </c>
      <c r="Z1946" s="183"/>
      <c r="AA1946" s="183"/>
      <c r="AB1946" s="73" t="s">
        <v>6788</v>
      </c>
      <c r="AC1946" s="153"/>
      <c r="AD1946" s="331"/>
      <c r="AE1946" s="57"/>
      <c r="AF1946" s="88"/>
      <c r="AG1946" s="182">
        <f>YEAR(D1946)</f>
        <v>2017</v>
      </c>
      <c r="AH1946" s="86" t="str">
        <f>+IF(AE1946=$AJ$22,MONTH(T1946),"")</f>
        <v/>
      </c>
      <c r="AI1946" s="86" t="str">
        <f>+IF(AF1946=$AJ$22,MONTH(U1946),"")</f>
        <v/>
      </c>
      <c r="AJ1946" s="86" t="str">
        <f>+IF(AG1946=$AJ$22,MONTH(V1946),"")</f>
        <v/>
      </c>
      <c r="AK1946" s="86" t="str">
        <f>+IF(AG1946=$AK$22,MONTH(V1946),"")</f>
        <v/>
      </c>
      <c r="AL1946" s="86" t="str">
        <f>+IF(AG1946=$AL$22,MONTH(V1946),"")</f>
        <v/>
      </c>
      <c r="AM1946" s="86" t="str">
        <f>+IF($AG1946=$AM$22,MONTH($D1946),"")</f>
        <v/>
      </c>
      <c r="AN1946" s="89" t="str">
        <f>+IF($AG1946=AN$22,MONTH($D1946),"")</f>
        <v/>
      </c>
      <c r="AO1946" s="86" t="str">
        <f>+IF($AG1946=AO$22,MONTH($D1946),"")</f>
        <v/>
      </c>
      <c r="AP1946" s="86" t="str">
        <f>+IF($AG1946=AP$22,MONTH($D1946),"")</f>
        <v/>
      </c>
      <c r="AQ1946" s="86">
        <f>+IF($AG1946=AQ$22,MONTH($D1946),"")</f>
        <v>10</v>
      </c>
      <c r="AR1946" s="86" t="str">
        <f>+IF($AG1946=AR$22,MONTH($D1946),"")</f>
        <v/>
      </c>
      <c r="AS1946" s="86" t="str">
        <f>+IF($AG1946=AS$22,MONTH($D1946),"")</f>
        <v/>
      </c>
      <c r="AT1946" s="86" t="str">
        <f>+IF($AG1946=AT$22,MONTH($D1946),"")</f>
        <v/>
      </c>
      <c r="AU1946" s="86" t="str">
        <f>+IF($AG1946=AU$22,MONTH($D1946),"")</f>
        <v/>
      </c>
      <c r="AV1946" s="86" t="str">
        <f>+IF($AG1946=AV$22,MONTH($D1946),"")</f>
        <v/>
      </c>
      <c r="AW1946" s="86" t="str">
        <f>+IF($AG1946=AW$22,MONTH($D1946),"")</f>
        <v/>
      </c>
      <c r="AX1946" s="86" t="str">
        <f>+IF($AG1946=AX$22,MONTH($D1946),"")</f>
        <v/>
      </c>
      <c r="AY1946" s="182"/>
      <c r="AZ1946" s="182"/>
      <c r="BA1946" s="182"/>
      <c r="BB1946" s="182"/>
      <c r="BC1946" s="182"/>
      <c r="BD1946" s="182"/>
      <c r="BE1946" s="182"/>
      <c r="BF1946" s="182"/>
      <c r="BG1946" s="182"/>
      <c r="BH1946" s="182"/>
      <c r="BI1946" s="182"/>
      <c r="BJ1946" s="89"/>
      <c r="BK1946" s="89"/>
      <c r="BL1946" s="89"/>
      <c r="BM1946" s="89"/>
      <c r="BN1946" s="89"/>
      <c r="BO1946" s="89"/>
      <c r="BP1946" s="89"/>
    </row>
    <row r="1947" spans="1:68" s="56" customFormat="1" ht="13.5" hidden="1">
      <c r="A1947" s="204">
        <f>+IFERROR(VALUE(MID(AB1947,4,4)),"")</f>
        <v>179</v>
      </c>
      <c r="B1947" s="204">
        <f>VALUE(RIGHT(C1947,LEN(C1947)-2))</f>
        <v>778</v>
      </c>
      <c r="C1947" s="74" t="s">
        <v>6789</v>
      </c>
      <c r="D1947" s="75">
        <v>43014</v>
      </c>
      <c r="E1947" s="70" t="s">
        <v>394</v>
      </c>
      <c r="F1947" s="70" t="s">
        <v>394</v>
      </c>
      <c r="G1947" s="68"/>
      <c r="H1947" s="59"/>
      <c r="I1947" s="162" t="s">
        <v>6790</v>
      </c>
      <c r="J1947" s="162"/>
      <c r="K1947" s="68" t="s">
        <v>212</v>
      </c>
      <c r="L1947" s="69" t="s">
        <v>123</v>
      </c>
      <c r="M1947" s="71" t="s">
        <v>141</v>
      </c>
      <c r="N1947" s="69" t="e" vm="1">
        <v>#VALUE!</v>
      </c>
      <c r="O1947" s="164"/>
      <c r="P1947" s="72" t="s">
        <v>402</v>
      </c>
      <c r="Q1947" s="72" t="s">
        <v>405</v>
      </c>
      <c r="R1947" s="162"/>
      <c r="S1947" s="146"/>
      <c r="T1947" s="68" t="s">
        <v>3</v>
      </c>
      <c r="U1947" s="87"/>
      <c r="V1947" s="183">
        <v>43075</v>
      </c>
      <c r="W1947" s="73">
        <v>1000</v>
      </c>
      <c r="X1947" s="73"/>
      <c r="Y1947" s="83">
        <f>IF(SUM(W1947:W1947)&gt;0,X1947/SUM(W1947:W1947)*1000000,"N/A")</f>
        <v>0</v>
      </c>
      <c r="Z1947" s="183"/>
      <c r="AA1947" s="183"/>
      <c r="AB1947" s="73" t="s">
        <v>6791</v>
      </c>
      <c r="AC1947" s="153"/>
      <c r="AD1947" s="331"/>
      <c r="AE1947" s="57"/>
      <c r="AF1947" s="88"/>
      <c r="AG1947" s="182">
        <f>YEAR(D1947)</f>
        <v>2017</v>
      </c>
      <c r="AH1947" s="86" t="str">
        <f>+IF(AE1947=$AJ$22,MONTH(T1947),"")</f>
        <v/>
      </c>
      <c r="AI1947" s="86" t="str">
        <f>+IF(AF1947=$AJ$22,MONTH(U1947),"")</f>
        <v/>
      </c>
      <c r="AJ1947" s="86" t="str">
        <f>+IF(AG1947=$AJ$22,MONTH(V1947),"")</f>
        <v/>
      </c>
      <c r="AK1947" s="86" t="str">
        <f>+IF(AG1947=$AK$22,MONTH(V1947),"")</f>
        <v/>
      </c>
      <c r="AL1947" s="86" t="str">
        <f>+IF(AG1947=$AL$22,MONTH(V1947),"")</f>
        <v/>
      </c>
      <c r="AM1947" s="86" t="str">
        <f>+IF($AG1947=$AM$22,MONTH($D1947),"")</f>
        <v/>
      </c>
      <c r="AN1947" s="89" t="str">
        <f>+IF($AG1947=AN$22,MONTH($D1947),"")</f>
        <v/>
      </c>
      <c r="AO1947" s="86" t="str">
        <f>+IF($AG1947=AO$22,MONTH($D1947),"")</f>
        <v/>
      </c>
      <c r="AP1947" s="86" t="str">
        <f>+IF($AG1947=AP$22,MONTH($D1947),"")</f>
        <v/>
      </c>
      <c r="AQ1947" s="86">
        <f>+IF($AG1947=AQ$22,MONTH($D1947),"")</f>
        <v>10</v>
      </c>
      <c r="AR1947" s="86" t="str">
        <f>+IF($AG1947=AR$22,MONTH($D1947),"")</f>
        <v/>
      </c>
      <c r="AS1947" s="86" t="str">
        <f>+IF($AG1947=AS$22,MONTH($D1947),"")</f>
        <v/>
      </c>
      <c r="AT1947" s="86" t="str">
        <f>+IF($AG1947=AT$22,MONTH($D1947),"")</f>
        <v/>
      </c>
      <c r="AU1947" s="86" t="str">
        <f>+IF($AG1947=AU$22,MONTH($D1947),"")</f>
        <v/>
      </c>
      <c r="AV1947" s="86" t="str">
        <f>+IF($AG1947=AV$22,MONTH($D1947),"")</f>
        <v/>
      </c>
      <c r="AW1947" s="86" t="str">
        <f>+IF($AG1947=AW$22,MONTH($D1947),"")</f>
        <v/>
      </c>
      <c r="AX1947" s="86" t="str">
        <f>+IF($AG1947=AX$22,MONTH($D1947),"")</f>
        <v/>
      </c>
      <c r="AY1947" s="182"/>
      <c r="AZ1947" s="182"/>
      <c r="BA1947" s="182"/>
      <c r="BB1947" s="182"/>
      <c r="BC1947" s="182"/>
      <c r="BD1947" s="182"/>
      <c r="BE1947" s="182"/>
      <c r="BF1947" s="182"/>
      <c r="BG1947" s="182"/>
      <c r="BH1947" s="182"/>
      <c r="BI1947" s="182"/>
      <c r="BJ1947" s="89"/>
      <c r="BK1947" s="89"/>
      <c r="BL1947" s="89"/>
      <c r="BM1947" s="89"/>
      <c r="BN1947" s="89"/>
      <c r="BO1947" s="89"/>
      <c r="BP1947" s="89"/>
    </row>
    <row r="1948" spans="1:68" s="56" customFormat="1" ht="27" hidden="1">
      <c r="A1948" s="204" t="str">
        <f>+IFERROR(VALUE(MID(AB1948,4,4)),"")</f>
        <v/>
      </c>
      <c r="B1948" s="204">
        <f>VALUE(RIGHT(C1948,LEN(C1948)-2))</f>
        <v>777</v>
      </c>
      <c r="C1948" s="74" t="s">
        <v>6792</v>
      </c>
      <c r="D1948" s="75">
        <v>42988</v>
      </c>
      <c r="E1948" s="70" t="s">
        <v>6793</v>
      </c>
      <c r="F1948" s="70" t="s">
        <v>313</v>
      </c>
      <c r="G1948" s="68" t="s">
        <v>6794</v>
      </c>
      <c r="H1948" s="59" t="s">
        <v>6795</v>
      </c>
      <c r="I1948" s="162" t="s">
        <v>6796</v>
      </c>
      <c r="J1948" s="162"/>
      <c r="K1948" s="68"/>
      <c r="L1948" s="69" t="s">
        <v>123</v>
      </c>
      <c r="M1948" s="71" t="s">
        <v>141</v>
      </c>
      <c r="N1948" s="69" t="e" vm="1">
        <v>#VALUE!</v>
      </c>
      <c r="O1948" s="164"/>
      <c r="P1948" s="72" t="s">
        <v>274</v>
      </c>
      <c r="Q1948" s="72"/>
      <c r="R1948" s="162"/>
      <c r="S1948" s="146"/>
      <c r="T1948" s="68" t="s">
        <v>165</v>
      </c>
      <c r="U1948" s="87"/>
      <c r="V1948" s="183">
        <v>43018</v>
      </c>
      <c r="W1948" s="73">
        <v>24</v>
      </c>
      <c r="X1948" s="73">
        <f>46* 26621.3/1000000</f>
        <v>1.2245798000000001</v>
      </c>
      <c r="Y1948" s="83">
        <f>IF(SUM(W1948:W1948)&gt;0,X1948/SUM(W1948:W1948)*1000000,"N/A")</f>
        <v>51024.15833333334</v>
      </c>
      <c r="Z1948" s="183"/>
      <c r="AA1948" s="183"/>
      <c r="AB1948" s="73"/>
      <c r="AC1948" s="153"/>
      <c r="AD1948" s="331"/>
      <c r="AE1948" s="57"/>
      <c r="AF1948" s="88"/>
      <c r="AG1948" s="182">
        <f>YEAR(D1948)</f>
        <v>2017</v>
      </c>
      <c r="AH1948" s="86" t="str">
        <f>+IF(AE1948=$AJ$22,MONTH(T1948),"")</f>
        <v/>
      </c>
      <c r="AI1948" s="86" t="str">
        <f>+IF(AF1948=$AJ$22,MONTH(U1948),"")</f>
        <v/>
      </c>
      <c r="AJ1948" s="86" t="str">
        <f>+IF(AG1948=$AJ$22,MONTH(V1948),"")</f>
        <v/>
      </c>
      <c r="AK1948" s="86" t="str">
        <f>+IF(AG1948=$AK$22,MONTH(V1948),"")</f>
        <v/>
      </c>
      <c r="AL1948" s="86" t="str">
        <f>+IF(AG1948=$AL$22,MONTH(V1948),"")</f>
        <v/>
      </c>
      <c r="AM1948" s="86" t="str">
        <f>+IF($AG1948=$AM$22,MONTH($D1948),"")</f>
        <v/>
      </c>
      <c r="AN1948" s="89" t="str">
        <f>+IF($AG1948=AN$22,MONTH($D1948),"")</f>
        <v/>
      </c>
      <c r="AO1948" s="86" t="str">
        <f>+IF($AG1948=AO$22,MONTH($D1948),"")</f>
        <v/>
      </c>
      <c r="AP1948" s="86" t="str">
        <f>+IF($AG1948=AP$22,MONTH($D1948),"")</f>
        <v/>
      </c>
      <c r="AQ1948" s="86">
        <f>+IF($AG1948=AQ$22,MONTH($D1948),"")</f>
        <v>9</v>
      </c>
      <c r="AR1948" s="86" t="str">
        <f>+IF($AG1948=AR$22,MONTH($D1948),"")</f>
        <v/>
      </c>
      <c r="AS1948" s="86" t="str">
        <f>+IF($AG1948=AS$22,MONTH($D1948),"")</f>
        <v/>
      </c>
      <c r="AT1948" s="86" t="str">
        <f>+IF($AG1948=AT$22,MONTH($D1948),"")</f>
        <v/>
      </c>
      <c r="AU1948" s="86" t="str">
        <f>+IF($AG1948=AU$22,MONTH($D1948),"")</f>
        <v/>
      </c>
      <c r="AV1948" s="86" t="str">
        <f>+IF($AG1948=AV$22,MONTH($D1948),"")</f>
        <v/>
      </c>
      <c r="AW1948" s="86" t="str">
        <f>+IF($AG1948=AW$22,MONTH($D1948),"")</f>
        <v/>
      </c>
      <c r="AX1948" s="86" t="str">
        <f>+IF($AG1948=AX$22,MONTH($D1948),"")</f>
        <v/>
      </c>
      <c r="AY1948" s="182"/>
      <c r="AZ1948" s="182"/>
      <c r="BA1948" s="182"/>
      <c r="BB1948" s="182"/>
      <c r="BC1948" s="182"/>
      <c r="BD1948" s="182"/>
      <c r="BE1948" s="182"/>
      <c r="BF1948" s="182"/>
      <c r="BG1948" s="182"/>
      <c r="BH1948" s="182"/>
      <c r="BI1948" s="182"/>
      <c r="BJ1948" s="89"/>
      <c r="BK1948" s="89"/>
      <c r="BL1948" s="89"/>
      <c r="BM1948" s="89"/>
      <c r="BN1948" s="89"/>
      <c r="BO1948" s="89"/>
      <c r="BP1948" s="89"/>
    </row>
    <row r="1949" spans="1:68" s="56" customFormat="1" ht="24" hidden="1" customHeight="1">
      <c r="A1949" s="204">
        <f>+IFERROR(VALUE(MID(AB1949,4,4)),"")</f>
        <v>174</v>
      </c>
      <c r="B1949" s="204">
        <f>VALUE(RIGHT(C1949,LEN(C1949)-2))</f>
        <v>776</v>
      </c>
      <c r="C1949" s="74" t="s">
        <v>6797</v>
      </c>
      <c r="D1949" s="75">
        <v>43018</v>
      </c>
      <c r="E1949" s="70" t="s">
        <v>53</v>
      </c>
      <c r="F1949" s="70" t="s">
        <v>252</v>
      </c>
      <c r="G1949" s="68"/>
      <c r="H1949" s="59"/>
      <c r="I1949" s="162" t="s">
        <v>6798</v>
      </c>
      <c r="J1949" s="162"/>
      <c r="K1949" s="68" t="s">
        <v>31</v>
      </c>
      <c r="L1949" s="69" t="s">
        <v>123</v>
      </c>
      <c r="M1949" s="71" t="s">
        <v>141</v>
      </c>
      <c r="N1949" s="69" t="e" vm="1">
        <v>#VALUE!</v>
      </c>
      <c r="O1949" s="164"/>
      <c r="P1949" s="72" t="s">
        <v>274</v>
      </c>
      <c r="Q1949" s="72" t="s">
        <v>623</v>
      </c>
      <c r="R1949" s="162"/>
      <c r="S1949" s="146"/>
      <c r="T1949" s="68" t="s">
        <v>3</v>
      </c>
      <c r="U1949" s="87"/>
      <c r="V1949" s="183">
        <v>43018</v>
      </c>
      <c r="W1949" s="73">
        <v>800</v>
      </c>
      <c r="X1949" s="73">
        <v>26.124748</v>
      </c>
      <c r="Y1949" s="83">
        <f>IF(SUM(W1949:W1949)&gt;0,X1949/SUM(W1949:W1949)*1000000,"N/A")</f>
        <v>32655.934999999998</v>
      </c>
      <c r="Z1949" s="183"/>
      <c r="AA1949" s="183"/>
      <c r="AB1949" s="73" t="s">
        <v>6799</v>
      </c>
      <c r="AC1949" s="153"/>
      <c r="AD1949" s="331"/>
      <c r="AE1949" s="57"/>
      <c r="AF1949" s="88"/>
      <c r="AG1949" s="182">
        <f>YEAR(D1949)</f>
        <v>2017</v>
      </c>
      <c r="AH1949" s="86" t="str">
        <f>+IF(AE1949=$AJ$22,MONTH(T1949),"")</f>
        <v/>
      </c>
      <c r="AI1949" s="86" t="str">
        <f>+IF(AF1949=$AJ$22,MONTH(U1949),"")</f>
        <v/>
      </c>
      <c r="AJ1949" s="86" t="str">
        <f>+IF(AG1949=$AJ$22,MONTH(V1949),"")</f>
        <v/>
      </c>
      <c r="AK1949" s="86" t="str">
        <f>+IF(AG1949=$AK$22,MONTH(V1949),"")</f>
        <v/>
      </c>
      <c r="AL1949" s="86" t="str">
        <f>+IF(AG1949=$AL$22,MONTH(V1949),"")</f>
        <v/>
      </c>
      <c r="AM1949" s="86" t="str">
        <f>+IF($AG1949=$AM$22,MONTH($D1949),"")</f>
        <v/>
      </c>
      <c r="AN1949" s="89" t="str">
        <f>+IF($AG1949=AN$22,MONTH($D1949),"")</f>
        <v/>
      </c>
      <c r="AO1949" s="86" t="str">
        <f>+IF($AG1949=AO$22,MONTH($D1949),"")</f>
        <v/>
      </c>
      <c r="AP1949" s="86" t="str">
        <f>+IF($AG1949=AP$22,MONTH($D1949),"")</f>
        <v/>
      </c>
      <c r="AQ1949" s="86">
        <f>+IF($AG1949=AQ$22,MONTH($D1949),"")</f>
        <v>10</v>
      </c>
      <c r="AR1949" s="86" t="str">
        <f>+IF($AG1949=AR$22,MONTH($D1949),"")</f>
        <v/>
      </c>
      <c r="AS1949" s="86" t="str">
        <f>+IF($AG1949=AS$22,MONTH($D1949),"")</f>
        <v/>
      </c>
      <c r="AT1949" s="86" t="str">
        <f>+IF($AG1949=AT$22,MONTH($D1949),"")</f>
        <v/>
      </c>
      <c r="AU1949" s="86" t="str">
        <f>+IF($AG1949=AU$22,MONTH($D1949),"")</f>
        <v/>
      </c>
      <c r="AV1949" s="86" t="str">
        <f>+IF($AG1949=AV$22,MONTH($D1949),"")</f>
        <v/>
      </c>
      <c r="AW1949" s="86" t="str">
        <f>+IF($AG1949=AW$22,MONTH($D1949),"")</f>
        <v/>
      </c>
      <c r="AX1949" s="86" t="str">
        <f>+IF($AG1949=AX$22,MONTH($D1949),"")</f>
        <v/>
      </c>
      <c r="AY1949" s="182"/>
      <c r="AZ1949" s="182"/>
      <c r="BA1949" s="182"/>
      <c r="BB1949" s="182"/>
      <c r="BC1949" s="182"/>
      <c r="BD1949" s="182"/>
      <c r="BE1949" s="182"/>
      <c r="BF1949" s="182"/>
      <c r="BG1949" s="182"/>
      <c r="BH1949" s="182"/>
      <c r="BI1949" s="182"/>
      <c r="BJ1949" s="89"/>
      <c r="BK1949" s="89"/>
      <c r="BL1949" s="89"/>
      <c r="BM1949" s="89"/>
      <c r="BN1949" s="89"/>
      <c r="BO1949" s="89"/>
      <c r="BP1949" s="89"/>
    </row>
    <row r="1950" spans="1:68" s="56" customFormat="1" ht="27" hidden="1">
      <c r="A1950" s="204" t="str">
        <f>+IFERROR(VALUE(MID(AB1950,4,4)),"")</f>
        <v/>
      </c>
      <c r="B1950" s="204">
        <f>VALUE(RIGHT(C1950,LEN(C1950)-2))</f>
        <v>775</v>
      </c>
      <c r="C1950" s="74" t="s">
        <v>6800</v>
      </c>
      <c r="D1950" s="75">
        <v>43000</v>
      </c>
      <c r="E1950" s="70" t="s">
        <v>81</v>
      </c>
      <c r="F1950" s="70" t="s">
        <v>3351</v>
      </c>
      <c r="G1950" s="68" t="s">
        <v>6801</v>
      </c>
      <c r="H1950" s="59"/>
      <c r="I1950" s="162" t="s">
        <v>6802</v>
      </c>
      <c r="J1950" s="162"/>
      <c r="K1950" s="68" t="s">
        <v>13</v>
      </c>
      <c r="L1950" s="69" t="s">
        <v>120</v>
      </c>
      <c r="M1950" s="71" t="s">
        <v>113</v>
      </c>
      <c r="N1950" s="69" t="e" vm="4">
        <v>#VALUE!</v>
      </c>
      <c r="O1950" s="164"/>
      <c r="P1950" s="72" t="s">
        <v>402</v>
      </c>
      <c r="Q1950" s="72"/>
      <c r="R1950" s="162"/>
      <c r="S1950" s="146"/>
      <c r="T1950" s="68" t="s">
        <v>165</v>
      </c>
      <c r="U1950" s="87"/>
      <c r="V1950" s="183">
        <v>43003</v>
      </c>
      <c r="W1950" s="73">
        <v>198</v>
      </c>
      <c r="X1950" s="73">
        <f>11978*620/1000000</f>
        <v>7.4263599999999999</v>
      </c>
      <c r="Y1950" s="83">
        <f>IF(SUM(W1950:W1950)&gt;0,X1950/SUM(W1950:W1950)*1000000,"N/A")</f>
        <v>37506.868686868685</v>
      </c>
      <c r="Z1950" s="183"/>
      <c r="AA1950" s="183"/>
      <c r="AB1950" s="73"/>
      <c r="AC1950" s="153"/>
      <c r="AD1950" s="331"/>
      <c r="AE1950" s="57"/>
      <c r="AF1950" s="88"/>
      <c r="AG1950" s="182">
        <f>YEAR(D1950)</f>
        <v>2017</v>
      </c>
      <c r="AH1950" s="86" t="str">
        <f>+IF(AE1950=$AJ$22,MONTH(T1950),"")</f>
        <v/>
      </c>
      <c r="AI1950" s="86" t="str">
        <f>+IF(AF1950=$AJ$22,MONTH(U1950),"")</f>
        <v/>
      </c>
      <c r="AJ1950" s="86" t="str">
        <f>+IF(AG1950=$AJ$22,MONTH(V1950),"")</f>
        <v/>
      </c>
      <c r="AK1950" s="86" t="str">
        <f>+IF(AG1950=$AK$22,MONTH(V1950),"")</f>
        <v/>
      </c>
      <c r="AL1950" s="86" t="str">
        <f>+IF(AG1950=$AL$22,MONTH(V1950),"")</f>
        <v/>
      </c>
      <c r="AM1950" s="86" t="str">
        <f>+IF($AG1950=$AM$22,MONTH($D1950),"")</f>
        <v/>
      </c>
      <c r="AN1950" s="89" t="str">
        <f>+IF($AG1950=AN$22,MONTH($D1950),"")</f>
        <v/>
      </c>
      <c r="AO1950" s="86" t="str">
        <f>+IF($AG1950=AO$22,MONTH($D1950),"")</f>
        <v/>
      </c>
      <c r="AP1950" s="86" t="str">
        <f>+IF($AG1950=AP$22,MONTH($D1950),"")</f>
        <v/>
      </c>
      <c r="AQ1950" s="86">
        <f>+IF($AG1950=AQ$22,MONTH($D1950),"")</f>
        <v>9</v>
      </c>
      <c r="AR1950" s="86" t="str">
        <f>+IF($AG1950=AR$22,MONTH($D1950),"")</f>
        <v/>
      </c>
      <c r="AS1950" s="86" t="str">
        <f>+IF($AG1950=AS$22,MONTH($D1950),"")</f>
        <v/>
      </c>
      <c r="AT1950" s="86" t="str">
        <f>+IF($AG1950=AT$22,MONTH($D1950),"")</f>
        <v/>
      </c>
      <c r="AU1950" s="86" t="str">
        <f>+IF($AG1950=AU$22,MONTH($D1950),"")</f>
        <v/>
      </c>
      <c r="AV1950" s="86" t="str">
        <f>+IF($AG1950=AV$22,MONTH($D1950),"")</f>
        <v/>
      </c>
      <c r="AW1950" s="86" t="str">
        <f>+IF($AG1950=AW$22,MONTH($D1950),"")</f>
        <v/>
      </c>
      <c r="AX1950" s="86" t="str">
        <f>+IF($AG1950=AX$22,MONTH($D1950),"")</f>
        <v/>
      </c>
      <c r="AY1950" s="182"/>
      <c r="AZ1950" s="182"/>
      <c r="BA1950" s="182"/>
      <c r="BB1950" s="182"/>
      <c r="BC1950" s="182"/>
      <c r="BD1950" s="182"/>
      <c r="BE1950" s="182"/>
      <c r="BF1950" s="182"/>
      <c r="BG1950" s="182"/>
      <c r="BH1950" s="182"/>
      <c r="BI1950" s="182"/>
      <c r="BJ1950" s="89"/>
      <c r="BK1950" s="89"/>
      <c r="BL1950" s="89"/>
      <c r="BM1950" s="89"/>
      <c r="BN1950" s="89"/>
      <c r="BO1950" s="89"/>
      <c r="BP1950" s="89"/>
    </row>
    <row r="1951" spans="1:68" s="56" customFormat="1" ht="13.5" hidden="1">
      <c r="A1951" s="204" t="str">
        <f>+IFERROR(VALUE(MID(AB1951,4,4)),"")</f>
        <v/>
      </c>
      <c r="B1951" s="204">
        <f>VALUE(RIGHT(C1951,LEN(C1951)-2))</f>
        <v>774</v>
      </c>
      <c r="C1951" s="74" t="s">
        <v>6803</v>
      </c>
      <c r="D1951" s="75">
        <v>43000</v>
      </c>
      <c r="E1951" s="70" t="s">
        <v>106</v>
      </c>
      <c r="F1951" s="70" t="s">
        <v>106</v>
      </c>
      <c r="G1951" s="68" t="s">
        <v>6744</v>
      </c>
      <c r="H1951" s="59"/>
      <c r="I1951" s="162" t="s">
        <v>6804</v>
      </c>
      <c r="J1951" s="162"/>
      <c r="K1951" s="68" t="s">
        <v>11</v>
      </c>
      <c r="L1951" s="69" t="s">
        <v>123</v>
      </c>
      <c r="M1951" s="71" t="s">
        <v>141</v>
      </c>
      <c r="N1951" s="69" t="e" vm="1">
        <v>#VALUE!</v>
      </c>
      <c r="O1951" s="164"/>
      <c r="P1951" s="72" t="s">
        <v>4567</v>
      </c>
      <c r="Q1951" s="72"/>
      <c r="R1951" s="162"/>
      <c r="S1951" s="146"/>
      <c r="T1951" s="68" t="s">
        <v>165</v>
      </c>
      <c r="U1951" s="87"/>
      <c r="V1951" s="183">
        <v>43090</v>
      </c>
      <c r="W1951" s="73">
        <v>8983</v>
      </c>
      <c r="X1951" s="73">
        <f>9350*26700/1000000</f>
        <v>249.64500000000001</v>
      </c>
      <c r="Y1951" s="83">
        <f>IF(SUM(W1951:W1951)&gt;0,X1951/SUM(W1951:W1951)*1000000,"N/A")</f>
        <v>27790.827117889348</v>
      </c>
      <c r="Z1951" s="183"/>
      <c r="AA1951" s="183"/>
      <c r="AB1951" s="73"/>
      <c r="AC1951" s="153"/>
      <c r="AD1951" s="331"/>
      <c r="AE1951" s="57"/>
      <c r="AF1951" s="88"/>
      <c r="AG1951" s="182">
        <f>YEAR(D1951)</f>
        <v>2017</v>
      </c>
      <c r="AH1951" s="86" t="str">
        <f>+IF(AE1951=$AJ$22,MONTH(T1951),"")</f>
        <v/>
      </c>
      <c r="AI1951" s="86" t="str">
        <f>+IF(AF1951=$AJ$22,MONTH(U1951),"")</f>
        <v/>
      </c>
      <c r="AJ1951" s="86" t="str">
        <f>+IF(AG1951=$AJ$22,MONTH(V1951),"")</f>
        <v/>
      </c>
      <c r="AK1951" s="86" t="str">
        <f>+IF(AG1951=$AK$22,MONTH(V1951),"")</f>
        <v/>
      </c>
      <c r="AL1951" s="86" t="str">
        <f>+IF(AG1951=$AL$22,MONTH(V1951),"")</f>
        <v/>
      </c>
      <c r="AM1951" s="86" t="str">
        <f>+IF($AG1951=$AM$22,MONTH($D1951),"")</f>
        <v/>
      </c>
      <c r="AN1951" s="89" t="str">
        <f>+IF($AG1951=AN$22,MONTH($D1951),"")</f>
        <v/>
      </c>
      <c r="AO1951" s="86" t="str">
        <f>+IF($AG1951=AO$22,MONTH($D1951),"")</f>
        <v/>
      </c>
      <c r="AP1951" s="86" t="str">
        <f>+IF($AG1951=AP$22,MONTH($D1951),"")</f>
        <v/>
      </c>
      <c r="AQ1951" s="86">
        <f>+IF($AG1951=AQ$22,MONTH($D1951),"")</f>
        <v>9</v>
      </c>
      <c r="AR1951" s="86" t="str">
        <f>+IF($AG1951=AR$22,MONTH($D1951),"")</f>
        <v/>
      </c>
      <c r="AS1951" s="86" t="str">
        <f>+IF($AG1951=AS$22,MONTH($D1951),"")</f>
        <v/>
      </c>
      <c r="AT1951" s="86" t="str">
        <f>+IF($AG1951=AT$22,MONTH($D1951),"")</f>
        <v/>
      </c>
      <c r="AU1951" s="86" t="str">
        <f>+IF($AG1951=AU$22,MONTH($D1951),"")</f>
        <v/>
      </c>
      <c r="AV1951" s="86" t="str">
        <f>+IF($AG1951=AV$22,MONTH($D1951),"")</f>
        <v/>
      </c>
      <c r="AW1951" s="86" t="str">
        <f>+IF($AG1951=AW$22,MONTH($D1951),"")</f>
        <v/>
      </c>
      <c r="AX1951" s="86" t="str">
        <f>+IF($AG1951=AX$22,MONTH($D1951),"")</f>
        <v/>
      </c>
      <c r="AY1951" s="182"/>
      <c r="AZ1951" s="182"/>
      <c r="BA1951" s="182"/>
      <c r="BB1951" s="182"/>
      <c r="BC1951" s="182"/>
      <c r="BD1951" s="182"/>
      <c r="BE1951" s="182"/>
      <c r="BF1951" s="182"/>
      <c r="BG1951" s="182"/>
      <c r="BH1951" s="182"/>
      <c r="BI1951" s="182"/>
      <c r="BJ1951" s="89"/>
      <c r="BK1951" s="89"/>
      <c r="BL1951" s="89"/>
      <c r="BM1951" s="89"/>
      <c r="BN1951" s="89"/>
      <c r="BO1951" s="89"/>
      <c r="BP1951" s="89"/>
    </row>
    <row r="1952" spans="1:68" s="56" customFormat="1" ht="13.5" hidden="1">
      <c r="A1952" s="204" t="str">
        <f>+IFERROR(VALUE(MID(AB1952,4,4)),"")</f>
        <v/>
      </c>
      <c r="B1952" s="204">
        <f>VALUE(RIGHT(C1952,LEN(C1952)-2))</f>
        <v>773</v>
      </c>
      <c r="C1952" s="74" t="s">
        <v>6805</v>
      </c>
      <c r="D1952" s="75">
        <v>42999</v>
      </c>
      <c r="E1952" s="70" t="s">
        <v>332</v>
      </c>
      <c r="F1952" s="70" t="s">
        <v>332</v>
      </c>
      <c r="G1952" s="68" t="s">
        <v>6764</v>
      </c>
      <c r="H1952" s="59"/>
      <c r="I1952" s="162" t="s">
        <v>6806</v>
      </c>
      <c r="J1952" s="162"/>
      <c r="K1952" s="68" t="s">
        <v>13</v>
      </c>
      <c r="L1952" s="69" t="s">
        <v>123</v>
      </c>
      <c r="M1952" s="71" t="s">
        <v>141</v>
      </c>
      <c r="N1952" s="69" t="e" vm="1">
        <v>#VALUE!</v>
      </c>
      <c r="O1952" s="164">
        <v>43011</v>
      </c>
      <c r="P1952" s="72" t="s">
        <v>402</v>
      </c>
      <c r="Q1952" s="72"/>
      <c r="R1952" s="162"/>
      <c r="S1952" s="146"/>
      <c r="T1952" s="68" t="s">
        <v>165</v>
      </c>
      <c r="U1952" s="87"/>
      <c r="V1952" s="183">
        <v>43018</v>
      </c>
      <c r="W1952" s="73">
        <v>396</v>
      </c>
      <c r="X1952" s="73">
        <f>409* 26662.11/1000000</f>
        <v>10.90480299</v>
      </c>
      <c r="Y1952" s="83">
        <f>IF(SUM(W1952:W1952)&gt;0,X1952/SUM(W1952:W1952)*1000000,"N/A")</f>
        <v>27537.38128787879</v>
      </c>
      <c r="Z1952" s="183"/>
      <c r="AA1952" s="183"/>
      <c r="AB1952" s="73"/>
      <c r="AC1952" s="153"/>
      <c r="AD1952" s="331"/>
      <c r="AE1952" s="57"/>
      <c r="AF1952" s="88"/>
      <c r="AG1952" s="182">
        <f>YEAR(D1952)</f>
        <v>2017</v>
      </c>
      <c r="AH1952" s="86" t="str">
        <f>+IF(AE1952=$AJ$22,MONTH(T1952),"")</f>
        <v/>
      </c>
      <c r="AI1952" s="86" t="str">
        <f>+IF(AF1952=$AJ$22,MONTH(U1952),"")</f>
        <v/>
      </c>
      <c r="AJ1952" s="86" t="str">
        <f>+IF(AG1952=$AJ$22,MONTH(V1952),"")</f>
        <v/>
      </c>
      <c r="AK1952" s="86" t="str">
        <f>+IF(AG1952=$AK$22,MONTH(V1952),"")</f>
        <v/>
      </c>
      <c r="AL1952" s="86" t="str">
        <f>+IF(AG1952=$AL$22,MONTH(V1952),"")</f>
        <v/>
      </c>
      <c r="AM1952" s="86" t="str">
        <f>+IF($AG1952=$AM$22,MONTH($D1952),"")</f>
        <v/>
      </c>
      <c r="AN1952" s="89" t="str">
        <f>+IF($AG1952=AN$22,MONTH($D1952),"")</f>
        <v/>
      </c>
      <c r="AO1952" s="86" t="str">
        <f>+IF($AG1952=AO$22,MONTH($D1952),"")</f>
        <v/>
      </c>
      <c r="AP1952" s="86" t="str">
        <f>+IF($AG1952=AP$22,MONTH($D1952),"")</f>
        <v/>
      </c>
      <c r="AQ1952" s="86">
        <f>+IF($AG1952=AQ$22,MONTH($D1952),"")</f>
        <v>9</v>
      </c>
      <c r="AR1952" s="86" t="str">
        <f>+IF($AG1952=AR$22,MONTH($D1952),"")</f>
        <v/>
      </c>
      <c r="AS1952" s="86" t="str">
        <f>+IF($AG1952=AS$22,MONTH($D1952),"")</f>
        <v/>
      </c>
      <c r="AT1952" s="86" t="str">
        <f>+IF($AG1952=AT$22,MONTH($D1952),"")</f>
        <v/>
      </c>
      <c r="AU1952" s="86" t="str">
        <f>+IF($AG1952=AU$22,MONTH($D1952),"")</f>
        <v/>
      </c>
      <c r="AV1952" s="86" t="str">
        <f>+IF($AG1952=AV$22,MONTH($D1952),"")</f>
        <v/>
      </c>
      <c r="AW1952" s="86" t="str">
        <f>+IF($AG1952=AW$22,MONTH($D1952),"")</f>
        <v/>
      </c>
      <c r="AX1952" s="86" t="str">
        <f>+IF($AG1952=AX$22,MONTH($D1952),"")</f>
        <v/>
      </c>
      <c r="AY1952" s="182"/>
      <c r="AZ1952" s="182"/>
      <c r="BA1952" s="182"/>
      <c r="BB1952" s="182"/>
      <c r="BC1952" s="182"/>
      <c r="BD1952" s="182"/>
      <c r="BE1952" s="182"/>
      <c r="BF1952" s="182"/>
      <c r="BG1952" s="182"/>
      <c r="BH1952" s="182"/>
      <c r="BI1952" s="182"/>
      <c r="BJ1952" s="89"/>
      <c r="BK1952" s="89"/>
      <c r="BL1952" s="89"/>
      <c r="BM1952" s="89"/>
      <c r="BN1952" s="89"/>
      <c r="BO1952" s="89"/>
      <c r="BP1952" s="89"/>
    </row>
    <row r="1953" spans="1:68" s="56" customFormat="1" ht="13.5" hidden="1">
      <c r="A1953" s="204" t="str">
        <f>+IFERROR(VALUE(MID(AB1953,4,4)),"")</f>
        <v/>
      </c>
      <c r="B1953" s="204">
        <f>VALUE(RIGHT(C1953,LEN(C1953)-2))</f>
        <v>772</v>
      </c>
      <c r="C1953" s="74" t="s">
        <v>6807</v>
      </c>
      <c r="D1953" s="75">
        <v>42999</v>
      </c>
      <c r="E1953" s="70" t="s">
        <v>332</v>
      </c>
      <c r="F1953" s="70" t="s">
        <v>332</v>
      </c>
      <c r="G1953" s="68" t="s">
        <v>6764</v>
      </c>
      <c r="H1953" s="59"/>
      <c r="I1953" s="162" t="s">
        <v>6808</v>
      </c>
      <c r="J1953" s="162"/>
      <c r="K1953" s="68" t="s">
        <v>13</v>
      </c>
      <c r="L1953" s="69" t="s">
        <v>123</v>
      </c>
      <c r="M1953" s="71" t="s">
        <v>141</v>
      </c>
      <c r="N1953" s="69" t="e" vm="1">
        <v>#VALUE!</v>
      </c>
      <c r="O1953" s="164">
        <v>43011</v>
      </c>
      <c r="P1953" s="72" t="s">
        <v>402</v>
      </c>
      <c r="Q1953" s="72"/>
      <c r="R1953" s="162"/>
      <c r="S1953" s="146"/>
      <c r="T1953" s="68" t="s">
        <v>165</v>
      </c>
      <c r="U1953" s="87"/>
      <c r="V1953" s="183">
        <v>43018</v>
      </c>
      <c r="W1953" s="73">
        <v>430</v>
      </c>
      <c r="X1953" s="73">
        <f>450*26662.11/1000000</f>
        <v>11.997949500000001</v>
      </c>
      <c r="Y1953" s="83">
        <f>IF(SUM(W1953:W1953)&gt;0,X1953/SUM(W1953:W1953)*1000000,"N/A")</f>
        <v>27902.208139534883</v>
      </c>
      <c r="Z1953" s="183"/>
      <c r="AA1953" s="183"/>
      <c r="AB1953" s="73"/>
      <c r="AC1953" s="153"/>
      <c r="AD1953" s="331"/>
      <c r="AE1953" s="57"/>
      <c r="AF1953" s="88"/>
      <c r="AG1953" s="182">
        <f>YEAR(D1953)</f>
        <v>2017</v>
      </c>
      <c r="AH1953" s="86" t="str">
        <f>+IF(AE1953=$AJ$22,MONTH(T1953),"")</f>
        <v/>
      </c>
      <c r="AI1953" s="86" t="str">
        <f>+IF(AF1953=$AJ$22,MONTH(U1953),"")</f>
        <v/>
      </c>
      <c r="AJ1953" s="86" t="str">
        <f>+IF(AG1953=$AJ$22,MONTH(V1953),"")</f>
        <v/>
      </c>
      <c r="AK1953" s="86" t="str">
        <f>+IF(AG1953=$AK$22,MONTH(V1953),"")</f>
        <v/>
      </c>
      <c r="AL1953" s="86" t="str">
        <f>+IF(AG1953=$AL$22,MONTH(V1953),"")</f>
        <v/>
      </c>
      <c r="AM1953" s="86" t="str">
        <f>+IF($AG1953=$AM$22,MONTH($D1953),"")</f>
        <v/>
      </c>
      <c r="AN1953" s="89" t="str">
        <f>+IF($AG1953=AN$22,MONTH($D1953),"")</f>
        <v/>
      </c>
      <c r="AO1953" s="86" t="str">
        <f>+IF($AG1953=AO$22,MONTH($D1953),"")</f>
        <v/>
      </c>
      <c r="AP1953" s="86" t="str">
        <f>+IF($AG1953=AP$22,MONTH($D1953),"")</f>
        <v/>
      </c>
      <c r="AQ1953" s="86">
        <f>+IF($AG1953=AQ$22,MONTH($D1953),"")</f>
        <v>9</v>
      </c>
      <c r="AR1953" s="86" t="str">
        <f>+IF($AG1953=AR$22,MONTH($D1953),"")</f>
        <v/>
      </c>
      <c r="AS1953" s="86" t="str">
        <f>+IF($AG1953=AS$22,MONTH($D1953),"")</f>
        <v/>
      </c>
      <c r="AT1953" s="86" t="str">
        <f>+IF($AG1953=AT$22,MONTH($D1953),"")</f>
        <v/>
      </c>
      <c r="AU1953" s="86" t="str">
        <f>+IF($AG1953=AU$22,MONTH($D1953),"")</f>
        <v/>
      </c>
      <c r="AV1953" s="86" t="str">
        <f>+IF($AG1953=AV$22,MONTH($D1953),"")</f>
        <v/>
      </c>
      <c r="AW1953" s="86" t="str">
        <f>+IF($AG1953=AW$22,MONTH($D1953),"")</f>
        <v/>
      </c>
      <c r="AX1953" s="86" t="str">
        <f>+IF($AG1953=AX$22,MONTH($D1953),"")</f>
        <v/>
      </c>
      <c r="AY1953" s="182"/>
      <c r="AZ1953" s="182"/>
      <c r="BA1953" s="182"/>
      <c r="BB1953" s="182"/>
      <c r="BC1953" s="182"/>
      <c r="BD1953" s="182"/>
      <c r="BE1953" s="182"/>
      <c r="BF1953" s="182"/>
      <c r="BG1953" s="182"/>
      <c r="BH1953" s="182"/>
      <c r="BI1953" s="182"/>
      <c r="BJ1953" s="89"/>
      <c r="BK1953" s="89"/>
      <c r="BL1953" s="89"/>
      <c r="BM1953" s="89"/>
      <c r="BN1953" s="89"/>
      <c r="BO1953" s="89"/>
      <c r="BP1953" s="89"/>
    </row>
    <row r="1954" spans="1:68" s="56" customFormat="1" ht="13.5" hidden="1">
      <c r="A1954" s="204" t="str">
        <f>+IFERROR(VALUE(MID(AB1954,4,4)),"")</f>
        <v/>
      </c>
      <c r="B1954" s="204">
        <f>VALUE(RIGHT(C1954,LEN(C1954)-2))</f>
        <v>771</v>
      </c>
      <c r="C1954" s="74" t="s">
        <v>6809</v>
      </c>
      <c r="D1954" s="75">
        <v>42999</v>
      </c>
      <c r="E1954" s="70" t="s">
        <v>332</v>
      </c>
      <c r="F1954" s="70" t="s">
        <v>332</v>
      </c>
      <c r="G1954" s="68" t="s">
        <v>6764</v>
      </c>
      <c r="H1954" s="59"/>
      <c r="I1954" s="162" t="s">
        <v>6810</v>
      </c>
      <c r="J1954" s="162"/>
      <c r="K1954" s="68" t="s">
        <v>13</v>
      </c>
      <c r="L1954" s="69" t="s">
        <v>123</v>
      </c>
      <c r="M1954" s="71" t="s">
        <v>141</v>
      </c>
      <c r="N1954" s="69" t="e" vm="1">
        <v>#VALUE!</v>
      </c>
      <c r="O1954" s="164">
        <v>43011</v>
      </c>
      <c r="P1954" s="72" t="s">
        <v>402</v>
      </c>
      <c r="Q1954" s="72"/>
      <c r="R1954" s="162"/>
      <c r="S1954" s="146"/>
      <c r="T1954" s="68" t="s">
        <v>165</v>
      </c>
      <c r="U1954" s="87"/>
      <c r="V1954" s="183">
        <v>43018</v>
      </c>
      <c r="W1954" s="73">
        <v>379</v>
      </c>
      <c r="X1954" s="73">
        <f>394*26662.11/1000000</f>
        <v>10.504871339999999</v>
      </c>
      <c r="Y1954" s="83">
        <f>IF(SUM(W1954:W1954)&gt;0,X1954/SUM(W1954:W1954)*1000000,"N/A")</f>
        <v>27717.338627968336</v>
      </c>
      <c r="Z1954" s="183"/>
      <c r="AA1954" s="183"/>
      <c r="AB1954" s="73"/>
      <c r="AC1954" s="153"/>
      <c r="AD1954" s="331"/>
      <c r="AE1954" s="57"/>
      <c r="AF1954" s="88"/>
      <c r="AG1954" s="182">
        <f>YEAR(D1954)</f>
        <v>2017</v>
      </c>
      <c r="AH1954" s="86" t="str">
        <f>+IF(AE1954=$AJ$22,MONTH(T1954),"")</f>
        <v/>
      </c>
      <c r="AI1954" s="86" t="str">
        <f>+IF(AF1954=$AJ$22,MONTH(U1954),"")</f>
        <v/>
      </c>
      <c r="AJ1954" s="86" t="str">
        <f>+IF(AG1954=$AJ$22,MONTH(V1954),"")</f>
        <v/>
      </c>
      <c r="AK1954" s="86" t="str">
        <f>+IF(AG1954=$AK$22,MONTH(V1954),"")</f>
        <v/>
      </c>
      <c r="AL1954" s="86" t="str">
        <f>+IF(AG1954=$AL$22,MONTH(V1954),"")</f>
        <v/>
      </c>
      <c r="AM1954" s="86" t="str">
        <f>+IF($AG1954=$AM$22,MONTH($D1954),"")</f>
        <v/>
      </c>
      <c r="AN1954" s="89" t="str">
        <f>+IF($AG1954=AN$22,MONTH($D1954),"")</f>
        <v/>
      </c>
      <c r="AO1954" s="86" t="str">
        <f>+IF($AG1954=AO$22,MONTH($D1954),"")</f>
        <v/>
      </c>
      <c r="AP1954" s="86" t="str">
        <f>+IF($AG1954=AP$22,MONTH($D1954),"")</f>
        <v/>
      </c>
      <c r="AQ1954" s="86">
        <f>+IF($AG1954=AQ$22,MONTH($D1954),"")</f>
        <v>9</v>
      </c>
      <c r="AR1954" s="86" t="str">
        <f>+IF($AG1954=AR$22,MONTH($D1954),"")</f>
        <v/>
      </c>
      <c r="AS1954" s="86" t="str">
        <f>+IF($AG1954=AS$22,MONTH($D1954),"")</f>
        <v/>
      </c>
      <c r="AT1954" s="86" t="str">
        <f>+IF($AG1954=AT$22,MONTH($D1954),"")</f>
        <v/>
      </c>
      <c r="AU1954" s="86" t="str">
        <f>+IF($AG1954=AU$22,MONTH($D1954),"")</f>
        <v/>
      </c>
      <c r="AV1954" s="86" t="str">
        <f>+IF($AG1954=AV$22,MONTH($D1954),"")</f>
        <v/>
      </c>
      <c r="AW1954" s="86" t="str">
        <f>+IF($AG1954=AW$22,MONTH($D1954),"")</f>
        <v/>
      </c>
      <c r="AX1954" s="86" t="str">
        <f>+IF($AG1954=AX$22,MONTH($D1954),"")</f>
        <v/>
      </c>
      <c r="AY1954" s="182"/>
      <c r="AZ1954" s="182"/>
      <c r="BA1954" s="182"/>
      <c r="BB1954" s="182"/>
      <c r="BC1954" s="182"/>
      <c r="BD1954" s="182"/>
      <c r="BE1954" s="182"/>
      <c r="BF1954" s="182"/>
      <c r="BG1954" s="182"/>
      <c r="BH1954" s="182"/>
      <c r="BI1954" s="182"/>
      <c r="BJ1954" s="89"/>
      <c r="BK1954" s="89"/>
      <c r="BL1954" s="89"/>
      <c r="BM1954" s="89"/>
      <c r="BN1954" s="89"/>
      <c r="BO1954" s="89"/>
      <c r="BP1954" s="89"/>
    </row>
    <row r="1955" spans="1:68" s="56" customFormat="1" ht="13.5" hidden="1">
      <c r="A1955" s="204" t="str">
        <f>+IFERROR(VALUE(MID(AB1955,4,4)),"")</f>
        <v/>
      </c>
      <c r="B1955" s="204">
        <f>VALUE(RIGHT(C1955,LEN(C1955)-2))</f>
        <v>770</v>
      </c>
      <c r="C1955" s="74" t="s">
        <v>6811</v>
      </c>
      <c r="D1955" s="75">
        <v>42999</v>
      </c>
      <c r="E1955" s="70" t="s">
        <v>332</v>
      </c>
      <c r="F1955" s="70" t="s">
        <v>332</v>
      </c>
      <c r="G1955" s="68" t="s">
        <v>6764</v>
      </c>
      <c r="H1955" s="59"/>
      <c r="I1955" s="162" t="s">
        <v>6812</v>
      </c>
      <c r="J1955" s="162"/>
      <c r="K1955" s="68" t="s">
        <v>13</v>
      </c>
      <c r="L1955" s="69" t="s">
        <v>123</v>
      </c>
      <c r="M1955" s="71" t="s">
        <v>141</v>
      </c>
      <c r="N1955" s="69" t="e" vm="1">
        <v>#VALUE!</v>
      </c>
      <c r="O1955" s="164">
        <v>43011</v>
      </c>
      <c r="P1955" s="72" t="s">
        <v>402</v>
      </c>
      <c r="Q1955" s="72"/>
      <c r="R1955" s="162"/>
      <c r="S1955" s="146"/>
      <c r="T1955" s="68" t="s">
        <v>165</v>
      </c>
      <c r="U1955" s="87"/>
      <c r="V1955" s="183">
        <v>43018</v>
      </c>
      <c r="W1955" s="73">
        <v>363</v>
      </c>
      <c r="X1955" s="73">
        <f>354*26662.11/1000000</f>
        <v>9.4383869399999991</v>
      </c>
      <c r="Y1955" s="83">
        <f>IF(SUM(W1955:W1955)&gt;0,X1955/SUM(W1955:W1955)*1000000,"N/A")</f>
        <v>26001.06595041322</v>
      </c>
      <c r="Z1955" s="183"/>
      <c r="AA1955" s="183"/>
      <c r="AB1955" s="73"/>
      <c r="AC1955" s="153"/>
      <c r="AD1955" s="331"/>
      <c r="AE1955" s="57"/>
      <c r="AF1955" s="88"/>
      <c r="AG1955" s="182">
        <f>YEAR(D1955)</f>
        <v>2017</v>
      </c>
      <c r="AH1955" s="86" t="str">
        <f>+IF(AE1955=$AJ$22,MONTH(T1955),"")</f>
        <v/>
      </c>
      <c r="AI1955" s="86" t="str">
        <f>+IF(AF1955=$AJ$22,MONTH(U1955),"")</f>
        <v/>
      </c>
      <c r="AJ1955" s="86" t="str">
        <f>+IF(AG1955=$AJ$22,MONTH(V1955),"")</f>
        <v/>
      </c>
      <c r="AK1955" s="86" t="str">
        <f>+IF(AG1955=$AK$22,MONTH(V1955),"")</f>
        <v/>
      </c>
      <c r="AL1955" s="86" t="str">
        <f>+IF(AG1955=$AL$22,MONTH(V1955),"")</f>
        <v/>
      </c>
      <c r="AM1955" s="86" t="str">
        <f>+IF($AG1955=$AM$22,MONTH($D1955),"")</f>
        <v/>
      </c>
      <c r="AN1955" s="89" t="str">
        <f>+IF($AG1955=AN$22,MONTH($D1955),"")</f>
        <v/>
      </c>
      <c r="AO1955" s="86" t="str">
        <f>+IF($AG1955=AO$22,MONTH($D1955),"")</f>
        <v/>
      </c>
      <c r="AP1955" s="86" t="str">
        <f>+IF($AG1955=AP$22,MONTH($D1955),"")</f>
        <v/>
      </c>
      <c r="AQ1955" s="86">
        <f>+IF($AG1955=AQ$22,MONTH($D1955),"")</f>
        <v>9</v>
      </c>
      <c r="AR1955" s="86" t="str">
        <f>+IF($AG1955=AR$22,MONTH($D1955),"")</f>
        <v/>
      </c>
      <c r="AS1955" s="86" t="str">
        <f>+IF($AG1955=AS$22,MONTH($D1955),"")</f>
        <v/>
      </c>
      <c r="AT1955" s="86" t="str">
        <f>+IF($AG1955=AT$22,MONTH($D1955),"")</f>
        <v/>
      </c>
      <c r="AU1955" s="86" t="str">
        <f>+IF($AG1955=AU$22,MONTH($D1955),"")</f>
        <v/>
      </c>
      <c r="AV1955" s="86" t="str">
        <f>+IF($AG1955=AV$22,MONTH($D1955),"")</f>
        <v/>
      </c>
      <c r="AW1955" s="86" t="str">
        <f>+IF($AG1955=AW$22,MONTH($D1955),"")</f>
        <v/>
      </c>
      <c r="AX1955" s="86" t="str">
        <f>+IF($AG1955=AX$22,MONTH($D1955),"")</f>
        <v/>
      </c>
      <c r="AY1955" s="182"/>
      <c r="AZ1955" s="182"/>
      <c r="BA1955" s="182"/>
      <c r="BB1955" s="182"/>
      <c r="BC1955" s="182"/>
      <c r="BD1955" s="182"/>
      <c r="BE1955" s="182"/>
      <c r="BF1955" s="182"/>
      <c r="BG1955" s="182"/>
      <c r="BH1955" s="182"/>
      <c r="BI1955" s="182"/>
      <c r="BJ1955" s="89"/>
      <c r="BK1955" s="89"/>
      <c r="BL1955" s="89"/>
      <c r="BM1955" s="89"/>
      <c r="BN1955" s="89"/>
      <c r="BO1955" s="89"/>
      <c r="BP1955" s="89"/>
    </row>
    <row r="1956" spans="1:68" s="56" customFormat="1" ht="13.5" hidden="1">
      <c r="A1956" s="204" t="str">
        <f>+IFERROR(VALUE(MID(AB1956,4,4)),"")</f>
        <v/>
      </c>
      <c r="B1956" s="204">
        <f>VALUE(RIGHT(C1956,LEN(C1956)-2))</f>
        <v>769</v>
      </c>
      <c r="C1956" s="74" t="s">
        <v>6813</v>
      </c>
      <c r="D1956" s="75">
        <v>42999</v>
      </c>
      <c r="E1956" s="70" t="s">
        <v>332</v>
      </c>
      <c r="F1956" s="70" t="s">
        <v>332</v>
      </c>
      <c r="G1956" s="68" t="s">
        <v>6764</v>
      </c>
      <c r="H1956" s="59"/>
      <c r="I1956" s="162" t="s">
        <v>6814</v>
      </c>
      <c r="J1956" s="162"/>
      <c r="K1956" s="68" t="s">
        <v>13</v>
      </c>
      <c r="L1956" s="69" t="s">
        <v>123</v>
      </c>
      <c r="M1956" s="71" t="s">
        <v>141</v>
      </c>
      <c r="N1956" s="69" t="e" vm="1">
        <v>#VALUE!</v>
      </c>
      <c r="O1956" s="164">
        <v>43011</v>
      </c>
      <c r="P1956" s="72" t="s">
        <v>402</v>
      </c>
      <c r="Q1956" s="72"/>
      <c r="R1956" s="162"/>
      <c r="S1956" s="146"/>
      <c r="T1956" s="68" t="s">
        <v>165</v>
      </c>
      <c r="U1956" s="87"/>
      <c r="V1956" s="183">
        <v>43018</v>
      </c>
      <c r="W1956" s="73">
        <v>383</v>
      </c>
      <c r="X1956" s="73">
        <f>376*26662.11/1000000</f>
        <v>10.02495336</v>
      </c>
      <c r="Y1956" s="83">
        <f>IF(SUM(W1956:W1956)&gt;0,X1956/SUM(W1956:W1956)*1000000,"N/A")</f>
        <v>26174.812950391643</v>
      </c>
      <c r="Z1956" s="183"/>
      <c r="AA1956" s="183"/>
      <c r="AB1956" s="73"/>
      <c r="AC1956" s="153"/>
      <c r="AD1956" s="331"/>
      <c r="AE1956" s="57"/>
      <c r="AF1956" s="88"/>
      <c r="AG1956" s="182">
        <f>YEAR(D1956)</f>
        <v>2017</v>
      </c>
      <c r="AH1956" s="86" t="str">
        <f>+IF(AE1956=$AJ$22,MONTH(T1956),"")</f>
        <v/>
      </c>
      <c r="AI1956" s="86" t="str">
        <f>+IF(AF1956=$AJ$22,MONTH(U1956),"")</f>
        <v/>
      </c>
      <c r="AJ1956" s="86" t="str">
        <f>+IF(AG1956=$AJ$22,MONTH(V1956),"")</f>
        <v/>
      </c>
      <c r="AK1956" s="86" t="str">
        <f>+IF(AG1956=$AK$22,MONTH(V1956),"")</f>
        <v/>
      </c>
      <c r="AL1956" s="86" t="str">
        <f>+IF(AG1956=$AL$22,MONTH(V1956),"")</f>
        <v/>
      </c>
      <c r="AM1956" s="86" t="str">
        <f>+IF($AG1956=$AM$22,MONTH($D1956),"")</f>
        <v/>
      </c>
      <c r="AN1956" s="89" t="str">
        <f>+IF($AG1956=AN$22,MONTH($D1956),"")</f>
        <v/>
      </c>
      <c r="AO1956" s="86" t="str">
        <f>+IF($AG1956=AO$22,MONTH($D1956),"")</f>
        <v/>
      </c>
      <c r="AP1956" s="86" t="str">
        <f>+IF($AG1956=AP$22,MONTH($D1956),"")</f>
        <v/>
      </c>
      <c r="AQ1956" s="86">
        <f>+IF($AG1956=AQ$22,MONTH($D1956),"")</f>
        <v>9</v>
      </c>
      <c r="AR1956" s="86" t="str">
        <f>+IF($AG1956=AR$22,MONTH($D1956),"")</f>
        <v/>
      </c>
      <c r="AS1956" s="86" t="str">
        <f>+IF($AG1956=AS$22,MONTH($D1956),"")</f>
        <v/>
      </c>
      <c r="AT1956" s="86" t="str">
        <f>+IF($AG1956=AT$22,MONTH($D1956),"")</f>
        <v/>
      </c>
      <c r="AU1956" s="86" t="str">
        <f>+IF($AG1956=AU$22,MONTH($D1956),"")</f>
        <v/>
      </c>
      <c r="AV1956" s="86" t="str">
        <f>+IF($AG1956=AV$22,MONTH($D1956),"")</f>
        <v/>
      </c>
      <c r="AW1956" s="86" t="str">
        <f>+IF($AG1956=AW$22,MONTH($D1956),"")</f>
        <v/>
      </c>
      <c r="AX1956" s="86" t="str">
        <f>+IF($AG1956=AX$22,MONTH($D1956),"")</f>
        <v/>
      </c>
      <c r="AY1956" s="182"/>
      <c r="AZ1956" s="182"/>
      <c r="BA1956" s="182"/>
      <c r="BB1956" s="182"/>
      <c r="BC1956" s="182"/>
      <c r="BD1956" s="182"/>
      <c r="BE1956" s="182"/>
      <c r="BF1956" s="182"/>
      <c r="BG1956" s="182"/>
      <c r="BH1956" s="182"/>
      <c r="BI1956" s="182"/>
      <c r="BJ1956" s="89"/>
      <c r="BK1956" s="89"/>
      <c r="BL1956" s="89"/>
      <c r="BM1956" s="89"/>
      <c r="BN1956" s="89"/>
      <c r="BO1956" s="89"/>
      <c r="BP1956" s="89"/>
    </row>
    <row r="1957" spans="1:68" s="56" customFormat="1" ht="13.5" hidden="1">
      <c r="A1957" s="204" t="str">
        <f>+IFERROR(VALUE(MID(AB1957,4,4)),"")</f>
        <v/>
      </c>
      <c r="B1957" s="204">
        <f>VALUE(RIGHT(C1957,LEN(C1957)-2))</f>
        <v>768</v>
      </c>
      <c r="C1957" s="74" t="s">
        <v>6815</v>
      </c>
      <c r="D1957" s="75">
        <v>42999</v>
      </c>
      <c r="E1957" s="70" t="s">
        <v>332</v>
      </c>
      <c r="F1957" s="70" t="s">
        <v>332</v>
      </c>
      <c r="G1957" s="68" t="s">
        <v>6764</v>
      </c>
      <c r="H1957" s="59"/>
      <c r="I1957" s="162" t="s">
        <v>6816</v>
      </c>
      <c r="J1957" s="162"/>
      <c r="K1957" s="68" t="s">
        <v>13</v>
      </c>
      <c r="L1957" s="69" t="s">
        <v>123</v>
      </c>
      <c r="M1957" s="71" t="s">
        <v>141</v>
      </c>
      <c r="N1957" s="69" t="e" vm="1">
        <v>#VALUE!</v>
      </c>
      <c r="O1957" s="164">
        <v>43011</v>
      </c>
      <c r="P1957" s="72" t="s">
        <v>402</v>
      </c>
      <c r="Q1957" s="72"/>
      <c r="R1957" s="162"/>
      <c r="S1957" s="146"/>
      <c r="T1957" s="68" t="s">
        <v>165</v>
      </c>
      <c r="U1957" s="87"/>
      <c r="V1957" s="183">
        <v>43018</v>
      </c>
      <c r="W1957" s="73">
        <v>495</v>
      </c>
      <c r="X1957" s="73">
        <f>486*26662.11/1000000</f>
        <v>12.95778546</v>
      </c>
      <c r="Y1957" s="83">
        <f>IF(SUM(W1957:W1957)&gt;0,X1957/SUM(W1957:W1957)*1000000,"N/A")</f>
        <v>26177.344363636366</v>
      </c>
      <c r="Z1957" s="183"/>
      <c r="AA1957" s="183"/>
      <c r="AB1957" s="73"/>
      <c r="AC1957" s="153"/>
      <c r="AD1957" s="331"/>
      <c r="AE1957" s="57"/>
      <c r="AF1957" s="88"/>
      <c r="AG1957" s="182">
        <f>YEAR(D1957)</f>
        <v>2017</v>
      </c>
      <c r="AH1957" s="86" t="str">
        <f>+IF(AE1957=$AJ$22,MONTH(T1957),"")</f>
        <v/>
      </c>
      <c r="AI1957" s="86" t="str">
        <f>+IF(AF1957=$AJ$22,MONTH(U1957),"")</f>
        <v/>
      </c>
      <c r="AJ1957" s="86" t="str">
        <f>+IF(AG1957=$AJ$22,MONTH(V1957),"")</f>
        <v/>
      </c>
      <c r="AK1957" s="86" t="str">
        <f>+IF(AG1957=$AK$22,MONTH(V1957),"")</f>
        <v/>
      </c>
      <c r="AL1957" s="86" t="str">
        <f>+IF(AG1957=$AL$22,MONTH(V1957),"")</f>
        <v/>
      </c>
      <c r="AM1957" s="86" t="str">
        <f>+IF($AG1957=$AM$22,MONTH($D1957),"")</f>
        <v/>
      </c>
      <c r="AN1957" s="89" t="str">
        <f>+IF($AG1957=AN$22,MONTH($D1957),"")</f>
        <v/>
      </c>
      <c r="AO1957" s="86" t="str">
        <f>+IF($AG1957=AO$22,MONTH($D1957),"")</f>
        <v/>
      </c>
      <c r="AP1957" s="86" t="str">
        <f>+IF($AG1957=AP$22,MONTH($D1957),"")</f>
        <v/>
      </c>
      <c r="AQ1957" s="86">
        <f>+IF($AG1957=AQ$22,MONTH($D1957),"")</f>
        <v>9</v>
      </c>
      <c r="AR1957" s="86" t="str">
        <f>+IF($AG1957=AR$22,MONTH($D1957),"")</f>
        <v/>
      </c>
      <c r="AS1957" s="86" t="str">
        <f>+IF($AG1957=AS$22,MONTH($D1957),"")</f>
        <v/>
      </c>
      <c r="AT1957" s="86" t="str">
        <f>+IF($AG1957=AT$22,MONTH($D1957),"")</f>
        <v/>
      </c>
      <c r="AU1957" s="86" t="str">
        <f>+IF($AG1957=AU$22,MONTH($D1957),"")</f>
        <v/>
      </c>
      <c r="AV1957" s="86" t="str">
        <f>+IF($AG1957=AV$22,MONTH($D1957),"")</f>
        <v/>
      </c>
      <c r="AW1957" s="86" t="str">
        <f>+IF($AG1957=AW$22,MONTH($D1957),"")</f>
        <v/>
      </c>
      <c r="AX1957" s="86" t="str">
        <f>+IF($AG1957=AX$22,MONTH($D1957),"")</f>
        <v/>
      </c>
      <c r="AY1957" s="182"/>
      <c r="AZ1957" s="182"/>
      <c r="BA1957" s="182"/>
      <c r="BB1957" s="182"/>
      <c r="BC1957" s="182"/>
      <c r="BD1957" s="182"/>
      <c r="BE1957" s="182"/>
      <c r="BF1957" s="182"/>
      <c r="BG1957" s="182"/>
      <c r="BH1957" s="182"/>
      <c r="BI1957" s="182"/>
      <c r="BJ1957" s="89"/>
      <c r="BK1957" s="89"/>
      <c r="BL1957" s="89"/>
      <c r="BM1957" s="89"/>
      <c r="BN1957" s="89"/>
      <c r="BO1957" s="89"/>
      <c r="BP1957" s="89"/>
    </row>
    <row r="1958" spans="1:68" s="56" customFormat="1" ht="81" hidden="1">
      <c r="A1958" s="204" t="str">
        <f>+IFERROR(VALUE(MID(AB1958,4,4)),"")</f>
        <v/>
      </c>
      <c r="B1958" s="204">
        <f>VALUE(RIGHT(C1958,LEN(C1958)-2))</f>
        <v>767</v>
      </c>
      <c r="C1958" s="74" t="s">
        <v>6817</v>
      </c>
      <c r="D1958" s="75">
        <v>42990</v>
      </c>
      <c r="E1958" s="70" t="s">
        <v>53</v>
      </c>
      <c r="F1958" s="70" t="s">
        <v>630</v>
      </c>
      <c r="G1958" s="68"/>
      <c r="H1958" s="59"/>
      <c r="I1958" s="162" t="s">
        <v>6818</v>
      </c>
      <c r="J1958" s="162"/>
      <c r="K1958" s="68" t="s">
        <v>12</v>
      </c>
      <c r="L1958" s="69" t="s">
        <v>123</v>
      </c>
      <c r="M1958" s="71" t="s">
        <v>141</v>
      </c>
      <c r="N1958" s="69" t="e" vm="1">
        <v>#VALUE!</v>
      </c>
      <c r="O1958" s="164"/>
      <c r="P1958" s="72" t="s">
        <v>402</v>
      </c>
      <c r="Q1958" s="72"/>
      <c r="R1958" s="162"/>
      <c r="S1958" s="146" t="s">
        <v>6819</v>
      </c>
      <c r="T1958" s="68" t="s">
        <v>155</v>
      </c>
      <c r="U1958" s="87"/>
      <c r="V1958" s="183" t="s">
        <v>4574</v>
      </c>
      <c r="W1958" s="73" t="s">
        <v>4574</v>
      </c>
      <c r="X1958" s="73" t="s">
        <v>4574</v>
      </c>
      <c r="Y1958" s="83" t="s">
        <v>4574</v>
      </c>
      <c r="Z1958" s="183"/>
      <c r="AA1958" s="183"/>
      <c r="AB1958" s="73"/>
      <c r="AC1958" s="153"/>
      <c r="AD1958" s="331"/>
      <c r="AE1958" s="57"/>
      <c r="AF1958" s="88"/>
      <c r="AG1958" s="182">
        <f>YEAR(D1958)</f>
        <v>2017</v>
      </c>
      <c r="AH1958" s="86" t="str">
        <f>+IF(AE1958=$AJ$22,MONTH(T1958),"")</f>
        <v/>
      </c>
      <c r="AI1958" s="86" t="str">
        <f>+IF(AF1958=$AJ$22,MONTH(U1958),"")</f>
        <v/>
      </c>
      <c r="AJ1958" s="86" t="str">
        <f>+IF(AG1958=$AJ$22,MONTH(V1958),"")</f>
        <v/>
      </c>
      <c r="AK1958" s="86" t="str">
        <f>+IF(AG1958=$AK$22,MONTH(V1958),"")</f>
        <v/>
      </c>
      <c r="AL1958" s="86" t="str">
        <f>+IF(AG1958=$AL$22,MONTH(V1958),"")</f>
        <v/>
      </c>
      <c r="AM1958" s="86" t="str">
        <f>+IF($AG1958=$AM$22,MONTH($D1958),"")</f>
        <v/>
      </c>
      <c r="AN1958" s="89" t="str">
        <f>+IF($AG1958=AN$22,MONTH($D1958),"")</f>
        <v/>
      </c>
      <c r="AO1958" s="86" t="str">
        <f>+IF($AG1958=AO$22,MONTH($D1958),"")</f>
        <v/>
      </c>
      <c r="AP1958" s="86" t="str">
        <f>+IF($AG1958=AP$22,MONTH($D1958),"")</f>
        <v/>
      </c>
      <c r="AQ1958" s="86">
        <f>+IF($AG1958=AQ$22,MONTH($D1958),"")</f>
        <v>9</v>
      </c>
      <c r="AR1958" s="86" t="str">
        <f>+IF($AG1958=AR$22,MONTH($D1958),"")</f>
        <v/>
      </c>
      <c r="AS1958" s="86" t="str">
        <f>+IF($AG1958=AS$22,MONTH($D1958),"")</f>
        <v/>
      </c>
      <c r="AT1958" s="86" t="str">
        <f>+IF($AG1958=AT$22,MONTH($D1958),"")</f>
        <v/>
      </c>
      <c r="AU1958" s="86" t="str">
        <f>+IF($AG1958=AU$22,MONTH($D1958),"")</f>
        <v/>
      </c>
      <c r="AV1958" s="86" t="str">
        <f>+IF($AG1958=AV$22,MONTH($D1958),"")</f>
        <v/>
      </c>
      <c r="AW1958" s="86" t="str">
        <f>+IF($AG1958=AW$22,MONTH($D1958),"")</f>
        <v/>
      </c>
      <c r="AX1958" s="86" t="str">
        <f>+IF($AG1958=AX$22,MONTH($D1958),"")</f>
        <v/>
      </c>
      <c r="AY1958" s="182"/>
      <c r="AZ1958" s="182"/>
      <c r="BA1958" s="182"/>
      <c r="BB1958" s="182"/>
      <c r="BC1958" s="182"/>
      <c r="BD1958" s="182"/>
      <c r="BE1958" s="182"/>
      <c r="BF1958" s="182"/>
      <c r="BG1958" s="182"/>
      <c r="BH1958" s="182"/>
      <c r="BI1958" s="182"/>
      <c r="BJ1958" s="89"/>
      <c r="BK1958" s="89"/>
      <c r="BL1958" s="89"/>
      <c r="BM1958" s="89"/>
      <c r="BN1958" s="89"/>
      <c r="BO1958" s="89"/>
      <c r="BP1958" s="89"/>
    </row>
    <row r="1959" spans="1:68" s="56" customFormat="1" ht="27" hidden="1">
      <c r="A1959" s="204" t="str">
        <f>+IFERROR(VALUE(MID(AB1959,4,4)),"")</f>
        <v/>
      </c>
      <c r="B1959" s="204">
        <f>VALUE(RIGHT(C1959,LEN(C1959)-2))</f>
        <v>766</v>
      </c>
      <c r="C1959" s="74" t="s">
        <v>6820</v>
      </c>
      <c r="D1959" s="75">
        <v>42985</v>
      </c>
      <c r="E1959" s="70" t="s">
        <v>67</v>
      </c>
      <c r="F1959" s="70" t="s">
        <v>6821</v>
      </c>
      <c r="G1959" s="68"/>
      <c r="H1959" s="59"/>
      <c r="I1959" s="162" t="s">
        <v>6822</v>
      </c>
      <c r="J1959" s="162"/>
      <c r="K1959" s="68" t="s">
        <v>11</v>
      </c>
      <c r="L1959" s="69" t="s">
        <v>123</v>
      </c>
      <c r="M1959" s="71" t="s">
        <v>141</v>
      </c>
      <c r="N1959" s="69" t="e" vm="1">
        <v>#VALUE!</v>
      </c>
      <c r="O1959" s="164"/>
      <c r="P1959" s="72" t="s">
        <v>402</v>
      </c>
      <c r="Q1959" s="72"/>
      <c r="R1959" s="162"/>
      <c r="S1959" s="146" t="s">
        <v>6823</v>
      </c>
      <c r="T1959" s="68" t="s">
        <v>165</v>
      </c>
      <c r="U1959" s="87"/>
      <c r="V1959" s="183">
        <v>43075</v>
      </c>
      <c r="W1959" s="73">
        <v>4397</v>
      </c>
      <c r="X1959" s="73">
        <v>139.13042999999999</v>
      </c>
      <c r="Y1959" s="83">
        <f>IF(SUM(W1959:W1959)&gt;0,X1959/SUM(W1959:W1959)*1000000,"N/A")</f>
        <v>31642.12644985217</v>
      </c>
      <c r="Z1959" s="183"/>
      <c r="AA1959" s="183"/>
      <c r="AB1959" s="73"/>
      <c r="AC1959" s="153"/>
      <c r="AD1959" s="331"/>
      <c r="AE1959" s="57"/>
      <c r="AF1959" s="88"/>
      <c r="AG1959" s="182">
        <f>YEAR(D1959)</f>
        <v>2017</v>
      </c>
      <c r="AH1959" s="86" t="str">
        <f>+IF(AE1959=$AJ$22,MONTH(T1959),"")</f>
        <v/>
      </c>
      <c r="AI1959" s="86" t="str">
        <f>+IF(AF1959=$AJ$22,MONTH(U1959),"")</f>
        <v/>
      </c>
      <c r="AJ1959" s="86" t="str">
        <f>+IF(AG1959=$AJ$22,MONTH(V1959),"")</f>
        <v/>
      </c>
      <c r="AK1959" s="86" t="str">
        <f>+IF(AG1959=$AK$22,MONTH(V1959),"")</f>
        <v/>
      </c>
      <c r="AL1959" s="86" t="str">
        <f>+IF(AG1959=$AL$22,MONTH(V1959),"")</f>
        <v/>
      </c>
      <c r="AM1959" s="86" t="str">
        <f>+IF($AG1959=$AM$22,MONTH($D1959),"")</f>
        <v/>
      </c>
      <c r="AN1959" s="89" t="str">
        <f>+IF($AG1959=AN$22,MONTH($D1959),"")</f>
        <v/>
      </c>
      <c r="AO1959" s="86" t="str">
        <f>+IF($AG1959=AO$22,MONTH($D1959),"")</f>
        <v/>
      </c>
      <c r="AP1959" s="86" t="str">
        <f>+IF($AG1959=AP$22,MONTH($D1959),"")</f>
        <v/>
      </c>
      <c r="AQ1959" s="86">
        <f>+IF($AG1959=AQ$22,MONTH($D1959),"")</f>
        <v>9</v>
      </c>
      <c r="AR1959" s="86" t="str">
        <f>+IF($AG1959=AR$22,MONTH($D1959),"")</f>
        <v/>
      </c>
      <c r="AS1959" s="86" t="str">
        <f>+IF($AG1959=AS$22,MONTH($D1959),"")</f>
        <v/>
      </c>
      <c r="AT1959" s="86" t="str">
        <f>+IF($AG1959=AT$22,MONTH($D1959),"")</f>
        <v/>
      </c>
      <c r="AU1959" s="86" t="str">
        <f>+IF($AG1959=AU$22,MONTH($D1959),"")</f>
        <v/>
      </c>
      <c r="AV1959" s="86" t="str">
        <f>+IF($AG1959=AV$22,MONTH($D1959),"")</f>
        <v/>
      </c>
      <c r="AW1959" s="86" t="str">
        <f>+IF($AG1959=AW$22,MONTH($D1959),"")</f>
        <v/>
      </c>
      <c r="AX1959" s="86" t="str">
        <f>+IF($AG1959=AX$22,MONTH($D1959),"")</f>
        <v/>
      </c>
      <c r="AY1959" s="182"/>
      <c r="AZ1959" s="182"/>
      <c r="BA1959" s="182"/>
      <c r="BB1959" s="182"/>
      <c r="BC1959" s="182"/>
      <c r="BD1959" s="182"/>
      <c r="BE1959" s="182"/>
      <c r="BF1959" s="182"/>
      <c r="BG1959" s="182"/>
      <c r="BH1959" s="182"/>
      <c r="BI1959" s="182"/>
      <c r="BJ1959" s="89"/>
      <c r="BK1959" s="89"/>
      <c r="BL1959" s="89"/>
      <c r="BM1959" s="89"/>
      <c r="BN1959" s="89"/>
      <c r="BO1959" s="89"/>
      <c r="BP1959" s="89"/>
    </row>
    <row r="1960" spans="1:68" s="56" customFormat="1" ht="27" hidden="1">
      <c r="A1960" s="204" t="str">
        <f>+IFERROR(VALUE(MID(AB1960,4,4)),"")</f>
        <v/>
      </c>
      <c r="B1960" s="204">
        <f>VALUE(RIGHT(C1960,LEN(C1960)-2))</f>
        <v>765</v>
      </c>
      <c r="C1960" s="74" t="s">
        <v>6824</v>
      </c>
      <c r="D1960" s="75">
        <v>42985</v>
      </c>
      <c r="E1960" s="70" t="s">
        <v>332</v>
      </c>
      <c r="F1960" s="70" t="s">
        <v>332</v>
      </c>
      <c r="G1960" s="68" t="s">
        <v>6825</v>
      </c>
      <c r="H1960" s="59"/>
      <c r="I1960" s="162" t="s">
        <v>6826</v>
      </c>
      <c r="J1960" s="162"/>
      <c r="K1960" s="68" t="s">
        <v>13</v>
      </c>
      <c r="L1960" s="69" t="s">
        <v>123</v>
      </c>
      <c r="M1960" s="71" t="s">
        <v>141</v>
      </c>
      <c r="N1960" s="69" t="e" vm="1">
        <v>#VALUE!</v>
      </c>
      <c r="O1960" s="164"/>
      <c r="P1960" s="72" t="s">
        <v>402</v>
      </c>
      <c r="Q1960" s="72"/>
      <c r="R1960" s="162"/>
      <c r="S1960" s="146" t="s">
        <v>6827</v>
      </c>
      <c r="T1960" s="68" t="s">
        <v>155</v>
      </c>
      <c r="U1960" s="87"/>
      <c r="V1960" s="183" t="s">
        <v>4574</v>
      </c>
      <c r="W1960" s="73" t="s">
        <v>4574</v>
      </c>
      <c r="X1960" s="73" t="s">
        <v>4574</v>
      </c>
      <c r="Y1960" s="83" t="s">
        <v>4574</v>
      </c>
      <c r="Z1960" s="183"/>
      <c r="AA1960" s="183"/>
      <c r="AB1960" s="73"/>
      <c r="AC1960" s="153"/>
      <c r="AD1960" s="331"/>
      <c r="AE1960" s="57"/>
      <c r="AF1960" s="88"/>
      <c r="AG1960" s="182">
        <f>YEAR(D1960)</f>
        <v>2017</v>
      </c>
      <c r="AH1960" s="86" t="str">
        <f>+IF(AE1960=$AJ$22,MONTH(T1960),"")</f>
        <v/>
      </c>
      <c r="AI1960" s="86" t="str">
        <f>+IF(AF1960=$AJ$22,MONTH(U1960),"")</f>
        <v/>
      </c>
      <c r="AJ1960" s="86" t="str">
        <f>+IF(AG1960=$AJ$22,MONTH(V1960),"")</f>
        <v/>
      </c>
      <c r="AK1960" s="86" t="str">
        <f>+IF(AG1960=$AK$22,MONTH(V1960),"")</f>
        <v/>
      </c>
      <c r="AL1960" s="86" t="str">
        <f>+IF(AG1960=$AL$22,MONTH(V1960),"")</f>
        <v/>
      </c>
      <c r="AM1960" s="86" t="str">
        <f>+IF($AG1960=$AM$22,MONTH($D1960),"")</f>
        <v/>
      </c>
      <c r="AN1960" s="89" t="str">
        <f>+IF($AG1960=AN$22,MONTH($D1960),"")</f>
        <v/>
      </c>
      <c r="AO1960" s="86" t="str">
        <f>+IF($AG1960=AO$22,MONTH($D1960),"")</f>
        <v/>
      </c>
      <c r="AP1960" s="86" t="str">
        <f>+IF($AG1960=AP$22,MONTH($D1960),"")</f>
        <v/>
      </c>
      <c r="AQ1960" s="86">
        <f>+IF($AG1960=AQ$22,MONTH($D1960),"")</f>
        <v>9</v>
      </c>
      <c r="AR1960" s="86" t="str">
        <f>+IF($AG1960=AR$22,MONTH($D1960),"")</f>
        <v/>
      </c>
      <c r="AS1960" s="86" t="str">
        <f>+IF($AG1960=AS$22,MONTH($D1960),"")</f>
        <v/>
      </c>
      <c r="AT1960" s="86" t="str">
        <f>+IF($AG1960=AT$22,MONTH($D1960),"")</f>
        <v/>
      </c>
      <c r="AU1960" s="86" t="str">
        <f>+IF($AG1960=AU$22,MONTH($D1960),"")</f>
        <v/>
      </c>
      <c r="AV1960" s="86" t="str">
        <f>+IF($AG1960=AV$22,MONTH($D1960),"")</f>
        <v/>
      </c>
      <c r="AW1960" s="86" t="str">
        <f>+IF($AG1960=AW$22,MONTH($D1960),"")</f>
        <v/>
      </c>
      <c r="AX1960" s="86" t="str">
        <f>+IF($AG1960=AX$22,MONTH($D1960),"")</f>
        <v/>
      </c>
      <c r="AY1960" s="182"/>
      <c r="AZ1960" s="182"/>
      <c r="BA1960" s="182"/>
      <c r="BB1960" s="182"/>
      <c r="BC1960" s="182"/>
      <c r="BD1960" s="182"/>
      <c r="BE1960" s="182"/>
      <c r="BF1960" s="182"/>
      <c r="BG1960" s="182"/>
      <c r="BH1960" s="182"/>
      <c r="BI1960" s="182"/>
      <c r="BJ1960" s="89"/>
      <c r="BK1960" s="89"/>
      <c r="BL1960" s="89"/>
      <c r="BM1960" s="89"/>
      <c r="BN1960" s="89"/>
      <c r="BO1960" s="89"/>
      <c r="BP1960" s="89"/>
    </row>
    <row r="1961" spans="1:68" s="56" customFormat="1" ht="9" hidden="1" customHeight="1">
      <c r="A1961" s="204" t="str">
        <f>+IFERROR(VALUE(MID(AB1961,4,4)),"")</f>
        <v/>
      </c>
      <c r="B1961" s="204">
        <f>VALUE(RIGHT(C1961,LEN(C1961)-2))</f>
        <v>764</v>
      </c>
      <c r="C1961" s="74" t="s">
        <v>6828</v>
      </c>
      <c r="D1961" s="75">
        <v>42985</v>
      </c>
      <c r="E1961" s="70" t="s">
        <v>685</v>
      </c>
      <c r="F1961" s="70" t="s">
        <v>685</v>
      </c>
      <c r="G1961" s="68" t="s">
        <v>6735</v>
      </c>
      <c r="H1961" s="59"/>
      <c r="I1961" s="162" t="s">
        <v>6829</v>
      </c>
      <c r="J1961" s="162"/>
      <c r="K1961" s="68"/>
      <c r="L1961" s="69" t="s">
        <v>123</v>
      </c>
      <c r="M1961" s="71" t="s">
        <v>141</v>
      </c>
      <c r="N1961" s="69" t="e" vm="1">
        <v>#VALUE!</v>
      </c>
      <c r="O1961" s="164"/>
      <c r="P1961" s="72" t="s">
        <v>274</v>
      </c>
      <c r="Q1961" s="72"/>
      <c r="R1961" s="162"/>
      <c r="S1961" s="146"/>
      <c r="T1961" s="68" t="s">
        <v>155</v>
      </c>
      <c r="U1961" s="87"/>
      <c r="V1961" s="183" t="s">
        <v>4574</v>
      </c>
      <c r="W1961" s="73" t="s">
        <v>4574</v>
      </c>
      <c r="X1961" s="73" t="s">
        <v>4574</v>
      </c>
      <c r="Y1961" s="83" t="s">
        <v>4574</v>
      </c>
      <c r="Z1961" s="183"/>
      <c r="AA1961" s="183"/>
      <c r="AB1961" s="73"/>
      <c r="AC1961" s="153"/>
      <c r="AD1961" s="331"/>
      <c r="AE1961" s="57"/>
      <c r="AF1961" s="88"/>
      <c r="AG1961" s="182">
        <f>YEAR(D1961)</f>
        <v>2017</v>
      </c>
      <c r="AH1961" s="86" t="str">
        <f>+IF(AE1961=$AJ$22,MONTH(T1961),"")</f>
        <v/>
      </c>
      <c r="AI1961" s="86" t="str">
        <f>+IF(AF1961=$AJ$22,MONTH(U1961),"")</f>
        <v/>
      </c>
      <c r="AJ1961" s="86" t="str">
        <f>+IF(AG1961=$AJ$22,MONTH(V1961),"")</f>
        <v/>
      </c>
      <c r="AK1961" s="86" t="str">
        <f>+IF(AG1961=$AK$22,MONTH(V1961),"")</f>
        <v/>
      </c>
      <c r="AL1961" s="86" t="str">
        <f>+IF(AG1961=$AL$22,MONTH(V1961),"")</f>
        <v/>
      </c>
      <c r="AM1961" s="86" t="str">
        <f>+IF($AG1961=$AM$22,MONTH($D1961),"")</f>
        <v/>
      </c>
      <c r="AN1961" s="89" t="str">
        <f>+IF($AG1961=AN$22,MONTH($D1961),"")</f>
        <v/>
      </c>
      <c r="AO1961" s="86" t="str">
        <f>+IF($AG1961=AO$22,MONTH($D1961),"")</f>
        <v/>
      </c>
      <c r="AP1961" s="86" t="str">
        <f>+IF($AG1961=AP$22,MONTH($D1961),"")</f>
        <v/>
      </c>
      <c r="AQ1961" s="86">
        <f>+IF($AG1961=AQ$22,MONTH($D1961),"")</f>
        <v>9</v>
      </c>
      <c r="AR1961" s="86" t="str">
        <f>+IF($AG1961=AR$22,MONTH($D1961),"")</f>
        <v/>
      </c>
      <c r="AS1961" s="86" t="str">
        <f>+IF($AG1961=AS$22,MONTH($D1961),"")</f>
        <v/>
      </c>
      <c r="AT1961" s="86" t="str">
        <f>+IF($AG1961=AT$22,MONTH($D1961),"")</f>
        <v/>
      </c>
      <c r="AU1961" s="86" t="str">
        <f>+IF($AG1961=AU$22,MONTH($D1961),"")</f>
        <v/>
      </c>
      <c r="AV1961" s="86" t="str">
        <f>+IF($AG1961=AV$22,MONTH($D1961),"")</f>
        <v/>
      </c>
      <c r="AW1961" s="86" t="str">
        <f>+IF($AG1961=AW$22,MONTH($D1961),"")</f>
        <v/>
      </c>
      <c r="AX1961" s="86" t="str">
        <f>+IF($AG1961=AX$22,MONTH($D1961),"")</f>
        <v/>
      </c>
      <c r="AY1961" s="182"/>
      <c r="AZ1961" s="182"/>
      <c r="BA1961" s="182"/>
      <c r="BB1961" s="182"/>
      <c r="BC1961" s="182"/>
      <c r="BD1961" s="182"/>
      <c r="BE1961" s="182"/>
      <c r="BF1961" s="182"/>
      <c r="BG1961" s="182"/>
      <c r="BH1961" s="182"/>
      <c r="BI1961" s="182"/>
      <c r="BJ1961" s="89"/>
      <c r="BK1961" s="89"/>
      <c r="BL1961" s="89"/>
      <c r="BM1961" s="89"/>
      <c r="BN1961" s="89"/>
      <c r="BO1961" s="89"/>
      <c r="BP1961" s="89"/>
    </row>
    <row r="1962" spans="1:68" s="56" customFormat="1" ht="13.5" hidden="1">
      <c r="A1962" s="204" t="str">
        <f>+IFERROR(VALUE(MID(AB1962,4,4)),"")</f>
        <v/>
      </c>
      <c r="B1962" s="204">
        <f>VALUE(RIGHT(C1962,LEN(C1962)-2))</f>
        <v>763</v>
      </c>
      <c r="C1962" s="74" t="s">
        <v>6830</v>
      </c>
      <c r="D1962" s="75">
        <v>42984</v>
      </c>
      <c r="E1962" s="70" t="s">
        <v>53</v>
      </c>
      <c r="F1962" s="70" t="s">
        <v>53</v>
      </c>
      <c r="G1962" s="68" t="s">
        <v>6831</v>
      </c>
      <c r="H1962" s="59"/>
      <c r="I1962" s="162" t="s">
        <v>6832</v>
      </c>
      <c r="J1962" s="162"/>
      <c r="K1962" s="68" t="s">
        <v>30</v>
      </c>
      <c r="L1962" s="69" t="s">
        <v>123</v>
      </c>
      <c r="M1962" s="71" t="s">
        <v>141</v>
      </c>
      <c r="N1962" s="69" t="e" vm="1">
        <v>#VALUE!</v>
      </c>
      <c r="O1962" s="164">
        <v>43004</v>
      </c>
      <c r="P1962" s="72" t="s">
        <v>274</v>
      </c>
      <c r="Q1962" s="72"/>
      <c r="R1962" s="162"/>
      <c r="S1962" s="146"/>
      <c r="T1962" s="68" t="s">
        <v>165</v>
      </c>
      <c r="U1962" s="87"/>
      <c r="V1962" s="183">
        <v>43010</v>
      </c>
      <c r="W1962" s="73">
        <v>495</v>
      </c>
      <c r="X1962" s="73">
        <v>17.140094999999999</v>
      </c>
      <c r="Y1962" s="83">
        <f>IF(SUM(W1962:W1962)&gt;0,X1962/SUM(W1962:W1962)*1000000,"N/A")</f>
        <v>34626.454545454544</v>
      </c>
      <c r="Z1962" s="183"/>
      <c r="AA1962" s="183"/>
      <c r="AB1962" s="73"/>
      <c r="AC1962" s="153"/>
      <c r="AD1962" s="331"/>
      <c r="AE1962" s="57"/>
      <c r="AF1962" s="88"/>
      <c r="AG1962" s="182">
        <f>YEAR(D1962)</f>
        <v>2017</v>
      </c>
      <c r="AH1962" s="86" t="str">
        <f>+IF(AE1962=$AJ$22,MONTH(T1962),"")</f>
        <v/>
      </c>
      <c r="AI1962" s="86" t="str">
        <f>+IF(AF1962=$AJ$22,MONTH(U1962),"")</f>
        <v/>
      </c>
      <c r="AJ1962" s="86" t="str">
        <f>+IF(AG1962=$AJ$22,MONTH(V1962),"")</f>
        <v/>
      </c>
      <c r="AK1962" s="86" t="str">
        <f>+IF(AG1962=$AK$22,MONTH(V1962),"")</f>
        <v/>
      </c>
      <c r="AL1962" s="86" t="str">
        <f>+IF(AG1962=$AL$22,MONTH(V1962),"")</f>
        <v/>
      </c>
      <c r="AM1962" s="86" t="str">
        <f>+IF($AG1962=$AM$22,MONTH($D1962),"")</f>
        <v/>
      </c>
      <c r="AN1962" s="89" t="str">
        <f>+IF($AG1962=AN$22,MONTH($D1962),"")</f>
        <v/>
      </c>
      <c r="AO1962" s="86" t="str">
        <f>+IF($AG1962=AO$22,MONTH($D1962),"")</f>
        <v/>
      </c>
      <c r="AP1962" s="86" t="str">
        <f>+IF($AG1962=AP$22,MONTH($D1962),"")</f>
        <v/>
      </c>
      <c r="AQ1962" s="86">
        <f>+IF($AG1962=AQ$22,MONTH($D1962),"")</f>
        <v>9</v>
      </c>
      <c r="AR1962" s="86" t="str">
        <f>+IF($AG1962=AR$22,MONTH($D1962),"")</f>
        <v/>
      </c>
      <c r="AS1962" s="86" t="str">
        <f>+IF($AG1962=AS$22,MONTH($D1962),"")</f>
        <v/>
      </c>
      <c r="AT1962" s="86" t="str">
        <f>+IF($AG1962=AT$22,MONTH($D1962),"")</f>
        <v/>
      </c>
      <c r="AU1962" s="86" t="str">
        <f>+IF($AG1962=AU$22,MONTH($D1962),"")</f>
        <v/>
      </c>
      <c r="AV1962" s="86" t="str">
        <f>+IF($AG1962=AV$22,MONTH($D1962),"")</f>
        <v/>
      </c>
      <c r="AW1962" s="86" t="str">
        <f>+IF($AG1962=AW$22,MONTH($D1962),"")</f>
        <v/>
      </c>
      <c r="AX1962" s="86" t="str">
        <f>+IF($AG1962=AX$22,MONTH($D1962),"")</f>
        <v/>
      </c>
      <c r="AY1962" s="182"/>
      <c r="AZ1962" s="182"/>
      <c r="BA1962" s="182"/>
      <c r="BB1962" s="182"/>
      <c r="BC1962" s="182"/>
      <c r="BD1962" s="182"/>
      <c r="BE1962" s="182"/>
      <c r="BF1962" s="182"/>
      <c r="BG1962" s="182"/>
      <c r="BH1962" s="182"/>
      <c r="BI1962" s="182"/>
      <c r="BJ1962" s="89"/>
      <c r="BK1962" s="89"/>
      <c r="BL1962" s="89"/>
      <c r="BM1962" s="89"/>
      <c r="BN1962" s="89"/>
      <c r="BO1962" s="89"/>
      <c r="BP1962" s="89"/>
    </row>
    <row r="1963" spans="1:68" s="56" customFormat="1" ht="53.25" hidden="1">
      <c r="A1963" s="204" t="str">
        <f>+IFERROR(VALUE(MID(AB1963,4,4)),"")</f>
        <v/>
      </c>
      <c r="B1963" s="204">
        <f>VALUE(RIGHT(C1963,LEN(C1963)-2))</f>
        <v>762</v>
      </c>
      <c r="C1963" s="74" t="s">
        <v>6833</v>
      </c>
      <c r="D1963" s="75">
        <v>42984</v>
      </c>
      <c r="E1963" s="70" t="s">
        <v>53</v>
      </c>
      <c r="F1963" s="70" t="s">
        <v>1279</v>
      </c>
      <c r="G1963" s="68"/>
      <c r="H1963" s="59"/>
      <c r="I1963" s="162" t="s">
        <v>6834</v>
      </c>
      <c r="J1963" s="162"/>
      <c r="K1963" s="68" t="s">
        <v>11</v>
      </c>
      <c r="L1963" s="69" t="s">
        <v>123</v>
      </c>
      <c r="M1963" s="71" t="s">
        <v>141</v>
      </c>
      <c r="N1963" s="69" t="e" vm="1">
        <v>#VALUE!</v>
      </c>
      <c r="O1963" s="164">
        <v>43000</v>
      </c>
      <c r="P1963" s="72" t="s">
        <v>4567</v>
      </c>
      <c r="Q1963" s="72"/>
      <c r="R1963" s="162"/>
      <c r="S1963" s="146" t="s">
        <v>6835</v>
      </c>
      <c r="T1963" s="68" t="s">
        <v>155</v>
      </c>
      <c r="U1963" s="87"/>
      <c r="V1963" s="183" t="s">
        <v>4574</v>
      </c>
      <c r="W1963" s="73" t="s">
        <v>4574</v>
      </c>
      <c r="X1963" s="73" t="s">
        <v>4574</v>
      </c>
      <c r="Y1963" s="83" t="s">
        <v>4574</v>
      </c>
      <c r="Z1963" s="183"/>
      <c r="AA1963" s="183"/>
      <c r="AB1963" s="73"/>
      <c r="AC1963" s="153"/>
      <c r="AD1963" s="331"/>
      <c r="AE1963" s="57"/>
      <c r="AF1963" s="88"/>
      <c r="AG1963" s="182">
        <f>YEAR(D1963)</f>
        <v>2017</v>
      </c>
      <c r="AH1963" s="86" t="str">
        <f>+IF(AE1963=$AJ$22,MONTH(T1963),"")</f>
        <v/>
      </c>
      <c r="AI1963" s="86" t="str">
        <f>+IF(AF1963=$AJ$22,MONTH(U1963),"")</f>
        <v/>
      </c>
      <c r="AJ1963" s="86" t="str">
        <f>+IF(AG1963=$AJ$22,MONTH(V1963),"")</f>
        <v/>
      </c>
      <c r="AK1963" s="86" t="str">
        <f>+IF(AG1963=$AK$22,MONTH(V1963),"")</f>
        <v/>
      </c>
      <c r="AL1963" s="86" t="str">
        <f>+IF(AG1963=$AL$22,MONTH(V1963),"")</f>
        <v/>
      </c>
      <c r="AM1963" s="86" t="str">
        <f>+IF($AG1963=$AM$22,MONTH($D1963),"")</f>
        <v/>
      </c>
      <c r="AN1963" s="89" t="str">
        <f>+IF($AG1963=AN$22,MONTH($D1963),"")</f>
        <v/>
      </c>
      <c r="AO1963" s="86" t="str">
        <f>+IF($AG1963=AO$22,MONTH($D1963),"")</f>
        <v/>
      </c>
      <c r="AP1963" s="86" t="str">
        <f>+IF($AG1963=AP$22,MONTH($D1963),"")</f>
        <v/>
      </c>
      <c r="AQ1963" s="86">
        <f>+IF($AG1963=AQ$22,MONTH($D1963),"")</f>
        <v>9</v>
      </c>
      <c r="AR1963" s="86" t="str">
        <f>+IF($AG1963=AR$22,MONTH($D1963),"")</f>
        <v/>
      </c>
      <c r="AS1963" s="86" t="str">
        <f>+IF($AG1963=AS$22,MONTH($D1963),"")</f>
        <v/>
      </c>
      <c r="AT1963" s="86" t="str">
        <f>+IF($AG1963=AT$22,MONTH($D1963),"")</f>
        <v/>
      </c>
      <c r="AU1963" s="86" t="str">
        <f>+IF($AG1963=AU$22,MONTH($D1963),"")</f>
        <v/>
      </c>
      <c r="AV1963" s="86" t="str">
        <f>+IF($AG1963=AV$22,MONTH($D1963),"")</f>
        <v/>
      </c>
      <c r="AW1963" s="86" t="str">
        <f>+IF($AG1963=AW$22,MONTH($D1963),"")</f>
        <v/>
      </c>
      <c r="AX1963" s="86" t="str">
        <f>+IF($AG1963=AX$22,MONTH($D1963),"")</f>
        <v/>
      </c>
      <c r="AY1963" s="182"/>
      <c r="AZ1963" s="182"/>
      <c r="BA1963" s="182"/>
      <c r="BB1963" s="182"/>
      <c r="BC1963" s="182"/>
      <c r="BD1963" s="182"/>
      <c r="BE1963" s="182"/>
      <c r="BF1963" s="182"/>
      <c r="BG1963" s="182"/>
      <c r="BH1963" s="182"/>
      <c r="BI1963" s="182"/>
      <c r="BJ1963" s="89"/>
      <c r="BK1963" s="89"/>
      <c r="BL1963" s="89"/>
      <c r="BM1963" s="89"/>
      <c r="BN1963" s="89"/>
      <c r="BO1963" s="89"/>
      <c r="BP1963" s="89"/>
    </row>
    <row r="1964" spans="1:68" s="56" customFormat="1" ht="81" hidden="1">
      <c r="A1964" s="204" t="str">
        <f>+IFERROR(VALUE(MID(AB1964,4,4)),"")</f>
        <v/>
      </c>
      <c r="B1964" s="204">
        <f>VALUE(RIGHT(C1964,LEN(C1964)-2))</f>
        <v>761</v>
      </c>
      <c r="C1964" s="74" t="s">
        <v>6836</v>
      </c>
      <c r="D1964" s="75">
        <v>42972</v>
      </c>
      <c r="E1964" s="70" t="s">
        <v>53</v>
      </c>
      <c r="F1964" s="70" t="s">
        <v>252</v>
      </c>
      <c r="G1964" s="68"/>
      <c r="H1964" s="59"/>
      <c r="I1964" s="162" t="s">
        <v>6837</v>
      </c>
      <c r="J1964" s="162"/>
      <c r="K1964" s="68" t="s">
        <v>31</v>
      </c>
      <c r="L1964" s="69" t="s">
        <v>123</v>
      </c>
      <c r="M1964" s="71" t="s">
        <v>141</v>
      </c>
      <c r="N1964" s="69" t="e" vm="1">
        <v>#VALUE!</v>
      </c>
      <c r="O1964" s="164">
        <v>43004</v>
      </c>
      <c r="P1964" s="72" t="s">
        <v>4567</v>
      </c>
      <c r="Q1964" s="72"/>
      <c r="R1964" s="162"/>
      <c r="S1964" s="146" t="s">
        <v>6838</v>
      </c>
      <c r="T1964" s="68" t="s">
        <v>165</v>
      </c>
      <c r="U1964" s="87"/>
      <c r="V1964" s="183"/>
      <c r="W1964" s="73">
        <v>1</v>
      </c>
      <c r="X1964" s="73"/>
      <c r="Y1964" s="83">
        <f>IF(SUM(W1964:W1964)&gt;0,X1964/SUM(W1964:W1964)*1000000,"N/A")</f>
        <v>0</v>
      </c>
      <c r="Z1964" s="183"/>
      <c r="AA1964" s="183"/>
      <c r="AB1964" s="73"/>
      <c r="AC1964" s="153"/>
      <c r="AD1964" s="331"/>
      <c r="AE1964" s="57"/>
      <c r="AF1964" s="88"/>
      <c r="AG1964" s="182">
        <f>YEAR(D1964)</f>
        <v>2017</v>
      </c>
      <c r="AH1964" s="86" t="str">
        <f>+IF(AE1964=$AJ$22,MONTH(T1964),"")</f>
        <v/>
      </c>
      <c r="AI1964" s="86" t="str">
        <f>+IF(AF1964=$AJ$22,MONTH(U1964),"")</f>
        <v/>
      </c>
      <c r="AJ1964" s="86" t="str">
        <f>+IF(AG1964=$AJ$22,MONTH(V1964),"")</f>
        <v/>
      </c>
      <c r="AK1964" s="86" t="str">
        <f>+IF(AG1964=$AK$22,MONTH(V1964),"")</f>
        <v/>
      </c>
      <c r="AL1964" s="86" t="str">
        <f>+IF(AG1964=$AL$22,MONTH(V1964),"")</f>
        <v/>
      </c>
      <c r="AM1964" s="86" t="str">
        <f>+IF($AG1964=$AM$22,MONTH($D1964),"")</f>
        <v/>
      </c>
      <c r="AN1964" s="89" t="str">
        <f>+IF($AG1964=AN$22,MONTH($D1964),"")</f>
        <v/>
      </c>
      <c r="AO1964" s="86" t="str">
        <f>+IF($AG1964=AO$22,MONTH($D1964),"")</f>
        <v/>
      </c>
      <c r="AP1964" s="86" t="str">
        <f>+IF($AG1964=AP$22,MONTH($D1964),"")</f>
        <v/>
      </c>
      <c r="AQ1964" s="86">
        <f>+IF($AG1964=AQ$22,MONTH($D1964),"")</f>
        <v>8</v>
      </c>
      <c r="AR1964" s="86" t="str">
        <f>+IF($AG1964=AR$22,MONTH($D1964),"")</f>
        <v/>
      </c>
      <c r="AS1964" s="86" t="str">
        <f>+IF($AG1964=AS$22,MONTH($D1964),"")</f>
        <v/>
      </c>
      <c r="AT1964" s="86" t="str">
        <f>+IF($AG1964=AT$22,MONTH($D1964),"")</f>
        <v/>
      </c>
      <c r="AU1964" s="86" t="str">
        <f>+IF($AG1964=AU$22,MONTH($D1964),"")</f>
        <v/>
      </c>
      <c r="AV1964" s="86" t="str">
        <f>+IF($AG1964=AV$22,MONTH($D1964),"")</f>
        <v/>
      </c>
      <c r="AW1964" s="86" t="str">
        <f>+IF($AG1964=AW$22,MONTH($D1964),"")</f>
        <v/>
      </c>
      <c r="AX1964" s="86" t="str">
        <f>+IF($AG1964=AX$22,MONTH($D1964),"")</f>
        <v/>
      </c>
      <c r="AY1964" s="182"/>
      <c r="AZ1964" s="182"/>
      <c r="BA1964" s="182"/>
      <c r="BB1964" s="182"/>
      <c r="BC1964" s="182"/>
      <c r="BD1964" s="182"/>
      <c r="BE1964" s="182"/>
      <c r="BF1964" s="182"/>
      <c r="BG1964" s="182"/>
      <c r="BH1964" s="182"/>
      <c r="BI1964" s="182"/>
      <c r="BJ1964" s="89"/>
      <c r="BK1964" s="89"/>
      <c r="BL1964" s="89"/>
      <c r="BM1964" s="89"/>
      <c r="BN1964" s="89"/>
      <c r="BO1964" s="89"/>
      <c r="BP1964" s="89"/>
    </row>
    <row r="1965" spans="1:68" s="56" customFormat="1" ht="13.5" hidden="1">
      <c r="A1965" s="204" t="str">
        <f>+IFERROR(VALUE(MID(AB1965,4,4)),"")</f>
        <v/>
      </c>
      <c r="B1965" s="204">
        <f>VALUE(RIGHT(C1965,LEN(C1965)-2))</f>
        <v>760</v>
      </c>
      <c r="C1965" s="74" t="s">
        <v>6839</v>
      </c>
      <c r="D1965" s="75">
        <v>42970</v>
      </c>
      <c r="E1965" s="70" t="s">
        <v>332</v>
      </c>
      <c r="F1965" s="70" t="s">
        <v>332</v>
      </c>
      <c r="G1965" s="68" t="s">
        <v>6764</v>
      </c>
      <c r="H1965" s="59"/>
      <c r="I1965" s="162" t="s">
        <v>6840</v>
      </c>
      <c r="J1965" s="162"/>
      <c r="K1965" s="68" t="s">
        <v>30</v>
      </c>
      <c r="L1965" s="69" t="s">
        <v>123</v>
      </c>
      <c r="M1965" s="71" t="s">
        <v>141</v>
      </c>
      <c r="N1965" s="69" t="e" vm="1">
        <v>#VALUE!</v>
      </c>
      <c r="O1965" s="164">
        <v>42970</v>
      </c>
      <c r="P1965" s="72" t="s">
        <v>402</v>
      </c>
      <c r="Q1965" s="72"/>
      <c r="R1965" s="162"/>
      <c r="S1965" s="146"/>
      <c r="T1965" s="68" t="s">
        <v>165</v>
      </c>
      <c r="U1965" s="87"/>
      <c r="V1965" s="183">
        <v>42970</v>
      </c>
      <c r="W1965" s="73">
        <v>55</v>
      </c>
      <c r="X1965" s="73">
        <f>59.1*26600/1000000</f>
        <v>1.57206</v>
      </c>
      <c r="Y1965" s="83">
        <f>IF(SUM(W1965:W1965)&gt;0,X1965/SUM(W1965:W1965)*1000000,"N/A")</f>
        <v>28582.909090909092</v>
      </c>
      <c r="Z1965" s="183"/>
      <c r="AA1965" s="183"/>
      <c r="AB1965" s="73"/>
      <c r="AC1965" s="153"/>
      <c r="AD1965" s="331"/>
      <c r="AE1965" s="57"/>
      <c r="AF1965" s="88"/>
      <c r="AG1965" s="182">
        <f>YEAR(D1965)</f>
        <v>2017</v>
      </c>
      <c r="AH1965" s="86" t="str">
        <f>+IF(AE1965=$AJ$22,MONTH(T1965),"")</f>
        <v/>
      </c>
      <c r="AI1965" s="86" t="str">
        <f>+IF(AF1965=$AJ$22,MONTH(U1965),"")</f>
        <v/>
      </c>
      <c r="AJ1965" s="86" t="str">
        <f>+IF(AG1965=$AJ$22,MONTH(V1965),"")</f>
        <v/>
      </c>
      <c r="AK1965" s="86" t="str">
        <f>+IF(AG1965=$AK$22,MONTH(V1965),"")</f>
        <v/>
      </c>
      <c r="AL1965" s="86" t="str">
        <f>+IF(AG1965=$AL$22,MONTH(V1965),"")</f>
        <v/>
      </c>
      <c r="AM1965" s="86" t="str">
        <f>+IF($AG1965=$AM$22,MONTH($D1965),"")</f>
        <v/>
      </c>
      <c r="AN1965" s="89" t="str">
        <f>+IF($AG1965=AN$22,MONTH($D1965),"")</f>
        <v/>
      </c>
      <c r="AO1965" s="86" t="str">
        <f>+IF($AG1965=AO$22,MONTH($D1965),"")</f>
        <v/>
      </c>
      <c r="AP1965" s="86" t="str">
        <f>+IF($AG1965=AP$22,MONTH($D1965),"")</f>
        <v/>
      </c>
      <c r="AQ1965" s="86">
        <f>+IF($AG1965=AQ$22,MONTH($D1965),"")</f>
        <v>8</v>
      </c>
      <c r="AR1965" s="86" t="str">
        <f>+IF($AG1965=AR$22,MONTH($D1965),"")</f>
        <v/>
      </c>
      <c r="AS1965" s="86" t="str">
        <f>+IF($AG1965=AS$22,MONTH($D1965),"")</f>
        <v/>
      </c>
      <c r="AT1965" s="86" t="str">
        <f>+IF($AG1965=AT$22,MONTH($D1965),"")</f>
        <v/>
      </c>
      <c r="AU1965" s="86" t="str">
        <f>+IF($AG1965=AU$22,MONTH($D1965),"")</f>
        <v/>
      </c>
      <c r="AV1965" s="86" t="str">
        <f>+IF($AG1965=AV$22,MONTH($D1965),"")</f>
        <v/>
      </c>
      <c r="AW1965" s="86" t="str">
        <f>+IF($AG1965=AW$22,MONTH($D1965),"")</f>
        <v/>
      </c>
      <c r="AX1965" s="86" t="str">
        <f>+IF($AG1965=AX$22,MONTH($D1965),"")</f>
        <v/>
      </c>
      <c r="AY1965" s="182"/>
      <c r="AZ1965" s="182"/>
      <c r="BA1965" s="182"/>
      <c r="BB1965" s="182"/>
      <c r="BC1965" s="182"/>
      <c r="BD1965" s="182"/>
      <c r="BE1965" s="182"/>
      <c r="BF1965" s="182"/>
      <c r="BG1965" s="182"/>
      <c r="BH1965" s="182"/>
      <c r="BI1965" s="182"/>
      <c r="BJ1965" s="89"/>
      <c r="BK1965" s="89"/>
      <c r="BL1965" s="89"/>
      <c r="BM1965" s="89"/>
      <c r="BN1965" s="89"/>
      <c r="BO1965" s="89"/>
      <c r="BP1965" s="89"/>
    </row>
    <row r="1966" spans="1:68" s="56" customFormat="1" ht="27" hidden="1">
      <c r="A1966" s="204">
        <f>+IFERROR(VALUE(MID(AB1966,4,4)),"")</f>
        <v>158</v>
      </c>
      <c r="B1966" s="204">
        <f>VALUE(RIGHT(C1966,LEN(C1966)-2))</f>
        <v>759</v>
      </c>
      <c r="C1966" s="74" t="s">
        <v>6841</v>
      </c>
      <c r="D1966" s="75">
        <v>42970</v>
      </c>
      <c r="E1966" s="70" t="s">
        <v>41</v>
      </c>
      <c r="F1966" s="70" t="s">
        <v>41</v>
      </c>
      <c r="G1966" s="68" t="s">
        <v>6764</v>
      </c>
      <c r="H1966" s="59"/>
      <c r="I1966" s="162" t="s">
        <v>6842</v>
      </c>
      <c r="J1966" s="162"/>
      <c r="K1966" s="68" t="s">
        <v>9</v>
      </c>
      <c r="L1966" s="69" t="s">
        <v>123</v>
      </c>
      <c r="M1966" s="71" t="s">
        <v>141</v>
      </c>
      <c r="N1966" s="69" t="e" vm="1">
        <v>#VALUE!</v>
      </c>
      <c r="O1966" s="164">
        <v>42970</v>
      </c>
      <c r="P1966" s="72" t="s">
        <v>402</v>
      </c>
      <c r="Q1966" s="72" t="s">
        <v>405</v>
      </c>
      <c r="R1966" s="162"/>
      <c r="S1966" s="146"/>
      <c r="T1966" s="68" t="s">
        <v>3</v>
      </c>
      <c r="U1966" s="87"/>
      <c r="V1966" s="183">
        <v>42970</v>
      </c>
      <c r="W1966" s="73">
        <v>240</v>
      </c>
      <c r="X1966" s="73">
        <f>304*26600/1000000</f>
        <v>8.0863999999999994</v>
      </c>
      <c r="Y1966" s="83">
        <f>IF(SUM(W1966:W1966)&gt;0,X1966/SUM(W1966:W1966)*1000000,"N/A")</f>
        <v>33693.333333333328</v>
      </c>
      <c r="Z1966" s="183"/>
      <c r="AA1966" s="183"/>
      <c r="AB1966" s="73" t="s">
        <v>6425</v>
      </c>
      <c r="AC1966" s="153"/>
      <c r="AD1966" s="331"/>
      <c r="AE1966" s="57"/>
      <c r="AF1966" s="88"/>
      <c r="AG1966" s="182">
        <f>YEAR(D1966)</f>
        <v>2017</v>
      </c>
      <c r="AH1966" s="86" t="str">
        <f>+IF(AE1966=$AJ$22,MONTH(T1966),"")</f>
        <v/>
      </c>
      <c r="AI1966" s="86" t="str">
        <f>+IF(AF1966=$AJ$22,MONTH(U1966),"")</f>
        <v/>
      </c>
      <c r="AJ1966" s="86" t="str">
        <f>+IF(AG1966=$AJ$22,MONTH(V1966),"")</f>
        <v/>
      </c>
      <c r="AK1966" s="86" t="str">
        <f>+IF(AG1966=$AK$22,MONTH(V1966),"")</f>
        <v/>
      </c>
      <c r="AL1966" s="86" t="str">
        <f>+IF(AG1966=$AL$22,MONTH(V1966),"")</f>
        <v/>
      </c>
      <c r="AM1966" s="86" t="str">
        <f>+IF($AG1966=$AM$22,MONTH($D1966),"")</f>
        <v/>
      </c>
      <c r="AN1966" s="89" t="str">
        <f>+IF($AG1966=AN$22,MONTH($D1966),"")</f>
        <v/>
      </c>
      <c r="AO1966" s="86" t="str">
        <f>+IF($AG1966=AO$22,MONTH($D1966),"")</f>
        <v/>
      </c>
      <c r="AP1966" s="86" t="str">
        <f>+IF($AG1966=AP$22,MONTH($D1966),"")</f>
        <v/>
      </c>
      <c r="AQ1966" s="86">
        <f>+IF($AG1966=AQ$22,MONTH($D1966),"")</f>
        <v>8</v>
      </c>
      <c r="AR1966" s="86" t="str">
        <f>+IF($AG1966=AR$22,MONTH($D1966),"")</f>
        <v/>
      </c>
      <c r="AS1966" s="86" t="str">
        <f>+IF($AG1966=AS$22,MONTH($D1966),"")</f>
        <v/>
      </c>
      <c r="AT1966" s="86" t="str">
        <f>+IF($AG1966=AT$22,MONTH($D1966),"")</f>
        <v/>
      </c>
      <c r="AU1966" s="86" t="str">
        <f>+IF($AG1966=AU$22,MONTH($D1966),"")</f>
        <v/>
      </c>
      <c r="AV1966" s="86" t="str">
        <f>+IF($AG1966=AV$22,MONTH($D1966),"")</f>
        <v/>
      </c>
      <c r="AW1966" s="86" t="str">
        <f>+IF($AG1966=AW$22,MONTH($D1966),"")</f>
        <v/>
      </c>
      <c r="AX1966" s="86" t="str">
        <f>+IF($AG1966=AX$22,MONTH($D1966),"")</f>
        <v/>
      </c>
      <c r="AY1966" s="182"/>
      <c r="AZ1966" s="89"/>
      <c r="BA1966" s="89"/>
      <c r="BB1966" s="89"/>
      <c r="BC1966" s="89"/>
      <c r="BD1966" s="89"/>
      <c r="BE1966" s="89"/>
      <c r="BF1966" s="89"/>
      <c r="BG1966" s="89"/>
      <c r="BH1966" s="89"/>
      <c r="BI1966" s="89"/>
      <c r="BJ1966" s="89"/>
      <c r="BK1966" s="89"/>
      <c r="BL1966" s="89"/>
      <c r="BM1966" s="89"/>
      <c r="BN1966" s="89"/>
      <c r="BO1966" s="89"/>
      <c r="BP1966" s="89"/>
    </row>
    <row r="1967" spans="1:68" s="56" customFormat="1" ht="13.5" hidden="1">
      <c r="A1967" s="204" t="str">
        <f>+IFERROR(VALUE(MID(AB1967,4,4)),"")</f>
        <v/>
      </c>
      <c r="B1967" s="204">
        <f>VALUE(RIGHT(C1967,LEN(C1967)-2))</f>
        <v>758</v>
      </c>
      <c r="C1967" s="74" t="s">
        <v>6843</v>
      </c>
      <c r="D1967" s="75">
        <v>42968</v>
      </c>
      <c r="E1967" s="70" t="s">
        <v>6844</v>
      </c>
      <c r="F1967" s="70" t="s">
        <v>6844</v>
      </c>
      <c r="G1967" s="68"/>
      <c r="H1967" s="59"/>
      <c r="I1967" s="162" t="s">
        <v>6845</v>
      </c>
      <c r="J1967" s="162"/>
      <c r="K1967" s="68" t="s">
        <v>12</v>
      </c>
      <c r="L1967" s="69" t="s">
        <v>123</v>
      </c>
      <c r="M1967" s="71" t="s">
        <v>141</v>
      </c>
      <c r="N1967" s="69" t="e" vm="1">
        <v>#VALUE!</v>
      </c>
      <c r="O1967" s="164">
        <v>42985</v>
      </c>
      <c r="P1967" s="72" t="s">
        <v>402</v>
      </c>
      <c r="Q1967" s="72"/>
      <c r="R1967" s="162"/>
      <c r="S1967" s="146"/>
      <c r="T1967" s="68" t="s">
        <v>165</v>
      </c>
      <c r="U1967" s="87"/>
      <c r="V1967" s="183">
        <v>42989</v>
      </c>
      <c r="W1967" s="73">
        <v>858</v>
      </c>
      <c r="X1967" s="73">
        <f>1000*26600/1000000</f>
        <v>26.6</v>
      </c>
      <c r="Y1967" s="83">
        <f>IF(SUM(W1967:W1967)&gt;0,X1967/SUM(W1967:W1967)*1000000,"N/A")</f>
        <v>31002.331002331004</v>
      </c>
      <c r="Z1967" s="183"/>
      <c r="AA1967" s="183"/>
      <c r="AB1967" s="73"/>
      <c r="AC1967" s="153"/>
      <c r="AD1967" s="331"/>
      <c r="AE1967" s="57"/>
      <c r="AF1967" s="88"/>
      <c r="AG1967" s="182">
        <f>YEAR(D1967)</f>
        <v>2017</v>
      </c>
      <c r="AH1967" s="86" t="str">
        <f>+IF(AE1967=$AJ$22,MONTH(T1967),"")</f>
        <v/>
      </c>
      <c r="AI1967" s="86" t="str">
        <f>+IF(AF1967=$AJ$22,MONTH(U1967),"")</f>
        <v/>
      </c>
      <c r="AJ1967" s="86" t="str">
        <f>+IF(AG1967=$AJ$22,MONTH(V1967),"")</f>
        <v/>
      </c>
      <c r="AK1967" s="86" t="str">
        <f>+IF(AG1967=$AK$22,MONTH(V1967),"")</f>
        <v/>
      </c>
      <c r="AL1967" s="86" t="str">
        <f>+IF(AG1967=$AL$22,MONTH(V1967),"")</f>
        <v/>
      </c>
      <c r="AM1967" s="86" t="str">
        <f>+IF($AG1967=$AM$22,MONTH($D1967),"")</f>
        <v/>
      </c>
      <c r="AN1967" s="89" t="str">
        <f>+IF($AG1967=AN$22,MONTH($D1967),"")</f>
        <v/>
      </c>
      <c r="AO1967" s="86" t="str">
        <f>+IF($AG1967=AO$22,MONTH($D1967),"")</f>
        <v/>
      </c>
      <c r="AP1967" s="86" t="str">
        <f>+IF($AG1967=AP$22,MONTH($D1967),"")</f>
        <v/>
      </c>
      <c r="AQ1967" s="86">
        <f>+IF($AG1967=AQ$22,MONTH($D1967),"")</f>
        <v>8</v>
      </c>
      <c r="AR1967" s="86" t="str">
        <f>+IF($AG1967=AR$22,MONTH($D1967),"")</f>
        <v/>
      </c>
      <c r="AS1967" s="86" t="str">
        <f>+IF($AG1967=AS$22,MONTH($D1967),"")</f>
        <v/>
      </c>
      <c r="AT1967" s="86" t="str">
        <f>+IF($AG1967=AT$22,MONTH($D1967),"")</f>
        <v/>
      </c>
      <c r="AU1967" s="86" t="str">
        <f>+IF($AG1967=AU$22,MONTH($D1967),"")</f>
        <v/>
      </c>
      <c r="AV1967" s="86" t="str">
        <f>+IF($AG1967=AV$22,MONTH($D1967),"")</f>
        <v/>
      </c>
      <c r="AW1967" s="86" t="str">
        <f>+IF($AG1967=AW$22,MONTH($D1967),"")</f>
        <v/>
      </c>
      <c r="AX1967" s="86" t="str">
        <f>+IF($AG1967=AX$22,MONTH($D1967),"")</f>
        <v/>
      </c>
      <c r="AY1967" s="182"/>
      <c r="AZ1967" s="89"/>
      <c r="BA1967" s="89"/>
      <c r="BB1967" s="89"/>
      <c r="BC1967" s="89"/>
      <c r="BD1967" s="89"/>
      <c r="BE1967" s="89"/>
      <c r="BF1967" s="89"/>
      <c r="BG1967" s="89"/>
      <c r="BH1967" s="89"/>
      <c r="BI1967" s="89"/>
      <c r="BJ1967" s="89"/>
      <c r="BK1967" s="89"/>
      <c r="BL1967" s="89"/>
      <c r="BM1967" s="89"/>
      <c r="BN1967" s="89"/>
      <c r="BO1967" s="89"/>
      <c r="BP1967" s="89"/>
    </row>
    <row r="1968" spans="1:68" s="56" customFormat="1" ht="13.5" hidden="1">
      <c r="A1968" s="204">
        <f>+IFERROR(VALUE(MID(AB1968,4,4)),"")</f>
        <v>171</v>
      </c>
      <c r="B1968" s="204">
        <f>VALUE(RIGHT(C1968,LEN(C1968)-2))</f>
        <v>757</v>
      </c>
      <c r="C1968" s="74" t="s">
        <v>6846</v>
      </c>
      <c r="D1968" s="75">
        <v>42968</v>
      </c>
      <c r="E1968" s="70" t="s">
        <v>255</v>
      </c>
      <c r="F1968" s="70" t="s">
        <v>255</v>
      </c>
      <c r="G1968" s="68"/>
      <c r="H1968" s="59"/>
      <c r="I1968" s="162" t="s">
        <v>6847</v>
      </c>
      <c r="J1968" s="162"/>
      <c r="K1968" s="68" t="s">
        <v>12</v>
      </c>
      <c r="L1968" s="69" t="s">
        <v>120</v>
      </c>
      <c r="M1968" s="71" t="s">
        <v>141</v>
      </c>
      <c r="N1968" s="69" t="e" vm="1">
        <v>#VALUE!</v>
      </c>
      <c r="O1968" s="164">
        <v>42969</v>
      </c>
      <c r="P1968" s="72" t="s">
        <v>402</v>
      </c>
      <c r="Q1968" s="72" t="s">
        <v>644</v>
      </c>
      <c r="R1968" s="162"/>
      <c r="S1968" s="146"/>
      <c r="T1968" s="68" t="s">
        <v>3</v>
      </c>
      <c r="U1968" s="87"/>
      <c r="V1968" s="183">
        <v>42971</v>
      </c>
      <c r="W1968" s="73">
        <v>80</v>
      </c>
      <c r="X1968" s="73">
        <f>110*26600/1000000</f>
        <v>2.9260000000000002</v>
      </c>
      <c r="Y1968" s="83">
        <f>IF(SUM(W1968:W1968)&gt;0,X1968/SUM(W1968:W1968)*1000000,"N/A")</f>
        <v>36575</v>
      </c>
      <c r="Z1968" s="183"/>
      <c r="AA1968" s="183"/>
      <c r="AB1968" s="73" t="s">
        <v>6848</v>
      </c>
      <c r="AC1968" s="153"/>
      <c r="AD1968" s="331"/>
      <c r="AE1968" s="57"/>
      <c r="AF1968" s="88"/>
      <c r="AG1968" s="182">
        <f>YEAR(D1968)</f>
        <v>2017</v>
      </c>
      <c r="AH1968" s="86" t="str">
        <f>+IF(AE1968=$AJ$22,MONTH(T1968),"")</f>
        <v/>
      </c>
      <c r="AI1968" s="86" t="str">
        <f>+IF(AF1968=$AJ$22,MONTH(U1968),"")</f>
        <v/>
      </c>
      <c r="AJ1968" s="86" t="str">
        <f>+IF(AG1968=$AJ$22,MONTH(V1968),"")</f>
        <v/>
      </c>
      <c r="AK1968" s="86" t="str">
        <f>+IF(AG1968=$AK$22,MONTH(V1968),"")</f>
        <v/>
      </c>
      <c r="AL1968" s="86" t="str">
        <f>+IF(AG1968=$AL$22,MONTH(V1968),"")</f>
        <v/>
      </c>
      <c r="AM1968" s="86" t="str">
        <f>+IF($AG1968=$AM$22,MONTH($D1968),"")</f>
        <v/>
      </c>
      <c r="AN1968" s="89" t="str">
        <f>+IF($AG1968=AN$22,MONTH($D1968),"")</f>
        <v/>
      </c>
      <c r="AO1968" s="86" t="str">
        <f>+IF($AG1968=AO$22,MONTH($D1968),"")</f>
        <v/>
      </c>
      <c r="AP1968" s="86" t="str">
        <f>+IF($AG1968=AP$22,MONTH($D1968),"")</f>
        <v/>
      </c>
      <c r="AQ1968" s="86">
        <f>+IF($AG1968=AQ$22,MONTH($D1968),"")</f>
        <v>8</v>
      </c>
      <c r="AR1968" s="86" t="str">
        <f>+IF($AG1968=AR$22,MONTH($D1968),"")</f>
        <v/>
      </c>
      <c r="AS1968" s="86" t="str">
        <f>+IF($AG1968=AS$22,MONTH($D1968),"")</f>
        <v/>
      </c>
      <c r="AT1968" s="86" t="str">
        <f>+IF($AG1968=AT$22,MONTH($D1968),"")</f>
        <v/>
      </c>
      <c r="AU1968" s="86" t="str">
        <f>+IF($AG1968=AU$22,MONTH($D1968),"")</f>
        <v/>
      </c>
      <c r="AV1968" s="86" t="str">
        <f>+IF($AG1968=AV$22,MONTH($D1968),"")</f>
        <v/>
      </c>
      <c r="AW1968" s="86" t="str">
        <f>+IF($AG1968=AW$22,MONTH($D1968),"")</f>
        <v/>
      </c>
      <c r="AX1968" s="86" t="str">
        <f>+IF($AG1968=AX$22,MONTH($D1968),"")</f>
        <v/>
      </c>
      <c r="AY1968" s="182"/>
      <c r="AZ1968" s="89"/>
      <c r="BA1968" s="89"/>
      <c r="BB1968" s="89"/>
      <c r="BC1968" s="89"/>
      <c r="BD1968" s="89"/>
      <c r="BE1968" s="89"/>
      <c r="BF1968" s="89"/>
      <c r="BG1968" s="89"/>
      <c r="BH1968" s="89"/>
      <c r="BI1968" s="89"/>
      <c r="BJ1968" s="89"/>
      <c r="BK1968" s="89"/>
      <c r="BL1968" s="89"/>
      <c r="BM1968" s="89"/>
      <c r="BN1968" s="89"/>
      <c r="BO1968" s="89"/>
      <c r="BP1968" s="89"/>
    </row>
    <row r="1969" spans="1:68" s="56" customFormat="1" ht="23.25" hidden="1" customHeight="1">
      <c r="A1969" s="204" t="str">
        <f>+IFERROR(VALUE(MID(AB1969,4,4)),"")</f>
        <v/>
      </c>
      <c r="B1969" s="204">
        <f>VALUE(RIGHT(C1969,LEN(C1969)-2))</f>
        <v>756</v>
      </c>
      <c r="C1969" s="74" t="s">
        <v>6849</v>
      </c>
      <c r="D1969" s="75">
        <v>42965</v>
      </c>
      <c r="E1969" s="70" t="s">
        <v>6850</v>
      </c>
      <c r="F1969" s="70" t="s">
        <v>252</v>
      </c>
      <c r="G1969" s="68" t="s">
        <v>6851</v>
      </c>
      <c r="H1969" s="59"/>
      <c r="I1969" s="162" t="s">
        <v>6852</v>
      </c>
      <c r="J1969" s="162"/>
      <c r="K1969" s="68" t="s">
        <v>16</v>
      </c>
      <c r="L1969" s="69" t="s">
        <v>123</v>
      </c>
      <c r="M1969" s="71" t="s">
        <v>141</v>
      </c>
      <c r="N1969" s="69" t="e" vm="1">
        <v>#VALUE!</v>
      </c>
      <c r="O1969" s="164">
        <v>42971</v>
      </c>
      <c r="P1969" s="72" t="s">
        <v>402</v>
      </c>
      <c r="Q1969" s="72"/>
      <c r="R1969" s="162"/>
      <c r="S1969" s="146"/>
      <c r="T1969" s="68" t="s">
        <v>165</v>
      </c>
      <c r="U1969" s="87"/>
      <c r="V1969" s="183">
        <v>42971</v>
      </c>
      <c r="W1969" s="73">
        <v>640</v>
      </c>
      <c r="X1969" s="73">
        <f>925*26600/1000000</f>
        <v>24.605</v>
      </c>
      <c r="Y1969" s="83">
        <f>IF(SUM(W1969:W1969)&gt;0,X1969/SUM(W1969:W1969)*1000000,"N/A")</f>
        <v>38445.3125</v>
      </c>
      <c r="Z1969" s="183"/>
      <c r="AA1969" s="183"/>
      <c r="AB1969" s="73"/>
      <c r="AC1969" s="153"/>
      <c r="AD1969" s="331"/>
      <c r="AE1969" s="57"/>
      <c r="AF1969" s="88"/>
      <c r="AG1969" s="182">
        <f>YEAR(D1969)</f>
        <v>2017</v>
      </c>
      <c r="AH1969" s="86" t="str">
        <f>+IF(AE1969=$AJ$22,MONTH(T1969),"")</f>
        <v/>
      </c>
      <c r="AI1969" s="86" t="str">
        <f>+IF(AF1969=$AJ$22,MONTH(U1969),"")</f>
        <v/>
      </c>
      <c r="AJ1969" s="86" t="str">
        <f>+IF(AG1969=$AJ$22,MONTH(V1969),"")</f>
        <v/>
      </c>
      <c r="AK1969" s="86" t="str">
        <f>+IF(AG1969=$AK$22,MONTH(V1969),"")</f>
        <v/>
      </c>
      <c r="AL1969" s="86" t="str">
        <f>+IF(AG1969=$AL$22,MONTH(V1969),"")</f>
        <v/>
      </c>
      <c r="AM1969" s="86" t="str">
        <f>+IF($AG1969=$AM$22,MONTH($D1969),"")</f>
        <v/>
      </c>
      <c r="AN1969" s="89" t="str">
        <f>+IF($AG1969=AN$22,MONTH($D1969),"")</f>
        <v/>
      </c>
      <c r="AO1969" s="86" t="str">
        <f>+IF($AG1969=AO$22,MONTH($D1969),"")</f>
        <v/>
      </c>
      <c r="AP1969" s="86" t="str">
        <f>+IF($AG1969=AP$22,MONTH($D1969),"")</f>
        <v/>
      </c>
      <c r="AQ1969" s="86">
        <f>+IF($AG1969=AQ$22,MONTH($D1969),"")</f>
        <v>8</v>
      </c>
      <c r="AR1969" s="86" t="str">
        <f>+IF($AG1969=AR$22,MONTH($D1969),"")</f>
        <v/>
      </c>
      <c r="AS1969" s="86" t="str">
        <f>+IF($AG1969=AS$22,MONTH($D1969),"")</f>
        <v/>
      </c>
      <c r="AT1969" s="86" t="str">
        <f>+IF($AG1969=AT$22,MONTH($D1969),"")</f>
        <v/>
      </c>
      <c r="AU1969" s="86" t="str">
        <f>+IF($AG1969=AU$22,MONTH($D1969),"")</f>
        <v/>
      </c>
      <c r="AV1969" s="86" t="str">
        <f>+IF($AG1969=AV$22,MONTH($D1969),"")</f>
        <v/>
      </c>
      <c r="AW1969" s="86" t="str">
        <f>+IF($AG1969=AW$22,MONTH($D1969),"")</f>
        <v/>
      </c>
      <c r="AX1969" s="86" t="str">
        <f>+IF($AG1969=AX$22,MONTH($D1969),"")</f>
        <v/>
      </c>
      <c r="AY1969" s="182"/>
      <c r="AZ1969" s="89"/>
      <c r="BA1969" s="89"/>
      <c r="BB1969" s="89"/>
      <c r="BC1969" s="89"/>
      <c r="BD1969" s="89"/>
      <c r="BE1969" s="89"/>
      <c r="BF1969" s="89"/>
      <c r="BG1969" s="89"/>
      <c r="BH1969" s="89"/>
      <c r="BI1969" s="89"/>
      <c r="BJ1969" s="89"/>
      <c r="BK1969" s="89"/>
      <c r="BL1969" s="89"/>
      <c r="BM1969" s="89"/>
      <c r="BN1969" s="89"/>
      <c r="BO1969" s="89"/>
      <c r="BP1969" s="89"/>
    </row>
    <row r="1970" spans="1:68" s="56" customFormat="1" ht="13.5" hidden="1">
      <c r="A1970" s="204">
        <f>+IFERROR(VALUE(MID(AB1970,4,4)),"")</f>
        <v>170</v>
      </c>
      <c r="B1970" s="204">
        <f>VALUE(RIGHT(C1970,LEN(C1970)-2))</f>
        <v>755</v>
      </c>
      <c r="C1970" s="74" t="s">
        <v>6853</v>
      </c>
      <c r="D1970" s="75">
        <v>42965</v>
      </c>
      <c r="E1970" s="70" t="s">
        <v>106</v>
      </c>
      <c r="F1970" s="70" t="s">
        <v>106</v>
      </c>
      <c r="G1970" s="68" t="s">
        <v>6744</v>
      </c>
      <c r="H1970" s="59"/>
      <c r="I1970" s="162" t="s">
        <v>6854</v>
      </c>
      <c r="J1970" s="162"/>
      <c r="K1970" s="68" t="s">
        <v>12</v>
      </c>
      <c r="L1970" s="69" t="s">
        <v>120</v>
      </c>
      <c r="M1970" s="71" t="s">
        <v>141</v>
      </c>
      <c r="N1970" s="69" t="e" vm="1">
        <v>#VALUE!</v>
      </c>
      <c r="O1970" s="164">
        <v>42965</v>
      </c>
      <c r="P1970" s="72" t="s">
        <v>4567</v>
      </c>
      <c r="Q1970" s="72" t="s">
        <v>644</v>
      </c>
      <c r="R1970" s="162"/>
      <c r="S1970" s="146"/>
      <c r="T1970" s="68" t="s">
        <v>3</v>
      </c>
      <c r="U1970" s="87"/>
      <c r="V1970" s="183">
        <v>42969</v>
      </c>
      <c r="W1970" s="73">
        <v>232</v>
      </c>
      <c r="X1970" s="73">
        <f>282*26600/1000000</f>
        <v>7.5011999999999999</v>
      </c>
      <c r="Y1970" s="83">
        <f>IF(SUM(W1970:W1970)&gt;0,X1970/SUM(W1970:W1970)*1000000,"N/A")</f>
        <v>32332.758620689656</v>
      </c>
      <c r="Z1970" s="183"/>
      <c r="AA1970" s="183"/>
      <c r="AB1970" s="73" t="s">
        <v>6855</v>
      </c>
      <c r="AC1970" s="153"/>
      <c r="AD1970" s="331"/>
      <c r="AE1970" s="57"/>
      <c r="AF1970" s="88"/>
      <c r="AG1970" s="182">
        <f>YEAR(D1970)</f>
        <v>2017</v>
      </c>
      <c r="AH1970" s="86" t="str">
        <f>+IF(AE1970=$AJ$22,MONTH(T1970),"")</f>
        <v/>
      </c>
      <c r="AI1970" s="86" t="str">
        <f>+IF(AF1970=$AJ$22,MONTH(U1970),"")</f>
        <v/>
      </c>
      <c r="AJ1970" s="86" t="str">
        <f>+IF(AG1970=$AJ$22,MONTH(V1970),"")</f>
        <v/>
      </c>
      <c r="AK1970" s="86" t="str">
        <f>+IF(AG1970=$AK$22,MONTH(V1970),"")</f>
        <v/>
      </c>
      <c r="AL1970" s="86" t="str">
        <f>+IF(AG1970=$AL$22,MONTH(V1970),"")</f>
        <v/>
      </c>
      <c r="AM1970" s="86" t="str">
        <f>+IF($AG1970=$AM$22,MONTH($D1970),"")</f>
        <v/>
      </c>
      <c r="AN1970" s="89" t="str">
        <f>+IF($AG1970=AN$22,MONTH($D1970),"")</f>
        <v/>
      </c>
      <c r="AO1970" s="86" t="str">
        <f>+IF($AG1970=AO$22,MONTH($D1970),"")</f>
        <v/>
      </c>
      <c r="AP1970" s="86" t="str">
        <f>+IF($AG1970=AP$22,MONTH($D1970),"")</f>
        <v/>
      </c>
      <c r="AQ1970" s="86">
        <f>+IF($AG1970=AQ$22,MONTH($D1970),"")</f>
        <v>8</v>
      </c>
      <c r="AR1970" s="86" t="str">
        <f>+IF($AG1970=AR$22,MONTH($D1970),"")</f>
        <v/>
      </c>
      <c r="AS1970" s="86" t="str">
        <f>+IF($AG1970=AS$22,MONTH($D1970),"")</f>
        <v/>
      </c>
      <c r="AT1970" s="86" t="str">
        <f>+IF($AG1970=AT$22,MONTH($D1970),"")</f>
        <v/>
      </c>
      <c r="AU1970" s="86" t="str">
        <f>+IF($AG1970=AU$22,MONTH($D1970),"")</f>
        <v/>
      </c>
      <c r="AV1970" s="86" t="str">
        <f>+IF($AG1970=AV$22,MONTH($D1970),"")</f>
        <v/>
      </c>
      <c r="AW1970" s="86" t="str">
        <f>+IF($AG1970=AW$22,MONTH($D1970),"")</f>
        <v/>
      </c>
      <c r="AX1970" s="86" t="str">
        <f>+IF($AG1970=AX$22,MONTH($D1970),"")</f>
        <v/>
      </c>
      <c r="AY1970" s="182"/>
      <c r="AZ1970" s="89"/>
      <c r="BA1970" s="89"/>
      <c r="BB1970" s="89"/>
      <c r="BC1970" s="89"/>
      <c r="BD1970" s="89"/>
      <c r="BE1970" s="89"/>
      <c r="BF1970" s="89"/>
      <c r="BG1970" s="89"/>
      <c r="BH1970" s="89"/>
      <c r="BI1970" s="89"/>
      <c r="BJ1970" s="89"/>
      <c r="BK1970" s="89"/>
      <c r="BL1970" s="89"/>
      <c r="BM1970" s="89"/>
      <c r="BN1970" s="89"/>
      <c r="BO1970" s="89"/>
      <c r="BP1970" s="89"/>
    </row>
    <row r="1971" spans="1:68" s="56" customFormat="1" ht="13.5" hidden="1">
      <c r="A1971" s="204" t="str">
        <f>+IFERROR(VALUE(MID(AB1971,4,4)),"")</f>
        <v/>
      </c>
      <c r="B1971" s="204">
        <f>VALUE(RIGHT(C1971,LEN(C1971)-2))</f>
        <v>754</v>
      </c>
      <c r="C1971" s="74" t="s">
        <v>6856</v>
      </c>
      <c r="D1971" s="75">
        <v>42963</v>
      </c>
      <c r="E1971" s="70" t="s">
        <v>97</v>
      </c>
      <c r="F1971" s="70" t="s">
        <v>685</v>
      </c>
      <c r="G1971" s="68" t="s">
        <v>6857</v>
      </c>
      <c r="H1971" s="59"/>
      <c r="I1971" s="162" t="s">
        <v>6858</v>
      </c>
      <c r="J1971" s="162"/>
      <c r="K1971" s="68" t="s">
        <v>212</v>
      </c>
      <c r="L1971" s="69" t="s">
        <v>123</v>
      </c>
      <c r="M1971" s="71" t="s">
        <v>141</v>
      </c>
      <c r="N1971" s="69" t="e" vm="1">
        <v>#VALUE!</v>
      </c>
      <c r="O1971" s="164">
        <v>42985</v>
      </c>
      <c r="P1971" s="72" t="s">
        <v>402</v>
      </c>
      <c r="Q1971" s="72"/>
      <c r="R1971" s="162"/>
      <c r="S1971" s="146"/>
      <c r="T1971" s="68" t="s">
        <v>165</v>
      </c>
      <c r="U1971" s="87"/>
      <c r="V1971" s="183">
        <v>43109</v>
      </c>
      <c r="W1971" s="73">
        <v>33312</v>
      </c>
      <c r="X1971" s="73">
        <f>929421583.875/1000000</f>
        <v>929.42158387500001</v>
      </c>
      <c r="Y1971" s="83">
        <f>IF(SUM(W1971:W1971)&gt;0,X1971/SUM(W1971:W1971)*1000000,"N/A")</f>
        <v>27900.503838706773</v>
      </c>
      <c r="Z1971" s="183"/>
      <c r="AA1971" s="183"/>
      <c r="AB1971" s="73"/>
      <c r="AC1971" s="153"/>
      <c r="AD1971" s="331"/>
      <c r="AE1971" s="57"/>
      <c r="AF1971" s="88"/>
      <c r="AG1971" s="182">
        <f>YEAR(D1971)</f>
        <v>2017</v>
      </c>
      <c r="AH1971" s="86" t="str">
        <f>+IF(AE1971=$AJ$22,MONTH(T1971),"")</f>
        <v/>
      </c>
      <c r="AI1971" s="86" t="str">
        <f>+IF(AF1971=$AJ$22,MONTH(U1971),"")</f>
        <v/>
      </c>
      <c r="AJ1971" s="86" t="str">
        <f>+IF(AG1971=$AJ$22,MONTH(V1971),"")</f>
        <v/>
      </c>
      <c r="AK1971" s="86" t="str">
        <f>+IF(AG1971=$AK$22,MONTH(V1971),"")</f>
        <v/>
      </c>
      <c r="AL1971" s="86" t="str">
        <f>+IF(AG1971=$AL$22,MONTH(V1971),"")</f>
        <v/>
      </c>
      <c r="AM1971" s="86" t="str">
        <f>+IF($AG1971=$AM$22,MONTH($D1971),"")</f>
        <v/>
      </c>
      <c r="AN1971" s="89" t="str">
        <f>+IF($AG1971=AN$22,MONTH($D1971),"")</f>
        <v/>
      </c>
      <c r="AO1971" s="86" t="str">
        <f>+IF($AG1971=AO$22,MONTH($D1971),"")</f>
        <v/>
      </c>
      <c r="AP1971" s="86" t="str">
        <f>+IF($AG1971=AP$22,MONTH($D1971),"")</f>
        <v/>
      </c>
      <c r="AQ1971" s="86">
        <f>+IF($AG1971=AQ$22,MONTH($D1971),"")</f>
        <v>8</v>
      </c>
      <c r="AR1971" s="86" t="str">
        <f>+IF($AG1971=AR$22,MONTH($D1971),"")</f>
        <v/>
      </c>
      <c r="AS1971" s="86" t="str">
        <f>+IF($AG1971=AS$22,MONTH($D1971),"")</f>
        <v/>
      </c>
      <c r="AT1971" s="86" t="str">
        <f>+IF($AG1971=AT$22,MONTH($D1971),"")</f>
        <v/>
      </c>
      <c r="AU1971" s="86" t="str">
        <f>+IF($AG1971=AU$22,MONTH($D1971),"")</f>
        <v/>
      </c>
      <c r="AV1971" s="86" t="str">
        <f>+IF($AG1971=AV$22,MONTH($D1971),"")</f>
        <v/>
      </c>
      <c r="AW1971" s="86" t="str">
        <f>+IF($AG1971=AW$22,MONTH($D1971),"")</f>
        <v/>
      </c>
      <c r="AX1971" s="86" t="str">
        <f>+IF($AG1971=AX$22,MONTH($D1971),"")</f>
        <v/>
      </c>
      <c r="AY1971" s="182"/>
      <c r="AZ1971" s="89"/>
      <c r="BA1971" s="89"/>
      <c r="BB1971" s="89"/>
      <c r="BC1971" s="89"/>
      <c r="BD1971" s="89"/>
      <c r="BE1971" s="89"/>
      <c r="BF1971" s="89"/>
      <c r="BG1971" s="89"/>
      <c r="BH1971" s="89"/>
      <c r="BI1971" s="89"/>
      <c r="BJ1971" s="89"/>
      <c r="BK1971" s="89"/>
      <c r="BL1971" s="89"/>
      <c r="BM1971" s="89"/>
      <c r="BN1971" s="89"/>
      <c r="BO1971" s="89"/>
      <c r="BP1971" s="89"/>
    </row>
    <row r="1972" spans="1:68" s="56" customFormat="1" ht="40.5" hidden="1">
      <c r="A1972" s="204" t="str">
        <f>+IFERROR(VALUE(MID(AB1972,4,4)),"")</f>
        <v/>
      </c>
      <c r="B1972" s="204">
        <f>VALUE(RIGHT(C1972,LEN(C1972)-2))</f>
        <v>753</v>
      </c>
      <c r="C1972" s="74" t="s">
        <v>6859</v>
      </c>
      <c r="D1972" s="75">
        <v>42958</v>
      </c>
      <c r="E1972" s="70" t="s">
        <v>69</v>
      </c>
      <c r="F1972" s="70" t="s">
        <v>6483</v>
      </c>
      <c r="G1972" s="68" t="s">
        <v>4508</v>
      </c>
      <c r="H1972" s="59"/>
      <c r="I1972" s="162" t="s">
        <v>6860</v>
      </c>
      <c r="J1972" s="162"/>
      <c r="K1972" s="68" t="s">
        <v>13</v>
      </c>
      <c r="L1972" s="69" t="s">
        <v>120</v>
      </c>
      <c r="M1972" s="71" t="s">
        <v>141</v>
      </c>
      <c r="N1972" s="69" t="e" vm="1">
        <v>#VALUE!</v>
      </c>
      <c r="O1972" s="164">
        <v>42989</v>
      </c>
      <c r="P1972" s="72" t="s">
        <v>4567</v>
      </c>
      <c r="Q1972" s="72" t="s">
        <v>316</v>
      </c>
      <c r="R1972" s="162"/>
      <c r="S1972" s="146"/>
      <c r="T1972" s="68" t="s">
        <v>3</v>
      </c>
      <c r="U1972" s="87"/>
      <c r="V1972" s="183">
        <v>42969</v>
      </c>
      <c r="W1972" s="73">
        <v>30</v>
      </c>
      <c r="X1972" s="73">
        <v>0.7238</v>
      </c>
      <c r="Y1972" s="83">
        <f>IF(SUM(W1972:W1972)&gt;0,X1972/SUM(W1972:W1972)*1000000,"N/A")</f>
        <v>24126.666666666668</v>
      </c>
      <c r="Z1972" s="183"/>
      <c r="AA1972" s="183"/>
      <c r="AB1972" s="73"/>
      <c r="AC1972" s="153"/>
      <c r="AD1972" s="331"/>
      <c r="AE1972" s="57"/>
      <c r="AF1972" s="88"/>
      <c r="AG1972" s="182">
        <f>YEAR(D1972)</f>
        <v>2017</v>
      </c>
      <c r="AH1972" s="86" t="str">
        <f>+IF(AE1972=$AJ$22,MONTH(T1972),"")</f>
        <v/>
      </c>
      <c r="AI1972" s="86" t="str">
        <f>+IF(AF1972=$AJ$22,MONTH(U1972),"")</f>
        <v/>
      </c>
      <c r="AJ1972" s="86" t="str">
        <f>+IF(AG1972=$AJ$22,MONTH(V1972),"")</f>
        <v/>
      </c>
      <c r="AK1972" s="86" t="str">
        <f>+IF(AG1972=$AK$22,MONTH(V1972),"")</f>
        <v/>
      </c>
      <c r="AL1972" s="86" t="str">
        <f>+IF(AG1972=$AL$22,MONTH(V1972),"")</f>
        <v/>
      </c>
      <c r="AM1972" s="86" t="str">
        <f>+IF($AG1972=$AM$22,MONTH($D1972),"")</f>
        <v/>
      </c>
      <c r="AN1972" s="89" t="str">
        <f>+IF($AG1972=AN$22,MONTH($D1972),"")</f>
        <v/>
      </c>
      <c r="AO1972" s="86" t="str">
        <f>+IF($AG1972=AO$22,MONTH($D1972),"")</f>
        <v/>
      </c>
      <c r="AP1972" s="86" t="str">
        <f>+IF($AG1972=AP$22,MONTH($D1972),"")</f>
        <v/>
      </c>
      <c r="AQ1972" s="86">
        <f>+IF($AG1972=AQ$22,MONTH($D1972),"")</f>
        <v>8</v>
      </c>
      <c r="AR1972" s="86" t="str">
        <f>+IF($AG1972=AR$22,MONTH($D1972),"")</f>
        <v/>
      </c>
      <c r="AS1972" s="86" t="str">
        <f>+IF($AG1972=AS$22,MONTH($D1972),"")</f>
        <v/>
      </c>
      <c r="AT1972" s="86" t="str">
        <f>+IF($AG1972=AT$22,MONTH($D1972),"")</f>
        <v/>
      </c>
      <c r="AU1972" s="86" t="str">
        <f>+IF($AG1972=AU$22,MONTH($D1972),"")</f>
        <v/>
      </c>
      <c r="AV1972" s="86" t="str">
        <f>+IF($AG1972=AV$22,MONTH($D1972),"")</f>
        <v/>
      </c>
      <c r="AW1972" s="86" t="str">
        <f>+IF($AG1972=AW$22,MONTH($D1972),"")</f>
        <v/>
      </c>
      <c r="AX1972" s="86" t="str">
        <f>+IF($AG1972=AX$22,MONTH($D1972),"")</f>
        <v/>
      </c>
      <c r="AY1972" s="182"/>
      <c r="AZ1972" s="89"/>
      <c r="BA1972" s="89"/>
      <c r="BB1972" s="89"/>
      <c r="BC1972" s="89"/>
      <c r="BD1972" s="89"/>
      <c r="BE1972" s="89"/>
      <c r="BF1972" s="89"/>
      <c r="BG1972" s="89"/>
      <c r="BH1972" s="89"/>
      <c r="BI1972" s="89"/>
      <c r="BJ1972" s="89"/>
      <c r="BK1972" s="89"/>
      <c r="BL1972" s="89"/>
      <c r="BM1972" s="89"/>
      <c r="BN1972" s="89"/>
      <c r="BO1972" s="89"/>
      <c r="BP1972" s="89"/>
    </row>
    <row r="1973" spans="1:68" s="56" customFormat="1" ht="27" hidden="1">
      <c r="A1973" s="204">
        <f>+IFERROR(VALUE(MID(AB1973,4,4)),"")</f>
        <v>158</v>
      </c>
      <c r="B1973" s="204">
        <f>VALUE(RIGHT(C1973,LEN(C1973)-2))</f>
        <v>752</v>
      </c>
      <c r="C1973" s="74" t="s">
        <v>6861</v>
      </c>
      <c r="D1973" s="75">
        <v>42956</v>
      </c>
      <c r="E1973" s="70" t="s">
        <v>41</v>
      </c>
      <c r="F1973" s="70" t="s">
        <v>41</v>
      </c>
      <c r="G1973" s="68" t="s">
        <v>6764</v>
      </c>
      <c r="H1973" s="59"/>
      <c r="I1973" s="162" t="s">
        <v>6862</v>
      </c>
      <c r="J1973" s="162"/>
      <c r="K1973" s="68" t="s">
        <v>12</v>
      </c>
      <c r="L1973" s="69" t="s">
        <v>123</v>
      </c>
      <c r="M1973" s="71" t="s">
        <v>141</v>
      </c>
      <c r="N1973" s="69" t="e" vm="1">
        <v>#VALUE!</v>
      </c>
      <c r="O1973" s="164">
        <v>42956</v>
      </c>
      <c r="P1973" s="72" t="s">
        <v>402</v>
      </c>
      <c r="Q1973" s="72" t="s">
        <v>623</v>
      </c>
      <c r="R1973" s="162"/>
      <c r="S1973" s="146" t="s">
        <v>6863</v>
      </c>
      <c r="T1973" s="68" t="s">
        <v>3</v>
      </c>
      <c r="U1973" s="87"/>
      <c r="V1973" s="183">
        <v>42969</v>
      </c>
      <c r="W1973" s="73">
        <v>525</v>
      </c>
      <c r="X1973" s="73">
        <f>475*26600/1000000</f>
        <v>12.635</v>
      </c>
      <c r="Y1973" s="83">
        <f>IF(SUM(W1973:W1973)&gt;0,X1973/SUM(W1973:W1973)*1000000,"N/A")</f>
        <v>24066.666666666668</v>
      </c>
      <c r="Z1973" s="183"/>
      <c r="AA1973" s="183"/>
      <c r="AB1973" s="73" t="s">
        <v>6864</v>
      </c>
      <c r="AC1973" s="153"/>
      <c r="AD1973" s="331"/>
      <c r="AE1973" s="57"/>
      <c r="AF1973" s="88"/>
      <c r="AG1973" s="182">
        <f>YEAR(D1973)</f>
        <v>2017</v>
      </c>
      <c r="AH1973" s="86" t="str">
        <f>+IF(AE1973=$AJ$22,MONTH(T1973),"")</f>
        <v/>
      </c>
      <c r="AI1973" s="86" t="str">
        <f>+IF(AF1973=$AJ$22,MONTH(U1973),"")</f>
        <v/>
      </c>
      <c r="AJ1973" s="86" t="str">
        <f>+IF(AG1973=$AJ$22,MONTH(V1973),"")</f>
        <v/>
      </c>
      <c r="AK1973" s="86" t="str">
        <f>+IF(AG1973=$AK$22,MONTH(V1973),"")</f>
        <v/>
      </c>
      <c r="AL1973" s="86" t="str">
        <f>+IF(AG1973=$AL$22,MONTH(V1973),"")</f>
        <v/>
      </c>
      <c r="AM1973" s="86" t="str">
        <f>+IF($AG1973=$AM$22,MONTH($D1973),"")</f>
        <v/>
      </c>
      <c r="AN1973" s="89" t="str">
        <f>+IF($AG1973=AN$22,MONTH($D1973),"")</f>
        <v/>
      </c>
      <c r="AO1973" s="86" t="str">
        <f>+IF($AG1973=AO$22,MONTH($D1973),"")</f>
        <v/>
      </c>
      <c r="AP1973" s="86" t="str">
        <f>+IF($AG1973=AP$22,MONTH($D1973),"")</f>
        <v/>
      </c>
      <c r="AQ1973" s="86">
        <f>+IF($AG1973=AQ$22,MONTH($D1973),"")</f>
        <v>8</v>
      </c>
      <c r="AR1973" s="86" t="str">
        <f>+IF($AG1973=AR$22,MONTH($D1973),"")</f>
        <v/>
      </c>
      <c r="AS1973" s="86" t="str">
        <f>+IF($AG1973=AS$22,MONTH($D1973),"")</f>
        <v/>
      </c>
      <c r="AT1973" s="86" t="str">
        <f>+IF($AG1973=AT$22,MONTH($D1973),"")</f>
        <v/>
      </c>
      <c r="AU1973" s="86" t="str">
        <f>+IF($AG1973=AU$22,MONTH($D1973),"")</f>
        <v/>
      </c>
      <c r="AV1973" s="86" t="str">
        <f>+IF($AG1973=AV$22,MONTH($D1973),"")</f>
        <v/>
      </c>
      <c r="AW1973" s="86" t="str">
        <f>+IF($AG1973=AW$22,MONTH($D1973),"")</f>
        <v/>
      </c>
      <c r="AX1973" s="86" t="str">
        <f>+IF($AG1973=AX$22,MONTH($D1973),"")</f>
        <v/>
      </c>
      <c r="AY1973" s="182"/>
      <c r="AZ1973" s="89"/>
      <c r="BA1973" s="89"/>
      <c r="BB1973" s="89"/>
      <c r="BC1973" s="89"/>
      <c r="BD1973" s="89"/>
      <c r="BE1973" s="89"/>
      <c r="BF1973" s="89"/>
      <c r="BG1973" s="89"/>
      <c r="BH1973" s="89"/>
      <c r="BI1973" s="89"/>
      <c r="BJ1973" s="89"/>
      <c r="BK1973" s="89"/>
      <c r="BL1973" s="89"/>
      <c r="BM1973" s="89"/>
      <c r="BN1973" s="89"/>
      <c r="BO1973" s="89"/>
      <c r="BP1973" s="89"/>
    </row>
    <row r="1974" spans="1:68" s="56" customFormat="1" ht="27" hidden="1">
      <c r="A1974" s="204">
        <f>+IFERROR(VALUE(MID(AB1974,4,4)),"")</f>
        <v>158</v>
      </c>
      <c r="B1974" s="204">
        <f>VALUE(RIGHT(C1974,LEN(C1974)-2))</f>
        <v>751</v>
      </c>
      <c r="C1974" s="74" t="s">
        <v>6865</v>
      </c>
      <c r="D1974" s="75">
        <v>42956</v>
      </c>
      <c r="E1974" s="70" t="s">
        <v>41</v>
      </c>
      <c r="F1974" s="70" t="s">
        <v>41</v>
      </c>
      <c r="G1974" s="68" t="s">
        <v>6764</v>
      </c>
      <c r="H1974" s="59"/>
      <c r="I1974" s="162" t="s">
        <v>6866</v>
      </c>
      <c r="J1974" s="162"/>
      <c r="K1974" s="68" t="s">
        <v>13</v>
      </c>
      <c r="L1974" s="69" t="s">
        <v>123</v>
      </c>
      <c r="M1974" s="71" t="s">
        <v>141</v>
      </c>
      <c r="N1974" s="69" t="e" vm="1">
        <v>#VALUE!</v>
      </c>
      <c r="O1974" s="164">
        <v>42956</v>
      </c>
      <c r="P1974" s="72" t="s">
        <v>402</v>
      </c>
      <c r="Q1974" s="72" t="s">
        <v>623</v>
      </c>
      <c r="R1974" s="162"/>
      <c r="S1974" s="146" t="s">
        <v>6867</v>
      </c>
      <c r="T1974" s="68" t="s">
        <v>3</v>
      </c>
      <c r="U1974" s="87"/>
      <c r="V1974" s="183">
        <v>42969</v>
      </c>
      <c r="W1974" s="73">
        <v>1240</v>
      </c>
      <c r="X1974" s="73">
        <f>1040*26600/1000000</f>
        <v>27.664000000000001</v>
      </c>
      <c r="Y1974" s="83">
        <f>IF(SUM(W1974:W1974)&gt;0,X1974/SUM(W1974:W1974)*1000000,"N/A")</f>
        <v>22309.677419354841</v>
      </c>
      <c r="Z1974" s="183"/>
      <c r="AA1974" s="183"/>
      <c r="AB1974" s="73" t="s">
        <v>6868</v>
      </c>
      <c r="AC1974" s="153"/>
      <c r="AD1974" s="331"/>
      <c r="AE1974" s="57"/>
      <c r="AF1974" s="88"/>
      <c r="AG1974" s="182">
        <f>YEAR(D1974)</f>
        <v>2017</v>
      </c>
      <c r="AH1974" s="86" t="str">
        <f>+IF(AE1974=$AJ$22,MONTH(T1974),"")</f>
        <v/>
      </c>
      <c r="AI1974" s="86" t="str">
        <f>+IF(AF1974=$AJ$22,MONTH(U1974),"")</f>
        <v/>
      </c>
      <c r="AJ1974" s="86" t="str">
        <f>+IF(AG1974=$AJ$22,MONTH(V1974),"")</f>
        <v/>
      </c>
      <c r="AK1974" s="86" t="str">
        <f>+IF(AG1974=$AK$22,MONTH(V1974),"")</f>
        <v/>
      </c>
      <c r="AL1974" s="86" t="str">
        <f>+IF(AG1974=$AL$22,MONTH(V1974),"")</f>
        <v/>
      </c>
      <c r="AM1974" s="86" t="str">
        <f>+IF($AG1974=$AM$22,MONTH($D1974),"")</f>
        <v/>
      </c>
      <c r="AN1974" s="89" t="str">
        <f>+IF($AG1974=AN$22,MONTH($D1974),"")</f>
        <v/>
      </c>
      <c r="AO1974" s="86" t="str">
        <f>+IF($AG1974=AO$22,MONTH($D1974),"")</f>
        <v/>
      </c>
      <c r="AP1974" s="86" t="str">
        <f>+IF($AG1974=AP$22,MONTH($D1974),"")</f>
        <v/>
      </c>
      <c r="AQ1974" s="86">
        <f>+IF($AG1974=AQ$22,MONTH($D1974),"")</f>
        <v>8</v>
      </c>
      <c r="AR1974" s="86" t="str">
        <f>+IF($AG1974=AR$22,MONTH($D1974),"")</f>
        <v/>
      </c>
      <c r="AS1974" s="86" t="str">
        <f>+IF($AG1974=AS$22,MONTH($D1974),"")</f>
        <v/>
      </c>
      <c r="AT1974" s="86" t="str">
        <f>+IF($AG1974=AT$22,MONTH($D1974),"")</f>
        <v/>
      </c>
      <c r="AU1974" s="86" t="str">
        <f>+IF($AG1974=AU$22,MONTH($D1974),"")</f>
        <v/>
      </c>
      <c r="AV1974" s="86" t="str">
        <f>+IF($AG1974=AV$22,MONTH($D1974),"")</f>
        <v/>
      </c>
      <c r="AW1974" s="86" t="str">
        <f>+IF($AG1974=AW$22,MONTH($D1974),"")</f>
        <v/>
      </c>
      <c r="AX1974" s="86" t="str">
        <f>+IF($AG1974=AX$22,MONTH($D1974),"")</f>
        <v/>
      </c>
      <c r="AY1974" s="89"/>
      <c r="AZ1974" s="89"/>
      <c r="BA1974" s="89"/>
      <c r="BB1974" s="89"/>
      <c r="BC1974" s="89"/>
      <c r="BD1974" s="89"/>
      <c r="BE1974" s="89"/>
      <c r="BF1974" s="89"/>
      <c r="BG1974" s="89"/>
      <c r="BH1974" s="89"/>
      <c r="BI1974" s="89"/>
      <c r="BJ1974" s="89"/>
      <c r="BK1974" s="89"/>
      <c r="BL1974" s="89"/>
      <c r="BM1974" s="89"/>
      <c r="BN1974" s="89"/>
      <c r="BO1974" s="89"/>
      <c r="BP1974" s="89"/>
    </row>
    <row r="1975" spans="1:68" s="56" customFormat="1" ht="27" hidden="1">
      <c r="A1975" s="204" t="str">
        <f>+IFERROR(VALUE(MID(AB1975,4,4)),"")</f>
        <v/>
      </c>
      <c r="B1975" s="204">
        <f>VALUE(RIGHT(C1975,LEN(C1975)-2))</f>
        <v>750</v>
      </c>
      <c r="C1975" s="74" t="s">
        <v>6869</v>
      </c>
      <c r="D1975" s="75">
        <v>42956</v>
      </c>
      <c r="E1975" s="70" t="s">
        <v>332</v>
      </c>
      <c r="F1975" s="70" t="s">
        <v>332</v>
      </c>
      <c r="G1975" s="68" t="s">
        <v>6764</v>
      </c>
      <c r="H1975" s="59"/>
      <c r="I1975" s="162" t="s">
        <v>6870</v>
      </c>
      <c r="J1975" s="162"/>
      <c r="K1975" s="68" t="s">
        <v>13</v>
      </c>
      <c r="L1975" s="69" t="s">
        <v>123</v>
      </c>
      <c r="M1975" s="71" t="s">
        <v>141</v>
      </c>
      <c r="N1975" s="69" t="e" vm="1">
        <v>#VALUE!</v>
      </c>
      <c r="O1975" s="164">
        <v>42956</v>
      </c>
      <c r="P1975" s="72" t="s">
        <v>402</v>
      </c>
      <c r="Q1975" s="72"/>
      <c r="R1975" s="162"/>
      <c r="S1975" s="146" t="s">
        <v>6871</v>
      </c>
      <c r="T1975" s="68" t="s">
        <v>165</v>
      </c>
      <c r="U1975" s="87"/>
      <c r="V1975" s="183">
        <v>42969</v>
      </c>
      <c r="W1975" s="73">
        <v>585</v>
      </c>
      <c r="X1975" s="73">
        <f>531*26600/1000000</f>
        <v>14.124599999999999</v>
      </c>
      <c r="Y1975" s="83">
        <f>IF(SUM(W1975:W1975)&gt;0,X1975/SUM(W1975:W1975)*1000000,"N/A")</f>
        <v>24144.615384615383</v>
      </c>
      <c r="Z1975" s="183"/>
      <c r="AA1975" s="183"/>
      <c r="AB1975" s="73"/>
      <c r="AC1975" s="153"/>
      <c r="AD1975" s="331"/>
      <c r="AE1975" s="57"/>
      <c r="AF1975" s="88"/>
      <c r="AG1975" s="182">
        <f>YEAR(D1975)</f>
        <v>2017</v>
      </c>
      <c r="AH1975" s="86" t="str">
        <f>+IF(AE1975=$AJ$22,MONTH(T1975),"")</f>
        <v/>
      </c>
      <c r="AI1975" s="86" t="str">
        <f>+IF(AF1975=$AJ$22,MONTH(U1975),"")</f>
        <v/>
      </c>
      <c r="AJ1975" s="86" t="str">
        <f>+IF(AG1975=$AJ$22,MONTH(V1975),"")</f>
        <v/>
      </c>
      <c r="AK1975" s="86" t="str">
        <f>+IF(AG1975=$AK$22,MONTH(V1975),"")</f>
        <v/>
      </c>
      <c r="AL1975" s="86" t="str">
        <f>+IF(AG1975=$AL$22,MONTH(V1975),"")</f>
        <v/>
      </c>
      <c r="AM1975" s="86" t="str">
        <f>+IF($AG1975=$AM$22,MONTH($D1975),"")</f>
        <v/>
      </c>
      <c r="AN1975" s="89" t="str">
        <f>+IF($AG1975=AN$22,MONTH($D1975),"")</f>
        <v/>
      </c>
      <c r="AO1975" s="86" t="str">
        <f>+IF($AG1975=AO$22,MONTH($D1975),"")</f>
        <v/>
      </c>
      <c r="AP1975" s="86" t="str">
        <f>+IF($AG1975=AP$22,MONTH($D1975),"")</f>
        <v/>
      </c>
      <c r="AQ1975" s="86">
        <f>+IF($AG1975=AQ$22,MONTH($D1975),"")</f>
        <v>8</v>
      </c>
      <c r="AR1975" s="86" t="str">
        <f>+IF($AG1975=AR$22,MONTH($D1975),"")</f>
        <v/>
      </c>
      <c r="AS1975" s="86" t="str">
        <f>+IF($AG1975=AS$22,MONTH($D1975),"")</f>
        <v/>
      </c>
      <c r="AT1975" s="86" t="str">
        <f>+IF($AG1975=AT$22,MONTH($D1975),"")</f>
        <v/>
      </c>
      <c r="AU1975" s="86" t="str">
        <f>+IF($AG1975=AU$22,MONTH($D1975),"")</f>
        <v/>
      </c>
      <c r="AV1975" s="86" t="str">
        <f>+IF($AG1975=AV$22,MONTH($D1975),"")</f>
        <v/>
      </c>
      <c r="AW1975" s="86" t="str">
        <f>+IF($AG1975=AW$22,MONTH($D1975),"")</f>
        <v/>
      </c>
      <c r="AX1975" s="86" t="str">
        <f>+IF($AG1975=AX$22,MONTH($D1975),"")</f>
        <v/>
      </c>
      <c r="AY1975" s="89"/>
      <c r="AZ1975" s="89"/>
      <c r="BA1975" s="89"/>
      <c r="BB1975" s="89"/>
      <c r="BC1975" s="89"/>
      <c r="BD1975" s="89"/>
      <c r="BE1975" s="89"/>
      <c r="BF1975" s="89"/>
      <c r="BG1975" s="89"/>
      <c r="BH1975" s="89"/>
      <c r="BI1975" s="89"/>
      <c r="BJ1975" s="89"/>
      <c r="BK1975" s="89"/>
      <c r="BL1975" s="89"/>
      <c r="BM1975" s="89"/>
      <c r="BN1975" s="89"/>
      <c r="BO1975" s="89"/>
      <c r="BP1975" s="89"/>
    </row>
    <row r="1976" spans="1:68" s="56" customFormat="1" ht="27" hidden="1">
      <c r="A1976" s="204" t="str">
        <f>+IFERROR(VALUE(MID(AB1976,4,4)),"")</f>
        <v/>
      </c>
      <c r="B1976" s="204">
        <f>VALUE(RIGHT(C1976,LEN(C1976)-2))</f>
        <v>749</v>
      </c>
      <c r="C1976" s="74" t="s">
        <v>6872</v>
      </c>
      <c r="D1976" s="75">
        <v>42951</v>
      </c>
      <c r="E1976" s="70" t="s">
        <v>685</v>
      </c>
      <c r="F1976" s="70" t="s">
        <v>685</v>
      </c>
      <c r="G1976" s="68" t="s">
        <v>6771</v>
      </c>
      <c r="H1976" s="59"/>
      <c r="I1976" s="162" t="s">
        <v>6873</v>
      </c>
      <c r="J1976" s="162"/>
      <c r="K1976" s="68" t="s">
        <v>31</v>
      </c>
      <c r="L1976" s="69" t="s">
        <v>120</v>
      </c>
      <c r="M1976" s="71" t="s">
        <v>141</v>
      </c>
      <c r="N1976" s="69" t="e" vm="1">
        <v>#VALUE!</v>
      </c>
      <c r="O1976" s="164"/>
      <c r="P1976" s="72" t="s">
        <v>402</v>
      </c>
      <c r="Q1976" s="72"/>
      <c r="R1976" s="162"/>
      <c r="S1976" s="146"/>
      <c r="T1976" s="68" t="s">
        <v>165</v>
      </c>
      <c r="U1976" s="87"/>
      <c r="V1976" s="183">
        <v>43018</v>
      </c>
      <c r="W1976" s="73">
        <v>940</v>
      </c>
      <c r="X1976" s="73">
        <f>28522406/1000000</f>
        <v>28.522406</v>
      </c>
      <c r="Y1976" s="83">
        <f>IF(SUM(W1976:W1976)&gt;0,X1976/SUM(W1976:W1976)*1000000,"N/A")</f>
        <v>30342.985106382977</v>
      </c>
      <c r="Z1976" s="183"/>
      <c r="AA1976" s="183"/>
      <c r="AB1976" s="73"/>
      <c r="AC1976" s="153"/>
      <c r="AD1976" s="331"/>
      <c r="AE1976" s="57"/>
      <c r="AF1976" s="88"/>
      <c r="AG1976" s="182">
        <f>YEAR(D1976)</f>
        <v>2017</v>
      </c>
      <c r="AH1976" s="86" t="str">
        <f>+IF(AE1976=$AJ$22,MONTH(T1976),"")</f>
        <v/>
      </c>
      <c r="AI1976" s="86" t="str">
        <f>+IF(AF1976=$AJ$22,MONTH(U1976),"")</f>
        <v/>
      </c>
      <c r="AJ1976" s="86" t="str">
        <f>+IF(AG1976=$AJ$22,MONTH(V1976),"")</f>
        <v/>
      </c>
      <c r="AK1976" s="86" t="str">
        <f>+IF(AG1976=$AK$22,MONTH(V1976),"")</f>
        <v/>
      </c>
      <c r="AL1976" s="86" t="str">
        <f>+IF(AG1976=$AL$22,MONTH(V1976),"")</f>
        <v/>
      </c>
      <c r="AM1976" s="86" t="str">
        <f>+IF($AG1976=$AM$22,MONTH($D1976),"")</f>
        <v/>
      </c>
      <c r="AN1976" s="89" t="str">
        <f>+IF($AG1976=AN$22,MONTH($D1976),"")</f>
        <v/>
      </c>
      <c r="AO1976" s="86" t="str">
        <f>+IF($AG1976=AO$22,MONTH($D1976),"")</f>
        <v/>
      </c>
      <c r="AP1976" s="86" t="str">
        <f>+IF($AG1976=AP$22,MONTH($D1976),"")</f>
        <v/>
      </c>
      <c r="AQ1976" s="86">
        <f>+IF($AG1976=AQ$22,MONTH($D1976),"")</f>
        <v>8</v>
      </c>
      <c r="AR1976" s="86" t="str">
        <f>+IF($AG1976=AR$22,MONTH($D1976),"")</f>
        <v/>
      </c>
      <c r="AS1976" s="86" t="str">
        <f>+IF($AG1976=AS$22,MONTH($D1976),"")</f>
        <v/>
      </c>
      <c r="AT1976" s="86" t="str">
        <f>+IF($AG1976=AT$22,MONTH($D1976),"")</f>
        <v/>
      </c>
      <c r="AU1976" s="86" t="str">
        <f>+IF($AG1976=AU$22,MONTH($D1976),"")</f>
        <v/>
      </c>
      <c r="AV1976" s="86" t="str">
        <f>+IF($AG1976=AV$22,MONTH($D1976),"")</f>
        <v/>
      </c>
      <c r="AW1976" s="86" t="str">
        <f>+IF($AG1976=AW$22,MONTH($D1976),"")</f>
        <v/>
      </c>
      <c r="AX1976" s="86" t="str">
        <f>+IF($AG1976=AX$22,MONTH($D1976),"")</f>
        <v/>
      </c>
      <c r="AY1976" s="89"/>
      <c r="AZ1976" s="89"/>
      <c r="BA1976" s="89"/>
      <c r="BB1976" s="89"/>
      <c r="BC1976" s="89"/>
      <c r="BD1976" s="89"/>
      <c r="BE1976" s="89"/>
      <c r="BF1976" s="89"/>
      <c r="BG1976" s="89"/>
      <c r="BH1976" s="89"/>
      <c r="BI1976" s="89"/>
      <c r="BJ1976" s="89"/>
      <c r="BK1976" s="89"/>
      <c r="BL1976" s="89"/>
      <c r="BM1976" s="89"/>
      <c r="BN1976" s="89"/>
      <c r="BO1976" s="89"/>
      <c r="BP1976" s="89"/>
    </row>
    <row r="1977" spans="1:68" s="56" customFormat="1" ht="13.5" hidden="1">
      <c r="A1977" s="204" t="str">
        <f>+IFERROR(VALUE(MID(AB1977,4,4)),"")</f>
        <v/>
      </c>
      <c r="B1977" s="204">
        <f>VALUE(RIGHT(C1977,LEN(C1977)-2))</f>
        <v>748</v>
      </c>
      <c r="C1977" s="74" t="s">
        <v>6874</v>
      </c>
      <c r="D1977" s="75">
        <v>42947</v>
      </c>
      <c r="E1977" s="70" t="s">
        <v>6875</v>
      </c>
      <c r="F1977" s="70" t="s">
        <v>6875</v>
      </c>
      <c r="G1977" s="68"/>
      <c r="H1977" s="59"/>
      <c r="I1977" s="162" t="s">
        <v>6876</v>
      </c>
      <c r="J1977" s="162"/>
      <c r="K1977" s="68" t="s">
        <v>11</v>
      </c>
      <c r="L1977" s="69" t="s">
        <v>123</v>
      </c>
      <c r="M1977" s="71" t="s">
        <v>141</v>
      </c>
      <c r="N1977" s="69" t="e" vm="1">
        <v>#VALUE!</v>
      </c>
      <c r="O1977" s="164"/>
      <c r="P1977" s="72"/>
      <c r="Q1977" s="72"/>
      <c r="R1977" s="162"/>
      <c r="S1977" s="146"/>
      <c r="T1977" s="68" t="s">
        <v>155</v>
      </c>
      <c r="U1977" s="87"/>
      <c r="V1977" s="183"/>
      <c r="W1977" s="73"/>
      <c r="X1977" s="73"/>
      <c r="Y1977" s="83"/>
      <c r="Z1977" s="183"/>
      <c r="AA1977" s="183"/>
      <c r="AB1977" s="73"/>
      <c r="AC1977" s="153"/>
      <c r="AD1977" s="331"/>
      <c r="AE1977" s="57"/>
      <c r="AF1977" s="88"/>
      <c r="AG1977" s="182">
        <f>YEAR(D1977)</f>
        <v>2017</v>
      </c>
      <c r="AH1977" s="86" t="str">
        <f>+IF(AE1977=$AJ$22,MONTH(T1977),"")</f>
        <v/>
      </c>
      <c r="AI1977" s="86" t="str">
        <f>+IF(AF1977=$AJ$22,MONTH(U1977),"")</f>
        <v/>
      </c>
      <c r="AJ1977" s="86" t="str">
        <f>+IF(AG1977=$AJ$22,MONTH(V1977),"")</f>
        <v/>
      </c>
      <c r="AK1977" s="86" t="str">
        <f>+IF(AG1977=$AK$22,MONTH(V1977),"")</f>
        <v/>
      </c>
      <c r="AL1977" s="86" t="str">
        <f>+IF(AG1977=$AL$22,MONTH(V1977),"")</f>
        <v/>
      </c>
      <c r="AM1977" s="86" t="str">
        <f>+IF($AG1977=$AM$22,MONTH($D1977),"")</f>
        <v/>
      </c>
      <c r="AN1977" s="89" t="str">
        <f>+IF($AG1977=AN$22,MONTH($D1977),"")</f>
        <v/>
      </c>
      <c r="AO1977" s="86" t="str">
        <f>+IF($AG1977=AO$22,MONTH($D1977),"")</f>
        <v/>
      </c>
      <c r="AP1977" s="86" t="str">
        <f>+IF($AG1977=AP$22,MONTH($D1977),"")</f>
        <v/>
      </c>
      <c r="AQ1977" s="86">
        <f>+IF($AG1977=AQ$22,MONTH($D1977),"")</f>
        <v>7</v>
      </c>
      <c r="AR1977" s="86" t="str">
        <f>+IF($AG1977=AR$22,MONTH($D1977),"")</f>
        <v/>
      </c>
      <c r="AS1977" s="86" t="str">
        <f>+IF($AG1977=AS$22,MONTH($D1977),"")</f>
        <v/>
      </c>
      <c r="AT1977" s="86" t="str">
        <f>+IF($AG1977=AT$22,MONTH($D1977),"")</f>
        <v/>
      </c>
      <c r="AU1977" s="86" t="str">
        <f>+IF($AG1977=AU$22,MONTH($D1977),"")</f>
        <v/>
      </c>
      <c r="AV1977" s="86" t="str">
        <f>+IF($AG1977=AV$22,MONTH($D1977),"")</f>
        <v/>
      </c>
      <c r="AW1977" s="86" t="str">
        <f>+IF($AG1977=AW$22,MONTH($D1977),"")</f>
        <v/>
      </c>
      <c r="AX1977" s="86" t="str">
        <f>+IF($AG1977=AX$22,MONTH($D1977),"")</f>
        <v/>
      </c>
      <c r="AY1977" s="89"/>
      <c r="AZ1977" s="89"/>
      <c r="BA1977" s="89"/>
      <c r="BB1977" s="89"/>
      <c r="BC1977" s="89"/>
      <c r="BD1977" s="89"/>
      <c r="BE1977" s="89"/>
      <c r="BF1977" s="89"/>
      <c r="BG1977" s="89"/>
      <c r="BH1977" s="89"/>
      <c r="BI1977" s="89"/>
      <c r="BJ1977" s="89"/>
      <c r="BK1977" s="89"/>
      <c r="BL1977" s="89"/>
      <c r="BM1977" s="89"/>
      <c r="BN1977" s="89"/>
      <c r="BO1977" s="89"/>
      <c r="BP1977" s="89"/>
    </row>
    <row r="1978" spans="1:68" s="56" customFormat="1" ht="13.5" hidden="1">
      <c r="A1978" s="204" t="str">
        <f>+IFERROR(VALUE(MID(AB1978,4,4)),"")</f>
        <v/>
      </c>
      <c r="B1978" s="204">
        <f>VALUE(RIGHT(C1978,LEN(C1978)-2))</f>
        <v>747</v>
      </c>
      <c r="C1978" s="74" t="s">
        <v>6877</v>
      </c>
      <c r="D1978" s="75">
        <v>42941</v>
      </c>
      <c r="E1978" s="70" t="s">
        <v>51</v>
      </c>
      <c r="F1978" s="70" t="s">
        <v>51</v>
      </c>
      <c r="G1978" s="68"/>
      <c r="H1978" s="59"/>
      <c r="I1978" s="162" t="s">
        <v>6878</v>
      </c>
      <c r="J1978" s="162"/>
      <c r="K1978" s="68" t="s">
        <v>14</v>
      </c>
      <c r="L1978" s="69" t="s">
        <v>123</v>
      </c>
      <c r="M1978" s="71" t="s">
        <v>141</v>
      </c>
      <c r="N1978" s="69" t="e" vm="1">
        <v>#VALUE!</v>
      </c>
      <c r="O1978" s="164">
        <v>42956</v>
      </c>
      <c r="P1978" s="72" t="s">
        <v>402</v>
      </c>
      <c r="Q1978" s="72"/>
      <c r="R1978" s="162"/>
      <c r="S1978" s="146"/>
      <c r="T1978" s="68" t="s">
        <v>165</v>
      </c>
      <c r="U1978" s="87"/>
      <c r="V1978" s="183">
        <v>42969</v>
      </c>
      <c r="W1978" s="73">
        <v>1309</v>
      </c>
      <c r="X1978" s="73">
        <v>40.587040000000002</v>
      </c>
      <c r="Y1978" s="83">
        <f>IF(SUM(W1978:W1978)&gt;0,X1978/SUM(W1978:W1978)*1000000,"N/A")</f>
        <v>31006.14209320092</v>
      </c>
      <c r="Z1978" s="183"/>
      <c r="AA1978" s="183"/>
      <c r="AB1978" s="73"/>
      <c r="AC1978" s="153"/>
      <c r="AD1978" s="331"/>
      <c r="AE1978" s="57"/>
      <c r="AF1978" s="88"/>
      <c r="AG1978" s="182">
        <f>YEAR(D1978)</f>
        <v>2017</v>
      </c>
      <c r="AH1978" s="86" t="str">
        <f>+IF(AE1978=$AJ$22,MONTH(T1978),"")</f>
        <v/>
      </c>
      <c r="AI1978" s="86" t="str">
        <f>+IF(AF1978=$AJ$22,MONTH(U1978),"")</f>
        <v/>
      </c>
      <c r="AJ1978" s="86" t="str">
        <f>+IF(AG1978=$AJ$22,MONTH(V1978),"")</f>
        <v/>
      </c>
      <c r="AK1978" s="86" t="str">
        <f>+IF(AG1978=$AK$22,MONTH(V1978),"")</f>
        <v/>
      </c>
      <c r="AL1978" s="86" t="str">
        <f>+IF(AG1978=$AL$22,MONTH(V1978),"")</f>
        <v/>
      </c>
      <c r="AM1978" s="86" t="str">
        <f>+IF($AG1978=$AM$22,MONTH($D1978),"")</f>
        <v/>
      </c>
      <c r="AN1978" s="89" t="str">
        <f>+IF($AG1978=AN$22,MONTH($D1978),"")</f>
        <v/>
      </c>
      <c r="AO1978" s="86" t="str">
        <f>+IF($AG1978=AO$22,MONTH($D1978),"")</f>
        <v/>
      </c>
      <c r="AP1978" s="86" t="str">
        <f>+IF($AG1978=AP$22,MONTH($D1978),"")</f>
        <v/>
      </c>
      <c r="AQ1978" s="86">
        <f>+IF($AG1978=AQ$22,MONTH($D1978),"")</f>
        <v>7</v>
      </c>
      <c r="AR1978" s="86" t="str">
        <f>+IF($AG1978=AR$22,MONTH($D1978),"")</f>
        <v/>
      </c>
      <c r="AS1978" s="86" t="str">
        <f>+IF($AG1978=AS$22,MONTH($D1978),"")</f>
        <v/>
      </c>
      <c r="AT1978" s="86" t="str">
        <f>+IF($AG1978=AT$22,MONTH($D1978),"")</f>
        <v/>
      </c>
      <c r="AU1978" s="86" t="str">
        <f>+IF($AG1978=AU$22,MONTH($D1978),"")</f>
        <v/>
      </c>
      <c r="AV1978" s="86" t="str">
        <f>+IF($AG1978=AV$22,MONTH($D1978),"")</f>
        <v/>
      </c>
      <c r="AW1978" s="86" t="str">
        <f>+IF($AG1978=AW$22,MONTH($D1978),"")</f>
        <v/>
      </c>
      <c r="AX1978" s="86" t="str">
        <f>+IF($AG1978=AX$22,MONTH($D1978),"")</f>
        <v/>
      </c>
      <c r="AY1978" s="89"/>
      <c r="AZ1978" s="89"/>
      <c r="BA1978" s="89"/>
      <c r="BB1978" s="89"/>
      <c r="BC1978" s="89"/>
      <c r="BD1978" s="89"/>
      <c r="BE1978" s="89"/>
      <c r="BF1978" s="89"/>
      <c r="BG1978" s="89"/>
      <c r="BH1978" s="89"/>
      <c r="BI1978" s="89"/>
      <c r="BJ1978" s="89"/>
      <c r="BK1978" s="89"/>
      <c r="BL1978" s="89"/>
      <c r="BM1978" s="89"/>
      <c r="BN1978" s="89"/>
      <c r="BO1978" s="89"/>
      <c r="BP1978" s="89"/>
    </row>
    <row r="1979" spans="1:68" s="56" customFormat="1" ht="13.5" hidden="1">
      <c r="A1979" s="204" t="str">
        <f>+IFERROR(VALUE(MID(AB1979,4,4)),"")</f>
        <v/>
      </c>
      <c r="B1979" s="204">
        <f>VALUE(RIGHT(C1979,LEN(C1979)-2))</f>
        <v>746</v>
      </c>
      <c r="C1979" s="74" t="s">
        <v>6879</v>
      </c>
      <c r="D1979" s="75">
        <v>42940</v>
      </c>
      <c r="E1979" s="70" t="s">
        <v>6880</v>
      </c>
      <c r="F1979" s="70" t="s">
        <v>685</v>
      </c>
      <c r="G1979" s="68"/>
      <c r="H1979" s="59"/>
      <c r="I1979" s="162" t="s">
        <v>6881</v>
      </c>
      <c r="J1979" s="162"/>
      <c r="K1979" s="68" t="s">
        <v>212</v>
      </c>
      <c r="L1979" s="69" t="s">
        <v>123</v>
      </c>
      <c r="M1979" s="71" t="s">
        <v>141</v>
      </c>
      <c r="N1979" s="69" t="e" vm="1">
        <v>#VALUE!</v>
      </c>
      <c r="O1979" s="164">
        <v>42940</v>
      </c>
      <c r="P1979" s="72" t="s">
        <v>402</v>
      </c>
      <c r="Q1979" s="72"/>
      <c r="R1979" s="162"/>
      <c r="S1979" s="146"/>
      <c r="T1979" s="68" t="s">
        <v>155</v>
      </c>
      <c r="U1979" s="87"/>
      <c r="V1979" s="183" t="s">
        <v>4574</v>
      </c>
      <c r="W1979" s="73" t="s">
        <v>4574</v>
      </c>
      <c r="X1979" s="73" t="s">
        <v>4574</v>
      </c>
      <c r="Y1979" s="83" t="s">
        <v>4574</v>
      </c>
      <c r="Z1979" s="183"/>
      <c r="AA1979" s="183"/>
      <c r="AB1979" s="73"/>
      <c r="AC1979" s="153"/>
      <c r="AD1979" s="331"/>
      <c r="AE1979" s="57"/>
      <c r="AF1979" s="88"/>
      <c r="AG1979" s="182">
        <f>YEAR(D1979)</f>
        <v>2017</v>
      </c>
      <c r="AH1979" s="86" t="str">
        <f>+IF(AE1979=$AJ$22,MONTH(T1979),"")</f>
        <v/>
      </c>
      <c r="AI1979" s="86" t="str">
        <f>+IF(AF1979=$AJ$22,MONTH(U1979),"")</f>
        <v/>
      </c>
      <c r="AJ1979" s="86" t="str">
        <f>+IF(AG1979=$AJ$22,MONTH(V1979),"")</f>
        <v/>
      </c>
      <c r="AK1979" s="86" t="str">
        <f>+IF(AG1979=$AK$22,MONTH(V1979),"")</f>
        <v/>
      </c>
      <c r="AL1979" s="86" t="str">
        <f>+IF(AG1979=$AL$22,MONTH(V1979),"")</f>
        <v/>
      </c>
      <c r="AM1979" s="86" t="str">
        <f>+IF($AG1979=$AM$22,MONTH($D1979),"")</f>
        <v/>
      </c>
      <c r="AN1979" s="89" t="str">
        <f>+IF($AG1979=AN$22,MONTH($D1979),"")</f>
        <v/>
      </c>
      <c r="AO1979" s="86" t="str">
        <f>+IF($AG1979=AO$22,MONTH($D1979),"")</f>
        <v/>
      </c>
      <c r="AP1979" s="86" t="str">
        <f>+IF($AG1979=AP$22,MONTH($D1979),"")</f>
        <v/>
      </c>
      <c r="AQ1979" s="86">
        <f>+IF($AG1979=AQ$22,MONTH($D1979),"")</f>
        <v>7</v>
      </c>
      <c r="AR1979" s="86" t="str">
        <f>+IF($AG1979=AR$22,MONTH($D1979),"")</f>
        <v/>
      </c>
      <c r="AS1979" s="86" t="str">
        <f>+IF($AG1979=AS$22,MONTH($D1979),"")</f>
        <v/>
      </c>
      <c r="AT1979" s="86" t="str">
        <f>+IF($AG1979=AT$22,MONTH($D1979),"")</f>
        <v/>
      </c>
      <c r="AU1979" s="86" t="str">
        <f>+IF($AG1979=AU$22,MONTH($D1979),"")</f>
        <v/>
      </c>
      <c r="AV1979" s="86" t="str">
        <f>+IF($AG1979=AV$22,MONTH($D1979),"")</f>
        <v/>
      </c>
      <c r="AW1979" s="86" t="str">
        <f>+IF($AG1979=AW$22,MONTH($D1979),"")</f>
        <v/>
      </c>
      <c r="AX1979" s="86" t="str">
        <f>+IF($AG1979=AX$22,MONTH($D1979),"")</f>
        <v/>
      </c>
      <c r="AY1979" s="89"/>
      <c r="AZ1979" s="89"/>
      <c r="BA1979" s="89"/>
      <c r="BB1979" s="89"/>
      <c r="BC1979" s="89"/>
      <c r="BD1979" s="89"/>
      <c r="BE1979" s="89"/>
      <c r="BF1979" s="89"/>
      <c r="BG1979" s="89"/>
      <c r="BH1979" s="89"/>
      <c r="BI1979" s="89"/>
      <c r="BJ1979" s="89"/>
      <c r="BK1979" s="89"/>
      <c r="BL1979" s="89"/>
      <c r="BM1979" s="89"/>
      <c r="BN1979" s="89"/>
      <c r="BO1979" s="89"/>
      <c r="BP1979" s="89"/>
    </row>
    <row r="1980" spans="1:68" s="56" customFormat="1" ht="27" hidden="1">
      <c r="A1980" s="204">
        <f>+IFERROR(VALUE(MID(AB1980,4,4)),"")</f>
        <v>158</v>
      </c>
      <c r="B1980" s="204">
        <f>VALUE(RIGHT(C1980,LEN(C1980)-2))</f>
        <v>745</v>
      </c>
      <c r="C1980" s="74" t="s">
        <v>6882</v>
      </c>
      <c r="D1980" s="75">
        <v>42936</v>
      </c>
      <c r="E1980" s="70" t="s">
        <v>41</v>
      </c>
      <c r="F1980" s="70" t="s">
        <v>41</v>
      </c>
      <c r="G1980" s="68" t="s">
        <v>6883</v>
      </c>
      <c r="H1980" s="59"/>
      <c r="I1980" s="162" t="s">
        <v>6884</v>
      </c>
      <c r="J1980" s="162"/>
      <c r="K1980" s="68" t="s">
        <v>12</v>
      </c>
      <c r="L1980" s="69" t="s">
        <v>123</v>
      </c>
      <c r="M1980" s="71" t="s">
        <v>141</v>
      </c>
      <c r="N1980" s="69" t="e" vm="1">
        <v>#VALUE!</v>
      </c>
      <c r="O1980" s="164">
        <v>42940</v>
      </c>
      <c r="P1980" s="72" t="s">
        <v>274</v>
      </c>
      <c r="Q1980" s="72" t="s">
        <v>623</v>
      </c>
      <c r="R1980" s="162"/>
      <c r="S1980" s="146"/>
      <c r="T1980" s="68" t="s">
        <v>3</v>
      </c>
      <c r="U1980" s="87"/>
      <c r="V1980" s="183">
        <v>42941</v>
      </c>
      <c r="W1980" s="73">
        <v>942</v>
      </c>
      <c r="X1980" s="73">
        <f>940*26621.41/1000000</f>
        <v>25.024125399999999</v>
      </c>
      <c r="Y1980" s="83">
        <f>IF(SUM(W1980:W1980)&gt;0,X1980/SUM(W1980:W1980)*1000000,"N/A")</f>
        <v>26564.888959660297</v>
      </c>
      <c r="Z1980" s="183"/>
      <c r="AA1980" s="183"/>
      <c r="AB1980" s="73" t="s">
        <v>6885</v>
      </c>
      <c r="AC1980" s="153"/>
      <c r="AD1980" s="331"/>
      <c r="AE1980" s="57"/>
      <c r="AF1980" s="88"/>
      <c r="AG1980" s="182">
        <f>YEAR(D1980)</f>
        <v>2017</v>
      </c>
      <c r="AH1980" s="86" t="str">
        <f>+IF(AE1980=$AJ$22,MONTH(T1980),"")</f>
        <v/>
      </c>
      <c r="AI1980" s="86" t="str">
        <f>+IF(AF1980=$AJ$22,MONTH(U1980),"")</f>
        <v/>
      </c>
      <c r="AJ1980" s="86" t="str">
        <f>+IF(AG1980=$AJ$22,MONTH(V1980),"")</f>
        <v/>
      </c>
      <c r="AK1980" s="86" t="str">
        <f>+IF(AG1980=$AK$22,MONTH(V1980),"")</f>
        <v/>
      </c>
      <c r="AL1980" s="86" t="str">
        <f>+IF(AG1980=$AL$22,MONTH(V1980),"")</f>
        <v/>
      </c>
      <c r="AM1980" s="86" t="str">
        <f>+IF($AG1980=$AM$22,MONTH($D1980),"")</f>
        <v/>
      </c>
      <c r="AN1980" s="89" t="str">
        <f>+IF($AG1980=AN$22,MONTH($D1980),"")</f>
        <v/>
      </c>
      <c r="AO1980" s="86" t="str">
        <f>+IF($AG1980=AO$22,MONTH($D1980),"")</f>
        <v/>
      </c>
      <c r="AP1980" s="86" t="str">
        <f>+IF($AG1980=AP$22,MONTH($D1980),"")</f>
        <v/>
      </c>
      <c r="AQ1980" s="86">
        <f>+IF($AG1980=AQ$22,MONTH($D1980),"")</f>
        <v>7</v>
      </c>
      <c r="AR1980" s="86" t="str">
        <f>+IF($AG1980=AR$22,MONTH($D1980),"")</f>
        <v/>
      </c>
      <c r="AS1980" s="86" t="str">
        <f>+IF($AG1980=AS$22,MONTH($D1980),"")</f>
        <v/>
      </c>
      <c r="AT1980" s="86" t="str">
        <f>+IF($AG1980=AT$22,MONTH($D1980),"")</f>
        <v/>
      </c>
      <c r="AU1980" s="86" t="str">
        <f>+IF($AG1980=AU$22,MONTH($D1980),"")</f>
        <v/>
      </c>
      <c r="AV1980" s="86" t="str">
        <f>+IF($AG1980=AV$22,MONTH($D1980),"")</f>
        <v/>
      </c>
      <c r="AW1980" s="86" t="str">
        <f>+IF($AG1980=AW$22,MONTH($D1980),"")</f>
        <v/>
      </c>
      <c r="AX1980" s="86" t="str">
        <f>+IF($AG1980=AX$22,MONTH($D1980),"")</f>
        <v/>
      </c>
      <c r="AY1980" s="89"/>
      <c r="AZ1980" s="89"/>
      <c r="BA1980" s="89"/>
      <c r="BB1980" s="89"/>
      <c r="BC1980" s="89"/>
      <c r="BD1980" s="89"/>
      <c r="BE1980" s="89"/>
      <c r="BF1980" s="89"/>
      <c r="BG1980" s="89"/>
      <c r="BH1980" s="89"/>
      <c r="BI1980" s="89"/>
      <c r="BJ1980" s="89"/>
      <c r="BK1980" s="89"/>
      <c r="BL1980" s="89"/>
      <c r="BM1980" s="89"/>
      <c r="BN1980" s="89"/>
      <c r="BO1980" s="89"/>
      <c r="BP1980" s="89"/>
    </row>
    <row r="1981" spans="1:68" s="56" customFormat="1" ht="27" hidden="1">
      <c r="A1981" s="204" t="str">
        <f>+IFERROR(VALUE(MID(AB1981,4,4)),"")</f>
        <v/>
      </c>
      <c r="B1981" s="204">
        <f>VALUE(RIGHT(C1981,LEN(C1981)-2))</f>
        <v>744</v>
      </c>
      <c r="C1981" s="74" t="s">
        <v>6886</v>
      </c>
      <c r="D1981" s="75">
        <v>42936</v>
      </c>
      <c r="E1981" s="70" t="s">
        <v>332</v>
      </c>
      <c r="F1981" s="70" t="s">
        <v>332</v>
      </c>
      <c r="G1981" s="68" t="s">
        <v>6883</v>
      </c>
      <c r="H1981" s="59"/>
      <c r="I1981" s="162" t="s">
        <v>6887</v>
      </c>
      <c r="J1981" s="162"/>
      <c r="K1981" s="68" t="s">
        <v>13</v>
      </c>
      <c r="L1981" s="69" t="s">
        <v>123</v>
      </c>
      <c r="M1981" s="71" t="s">
        <v>141</v>
      </c>
      <c r="N1981" s="69" t="e" vm="1">
        <v>#VALUE!</v>
      </c>
      <c r="O1981" s="164">
        <v>42940</v>
      </c>
      <c r="P1981" s="72" t="s">
        <v>402</v>
      </c>
      <c r="Q1981" s="72"/>
      <c r="R1981" s="162"/>
      <c r="S1981" s="146"/>
      <c r="T1981" s="68" t="s">
        <v>165</v>
      </c>
      <c r="U1981" s="87"/>
      <c r="V1981" s="183">
        <v>42941</v>
      </c>
      <c r="W1981" s="73">
        <v>361</v>
      </c>
      <c r="X1981" s="73">
        <f>350*26621.41/1000000</f>
        <v>9.3174934999999994</v>
      </c>
      <c r="Y1981" s="83">
        <f>IF(SUM(W1981:W1981)&gt;0,X1981/SUM(W1981:W1981)*1000000,"N/A")</f>
        <v>25810.231301939057</v>
      </c>
      <c r="Z1981" s="183"/>
      <c r="AA1981" s="183"/>
      <c r="AB1981" s="73"/>
      <c r="AC1981" s="153"/>
      <c r="AD1981" s="331"/>
      <c r="AE1981" s="57"/>
      <c r="AF1981" s="88"/>
      <c r="AG1981" s="182">
        <f>YEAR(D1981)</f>
        <v>2017</v>
      </c>
      <c r="AH1981" s="86" t="str">
        <f>+IF(AE1981=$AJ$22,MONTH(T1981),"")</f>
        <v/>
      </c>
      <c r="AI1981" s="86" t="str">
        <f>+IF(AF1981=$AJ$22,MONTH(U1981),"")</f>
        <v/>
      </c>
      <c r="AJ1981" s="86" t="str">
        <f>+IF(AG1981=$AJ$22,MONTH(V1981),"")</f>
        <v/>
      </c>
      <c r="AK1981" s="86" t="str">
        <f>+IF(AG1981=$AK$22,MONTH(V1981),"")</f>
        <v/>
      </c>
      <c r="AL1981" s="86" t="str">
        <f>+IF(AG1981=$AL$22,MONTH(V1981),"")</f>
        <v/>
      </c>
      <c r="AM1981" s="86" t="str">
        <f>+IF($AG1981=$AM$22,MONTH($D1981),"")</f>
        <v/>
      </c>
      <c r="AN1981" s="89" t="str">
        <f>+IF($AG1981=AN$22,MONTH($D1981),"")</f>
        <v/>
      </c>
      <c r="AO1981" s="86" t="str">
        <f>+IF($AG1981=AO$22,MONTH($D1981),"")</f>
        <v/>
      </c>
      <c r="AP1981" s="86" t="str">
        <f>+IF($AG1981=AP$22,MONTH($D1981),"")</f>
        <v/>
      </c>
      <c r="AQ1981" s="86">
        <f>+IF($AG1981=AQ$22,MONTH($D1981),"")</f>
        <v>7</v>
      </c>
      <c r="AR1981" s="86" t="str">
        <f>+IF($AG1981=AR$22,MONTH($D1981),"")</f>
        <v/>
      </c>
      <c r="AS1981" s="86" t="str">
        <f>+IF($AG1981=AS$22,MONTH($D1981),"")</f>
        <v/>
      </c>
      <c r="AT1981" s="86" t="str">
        <f>+IF($AG1981=AT$22,MONTH($D1981),"")</f>
        <v/>
      </c>
      <c r="AU1981" s="86" t="str">
        <f>+IF($AG1981=AU$22,MONTH($D1981),"")</f>
        <v/>
      </c>
      <c r="AV1981" s="86" t="str">
        <f>+IF($AG1981=AV$22,MONTH($D1981),"")</f>
        <v/>
      </c>
      <c r="AW1981" s="86" t="str">
        <f>+IF($AG1981=AW$22,MONTH($D1981),"")</f>
        <v/>
      </c>
      <c r="AX1981" s="86" t="str">
        <f>+IF($AG1981=AX$22,MONTH($D1981),"")</f>
        <v/>
      </c>
      <c r="AY1981" s="89"/>
      <c r="AZ1981" s="89"/>
      <c r="BA1981" s="89"/>
      <c r="BB1981" s="89"/>
      <c r="BC1981" s="89"/>
      <c r="BD1981" s="89"/>
      <c r="BE1981" s="89"/>
      <c r="BF1981" s="89"/>
      <c r="BG1981" s="89"/>
      <c r="BH1981" s="89"/>
      <c r="BI1981" s="89"/>
      <c r="BJ1981" s="89"/>
      <c r="BK1981" s="89"/>
      <c r="BL1981" s="89"/>
      <c r="BM1981" s="89"/>
      <c r="BN1981" s="89"/>
      <c r="BO1981" s="89"/>
      <c r="BP1981" s="89"/>
    </row>
    <row r="1982" spans="1:68" s="56" customFormat="1" ht="27" hidden="1">
      <c r="A1982" s="204" t="str">
        <f>+IFERROR(VALUE(MID(AB1982,4,4)),"")</f>
        <v/>
      </c>
      <c r="B1982" s="204">
        <f>VALUE(RIGHT(C1982,LEN(C1982)-2))</f>
        <v>743</v>
      </c>
      <c r="C1982" s="74" t="s">
        <v>6888</v>
      </c>
      <c r="D1982" s="75">
        <v>42936</v>
      </c>
      <c r="E1982" s="70" t="s">
        <v>332</v>
      </c>
      <c r="F1982" s="70" t="s">
        <v>332</v>
      </c>
      <c r="G1982" s="68" t="s">
        <v>6883</v>
      </c>
      <c r="H1982" s="59"/>
      <c r="I1982" s="162" t="s">
        <v>6889</v>
      </c>
      <c r="J1982" s="162"/>
      <c r="K1982" s="68" t="s">
        <v>12</v>
      </c>
      <c r="L1982" s="69" t="s">
        <v>123</v>
      </c>
      <c r="M1982" s="71" t="s">
        <v>141</v>
      </c>
      <c r="N1982" s="69" t="e" vm="1">
        <v>#VALUE!</v>
      </c>
      <c r="O1982" s="164">
        <v>42937</v>
      </c>
      <c r="P1982" s="72" t="s">
        <v>402</v>
      </c>
      <c r="Q1982" s="72"/>
      <c r="R1982" s="162"/>
      <c r="S1982" s="146"/>
      <c r="T1982" s="68" t="s">
        <v>165</v>
      </c>
      <c r="U1982" s="87"/>
      <c r="V1982" s="183">
        <v>42941</v>
      </c>
      <c r="W1982" s="73">
        <v>481</v>
      </c>
      <c r="X1982" s="73">
        <f>450*26635.18/1000000</f>
        <v>11.985830999999999</v>
      </c>
      <c r="Y1982" s="83">
        <f>IF(SUM(W1982:W1982)&gt;0,X1982/SUM(W1982:W1982)*1000000,"N/A")</f>
        <v>24918.567567567567</v>
      </c>
      <c r="Z1982" s="183"/>
      <c r="AA1982" s="183"/>
      <c r="AB1982" s="73"/>
      <c r="AC1982" s="153"/>
      <c r="AD1982" s="331"/>
      <c r="AE1982" s="57"/>
      <c r="AF1982" s="88"/>
      <c r="AG1982" s="182">
        <f>YEAR(D1982)</f>
        <v>2017</v>
      </c>
      <c r="AH1982" s="86" t="str">
        <f>+IF(AE1982=$AJ$22,MONTH(T1982),"")</f>
        <v/>
      </c>
      <c r="AI1982" s="86" t="str">
        <f>+IF(AF1982=$AJ$22,MONTH(U1982),"")</f>
        <v/>
      </c>
      <c r="AJ1982" s="86" t="str">
        <f>+IF(AG1982=$AJ$22,MONTH(V1982),"")</f>
        <v/>
      </c>
      <c r="AK1982" s="86" t="str">
        <f>+IF(AG1982=$AK$22,MONTH(V1982),"")</f>
        <v/>
      </c>
      <c r="AL1982" s="86" t="str">
        <f>+IF(AG1982=$AL$22,MONTH(V1982),"")</f>
        <v/>
      </c>
      <c r="AM1982" s="86" t="str">
        <f>+IF($AG1982=$AM$22,MONTH($D1982),"")</f>
        <v/>
      </c>
      <c r="AN1982" s="89" t="str">
        <f>+IF($AG1982=AN$22,MONTH($D1982),"")</f>
        <v/>
      </c>
      <c r="AO1982" s="86" t="str">
        <f>+IF($AG1982=AO$22,MONTH($D1982),"")</f>
        <v/>
      </c>
      <c r="AP1982" s="86" t="str">
        <f>+IF($AG1982=AP$22,MONTH($D1982),"")</f>
        <v/>
      </c>
      <c r="AQ1982" s="86">
        <f>+IF($AG1982=AQ$22,MONTH($D1982),"")</f>
        <v>7</v>
      </c>
      <c r="AR1982" s="86" t="str">
        <f>+IF($AG1982=AR$22,MONTH($D1982),"")</f>
        <v/>
      </c>
      <c r="AS1982" s="86" t="str">
        <f>+IF($AG1982=AS$22,MONTH($D1982),"")</f>
        <v/>
      </c>
      <c r="AT1982" s="86" t="str">
        <f>+IF($AG1982=AT$22,MONTH($D1982),"")</f>
        <v/>
      </c>
      <c r="AU1982" s="86" t="str">
        <f>+IF($AG1982=AU$22,MONTH($D1982),"")</f>
        <v/>
      </c>
      <c r="AV1982" s="86" t="str">
        <f>+IF($AG1982=AV$22,MONTH($D1982),"")</f>
        <v/>
      </c>
      <c r="AW1982" s="86" t="str">
        <f>+IF($AG1982=AW$22,MONTH($D1982),"")</f>
        <v/>
      </c>
      <c r="AX1982" s="86" t="str">
        <f>+IF($AG1982=AX$22,MONTH($D1982),"")</f>
        <v/>
      </c>
      <c r="AY1982" s="89"/>
      <c r="AZ1982" s="89"/>
      <c r="BA1982" s="89"/>
      <c r="BB1982" s="89"/>
      <c r="BC1982" s="89"/>
      <c r="BD1982" s="89"/>
      <c r="BE1982" s="89"/>
      <c r="BF1982" s="89"/>
      <c r="BG1982" s="89"/>
      <c r="BH1982" s="89"/>
      <c r="BI1982" s="89"/>
      <c r="BJ1982" s="89"/>
      <c r="BK1982" s="89"/>
      <c r="BL1982" s="89"/>
      <c r="BM1982" s="89"/>
      <c r="BN1982" s="89"/>
      <c r="BO1982" s="89"/>
      <c r="BP1982" s="89"/>
    </row>
    <row r="1983" spans="1:68" s="56" customFormat="1" ht="13.5" hidden="1">
      <c r="A1983" s="204">
        <f>+IFERROR(VALUE(MID(AB1983,4,4)),"")</f>
        <v>169</v>
      </c>
      <c r="B1983" s="204">
        <f>VALUE(RIGHT(C1983,LEN(C1983)-2))</f>
        <v>742</v>
      </c>
      <c r="C1983" s="74" t="s">
        <v>6890</v>
      </c>
      <c r="D1983" s="75">
        <v>42933</v>
      </c>
      <c r="E1983" s="70" t="s">
        <v>53</v>
      </c>
      <c r="F1983" s="70" t="s">
        <v>460</v>
      </c>
      <c r="G1983" s="68" t="s">
        <v>6786</v>
      </c>
      <c r="H1983" s="59"/>
      <c r="I1983" s="162" t="s">
        <v>6891</v>
      </c>
      <c r="J1983" s="162"/>
      <c r="K1983" s="68"/>
      <c r="L1983" s="69" t="s">
        <v>120</v>
      </c>
      <c r="M1983" s="71" t="s">
        <v>141</v>
      </c>
      <c r="N1983" s="69" t="e" vm="1">
        <v>#VALUE!</v>
      </c>
      <c r="O1983" s="164">
        <v>42933</v>
      </c>
      <c r="P1983" s="72" t="s">
        <v>4567</v>
      </c>
      <c r="Q1983" s="72" t="s">
        <v>316</v>
      </c>
      <c r="R1983" s="162"/>
      <c r="S1983" s="146"/>
      <c r="T1983" s="68" t="s">
        <v>3</v>
      </c>
      <c r="U1983" s="87"/>
      <c r="V1983" s="183">
        <v>42941</v>
      </c>
      <c r="W1983" s="73">
        <v>175</v>
      </c>
      <c r="X1983" s="73">
        <v>3.8182610000000001</v>
      </c>
      <c r="Y1983" s="83">
        <f>IF(SUM(W1983:W1983)&gt;0,X1983/SUM(W1983:W1983)*1000000,"N/A")</f>
        <v>21818.634285714284</v>
      </c>
      <c r="Z1983" s="183"/>
      <c r="AA1983" s="183"/>
      <c r="AB1983" s="73" t="s">
        <v>6892</v>
      </c>
      <c r="AC1983" s="153"/>
      <c r="AD1983" s="331"/>
      <c r="AE1983" s="57"/>
      <c r="AF1983" s="88"/>
      <c r="AG1983" s="182">
        <f>YEAR(D1983)</f>
        <v>2017</v>
      </c>
      <c r="AH1983" s="86" t="str">
        <f>+IF(AE1983=$AJ$22,MONTH(T1983),"")</f>
        <v/>
      </c>
      <c r="AI1983" s="86" t="str">
        <f>+IF(AF1983=$AJ$22,MONTH(U1983),"")</f>
        <v/>
      </c>
      <c r="AJ1983" s="86" t="str">
        <f>+IF(AG1983=$AJ$22,MONTH(V1983),"")</f>
        <v/>
      </c>
      <c r="AK1983" s="86" t="str">
        <f>+IF(AG1983=$AK$22,MONTH(V1983),"")</f>
        <v/>
      </c>
      <c r="AL1983" s="86" t="str">
        <f>+IF(AG1983=$AL$22,MONTH(V1983),"")</f>
        <v/>
      </c>
      <c r="AM1983" s="86" t="str">
        <f>+IF($AG1983=$AM$22,MONTH($D1983),"")</f>
        <v/>
      </c>
      <c r="AN1983" s="89" t="str">
        <f>+IF($AG1983=AN$22,MONTH($D1983),"")</f>
        <v/>
      </c>
      <c r="AO1983" s="86" t="str">
        <f>+IF($AG1983=AO$22,MONTH($D1983),"")</f>
        <v/>
      </c>
      <c r="AP1983" s="86" t="str">
        <f>+IF($AG1983=AP$22,MONTH($D1983),"")</f>
        <v/>
      </c>
      <c r="AQ1983" s="86">
        <f>+IF($AG1983=AQ$22,MONTH($D1983),"")</f>
        <v>7</v>
      </c>
      <c r="AR1983" s="86" t="str">
        <f>+IF($AG1983=AR$22,MONTH($D1983),"")</f>
        <v/>
      </c>
      <c r="AS1983" s="86" t="str">
        <f>+IF($AG1983=AS$22,MONTH($D1983),"")</f>
        <v/>
      </c>
      <c r="AT1983" s="86" t="str">
        <f>+IF($AG1983=AT$22,MONTH($D1983),"")</f>
        <v/>
      </c>
      <c r="AU1983" s="86" t="str">
        <f>+IF($AG1983=AU$22,MONTH($D1983),"")</f>
        <v/>
      </c>
      <c r="AV1983" s="86" t="str">
        <f>+IF($AG1983=AV$22,MONTH($D1983),"")</f>
        <v/>
      </c>
      <c r="AW1983" s="86" t="str">
        <f>+IF($AG1983=AW$22,MONTH($D1983),"")</f>
        <v/>
      </c>
      <c r="AX1983" s="86" t="str">
        <f>+IF($AG1983=AX$22,MONTH($D1983),"")</f>
        <v/>
      </c>
      <c r="AY1983" s="89"/>
      <c r="AZ1983" s="89"/>
      <c r="BA1983" s="89"/>
      <c r="BB1983" s="89"/>
      <c r="BC1983" s="89"/>
      <c r="BD1983" s="89"/>
      <c r="BE1983" s="89"/>
      <c r="BF1983" s="89"/>
      <c r="BG1983" s="89"/>
      <c r="BH1983" s="89"/>
      <c r="BI1983" s="89"/>
      <c r="BJ1983" s="89"/>
      <c r="BK1983" s="89"/>
      <c r="BL1983" s="89"/>
      <c r="BM1983" s="89"/>
      <c r="BN1983" s="89"/>
      <c r="BO1983" s="89"/>
      <c r="BP1983" s="89"/>
    </row>
    <row r="1984" spans="1:68" s="56" customFormat="1" ht="13.5" hidden="1">
      <c r="A1984" s="204" t="str">
        <f>+IFERROR(VALUE(MID(AB1984,4,4)),"")</f>
        <v/>
      </c>
      <c r="B1984" s="204">
        <f>VALUE(RIGHT(C1984,LEN(C1984)-2))</f>
        <v>741</v>
      </c>
      <c r="C1984" s="74" t="s">
        <v>6893</v>
      </c>
      <c r="D1984" s="75">
        <v>42933</v>
      </c>
      <c r="E1984" s="70" t="s">
        <v>106</v>
      </c>
      <c r="F1984" s="70" t="s">
        <v>106</v>
      </c>
      <c r="G1984" s="68" t="s">
        <v>6744</v>
      </c>
      <c r="H1984" s="60"/>
      <c r="I1984" s="162" t="s">
        <v>6894</v>
      </c>
      <c r="J1984" s="162"/>
      <c r="K1984" s="68" t="s">
        <v>13</v>
      </c>
      <c r="L1984" s="69" t="s">
        <v>120</v>
      </c>
      <c r="M1984" s="71" t="s">
        <v>141</v>
      </c>
      <c r="N1984" s="69" t="e" vm="1">
        <v>#VALUE!</v>
      </c>
      <c r="O1984" s="164"/>
      <c r="P1984" s="72" t="s">
        <v>4567</v>
      </c>
      <c r="Q1984" s="72"/>
      <c r="R1984" s="162"/>
      <c r="S1984" s="146"/>
      <c r="T1984" s="68" t="s">
        <v>155</v>
      </c>
      <c r="U1984" s="87"/>
      <c r="V1984" s="183">
        <v>42941</v>
      </c>
      <c r="W1984" s="73"/>
      <c r="X1984" s="73"/>
      <c r="Y1984" s="83"/>
      <c r="Z1984" s="183"/>
      <c r="AA1984" s="183"/>
      <c r="AB1984" s="73"/>
      <c r="AC1984" s="153"/>
      <c r="AD1984" s="331"/>
      <c r="AE1984" s="57"/>
      <c r="AF1984" s="88"/>
      <c r="AG1984" s="182">
        <f>YEAR(D1984)</f>
        <v>2017</v>
      </c>
      <c r="AH1984" s="86" t="str">
        <f>+IF(AE1984=$AJ$22,MONTH(T1984),"")</f>
        <v/>
      </c>
      <c r="AI1984" s="86" t="str">
        <f>+IF(AF1984=$AJ$22,MONTH(U1984),"")</f>
        <v/>
      </c>
      <c r="AJ1984" s="86" t="str">
        <f>+IF(AG1984=$AJ$22,MONTH(V1984),"")</f>
        <v/>
      </c>
      <c r="AK1984" s="86" t="str">
        <f>+IF(AG1984=$AK$22,MONTH(V1984),"")</f>
        <v/>
      </c>
      <c r="AL1984" s="86" t="str">
        <f>+IF(AG1984=$AL$22,MONTH(V1984),"")</f>
        <v/>
      </c>
      <c r="AM1984" s="86" t="str">
        <f>+IF($AG1984=$AM$22,MONTH($D1984),"")</f>
        <v/>
      </c>
      <c r="AN1984" s="89" t="str">
        <f>+IF($AG1984=AN$22,MONTH($D1984),"")</f>
        <v/>
      </c>
      <c r="AO1984" s="86" t="str">
        <f>+IF($AG1984=AO$22,MONTH($D1984),"")</f>
        <v/>
      </c>
      <c r="AP1984" s="86" t="str">
        <f>+IF($AG1984=AP$22,MONTH($D1984),"")</f>
        <v/>
      </c>
      <c r="AQ1984" s="86">
        <f>+IF($AG1984=AQ$22,MONTH($D1984),"")</f>
        <v>7</v>
      </c>
      <c r="AR1984" s="86" t="str">
        <f>+IF($AG1984=AR$22,MONTH($D1984),"")</f>
        <v/>
      </c>
      <c r="AS1984" s="86" t="str">
        <f>+IF($AG1984=AS$22,MONTH($D1984),"")</f>
        <v/>
      </c>
      <c r="AT1984" s="86" t="str">
        <f>+IF($AG1984=AT$22,MONTH($D1984),"")</f>
        <v/>
      </c>
      <c r="AU1984" s="86" t="str">
        <f>+IF($AG1984=AU$22,MONTH($D1984),"")</f>
        <v/>
      </c>
      <c r="AV1984" s="86" t="str">
        <f>+IF($AG1984=AV$22,MONTH($D1984),"")</f>
        <v/>
      </c>
      <c r="AW1984" s="86" t="str">
        <f>+IF($AG1984=AW$22,MONTH($D1984),"")</f>
        <v/>
      </c>
      <c r="AX1984" s="86" t="str">
        <f>+IF($AG1984=AX$22,MONTH($D1984),"")</f>
        <v/>
      </c>
      <c r="AY1984" s="89"/>
      <c r="AZ1984" s="89"/>
      <c r="BA1984" s="89"/>
      <c r="BB1984" s="89"/>
      <c r="BC1984" s="89"/>
      <c r="BD1984" s="89"/>
      <c r="BE1984" s="89"/>
      <c r="BF1984" s="89"/>
      <c r="BG1984" s="89"/>
      <c r="BH1984" s="89"/>
      <c r="BI1984" s="89"/>
      <c r="BJ1984" s="89"/>
      <c r="BK1984" s="89"/>
      <c r="BL1984" s="89"/>
      <c r="BM1984" s="89"/>
      <c r="BN1984" s="89"/>
      <c r="BO1984" s="89"/>
      <c r="BP1984" s="89"/>
    </row>
    <row r="1985" spans="1:68" s="56" customFormat="1" ht="27" hidden="1">
      <c r="A1985" s="204" t="str">
        <f>+IFERROR(VALUE(MID(AB1985,4,4)),"")</f>
        <v/>
      </c>
      <c r="B1985" s="204">
        <f>VALUE(RIGHT(C1985,LEN(C1985)-2))</f>
        <v>740</v>
      </c>
      <c r="C1985" s="74" t="s">
        <v>6895</v>
      </c>
      <c r="D1985" s="75">
        <v>42923</v>
      </c>
      <c r="E1985" s="70" t="s">
        <v>67</v>
      </c>
      <c r="F1985" s="70" t="s">
        <v>67</v>
      </c>
      <c r="G1985" s="68" t="s">
        <v>6896</v>
      </c>
      <c r="H1985" s="60"/>
      <c r="I1985" s="162" t="s">
        <v>6897</v>
      </c>
      <c r="J1985" s="162"/>
      <c r="K1985" s="68" t="s">
        <v>12</v>
      </c>
      <c r="L1985" s="69" t="s">
        <v>123</v>
      </c>
      <c r="M1985" s="71" t="s">
        <v>141</v>
      </c>
      <c r="N1985" s="69" t="e" vm="1">
        <v>#VALUE!</v>
      </c>
      <c r="O1985" s="164">
        <v>42958</v>
      </c>
      <c r="P1985" s="72" t="s">
        <v>402</v>
      </c>
      <c r="Q1985" s="72"/>
      <c r="R1985" s="162"/>
      <c r="S1985" s="146" t="s">
        <v>6898</v>
      </c>
      <c r="T1985" s="68" t="s">
        <v>165</v>
      </c>
      <c r="U1985" s="87">
        <v>0.1</v>
      </c>
      <c r="V1985" s="183">
        <v>42941</v>
      </c>
      <c r="W1985" s="73">
        <v>2112</v>
      </c>
      <c r="X1985" s="73">
        <f>2934.4*26600/1000000</f>
        <v>78.055040000000005</v>
      </c>
      <c r="Y1985" s="83">
        <f>IF(SUM(W1985:W1985)&gt;0,X1985/SUM(W1985:W1985)*1000000,"N/A")</f>
        <v>36957.878787878792</v>
      </c>
      <c r="Z1985" s="183"/>
      <c r="AA1985" s="183"/>
      <c r="AB1985" s="73"/>
      <c r="AC1985" s="153"/>
      <c r="AD1985" s="331"/>
      <c r="AE1985" s="57"/>
      <c r="AF1985" s="88"/>
      <c r="AG1985" s="182">
        <f>YEAR(D1985)</f>
        <v>2017</v>
      </c>
      <c r="AH1985" s="86" t="str">
        <f>+IF(AE1985=$AJ$22,MONTH(T1985),"")</f>
        <v/>
      </c>
      <c r="AI1985" s="86" t="str">
        <f>+IF(AF1985=$AJ$22,MONTH(U1985),"")</f>
        <v/>
      </c>
      <c r="AJ1985" s="86" t="str">
        <f>+IF(AG1985=$AJ$22,MONTH(V1985),"")</f>
        <v/>
      </c>
      <c r="AK1985" s="86" t="str">
        <f>+IF(AG1985=$AK$22,MONTH(V1985),"")</f>
        <v/>
      </c>
      <c r="AL1985" s="86" t="str">
        <f>+IF(AG1985=$AL$22,MONTH(V1985),"")</f>
        <v/>
      </c>
      <c r="AM1985" s="86" t="str">
        <f>+IF($AG1985=$AM$22,MONTH($D1985),"")</f>
        <v/>
      </c>
      <c r="AN1985" s="89" t="str">
        <f>+IF($AG1985=AN$22,MONTH($D1985),"")</f>
        <v/>
      </c>
      <c r="AO1985" s="86" t="str">
        <f>+IF($AG1985=AO$22,MONTH($D1985),"")</f>
        <v/>
      </c>
      <c r="AP1985" s="86" t="str">
        <f>+IF($AG1985=AP$22,MONTH($D1985),"")</f>
        <v/>
      </c>
      <c r="AQ1985" s="86">
        <f>+IF($AG1985=AQ$22,MONTH($D1985),"")</f>
        <v>7</v>
      </c>
      <c r="AR1985" s="86" t="str">
        <f>+IF($AG1985=AR$22,MONTH($D1985),"")</f>
        <v/>
      </c>
      <c r="AS1985" s="86" t="str">
        <f>+IF($AG1985=AS$22,MONTH($D1985),"")</f>
        <v/>
      </c>
      <c r="AT1985" s="86" t="str">
        <f>+IF($AG1985=AT$22,MONTH($D1985),"")</f>
        <v/>
      </c>
      <c r="AU1985" s="86" t="str">
        <f>+IF($AG1985=AU$22,MONTH($D1985),"")</f>
        <v/>
      </c>
      <c r="AV1985" s="86" t="str">
        <f>+IF($AG1985=AV$22,MONTH($D1985),"")</f>
        <v/>
      </c>
      <c r="AW1985" s="86" t="str">
        <f>+IF($AG1985=AW$22,MONTH($D1985),"")</f>
        <v/>
      </c>
      <c r="AX1985" s="86" t="str">
        <f>+IF($AG1985=AX$22,MONTH($D1985),"")</f>
        <v/>
      </c>
      <c r="AY1985" s="182"/>
      <c r="AZ1985" s="182"/>
      <c r="BA1985" s="182"/>
      <c r="BB1985" s="182"/>
      <c r="BC1985" s="182"/>
      <c r="BD1985" s="182"/>
      <c r="BE1985" s="182"/>
      <c r="BF1985" s="182"/>
      <c r="BG1985" s="182"/>
      <c r="BH1985" s="182"/>
      <c r="BI1985" s="182"/>
      <c r="BJ1985" s="89"/>
      <c r="BK1985" s="89"/>
      <c r="BL1985" s="89"/>
      <c r="BM1985" s="89"/>
      <c r="BN1985" s="89"/>
      <c r="BO1985" s="89"/>
      <c r="BP1985" s="89"/>
    </row>
    <row r="1986" spans="1:68" s="56" customFormat="1" ht="13.5" hidden="1">
      <c r="A1986" s="204">
        <f>+IFERROR(VALUE(MID(AB1986,4,4)),"")</f>
        <v>172</v>
      </c>
      <c r="B1986" s="204">
        <f>VALUE(RIGHT(C1986,LEN(C1986)-2))</f>
        <v>739</v>
      </c>
      <c r="C1986" s="74" t="s">
        <v>6899</v>
      </c>
      <c r="D1986" s="75">
        <v>42928</v>
      </c>
      <c r="E1986" s="70" t="s">
        <v>685</v>
      </c>
      <c r="F1986" s="70" t="s">
        <v>685</v>
      </c>
      <c r="G1986" s="68" t="s">
        <v>6900</v>
      </c>
      <c r="H1986" s="59"/>
      <c r="I1986" s="162" t="s">
        <v>6901</v>
      </c>
      <c r="J1986" s="162"/>
      <c r="K1986" s="68" t="s">
        <v>11</v>
      </c>
      <c r="L1986" s="69" t="s">
        <v>123</v>
      </c>
      <c r="M1986" s="71" t="s">
        <v>141</v>
      </c>
      <c r="N1986" s="69" t="e" vm="1">
        <v>#VALUE!</v>
      </c>
      <c r="O1986" s="164">
        <v>42957</v>
      </c>
      <c r="P1986" s="72" t="s">
        <v>666</v>
      </c>
      <c r="Q1986" s="72" t="s">
        <v>316</v>
      </c>
      <c r="R1986" s="162"/>
      <c r="S1986" s="146" t="s">
        <v>6902</v>
      </c>
      <c r="T1986" s="68" t="s">
        <v>3</v>
      </c>
      <c r="U1986" s="87"/>
      <c r="V1986" s="183">
        <v>42969</v>
      </c>
      <c r="W1986" s="73">
        <v>1934</v>
      </c>
      <c r="X1986" s="73">
        <v>54.418964000000003</v>
      </c>
      <c r="Y1986" s="83">
        <f>IF(SUM(W1986:W1986)&gt;0,X1986/SUM(W1986:W1986)*1000000,"N/A")</f>
        <v>28138.037228541885</v>
      </c>
      <c r="Z1986" s="183"/>
      <c r="AA1986" s="183"/>
      <c r="AB1986" s="73" t="s">
        <v>6903</v>
      </c>
      <c r="AC1986" s="153"/>
      <c r="AD1986" s="331"/>
      <c r="AE1986" s="57"/>
      <c r="AF1986" s="88"/>
      <c r="AG1986" s="182">
        <f>YEAR(D1986)</f>
        <v>2017</v>
      </c>
      <c r="AH1986" s="86" t="str">
        <f>+IF(AE1986=$AJ$22,MONTH(T1986),"")</f>
        <v/>
      </c>
      <c r="AI1986" s="86" t="str">
        <f>+IF(AF1986=$AJ$22,MONTH(U1986),"")</f>
        <v/>
      </c>
      <c r="AJ1986" s="86" t="str">
        <f>+IF(AG1986=$AJ$22,MONTH(V1986),"")</f>
        <v/>
      </c>
      <c r="AK1986" s="86" t="str">
        <f>+IF(AG1986=$AK$22,MONTH(V1986),"")</f>
        <v/>
      </c>
      <c r="AL1986" s="86" t="str">
        <f>+IF(AG1986=$AL$22,MONTH(V1986),"")</f>
        <v/>
      </c>
      <c r="AM1986" s="86" t="str">
        <f>+IF($AG1986=$AM$22,MONTH($D1986),"")</f>
        <v/>
      </c>
      <c r="AN1986" s="89" t="str">
        <f>+IF($AG1986=AN$22,MONTH($D1986),"")</f>
        <v/>
      </c>
      <c r="AO1986" s="86" t="str">
        <f>+IF($AG1986=AO$22,MONTH($D1986),"")</f>
        <v/>
      </c>
      <c r="AP1986" s="86" t="str">
        <f>+IF($AG1986=AP$22,MONTH($D1986),"")</f>
        <v/>
      </c>
      <c r="AQ1986" s="86">
        <f>+IF($AG1986=AQ$22,MONTH($D1986),"")</f>
        <v>7</v>
      </c>
      <c r="AR1986" s="86" t="str">
        <f>+IF($AG1986=AR$22,MONTH($D1986),"")</f>
        <v/>
      </c>
      <c r="AS1986" s="86" t="str">
        <f>+IF($AG1986=AS$22,MONTH($D1986),"")</f>
        <v/>
      </c>
      <c r="AT1986" s="86" t="str">
        <f>+IF($AG1986=AT$22,MONTH($D1986),"")</f>
        <v/>
      </c>
      <c r="AU1986" s="86" t="str">
        <f>+IF($AG1986=AU$22,MONTH($D1986),"")</f>
        <v/>
      </c>
      <c r="AV1986" s="86" t="str">
        <f>+IF($AG1986=AV$22,MONTH($D1986),"")</f>
        <v/>
      </c>
      <c r="AW1986" s="86" t="str">
        <f>+IF($AG1986=AW$22,MONTH($D1986),"")</f>
        <v/>
      </c>
      <c r="AX1986" s="86" t="str">
        <f>+IF($AG1986=AX$22,MONTH($D1986),"")</f>
        <v/>
      </c>
      <c r="AY1986" s="89"/>
      <c r="AZ1986" s="89"/>
      <c r="BA1986" s="89"/>
      <c r="BB1986" s="89"/>
      <c r="BC1986" s="89"/>
      <c r="BD1986" s="89"/>
      <c r="BE1986" s="89"/>
      <c r="BF1986" s="89"/>
      <c r="BG1986" s="89"/>
      <c r="BH1986" s="89"/>
      <c r="BI1986" s="89"/>
      <c r="BJ1986" s="89"/>
      <c r="BK1986" s="89"/>
      <c r="BL1986" s="89"/>
      <c r="BM1986" s="89"/>
      <c r="BN1986" s="89"/>
      <c r="BO1986" s="89"/>
      <c r="BP1986" s="89"/>
    </row>
    <row r="1987" spans="1:68" s="56" customFormat="1" ht="67.5" hidden="1">
      <c r="A1987" s="204" t="str">
        <f>+IFERROR(VALUE(MID(AB1987,4,4)),"")</f>
        <v/>
      </c>
      <c r="B1987" s="204">
        <f>VALUE(RIGHT(C1987,LEN(C1987)-2))</f>
        <v>738</v>
      </c>
      <c r="C1987" s="74" t="s">
        <v>6904</v>
      </c>
      <c r="D1987" s="75">
        <v>42929</v>
      </c>
      <c r="E1987" s="70" t="s">
        <v>53</v>
      </c>
      <c r="F1987" s="70" t="s">
        <v>313</v>
      </c>
      <c r="G1987" s="68"/>
      <c r="H1987" s="59"/>
      <c r="I1987" s="162" t="s">
        <v>6905</v>
      </c>
      <c r="J1987" s="162"/>
      <c r="K1987" s="68" t="s">
        <v>212</v>
      </c>
      <c r="L1987" s="69" t="s">
        <v>123</v>
      </c>
      <c r="M1987" s="71" t="s">
        <v>141</v>
      </c>
      <c r="N1987" s="69" t="e" vm="1">
        <v>#VALUE!</v>
      </c>
      <c r="O1987" s="164"/>
      <c r="P1987" s="72" t="s">
        <v>402</v>
      </c>
      <c r="Q1987" s="72"/>
      <c r="R1987" s="162"/>
      <c r="S1987" s="146" t="s">
        <v>6906</v>
      </c>
      <c r="T1987" s="68" t="s">
        <v>165</v>
      </c>
      <c r="U1987" s="87"/>
      <c r="V1987" s="183"/>
      <c r="W1987" s="73">
        <v>1</v>
      </c>
      <c r="X1987" s="73"/>
      <c r="Y1987" s="83">
        <f>IF(SUM(W1987:W1987)&gt;0,X1987/SUM(W1987:W1987)*1000000,"N/A")</f>
        <v>0</v>
      </c>
      <c r="Z1987" s="183"/>
      <c r="AA1987" s="183"/>
      <c r="AB1987" s="73"/>
      <c r="AC1987" s="153"/>
      <c r="AD1987" s="331"/>
      <c r="AE1987" s="57"/>
      <c r="AF1987" s="88"/>
      <c r="AG1987" s="182">
        <f>YEAR(D1987)</f>
        <v>2017</v>
      </c>
      <c r="AH1987" s="86" t="str">
        <f>+IF(AE1987=$AJ$22,MONTH(T1987),"")</f>
        <v/>
      </c>
      <c r="AI1987" s="86" t="str">
        <f>+IF(AF1987=$AJ$22,MONTH(U1987),"")</f>
        <v/>
      </c>
      <c r="AJ1987" s="86" t="str">
        <f>+IF(AG1987=$AJ$22,MONTH(V1987),"")</f>
        <v/>
      </c>
      <c r="AK1987" s="86" t="str">
        <f>+IF(AG1987=$AK$22,MONTH(V1987),"")</f>
        <v/>
      </c>
      <c r="AL1987" s="86" t="str">
        <f>+IF(AG1987=$AL$22,MONTH(V1987),"")</f>
        <v/>
      </c>
      <c r="AM1987" s="86" t="str">
        <f>+IF($AG1987=$AM$22,MONTH($D1987),"")</f>
        <v/>
      </c>
      <c r="AN1987" s="89" t="str">
        <f>+IF($AG1987=AN$22,MONTH($D1987),"")</f>
        <v/>
      </c>
      <c r="AO1987" s="86" t="str">
        <f>+IF($AG1987=AO$22,MONTH($D1987),"")</f>
        <v/>
      </c>
      <c r="AP1987" s="86" t="str">
        <f>+IF($AG1987=AP$22,MONTH($D1987),"")</f>
        <v/>
      </c>
      <c r="AQ1987" s="86">
        <f>+IF($AG1987=AQ$22,MONTH($D1987),"")</f>
        <v>7</v>
      </c>
      <c r="AR1987" s="86" t="str">
        <f>+IF($AG1987=AR$22,MONTH($D1987),"")</f>
        <v/>
      </c>
      <c r="AS1987" s="86" t="str">
        <f>+IF($AG1987=AS$22,MONTH($D1987),"")</f>
        <v/>
      </c>
      <c r="AT1987" s="86" t="str">
        <f>+IF($AG1987=AT$22,MONTH($D1987),"")</f>
        <v/>
      </c>
      <c r="AU1987" s="86" t="str">
        <f>+IF($AG1987=AU$22,MONTH($D1987),"")</f>
        <v/>
      </c>
      <c r="AV1987" s="86" t="str">
        <f>+IF($AG1987=AV$22,MONTH($D1987),"")</f>
        <v/>
      </c>
      <c r="AW1987" s="86" t="str">
        <f>+IF($AG1987=AW$22,MONTH($D1987),"")</f>
        <v/>
      </c>
      <c r="AX1987" s="86" t="str">
        <f>+IF($AG1987=AX$22,MONTH($D1987),"")</f>
        <v/>
      </c>
      <c r="AY1987" s="89"/>
      <c r="AZ1987" s="89"/>
      <c r="BA1987" s="89"/>
      <c r="BB1987" s="89"/>
      <c r="BC1987" s="89"/>
      <c r="BD1987" s="89"/>
      <c r="BE1987" s="89"/>
      <c r="BF1987" s="89"/>
      <c r="BG1987" s="89"/>
      <c r="BH1987" s="89"/>
      <c r="BI1987" s="89"/>
      <c r="BJ1987" s="89"/>
      <c r="BK1987" s="89"/>
      <c r="BL1987" s="89"/>
      <c r="BM1987" s="89"/>
      <c r="BN1987" s="89"/>
      <c r="BO1987" s="89"/>
      <c r="BP1987" s="89"/>
    </row>
    <row r="1988" spans="1:68" s="56" customFormat="1" ht="27" hidden="1">
      <c r="A1988" s="204" t="str">
        <f>+IFERROR(VALUE(MID(AB1988,4,4)),"")</f>
        <v/>
      </c>
      <c r="B1988" s="204">
        <f>VALUE(RIGHT(C1988,LEN(C1988)-2))</f>
        <v>737</v>
      </c>
      <c r="C1988" s="74" t="s">
        <v>6907</v>
      </c>
      <c r="D1988" s="75">
        <v>42927</v>
      </c>
      <c r="E1988" s="70" t="s">
        <v>332</v>
      </c>
      <c r="F1988" s="70" t="s">
        <v>332</v>
      </c>
      <c r="G1988" s="68" t="s">
        <v>6764</v>
      </c>
      <c r="H1988" s="59"/>
      <c r="I1988" s="162" t="s">
        <v>6908</v>
      </c>
      <c r="J1988" s="162"/>
      <c r="K1988" s="68" t="s">
        <v>11</v>
      </c>
      <c r="L1988" s="69" t="s">
        <v>123</v>
      </c>
      <c r="M1988" s="71" t="s">
        <v>141</v>
      </c>
      <c r="N1988" s="69" t="e" vm="1">
        <v>#VALUE!</v>
      </c>
      <c r="O1988" s="164">
        <v>42929</v>
      </c>
      <c r="P1988" s="72" t="s">
        <v>402</v>
      </c>
      <c r="Q1988" s="72"/>
      <c r="R1988" s="162"/>
      <c r="S1988" s="146"/>
      <c r="T1988" s="68" t="s">
        <v>165</v>
      </c>
      <c r="U1988" s="87"/>
      <c r="V1988" s="183">
        <v>42941</v>
      </c>
      <c r="W1988" s="73">
        <v>416</v>
      </c>
      <c r="X1988" s="73">
        <f>442*26662.75/1000000</f>
        <v>11.7849355</v>
      </c>
      <c r="Y1988" s="83">
        <f>IF(SUM(W1988:W1988)&gt;0,X1988/SUM(W1988:W1988)*1000000,"N/A")</f>
        <v>28329.171875</v>
      </c>
      <c r="Z1988" s="183"/>
      <c r="AA1988" s="183"/>
      <c r="AB1988" s="73"/>
      <c r="AC1988" s="153"/>
      <c r="AD1988" s="331"/>
      <c r="AE1988" s="57"/>
      <c r="AF1988" s="88"/>
      <c r="AG1988" s="182">
        <f>YEAR(D1988)</f>
        <v>2017</v>
      </c>
      <c r="AH1988" s="86" t="str">
        <f>+IF(AE1988=$AJ$22,MONTH(T1988),"")</f>
        <v/>
      </c>
      <c r="AI1988" s="86" t="str">
        <f>+IF(AF1988=$AJ$22,MONTH(U1988),"")</f>
        <v/>
      </c>
      <c r="AJ1988" s="86" t="str">
        <f>+IF(AG1988=$AJ$22,MONTH(V1988),"")</f>
        <v/>
      </c>
      <c r="AK1988" s="86" t="str">
        <f>+IF(AG1988=$AK$22,MONTH(V1988),"")</f>
        <v/>
      </c>
      <c r="AL1988" s="86" t="str">
        <f>+IF(AG1988=$AL$22,MONTH(V1988),"")</f>
        <v/>
      </c>
      <c r="AM1988" s="86" t="str">
        <f>+IF($AG1988=$AM$22,MONTH($D1988),"")</f>
        <v/>
      </c>
      <c r="AN1988" s="89" t="str">
        <f>+IF($AG1988=AN$22,MONTH($D1988),"")</f>
        <v/>
      </c>
      <c r="AO1988" s="86" t="str">
        <f>+IF($AG1988=AO$22,MONTH($D1988),"")</f>
        <v/>
      </c>
      <c r="AP1988" s="86" t="str">
        <f>+IF($AG1988=AP$22,MONTH($D1988),"")</f>
        <v/>
      </c>
      <c r="AQ1988" s="86">
        <f>+IF($AG1988=AQ$22,MONTH($D1988),"")</f>
        <v>7</v>
      </c>
      <c r="AR1988" s="86" t="str">
        <f>+IF($AG1988=AR$22,MONTH($D1988),"")</f>
        <v/>
      </c>
      <c r="AS1988" s="86" t="str">
        <f>+IF($AG1988=AS$22,MONTH($D1988),"")</f>
        <v/>
      </c>
      <c r="AT1988" s="86" t="str">
        <f>+IF($AG1988=AT$22,MONTH($D1988),"")</f>
        <v/>
      </c>
      <c r="AU1988" s="86" t="str">
        <f>+IF($AG1988=AU$22,MONTH($D1988),"")</f>
        <v/>
      </c>
      <c r="AV1988" s="86" t="str">
        <f>+IF($AG1988=AV$22,MONTH($D1988),"")</f>
        <v/>
      </c>
      <c r="AW1988" s="86" t="str">
        <f>+IF($AG1988=AW$22,MONTH($D1988),"")</f>
        <v/>
      </c>
      <c r="AX1988" s="86" t="str">
        <f>+IF($AG1988=AX$22,MONTH($D1988),"")</f>
        <v/>
      </c>
      <c r="AY1988" s="89"/>
      <c r="AZ1988" s="89"/>
      <c r="BA1988" s="89"/>
      <c r="BB1988" s="89"/>
      <c r="BC1988" s="89"/>
      <c r="BD1988" s="89"/>
      <c r="BE1988" s="89"/>
      <c r="BF1988" s="89"/>
      <c r="BG1988" s="89"/>
      <c r="BH1988" s="89"/>
      <c r="BI1988" s="89"/>
      <c r="BJ1988" s="89"/>
      <c r="BK1988" s="89"/>
      <c r="BL1988" s="89"/>
      <c r="BM1988" s="89"/>
      <c r="BN1988" s="89"/>
      <c r="BO1988" s="89"/>
      <c r="BP1988" s="89"/>
    </row>
    <row r="1989" spans="1:68" s="56" customFormat="1" ht="27" hidden="1">
      <c r="A1989" s="204">
        <f>+IFERROR(VALUE(MID(AB1989,4,4)),"")</f>
        <v>158</v>
      </c>
      <c r="B1989" s="204">
        <f>VALUE(RIGHT(C1989,LEN(C1989)-2))</f>
        <v>736</v>
      </c>
      <c r="C1989" s="74" t="s">
        <v>6909</v>
      </c>
      <c r="D1989" s="75">
        <v>42927</v>
      </c>
      <c r="E1989" s="70" t="s">
        <v>41</v>
      </c>
      <c r="F1989" s="70" t="s">
        <v>41</v>
      </c>
      <c r="G1989" s="68" t="s">
        <v>6764</v>
      </c>
      <c r="H1989" s="59"/>
      <c r="I1989" s="162" t="s">
        <v>6910</v>
      </c>
      <c r="J1989" s="162"/>
      <c r="K1989" s="68" t="s">
        <v>13</v>
      </c>
      <c r="L1989" s="69" t="s">
        <v>123</v>
      </c>
      <c r="M1989" s="71" t="s">
        <v>141</v>
      </c>
      <c r="N1989" s="69" t="e" vm="1">
        <v>#VALUE!</v>
      </c>
      <c r="O1989" s="164">
        <v>42928</v>
      </c>
      <c r="P1989" s="72" t="s">
        <v>402</v>
      </c>
      <c r="Q1989" s="72" t="s">
        <v>229</v>
      </c>
      <c r="R1989" s="162"/>
      <c r="S1989" s="146"/>
      <c r="T1989" s="68" t="s">
        <v>3</v>
      </c>
      <c r="U1989" s="87"/>
      <c r="V1989" s="183">
        <v>42941</v>
      </c>
      <c r="W1989" s="73">
        <v>396</v>
      </c>
      <c r="X1989" s="73">
        <f>400*26659.3/1000000</f>
        <v>10.66372</v>
      </c>
      <c r="Y1989" s="83">
        <f>IF(SUM(W1989:W1989)&gt;0,X1989/SUM(W1989:W1989)*1000000,"N/A")</f>
        <v>26928.585858585855</v>
      </c>
      <c r="Z1989" s="183"/>
      <c r="AA1989" s="183"/>
      <c r="AB1989" s="73" t="s">
        <v>6911</v>
      </c>
      <c r="AC1989" s="153"/>
      <c r="AD1989" s="331"/>
      <c r="AE1989" s="57"/>
      <c r="AF1989" s="88"/>
      <c r="AG1989" s="182">
        <f>YEAR(D1989)</f>
        <v>2017</v>
      </c>
      <c r="AH1989" s="86" t="str">
        <f>+IF(AE1989=$AJ$22,MONTH(T1989),"")</f>
        <v/>
      </c>
      <c r="AI1989" s="86" t="str">
        <f>+IF(AF1989=$AJ$22,MONTH(U1989),"")</f>
        <v/>
      </c>
      <c r="AJ1989" s="86" t="str">
        <f>+IF(AG1989=$AJ$22,MONTH(V1989),"")</f>
        <v/>
      </c>
      <c r="AK1989" s="86" t="str">
        <f>+IF(AG1989=$AK$22,MONTH(V1989),"")</f>
        <v/>
      </c>
      <c r="AL1989" s="86" t="str">
        <f>+IF(AG1989=$AL$22,MONTH(V1989),"")</f>
        <v/>
      </c>
      <c r="AM1989" s="86" t="str">
        <f>+IF($AG1989=$AM$22,MONTH($D1989),"")</f>
        <v/>
      </c>
      <c r="AN1989" s="89" t="str">
        <f>+IF($AG1989=AN$22,MONTH($D1989),"")</f>
        <v/>
      </c>
      <c r="AO1989" s="86" t="str">
        <f>+IF($AG1989=AO$22,MONTH($D1989),"")</f>
        <v/>
      </c>
      <c r="AP1989" s="86" t="str">
        <f>+IF($AG1989=AP$22,MONTH($D1989),"")</f>
        <v/>
      </c>
      <c r="AQ1989" s="86">
        <f>+IF($AG1989=AQ$22,MONTH($D1989),"")</f>
        <v>7</v>
      </c>
      <c r="AR1989" s="86" t="str">
        <f>+IF($AG1989=AR$22,MONTH($D1989),"")</f>
        <v/>
      </c>
      <c r="AS1989" s="86" t="str">
        <f>+IF($AG1989=AS$22,MONTH($D1989),"")</f>
        <v/>
      </c>
      <c r="AT1989" s="86" t="str">
        <f>+IF($AG1989=AT$22,MONTH($D1989),"")</f>
        <v/>
      </c>
      <c r="AU1989" s="86" t="str">
        <f>+IF($AG1989=AU$22,MONTH($D1989),"")</f>
        <v/>
      </c>
      <c r="AV1989" s="86" t="str">
        <f>+IF($AG1989=AV$22,MONTH($D1989),"")</f>
        <v/>
      </c>
      <c r="AW1989" s="86" t="str">
        <f>+IF($AG1989=AW$22,MONTH($D1989),"")</f>
        <v/>
      </c>
      <c r="AX1989" s="86" t="str">
        <f>+IF($AG1989=AX$22,MONTH($D1989),"")</f>
        <v/>
      </c>
      <c r="AY1989" s="89"/>
      <c r="AZ1989" s="89"/>
      <c r="BA1989" s="89"/>
      <c r="BB1989" s="89"/>
      <c r="BC1989" s="89"/>
      <c r="BD1989" s="89"/>
      <c r="BE1989" s="89"/>
      <c r="BF1989" s="89"/>
      <c r="BG1989" s="89"/>
      <c r="BH1989" s="89"/>
      <c r="BI1989" s="89"/>
      <c r="BJ1989" s="89"/>
      <c r="BK1989" s="89"/>
      <c r="BL1989" s="89"/>
      <c r="BM1989" s="89"/>
      <c r="BN1989" s="89"/>
      <c r="BO1989" s="89"/>
      <c r="BP1989" s="89"/>
    </row>
    <row r="1990" spans="1:68" s="56" customFormat="1" ht="13.5" hidden="1">
      <c r="A1990" s="204" t="str">
        <f>+IFERROR(VALUE(MID(AB1990,4,4)),"")</f>
        <v/>
      </c>
      <c r="B1990" s="204">
        <f>VALUE(RIGHT(C1990,LEN(C1990)-2))</f>
        <v>735</v>
      </c>
      <c r="C1990" s="74" t="s">
        <v>6912</v>
      </c>
      <c r="D1990" s="75">
        <v>42924</v>
      </c>
      <c r="E1990" s="70" t="s">
        <v>685</v>
      </c>
      <c r="F1990" s="70" t="s">
        <v>685</v>
      </c>
      <c r="G1990" s="68" t="s">
        <v>6735</v>
      </c>
      <c r="H1990" s="59"/>
      <c r="I1990" s="162" t="s">
        <v>6913</v>
      </c>
      <c r="J1990" s="162"/>
      <c r="K1990" s="68"/>
      <c r="L1990" s="69" t="s">
        <v>120</v>
      </c>
      <c r="M1990" s="71" t="s">
        <v>141</v>
      </c>
      <c r="N1990" s="69" t="e" vm="1">
        <v>#VALUE!</v>
      </c>
      <c r="O1990" s="164">
        <v>42927</v>
      </c>
      <c r="P1990" s="72" t="s">
        <v>402</v>
      </c>
      <c r="Q1990" s="72"/>
      <c r="R1990" s="162"/>
      <c r="S1990" s="146"/>
      <c r="T1990" s="68" t="s">
        <v>165</v>
      </c>
      <c r="U1990" s="87">
        <v>0.1</v>
      </c>
      <c r="V1990" s="183">
        <v>42941</v>
      </c>
      <c r="W1990" s="73">
        <v>705</v>
      </c>
      <c r="X1990" s="73">
        <f>32500*666.53/1000000</f>
        <v>21.662224999999999</v>
      </c>
      <c r="Y1990" s="83">
        <f>IF(SUM(W1990:W1990)&gt;0,X1990/SUM(W1990:W1990)*1000000,"N/A")</f>
        <v>30726.560283687941</v>
      </c>
      <c r="Z1990" s="183"/>
      <c r="AA1990" s="183"/>
      <c r="AB1990" s="73"/>
      <c r="AC1990" s="153"/>
      <c r="AD1990" s="331"/>
      <c r="AE1990" s="57"/>
      <c r="AF1990" s="88"/>
      <c r="AG1990" s="182">
        <f>YEAR(D1990)</f>
        <v>2017</v>
      </c>
      <c r="AH1990" s="86" t="str">
        <f>+IF(AE1990=$AJ$22,MONTH(T1990),"")</f>
        <v/>
      </c>
      <c r="AI1990" s="86" t="str">
        <f>+IF(AF1990=$AJ$22,MONTH(U1990),"")</f>
        <v/>
      </c>
      <c r="AJ1990" s="86" t="str">
        <f>+IF(AG1990=$AJ$22,MONTH(V1990),"")</f>
        <v/>
      </c>
      <c r="AK1990" s="86" t="str">
        <f>+IF(AG1990=$AK$22,MONTH(V1990),"")</f>
        <v/>
      </c>
      <c r="AL1990" s="86" t="str">
        <f>+IF(AG1990=$AL$22,MONTH(V1990),"")</f>
        <v/>
      </c>
      <c r="AM1990" s="86" t="str">
        <f>+IF($AG1990=$AM$22,MONTH($D1990),"")</f>
        <v/>
      </c>
      <c r="AN1990" s="89" t="str">
        <f>+IF($AG1990=AN$22,MONTH($D1990),"")</f>
        <v/>
      </c>
      <c r="AO1990" s="86" t="str">
        <f>+IF($AG1990=AO$22,MONTH($D1990),"")</f>
        <v/>
      </c>
      <c r="AP1990" s="86" t="str">
        <f>+IF($AG1990=AP$22,MONTH($D1990),"")</f>
        <v/>
      </c>
      <c r="AQ1990" s="86">
        <f>+IF($AG1990=AQ$22,MONTH($D1990),"")</f>
        <v>7</v>
      </c>
      <c r="AR1990" s="86" t="str">
        <f>+IF($AG1990=AR$22,MONTH($D1990),"")</f>
        <v/>
      </c>
      <c r="AS1990" s="86" t="str">
        <f>+IF($AG1990=AS$22,MONTH($D1990),"")</f>
        <v/>
      </c>
      <c r="AT1990" s="86" t="str">
        <f>+IF($AG1990=AT$22,MONTH($D1990),"")</f>
        <v/>
      </c>
      <c r="AU1990" s="86" t="str">
        <f>+IF($AG1990=AU$22,MONTH($D1990),"")</f>
        <v/>
      </c>
      <c r="AV1990" s="86" t="str">
        <f>+IF($AG1990=AV$22,MONTH($D1990),"")</f>
        <v/>
      </c>
      <c r="AW1990" s="86" t="str">
        <f>+IF($AG1990=AW$22,MONTH($D1990),"")</f>
        <v/>
      </c>
      <c r="AX1990" s="86" t="str">
        <f>+IF($AG1990=AX$22,MONTH($D1990),"")</f>
        <v/>
      </c>
      <c r="AY1990" s="89"/>
      <c r="AZ1990" s="89"/>
      <c r="BA1990" s="89"/>
      <c r="BB1990" s="89"/>
      <c r="BC1990" s="89"/>
      <c r="BD1990" s="89"/>
      <c r="BE1990" s="89"/>
      <c r="BF1990" s="89"/>
      <c r="BG1990" s="89"/>
      <c r="BH1990" s="89"/>
      <c r="BI1990" s="89"/>
      <c r="BJ1990" s="89"/>
      <c r="BK1990" s="89"/>
      <c r="BL1990" s="89"/>
      <c r="BM1990" s="89"/>
      <c r="BN1990" s="89"/>
      <c r="BO1990" s="89"/>
      <c r="BP1990" s="89"/>
    </row>
    <row r="1991" spans="1:68" s="56" customFormat="1" ht="13.5" hidden="1">
      <c r="A1991" s="204" t="str">
        <f>+IFERROR(VALUE(MID(AB1991,4,4)),"")</f>
        <v/>
      </c>
      <c r="B1991" s="204">
        <f>VALUE(RIGHT(C1991,LEN(C1991)-2))</f>
        <v>734</v>
      </c>
      <c r="C1991" s="74" t="s">
        <v>6914</v>
      </c>
      <c r="D1991" s="75">
        <v>42924</v>
      </c>
      <c r="E1991" s="70" t="s">
        <v>685</v>
      </c>
      <c r="F1991" s="70" t="s">
        <v>685</v>
      </c>
      <c r="G1991" s="68" t="s">
        <v>6735</v>
      </c>
      <c r="H1991" s="59"/>
      <c r="I1991" s="162" t="s">
        <v>6915</v>
      </c>
      <c r="J1991" s="162"/>
      <c r="K1991" s="68" t="s">
        <v>12</v>
      </c>
      <c r="L1991" s="69" t="s">
        <v>120</v>
      </c>
      <c r="M1991" s="71" t="s">
        <v>141</v>
      </c>
      <c r="N1991" s="69" t="e" vm="1">
        <v>#VALUE!</v>
      </c>
      <c r="O1991" s="164"/>
      <c r="P1991" s="72" t="s">
        <v>402</v>
      </c>
      <c r="Q1991" s="72"/>
      <c r="R1991" s="162"/>
      <c r="S1991" s="146"/>
      <c r="T1991" s="68" t="s">
        <v>165</v>
      </c>
      <c r="U1991" s="87">
        <v>0.1</v>
      </c>
      <c r="V1991" s="183">
        <v>42928</v>
      </c>
      <c r="W1991" s="73">
        <v>668</v>
      </c>
      <c r="X1991" s="73">
        <f>37331*670/1000000</f>
        <v>25.011769999999999</v>
      </c>
      <c r="Y1991" s="83">
        <f>IF(SUM(W1991:W1991)&gt;0,X1991/SUM(W1991:W1991)*1000000,"N/A")</f>
        <v>37442.769461077842</v>
      </c>
      <c r="Z1991" s="183"/>
      <c r="AA1991" s="183"/>
      <c r="AB1991" s="73"/>
      <c r="AC1991" s="153"/>
      <c r="AD1991" s="331"/>
      <c r="AE1991" s="57"/>
      <c r="AF1991" s="88"/>
      <c r="AG1991" s="182">
        <f>YEAR(D1991)</f>
        <v>2017</v>
      </c>
      <c r="AH1991" s="86" t="str">
        <f>+IF(AE1991=$AJ$22,MONTH(T1991),"")</f>
        <v/>
      </c>
      <c r="AI1991" s="86" t="str">
        <f>+IF(AF1991=$AJ$22,MONTH(U1991),"")</f>
        <v/>
      </c>
      <c r="AJ1991" s="86" t="str">
        <f>+IF(AG1991=$AJ$22,MONTH(V1991),"")</f>
        <v/>
      </c>
      <c r="AK1991" s="86" t="str">
        <f>+IF(AG1991=$AK$22,MONTH(V1991),"")</f>
        <v/>
      </c>
      <c r="AL1991" s="86" t="str">
        <f>+IF(AG1991=$AL$22,MONTH(V1991),"")</f>
        <v/>
      </c>
      <c r="AM1991" s="86" t="str">
        <f>+IF($AG1991=$AM$22,MONTH($D1991),"")</f>
        <v/>
      </c>
      <c r="AN1991" s="89" t="str">
        <f>+IF($AG1991=AN$22,MONTH($D1991),"")</f>
        <v/>
      </c>
      <c r="AO1991" s="86" t="str">
        <f>+IF($AG1991=AO$22,MONTH($D1991),"")</f>
        <v/>
      </c>
      <c r="AP1991" s="86" t="str">
        <f>+IF($AG1991=AP$22,MONTH($D1991),"")</f>
        <v/>
      </c>
      <c r="AQ1991" s="86">
        <f>+IF($AG1991=AQ$22,MONTH($D1991),"")</f>
        <v>7</v>
      </c>
      <c r="AR1991" s="86" t="str">
        <f>+IF($AG1991=AR$22,MONTH($D1991),"")</f>
        <v/>
      </c>
      <c r="AS1991" s="86" t="str">
        <f>+IF($AG1991=AS$22,MONTH($D1991),"")</f>
        <v/>
      </c>
      <c r="AT1991" s="86" t="str">
        <f>+IF($AG1991=AT$22,MONTH($D1991),"")</f>
        <v/>
      </c>
      <c r="AU1991" s="86" t="str">
        <f>+IF($AG1991=AU$22,MONTH($D1991),"")</f>
        <v/>
      </c>
      <c r="AV1991" s="86" t="str">
        <f>+IF($AG1991=AV$22,MONTH($D1991),"")</f>
        <v/>
      </c>
      <c r="AW1991" s="86" t="str">
        <f>+IF($AG1991=AW$22,MONTH($D1991),"")</f>
        <v/>
      </c>
      <c r="AX1991" s="86" t="str">
        <f>+IF($AG1991=AX$22,MONTH($D1991),"")</f>
        <v/>
      </c>
      <c r="AY1991" s="89"/>
      <c r="AZ1991" s="89"/>
      <c r="BA1991" s="89"/>
      <c r="BB1991" s="89"/>
      <c r="BC1991" s="89"/>
      <c r="BD1991" s="89"/>
      <c r="BE1991" s="89"/>
      <c r="BF1991" s="89"/>
      <c r="BG1991" s="89"/>
      <c r="BH1991" s="89"/>
      <c r="BI1991" s="89"/>
      <c r="BJ1991" s="89"/>
      <c r="BK1991" s="89"/>
      <c r="BL1991" s="89"/>
      <c r="BM1991" s="89"/>
      <c r="BN1991" s="89"/>
      <c r="BO1991" s="89"/>
      <c r="BP1991" s="89"/>
    </row>
    <row r="1992" spans="1:68" s="56" customFormat="1" ht="13.5" hidden="1">
      <c r="A1992" s="204" t="str">
        <f>+IFERROR(VALUE(MID(AB1992,4,4)),"")</f>
        <v/>
      </c>
      <c r="B1992" s="204">
        <f>VALUE(RIGHT(C1992,LEN(C1992)-2))</f>
        <v>733</v>
      </c>
      <c r="C1992" s="74" t="s">
        <v>6916</v>
      </c>
      <c r="D1992" s="75">
        <v>42924</v>
      </c>
      <c r="E1992" s="70" t="s">
        <v>685</v>
      </c>
      <c r="F1992" s="70" t="s">
        <v>685</v>
      </c>
      <c r="G1992" s="68" t="s">
        <v>6735</v>
      </c>
      <c r="H1992" s="59"/>
      <c r="I1992" s="162" t="s">
        <v>6917</v>
      </c>
      <c r="J1992" s="162"/>
      <c r="K1992" s="68" t="s">
        <v>13</v>
      </c>
      <c r="L1992" s="69" t="s">
        <v>120</v>
      </c>
      <c r="M1992" s="71" t="s">
        <v>141</v>
      </c>
      <c r="N1992" s="69" t="e" vm="1">
        <v>#VALUE!</v>
      </c>
      <c r="O1992" s="164"/>
      <c r="P1992" s="72" t="s">
        <v>402</v>
      </c>
      <c r="Q1992" s="72"/>
      <c r="R1992" s="162"/>
      <c r="S1992" s="146"/>
      <c r="T1992" s="68" t="s">
        <v>165</v>
      </c>
      <c r="U1992" s="87"/>
      <c r="V1992" s="183">
        <v>42928</v>
      </c>
      <c r="W1992" s="73">
        <v>533</v>
      </c>
      <c r="X1992" s="73">
        <f>29051*670/1000000</f>
        <v>19.464169999999999</v>
      </c>
      <c r="Y1992" s="83">
        <f>IF(SUM(W1992:W1992)&gt;0,X1992/SUM(W1992:W1992)*1000000,"N/A")</f>
        <v>36518.142589118193</v>
      </c>
      <c r="Z1992" s="183"/>
      <c r="AA1992" s="183"/>
      <c r="AB1992" s="73"/>
      <c r="AC1992" s="153"/>
      <c r="AD1992" s="331"/>
      <c r="AE1992" s="57"/>
      <c r="AF1992" s="88"/>
      <c r="AG1992" s="182">
        <f>YEAR(D1992)</f>
        <v>2017</v>
      </c>
      <c r="AH1992" s="86" t="str">
        <f>+IF(AE1992=$AJ$22,MONTH(T1992),"")</f>
        <v/>
      </c>
      <c r="AI1992" s="86" t="str">
        <f>+IF(AF1992=$AJ$22,MONTH(U1992),"")</f>
        <v/>
      </c>
      <c r="AJ1992" s="86" t="str">
        <f>+IF(AG1992=$AJ$22,MONTH(V1992),"")</f>
        <v/>
      </c>
      <c r="AK1992" s="86" t="str">
        <f>+IF(AG1992=$AK$22,MONTH(V1992),"")</f>
        <v/>
      </c>
      <c r="AL1992" s="86" t="str">
        <f>+IF(AG1992=$AL$22,MONTH(V1992),"")</f>
        <v/>
      </c>
      <c r="AM1992" s="86" t="str">
        <f>+IF($AG1992=$AM$22,MONTH($D1992),"")</f>
        <v/>
      </c>
      <c r="AN1992" s="89" t="str">
        <f>+IF($AG1992=AN$22,MONTH($D1992),"")</f>
        <v/>
      </c>
      <c r="AO1992" s="86" t="str">
        <f>+IF($AG1992=AO$22,MONTH($D1992),"")</f>
        <v/>
      </c>
      <c r="AP1992" s="86" t="str">
        <f>+IF($AG1992=AP$22,MONTH($D1992),"")</f>
        <v/>
      </c>
      <c r="AQ1992" s="86">
        <f>+IF($AG1992=AQ$22,MONTH($D1992),"")</f>
        <v>7</v>
      </c>
      <c r="AR1992" s="86" t="str">
        <f>+IF($AG1992=AR$22,MONTH($D1992),"")</f>
        <v/>
      </c>
      <c r="AS1992" s="86" t="str">
        <f>+IF($AG1992=AS$22,MONTH($D1992),"")</f>
        <v/>
      </c>
      <c r="AT1992" s="86" t="str">
        <f>+IF($AG1992=AT$22,MONTH($D1992),"")</f>
        <v/>
      </c>
      <c r="AU1992" s="86" t="str">
        <f>+IF($AG1992=AU$22,MONTH($D1992),"")</f>
        <v/>
      </c>
      <c r="AV1992" s="86" t="str">
        <f>+IF($AG1992=AV$22,MONTH($D1992),"")</f>
        <v/>
      </c>
      <c r="AW1992" s="86" t="str">
        <f>+IF($AG1992=AW$22,MONTH($D1992),"")</f>
        <v/>
      </c>
      <c r="AX1992" s="86" t="str">
        <f>+IF($AG1992=AX$22,MONTH($D1992),"")</f>
        <v/>
      </c>
      <c r="AY1992" s="89"/>
      <c r="AZ1992" s="89"/>
      <c r="BA1992" s="89"/>
      <c r="BB1992" s="89"/>
      <c r="BC1992" s="89"/>
      <c r="BD1992" s="89"/>
      <c r="BE1992" s="89"/>
      <c r="BF1992" s="89"/>
      <c r="BG1992" s="89"/>
      <c r="BH1992" s="89"/>
      <c r="BI1992" s="89"/>
      <c r="BJ1992" s="89"/>
      <c r="BK1992" s="89"/>
      <c r="BL1992" s="89"/>
      <c r="BM1992" s="89"/>
      <c r="BN1992" s="89"/>
      <c r="BO1992" s="89"/>
      <c r="BP1992" s="89"/>
    </row>
    <row r="1993" spans="1:68" s="56" customFormat="1" ht="40.5" hidden="1">
      <c r="A1993" s="204" t="str">
        <f>+IFERROR(VALUE(MID(AB1993,4,4)),"")</f>
        <v/>
      </c>
      <c r="B1993" s="204">
        <f>VALUE(RIGHT(C1993,LEN(C1993)-2))</f>
        <v>732</v>
      </c>
      <c r="C1993" s="74" t="s">
        <v>6918</v>
      </c>
      <c r="D1993" s="75">
        <v>42922</v>
      </c>
      <c r="E1993" s="70" t="s">
        <v>53</v>
      </c>
      <c r="F1993" s="70" t="s">
        <v>460</v>
      </c>
      <c r="G1993" s="68"/>
      <c r="H1993" s="59"/>
      <c r="I1993" s="162" t="s">
        <v>6919</v>
      </c>
      <c r="J1993" s="162"/>
      <c r="K1993" s="68" t="s">
        <v>275</v>
      </c>
      <c r="L1993" s="69" t="s">
        <v>123</v>
      </c>
      <c r="M1993" s="71" t="s">
        <v>141</v>
      </c>
      <c r="N1993" s="69" t="e" vm="1">
        <v>#VALUE!</v>
      </c>
      <c r="O1993" s="164"/>
      <c r="P1993" s="72" t="s">
        <v>402</v>
      </c>
      <c r="Q1993" s="72"/>
      <c r="R1993" s="162"/>
      <c r="S1993" s="146" t="s">
        <v>6920</v>
      </c>
      <c r="T1993" s="68" t="s">
        <v>165</v>
      </c>
      <c r="U1993" s="87"/>
      <c r="V1993" s="183"/>
      <c r="W1993" s="73">
        <v>1</v>
      </c>
      <c r="X1993" s="73"/>
      <c r="Y1993" s="83">
        <f>IF(SUM(W1993:W1993)&gt;0,X1993/SUM(W1993:W1993)*1000000,"N/A")</f>
        <v>0</v>
      </c>
      <c r="Z1993" s="183"/>
      <c r="AA1993" s="183"/>
      <c r="AB1993" s="73"/>
      <c r="AC1993" s="153"/>
      <c r="AD1993" s="331"/>
      <c r="AE1993" s="57"/>
      <c r="AF1993" s="88"/>
      <c r="AG1993" s="182">
        <f>YEAR(D1993)</f>
        <v>2017</v>
      </c>
      <c r="AH1993" s="86" t="str">
        <f>+IF(AE1993=$AJ$22,MONTH(T1993),"")</f>
        <v/>
      </c>
      <c r="AI1993" s="86" t="str">
        <f>+IF(AF1993=$AJ$22,MONTH(U1993),"")</f>
        <v/>
      </c>
      <c r="AJ1993" s="86" t="str">
        <f>+IF(AG1993=$AJ$22,MONTH(V1993),"")</f>
        <v/>
      </c>
      <c r="AK1993" s="86" t="str">
        <f>+IF(AG1993=$AK$22,MONTH(V1993),"")</f>
        <v/>
      </c>
      <c r="AL1993" s="86" t="str">
        <f>+IF(AG1993=$AL$22,MONTH(V1993),"")</f>
        <v/>
      </c>
      <c r="AM1993" s="86" t="str">
        <f>+IF($AG1993=$AM$22,MONTH($D1993),"")</f>
        <v/>
      </c>
      <c r="AN1993" s="89" t="str">
        <f>+IF($AG1993=AN$22,MONTH($D1993),"")</f>
        <v/>
      </c>
      <c r="AO1993" s="86" t="str">
        <f>+IF($AG1993=AO$22,MONTH($D1993),"")</f>
        <v/>
      </c>
      <c r="AP1993" s="86" t="str">
        <f>+IF($AG1993=AP$22,MONTH($D1993),"")</f>
        <v/>
      </c>
      <c r="AQ1993" s="86">
        <f>+IF($AG1993=AQ$22,MONTH($D1993),"")</f>
        <v>7</v>
      </c>
      <c r="AR1993" s="86" t="str">
        <f>+IF($AG1993=AR$22,MONTH($D1993),"")</f>
        <v/>
      </c>
      <c r="AS1993" s="86" t="str">
        <f>+IF($AG1993=AS$22,MONTH($D1993),"")</f>
        <v/>
      </c>
      <c r="AT1993" s="86" t="str">
        <f>+IF($AG1993=AT$22,MONTH($D1993),"")</f>
        <v/>
      </c>
      <c r="AU1993" s="86" t="str">
        <f>+IF($AG1993=AU$22,MONTH($D1993),"")</f>
        <v/>
      </c>
      <c r="AV1993" s="86" t="str">
        <f>+IF($AG1993=AV$22,MONTH($D1993),"")</f>
        <v/>
      </c>
      <c r="AW1993" s="86" t="str">
        <f>+IF($AG1993=AW$22,MONTH($D1993),"")</f>
        <v/>
      </c>
      <c r="AX1993" s="86" t="str">
        <f>+IF($AG1993=AX$22,MONTH($D1993),"")</f>
        <v/>
      </c>
      <c r="AY1993" s="89"/>
      <c r="AZ1993" s="89"/>
      <c r="BA1993" s="89"/>
      <c r="BB1993" s="89"/>
      <c r="BC1993" s="89"/>
      <c r="BD1993" s="89"/>
      <c r="BE1993" s="89"/>
      <c r="BF1993" s="89"/>
      <c r="BG1993" s="89"/>
      <c r="BH1993" s="89"/>
      <c r="BI1993" s="89"/>
      <c r="BJ1993" s="89"/>
      <c r="BK1993" s="89"/>
      <c r="BL1993" s="89"/>
      <c r="BM1993" s="89"/>
      <c r="BN1993" s="89"/>
      <c r="BO1993" s="89"/>
      <c r="BP1993" s="89"/>
    </row>
    <row r="1994" spans="1:68" s="56" customFormat="1" ht="40.5" hidden="1">
      <c r="A1994" s="204" t="str">
        <f>+IFERROR(VALUE(MID(AB1994,4,4)),"")</f>
        <v/>
      </c>
      <c r="B1994" s="204">
        <f>VALUE(RIGHT(C1994,LEN(C1994)-2))</f>
        <v>731</v>
      </c>
      <c r="C1994" s="74" t="s">
        <v>6921</v>
      </c>
      <c r="D1994" s="75">
        <v>42922</v>
      </c>
      <c r="E1994" s="70" t="s">
        <v>99</v>
      </c>
      <c r="F1994" s="70" t="s">
        <v>270</v>
      </c>
      <c r="G1994" s="68" t="s">
        <v>4897</v>
      </c>
      <c r="H1994" s="59" t="s">
        <v>6922</v>
      </c>
      <c r="I1994" s="162" t="s">
        <v>6923</v>
      </c>
      <c r="J1994" s="162"/>
      <c r="K1994" s="68" t="s">
        <v>11</v>
      </c>
      <c r="L1994" s="69" t="s">
        <v>123</v>
      </c>
      <c r="M1994" s="71" t="s">
        <v>141</v>
      </c>
      <c r="N1994" s="69" t="e" vm="1">
        <v>#VALUE!</v>
      </c>
      <c r="O1994" s="164"/>
      <c r="P1994" s="72" t="s">
        <v>402</v>
      </c>
      <c r="Q1994" s="72"/>
      <c r="R1994" s="162"/>
      <c r="S1994" s="146" t="s">
        <v>6924</v>
      </c>
      <c r="T1994" s="68" t="s">
        <v>165</v>
      </c>
      <c r="U1994" s="87"/>
      <c r="V1994" s="183"/>
      <c r="W1994" s="73">
        <v>1</v>
      </c>
      <c r="X1994" s="73"/>
      <c r="Y1994" s="73">
        <f>IF(SUM(W1994:W1994)&gt;0,X1994/SUM(W1994:W1994)*1000000,"N/A")</f>
        <v>0</v>
      </c>
      <c r="Z1994" s="183"/>
      <c r="AA1994" s="183"/>
      <c r="AB1994" s="73"/>
      <c r="AC1994" s="153"/>
      <c r="AD1994" s="331"/>
      <c r="AE1994" s="57"/>
      <c r="AF1994" s="88"/>
      <c r="AG1994" s="182">
        <f>YEAR(D1994)</f>
        <v>2017</v>
      </c>
      <c r="AH1994" s="86" t="str">
        <f>+IF(AE1994=$AJ$22,MONTH(T1994),"")</f>
        <v/>
      </c>
      <c r="AI1994" s="86" t="str">
        <f>+IF(AF1994=$AJ$22,MONTH(U1994),"")</f>
        <v/>
      </c>
      <c r="AJ1994" s="86" t="str">
        <f>+IF(AG1994=$AJ$22,MONTH(V1994),"")</f>
        <v/>
      </c>
      <c r="AK1994" s="86" t="str">
        <f>+IF(AG1994=$AK$22,MONTH(V1994),"")</f>
        <v/>
      </c>
      <c r="AL1994" s="86" t="str">
        <f>+IF(AG1994=$AL$22,MONTH(V1994),"")</f>
        <v/>
      </c>
      <c r="AM1994" s="86" t="str">
        <f>+IF($AG1994=$AM$22,MONTH($D1994),"")</f>
        <v/>
      </c>
      <c r="AN1994" s="89" t="str">
        <f>+IF($AG1994=AN$22,MONTH($D1994),"")</f>
        <v/>
      </c>
      <c r="AO1994" s="86" t="str">
        <f>+IF($AG1994=AO$22,MONTH($D1994),"")</f>
        <v/>
      </c>
      <c r="AP1994" s="86" t="str">
        <f>+IF($AG1994=AP$22,MONTH($D1994),"")</f>
        <v/>
      </c>
      <c r="AQ1994" s="86">
        <f>+IF($AG1994=AQ$22,MONTH($D1994),"")</f>
        <v>7</v>
      </c>
      <c r="AR1994" s="86" t="str">
        <f>+IF($AG1994=AR$22,MONTH($D1994),"")</f>
        <v/>
      </c>
      <c r="AS1994" s="86" t="str">
        <f>+IF($AG1994=AS$22,MONTH($D1994),"")</f>
        <v/>
      </c>
      <c r="AT1994" s="86" t="str">
        <f>+IF($AG1994=AT$22,MONTH($D1994),"")</f>
        <v/>
      </c>
      <c r="AU1994" s="86" t="str">
        <f>+IF($AG1994=AU$22,MONTH($D1994),"")</f>
        <v/>
      </c>
      <c r="AV1994" s="86" t="str">
        <f>+IF($AG1994=AV$22,MONTH($D1994),"")</f>
        <v/>
      </c>
      <c r="AW1994" s="86" t="str">
        <f>+IF($AG1994=AW$22,MONTH($D1994),"")</f>
        <v/>
      </c>
      <c r="AX1994" s="86" t="str">
        <f>+IF($AG1994=AX$22,MONTH($D1994),"")</f>
        <v/>
      </c>
      <c r="AY1994" s="89"/>
      <c r="AZ1994" s="89"/>
      <c r="BA1994" s="89"/>
      <c r="BB1994" s="89"/>
      <c r="BC1994" s="89"/>
      <c r="BD1994" s="89"/>
      <c r="BE1994" s="89"/>
      <c r="BF1994" s="89"/>
      <c r="BG1994" s="89"/>
      <c r="BH1994" s="89"/>
      <c r="BI1994" s="89"/>
      <c r="BJ1994" s="89"/>
      <c r="BK1994" s="89"/>
      <c r="BL1994" s="89"/>
      <c r="BM1994" s="89"/>
      <c r="BN1994" s="89"/>
      <c r="BO1994" s="89"/>
      <c r="BP1994" s="89"/>
    </row>
    <row r="1995" spans="1:68" s="56" customFormat="1" ht="13.5" hidden="1">
      <c r="A1995" s="204" t="str">
        <f>+IFERROR(VALUE(MID(AB1995,4,4)),"")</f>
        <v/>
      </c>
      <c r="B1995" s="204">
        <f>VALUE(RIGHT(C1995,LEN(C1995)-2))</f>
        <v>730</v>
      </c>
      <c r="C1995" s="74" t="s">
        <v>6925</v>
      </c>
      <c r="D1995" s="75">
        <v>42919</v>
      </c>
      <c r="E1995" s="70" t="s">
        <v>332</v>
      </c>
      <c r="F1995" s="70" t="s">
        <v>332</v>
      </c>
      <c r="G1995" s="68" t="s">
        <v>6764</v>
      </c>
      <c r="H1995" s="59"/>
      <c r="I1995" s="162" t="s">
        <v>6926</v>
      </c>
      <c r="J1995" s="162"/>
      <c r="K1995" s="68" t="s">
        <v>13</v>
      </c>
      <c r="L1995" s="69" t="s">
        <v>123</v>
      </c>
      <c r="M1995" s="71" t="s">
        <v>141</v>
      </c>
      <c r="N1995" s="69" t="e" vm="1">
        <v>#VALUE!</v>
      </c>
      <c r="O1995" s="164"/>
      <c r="P1995" s="72" t="s">
        <v>6927</v>
      </c>
      <c r="Q1995" s="72"/>
      <c r="R1995" s="162"/>
      <c r="S1995" s="146"/>
      <c r="T1995" s="68" t="s">
        <v>165</v>
      </c>
      <c r="U1995" s="87"/>
      <c r="V1995" s="183">
        <v>42928</v>
      </c>
      <c r="W1995" s="73">
        <v>566</v>
      </c>
      <c r="X1995" s="73">
        <f>531*26660/1000000</f>
        <v>14.156459999999999</v>
      </c>
      <c r="Y1995" s="83">
        <f>IF(SUM(W1995:W1995)&gt;0,X1995/SUM(W1995:W1995)*1000000,"N/A")</f>
        <v>25011.413427561838</v>
      </c>
      <c r="Z1995" s="183"/>
      <c r="AA1995" s="183"/>
      <c r="AB1995" s="73"/>
      <c r="AC1995" s="153"/>
      <c r="AD1995" s="331"/>
      <c r="AE1995" s="57"/>
      <c r="AF1995" s="88"/>
      <c r="AG1995" s="182">
        <f>YEAR(D1995)</f>
        <v>2017</v>
      </c>
      <c r="AH1995" s="86" t="str">
        <f>+IF(AE1995=$AJ$22,MONTH(T1995),"")</f>
        <v/>
      </c>
      <c r="AI1995" s="86" t="str">
        <f>+IF(AF1995=$AJ$22,MONTH(U1995),"")</f>
        <v/>
      </c>
      <c r="AJ1995" s="86" t="str">
        <f>+IF(AG1995=$AJ$22,MONTH(V1995),"")</f>
        <v/>
      </c>
      <c r="AK1995" s="86" t="str">
        <f>+IF(AG1995=$AK$22,MONTH(V1995),"")</f>
        <v/>
      </c>
      <c r="AL1995" s="86" t="str">
        <f>+IF(AG1995=$AL$22,MONTH(V1995),"")</f>
        <v/>
      </c>
      <c r="AM1995" s="86" t="str">
        <f>+IF($AG1995=$AM$22,MONTH($D1995),"")</f>
        <v/>
      </c>
      <c r="AN1995" s="89" t="str">
        <f>+IF($AG1995=AN$22,MONTH($D1995),"")</f>
        <v/>
      </c>
      <c r="AO1995" s="86" t="str">
        <f>+IF($AG1995=AO$22,MONTH($D1995),"")</f>
        <v/>
      </c>
      <c r="AP1995" s="86" t="str">
        <f>+IF($AG1995=AP$22,MONTH($D1995),"")</f>
        <v/>
      </c>
      <c r="AQ1995" s="86">
        <f>+IF($AG1995=AQ$22,MONTH($D1995),"")</f>
        <v>7</v>
      </c>
      <c r="AR1995" s="86" t="str">
        <f>+IF($AG1995=AR$22,MONTH($D1995),"")</f>
        <v/>
      </c>
      <c r="AS1995" s="86" t="str">
        <f>+IF($AG1995=AS$22,MONTH($D1995),"")</f>
        <v/>
      </c>
      <c r="AT1995" s="86" t="str">
        <f>+IF($AG1995=AT$22,MONTH($D1995),"")</f>
        <v/>
      </c>
      <c r="AU1995" s="86" t="str">
        <f>+IF($AG1995=AU$22,MONTH($D1995),"")</f>
        <v/>
      </c>
      <c r="AV1995" s="86" t="str">
        <f>+IF($AG1995=AV$22,MONTH($D1995),"")</f>
        <v/>
      </c>
      <c r="AW1995" s="86" t="str">
        <f>+IF($AG1995=AW$22,MONTH($D1995),"")</f>
        <v/>
      </c>
      <c r="AX1995" s="86" t="str">
        <f>+IF($AG1995=AX$22,MONTH($D1995),"")</f>
        <v/>
      </c>
      <c r="AY1995" s="89"/>
      <c r="AZ1995" s="89"/>
      <c r="BA1995" s="89"/>
      <c r="BB1995" s="89"/>
      <c r="BC1995" s="89"/>
      <c r="BD1995" s="89"/>
      <c r="BE1995" s="89"/>
      <c r="BF1995" s="89"/>
      <c r="BG1995" s="89"/>
      <c r="BH1995" s="89"/>
      <c r="BI1995" s="89"/>
      <c r="BJ1995" s="89"/>
      <c r="BK1995" s="89"/>
      <c r="BL1995" s="89"/>
      <c r="BM1995" s="89"/>
      <c r="BN1995" s="89"/>
      <c r="BO1995" s="89"/>
      <c r="BP1995" s="89"/>
    </row>
    <row r="1996" spans="1:68" s="56" customFormat="1" ht="27" hidden="1">
      <c r="A1996" s="204" t="str">
        <f>+IFERROR(VALUE(MID(AB1996,4,4)),"")</f>
        <v/>
      </c>
      <c r="B1996" s="204">
        <f>VALUE(RIGHT(C1996,LEN(C1996)-2))</f>
        <v>729</v>
      </c>
      <c r="C1996" s="74" t="s">
        <v>6928</v>
      </c>
      <c r="D1996" s="75">
        <v>42915</v>
      </c>
      <c r="E1996" s="70" t="s">
        <v>99</v>
      </c>
      <c r="F1996" s="70" t="s">
        <v>255</v>
      </c>
      <c r="G1996" s="68" t="s">
        <v>4897</v>
      </c>
      <c r="H1996" s="59" t="s">
        <v>6922</v>
      </c>
      <c r="I1996" s="162" t="s">
        <v>6929</v>
      </c>
      <c r="J1996" s="162"/>
      <c r="K1996" s="68" t="s">
        <v>11</v>
      </c>
      <c r="L1996" s="69" t="s">
        <v>120</v>
      </c>
      <c r="M1996" s="71" t="s">
        <v>141</v>
      </c>
      <c r="N1996" s="69" t="e" vm="1">
        <v>#VALUE!</v>
      </c>
      <c r="O1996" s="164"/>
      <c r="P1996" s="72" t="s">
        <v>4567</v>
      </c>
      <c r="Q1996" s="72"/>
      <c r="R1996" s="162"/>
      <c r="S1996" s="146"/>
      <c r="T1996" s="68" t="s">
        <v>165</v>
      </c>
      <c r="U1996" s="87"/>
      <c r="V1996" s="183">
        <v>42928</v>
      </c>
      <c r="W1996" s="73">
        <f>170*2</f>
        <v>340</v>
      </c>
      <c r="X1996" s="73">
        <f>289*26600/1000000</f>
        <v>7.6874000000000002</v>
      </c>
      <c r="Y1996" s="73">
        <f>IF(SUM(W1996:W1996)&gt;0,X1996/SUM(W1996:W1996)*1000000,"N/A")</f>
        <v>22610</v>
      </c>
      <c r="Z1996" s="183"/>
      <c r="AA1996" s="183"/>
      <c r="AB1996" s="73"/>
      <c r="AC1996" s="153"/>
      <c r="AD1996" s="331"/>
      <c r="AE1996" s="57"/>
      <c r="AF1996" s="88"/>
      <c r="AG1996" s="182">
        <f>YEAR(D1996)</f>
        <v>2017</v>
      </c>
      <c r="AH1996" s="86" t="str">
        <f>+IF(AE1996=$AJ$22,MONTH(T1996),"")</f>
        <v/>
      </c>
      <c r="AI1996" s="86" t="str">
        <f>+IF(AF1996=$AJ$22,MONTH(U1996),"")</f>
        <v/>
      </c>
      <c r="AJ1996" s="86" t="str">
        <f>+IF(AG1996=$AJ$22,MONTH(V1996),"")</f>
        <v/>
      </c>
      <c r="AK1996" s="86" t="str">
        <f>+IF(AG1996=$AK$22,MONTH(V1996),"")</f>
        <v/>
      </c>
      <c r="AL1996" s="86" t="str">
        <f>+IF(AG1996=$AL$22,MONTH(V1996),"")</f>
        <v/>
      </c>
      <c r="AM1996" s="86" t="str">
        <f>+IF($AG1996=$AM$22,MONTH($D1996),"")</f>
        <v/>
      </c>
      <c r="AN1996" s="89" t="str">
        <f>+IF($AG1996=AN$22,MONTH($D1996),"")</f>
        <v/>
      </c>
      <c r="AO1996" s="86" t="str">
        <f>+IF($AG1996=AO$22,MONTH($D1996),"")</f>
        <v/>
      </c>
      <c r="AP1996" s="86" t="str">
        <f>+IF($AG1996=AP$22,MONTH($D1996),"")</f>
        <v/>
      </c>
      <c r="AQ1996" s="86">
        <f>+IF($AG1996=AQ$22,MONTH($D1996),"")</f>
        <v>6</v>
      </c>
      <c r="AR1996" s="86" t="str">
        <f>+IF($AG1996=AR$22,MONTH($D1996),"")</f>
        <v/>
      </c>
      <c r="AS1996" s="86" t="str">
        <f>+IF($AG1996=AS$22,MONTH($D1996),"")</f>
        <v/>
      </c>
      <c r="AT1996" s="86" t="str">
        <f>+IF($AG1996=AT$22,MONTH($D1996),"")</f>
        <v/>
      </c>
      <c r="AU1996" s="86" t="str">
        <f>+IF($AG1996=AU$22,MONTH($D1996),"")</f>
        <v/>
      </c>
      <c r="AV1996" s="86" t="str">
        <f>+IF($AG1996=AV$22,MONTH($D1996),"")</f>
        <v/>
      </c>
      <c r="AW1996" s="86" t="str">
        <f>+IF($AG1996=AW$22,MONTH($D1996),"")</f>
        <v/>
      </c>
      <c r="AX1996" s="86" t="str">
        <f>+IF($AG1996=AX$22,MONTH($D1996),"")</f>
        <v/>
      </c>
      <c r="AY1996" s="89"/>
      <c r="AZ1996" s="89"/>
      <c r="BA1996" s="89"/>
      <c r="BB1996" s="89"/>
      <c r="BC1996" s="89"/>
      <c r="BD1996" s="89"/>
      <c r="BE1996" s="89"/>
      <c r="BF1996" s="89"/>
      <c r="BG1996" s="89"/>
      <c r="BH1996" s="89"/>
      <c r="BI1996" s="89"/>
      <c r="BJ1996" s="89"/>
      <c r="BK1996" s="89"/>
      <c r="BL1996" s="89"/>
      <c r="BM1996" s="89"/>
      <c r="BN1996" s="89"/>
      <c r="BO1996" s="89"/>
      <c r="BP1996" s="89"/>
    </row>
    <row r="1997" spans="1:68" s="56" customFormat="1" ht="27" hidden="1">
      <c r="A1997" s="204">
        <f>+IFERROR(VALUE(MID(AB1997,4,4)),"")</f>
        <v>158</v>
      </c>
      <c r="B1997" s="204">
        <f>VALUE(RIGHT(C1997,LEN(C1997)-2))</f>
        <v>728</v>
      </c>
      <c r="C1997" s="74" t="s">
        <v>6930</v>
      </c>
      <c r="D1997" s="75">
        <v>42913</v>
      </c>
      <c r="E1997" s="70" t="s">
        <v>41</v>
      </c>
      <c r="F1997" s="70" t="s">
        <v>41</v>
      </c>
      <c r="G1997" s="68" t="s">
        <v>6931</v>
      </c>
      <c r="H1997" s="59" t="s">
        <v>6932</v>
      </c>
      <c r="I1997" s="162" t="s">
        <v>6933</v>
      </c>
      <c r="J1997" s="162"/>
      <c r="K1997" s="68" t="s">
        <v>11</v>
      </c>
      <c r="L1997" s="69" t="s">
        <v>123</v>
      </c>
      <c r="M1997" s="71" t="s">
        <v>141</v>
      </c>
      <c r="N1997" s="69" t="e" vm="1">
        <v>#VALUE!</v>
      </c>
      <c r="O1997" s="164"/>
      <c r="P1997" s="72" t="s">
        <v>402</v>
      </c>
      <c r="Q1997" s="72" t="s">
        <v>229</v>
      </c>
      <c r="R1997" s="162"/>
      <c r="S1997" s="146"/>
      <c r="T1997" s="68" t="s">
        <v>3</v>
      </c>
      <c r="U1997" s="87"/>
      <c r="V1997" s="183">
        <v>42928</v>
      </c>
      <c r="W1997" s="73">
        <v>1058</v>
      </c>
      <c r="X1997" s="73">
        <f>1048*26600/1000000</f>
        <v>27.876799999999999</v>
      </c>
      <c r="Y1997" s="73">
        <f>IF(SUM(W1997:W1997)&gt;0,X1997/SUM(W1997:W1997)*1000000,"N/A")</f>
        <v>26348.582230623819</v>
      </c>
      <c r="Z1997" s="183"/>
      <c r="AA1997" s="183"/>
      <c r="AB1997" s="73" t="s">
        <v>6934</v>
      </c>
      <c r="AC1997" s="153"/>
      <c r="AD1997" s="331"/>
      <c r="AE1997" s="57"/>
      <c r="AF1997" s="88"/>
      <c r="AG1997" s="182">
        <f>YEAR(D1997)</f>
        <v>2017</v>
      </c>
      <c r="AH1997" s="86" t="str">
        <f>+IF(AE1997=$AJ$22,MONTH(T1997),"")</f>
        <v/>
      </c>
      <c r="AI1997" s="86" t="str">
        <f>+IF(AF1997=$AJ$22,MONTH(U1997),"")</f>
        <v/>
      </c>
      <c r="AJ1997" s="86" t="str">
        <f>+IF(AG1997=$AJ$22,MONTH(V1997),"")</f>
        <v/>
      </c>
      <c r="AK1997" s="86" t="str">
        <f>+IF(AG1997=$AK$22,MONTH(V1997),"")</f>
        <v/>
      </c>
      <c r="AL1997" s="86" t="str">
        <f>+IF(AG1997=$AL$22,MONTH(V1997),"")</f>
        <v/>
      </c>
      <c r="AM1997" s="86" t="str">
        <f>+IF($AG1997=$AM$22,MONTH($D1997),"")</f>
        <v/>
      </c>
      <c r="AN1997" s="89" t="str">
        <f>+IF($AG1997=AN$22,MONTH($D1997),"")</f>
        <v/>
      </c>
      <c r="AO1997" s="86" t="str">
        <f>+IF($AG1997=AO$22,MONTH($D1997),"")</f>
        <v/>
      </c>
      <c r="AP1997" s="86" t="str">
        <f>+IF($AG1997=AP$22,MONTH($D1997),"")</f>
        <v/>
      </c>
      <c r="AQ1997" s="86">
        <f>+IF($AG1997=AQ$22,MONTH($D1997),"")</f>
        <v>6</v>
      </c>
      <c r="AR1997" s="86" t="str">
        <f>+IF($AG1997=AR$22,MONTH($D1997),"")</f>
        <v/>
      </c>
      <c r="AS1997" s="86" t="str">
        <f>+IF($AG1997=AS$22,MONTH($D1997),"")</f>
        <v/>
      </c>
      <c r="AT1997" s="86" t="str">
        <f>+IF($AG1997=AT$22,MONTH($D1997),"")</f>
        <v/>
      </c>
      <c r="AU1997" s="86" t="str">
        <f>+IF($AG1997=AU$22,MONTH($D1997),"")</f>
        <v/>
      </c>
      <c r="AV1997" s="86" t="str">
        <f>+IF($AG1997=AV$22,MONTH($D1997),"")</f>
        <v/>
      </c>
      <c r="AW1997" s="86" t="str">
        <f>+IF($AG1997=AW$22,MONTH($D1997),"")</f>
        <v/>
      </c>
      <c r="AX1997" s="86" t="str">
        <f>+IF($AG1997=AX$22,MONTH($D1997),"")</f>
        <v/>
      </c>
      <c r="AY1997" s="89"/>
      <c r="AZ1997" s="89"/>
      <c r="BA1997" s="89"/>
      <c r="BB1997" s="89"/>
      <c r="BC1997" s="89"/>
      <c r="BD1997" s="89"/>
      <c r="BE1997" s="89"/>
      <c r="BF1997" s="89"/>
      <c r="BG1997" s="89"/>
      <c r="BH1997" s="89"/>
      <c r="BI1997" s="89"/>
      <c r="BJ1997" s="89"/>
      <c r="BK1997" s="89"/>
      <c r="BL1997" s="89"/>
      <c r="BM1997" s="89"/>
      <c r="BN1997" s="89"/>
      <c r="BO1997" s="89"/>
      <c r="BP1997" s="89"/>
    </row>
    <row r="1998" spans="1:68" s="56" customFormat="1" ht="27" hidden="1">
      <c r="A1998" s="204" t="str">
        <f>+IFERROR(VALUE(MID(AB1998,4,4)),"")</f>
        <v/>
      </c>
      <c r="B1998" s="204">
        <f>VALUE(RIGHT(C1998,LEN(C1998)-2))</f>
        <v>727</v>
      </c>
      <c r="C1998" s="74" t="s">
        <v>6935</v>
      </c>
      <c r="D1998" s="75">
        <v>42901</v>
      </c>
      <c r="E1998" s="70" t="s">
        <v>4664</v>
      </c>
      <c r="F1998" s="70" t="s">
        <v>3351</v>
      </c>
      <c r="G1998" s="68" t="s">
        <v>6936</v>
      </c>
      <c r="H1998" s="59" t="s">
        <v>6937</v>
      </c>
      <c r="I1998" s="162" t="s">
        <v>6938</v>
      </c>
      <c r="J1998" s="162"/>
      <c r="K1998" s="68" t="s">
        <v>4903</v>
      </c>
      <c r="L1998" s="69" t="s">
        <v>123</v>
      </c>
      <c r="M1998" s="71" t="s">
        <v>113</v>
      </c>
      <c r="N1998" s="69" t="e" vm="4">
        <v>#VALUE!</v>
      </c>
      <c r="O1998" s="164">
        <v>42907</v>
      </c>
      <c r="P1998" s="72" t="s">
        <v>402</v>
      </c>
      <c r="Q1998" s="72"/>
      <c r="R1998" s="162"/>
      <c r="S1998" s="146"/>
      <c r="T1998" s="68" t="s">
        <v>165</v>
      </c>
      <c r="U1998" s="87"/>
      <c r="V1998" s="183">
        <v>42928</v>
      </c>
      <c r="W1998" s="73">
        <v>688</v>
      </c>
      <c r="X1998" s="73">
        <f>99570*210/1000000</f>
        <v>20.909700000000001</v>
      </c>
      <c r="Y1998" s="83">
        <f>IF(SUM(W1998:W1998)&gt;0,X1998/SUM(W1998:W1998)*1000000,"N/A")</f>
        <v>30392.005813953492</v>
      </c>
      <c r="Z1998" s="183"/>
      <c r="AA1998" s="183"/>
      <c r="AB1998" s="73"/>
      <c r="AC1998" s="153"/>
      <c r="AD1998" s="331"/>
      <c r="AE1998" s="57"/>
      <c r="AF1998" s="88"/>
      <c r="AG1998" s="182">
        <f>YEAR(D1998)</f>
        <v>2017</v>
      </c>
      <c r="AH1998" s="86" t="str">
        <f>+IF(AE1998=$AJ$22,MONTH(T1998),"")</f>
        <v/>
      </c>
      <c r="AI1998" s="86" t="str">
        <f>+IF(AF1998=$AJ$22,MONTH(U1998),"")</f>
        <v/>
      </c>
      <c r="AJ1998" s="86" t="str">
        <f>+IF(AG1998=$AJ$22,MONTH(V1998),"")</f>
        <v/>
      </c>
      <c r="AK1998" s="86" t="str">
        <f>+IF(AG1998=$AK$22,MONTH(V1998),"")</f>
        <v/>
      </c>
      <c r="AL1998" s="86" t="str">
        <f>+IF(AG1998=$AL$22,MONTH(V1998),"")</f>
        <v/>
      </c>
      <c r="AM1998" s="86" t="str">
        <f>+IF($AG1998=$AM$22,MONTH($D1998),"")</f>
        <v/>
      </c>
      <c r="AN1998" s="89" t="str">
        <f>+IF($AG1998=AN$22,MONTH($D1998),"")</f>
        <v/>
      </c>
      <c r="AO1998" s="86" t="str">
        <f>+IF($AG1998=AO$22,MONTH($D1998),"")</f>
        <v/>
      </c>
      <c r="AP1998" s="86" t="str">
        <f>+IF($AG1998=AP$22,MONTH($D1998),"")</f>
        <v/>
      </c>
      <c r="AQ1998" s="86">
        <f>+IF($AG1998=AQ$22,MONTH($D1998),"")</f>
        <v>6</v>
      </c>
      <c r="AR1998" s="86" t="str">
        <f>+IF($AG1998=AR$22,MONTH($D1998),"")</f>
        <v/>
      </c>
      <c r="AS1998" s="86" t="str">
        <f>+IF($AG1998=AS$22,MONTH($D1998),"")</f>
        <v/>
      </c>
      <c r="AT1998" s="86" t="str">
        <f>+IF($AG1998=AT$22,MONTH($D1998),"")</f>
        <v/>
      </c>
      <c r="AU1998" s="86" t="str">
        <f>+IF($AG1998=AU$22,MONTH($D1998),"")</f>
        <v/>
      </c>
      <c r="AV1998" s="86" t="str">
        <f>+IF($AG1998=AV$22,MONTH($D1998),"")</f>
        <v/>
      </c>
      <c r="AW1998" s="86" t="str">
        <f>+IF($AG1998=AW$22,MONTH($D1998),"")</f>
        <v/>
      </c>
      <c r="AX1998" s="86" t="str">
        <f>+IF($AG1998=AX$22,MONTH($D1998),"")</f>
        <v/>
      </c>
      <c r="AY1998" s="89"/>
      <c r="AZ1998" s="89"/>
      <c r="BA1998" s="89"/>
      <c r="BB1998" s="89"/>
      <c r="BC1998" s="89"/>
      <c r="BD1998" s="89"/>
      <c r="BE1998" s="89"/>
      <c r="BF1998" s="89"/>
      <c r="BG1998" s="89"/>
      <c r="BH1998" s="89"/>
      <c r="BI1998" s="89"/>
      <c r="BJ1998" s="89"/>
      <c r="BK1998" s="89"/>
      <c r="BL1998" s="89"/>
      <c r="BM1998" s="89"/>
      <c r="BN1998" s="89"/>
      <c r="BO1998" s="89"/>
      <c r="BP1998" s="89"/>
    </row>
    <row r="1999" spans="1:68" s="56" customFormat="1" ht="40.5" hidden="1">
      <c r="A1999" s="204" t="str">
        <f>+IFERROR(VALUE(MID(AB1999,4,4)),"")</f>
        <v/>
      </c>
      <c r="B1999" s="204">
        <f>VALUE(RIGHT(C1999,LEN(C1999)-2))</f>
        <v>726</v>
      </c>
      <c r="C1999" s="74" t="s">
        <v>6939</v>
      </c>
      <c r="D1999" s="75">
        <v>42901</v>
      </c>
      <c r="E1999" s="70" t="s">
        <v>5025</v>
      </c>
      <c r="F1999" s="70" t="s">
        <v>3915</v>
      </c>
      <c r="G1999" s="68" t="s">
        <v>2841</v>
      </c>
      <c r="H1999" s="59" t="s">
        <v>5027</v>
      </c>
      <c r="I1999" s="162" t="s">
        <v>6940</v>
      </c>
      <c r="J1999" s="162"/>
      <c r="K1999" s="68" t="s">
        <v>13</v>
      </c>
      <c r="L1999" s="69" t="s">
        <v>123</v>
      </c>
      <c r="M1999" s="71" t="s">
        <v>141</v>
      </c>
      <c r="N1999" s="69" t="e" vm="1">
        <v>#VALUE!</v>
      </c>
      <c r="O1999" s="164">
        <v>42909</v>
      </c>
      <c r="P1999" s="72" t="s">
        <v>666</v>
      </c>
      <c r="Q1999" s="72"/>
      <c r="R1999" s="162"/>
      <c r="S1999" s="146"/>
      <c r="T1999" s="68" t="s">
        <v>165</v>
      </c>
      <c r="U1999" s="87"/>
      <c r="V1999" s="183">
        <v>42928</v>
      </c>
      <c r="W1999" s="73">
        <v>1280</v>
      </c>
      <c r="X1999" s="73">
        <v>36.131</v>
      </c>
      <c r="Y1999" s="73">
        <f>IF(SUM(W1999:W1999)&gt;0,X1999/SUM(W1999:W1999)*1000000,"N/A")</f>
        <v>28227.34375</v>
      </c>
      <c r="Z1999" s="183"/>
      <c r="AA1999" s="183"/>
      <c r="AB1999" s="73"/>
      <c r="AC1999" s="153"/>
      <c r="AD1999" s="331"/>
      <c r="AE1999" s="57"/>
      <c r="AF1999" s="88"/>
      <c r="AG1999" s="182">
        <f>YEAR(D1999)</f>
        <v>2017</v>
      </c>
      <c r="AH1999" s="86" t="str">
        <f>+IF(AE1999=$AJ$22,MONTH(T1999),"")</f>
        <v/>
      </c>
      <c r="AI1999" s="86" t="str">
        <f>+IF(AF1999=$AJ$22,MONTH(U1999),"")</f>
        <v/>
      </c>
      <c r="AJ1999" s="86" t="str">
        <f>+IF(AG1999=$AJ$22,MONTH(V1999),"")</f>
        <v/>
      </c>
      <c r="AK1999" s="86" t="str">
        <f>+IF(AG1999=$AK$22,MONTH(V1999),"")</f>
        <v/>
      </c>
      <c r="AL1999" s="86" t="str">
        <f>+IF(AG1999=$AL$22,MONTH(V1999),"")</f>
        <v/>
      </c>
      <c r="AM1999" s="86" t="str">
        <f>+IF($AG1999=$AM$22,MONTH($D1999),"")</f>
        <v/>
      </c>
      <c r="AN1999" s="89" t="str">
        <f>+IF($AG1999=AN$22,MONTH($D1999),"")</f>
        <v/>
      </c>
      <c r="AO1999" s="86" t="str">
        <f>+IF($AG1999=AO$22,MONTH($D1999),"")</f>
        <v/>
      </c>
      <c r="AP1999" s="86" t="str">
        <f>+IF($AG1999=AP$22,MONTH($D1999),"")</f>
        <v/>
      </c>
      <c r="AQ1999" s="86">
        <f>+IF($AG1999=AQ$22,MONTH($D1999),"")</f>
        <v>6</v>
      </c>
      <c r="AR1999" s="86" t="str">
        <f>+IF($AG1999=AR$22,MONTH($D1999),"")</f>
        <v/>
      </c>
      <c r="AS1999" s="86" t="str">
        <f>+IF($AG1999=AS$22,MONTH($D1999),"")</f>
        <v/>
      </c>
      <c r="AT1999" s="86" t="str">
        <f>+IF($AG1999=AT$22,MONTH($D1999),"")</f>
        <v/>
      </c>
      <c r="AU1999" s="86" t="str">
        <f>+IF($AG1999=AU$22,MONTH($D1999),"")</f>
        <v/>
      </c>
      <c r="AV1999" s="86" t="str">
        <f>+IF($AG1999=AV$22,MONTH($D1999),"")</f>
        <v/>
      </c>
      <c r="AW1999" s="86" t="str">
        <f>+IF($AG1999=AW$22,MONTH($D1999),"")</f>
        <v/>
      </c>
      <c r="AX1999" s="86" t="str">
        <f>+IF($AG1999=AX$22,MONTH($D1999),"")</f>
        <v/>
      </c>
      <c r="AY1999" s="89"/>
      <c r="AZ1999" s="89"/>
      <c r="BA1999" s="89"/>
      <c r="BB1999" s="89"/>
      <c r="BC1999" s="89"/>
      <c r="BD1999" s="89"/>
      <c r="BE1999" s="89"/>
      <c r="BF1999" s="89"/>
      <c r="BG1999" s="89"/>
      <c r="BH1999" s="89"/>
      <c r="BI1999" s="89"/>
      <c r="BJ1999" s="89"/>
      <c r="BK1999" s="89"/>
      <c r="BL1999" s="89"/>
      <c r="BM1999" s="89"/>
      <c r="BN1999" s="89"/>
      <c r="BO1999" s="89"/>
      <c r="BP1999" s="89"/>
    </row>
    <row r="2000" spans="1:68" s="56" customFormat="1" ht="27" hidden="1">
      <c r="A2000" s="204">
        <f>+IFERROR(VALUE(MID(AB2000,4,4)),"")</f>
        <v>164</v>
      </c>
      <c r="B2000" s="204">
        <f>VALUE(RIGHT(C2000,LEN(C2000)-2))</f>
        <v>725</v>
      </c>
      <c r="C2000" s="74" t="s">
        <v>6941</v>
      </c>
      <c r="D2000" s="75">
        <v>42894</v>
      </c>
      <c r="E2000" s="70" t="s">
        <v>75</v>
      </c>
      <c r="F2000" s="70" t="s">
        <v>6942</v>
      </c>
      <c r="G2000" s="68" t="s">
        <v>6943</v>
      </c>
      <c r="H2000" s="59" t="s">
        <v>6944</v>
      </c>
      <c r="I2000" s="162" t="s">
        <v>6945</v>
      </c>
      <c r="J2000" s="162"/>
      <c r="K2000" s="68" t="s">
        <v>13</v>
      </c>
      <c r="L2000" s="69" t="s">
        <v>120</v>
      </c>
      <c r="M2000" s="71" t="s">
        <v>141</v>
      </c>
      <c r="N2000" s="69" t="e" vm="1">
        <v>#VALUE!</v>
      </c>
      <c r="O2000" s="164">
        <v>42900</v>
      </c>
      <c r="P2000" s="72" t="s">
        <v>402</v>
      </c>
      <c r="Q2000" s="72" t="s">
        <v>623</v>
      </c>
      <c r="R2000" s="162"/>
      <c r="S2000" s="146"/>
      <c r="T2000" s="68" t="s">
        <v>3</v>
      </c>
      <c r="U2000" s="87"/>
      <c r="V2000" s="183">
        <v>42927</v>
      </c>
      <c r="W2000" s="73">
        <v>100</v>
      </c>
      <c r="X2000" s="73">
        <f>100*26600/1000000</f>
        <v>2.66</v>
      </c>
      <c r="Y2000" s="83">
        <f>IF(SUM(W2000:W2000)&gt;0,X2000/SUM(W2000:W2000)*1000000,"N/A")</f>
        <v>26600.000000000004</v>
      </c>
      <c r="Z2000" s="183"/>
      <c r="AA2000" s="183"/>
      <c r="AB2000" s="73" t="s">
        <v>6946</v>
      </c>
      <c r="AC2000" s="153"/>
      <c r="AD2000" s="331"/>
      <c r="AE2000" s="57"/>
      <c r="AF2000" s="88"/>
      <c r="AG2000" s="182">
        <f>YEAR(D2000)</f>
        <v>2017</v>
      </c>
      <c r="AH2000" s="86" t="str">
        <f>+IF(AE2000=$AJ$22,MONTH(T2000),"")</f>
        <v/>
      </c>
      <c r="AI2000" s="86" t="str">
        <f>+IF(AF2000=$AJ$22,MONTH(U2000),"")</f>
        <v/>
      </c>
      <c r="AJ2000" s="86" t="str">
        <f>+IF(AG2000=$AJ$22,MONTH(V2000),"")</f>
        <v/>
      </c>
      <c r="AK2000" s="86" t="str">
        <f>+IF(AG2000=$AK$22,MONTH(V2000),"")</f>
        <v/>
      </c>
      <c r="AL2000" s="86" t="str">
        <f>+IF(AG2000=$AL$22,MONTH(V2000),"")</f>
        <v/>
      </c>
      <c r="AM2000" s="86" t="str">
        <f>+IF($AG2000=$AM$22,MONTH($D2000),"")</f>
        <v/>
      </c>
      <c r="AN2000" s="89" t="str">
        <f>+IF($AG2000=AN$22,MONTH($D2000),"")</f>
        <v/>
      </c>
      <c r="AO2000" s="86" t="str">
        <f>+IF($AG2000=AO$22,MONTH($D2000),"")</f>
        <v/>
      </c>
      <c r="AP2000" s="86" t="str">
        <f>+IF($AG2000=AP$22,MONTH($D2000),"")</f>
        <v/>
      </c>
      <c r="AQ2000" s="86">
        <f>+IF($AG2000=AQ$22,MONTH($D2000),"")</f>
        <v>6</v>
      </c>
      <c r="AR2000" s="86" t="str">
        <f>+IF($AG2000=AR$22,MONTH($D2000),"")</f>
        <v/>
      </c>
      <c r="AS2000" s="86" t="str">
        <f>+IF($AG2000=AS$22,MONTH($D2000),"")</f>
        <v/>
      </c>
      <c r="AT2000" s="86" t="str">
        <f>+IF($AG2000=AT$22,MONTH($D2000),"")</f>
        <v/>
      </c>
      <c r="AU2000" s="86" t="str">
        <f>+IF($AG2000=AU$22,MONTH($D2000),"")</f>
        <v/>
      </c>
      <c r="AV2000" s="86" t="str">
        <f>+IF($AG2000=AV$22,MONTH($D2000),"")</f>
        <v/>
      </c>
      <c r="AW2000" s="86" t="str">
        <f>+IF($AG2000=AW$22,MONTH($D2000),"")</f>
        <v/>
      </c>
      <c r="AX2000" s="86" t="str">
        <f>+IF($AG2000=AX$22,MONTH($D2000),"")</f>
        <v/>
      </c>
      <c r="AY2000" s="89"/>
      <c r="AZ2000" s="89"/>
      <c r="BA2000" s="89"/>
      <c r="BB2000" s="89"/>
      <c r="BC2000" s="89"/>
      <c r="BD2000" s="89"/>
      <c r="BE2000" s="89"/>
      <c r="BF2000" s="89"/>
      <c r="BG2000" s="89"/>
      <c r="BH2000" s="89"/>
      <c r="BI2000" s="89"/>
      <c r="BJ2000" s="89"/>
      <c r="BK2000" s="89"/>
      <c r="BL2000" s="89"/>
      <c r="BM2000" s="89"/>
      <c r="BN2000" s="89"/>
      <c r="BO2000" s="89"/>
      <c r="BP2000" s="89"/>
    </row>
    <row r="2001" spans="1:68" s="56" customFormat="1" ht="13.5" hidden="1">
      <c r="A2001" s="204" t="str">
        <f>+IFERROR(VALUE(MID(AB2001,4,4)),"")</f>
        <v/>
      </c>
      <c r="B2001" s="204">
        <f>VALUE(RIGHT(C2001,LEN(C2001)-2))</f>
        <v>724</v>
      </c>
      <c r="C2001" s="74" t="s">
        <v>6947</v>
      </c>
      <c r="D2001" s="75">
        <v>42895</v>
      </c>
      <c r="E2001" s="70" t="s">
        <v>6948</v>
      </c>
      <c r="F2001" s="70" t="s">
        <v>106</v>
      </c>
      <c r="G2001" s="68"/>
      <c r="H2001" s="59"/>
      <c r="I2001" s="162" t="s">
        <v>6949</v>
      </c>
      <c r="J2001" s="162"/>
      <c r="K2001" s="68" t="s">
        <v>13</v>
      </c>
      <c r="L2001" s="69" t="s">
        <v>120</v>
      </c>
      <c r="M2001" s="71" t="s">
        <v>141</v>
      </c>
      <c r="N2001" s="69" t="e" vm="1">
        <v>#VALUE!</v>
      </c>
      <c r="O2001" s="164"/>
      <c r="P2001" s="72" t="s">
        <v>5018</v>
      </c>
      <c r="Q2001" s="72"/>
      <c r="R2001" s="162"/>
      <c r="S2001" s="146"/>
      <c r="T2001" s="68" t="s">
        <v>155</v>
      </c>
      <c r="U2001" s="87"/>
      <c r="V2001" s="183"/>
      <c r="W2001" s="73"/>
      <c r="X2001" s="73"/>
      <c r="Y2001" s="83"/>
      <c r="Z2001" s="183"/>
      <c r="AA2001" s="183"/>
      <c r="AB2001" s="73"/>
      <c r="AC2001" s="153"/>
      <c r="AD2001" s="331"/>
      <c r="AE2001" s="57"/>
      <c r="AF2001" s="88"/>
      <c r="AG2001" s="182">
        <f>YEAR(D2001)</f>
        <v>2017</v>
      </c>
      <c r="AH2001" s="86" t="str">
        <f>+IF(AE2001=$AJ$22,MONTH(T2001),"")</f>
        <v/>
      </c>
      <c r="AI2001" s="86" t="str">
        <f>+IF(AF2001=$AJ$22,MONTH(U2001),"")</f>
        <v/>
      </c>
      <c r="AJ2001" s="86" t="str">
        <f>+IF(AG2001=$AJ$22,MONTH(V2001),"")</f>
        <v/>
      </c>
      <c r="AK2001" s="86" t="str">
        <f>+IF(AG2001=$AK$22,MONTH(V2001),"")</f>
        <v/>
      </c>
      <c r="AL2001" s="86" t="str">
        <f>+IF(AG2001=$AL$22,MONTH(V2001),"")</f>
        <v/>
      </c>
      <c r="AM2001" s="86" t="str">
        <f>+IF($AG2001=$AM$22,MONTH($D2001),"")</f>
        <v/>
      </c>
      <c r="AN2001" s="89" t="str">
        <f>+IF($AG2001=AN$22,MONTH($D2001),"")</f>
        <v/>
      </c>
      <c r="AO2001" s="86" t="str">
        <f>+IF($AG2001=AO$22,MONTH($D2001),"")</f>
        <v/>
      </c>
      <c r="AP2001" s="86" t="str">
        <f>+IF($AG2001=AP$22,MONTH($D2001),"")</f>
        <v/>
      </c>
      <c r="AQ2001" s="86">
        <f>+IF($AG2001=AQ$22,MONTH($D2001),"")</f>
        <v>6</v>
      </c>
      <c r="AR2001" s="86" t="str">
        <f>+IF($AG2001=AR$22,MONTH($D2001),"")</f>
        <v/>
      </c>
      <c r="AS2001" s="86" t="str">
        <f>+IF($AG2001=AS$22,MONTH($D2001),"")</f>
        <v/>
      </c>
      <c r="AT2001" s="86" t="str">
        <f>+IF($AG2001=AT$22,MONTH($D2001),"")</f>
        <v/>
      </c>
      <c r="AU2001" s="86" t="str">
        <f>+IF($AG2001=AU$22,MONTH($D2001),"")</f>
        <v/>
      </c>
      <c r="AV2001" s="86" t="str">
        <f>+IF($AG2001=AV$22,MONTH($D2001),"")</f>
        <v/>
      </c>
      <c r="AW2001" s="86" t="str">
        <f>+IF($AG2001=AW$22,MONTH($D2001),"")</f>
        <v/>
      </c>
      <c r="AX2001" s="86" t="str">
        <f>+IF($AG2001=AX$22,MONTH($D2001),"")</f>
        <v/>
      </c>
      <c r="AY2001" s="89"/>
      <c r="AZ2001" s="89"/>
      <c r="BA2001" s="89"/>
      <c r="BB2001" s="89"/>
      <c r="BC2001" s="89"/>
      <c r="BD2001" s="89"/>
      <c r="BE2001" s="89"/>
      <c r="BF2001" s="89"/>
      <c r="BG2001" s="89"/>
      <c r="BH2001" s="89"/>
      <c r="BI2001" s="89"/>
      <c r="BJ2001" s="89"/>
      <c r="BK2001" s="89"/>
      <c r="BL2001" s="89"/>
      <c r="BM2001" s="89"/>
      <c r="BN2001" s="89"/>
      <c r="BO2001" s="89"/>
      <c r="BP2001" s="89"/>
    </row>
    <row r="2002" spans="1:68" s="56" customFormat="1" ht="27" hidden="1">
      <c r="A2002" s="204" t="str">
        <f>+IFERROR(VALUE(MID(AB2002,4,4)),"")</f>
        <v/>
      </c>
      <c r="B2002" s="204">
        <f>VALUE(RIGHT(C2002,LEN(C2002)-2))</f>
        <v>723</v>
      </c>
      <c r="C2002" s="74" t="s">
        <v>6950</v>
      </c>
      <c r="D2002" s="75">
        <v>42895</v>
      </c>
      <c r="E2002" s="70" t="s">
        <v>6951</v>
      </c>
      <c r="F2002" s="70" t="s">
        <v>6951</v>
      </c>
      <c r="G2002" s="68" t="s">
        <v>6952</v>
      </c>
      <c r="H2002" s="59" t="s">
        <v>6953</v>
      </c>
      <c r="I2002" s="162" t="s">
        <v>6954</v>
      </c>
      <c r="J2002" s="162"/>
      <c r="K2002" s="68" t="s">
        <v>13</v>
      </c>
      <c r="L2002" s="69" t="s">
        <v>123</v>
      </c>
      <c r="M2002" s="71" t="s">
        <v>141</v>
      </c>
      <c r="N2002" s="69" t="e" vm="1">
        <v>#VALUE!</v>
      </c>
      <c r="O2002" s="164">
        <v>42902</v>
      </c>
      <c r="P2002" s="72" t="s">
        <v>5516</v>
      </c>
      <c r="Q2002" s="72"/>
      <c r="R2002" s="162"/>
      <c r="S2002" s="146"/>
      <c r="T2002" s="68" t="s">
        <v>165</v>
      </c>
      <c r="U2002" s="87">
        <v>0.01</v>
      </c>
      <c r="V2002" s="183">
        <v>42905</v>
      </c>
      <c r="W2002" s="73">
        <f>98*512</f>
        <v>50176</v>
      </c>
      <c r="X2002" s="73">
        <f>98*561*26600/1000000</f>
        <v>1462.4148</v>
      </c>
      <c r="Y2002" s="83">
        <f>IF(SUM(W2002:W2002)&gt;0,X2002/SUM(W2002:W2002)*1000000,"N/A")</f>
        <v>29145.703125000004</v>
      </c>
      <c r="Z2002" s="183"/>
      <c r="AA2002" s="183"/>
      <c r="AB2002" s="73"/>
      <c r="AC2002" s="153"/>
      <c r="AD2002" s="331"/>
      <c r="AE2002" s="57"/>
      <c r="AF2002" s="88"/>
      <c r="AG2002" s="182">
        <f>YEAR(D2002)</f>
        <v>2017</v>
      </c>
      <c r="AH2002" s="86" t="str">
        <f>+IF(AE2002=$AJ$22,MONTH(T2002),"")</f>
        <v/>
      </c>
      <c r="AI2002" s="86" t="str">
        <f>+IF(AF2002=$AJ$22,MONTH(U2002),"")</f>
        <v/>
      </c>
      <c r="AJ2002" s="86" t="str">
        <f>+IF(AG2002=$AJ$22,MONTH(V2002),"")</f>
        <v/>
      </c>
      <c r="AK2002" s="86" t="str">
        <f>+IF(AG2002=$AK$22,MONTH(V2002),"")</f>
        <v/>
      </c>
      <c r="AL2002" s="86" t="str">
        <f>+IF(AG2002=$AL$22,MONTH(V2002),"")</f>
        <v/>
      </c>
      <c r="AM2002" s="86" t="str">
        <f>+IF($AG2002=$AM$22,MONTH($D2002),"")</f>
        <v/>
      </c>
      <c r="AN2002" s="89" t="str">
        <f>+IF($AG2002=AN$22,MONTH($D2002),"")</f>
        <v/>
      </c>
      <c r="AO2002" s="86" t="str">
        <f>+IF($AG2002=AO$22,MONTH($D2002),"")</f>
        <v/>
      </c>
      <c r="AP2002" s="86" t="str">
        <f>+IF($AG2002=AP$22,MONTH($D2002),"")</f>
        <v/>
      </c>
      <c r="AQ2002" s="86">
        <f>+IF($AG2002=AQ$22,MONTH($D2002),"")</f>
        <v>6</v>
      </c>
      <c r="AR2002" s="86" t="str">
        <f>+IF($AG2002=AR$22,MONTH($D2002),"")</f>
        <v/>
      </c>
      <c r="AS2002" s="86" t="str">
        <f>+IF($AG2002=AS$22,MONTH($D2002),"")</f>
        <v/>
      </c>
      <c r="AT2002" s="86" t="str">
        <f>+IF($AG2002=AT$22,MONTH($D2002),"")</f>
        <v/>
      </c>
      <c r="AU2002" s="86" t="str">
        <f>+IF($AG2002=AU$22,MONTH($D2002),"")</f>
        <v/>
      </c>
      <c r="AV2002" s="86" t="str">
        <f>+IF($AG2002=AV$22,MONTH($D2002),"")</f>
        <v/>
      </c>
      <c r="AW2002" s="86" t="str">
        <f>+IF($AG2002=AW$22,MONTH($D2002),"")</f>
        <v/>
      </c>
      <c r="AX2002" s="86" t="str">
        <f>+IF($AG2002=AX$22,MONTH($D2002),"")</f>
        <v/>
      </c>
      <c r="AY2002" s="89"/>
      <c r="AZ2002" s="89"/>
      <c r="BA2002" s="89"/>
      <c r="BB2002" s="89"/>
      <c r="BC2002" s="89"/>
      <c r="BD2002" s="89"/>
      <c r="BE2002" s="89"/>
      <c r="BF2002" s="89"/>
      <c r="BG2002" s="89"/>
      <c r="BH2002" s="89"/>
      <c r="BI2002" s="89"/>
      <c r="BJ2002" s="89"/>
      <c r="BK2002" s="89"/>
      <c r="BL2002" s="89"/>
      <c r="BM2002" s="89"/>
      <c r="BN2002" s="89"/>
      <c r="BO2002" s="89"/>
      <c r="BP2002" s="89"/>
    </row>
    <row r="2003" spans="1:68" s="56" customFormat="1" ht="27" hidden="1">
      <c r="A2003" s="204" t="str">
        <f>+IFERROR(VALUE(MID(AB2003,4,4)),"")</f>
        <v/>
      </c>
      <c r="B2003" s="204">
        <f>VALUE(RIGHT(C2003,LEN(C2003)-2))</f>
        <v>722</v>
      </c>
      <c r="C2003" s="74" t="s">
        <v>6955</v>
      </c>
      <c r="D2003" s="75">
        <v>42898</v>
      </c>
      <c r="E2003" s="70" t="s">
        <v>4048</v>
      </c>
      <c r="F2003" s="70" t="s">
        <v>685</v>
      </c>
      <c r="G2003" s="68"/>
      <c r="H2003" s="59"/>
      <c r="I2003" s="162" t="s">
        <v>6956</v>
      </c>
      <c r="J2003" s="162"/>
      <c r="K2003" s="68" t="s">
        <v>13</v>
      </c>
      <c r="L2003" s="69" t="s">
        <v>120</v>
      </c>
      <c r="M2003" s="71" t="s">
        <v>141</v>
      </c>
      <c r="N2003" s="69" t="e" vm="1">
        <v>#VALUE!</v>
      </c>
      <c r="O2003" s="164"/>
      <c r="P2003" s="72" t="s">
        <v>6957</v>
      </c>
      <c r="Q2003" s="72"/>
      <c r="R2003" s="162"/>
      <c r="S2003" s="146"/>
      <c r="T2003" s="68" t="s">
        <v>165</v>
      </c>
      <c r="U2003" s="87">
        <v>0.01</v>
      </c>
      <c r="V2003" s="183">
        <v>42902</v>
      </c>
      <c r="W2003" s="73">
        <v>1275</v>
      </c>
      <c r="X2003" s="73">
        <f>1622*26652.66/1000000</f>
        <v>43.230614520000003</v>
      </c>
      <c r="Y2003" s="83">
        <f>IF(SUM(W2003:W2003)&gt;0,X2003/SUM(W2003:W2003)*1000000,"N/A")</f>
        <v>33906.364329411772</v>
      </c>
      <c r="Z2003" s="183"/>
      <c r="AA2003" s="183"/>
      <c r="AB2003" s="73"/>
      <c r="AC2003" s="153"/>
      <c r="AD2003" s="331"/>
      <c r="AE2003" s="57"/>
      <c r="AF2003" s="88"/>
      <c r="AG2003" s="182">
        <f>YEAR(D2003)</f>
        <v>2017</v>
      </c>
      <c r="AH2003" s="86" t="str">
        <f>+IF(AE2003=$AJ$22,MONTH(T2003),"")</f>
        <v/>
      </c>
      <c r="AI2003" s="86" t="str">
        <f>+IF(AF2003=$AJ$22,MONTH(U2003),"")</f>
        <v/>
      </c>
      <c r="AJ2003" s="86" t="str">
        <f>+IF(AG2003=$AJ$22,MONTH(V2003),"")</f>
        <v/>
      </c>
      <c r="AK2003" s="86" t="str">
        <f>+IF(AG2003=$AK$22,MONTH(V2003),"")</f>
        <v/>
      </c>
      <c r="AL2003" s="86" t="str">
        <f>+IF(AG2003=$AL$22,MONTH(V2003),"")</f>
        <v/>
      </c>
      <c r="AM2003" s="86" t="str">
        <f>+IF($AG2003=$AM$22,MONTH($D2003),"")</f>
        <v/>
      </c>
      <c r="AN2003" s="89" t="str">
        <f>+IF($AG2003=AN$22,MONTH($D2003),"")</f>
        <v/>
      </c>
      <c r="AO2003" s="86" t="str">
        <f>+IF($AG2003=AO$22,MONTH($D2003),"")</f>
        <v/>
      </c>
      <c r="AP2003" s="86" t="str">
        <f>+IF($AG2003=AP$22,MONTH($D2003),"")</f>
        <v/>
      </c>
      <c r="AQ2003" s="86">
        <f>+IF($AG2003=AQ$22,MONTH($D2003),"")</f>
        <v>6</v>
      </c>
      <c r="AR2003" s="86" t="str">
        <f>+IF($AG2003=AR$22,MONTH($D2003),"")</f>
        <v/>
      </c>
      <c r="AS2003" s="86" t="str">
        <f>+IF($AG2003=AS$22,MONTH($D2003),"")</f>
        <v/>
      </c>
      <c r="AT2003" s="86" t="str">
        <f>+IF($AG2003=AT$22,MONTH($D2003),"")</f>
        <v/>
      </c>
      <c r="AU2003" s="86" t="str">
        <f>+IF($AG2003=AU$22,MONTH($D2003),"")</f>
        <v/>
      </c>
      <c r="AV2003" s="86" t="str">
        <f>+IF($AG2003=AV$22,MONTH($D2003),"")</f>
        <v/>
      </c>
      <c r="AW2003" s="86" t="str">
        <f>+IF($AG2003=AW$22,MONTH($D2003),"")</f>
        <v/>
      </c>
      <c r="AX2003" s="86" t="str">
        <f>+IF($AG2003=AX$22,MONTH($D2003),"")</f>
        <v/>
      </c>
      <c r="AY2003" s="89"/>
      <c r="AZ2003" s="89"/>
      <c r="BA2003" s="89"/>
      <c r="BB2003" s="89"/>
      <c r="BC2003" s="89"/>
      <c r="BD2003" s="89"/>
      <c r="BE2003" s="89"/>
      <c r="BF2003" s="89"/>
      <c r="BG2003" s="89"/>
      <c r="BH2003" s="89"/>
      <c r="BI2003" s="89"/>
      <c r="BJ2003" s="89"/>
      <c r="BK2003" s="89"/>
      <c r="BL2003" s="89"/>
      <c r="BM2003" s="89"/>
      <c r="BN2003" s="89"/>
      <c r="BO2003" s="89"/>
      <c r="BP2003" s="89"/>
    </row>
    <row r="2004" spans="1:68" s="56" customFormat="1" ht="27" hidden="1">
      <c r="A2004" s="204">
        <f>+IFERROR(VALUE(MID(AB2004,4,4)),"")</f>
        <v>158</v>
      </c>
      <c r="B2004" s="204">
        <f>VALUE(RIGHT(C2004,LEN(C2004)-2))</f>
        <v>721</v>
      </c>
      <c r="C2004" s="74" t="s">
        <v>6958</v>
      </c>
      <c r="D2004" s="75">
        <v>42895</v>
      </c>
      <c r="E2004" s="70" t="s">
        <v>41</v>
      </c>
      <c r="F2004" s="70" t="s">
        <v>41</v>
      </c>
      <c r="G2004" s="68"/>
      <c r="H2004" s="59"/>
      <c r="I2004" s="162" t="s">
        <v>6959</v>
      </c>
      <c r="J2004" s="162"/>
      <c r="K2004" s="68" t="s">
        <v>12</v>
      </c>
      <c r="L2004" s="69" t="s">
        <v>123</v>
      </c>
      <c r="M2004" s="71" t="s">
        <v>141</v>
      </c>
      <c r="N2004" s="69" t="e" vm="1">
        <v>#VALUE!</v>
      </c>
      <c r="O2004" s="164">
        <v>42895</v>
      </c>
      <c r="P2004" s="72" t="s">
        <v>402</v>
      </c>
      <c r="Q2004" s="72"/>
      <c r="R2004" s="162"/>
      <c r="S2004" s="146"/>
      <c r="T2004" s="68" t="s">
        <v>3</v>
      </c>
      <c r="U2004" s="87"/>
      <c r="V2004" s="183">
        <v>42905</v>
      </c>
      <c r="W2004" s="73">
        <v>37</v>
      </c>
      <c r="X2004" s="73">
        <f>54*26600/1000000</f>
        <v>1.4363999999999999</v>
      </c>
      <c r="Y2004" s="83">
        <f>IF(SUM(W2004:W2004)&gt;0,X2004/SUM(W2004:W2004)*1000000,"N/A")</f>
        <v>38821.621621621613</v>
      </c>
      <c r="Z2004" s="183"/>
      <c r="AA2004" s="183"/>
      <c r="AB2004" s="73" t="s">
        <v>6960</v>
      </c>
      <c r="AC2004" s="153"/>
      <c r="AD2004" s="331"/>
      <c r="AE2004" s="57"/>
      <c r="AF2004" s="88"/>
      <c r="AG2004" s="182">
        <f>YEAR(D2004)</f>
        <v>2017</v>
      </c>
      <c r="AH2004" s="86" t="str">
        <f>+IF(AE2004=$AJ$22,MONTH(T2004),"")</f>
        <v/>
      </c>
      <c r="AI2004" s="86" t="str">
        <f>+IF(AF2004=$AJ$22,MONTH(U2004),"")</f>
        <v/>
      </c>
      <c r="AJ2004" s="86" t="str">
        <f>+IF(AG2004=$AJ$22,MONTH(V2004),"")</f>
        <v/>
      </c>
      <c r="AK2004" s="86" t="str">
        <f>+IF(AG2004=$AK$22,MONTH(V2004),"")</f>
        <v/>
      </c>
      <c r="AL2004" s="86" t="str">
        <f>+IF(AG2004=$AL$22,MONTH(V2004),"")</f>
        <v/>
      </c>
      <c r="AM2004" s="86" t="str">
        <f>+IF($AG2004=$AM$22,MONTH($D2004),"")</f>
        <v/>
      </c>
      <c r="AN2004" s="89" t="str">
        <f>+IF($AG2004=AN$22,MONTH($D2004),"")</f>
        <v/>
      </c>
      <c r="AO2004" s="86" t="str">
        <f>+IF($AG2004=AO$22,MONTH($D2004),"")</f>
        <v/>
      </c>
      <c r="AP2004" s="86" t="str">
        <f>+IF($AG2004=AP$22,MONTH($D2004),"")</f>
        <v/>
      </c>
      <c r="AQ2004" s="86">
        <f>+IF($AG2004=AQ$22,MONTH($D2004),"")</f>
        <v>6</v>
      </c>
      <c r="AR2004" s="86" t="str">
        <f>+IF($AG2004=AR$22,MONTH($D2004),"")</f>
        <v/>
      </c>
      <c r="AS2004" s="86" t="str">
        <f>+IF($AG2004=AS$22,MONTH($D2004),"")</f>
        <v/>
      </c>
      <c r="AT2004" s="86" t="str">
        <f>+IF($AG2004=AT$22,MONTH($D2004),"")</f>
        <v/>
      </c>
      <c r="AU2004" s="86" t="str">
        <f>+IF($AG2004=AU$22,MONTH($D2004),"")</f>
        <v/>
      </c>
      <c r="AV2004" s="86" t="str">
        <f>+IF($AG2004=AV$22,MONTH($D2004),"")</f>
        <v/>
      </c>
      <c r="AW2004" s="86" t="str">
        <f>+IF($AG2004=AW$22,MONTH($D2004),"")</f>
        <v/>
      </c>
      <c r="AX2004" s="86" t="str">
        <f>+IF($AG2004=AX$22,MONTH($D2004),"")</f>
        <v/>
      </c>
      <c r="AY2004" s="89"/>
      <c r="AZ2004" s="89"/>
      <c r="BA2004" s="89"/>
      <c r="BB2004" s="89"/>
      <c r="BC2004" s="89"/>
      <c r="BD2004" s="89"/>
      <c r="BE2004" s="89"/>
      <c r="BF2004" s="89"/>
      <c r="BG2004" s="89"/>
      <c r="BH2004" s="89"/>
      <c r="BI2004" s="89"/>
      <c r="BJ2004" s="89"/>
      <c r="BK2004" s="89"/>
      <c r="BL2004" s="89"/>
      <c r="BM2004" s="89"/>
      <c r="BN2004" s="89"/>
      <c r="BO2004" s="89"/>
      <c r="BP2004" s="89"/>
    </row>
    <row r="2005" spans="1:68" s="56" customFormat="1" ht="27" hidden="1">
      <c r="A2005" s="204" t="str">
        <f>+IFERROR(VALUE(MID(AB2005,4,4)),"")</f>
        <v/>
      </c>
      <c r="B2005" s="204">
        <f>VALUE(RIGHT(C2005,LEN(C2005)-2))</f>
        <v>720</v>
      </c>
      <c r="C2005" s="74" t="s">
        <v>6961</v>
      </c>
      <c r="D2005" s="75">
        <v>42893</v>
      </c>
      <c r="E2005" s="70" t="s">
        <v>394</v>
      </c>
      <c r="F2005" s="70" t="s">
        <v>97</v>
      </c>
      <c r="G2005" s="68"/>
      <c r="H2005" s="59"/>
      <c r="I2005" s="162" t="s">
        <v>6962</v>
      </c>
      <c r="J2005" s="162"/>
      <c r="K2005" s="68" t="s">
        <v>13</v>
      </c>
      <c r="L2005" s="69" t="s">
        <v>123</v>
      </c>
      <c r="M2005" s="71" t="s">
        <v>141</v>
      </c>
      <c r="N2005" s="69" t="e" vm="1">
        <v>#VALUE!</v>
      </c>
      <c r="O2005" s="164"/>
      <c r="P2005" s="72"/>
      <c r="Q2005" s="72"/>
      <c r="R2005" s="162"/>
      <c r="S2005" s="146" t="s">
        <v>6963</v>
      </c>
      <c r="T2005" s="68" t="s">
        <v>155</v>
      </c>
      <c r="U2005" s="87"/>
      <c r="V2005" s="183"/>
      <c r="W2005" s="73"/>
      <c r="X2005" s="73"/>
      <c r="Y2005" s="83"/>
      <c r="Z2005" s="183"/>
      <c r="AA2005" s="183"/>
      <c r="AB2005" s="73"/>
      <c r="AC2005" s="153"/>
      <c r="AD2005" s="331"/>
      <c r="AE2005" s="57"/>
      <c r="AF2005" s="88"/>
      <c r="AG2005" s="182">
        <f>YEAR(D2005)</f>
        <v>2017</v>
      </c>
      <c r="AH2005" s="86" t="str">
        <f>+IF(AE2005=$AJ$22,MONTH(T2005),"")</f>
        <v/>
      </c>
      <c r="AI2005" s="86" t="str">
        <f>+IF(AF2005=$AJ$22,MONTH(U2005),"")</f>
        <v/>
      </c>
      <c r="AJ2005" s="86" t="str">
        <f>+IF(AG2005=$AJ$22,MONTH(V2005),"")</f>
        <v/>
      </c>
      <c r="AK2005" s="86" t="str">
        <f>+IF(AG2005=$AK$22,MONTH(V2005),"")</f>
        <v/>
      </c>
      <c r="AL2005" s="86" t="str">
        <f>+IF(AG2005=$AL$22,MONTH(V2005),"")</f>
        <v/>
      </c>
      <c r="AM2005" s="86" t="str">
        <f>+IF($AG2005=$AM$22,MONTH($D2005),"")</f>
        <v/>
      </c>
      <c r="AN2005" s="89" t="str">
        <f>+IF($AG2005=AN$22,MONTH($D2005),"")</f>
        <v/>
      </c>
      <c r="AO2005" s="86" t="str">
        <f>+IF($AG2005=AO$22,MONTH($D2005),"")</f>
        <v/>
      </c>
      <c r="AP2005" s="86" t="str">
        <f>+IF($AG2005=AP$22,MONTH($D2005),"")</f>
        <v/>
      </c>
      <c r="AQ2005" s="86">
        <f>+IF($AG2005=AQ$22,MONTH($D2005),"")</f>
        <v>6</v>
      </c>
      <c r="AR2005" s="86" t="str">
        <f>+IF($AG2005=AR$22,MONTH($D2005),"")</f>
        <v/>
      </c>
      <c r="AS2005" s="86" t="str">
        <f>+IF($AG2005=AS$22,MONTH($D2005),"")</f>
        <v/>
      </c>
      <c r="AT2005" s="86" t="str">
        <f>+IF($AG2005=AT$22,MONTH($D2005),"")</f>
        <v/>
      </c>
      <c r="AU2005" s="86" t="str">
        <f>+IF($AG2005=AU$22,MONTH($D2005),"")</f>
        <v/>
      </c>
      <c r="AV2005" s="86" t="str">
        <f>+IF($AG2005=AV$22,MONTH($D2005),"")</f>
        <v/>
      </c>
      <c r="AW2005" s="86" t="str">
        <f>+IF($AG2005=AW$22,MONTH($D2005),"")</f>
        <v/>
      </c>
      <c r="AX2005" s="86" t="str">
        <f>+IF($AG2005=AX$22,MONTH($D2005),"")</f>
        <v/>
      </c>
      <c r="AY2005" s="89"/>
      <c r="AZ2005" s="89"/>
      <c r="BA2005" s="89"/>
      <c r="BB2005" s="89"/>
      <c r="BC2005" s="89"/>
      <c r="BD2005" s="89"/>
      <c r="BE2005" s="89"/>
      <c r="BF2005" s="89"/>
      <c r="BG2005" s="89"/>
      <c r="BH2005" s="89"/>
      <c r="BI2005" s="89"/>
      <c r="BJ2005" s="89"/>
      <c r="BK2005" s="89"/>
      <c r="BL2005" s="89"/>
      <c r="BM2005" s="89"/>
      <c r="BN2005" s="89"/>
      <c r="BO2005" s="89"/>
      <c r="BP2005" s="89"/>
    </row>
    <row r="2006" spans="1:68" s="56" customFormat="1" ht="13.5" hidden="1">
      <c r="A2006" s="204" t="str">
        <f>+IFERROR(VALUE(MID(AB2006,4,4)),"")</f>
        <v/>
      </c>
      <c r="B2006" s="204">
        <f>VALUE(RIGHT(C2006,LEN(C2006)-2))</f>
        <v>719</v>
      </c>
      <c r="C2006" s="74" t="s">
        <v>6964</v>
      </c>
      <c r="D2006" s="75">
        <v>42986</v>
      </c>
      <c r="E2006" s="70" t="s">
        <v>106</v>
      </c>
      <c r="F2006" s="70" t="s">
        <v>106</v>
      </c>
      <c r="G2006" s="68"/>
      <c r="H2006" s="59"/>
      <c r="I2006" s="162" t="s">
        <v>6965</v>
      </c>
      <c r="J2006" s="162"/>
      <c r="K2006" s="68"/>
      <c r="L2006" s="69" t="s">
        <v>120</v>
      </c>
      <c r="M2006" s="71" t="s">
        <v>141</v>
      </c>
      <c r="N2006" s="69" t="e" vm="1">
        <v>#VALUE!</v>
      </c>
      <c r="O2006" s="164">
        <v>42913</v>
      </c>
      <c r="P2006" s="72" t="s">
        <v>6957</v>
      </c>
      <c r="Q2006" s="72"/>
      <c r="R2006" s="162"/>
      <c r="S2006" s="146"/>
      <c r="T2006" s="68" t="s">
        <v>165</v>
      </c>
      <c r="U2006" s="87"/>
      <c r="V2006" s="183">
        <v>42933</v>
      </c>
      <c r="W2006" s="73">
        <v>1102</v>
      </c>
      <c r="X2006" s="73">
        <f>1381*24600/1000000</f>
        <v>33.9726</v>
      </c>
      <c r="Y2006" s="83">
        <f>IF(SUM(W2006:W2006)&gt;0,X2006/SUM(W2006:W2006)*1000000,"N/A")</f>
        <v>30828.130671506351</v>
      </c>
      <c r="Z2006" s="183"/>
      <c r="AA2006" s="183"/>
      <c r="AB2006" s="73"/>
      <c r="AC2006" s="153"/>
      <c r="AD2006" s="331"/>
      <c r="AE2006" s="57"/>
      <c r="AF2006" s="88"/>
      <c r="AG2006" s="182">
        <f>YEAR(D2006)</f>
        <v>2017</v>
      </c>
      <c r="AH2006" s="86" t="str">
        <f>+IF(AE2006=$AJ$22,MONTH(T2006),"")</f>
        <v/>
      </c>
      <c r="AI2006" s="86" t="str">
        <f>+IF(AF2006=$AJ$22,MONTH(U2006),"")</f>
        <v/>
      </c>
      <c r="AJ2006" s="86" t="str">
        <f>+IF(AG2006=$AJ$22,MONTH(V2006),"")</f>
        <v/>
      </c>
      <c r="AK2006" s="86" t="str">
        <f>+IF(AG2006=$AK$22,MONTH(V2006),"")</f>
        <v/>
      </c>
      <c r="AL2006" s="86" t="str">
        <f>+IF(AG2006=$AL$22,MONTH(V2006),"")</f>
        <v/>
      </c>
      <c r="AM2006" s="86" t="str">
        <f>+IF($AG2006=$AM$22,MONTH($D2006),"")</f>
        <v/>
      </c>
      <c r="AN2006" s="89" t="str">
        <f>+IF($AG2006=AN$22,MONTH($D2006),"")</f>
        <v/>
      </c>
      <c r="AO2006" s="184" t="str">
        <f>+IF($AG2006=AO$22,MONTH($D2006),"")</f>
        <v/>
      </c>
      <c r="AP2006" s="184" t="str">
        <f>+IF($AG2006=AP$22,MONTH($D2006),"")</f>
        <v/>
      </c>
      <c r="AQ2006" s="184">
        <f>+IF($AG2006=AQ$22,MONTH($D2006),"")</f>
        <v>9</v>
      </c>
      <c r="AR2006" s="184" t="str">
        <f>+IF($AG2006=AR$22,MONTH($D2006),"")</f>
        <v/>
      </c>
      <c r="AS2006" s="184" t="str">
        <f>+IF($AG2006=AS$22,MONTH($D2006),"")</f>
        <v/>
      </c>
      <c r="AT2006" s="86" t="str">
        <f>+IF($AG2006=AT$22,MONTH($D2006),"")</f>
        <v/>
      </c>
      <c r="AU2006" s="86" t="str">
        <f>+IF($AG2006=AU$22,MONTH($D2006),"")</f>
        <v/>
      </c>
      <c r="AV2006" s="86" t="str">
        <f>+IF($AG2006=AV$22,MONTH($D2006),"")</f>
        <v/>
      </c>
      <c r="AW2006" s="86" t="str">
        <f>+IF($AG2006=AW$22,MONTH($D2006),"")</f>
        <v/>
      </c>
      <c r="AX2006" s="86" t="str">
        <f>+IF($AG2006=AX$22,MONTH($D2006),"")</f>
        <v/>
      </c>
      <c r="AY2006" s="89"/>
      <c r="AZ2006" s="89"/>
      <c r="BA2006" s="89"/>
      <c r="BB2006" s="89"/>
      <c r="BC2006" s="89"/>
      <c r="BD2006" s="89"/>
      <c r="BE2006" s="89"/>
      <c r="BF2006" s="89"/>
      <c r="BG2006" s="89"/>
      <c r="BH2006" s="89"/>
      <c r="BI2006" s="89"/>
      <c r="BJ2006" s="89"/>
      <c r="BK2006" s="89"/>
      <c r="BL2006" s="89"/>
      <c r="BM2006" s="89"/>
      <c r="BN2006" s="89"/>
      <c r="BO2006" s="89"/>
      <c r="BP2006" s="89"/>
    </row>
    <row r="2007" spans="1:68" s="56" customFormat="1" ht="13.5" hidden="1">
      <c r="A2007" s="204" t="str">
        <f>+IFERROR(VALUE(MID(AB2007,4,4)),"")</f>
        <v/>
      </c>
      <c r="B2007" s="204">
        <f>VALUE(RIGHT(C2007,LEN(C2007)-2))</f>
        <v>718</v>
      </c>
      <c r="C2007" s="74" t="s">
        <v>6966</v>
      </c>
      <c r="D2007" s="75">
        <v>42888</v>
      </c>
      <c r="E2007" s="70"/>
      <c r="F2007" s="70"/>
      <c r="G2007" s="68"/>
      <c r="H2007" s="59"/>
      <c r="I2007" s="162" t="s">
        <v>6967</v>
      </c>
      <c r="J2007" s="162"/>
      <c r="K2007" s="68"/>
      <c r="L2007" s="69"/>
      <c r="M2007" s="71"/>
      <c r="N2007" s="69"/>
      <c r="O2007" s="164"/>
      <c r="P2007" s="72"/>
      <c r="Q2007" s="72"/>
      <c r="R2007" s="162"/>
      <c r="S2007" s="146"/>
      <c r="T2007" s="68" t="s">
        <v>155</v>
      </c>
      <c r="U2007" s="87"/>
      <c r="V2007" s="183"/>
      <c r="W2007" s="73"/>
      <c r="X2007" s="73"/>
      <c r="Y2007" s="83"/>
      <c r="Z2007" s="183"/>
      <c r="AA2007" s="183"/>
      <c r="AB2007" s="73"/>
      <c r="AC2007" s="153"/>
      <c r="AD2007" s="331"/>
      <c r="AE2007" s="57"/>
      <c r="AF2007" s="88"/>
      <c r="AG2007" s="182">
        <f>YEAR(D2007)</f>
        <v>2017</v>
      </c>
      <c r="AH2007" s="86" t="str">
        <f>+IF(AE2007=$AJ$22,MONTH(T2007),"")</f>
        <v/>
      </c>
      <c r="AI2007" s="86" t="str">
        <f>+IF(AF2007=$AJ$22,MONTH(U2007),"")</f>
        <v/>
      </c>
      <c r="AJ2007" s="86" t="str">
        <f>+IF(AG2007=$AJ$22,MONTH(V2007),"")</f>
        <v/>
      </c>
      <c r="AK2007" s="86" t="str">
        <f>+IF(AG2007=$AK$22,MONTH(V2007),"")</f>
        <v/>
      </c>
      <c r="AL2007" s="86" t="str">
        <f>+IF(AG2007=$AL$22,MONTH(V2007),"")</f>
        <v/>
      </c>
      <c r="AM2007" s="86" t="str">
        <f>+IF($AG2007=$AM$22,MONTH($D2007),"")</f>
        <v/>
      </c>
      <c r="AN2007" s="89" t="str">
        <f>+IF($AG2007=AN$22,MONTH($D2007),"")</f>
        <v/>
      </c>
      <c r="AO2007" s="86" t="str">
        <f>+IF($AG2007=AO$22,MONTH($D2007),"")</f>
        <v/>
      </c>
      <c r="AP2007" s="86" t="str">
        <f>+IF($AG2007=AP$22,MONTH($D2007),"")</f>
        <v/>
      </c>
      <c r="AQ2007" s="86">
        <f>+IF($AG2007=AQ$22,MONTH($D2007),"")</f>
        <v>6</v>
      </c>
      <c r="AR2007" s="86" t="str">
        <f>+IF($AG2007=AR$22,MONTH($D2007),"")</f>
        <v/>
      </c>
      <c r="AS2007" s="86" t="str">
        <f>+IF($AG2007=AS$22,MONTH($D2007),"")</f>
        <v/>
      </c>
      <c r="AT2007" s="86" t="str">
        <f>+IF($AG2007=AT$22,MONTH($D2007),"")</f>
        <v/>
      </c>
      <c r="AU2007" s="86" t="str">
        <f>+IF($AG2007=AU$22,MONTH($D2007),"")</f>
        <v/>
      </c>
      <c r="AV2007" s="86" t="str">
        <f>+IF($AG2007=AV$22,MONTH($D2007),"")</f>
        <v/>
      </c>
      <c r="AW2007" s="86" t="str">
        <f>+IF($AG2007=AW$22,MONTH($D2007),"")</f>
        <v/>
      </c>
      <c r="AX2007" s="86" t="str">
        <f>+IF($AG2007=AX$22,MONTH($D2007),"")</f>
        <v/>
      </c>
      <c r="AY2007" s="89"/>
      <c r="AZ2007" s="89"/>
      <c r="BA2007" s="89"/>
      <c r="BB2007" s="89"/>
      <c r="BC2007" s="89"/>
      <c r="BD2007" s="89"/>
      <c r="BE2007" s="89"/>
      <c r="BF2007" s="89"/>
      <c r="BG2007" s="89"/>
      <c r="BH2007" s="89"/>
      <c r="BI2007" s="89"/>
      <c r="BJ2007" s="89"/>
      <c r="BK2007" s="89"/>
      <c r="BL2007" s="89"/>
      <c r="BM2007" s="89"/>
      <c r="BN2007" s="89"/>
      <c r="BO2007" s="89"/>
      <c r="BP2007" s="89"/>
    </row>
    <row r="2008" spans="1:68" s="56" customFormat="1" ht="13.5" hidden="1">
      <c r="A2008" s="204">
        <f>+IFERROR(VALUE(MID(AB2008,4,4)),"")</f>
        <v>165</v>
      </c>
      <c r="B2008" s="204">
        <f>VALUE(RIGHT(C2008,LEN(C2008)-2))</f>
        <v>717</v>
      </c>
      <c r="C2008" s="74" t="s">
        <v>6968</v>
      </c>
      <c r="D2008" s="75">
        <v>42883</v>
      </c>
      <c r="E2008" s="70" t="s">
        <v>92</v>
      </c>
      <c r="F2008" s="70" t="s">
        <v>6969</v>
      </c>
      <c r="G2008" s="68"/>
      <c r="H2008" s="59"/>
      <c r="I2008" s="162" t="s">
        <v>6970</v>
      </c>
      <c r="J2008" s="162"/>
      <c r="K2008" s="68" t="s">
        <v>31</v>
      </c>
      <c r="L2008" s="69" t="s">
        <v>120</v>
      </c>
      <c r="M2008" s="71" t="s">
        <v>113</v>
      </c>
      <c r="N2008" s="69" t="e" vm="12">
        <v>#VALUE!</v>
      </c>
      <c r="O2008" s="164">
        <v>42886</v>
      </c>
      <c r="P2008" s="72" t="s">
        <v>4567</v>
      </c>
      <c r="Q2008" s="72"/>
      <c r="R2008" s="162"/>
      <c r="S2008" s="146"/>
      <c r="T2008" s="68" t="s">
        <v>3</v>
      </c>
      <c r="U2008" s="87"/>
      <c r="V2008" s="183">
        <v>42883</v>
      </c>
      <c r="W2008" s="73">
        <v>200</v>
      </c>
      <c r="X2008" s="73"/>
      <c r="Y2008" s="83"/>
      <c r="Z2008" s="183"/>
      <c r="AA2008" s="183"/>
      <c r="AB2008" s="73" t="s">
        <v>6971</v>
      </c>
      <c r="AC2008" s="153"/>
      <c r="AD2008" s="331"/>
      <c r="AE2008" s="57"/>
      <c r="AF2008" s="88"/>
      <c r="AG2008" s="182">
        <f>YEAR(D2008)</f>
        <v>2017</v>
      </c>
      <c r="AH2008" s="86" t="str">
        <f>+IF(AE2008=$AJ$22,MONTH(T2008),"")</f>
        <v/>
      </c>
      <c r="AI2008" s="86" t="str">
        <f>+IF(AF2008=$AJ$22,MONTH(U2008),"")</f>
        <v/>
      </c>
      <c r="AJ2008" s="86" t="str">
        <f>+IF(AG2008=$AJ$22,MONTH(V2008),"")</f>
        <v/>
      </c>
      <c r="AK2008" s="86" t="str">
        <f>+IF(AG2008=$AK$22,MONTH(V2008),"")</f>
        <v/>
      </c>
      <c r="AL2008" s="86" t="str">
        <f>+IF(AG2008=$AL$22,MONTH(V2008),"")</f>
        <v/>
      </c>
      <c r="AM2008" s="86" t="str">
        <f>+IF($AG2008=$AM$22,MONTH($D2008),"")</f>
        <v/>
      </c>
      <c r="AN2008" s="89" t="str">
        <f>+IF($AG2008=AN$22,MONTH($D2008),"")</f>
        <v/>
      </c>
      <c r="AO2008" s="86" t="str">
        <f>+IF($AG2008=AO$22,MONTH($D2008),"")</f>
        <v/>
      </c>
      <c r="AP2008" s="86" t="str">
        <f>+IF($AG2008=AP$22,MONTH($D2008),"")</f>
        <v/>
      </c>
      <c r="AQ2008" s="86">
        <f>+IF($AG2008=AQ$22,MONTH($D2008),"")</f>
        <v>5</v>
      </c>
      <c r="AR2008" s="86" t="str">
        <f>+IF($AG2008=AR$22,MONTH($D2008),"")</f>
        <v/>
      </c>
      <c r="AS2008" s="86" t="str">
        <f>+IF($AG2008=AS$22,MONTH($D2008),"")</f>
        <v/>
      </c>
      <c r="AT2008" s="86" t="str">
        <f>+IF($AG2008=AT$22,MONTH($D2008),"")</f>
        <v/>
      </c>
      <c r="AU2008" s="86" t="str">
        <f>+IF($AG2008=AU$22,MONTH($D2008),"")</f>
        <v/>
      </c>
      <c r="AV2008" s="86" t="str">
        <f>+IF($AG2008=AV$22,MONTH($D2008),"")</f>
        <v/>
      </c>
      <c r="AW2008" s="86" t="str">
        <f>+IF($AG2008=AW$22,MONTH($D2008),"")</f>
        <v/>
      </c>
      <c r="AX2008" s="86" t="str">
        <f>+IF($AG2008=AX$22,MONTH($D2008),"")</f>
        <v/>
      </c>
      <c r="AY2008" s="89"/>
      <c r="AZ2008" s="89"/>
      <c r="BA2008" s="89"/>
      <c r="BB2008" s="89"/>
      <c r="BC2008" s="89"/>
      <c r="BD2008" s="89"/>
      <c r="BE2008" s="89"/>
      <c r="BF2008" s="89"/>
      <c r="BG2008" s="89"/>
      <c r="BH2008" s="89"/>
      <c r="BI2008" s="89"/>
      <c r="BJ2008" s="89"/>
      <c r="BK2008" s="89"/>
      <c r="BL2008" s="89"/>
      <c r="BM2008" s="89"/>
      <c r="BN2008" s="89"/>
      <c r="BO2008" s="89"/>
      <c r="BP2008" s="89"/>
    </row>
    <row r="2009" spans="1:68" s="56" customFormat="1" ht="13.5" hidden="1">
      <c r="A2009" s="204">
        <f>+IFERROR(VALUE(MID(AB2009,4,4)),"")</f>
        <v>159</v>
      </c>
      <c r="B2009" s="204">
        <f>VALUE(RIGHT(C2009,LEN(C2009)-2))</f>
        <v>716</v>
      </c>
      <c r="C2009" s="74" t="s">
        <v>6972</v>
      </c>
      <c r="D2009" s="75">
        <v>42884</v>
      </c>
      <c r="E2009" s="70" t="s">
        <v>92</v>
      </c>
      <c r="F2009" s="70" t="s">
        <v>6969</v>
      </c>
      <c r="G2009" s="68"/>
      <c r="H2009" s="59"/>
      <c r="I2009" s="162" t="s">
        <v>6973</v>
      </c>
      <c r="J2009" s="162"/>
      <c r="K2009" s="68" t="s">
        <v>31</v>
      </c>
      <c r="L2009" s="69" t="s">
        <v>120</v>
      </c>
      <c r="M2009" s="71" t="s">
        <v>113</v>
      </c>
      <c r="N2009" s="69" t="e" vm="12">
        <v>#VALUE!</v>
      </c>
      <c r="O2009" s="164">
        <v>42887</v>
      </c>
      <c r="P2009" s="72" t="s">
        <v>4567</v>
      </c>
      <c r="Q2009" s="72"/>
      <c r="R2009" s="162"/>
      <c r="S2009" s="146"/>
      <c r="T2009" s="68" t="s">
        <v>3</v>
      </c>
      <c r="U2009" s="87"/>
      <c r="V2009" s="183">
        <v>42884</v>
      </c>
      <c r="W2009" s="73">
        <v>96</v>
      </c>
      <c r="X2009" s="73">
        <f>5400*680/1000000</f>
        <v>3.6720000000000002</v>
      </c>
      <c r="Y2009" s="83">
        <f>IF(SUM(W2009:W2009)&gt;0,X2009/SUM(W2009:W2009)*1000000,"N/A")</f>
        <v>38250</v>
      </c>
      <c r="Z2009" s="183"/>
      <c r="AA2009" s="183"/>
      <c r="AB2009" s="73" t="s">
        <v>6974</v>
      </c>
      <c r="AC2009" s="153"/>
      <c r="AD2009" s="331"/>
      <c r="AE2009" s="57"/>
      <c r="AF2009" s="88"/>
      <c r="AG2009" s="182">
        <f>YEAR(D2009)</f>
        <v>2017</v>
      </c>
      <c r="AH2009" s="86" t="str">
        <f>+IF(AE2009=$AJ$22,MONTH(T2009),"")</f>
        <v/>
      </c>
      <c r="AI2009" s="86" t="str">
        <f>+IF(AF2009=$AJ$22,MONTH(U2009),"")</f>
        <v/>
      </c>
      <c r="AJ2009" s="86" t="str">
        <f>+IF(AG2009=$AJ$22,MONTH(V2009),"")</f>
        <v/>
      </c>
      <c r="AK2009" s="86" t="str">
        <f>+IF(AG2009=$AK$22,MONTH(V2009),"")</f>
        <v/>
      </c>
      <c r="AL2009" s="86" t="str">
        <f>+IF(AG2009=$AL$22,MONTH(V2009),"")</f>
        <v/>
      </c>
      <c r="AM2009" s="86" t="str">
        <f>+IF($AG2009=$AM$22,MONTH($D2009),"")</f>
        <v/>
      </c>
      <c r="AN2009" s="89" t="str">
        <f>+IF($AG2009=AN$22,MONTH($D2009),"")</f>
        <v/>
      </c>
      <c r="AO2009" s="86" t="str">
        <f>+IF($AG2009=AO$22,MONTH($D2009),"")</f>
        <v/>
      </c>
      <c r="AP2009" s="86" t="str">
        <f>+IF($AG2009=AP$22,MONTH($D2009),"")</f>
        <v/>
      </c>
      <c r="AQ2009" s="86">
        <f>+IF($AG2009=AQ$22,MONTH($D2009),"")</f>
        <v>5</v>
      </c>
      <c r="AR2009" s="86" t="str">
        <f>+IF($AG2009=AR$22,MONTH($D2009),"")</f>
        <v/>
      </c>
      <c r="AS2009" s="86" t="str">
        <f>+IF($AG2009=AS$22,MONTH($D2009),"")</f>
        <v/>
      </c>
      <c r="AT2009" s="86" t="str">
        <f>+IF($AG2009=AT$22,MONTH($D2009),"")</f>
        <v/>
      </c>
      <c r="AU2009" s="86" t="str">
        <f>+IF($AG2009=AU$22,MONTH($D2009),"")</f>
        <v/>
      </c>
      <c r="AV2009" s="86" t="str">
        <f>+IF($AG2009=AV$22,MONTH($D2009),"")</f>
        <v/>
      </c>
      <c r="AW2009" s="86" t="str">
        <f>+IF($AG2009=AW$22,MONTH($D2009),"")</f>
        <v/>
      </c>
      <c r="AX2009" s="86" t="str">
        <f>+IF($AG2009=AX$22,MONTH($D2009),"")</f>
        <v/>
      </c>
      <c r="AY2009" s="89"/>
      <c r="AZ2009" s="89"/>
      <c r="BA2009" s="89"/>
      <c r="BB2009" s="89"/>
      <c r="BC2009" s="89"/>
      <c r="BD2009" s="89"/>
      <c r="BE2009" s="89"/>
      <c r="BF2009" s="89"/>
      <c r="BG2009" s="89"/>
      <c r="BH2009" s="89"/>
      <c r="BI2009" s="89"/>
      <c r="BJ2009" s="89"/>
      <c r="BK2009" s="89"/>
      <c r="BL2009" s="89"/>
      <c r="BM2009" s="89"/>
      <c r="BN2009" s="89"/>
      <c r="BO2009" s="89"/>
      <c r="BP2009" s="89"/>
    </row>
    <row r="2010" spans="1:68" s="56" customFormat="1" ht="13.5" hidden="1">
      <c r="A2010" s="204">
        <f>+IFERROR(VALUE(MID(AB2010,4,4)),"")</f>
        <v>157</v>
      </c>
      <c r="B2010" s="204">
        <f>VALUE(RIGHT(C2010,LEN(C2010)-2))</f>
        <v>715</v>
      </c>
      <c r="C2010" s="74" t="s">
        <v>6975</v>
      </c>
      <c r="D2010" s="75">
        <v>42885</v>
      </c>
      <c r="E2010" s="70" t="s">
        <v>92</v>
      </c>
      <c r="F2010" s="70" t="s">
        <v>6969</v>
      </c>
      <c r="G2010" s="68"/>
      <c r="H2010" s="59"/>
      <c r="I2010" s="162" t="s">
        <v>6976</v>
      </c>
      <c r="J2010" s="162"/>
      <c r="K2010" s="68" t="s">
        <v>31</v>
      </c>
      <c r="L2010" s="69" t="s">
        <v>120</v>
      </c>
      <c r="M2010" s="71" t="s">
        <v>113</v>
      </c>
      <c r="N2010" s="69" t="e" vm="12">
        <v>#VALUE!</v>
      </c>
      <c r="O2010" s="164">
        <v>42825</v>
      </c>
      <c r="P2010" s="72" t="s">
        <v>4567</v>
      </c>
      <c r="Q2010" s="72"/>
      <c r="R2010" s="162"/>
      <c r="S2010" s="146" t="s">
        <v>6977</v>
      </c>
      <c r="T2010" s="68" t="s">
        <v>3</v>
      </c>
      <c r="U2010" s="87"/>
      <c r="V2010" s="183">
        <v>42885</v>
      </c>
      <c r="W2010" s="73">
        <v>192</v>
      </c>
      <c r="X2010" s="73">
        <f>5431.15*630/1000000</f>
        <v>3.4216245000000001</v>
      </c>
      <c r="Y2010" s="83">
        <f>IF(SUM(W2010:W2010)&gt;0,X2010/SUM(W2010:W2010)*1000000,"N/A")</f>
        <v>17820.9609375</v>
      </c>
      <c r="Z2010" s="183"/>
      <c r="AA2010" s="183"/>
      <c r="AB2010" s="73" t="s">
        <v>6978</v>
      </c>
      <c r="AC2010" s="153"/>
      <c r="AD2010" s="331"/>
      <c r="AE2010" s="57"/>
      <c r="AF2010" s="88"/>
      <c r="AG2010" s="182">
        <f>YEAR(D2010)</f>
        <v>2017</v>
      </c>
      <c r="AH2010" s="86" t="str">
        <f>+IF(AE2010=$AJ$22,MONTH(T2010),"")</f>
        <v/>
      </c>
      <c r="AI2010" s="86" t="str">
        <f>+IF(AF2010=$AJ$22,MONTH(U2010),"")</f>
        <v/>
      </c>
      <c r="AJ2010" s="86" t="str">
        <f>+IF(AG2010=$AJ$22,MONTH(V2010),"")</f>
        <v/>
      </c>
      <c r="AK2010" s="86" t="str">
        <f>+IF(AG2010=$AK$22,MONTH(V2010),"")</f>
        <v/>
      </c>
      <c r="AL2010" s="86" t="str">
        <f>+IF(AG2010=$AL$22,MONTH(V2010),"")</f>
        <v/>
      </c>
      <c r="AM2010" s="86" t="str">
        <f>+IF($AG2010=$AM$22,MONTH($D2010),"")</f>
        <v/>
      </c>
      <c r="AN2010" s="89" t="str">
        <f>+IF($AG2010=AN$22,MONTH($D2010),"")</f>
        <v/>
      </c>
      <c r="AO2010" s="86" t="str">
        <f>+IF($AG2010=AO$22,MONTH($D2010),"")</f>
        <v/>
      </c>
      <c r="AP2010" s="86" t="str">
        <f>+IF($AG2010=AP$22,MONTH($D2010),"")</f>
        <v/>
      </c>
      <c r="AQ2010" s="86">
        <f>+IF($AG2010=AQ$22,MONTH($D2010),"")</f>
        <v>5</v>
      </c>
      <c r="AR2010" s="86" t="str">
        <f>+IF($AG2010=AR$22,MONTH($D2010),"")</f>
        <v/>
      </c>
      <c r="AS2010" s="86" t="str">
        <f>+IF($AG2010=AS$22,MONTH($D2010),"")</f>
        <v/>
      </c>
      <c r="AT2010" s="86" t="str">
        <f>+IF($AG2010=AT$22,MONTH($D2010),"")</f>
        <v/>
      </c>
      <c r="AU2010" s="86" t="str">
        <f>+IF($AG2010=AU$22,MONTH($D2010),"")</f>
        <v/>
      </c>
      <c r="AV2010" s="86" t="str">
        <f>+IF($AG2010=AV$22,MONTH($D2010),"")</f>
        <v/>
      </c>
      <c r="AW2010" s="86" t="str">
        <f>+IF($AG2010=AW$22,MONTH($D2010),"")</f>
        <v/>
      </c>
      <c r="AX2010" s="86" t="str">
        <f>+IF($AG2010=AX$22,MONTH($D2010),"")</f>
        <v/>
      </c>
      <c r="AY2010" s="89"/>
      <c r="AZ2010" s="89"/>
      <c r="BA2010" s="89"/>
      <c r="BB2010" s="89"/>
      <c r="BC2010" s="89"/>
      <c r="BD2010" s="89"/>
      <c r="BE2010" s="89"/>
      <c r="BF2010" s="89"/>
      <c r="BG2010" s="89"/>
      <c r="BH2010" s="89"/>
      <c r="BI2010" s="89"/>
      <c r="BJ2010" s="89"/>
      <c r="BK2010" s="89"/>
      <c r="BL2010" s="89"/>
      <c r="BM2010" s="89"/>
      <c r="BN2010" s="89"/>
      <c r="BO2010" s="89"/>
      <c r="BP2010" s="89"/>
    </row>
    <row r="2011" spans="1:68" s="56" customFormat="1" ht="13.5" hidden="1">
      <c r="A2011" s="204" t="str">
        <f>+IFERROR(VALUE(MID(AB2011,4,4)),"")</f>
        <v/>
      </c>
      <c r="B2011" s="204">
        <f>VALUE(RIGHT(C2011,LEN(C2011)-2))</f>
        <v>714</v>
      </c>
      <c r="C2011" s="74" t="s">
        <v>6979</v>
      </c>
      <c r="D2011" s="75">
        <v>42886</v>
      </c>
      <c r="E2011" s="70" t="s">
        <v>332</v>
      </c>
      <c r="F2011" s="70" t="s">
        <v>332</v>
      </c>
      <c r="G2011" s="68"/>
      <c r="H2011" s="59"/>
      <c r="I2011" s="162" t="s">
        <v>6980</v>
      </c>
      <c r="J2011" s="162"/>
      <c r="K2011" s="68" t="s">
        <v>13</v>
      </c>
      <c r="L2011" s="69" t="s">
        <v>123</v>
      </c>
      <c r="M2011" s="71" t="s">
        <v>141</v>
      </c>
      <c r="N2011" s="69" t="e" vm="1">
        <v>#VALUE!</v>
      </c>
      <c r="O2011" s="164">
        <v>42888</v>
      </c>
      <c r="P2011" s="72" t="s">
        <v>666</v>
      </c>
      <c r="Q2011" s="72"/>
      <c r="R2011" s="162"/>
      <c r="S2011" s="146"/>
      <c r="T2011" s="68" t="s">
        <v>165</v>
      </c>
      <c r="U2011" s="87"/>
      <c r="V2011" s="183">
        <v>42886</v>
      </c>
      <c r="W2011" s="73">
        <v>730</v>
      </c>
      <c r="X2011" s="73">
        <f>705*26600/1000000</f>
        <v>18.753</v>
      </c>
      <c r="Y2011" s="83">
        <f>IF(SUM(W2011:W2011)&gt;0,X2011/SUM(W2011:W2011)*1000000,"N/A")</f>
        <v>25689.04109589041</v>
      </c>
      <c r="Z2011" s="183"/>
      <c r="AA2011" s="183"/>
      <c r="AB2011" s="73"/>
      <c r="AC2011" s="153"/>
      <c r="AD2011" s="331"/>
      <c r="AE2011" s="57"/>
      <c r="AF2011" s="88"/>
      <c r="AG2011" s="182">
        <f>YEAR(D2011)</f>
        <v>2017</v>
      </c>
      <c r="AH2011" s="86" t="str">
        <f>+IF(AE2011=$AJ$22,MONTH(T2011),"")</f>
        <v/>
      </c>
      <c r="AI2011" s="86" t="str">
        <f>+IF(AF2011=$AJ$22,MONTH(U2011),"")</f>
        <v/>
      </c>
      <c r="AJ2011" s="86" t="str">
        <f>+IF(AG2011=$AJ$22,MONTH(V2011),"")</f>
        <v/>
      </c>
      <c r="AK2011" s="86" t="str">
        <f>+IF(AG2011=$AK$22,MONTH(V2011),"")</f>
        <v/>
      </c>
      <c r="AL2011" s="86" t="str">
        <f>+IF(AG2011=$AL$22,MONTH(V2011),"")</f>
        <v/>
      </c>
      <c r="AM2011" s="86" t="str">
        <f>+IF($AG2011=$AM$22,MONTH($D2011),"")</f>
        <v/>
      </c>
      <c r="AN2011" s="89" t="str">
        <f>+IF($AG2011=AN$22,MONTH($D2011),"")</f>
        <v/>
      </c>
      <c r="AO2011" s="86" t="str">
        <f>+IF($AG2011=AO$22,MONTH($D2011),"")</f>
        <v/>
      </c>
      <c r="AP2011" s="86" t="str">
        <f>+IF($AG2011=AP$22,MONTH($D2011),"")</f>
        <v/>
      </c>
      <c r="AQ2011" s="86">
        <f>+IF($AG2011=AQ$22,MONTH($D2011),"")</f>
        <v>5</v>
      </c>
      <c r="AR2011" s="86" t="str">
        <f>+IF($AG2011=AR$22,MONTH($D2011),"")</f>
        <v/>
      </c>
      <c r="AS2011" s="86" t="str">
        <f>+IF($AG2011=AS$22,MONTH($D2011),"")</f>
        <v/>
      </c>
      <c r="AT2011" s="86" t="str">
        <f>+IF($AG2011=AT$22,MONTH($D2011),"")</f>
        <v/>
      </c>
      <c r="AU2011" s="86" t="str">
        <f>+IF($AG2011=AU$22,MONTH($D2011),"")</f>
        <v/>
      </c>
      <c r="AV2011" s="86" t="str">
        <f>+IF($AG2011=AV$22,MONTH($D2011),"")</f>
        <v/>
      </c>
      <c r="AW2011" s="86" t="str">
        <f>+IF($AG2011=AW$22,MONTH($D2011),"")</f>
        <v/>
      </c>
      <c r="AX2011" s="86" t="str">
        <f>+IF($AG2011=AX$22,MONTH($D2011),"")</f>
        <v/>
      </c>
      <c r="AY2011" s="89"/>
      <c r="AZ2011" s="89"/>
      <c r="BA2011" s="89"/>
      <c r="BB2011" s="89"/>
      <c r="BC2011" s="89"/>
      <c r="BD2011" s="89"/>
      <c r="BE2011" s="89"/>
      <c r="BF2011" s="89"/>
      <c r="BG2011" s="89"/>
      <c r="BH2011" s="89"/>
      <c r="BI2011" s="89"/>
      <c r="BJ2011" s="89"/>
      <c r="BK2011" s="89"/>
      <c r="BL2011" s="89"/>
      <c r="BM2011" s="89"/>
      <c r="BN2011" s="89"/>
      <c r="BO2011" s="89"/>
      <c r="BP2011" s="89"/>
    </row>
    <row r="2012" spans="1:68" s="56" customFormat="1" ht="409.6" hidden="1">
      <c r="A2012" s="204" t="str">
        <f>+IFERROR(VALUE(MID(AB2012,4,4)),"")</f>
        <v/>
      </c>
      <c r="B2012" s="204">
        <f>VALUE(RIGHT(C2012,LEN(C2012)-2))</f>
        <v>713</v>
      </c>
      <c r="C2012" s="74" t="s">
        <v>6981</v>
      </c>
      <c r="D2012" s="75">
        <v>42883</v>
      </c>
      <c r="E2012" s="70" t="s">
        <v>6982</v>
      </c>
      <c r="F2012" s="70"/>
      <c r="G2012" s="68" t="s">
        <v>6983</v>
      </c>
      <c r="H2012" s="59"/>
      <c r="I2012" s="162" t="s">
        <v>6984</v>
      </c>
      <c r="J2012" s="162"/>
      <c r="K2012" s="68" t="s">
        <v>12</v>
      </c>
      <c r="L2012" s="69" t="s">
        <v>120</v>
      </c>
      <c r="M2012" s="71" t="s">
        <v>113</v>
      </c>
      <c r="N2012" s="69" t="e" vm="4">
        <v>#VALUE!</v>
      </c>
      <c r="O2012" s="164">
        <v>42886</v>
      </c>
      <c r="P2012" s="72" t="s">
        <v>274</v>
      </c>
      <c r="Q2012" s="72"/>
      <c r="R2012" s="162"/>
      <c r="S2012" s="146" t="s">
        <v>6985</v>
      </c>
      <c r="T2012" s="68" t="s">
        <v>155</v>
      </c>
      <c r="U2012" s="87"/>
      <c r="V2012" s="183">
        <v>42884</v>
      </c>
      <c r="W2012" s="73"/>
      <c r="X2012" s="73"/>
      <c r="Y2012" s="83"/>
      <c r="Z2012" s="183"/>
      <c r="AA2012" s="183"/>
      <c r="AB2012" s="73"/>
      <c r="AC2012" s="153"/>
      <c r="AD2012" s="331"/>
      <c r="AE2012" s="57"/>
      <c r="AF2012" s="88"/>
      <c r="AG2012" s="182">
        <f>YEAR(D2012)</f>
        <v>2017</v>
      </c>
      <c r="AH2012" s="86" t="str">
        <f>+IF(AE2012=$AJ$22,MONTH(T2012),"")</f>
        <v/>
      </c>
      <c r="AI2012" s="86" t="str">
        <f>+IF(AF2012=$AJ$22,MONTH(U2012),"")</f>
        <v/>
      </c>
      <c r="AJ2012" s="86" t="str">
        <f>+IF(AG2012=$AJ$22,MONTH(V2012),"")</f>
        <v/>
      </c>
      <c r="AK2012" s="86" t="str">
        <f>+IF(AG2012=$AK$22,MONTH(V2012),"")</f>
        <v/>
      </c>
      <c r="AL2012" s="86" t="str">
        <f>+IF(AG2012=$AL$22,MONTH(V2012),"")</f>
        <v/>
      </c>
      <c r="AM2012" s="86" t="str">
        <f>+IF($AG2012=$AM$22,MONTH($D2012),"")</f>
        <v/>
      </c>
      <c r="AN2012" s="89" t="str">
        <f>+IF($AG2012=AN$22,MONTH($D2012),"")</f>
        <v/>
      </c>
      <c r="AO2012" s="86" t="str">
        <f>+IF($AG2012=AO$22,MONTH($D2012),"")</f>
        <v/>
      </c>
      <c r="AP2012" s="86" t="str">
        <f>+IF($AG2012=AP$22,MONTH($D2012),"")</f>
        <v/>
      </c>
      <c r="AQ2012" s="86">
        <f>+IF($AG2012=AQ$22,MONTH($D2012),"")</f>
        <v>5</v>
      </c>
      <c r="AR2012" s="86" t="str">
        <f>+IF($AG2012=AR$22,MONTH($D2012),"")</f>
        <v/>
      </c>
      <c r="AS2012" s="86" t="str">
        <f>+IF($AG2012=AS$22,MONTH($D2012),"")</f>
        <v/>
      </c>
      <c r="AT2012" s="86" t="str">
        <f>+IF($AG2012=AT$22,MONTH($D2012),"")</f>
        <v/>
      </c>
      <c r="AU2012" s="86" t="str">
        <f>+IF($AG2012=AU$22,MONTH($D2012),"")</f>
        <v/>
      </c>
      <c r="AV2012" s="86" t="str">
        <f>+IF($AG2012=AV$22,MONTH($D2012),"")</f>
        <v/>
      </c>
      <c r="AW2012" s="86" t="str">
        <f>+IF($AG2012=AW$22,MONTH($D2012),"")</f>
        <v/>
      </c>
      <c r="AX2012" s="86" t="str">
        <f>+IF($AG2012=AX$22,MONTH($D2012),"")</f>
        <v/>
      </c>
      <c r="AY2012" s="89"/>
      <c r="AZ2012" s="89"/>
      <c r="BA2012" s="89"/>
      <c r="BB2012" s="89"/>
      <c r="BC2012" s="89"/>
      <c r="BD2012" s="89"/>
      <c r="BE2012" s="89"/>
      <c r="BF2012" s="89"/>
      <c r="BG2012" s="89"/>
      <c r="BH2012" s="89"/>
      <c r="BI2012" s="89"/>
      <c r="BJ2012" s="89"/>
      <c r="BK2012" s="89"/>
      <c r="BL2012" s="89"/>
      <c r="BM2012" s="89"/>
      <c r="BN2012" s="89"/>
      <c r="BO2012" s="89"/>
      <c r="BP2012" s="89"/>
    </row>
    <row r="2013" spans="1:68" s="56" customFormat="1" ht="409.6" hidden="1">
      <c r="A2013" s="204" t="str">
        <f>+IFERROR(VALUE(MID(AB2013,4,4)),"")</f>
        <v/>
      </c>
      <c r="B2013" s="204">
        <f>VALUE(RIGHT(C2013,LEN(C2013)-2))</f>
        <v>712</v>
      </c>
      <c r="C2013" s="74" t="s">
        <v>6986</v>
      </c>
      <c r="D2013" s="75">
        <v>42883</v>
      </c>
      <c r="E2013" s="70" t="s">
        <v>6982</v>
      </c>
      <c r="F2013" s="70"/>
      <c r="G2013" s="68" t="s">
        <v>6983</v>
      </c>
      <c r="H2013" s="59"/>
      <c r="I2013" s="162" t="s">
        <v>6987</v>
      </c>
      <c r="J2013" s="162"/>
      <c r="K2013" s="68" t="s">
        <v>12</v>
      </c>
      <c r="L2013" s="69" t="s">
        <v>120</v>
      </c>
      <c r="M2013" s="71" t="s">
        <v>113</v>
      </c>
      <c r="N2013" s="69" t="e" vm="4">
        <v>#VALUE!</v>
      </c>
      <c r="O2013" s="164">
        <v>42886</v>
      </c>
      <c r="P2013" s="72" t="s">
        <v>274</v>
      </c>
      <c r="Q2013" s="72"/>
      <c r="R2013" s="162"/>
      <c r="S2013" s="146" t="s">
        <v>6988</v>
      </c>
      <c r="T2013" s="68" t="s">
        <v>155</v>
      </c>
      <c r="U2013" s="87"/>
      <c r="V2013" s="183">
        <v>42884</v>
      </c>
      <c r="W2013" s="73"/>
      <c r="X2013" s="73"/>
      <c r="Y2013" s="83"/>
      <c r="Z2013" s="183"/>
      <c r="AA2013" s="183"/>
      <c r="AB2013" s="73"/>
      <c r="AC2013" s="153"/>
      <c r="AD2013" s="331"/>
      <c r="AE2013" s="57"/>
      <c r="AF2013" s="88"/>
      <c r="AG2013" s="182">
        <f>YEAR(D2013)</f>
        <v>2017</v>
      </c>
      <c r="AH2013" s="86" t="str">
        <f>+IF(AE2013=$AJ$22,MONTH(T2013),"")</f>
        <v/>
      </c>
      <c r="AI2013" s="86" t="str">
        <f>+IF(AF2013=$AJ$22,MONTH(U2013),"")</f>
        <v/>
      </c>
      <c r="AJ2013" s="86" t="str">
        <f>+IF(AG2013=$AJ$22,MONTH(V2013),"")</f>
        <v/>
      </c>
      <c r="AK2013" s="86" t="str">
        <f>+IF(AG2013=$AK$22,MONTH(V2013),"")</f>
        <v/>
      </c>
      <c r="AL2013" s="86" t="str">
        <f>+IF(AG2013=$AL$22,MONTH(V2013),"")</f>
        <v/>
      </c>
      <c r="AM2013" s="86" t="str">
        <f>+IF($AG2013=$AM$22,MONTH($D2013),"")</f>
        <v/>
      </c>
      <c r="AN2013" s="89" t="str">
        <f>+IF($AG2013=AN$22,MONTH($D2013),"")</f>
        <v/>
      </c>
      <c r="AO2013" s="86" t="str">
        <f>+IF($AG2013=AO$22,MONTH($D2013),"")</f>
        <v/>
      </c>
      <c r="AP2013" s="86" t="str">
        <f>+IF($AG2013=AP$22,MONTH($D2013),"")</f>
        <v/>
      </c>
      <c r="AQ2013" s="86">
        <f>+IF($AG2013=AQ$22,MONTH($D2013),"")</f>
        <v>5</v>
      </c>
      <c r="AR2013" s="86" t="str">
        <f>+IF($AG2013=AR$22,MONTH($D2013),"")</f>
        <v/>
      </c>
      <c r="AS2013" s="86" t="str">
        <f>+IF($AG2013=AS$22,MONTH($D2013),"")</f>
        <v/>
      </c>
      <c r="AT2013" s="86" t="str">
        <f>+IF($AG2013=AT$22,MONTH($D2013),"")</f>
        <v/>
      </c>
      <c r="AU2013" s="86" t="str">
        <f>+IF($AG2013=AU$22,MONTH($D2013),"")</f>
        <v/>
      </c>
      <c r="AV2013" s="86" t="str">
        <f>+IF($AG2013=AV$22,MONTH($D2013),"")</f>
        <v/>
      </c>
      <c r="AW2013" s="86" t="str">
        <f>+IF($AG2013=AW$22,MONTH($D2013),"")</f>
        <v/>
      </c>
      <c r="AX2013" s="86" t="str">
        <f>+IF($AG2013=AX$22,MONTH($D2013),"")</f>
        <v/>
      </c>
      <c r="AY2013" s="89"/>
      <c r="AZ2013" s="89"/>
      <c r="BA2013" s="89"/>
      <c r="BB2013" s="89"/>
      <c r="BC2013" s="89"/>
      <c r="BD2013" s="89"/>
      <c r="BE2013" s="89"/>
      <c r="BF2013" s="89"/>
      <c r="BG2013" s="89"/>
      <c r="BH2013" s="89"/>
      <c r="BI2013" s="89"/>
      <c r="BJ2013" s="89"/>
      <c r="BK2013" s="89"/>
      <c r="BL2013" s="89"/>
      <c r="BM2013" s="89"/>
      <c r="BN2013" s="89"/>
      <c r="BO2013" s="89"/>
      <c r="BP2013" s="89"/>
    </row>
    <row r="2014" spans="1:68" s="56" customFormat="1" ht="13.5" hidden="1">
      <c r="A2014" s="204" t="str">
        <f>+IFERROR(VALUE(MID(AB2014,4,4)),"")</f>
        <v/>
      </c>
      <c r="B2014" s="204">
        <f>VALUE(RIGHT(C2014,LEN(C2014)-2))</f>
        <v>711</v>
      </c>
      <c r="C2014" s="74" t="s">
        <v>6989</v>
      </c>
      <c r="D2014" s="75">
        <v>42880</v>
      </c>
      <c r="E2014" s="70" t="s">
        <v>63</v>
      </c>
      <c r="F2014" s="70" t="s">
        <v>63</v>
      </c>
      <c r="G2014" s="68"/>
      <c r="H2014" s="59"/>
      <c r="I2014" s="162" t="s">
        <v>6990</v>
      </c>
      <c r="J2014" s="162"/>
      <c r="K2014" s="68" t="s">
        <v>48</v>
      </c>
      <c r="L2014" s="69" t="s">
        <v>120</v>
      </c>
      <c r="M2014" s="71" t="s">
        <v>141</v>
      </c>
      <c r="N2014" s="69" t="e" vm="1">
        <v>#VALUE!</v>
      </c>
      <c r="O2014" s="164">
        <v>42907</v>
      </c>
      <c r="P2014" s="72" t="s">
        <v>402</v>
      </c>
      <c r="Q2014" s="72"/>
      <c r="R2014" s="162"/>
      <c r="S2014" s="146"/>
      <c r="T2014" s="68" t="s">
        <v>165</v>
      </c>
      <c r="U2014" s="87">
        <v>0.01</v>
      </c>
      <c r="V2014" s="183">
        <v>42905</v>
      </c>
      <c r="W2014" s="73">
        <v>240</v>
      </c>
      <c r="X2014" s="73">
        <f>240*26600/1000000</f>
        <v>6.3840000000000003</v>
      </c>
      <c r="Y2014" s="83">
        <f>IF(SUM(W2014:W2014)&gt;0,X2014/SUM(W2014:W2014)*1000000,"N/A")</f>
        <v>26600.000000000004</v>
      </c>
      <c r="Z2014" s="183"/>
      <c r="AA2014" s="183"/>
      <c r="AB2014" s="73"/>
      <c r="AC2014" s="153"/>
      <c r="AD2014" s="331"/>
      <c r="AE2014" s="57"/>
      <c r="AF2014" s="88"/>
      <c r="AG2014" s="182">
        <f>YEAR(D2014)</f>
        <v>2017</v>
      </c>
      <c r="AH2014" s="86" t="str">
        <f>+IF(AE2014=$AJ$22,MONTH(T2014),"")</f>
        <v/>
      </c>
      <c r="AI2014" s="86" t="str">
        <f>+IF(AF2014=$AJ$22,MONTH(U2014),"")</f>
        <v/>
      </c>
      <c r="AJ2014" s="86" t="str">
        <f>+IF(AG2014=$AJ$22,MONTH(V2014),"")</f>
        <v/>
      </c>
      <c r="AK2014" s="86" t="str">
        <f>+IF(AG2014=$AK$22,MONTH(V2014),"")</f>
        <v/>
      </c>
      <c r="AL2014" s="86" t="str">
        <f>+IF(AG2014=$AL$22,MONTH(V2014),"")</f>
        <v/>
      </c>
      <c r="AM2014" s="86" t="str">
        <f>+IF($AG2014=$AM$22,MONTH($D2014),"")</f>
        <v/>
      </c>
      <c r="AN2014" s="89" t="str">
        <f>+IF($AG2014=AN$22,MONTH($D2014),"")</f>
        <v/>
      </c>
      <c r="AO2014" s="86" t="str">
        <f>+IF($AG2014=AO$22,MONTH($D2014),"")</f>
        <v/>
      </c>
      <c r="AP2014" s="86" t="str">
        <f>+IF($AG2014=AP$22,MONTH($D2014),"")</f>
        <v/>
      </c>
      <c r="AQ2014" s="86">
        <f>+IF($AG2014=AQ$22,MONTH($D2014),"")</f>
        <v>5</v>
      </c>
      <c r="AR2014" s="86" t="str">
        <f>+IF($AG2014=AR$22,MONTH($D2014),"")</f>
        <v/>
      </c>
      <c r="AS2014" s="86" t="str">
        <f>+IF($AG2014=AS$22,MONTH($D2014),"")</f>
        <v/>
      </c>
      <c r="AT2014" s="86" t="str">
        <f>+IF($AG2014=AT$22,MONTH($D2014),"")</f>
        <v/>
      </c>
      <c r="AU2014" s="86" t="str">
        <f>+IF($AG2014=AU$22,MONTH($D2014),"")</f>
        <v/>
      </c>
      <c r="AV2014" s="86" t="str">
        <f>+IF($AG2014=AV$22,MONTH($D2014),"")</f>
        <v/>
      </c>
      <c r="AW2014" s="86" t="str">
        <f>+IF($AG2014=AW$22,MONTH($D2014),"")</f>
        <v/>
      </c>
      <c r="AX2014" s="86" t="str">
        <f>+IF($AG2014=AX$22,MONTH($D2014),"")</f>
        <v/>
      </c>
      <c r="AY2014" s="89"/>
      <c r="AZ2014" s="89"/>
      <c r="BA2014" s="89"/>
      <c r="BB2014" s="89"/>
      <c r="BC2014" s="89"/>
      <c r="BD2014" s="89"/>
      <c r="BE2014" s="89"/>
      <c r="BF2014" s="89"/>
      <c r="BG2014" s="89"/>
      <c r="BH2014" s="89"/>
      <c r="BI2014" s="89"/>
      <c r="BJ2014" s="89"/>
      <c r="BK2014" s="89"/>
      <c r="BL2014" s="89"/>
      <c r="BM2014" s="89"/>
      <c r="BN2014" s="89"/>
      <c r="BO2014" s="89"/>
      <c r="BP2014" s="89"/>
    </row>
    <row r="2015" spans="1:68" s="56" customFormat="1" ht="40.5" hidden="1">
      <c r="A2015" s="204" t="str">
        <f>+IFERROR(VALUE(MID(AB2015,4,4)),"")</f>
        <v/>
      </c>
      <c r="B2015" s="204">
        <f>VALUE(RIGHT(C2015,LEN(C2015)-2))</f>
        <v>710</v>
      </c>
      <c r="C2015" s="74" t="s">
        <v>6991</v>
      </c>
      <c r="D2015" s="75">
        <v>42880</v>
      </c>
      <c r="E2015" s="70" t="s">
        <v>51</v>
      </c>
      <c r="F2015" s="70" t="s">
        <v>51</v>
      </c>
      <c r="G2015" s="68"/>
      <c r="H2015" s="59"/>
      <c r="I2015" s="162" t="s">
        <v>6992</v>
      </c>
      <c r="J2015" s="162"/>
      <c r="K2015" s="68" t="s">
        <v>30</v>
      </c>
      <c r="L2015" s="69" t="s">
        <v>123</v>
      </c>
      <c r="M2015" s="71" t="s">
        <v>141</v>
      </c>
      <c r="N2015" s="69" t="e" vm="1">
        <v>#VALUE!</v>
      </c>
      <c r="O2015" s="164">
        <v>42900</v>
      </c>
      <c r="P2015" s="72" t="s">
        <v>402</v>
      </c>
      <c r="Q2015" s="72"/>
      <c r="R2015" s="162"/>
      <c r="S2015" s="146" t="s">
        <v>6993</v>
      </c>
      <c r="T2015" s="68" t="s">
        <v>165</v>
      </c>
      <c r="U2015" s="87"/>
      <c r="V2015" s="183">
        <v>43042</v>
      </c>
      <c r="W2015" s="73">
        <v>2720</v>
      </c>
      <c r="X2015" s="73">
        <v>102.98</v>
      </c>
      <c r="Y2015" s="73">
        <f>IF(SUM(W2015:W2015)&gt;0,X2015/SUM(W2015:W2015)*1000000,"N/A")</f>
        <v>37860.294117647063</v>
      </c>
      <c r="Z2015" s="183"/>
      <c r="AA2015" s="183"/>
      <c r="AB2015" s="73"/>
      <c r="AC2015" s="153"/>
      <c r="AD2015" s="331"/>
      <c r="AE2015" s="57"/>
      <c r="AF2015" s="88"/>
      <c r="AG2015" s="182">
        <f>YEAR(D2015)</f>
        <v>2017</v>
      </c>
      <c r="AH2015" s="86" t="str">
        <f>+IF(AE2015=$AJ$22,MONTH(T2015),"")</f>
        <v/>
      </c>
      <c r="AI2015" s="86" t="str">
        <f>+IF(AF2015=$AJ$22,MONTH(U2015),"")</f>
        <v/>
      </c>
      <c r="AJ2015" s="86" t="str">
        <f>+IF(AG2015=$AJ$22,MONTH(V2015),"")</f>
        <v/>
      </c>
      <c r="AK2015" s="86" t="str">
        <f>+IF(AG2015=$AK$22,MONTH(V2015),"")</f>
        <v/>
      </c>
      <c r="AL2015" s="86" t="str">
        <f>+IF(AG2015=$AL$22,MONTH(V2015),"")</f>
        <v/>
      </c>
      <c r="AM2015" s="86" t="str">
        <f>+IF($AG2015=$AM$22,MONTH($D2015),"")</f>
        <v/>
      </c>
      <c r="AN2015" s="89" t="str">
        <f>+IF($AG2015=AN$22,MONTH($D2015),"")</f>
        <v/>
      </c>
      <c r="AO2015" s="86" t="str">
        <f>+IF($AG2015=AO$22,MONTH($D2015),"")</f>
        <v/>
      </c>
      <c r="AP2015" s="86" t="str">
        <f>+IF($AG2015=AP$22,MONTH($D2015),"")</f>
        <v/>
      </c>
      <c r="AQ2015" s="86">
        <f>+IF($AG2015=AQ$22,MONTH($D2015),"")</f>
        <v>5</v>
      </c>
      <c r="AR2015" s="86" t="str">
        <f>+IF($AG2015=AR$22,MONTH($D2015),"")</f>
        <v/>
      </c>
      <c r="AS2015" s="86" t="str">
        <f>+IF($AG2015=AS$22,MONTH($D2015),"")</f>
        <v/>
      </c>
      <c r="AT2015" s="86" t="str">
        <f>+IF($AG2015=AT$22,MONTH($D2015),"")</f>
        <v/>
      </c>
      <c r="AU2015" s="86" t="str">
        <f>+IF($AG2015=AU$22,MONTH($D2015),"")</f>
        <v/>
      </c>
      <c r="AV2015" s="86" t="str">
        <f>+IF($AG2015=AV$22,MONTH($D2015),"")</f>
        <v/>
      </c>
      <c r="AW2015" s="86" t="str">
        <f>+IF($AG2015=AW$22,MONTH($D2015),"")</f>
        <v/>
      </c>
      <c r="AX2015" s="86" t="str">
        <f>+IF($AG2015=AX$22,MONTH($D2015),"")</f>
        <v/>
      </c>
      <c r="AY2015" s="89"/>
      <c r="AZ2015" s="89"/>
      <c r="BA2015" s="89"/>
      <c r="BB2015" s="89"/>
      <c r="BC2015" s="89"/>
      <c r="BD2015" s="89"/>
      <c r="BE2015" s="89"/>
      <c r="BF2015" s="89"/>
      <c r="BG2015" s="89"/>
      <c r="BH2015" s="89"/>
      <c r="BI2015" s="89"/>
      <c r="BJ2015" s="89"/>
      <c r="BK2015" s="89"/>
      <c r="BL2015" s="89"/>
      <c r="BM2015" s="89"/>
      <c r="BN2015" s="89"/>
      <c r="BO2015" s="89"/>
      <c r="BP2015" s="89"/>
    </row>
    <row r="2016" spans="1:68" s="56" customFormat="1" ht="27" hidden="1">
      <c r="A2016" s="204" t="str">
        <f>+IFERROR(VALUE(MID(AB2016,4,4)),"")</f>
        <v/>
      </c>
      <c r="B2016" s="204">
        <f>VALUE(RIGHT(C2016,LEN(C2016)-2))</f>
        <v>709</v>
      </c>
      <c r="C2016" s="74" t="s">
        <v>6994</v>
      </c>
      <c r="D2016" s="75">
        <v>42879</v>
      </c>
      <c r="E2016" s="70" t="s">
        <v>255</v>
      </c>
      <c r="F2016" s="70" t="s">
        <v>255</v>
      </c>
      <c r="G2016" s="68"/>
      <c r="H2016" s="59"/>
      <c r="I2016" s="162" t="s">
        <v>6995</v>
      </c>
      <c r="J2016" s="162"/>
      <c r="K2016" s="68" t="s">
        <v>13</v>
      </c>
      <c r="L2016" s="69" t="s">
        <v>123</v>
      </c>
      <c r="M2016" s="71" t="s">
        <v>141</v>
      </c>
      <c r="N2016" s="69" t="e" vm="1">
        <v>#VALUE!</v>
      </c>
      <c r="O2016" s="164">
        <v>42893</v>
      </c>
      <c r="P2016" s="72" t="s">
        <v>402</v>
      </c>
      <c r="Q2016" s="72"/>
      <c r="R2016" s="162"/>
      <c r="S2016" s="146" t="s">
        <v>6996</v>
      </c>
      <c r="T2016" s="68" t="s">
        <v>165</v>
      </c>
      <c r="U2016" s="87">
        <v>0.1</v>
      </c>
      <c r="V2016" s="183">
        <v>42905</v>
      </c>
      <c r="W2016" s="73">
        <f>76790/4</f>
        <v>19197.5</v>
      </c>
      <c r="X2016" s="73">
        <f>(77339*26600/1000000)/4</f>
        <v>514.30435</v>
      </c>
      <c r="Y2016" s="83">
        <f>IF(SUM(W2016:W2016)&gt;0,X2016/SUM(W2016:W2016)*1000000,"N/A")</f>
        <v>26790.173199635366</v>
      </c>
      <c r="Z2016" s="183"/>
      <c r="AA2016" s="183"/>
      <c r="AB2016" s="73"/>
      <c r="AC2016" s="153"/>
      <c r="AD2016" s="331"/>
      <c r="AE2016" s="57"/>
      <c r="AF2016" s="88"/>
      <c r="AG2016" s="182">
        <f>YEAR(D2016)</f>
        <v>2017</v>
      </c>
      <c r="AH2016" s="86" t="str">
        <f>+IF(AE2016=$AJ$22,MONTH(T2016),"")</f>
        <v/>
      </c>
      <c r="AI2016" s="86" t="str">
        <f>+IF(AF2016=$AJ$22,MONTH(U2016),"")</f>
        <v/>
      </c>
      <c r="AJ2016" s="86" t="str">
        <f>+IF(AG2016=$AJ$22,MONTH(V2016),"")</f>
        <v/>
      </c>
      <c r="AK2016" s="86" t="str">
        <f>+IF(AG2016=$AK$22,MONTH(V2016),"")</f>
        <v/>
      </c>
      <c r="AL2016" s="86" t="str">
        <f>+IF(AG2016=$AL$22,MONTH(V2016),"")</f>
        <v/>
      </c>
      <c r="AM2016" s="86" t="str">
        <f>+IF($AG2016=$AM$22,MONTH($D2016),"")</f>
        <v/>
      </c>
      <c r="AN2016" s="89" t="str">
        <f>+IF($AG2016=AN$22,MONTH($D2016),"")</f>
        <v/>
      </c>
      <c r="AO2016" s="86" t="str">
        <f>+IF($AG2016=AO$22,MONTH($D2016),"")</f>
        <v/>
      </c>
      <c r="AP2016" s="86" t="str">
        <f>+IF($AG2016=AP$22,MONTH($D2016),"")</f>
        <v/>
      </c>
      <c r="AQ2016" s="86">
        <f>+IF($AG2016=AQ$22,MONTH($D2016),"")</f>
        <v>5</v>
      </c>
      <c r="AR2016" s="86" t="str">
        <f>+IF($AG2016=AR$22,MONTH($D2016),"")</f>
        <v/>
      </c>
      <c r="AS2016" s="86" t="str">
        <f>+IF($AG2016=AS$22,MONTH($D2016),"")</f>
        <v/>
      </c>
      <c r="AT2016" s="86" t="str">
        <f>+IF($AG2016=AT$22,MONTH($D2016),"")</f>
        <v/>
      </c>
      <c r="AU2016" s="86" t="str">
        <f>+IF($AG2016=AU$22,MONTH($D2016),"")</f>
        <v/>
      </c>
      <c r="AV2016" s="86" t="str">
        <f>+IF($AG2016=AV$22,MONTH($D2016),"")</f>
        <v/>
      </c>
      <c r="AW2016" s="86" t="str">
        <f>+IF($AG2016=AW$22,MONTH($D2016),"")</f>
        <v/>
      </c>
      <c r="AX2016" s="86" t="str">
        <f>+IF($AG2016=AX$22,MONTH($D2016),"")</f>
        <v/>
      </c>
      <c r="AY2016" s="89"/>
      <c r="AZ2016" s="89"/>
      <c r="BA2016" s="89"/>
      <c r="BB2016" s="89"/>
      <c r="BC2016" s="89"/>
      <c r="BD2016" s="89"/>
      <c r="BE2016" s="89"/>
      <c r="BF2016" s="89"/>
      <c r="BG2016" s="89"/>
      <c r="BH2016" s="89"/>
      <c r="BI2016" s="89"/>
      <c r="BJ2016" s="89"/>
      <c r="BK2016" s="89"/>
      <c r="BL2016" s="89"/>
      <c r="BM2016" s="89"/>
      <c r="BN2016" s="89"/>
      <c r="BO2016" s="89"/>
      <c r="BP2016" s="89"/>
    </row>
    <row r="2017" spans="1:68" s="56" customFormat="1" ht="13.5" hidden="1">
      <c r="A2017" s="204">
        <f>+IFERROR(VALUE(MID(AB2017,4,4)),"")</f>
        <v>160</v>
      </c>
      <c r="B2017" s="204">
        <f>VALUE(RIGHT(C2017,LEN(C2017)-2))</f>
        <v>708</v>
      </c>
      <c r="C2017" s="74" t="s">
        <v>6997</v>
      </c>
      <c r="D2017" s="75">
        <v>42877</v>
      </c>
      <c r="E2017" s="70" t="s">
        <v>106</v>
      </c>
      <c r="F2017" s="70" t="s">
        <v>106</v>
      </c>
      <c r="G2017" s="68"/>
      <c r="H2017" s="59"/>
      <c r="I2017" s="162" t="s">
        <v>6998</v>
      </c>
      <c r="J2017" s="162"/>
      <c r="K2017" s="68" t="s">
        <v>9</v>
      </c>
      <c r="L2017" s="69" t="s">
        <v>120</v>
      </c>
      <c r="M2017" s="71" t="s">
        <v>141</v>
      </c>
      <c r="N2017" s="69" t="e" vm="1">
        <v>#VALUE!</v>
      </c>
      <c r="O2017" s="164">
        <v>42877</v>
      </c>
      <c r="P2017" s="72" t="s">
        <v>4567</v>
      </c>
      <c r="Q2017" s="72"/>
      <c r="R2017" s="162"/>
      <c r="S2017" s="146"/>
      <c r="T2017" s="68" t="s">
        <v>3</v>
      </c>
      <c r="U2017" s="87"/>
      <c r="V2017" s="183">
        <v>42886</v>
      </c>
      <c r="W2017" s="73">
        <v>20</v>
      </c>
      <c r="X2017" s="73">
        <f>24857*50/1000000</f>
        <v>1.24285</v>
      </c>
      <c r="Y2017" s="83">
        <f>IF(SUM(W2017:W2017)&gt;0,X2017/SUM(W2017:W2017)*1000000,"N/A")</f>
        <v>62142.5</v>
      </c>
      <c r="Z2017" s="183"/>
      <c r="AA2017" s="183"/>
      <c r="AB2017" s="73" t="s">
        <v>6999</v>
      </c>
      <c r="AC2017" s="153"/>
      <c r="AD2017" s="331"/>
      <c r="AE2017" s="57"/>
      <c r="AF2017" s="88"/>
      <c r="AG2017" s="182">
        <f>YEAR(D2017)</f>
        <v>2017</v>
      </c>
      <c r="AH2017" s="86" t="str">
        <f>+IF(AE2017=$AJ$22,MONTH(T2017),"")</f>
        <v/>
      </c>
      <c r="AI2017" s="86" t="str">
        <f>+IF(AF2017=$AJ$22,MONTH(U2017),"")</f>
        <v/>
      </c>
      <c r="AJ2017" s="86" t="str">
        <f>+IF(AG2017=$AJ$22,MONTH(V2017),"")</f>
        <v/>
      </c>
      <c r="AK2017" s="86" t="str">
        <f>+IF(AG2017=$AK$22,MONTH(V2017),"")</f>
        <v/>
      </c>
      <c r="AL2017" s="86" t="str">
        <f>+IF(AG2017=$AL$22,MONTH(V2017),"")</f>
        <v/>
      </c>
      <c r="AM2017" s="86" t="str">
        <f>+IF($AG2017=$AM$22,MONTH($D2017),"")</f>
        <v/>
      </c>
      <c r="AN2017" s="89" t="str">
        <f>+IF($AG2017=AN$22,MONTH($D2017),"")</f>
        <v/>
      </c>
      <c r="AO2017" s="86" t="str">
        <f>+IF($AG2017=AO$22,MONTH($D2017),"")</f>
        <v/>
      </c>
      <c r="AP2017" s="86" t="str">
        <f>+IF($AG2017=AP$22,MONTH($D2017),"")</f>
        <v/>
      </c>
      <c r="AQ2017" s="86">
        <f>+IF($AG2017=AQ$22,MONTH($D2017),"")</f>
        <v>5</v>
      </c>
      <c r="AR2017" s="86" t="str">
        <f>+IF($AG2017=AR$22,MONTH($D2017),"")</f>
        <v/>
      </c>
      <c r="AS2017" s="86" t="str">
        <f>+IF($AG2017=AS$22,MONTH($D2017),"")</f>
        <v/>
      </c>
      <c r="AT2017" s="86" t="str">
        <f>+IF($AG2017=AT$22,MONTH($D2017),"")</f>
        <v/>
      </c>
      <c r="AU2017" s="86" t="str">
        <f>+IF($AG2017=AU$22,MONTH($D2017),"")</f>
        <v/>
      </c>
      <c r="AV2017" s="86" t="str">
        <f>+IF($AG2017=AV$22,MONTH($D2017),"")</f>
        <v/>
      </c>
      <c r="AW2017" s="86" t="str">
        <f>+IF($AG2017=AW$22,MONTH($D2017),"")</f>
        <v/>
      </c>
      <c r="AX2017" s="86" t="str">
        <f>+IF($AG2017=AX$22,MONTH($D2017),"")</f>
        <v/>
      </c>
      <c r="AY2017" s="89"/>
      <c r="AZ2017" s="89"/>
      <c r="BA2017" s="89"/>
      <c r="BB2017" s="89"/>
      <c r="BC2017" s="89"/>
      <c r="BD2017" s="89"/>
      <c r="BE2017" s="89"/>
      <c r="BF2017" s="89"/>
      <c r="BG2017" s="89"/>
      <c r="BH2017" s="89"/>
      <c r="BI2017" s="89"/>
      <c r="BJ2017" s="89"/>
      <c r="BK2017" s="89"/>
      <c r="BL2017" s="89"/>
      <c r="BM2017" s="89"/>
      <c r="BN2017" s="89"/>
      <c r="BO2017" s="89"/>
      <c r="BP2017" s="89"/>
    </row>
    <row r="2018" spans="1:68" s="56" customFormat="1" ht="27" hidden="1">
      <c r="A2018" s="204">
        <f>+IFERROR(VALUE(MID(AB2018,4,4)),"")</f>
        <v>158</v>
      </c>
      <c r="B2018" s="204">
        <f>VALUE(RIGHT(C2018,LEN(C2018)-2))</f>
        <v>707</v>
      </c>
      <c r="C2018" s="74" t="s">
        <v>7000</v>
      </c>
      <c r="D2018" s="75">
        <v>42874</v>
      </c>
      <c r="E2018" s="70" t="s">
        <v>41</v>
      </c>
      <c r="F2018" s="70" t="s">
        <v>41</v>
      </c>
      <c r="G2018" s="68"/>
      <c r="H2018" s="59"/>
      <c r="I2018" s="162" t="s">
        <v>7001</v>
      </c>
      <c r="J2018" s="162"/>
      <c r="K2018" s="68" t="s">
        <v>13</v>
      </c>
      <c r="L2018" s="69" t="s">
        <v>123</v>
      </c>
      <c r="M2018" s="71" t="s">
        <v>141</v>
      </c>
      <c r="N2018" s="69" t="e" vm="1">
        <v>#VALUE!</v>
      </c>
      <c r="O2018" s="164">
        <v>42885</v>
      </c>
      <c r="P2018" s="72" t="s">
        <v>6927</v>
      </c>
      <c r="Q2018" s="72"/>
      <c r="R2018" s="162"/>
      <c r="S2018" s="146"/>
      <c r="T2018" s="68" t="s">
        <v>3</v>
      </c>
      <c r="U2018" s="87"/>
      <c r="V2018" s="183">
        <v>42886</v>
      </c>
      <c r="W2018" s="73">
        <v>142</v>
      </c>
      <c r="X2018" s="73">
        <f>143.3*26629/1000000</f>
        <v>3.8159357000000003</v>
      </c>
      <c r="Y2018" s="83">
        <f>IF(SUM(W2018:W2018)&gt;0,X2018/SUM(W2018:W2018)*1000000,"N/A")</f>
        <v>26872.78661971831</v>
      </c>
      <c r="Z2018" s="183"/>
      <c r="AA2018" s="183"/>
      <c r="AB2018" s="73" t="s">
        <v>7002</v>
      </c>
      <c r="AC2018" s="153"/>
      <c r="AD2018" s="331"/>
      <c r="AE2018" s="57"/>
      <c r="AF2018" s="88"/>
      <c r="AG2018" s="182">
        <f>YEAR(D2018)</f>
        <v>2017</v>
      </c>
      <c r="AH2018" s="86" t="str">
        <f>+IF(AE2018=$AJ$22,MONTH(T2018),"")</f>
        <v/>
      </c>
      <c r="AI2018" s="86" t="str">
        <f>+IF(AF2018=$AJ$22,MONTH(U2018),"")</f>
        <v/>
      </c>
      <c r="AJ2018" s="86" t="str">
        <f>+IF(AG2018=$AJ$22,MONTH(V2018),"")</f>
        <v/>
      </c>
      <c r="AK2018" s="86" t="str">
        <f>+IF(AG2018=$AK$22,MONTH(V2018),"")</f>
        <v/>
      </c>
      <c r="AL2018" s="86" t="str">
        <f>+IF(AG2018=$AL$22,MONTH(V2018),"")</f>
        <v/>
      </c>
      <c r="AM2018" s="86" t="str">
        <f>+IF($AG2018=$AM$22,MONTH($D2018),"")</f>
        <v/>
      </c>
      <c r="AN2018" s="89" t="str">
        <f>+IF($AG2018=AN$22,MONTH($D2018),"")</f>
        <v/>
      </c>
      <c r="AO2018" s="86" t="str">
        <f>+IF($AG2018=AO$22,MONTH($D2018),"")</f>
        <v/>
      </c>
      <c r="AP2018" s="86" t="str">
        <f>+IF($AG2018=AP$22,MONTH($D2018),"")</f>
        <v/>
      </c>
      <c r="AQ2018" s="86">
        <f>+IF($AG2018=AQ$22,MONTH($D2018),"")</f>
        <v>5</v>
      </c>
      <c r="AR2018" s="86" t="str">
        <f>+IF($AG2018=AR$22,MONTH($D2018),"")</f>
        <v/>
      </c>
      <c r="AS2018" s="86" t="str">
        <f>+IF($AG2018=AS$22,MONTH($D2018),"")</f>
        <v/>
      </c>
      <c r="AT2018" s="86" t="str">
        <f>+IF($AG2018=AT$22,MONTH($D2018),"")</f>
        <v/>
      </c>
      <c r="AU2018" s="86" t="str">
        <f>+IF($AG2018=AU$22,MONTH($D2018),"")</f>
        <v/>
      </c>
      <c r="AV2018" s="86" t="str">
        <f>+IF($AG2018=AV$22,MONTH($D2018),"")</f>
        <v/>
      </c>
      <c r="AW2018" s="86" t="str">
        <f>+IF($AG2018=AW$22,MONTH($D2018),"")</f>
        <v/>
      </c>
      <c r="AX2018" s="86" t="str">
        <f>+IF($AG2018=AX$22,MONTH($D2018),"")</f>
        <v/>
      </c>
      <c r="AY2018" s="89"/>
      <c r="AZ2018" s="89"/>
      <c r="BA2018" s="89"/>
      <c r="BB2018" s="89"/>
      <c r="BC2018" s="89"/>
      <c r="BD2018" s="89"/>
      <c r="BE2018" s="89"/>
      <c r="BF2018" s="89"/>
      <c r="BG2018" s="89"/>
      <c r="BH2018" s="89"/>
      <c r="BI2018" s="89"/>
      <c r="BJ2018" s="89"/>
      <c r="BK2018" s="89"/>
      <c r="BL2018" s="89"/>
      <c r="BM2018" s="89"/>
      <c r="BN2018" s="89"/>
      <c r="BO2018" s="89"/>
      <c r="BP2018" s="89"/>
    </row>
    <row r="2019" spans="1:68" s="56" customFormat="1" ht="13.5" hidden="1">
      <c r="A2019" s="204" t="str">
        <f>+IFERROR(VALUE(MID(AB2019,4,4)),"")</f>
        <v/>
      </c>
      <c r="B2019" s="204">
        <f>VALUE(RIGHT(C2019,LEN(C2019)-2))</f>
        <v>706</v>
      </c>
      <c r="C2019" s="74" t="s">
        <v>7003</v>
      </c>
      <c r="D2019" s="75">
        <v>42873</v>
      </c>
      <c r="E2019" s="70" t="s">
        <v>6483</v>
      </c>
      <c r="F2019" s="70" t="s">
        <v>6483</v>
      </c>
      <c r="G2019" s="68"/>
      <c r="H2019" s="59"/>
      <c r="I2019" s="162" t="s">
        <v>7004</v>
      </c>
      <c r="J2019" s="162"/>
      <c r="K2019" s="68" t="s">
        <v>13</v>
      </c>
      <c r="L2019" s="69" t="s">
        <v>123</v>
      </c>
      <c r="M2019" s="71" t="s">
        <v>141</v>
      </c>
      <c r="N2019" s="69" t="e" vm="1">
        <v>#VALUE!</v>
      </c>
      <c r="O2019" s="164">
        <v>42902</v>
      </c>
      <c r="P2019" s="72" t="s">
        <v>402</v>
      </c>
      <c r="Q2019" s="72"/>
      <c r="R2019" s="162"/>
      <c r="S2019" s="146"/>
      <c r="T2019" s="68" t="s">
        <v>155</v>
      </c>
      <c r="U2019" s="87"/>
      <c r="V2019" s="183">
        <v>42886</v>
      </c>
      <c r="W2019" s="73"/>
      <c r="X2019" s="73"/>
      <c r="Y2019" s="83"/>
      <c r="Z2019" s="183"/>
      <c r="AA2019" s="183"/>
      <c r="AB2019" s="73"/>
      <c r="AC2019" s="153"/>
      <c r="AD2019" s="331"/>
      <c r="AE2019" s="57"/>
      <c r="AF2019" s="88"/>
      <c r="AG2019" s="182">
        <f>YEAR(D2019)</f>
        <v>2017</v>
      </c>
      <c r="AH2019" s="86" t="str">
        <f>+IF(AE2019=$AJ$22,MONTH(T2019),"")</f>
        <v/>
      </c>
      <c r="AI2019" s="86" t="str">
        <f>+IF(AF2019=$AJ$22,MONTH(U2019),"")</f>
        <v/>
      </c>
      <c r="AJ2019" s="86" t="str">
        <f>+IF(AG2019=$AJ$22,MONTH(V2019),"")</f>
        <v/>
      </c>
      <c r="AK2019" s="86" t="str">
        <f>+IF(AG2019=$AK$22,MONTH(V2019),"")</f>
        <v/>
      </c>
      <c r="AL2019" s="86" t="str">
        <f>+IF(AG2019=$AL$22,MONTH(V2019),"")</f>
        <v/>
      </c>
      <c r="AM2019" s="86" t="str">
        <f>+IF($AG2019=$AM$22,MONTH($D2019),"")</f>
        <v/>
      </c>
      <c r="AN2019" s="89" t="str">
        <f>+IF($AG2019=AN$22,MONTH($D2019),"")</f>
        <v/>
      </c>
      <c r="AO2019" s="86" t="str">
        <f>+IF($AG2019=AO$22,MONTH($D2019),"")</f>
        <v/>
      </c>
      <c r="AP2019" s="86" t="str">
        <f>+IF($AG2019=AP$22,MONTH($D2019),"")</f>
        <v/>
      </c>
      <c r="AQ2019" s="86">
        <f>+IF($AG2019=AQ$22,MONTH($D2019),"")</f>
        <v>5</v>
      </c>
      <c r="AR2019" s="86" t="str">
        <f>+IF($AG2019=AR$22,MONTH($D2019),"")</f>
        <v/>
      </c>
      <c r="AS2019" s="86" t="str">
        <f>+IF($AG2019=AS$22,MONTH($D2019),"")</f>
        <v/>
      </c>
      <c r="AT2019" s="86" t="str">
        <f>+IF($AG2019=AT$22,MONTH($D2019),"")</f>
        <v/>
      </c>
      <c r="AU2019" s="86" t="str">
        <f>+IF($AG2019=AU$22,MONTH($D2019),"")</f>
        <v/>
      </c>
      <c r="AV2019" s="86" t="str">
        <f>+IF($AG2019=AV$22,MONTH($D2019),"")</f>
        <v/>
      </c>
      <c r="AW2019" s="86" t="str">
        <f>+IF($AG2019=AW$22,MONTH($D2019),"")</f>
        <v/>
      </c>
      <c r="AX2019" s="86" t="str">
        <f>+IF($AG2019=AX$22,MONTH($D2019),"")</f>
        <v/>
      </c>
      <c r="AY2019" s="89"/>
      <c r="AZ2019" s="89"/>
      <c r="BA2019" s="89"/>
      <c r="BB2019" s="89"/>
      <c r="BC2019" s="89"/>
      <c r="BD2019" s="89"/>
      <c r="BE2019" s="89"/>
      <c r="BF2019" s="89"/>
      <c r="BG2019" s="89"/>
      <c r="BH2019" s="89"/>
      <c r="BI2019" s="89"/>
      <c r="BJ2019" s="89"/>
      <c r="BK2019" s="89"/>
      <c r="BL2019" s="89"/>
      <c r="BM2019" s="89"/>
      <c r="BN2019" s="89"/>
      <c r="BO2019" s="89"/>
      <c r="BP2019" s="89"/>
    </row>
    <row r="2020" spans="1:68" s="56" customFormat="1" ht="27" hidden="1">
      <c r="A2020" s="204">
        <f>+IFERROR(VALUE(MID(AB2020,4,4)),"")</f>
        <v>162</v>
      </c>
      <c r="B2020" s="204">
        <f>VALUE(RIGHT(C2020,LEN(C2020)-2))</f>
        <v>705</v>
      </c>
      <c r="C2020" s="74" t="s">
        <v>7005</v>
      </c>
      <c r="D2020" s="75">
        <v>42872</v>
      </c>
      <c r="E2020" s="70" t="s">
        <v>51</v>
      </c>
      <c r="F2020" s="70" t="s">
        <v>51</v>
      </c>
      <c r="G2020" s="68" t="s">
        <v>7006</v>
      </c>
      <c r="H2020" s="59" t="s">
        <v>7007</v>
      </c>
      <c r="I2020" s="162" t="s">
        <v>7008</v>
      </c>
      <c r="J2020" s="162"/>
      <c r="K2020" s="68" t="s">
        <v>12</v>
      </c>
      <c r="L2020" s="69" t="s">
        <v>120</v>
      </c>
      <c r="M2020" s="71" t="s">
        <v>141</v>
      </c>
      <c r="N2020" s="69" t="e" vm="1">
        <v>#VALUE!</v>
      </c>
      <c r="O2020" s="164">
        <v>42877</v>
      </c>
      <c r="P2020" s="72" t="s">
        <v>274</v>
      </c>
      <c r="Q2020" s="72" t="s">
        <v>316</v>
      </c>
      <c r="R2020" s="162"/>
      <c r="S2020" s="146"/>
      <c r="T2020" s="68" t="s">
        <v>3</v>
      </c>
      <c r="U2020" s="87"/>
      <c r="V2020" s="183">
        <v>42886</v>
      </c>
      <c r="W2020" s="73">
        <v>739</v>
      </c>
      <c r="X2020" s="73">
        <f>26622*1117/1000000</f>
        <v>29.736774</v>
      </c>
      <c r="Y2020" s="83">
        <f>IF(SUM(W2020:W2020)&gt;0,X2020/SUM(W2020:W2020)*1000000,"N/A")</f>
        <v>40239.20703653586</v>
      </c>
      <c r="Z2020" s="183"/>
      <c r="AA2020" s="183"/>
      <c r="AB2020" s="73" t="s">
        <v>7009</v>
      </c>
      <c r="AC2020" s="153"/>
      <c r="AD2020" s="331"/>
      <c r="AE2020" s="57"/>
      <c r="AF2020" s="88"/>
      <c r="AG2020" s="182">
        <f>YEAR(D2020)</f>
        <v>2017</v>
      </c>
      <c r="AH2020" s="86" t="str">
        <f>+IF(AE2020=$AJ$22,MONTH(T2020),"")</f>
        <v/>
      </c>
      <c r="AI2020" s="86" t="str">
        <f>+IF(AF2020=$AJ$22,MONTH(U2020),"")</f>
        <v/>
      </c>
      <c r="AJ2020" s="86" t="str">
        <f>+IF(AG2020=$AJ$22,MONTH(V2020),"")</f>
        <v/>
      </c>
      <c r="AK2020" s="86" t="str">
        <f>+IF(AG2020=$AK$22,MONTH(V2020),"")</f>
        <v/>
      </c>
      <c r="AL2020" s="86" t="str">
        <f>+IF(AG2020=$AL$22,MONTH(V2020),"")</f>
        <v/>
      </c>
      <c r="AM2020" s="86" t="str">
        <f>+IF($AG2020=$AM$22,MONTH($D2020),"")</f>
        <v/>
      </c>
      <c r="AN2020" s="89" t="str">
        <f>+IF($AG2020=AN$22,MONTH($D2020),"")</f>
        <v/>
      </c>
      <c r="AO2020" s="86" t="str">
        <f>+IF($AG2020=AO$22,MONTH($D2020),"")</f>
        <v/>
      </c>
      <c r="AP2020" s="86" t="str">
        <f>+IF($AG2020=AP$22,MONTH($D2020),"")</f>
        <v/>
      </c>
      <c r="AQ2020" s="86">
        <f>+IF($AG2020=AQ$22,MONTH($D2020),"")</f>
        <v>5</v>
      </c>
      <c r="AR2020" s="86" t="str">
        <f>+IF($AG2020=AR$22,MONTH($D2020),"")</f>
        <v/>
      </c>
      <c r="AS2020" s="86" t="str">
        <f>+IF($AG2020=AS$22,MONTH($D2020),"")</f>
        <v/>
      </c>
      <c r="AT2020" s="86" t="str">
        <f>+IF($AG2020=AT$22,MONTH($D2020),"")</f>
        <v/>
      </c>
      <c r="AU2020" s="86" t="str">
        <f>+IF($AG2020=AU$22,MONTH($D2020),"")</f>
        <v/>
      </c>
      <c r="AV2020" s="86" t="str">
        <f>+IF($AG2020=AV$22,MONTH($D2020),"")</f>
        <v/>
      </c>
      <c r="AW2020" s="86" t="str">
        <f>+IF($AG2020=AW$22,MONTH($D2020),"")</f>
        <v/>
      </c>
      <c r="AX2020" s="86" t="str">
        <f>+IF($AG2020=AX$22,MONTH($D2020),"")</f>
        <v/>
      </c>
      <c r="AY2020" s="89"/>
      <c r="AZ2020" s="89"/>
      <c r="BA2020" s="89"/>
      <c r="BB2020" s="89"/>
      <c r="BC2020" s="89"/>
      <c r="BD2020" s="89"/>
      <c r="BE2020" s="89"/>
      <c r="BF2020" s="89"/>
      <c r="BG2020" s="89"/>
      <c r="BH2020" s="89"/>
      <c r="BI2020" s="89"/>
      <c r="BJ2020" s="89"/>
      <c r="BK2020" s="89"/>
      <c r="BL2020" s="89"/>
      <c r="BM2020" s="89"/>
      <c r="BN2020" s="89"/>
      <c r="BO2020" s="89"/>
      <c r="BP2020" s="89"/>
    </row>
    <row r="2021" spans="1:68" s="56" customFormat="1" ht="27" hidden="1">
      <c r="A2021" s="204" t="str">
        <f>+IFERROR(VALUE(MID(AB2021,4,4)),"")</f>
        <v/>
      </c>
      <c r="B2021" s="204">
        <f>VALUE(RIGHT(C2021,LEN(C2021)-2))</f>
        <v>704</v>
      </c>
      <c r="C2021" s="74" t="s">
        <v>7010</v>
      </c>
      <c r="D2021" s="75">
        <v>42872</v>
      </c>
      <c r="E2021" s="70" t="s">
        <v>685</v>
      </c>
      <c r="F2021" s="70" t="s">
        <v>685</v>
      </c>
      <c r="G2021" s="68" t="s">
        <v>7011</v>
      </c>
      <c r="H2021" s="59"/>
      <c r="I2021" s="162" t="s">
        <v>7012</v>
      </c>
      <c r="J2021" s="162"/>
      <c r="K2021" s="68" t="s">
        <v>113</v>
      </c>
      <c r="L2021" s="69" t="s">
        <v>120</v>
      </c>
      <c r="M2021" s="71" t="s">
        <v>141</v>
      </c>
      <c r="N2021" s="69" t="e" vm="1">
        <v>#VALUE!</v>
      </c>
      <c r="O2021" s="164">
        <v>42873</v>
      </c>
      <c r="P2021" s="72" t="s">
        <v>402</v>
      </c>
      <c r="Q2021" s="72"/>
      <c r="R2021" s="162"/>
      <c r="S2021" s="146" t="s">
        <v>7013</v>
      </c>
      <c r="T2021" s="68" t="s">
        <v>165</v>
      </c>
      <c r="U2021" s="87"/>
      <c r="V2021" s="183">
        <v>42886</v>
      </c>
      <c r="W2021" s="73">
        <v>618</v>
      </c>
      <c r="X2021" s="73">
        <f>32587*660/1000000</f>
        <v>21.50742</v>
      </c>
      <c r="Y2021" s="83">
        <f>IF(SUM(W2021:W2021)&gt;0,X2021/SUM(W2021:W2021)*1000000,"N/A")</f>
        <v>34801.650485436898</v>
      </c>
      <c r="Z2021" s="183"/>
      <c r="AA2021" s="183"/>
      <c r="AB2021" s="73"/>
      <c r="AC2021" s="153"/>
      <c r="AD2021" s="331"/>
      <c r="AE2021" s="57"/>
      <c r="AF2021" s="88"/>
      <c r="AG2021" s="182">
        <f>YEAR(D2021)</f>
        <v>2017</v>
      </c>
      <c r="AH2021" s="86" t="str">
        <f>+IF(AE2021=$AJ$22,MONTH(T2021),"")</f>
        <v/>
      </c>
      <c r="AI2021" s="86" t="str">
        <f>+IF(AF2021=$AJ$22,MONTH(U2021),"")</f>
        <v/>
      </c>
      <c r="AJ2021" s="86" t="str">
        <f>+IF(AG2021=$AJ$22,MONTH(V2021),"")</f>
        <v/>
      </c>
      <c r="AK2021" s="86" t="str">
        <f>+IF(AG2021=$AK$22,MONTH(V2021),"")</f>
        <v/>
      </c>
      <c r="AL2021" s="86" t="str">
        <f>+IF(AG2021=$AL$22,MONTH(V2021),"")</f>
        <v/>
      </c>
      <c r="AM2021" s="86" t="str">
        <f>+IF($AG2021=$AM$22,MONTH($D2021),"")</f>
        <v/>
      </c>
      <c r="AN2021" s="89" t="str">
        <f>+IF($AG2021=AN$22,MONTH($D2021),"")</f>
        <v/>
      </c>
      <c r="AO2021" s="86" t="str">
        <f>+IF($AG2021=AO$22,MONTH($D2021),"")</f>
        <v/>
      </c>
      <c r="AP2021" s="86" t="str">
        <f>+IF($AG2021=AP$22,MONTH($D2021),"")</f>
        <v/>
      </c>
      <c r="AQ2021" s="86">
        <f>+IF($AG2021=AQ$22,MONTH($D2021),"")</f>
        <v>5</v>
      </c>
      <c r="AR2021" s="86" t="str">
        <f>+IF($AG2021=AR$22,MONTH($D2021),"")</f>
        <v/>
      </c>
      <c r="AS2021" s="86" t="str">
        <f>+IF($AG2021=AS$22,MONTH($D2021),"")</f>
        <v/>
      </c>
      <c r="AT2021" s="86" t="str">
        <f>+IF($AG2021=AT$22,MONTH($D2021),"")</f>
        <v/>
      </c>
      <c r="AU2021" s="86" t="str">
        <f>+IF($AG2021=AU$22,MONTH($D2021),"")</f>
        <v/>
      </c>
      <c r="AV2021" s="86" t="str">
        <f>+IF($AG2021=AV$22,MONTH($D2021),"")</f>
        <v/>
      </c>
      <c r="AW2021" s="86" t="str">
        <f>+IF($AG2021=AW$22,MONTH($D2021),"")</f>
        <v/>
      </c>
      <c r="AX2021" s="86" t="str">
        <f>+IF($AG2021=AX$22,MONTH($D2021),"")</f>
        <v/>
      </c>
      <c r="AY2021" s="89"/>
      <c r="AZ2021" s="89"/>
      <c r="BA2021" s="89"/>
      <c r="BB2021" s="89"/>
      <c r="BC2021" s="89"/>
      <c r="BD2021" s="89"/>
      <c r="BE2021" s="89"/>
      <c r="BF2021" s="89"/>
      <c r="BG2021" s="89"/>
      <c r="BH2021" s="89"/>
      <c r="BI2021" s="89"/>
      <c r="BJ2021" s="89"/>
      <c r="BK2021" s="89"/>
      <c r="BL2021" s="89"/>
      <c r="BM2021" s="89"/>
      <c r="BN2021" s="89"/>
      <c r="BO2021" s="89"/>
      <c r="BP2021" s="89"/>
    </row>
    <row r="2022" spans="1:68" s="56" customFormat="1" ht="27" hidden="1">
      <c r="A2022" s="204" t="str">
        <f>+IFERROR(VALUE(MID(AB2022,4,4)),"")</f>
        <v/>
      </c>
      <c r="B2022" s="204">
        <f>VALUE(RIGHT(C2022,LEN(C2022)-2))</f>
        <v>703</v>
      </c>
      <c r="C2022" s="74" t="s">
        <v>7014</v>
      </c>
      <c r="D2022" s="75">
        <v>42871</v>
      </c>
      <c r="E2022" s="70" t="s">
        <v>255</v>
      </c>
      <c r="F2022" s="70" t="s">
        <v>255</v>
      </c>
      <c r="G2022" s="68" t="s">
        <v>7015</v>
      </c>
      <c r="H2022" s="59"/>
      <c r="I2022" s="162" t="s">
        <v>7016</v>
      </c>
      <c r="J2022" s="162"/>
      <c r="K2022" s="68"/>
      <c r="L2022" s="69" t="s">
        <v>120</v>
      </c>
      <c r="M2022" s="71" t="s">
        <v>141</v>
      </c>
      <c r="N2022" s="69" t="e" vm="1">
        <v>#VALUE!</v>
      </c>
      <c r="O2022" s="164">
        <v>42878</v>
      </c>
      <c r="P2022" s="72" t="s">
        <v>1686</v>
      </c>
      <c r="Q2022" s="72"/>
      <c r="R2022" s="162"/>
      <c r="S2022" s="146" t="s">
        <v>7017</v>
      </c>
      <c r="T2022" s="68" t="s">
        <v>165</v>
      </c>
      <c r="U2022" s="87"/>
      <c r="V2022" s="183">
        <v>42886</v>
      </c>
      <c r="W2022" s="73">
        <v>536</v>
      </c>
      <c r="X2022" s="73">
        <f>559*24866/1000000</f>
        <v>13.900093999999999</v>
      </c>
      <c r="Y2022" s="83">
        <f>IF(SUM(W2022:W2022)&gt;0,X2022/SUM(W2022:W2022)*1000000,"N/A")</f>
        <v>25933.011194029848</v>
      </c>
      <c r="Z2022" s="183"/>
      <c r="AA2022" s="183"/>
      <c r="AB2022" s="73"/>
      <c r="AC2022" s="153"/>
      <c r="AD2022" s="331"/>
      <c r="AE2022" s="57"/>
      <c r="AF2022" s="88"/>
      <c r="AG2022" s="182">
        <f>YEAR(D2022)</f>
        <v>2017</v>
      </c>
      <c r="AH2022" s="86" t="str">
        <f>+IF(AE2022=$AJ$22,MONTH(T2022),"")</f>
        <v/>
      </c>
      <c r="AI2022" s="86" t="str">
        <f>+IF(AF2022=$AJ$22,MONTH(U2022),"")</f>
        <v/>
      </c>
      <c r="AJ2022" s="86" t="str">
        <f>+IF(AG2022=$AJ$22,MONTH(V2022),"")</f>
        <v/>
      </c>
      <c r="AK2022" s="86" t="str">
        <f>+IF(AG2022=$AK$22,MONTH(V2022),"")</f>
        <v/>
      </c>
      <c r="AL2022" s="86" t="str">
        <f>+IF(AG2022=$AL$22,MONTH(V2022),"")</f>
        <v/>
      </c>
      <c r="AM2022" s="86" t="str">
        <f>+IF($AG2022=$AM$22,MONTH($D2022),"")</f>
        <v/>
      </c>
      <c r="AN2022" s="89" t="str">
        <f>+IF($AG2022=AN$22,MONTH($D2022),"")</f>
        <v/>
      </c>
      <c r="AO2022" s="86" t="str">
        <f>+IF($AG2022=AO$22,MONTH($D2022),"")</f>
        <v/>
      </c>
      <c r="AP2022" s="86" t="str">
        <f>+IF($AG2022=AP$22,MONTH($D2022),"")</f>
        <v/>
      </c>
      <c r="AQ2022" s="86">
        <f>+IF($AG2022=AQ$22,MONTH($D2022),"")</f>
        <v>5</v>
      </c>
      <c r="AR2022" s="86" t="str">
        <f>+IF($AG2022=AR$22,MONTH($D2022),"")</f>
        <v/>
      </c>
      <c r="AS2022" s="86" t="str">
        <f>+IF($AG2022=AS$22,MONTH($D2022),"")</f>
        <v/>
      </c>
      <c r="AT2022" s="86" t="str">
        <f>+IF($AG2022=AT$22,MONTH($D2022),"")</f>
        <v/>
      </c>
      <c r="AU2022" s="86" t="str">
        <f>+IF($AG2022=AU$22,MONTH($D2022),"")</f>
        <v/>
      </c>
      <c r="AV2022" s="86" t="str">
        <f>+IF($AG2022=AV$22,MONTH($D2022),"")</f>
        <v/>
      </c>
      <c r="AW2022" s="86" t="str">
        <f>+IF($AG2022=AW$22,MONTH($D2022),"")</f>
        <v/>
      </c>
      <c r="AX2022" s="86" t="str">
        <f>+IF($AG2022=AX$22,MONTH($D2022),"")</f>
        <v/>
      </c>
      <c r="AY2022" s="89"/>
      <c r="AZ2022" s="89"/>
      <c r="BA2022" s="89"/>
      <c r="BB2022" s="89"/>
      <c r="BC2022" s="89"/>
      <c r="BD2022" s="89"/>
      <c r="BE2022" s="89"/>
      <c r="BF2022" s="89"/>
      <c r="BG2022" s="89"/>
      <c r="BH2022" s="89"/>
      <c r="BI2022" s="89"/>
      <c r="BJ2022" s="89"/>
      <c r="BK2022" s="89"/>
      <c r="BL2022" s="89"/>
      <c r="BM2022" s="89"/>
      <c r="BN2022" s="89"/>
      <c r="BO2022" s="89"/>
      <c r="BP2022" s="89"/>
    </row>
    <row r="2023" spans="1:68" s="56" customFormat="1" ht="13.5" hidden="1">
      <c r="A2023" s="204" t="str">
        <f>+IFERROR(VALUE(MID(AB2023,4,4)),"")</f>
        <v/>
      </c>
      <c r="B2023" s="204">
        <f>VALUE(RIGHT(C2023,LEN(C2023)-2))</f>
        <v>702</v>
      </c>
      <c r="C2023" s="74" t="s">
        <v>7018</v>
      </c>
      <c r="D2023" s="75">
        <v>42871</v>
      </c>
      <c r="E2023" s="70" t="s">
        <v>5967</v>
      </c>
      <c r="F2023" s="70" t="s">
        <v>7019</v>
      </c>
      <c r="G2023" s="68"/>
      <c r="H2023" s="59"/>
      <c r="I2023" s="162" t="s">
        <v>7020</v>
      </c>
      <c r="J2023" s="162"/>
      <c r="K2023" s="68" t="s">
        <v>13</v>
      </c>
      <c r="L2023" s="69" t="s">
        <v>123</v>
      </c>
      <c r="M2023" s="71" t="s">
        <v>141</v>
      </c>
      <c r="N2023" s="69" t="e" vm="1">
        <v>#VALUE!</v>
      </c>
      <c r="O2023" s="164"/>
      <c r="P2023" s="72" t="s">
        <v>4567</v>
      </c>
      <c r="Q2023" s="72"/>
      <c r="R2023" s="162"/>
      <c r="S2023" s="146"/>
      <c r="T2023" s="68" t="s">
        <v>165</v>
      </c>
      <c r="U2023" s="87"/>
      <c r="V2023" s="183">
        <v>42886</v>
      </c>
      <c r="W2023" s="73">
        <v>1018</v>
      </c>
      <c r="X2023" s="73">
        <f>1136*26622/1000000</f>
        <v>30.242591999999998</v>
      </c>
      <c r="Y2023" s="83">
        <f>IF(SUM(W2023:W2023)&gt;0,X2023/SUM(W2023:W2023)*1000000,"N/A")</f>
        <v>29707.850687622791</v>
      </c>
      <c r="Z2023" s="183"/>
      <c r="AA2023" s="183"/>
      <c r="AB2023" s="73"/>
      <c r="AC2023" s="153"/>
      <c r="AD2023" s="331"/>
      <c r="AE2023" s="57"/>
      <c r="AF2023" s="88"/>
      <c r="AG2023" s="182">
        <f>YEAR(D2023)</f>
        <v>2017</v>
      </c>
      <c r="AH2023" s="86" t="str">
        <f>+IF(AE2023=$AJ$22,MONTH(T2023),"")</f>
        <v/>
      </c>
      <c r="AI2023" s="86" t="str">
        <f>+IF(AF2023=$AJ$22,MONTH(U2023),"")</f>
        <v/>
      </c>
      <c r="AJ2023" s="86" t="str">
        <f>+IF(AG2023=$AJ$22,MONTH(V2023),"")</f>
        <v/>
      </c>
      <c r="AK2023" s="86" t="str">
        <f>+IF(AG2023=$AK$22,MONTH(V2023),"")</f>
        <v/>
      </c>
      <c r="AL2023" s="86" t="str">
        <f>+IF(AG2023=$AL$22,MONTH(V2023),"")</f>
        <v/>
      </c>
      <c r="AM2023" s="86" t="str">
        <f>+IF($AG2023=$AM$22,MONTH($D2023),"")</f>
        <v/>
      </c>
      <c r="AN2023" s="89" t="str">
        <f>+IF($AG2023=AN$22,MONTH($D2023),"")</f>
        <v/>
      </c>
      <c r="AO2023" s="86" t="str">
        <f>+IF($AG2023=AO$22,MONTH($D2023),"")</f>
        <v/>
      </c>
      <c r="AP2023" s="86" t="str">
        <f>+IF($AG2023=AP$22,MONTH($D2023),"")</f>
        <v/>
      </c>
      <c r="AQ2023" s="86">
        <f>+IF($AG2023=AQ$22,MONTH($D2023),"")</f>
        <v>5</v>
      </c>
      <c r="AR2023" s="86" t="str">
        <f>+IF($AG2023=AR$22,MONTH($D2023),"")</f>
        <v/>
      </c>
      <c r="AS2023" s="86" t="str">
        <f>+IF($AG2023=AS$22,MONTH($D2023),"")</f>
        <v/>
      </c>
      <c r="AT2023" s="86" t="str">
        <f>+IF($AG2023=AT$22,MONTH($D2023),"")</f>
        <v/>
      </c>
      <c r="AU2023" s="86" t="str">
        <f>+IF($AG2023=AU$22,MONTH($D2023),"")</f>
        <v/>
      </c>
      <c r="AV2023" s="86" t="str">
        <f>+IF($AG2023=AV$22,MONTH($D2023),"")</f>
        <v/>
      </c>
      <c r="AW2023" s="86" t="str">
        <f>+IF($AG2023=AW$22,MONTH($D2023),"")</f>
        <v/>
      </c>
      <c r="AX2023" s="86" t="str">
        <f>+IF($AG2023=AX$22,MONTH($D2023),"")</f>
        <v/>
      </c>
      <c r="AY2023" s="89"/>
      <c r="AZ2023" s="89"/>
      <c r="BA2023" s="89"/>
      <c r="BB2023" s="89"/>
      <c r="BC2023" s="89"/>
      <c r="BD2023" s="89"/>
      <c r="BE2023" s="89"/>
      <c r="BF2023" s="89"/>
      <c r="BG2023" s="89"/>
      <c r="BH2023" s="89"/>
      <c r="BI2023" s="89"/>
      <c r="BJ2023" s="89"/>
      <c r="BK2023" s="89"/>
      <c r="BL2023" s="89"/>
      <c r="BM2023" s="89"/>
      <c r="BN2023" s="89"/>
      <c r="BO2023" s="89"/>
      <c r="BP2023" s="89"/>
    </row>
    <row r="2024" spans="1:68" s="56" customFormat="1" ht="13.5" hidden="1">
      <c r="A2024" s="204" t="str">
        <f>+IFERROR(VALUE(MID(AB2024,4,4)),"")</f>
        <v/>
      </c>
      <c r="B2024" s="204">
        <f>VALUE(RIGHT(C2024,LEN(C2024)-2))</f>
        <v>701</v>
      </c>
      <c r="C2024" s="74" t="s">
        <v>7021</v>
      </c>
      <c r="D2024" s="75">
        <v>42870</v>
      </c>
      <c r="E2024" s="70" t="s">
        <v>7022</v>
      </c>
      <c r="F2024" s="70" t="s">
        <v>7022</v>
      </c>
      <c r="G2024" s="68"/>
      <c r="H2024" s="59"/>
      <c r="I2024" s="162" t="s">
        <v>7023</v>
      </c>
      <c r="J2024" s="162"/>
      <c r="K2024" s="68" t="s">
        <v>212</v>
      </c>
      <c r="L2024" s="69" t="s">
        <v>120</v>
      </c>
      <c r="M2024" s="71" t="s">
        <v>141</v>
      </c>
      <c r="N2024" s="69" t="e" vm="1">
        <v>#VALUE!</v>
      </c>
      <c r="O2024" s="164">
        <v>42870</v>
      </c>
      <c r="P2024" s="72" t="s">
        <v>4567</v>
      </c>
      <c r="Q2024" s="72"/>
      <c r="R2024" s="162"/>
      <c r="S2024" s="146"/>
      <c r="T2024" s="68" t="s">
        <v>165</v>
      </c>
      <c r="U2024" s="87"/>
      <c r="V2024" s="183">
        <v>42886</v>
      </c>
      <c r="W2024" s="73">
        <v>1</v>
      </c>
      <c r="X2024" s="73"/>
      <c r="Y2024" s="83">
        <f>IF(SUM(W2024:W2024)&gt;0,X2024/SUM(W2024:W2024)*1000000,"N/A")</f>
        <v>0</v>
      </c>
      <c r="Z2024" s="183"/>
      <c r="AA2024" s="183"/>
      <c r="AB2024" s="73"/>
      <c r="AC2024" s="153"/>
      <c r="AD2024" s="331"/>
      <c r="AE2024" s="57"/>
      <c r="AF2024" s="88"/>
      <c r="AG2024" s="182">
        <f>YEAR(D2024)</f>
        <v>2017</v>
      </c>
      <c r="AH2024" s="86" t="str">
        <f>+IF(AE2024=$AJ$22,MONTH(T2024),"")</f>
        <v/>
      </c>
      <c r="AI2024" s="86" t="str">
        <f>+IF(AF2024=$AJ$22,MONTH(U2024),"")</f>
        <v/>
      </c>
      <c r="AJ2024" s="86" t="str">
        <f>+IF(AG2024=$AJ$22,MONTH(V2024),"")</f>
        <v/>
      </c>
      <c r="AK2024" s="86" t="str">
        <f>+IF(AG2024=$AK$22,MONTH(V2024),"")</f>
        <v/>
      </c>
      <c r="AL2024" s="86" t="str">
        <f>+IF(AG2024=$AL$22,MONTH(V2024),"")</f>
        <v/>
      </c>
      <c r="AM2024" s="86" t="str">
        <f>+IF($AG2024=$AM$22,MONTH($D2024),"")</f>
        <v/>
      </c>
      <c r="AN2024" s="89" t="str">
        <f>+IF($AG2024=AN$22,MONTH($D2024),"")</f>
        <v/>
      </c>
      <c r="AO2024" s="86" t="str">
        <f>+IF($AG2024=AO$22,MONTH($D2024),"")</f>
        <v/>
      </c>
      <c r="AP2024" s="86" t="str">
        <f>+IF($AG2024=AP$22,MONTH($D2024),"")</f>
        <v/>
      </c>
      <c r="AQ2024" s="86">
        <f>+IF($AG2024=AQ$22,MONTH($D2024),"")</f>
        <v>5</v>
      </c>
      <c r="AR2024" s="86" t="str">
        <f>+IF($AG2024=AR$22,MONTH($D2024),"")</f>
        <v/>
      </c>
      <c r="AS2024" s="86" t="str">
        <f>+IF($AG2024=AS$22,MONTH($D2024),"")</f>
        <v/>
      </c>
      <c r="AT2024" s="86" t="str">
        <f>+IF($AG2024=AT$22,MONTH($D2024),"")</f>
        <v/>
      </c>
      <c r="AU2024" s="86" t="str">
        <f>+IF($AG2024=AU$22,MONTH($D2024),"")</f>
        <v/>
      </c>
      <c r="AV2024" s="86" t="str">
        <f>+IF($AG2024=AV$22,MONTH($D2024),"")</f>
        <v/>
      </c>
      <c r="AW2024" s="86" t="str">
        <f>+IF($AG2024=AW$22,MONTH($D2024),"")</f>
        <v/>
      </c>
      <c r="AX2024" s="86" t="str">
        <f>+IF($AG2024=AX$22,MONTH($D2024),"")</f>
        <v/>
      </c>
      <c r="AY2024" s="89"/>
      <c r="AZ2024" s="89"/>
      <c r="BA2024" s="89"/>
      <c r="BB2024" s="89"/>
      <c r="BC2024" s="89"/>
      <c r="BD2024" s="89"/>
      <c r="BE2024" s="89"/>
      <c r="BF2024" s="89"/>
      <c r="BG2024" s="89"/>
      <c r="BH2024" s="89"/>
      <c r="BI2024" s="89"/>
      <c r="BJ2024" s="89"/>
      <c r="BK2024" s="89"/>
      <c r="BL2024" s="89"/>
      <c r="BM2024" s="89"/>
      <c r="BN2024" s="89"/>
      <c r="BO2024" s="89"/>
      <c r="BP2024" s="89"/>
    </row>
    <row r="2025" spans="1:68" s="56" customFormat="1" ht="40.5" hidden="1">
      <c r="A2025" s="204" t="str">
        <f>+IFERROR(VALUE(MID(AB2025,4,4)),"")</f>
        <v/>
      </c>
      <c r="B2025" s="204">
        <f>VALUE(RIGHT(C2025,LEN(C2025)-2))</f>
        <v>700</v>
      </c>
      <c r="C2025" s="74" t="s">
        <v>7024</v>
      </c>
      <c r="D2025" s="75">
        <v>42870</v>
      </c>
      <c r="E2025" s="70" t="s">
        <v>7025</v>
      </c>
      <c r="F2025" s="70" t="s">
        <v>7025</v>
      </c>
      <c r="G2025" s="68"/>
      <c r="H2025" s="59"/>
      <c r="I2025" s="162" t="s">
        <v>7026</v>
      </c>
      <c r="J2025" s="162"/>
      <c r="K2025" s="68" t="s">
        <v>16</v>
      </c>
      <c r="L2025" s="69" t="s">
        <v>120</v>
      </c>
      <c r="M2025" s="71" t="s">
        <v>141</v>
      </c>
      <c r="N2025" s="69" t="e" vm="1">
        <v>#VALUE!</v>
      </c>
      <c r="O2025" s="164">
        <v>42870</v>
      </c>
      <c r="P2025" s="72" t="s">
        <v>402</v>
      </c>
      <c r="Q2025" s="72"/>
      <c r="R2025" s="162"/>
      <c r="S2025" s="146" t="s">
        <v>7027</v>
      </c>
      <c r="T2025" s="68" t="s">
        <v>165</v>
      </c>
      <c r="U2025" s="87"/>
      <c r="V2025" s="183">
        <v>42886</v>
      </c>
      <c r="W2025" s="73">
        <v>100</v>
      </c>
      <c r="X2025" s="73">
        <f>100*26600/1000000</f>
        <v>2.66</v>
      </c>
      <c r="Y2025" s="83">
        <f>IF(SUM(W2025:W2025)&gt;0,X2025/SUM(W2025:W2025)*1000000,"N/A")</f>
        <v>26600.000000000004</v>
      </c>
      <c r="Z2025" s="183"/>
      <c r="AA2025" s="183"/>
      <c r="AB2025" s="73"/>
      <c r="AC2025" s="153"/>
      <c r="AD2025" s="331"/>
      <c r="AE2025" s="57"/>
      <c r="AF2025" s="88"/>
      <c r="AG2025" s="182">
        <f>YEAR(D2025)</f>
        <v>2017</v>
      </c>
      <c r="AH2025" s="86" t="str">
        <f>+IF(AE2025=$AJ$22,MONTH(T2025),"")</f>
        <v/>
      </c>
      <c r="AI2025" s="86" t="str">
        <f>+IF(AF2025=$AJ$22,MONTH(U2025),"")</f>
        <v/>
      </c>
      <c r="AJ2025" s="86" t="str">
        <f>+IF(AG2025=$AJ$22,MONTH(V2025),"")</f>
        <v/>
      </c>
      <c r="AK2025" s="86" t="str">
        <f>+IF(AG2025=$AK$22,MONTH(V2025),"")</f>
        <v/>
      </c>
      <c r="AL2025" s="86" t="str">
        <f>+IF(AG2025=$AL$22,MONTH(V2025),"")</f>
        <v/>
      </c>
      <c r="AM2025" s="86" t="str">
        <f>+IF($AG2025=$AM$22,MONTH($D2025),"")</f>
        <v/>
      </c>
      <c r="AN2025" s="89" t="str">
        <f>+IF($AG2025=AN$22,MONTH($D2025),"")</f>
        <v/>
      </c>
      <c r="AO2025" s="86" t="str">
        <f>+IF($AG2025=AO$22,MONTH($D2025),"")</f>
        <v/>
      </c>
      <c r="AP2025" s="86" t="str">
        <f>+IF($AG2025=AP$22,MONTH($D2025),"")</f>
        <v/>
      </c>
      <c r="AQ2025" s="86">
        <f>+IF($AG2025=AQ$22,MONTH($D2025),"")</f>
        <v>5</v>
      </c>
      <c r="AR2025" s="86" t="str">
        <f>+IF($AG2025=AR$22,MONTH($D2025),"")</f>
        <v/>
      </c>
      <c r="AS2025" s="86" t="str">
        <f>+IF($AG2025=AS$22,MONTH($D2025),"")</f>
        <v/>
      </c>
      <c r="AT2025" s="86" t="str">
        <f>+IF($AG2025=AT$22,MONTH($D2025),"")</f>
        <v/>
      </c>
      <c r="AU2025" s="86" t="str">
        <f>+IF($AG2025=AU$22,MONTH($D2025),"")</f>
        <v/>
      </c>
      <c r="AV2025" s="86" t="str">
        <f>+IF($AG2025=AV$22,MONTH($D2025),"")</f>
        <v/>
      </c>
      <c r="AW2025" s="86" t="str">
        <f>+IF($AG2025=AW$22,MONTH($D2025),"")</f>
        <v/>
      </c>
      <c r="AX2025" s="86" t="str">
        <f>+IF($AG2025=AX$22,MONTH($D2025),"")</f>
        <v/>
      </c>
      <c r="AY2025" s="89"/>
      <c r="AZ2025" s="89"/>
      <c r="BA2025" s="89"/>
      <c r="BB2025" s="89"/>
      <c r="BC2025" s="89"/>
      <c r="BD2025" s="89"/>
      <c r="BE2025" s="89"/>
      <c r="BF2025" s="89"/>
      <c r="BG2025" s="89"/>
      <c r="BH2025" s="89"/>
      <c r="BI2025" s="89"/>
      <c r="BJ2025" s="89"/>
      <c r="BK2025" s="89"/>
      <c r="BL2025" s="89"/>
      <c r="BM2025" s="89"/>
      <c r="BN2025" s="89"/>
      <c r="BO2025" s="89"/>
      <c r="BP2025" s="89"/>
    </row>
    <row r="2026" spans="1:68" s="56" customFormat="1" ht="27" hidden="1">
      <c r="A2026" s="204" t="str">
        <f>+IFERROR(VALUE(MID(AB2026,4,4)),"")</f>
        <v/>
      </c>
      <c r="B2026" s="204">
        <f>VALUE(RIGHT(C2026,LEN(C2026)-2))</f>
        <v>699</v>
      </c>
      <c r="C2026" s="74" t="s">
        <v>7028</v>
      </c>
      <c r="D2026" s="75">
        <v>42866</v>
      </c>
      <c r="E2026" s="70" t="s">
        <v>685</v>
      </c>
      <c r="F2026" s="70" t="s">
        <v>685</v>
      </c>
      <c r="G2026" s="68" t="s">
        <v>7029</v>
      </c>
      <c r="H2026" s="59" t="s">
        <v>7030</v>
      </c>
      <c r="I2026" s="162" t="s">
        <v>7031</v>
      </c>
      <c r="J2026" s="162"/>
      <c r="K2026" s="68" t="s">
        <v>13</v>
      </c>
      <c r="L2026" s="69" t="s">
        <v>120</v>
      </c>
      <c r="M2026" s="71" t="s">
        <v>141</v>
      </c>
      <c r="N2026" s="69" t="e" vm="1">
        <v>#VALUE!</v>
      </c>
      <c r="O2026" s="164">
        <v>42870</v>
      </c>
      <c r="P2026" s="72" t="s">
        <v>402</v>
      </c>
      <c r="Q2026" s="72"/>
      <c r="R2026" s="162"/>
      <c r="S2026" s="146" t="s">
        <v>7013</v>
      </c>
      <c r="T2026" s="68" t="s">
        <v>165</v>
      </c>
      <c r="U2026" s="87"/>
      <c r="V2026" s="183">
        <v>42886</v>
      </c>
      <c r="W2026" s="73">
        <v>359</v>
      </c>
      <c r="X2026" s="73">
        <f>115235*671/1000000</f>
        <v>77.322685000000007</v>
      </c>
      <c r="Y2026" s="83">
        <f>IF(SUM(W2026:W2026)&gt;0,X2026/SUM(W2026:W2026)*1000000,"N/A")</f>
        <v>215383.52367688023</v>
      </c>
      <c r="Z2026" s="183"/>
      <c r="AA2026" s="183"/>
      <c r="AB2026" s="73"/>
      <c r="AC2026" s="153"/>
      <c r="AD2026" s="331"/>
      <c r="AE2026" s="57"/>
      <c r="AF2026" s="88"/>
      <c r="AG2026" s="182">
        <f>YEAR(D2026)</f>
        <v>2017</v>
      </c>
      <c r="AH2026" s="86" t="str">
        <f>+IF(AE2026=$AJ$22,MONTH(T2026),"")</f>
        <v/>
      </c>
      <c r="AI2026" s="86" t="str">
        <f>+IF(AF2026=$AJ$22,MONTH(U2026),"")</f>
        <v/>
      </c>
      <c r="AJ2026" s="86" t="str">
        <f>+IF(AG2026=$AJ$22,MONTH(V2026),"")</f>
        <v/>
      </c>
      <c r="AK2026" s="86" t="str">
        <f>+IF(AG2026=$AK$22,MONTH(V2026),"")</f>
        <v/>
      </c>
      <c r="AL2026" s="86" t="str">
        <f>+IF(AG2026=$AL$22,MONTH(V2026),"")</f>
        <v/>
      </c>
      <c r="AM2026" s="86" t="str">
        <f>+IF($AG2026=$AM$22,MONTH($D2026),"")</f>
        <v/>
      </c>
      <c r="AN2026" s="89" t="str">
        <f>+IF($AG2026=AN$22,MONTH($D2026),"")</f>
        <v/>
      </c>
      <c r="AO2026" s="86" t="str">
        <f>+IF($AG2026=AO$22,MONTH($D2026),"")</f>
        <v/>
      </c>
      <c r="AP2026" s="86" t="str">
        <f>+IF($AG2026=AP$22,MONTH($D2026),"")</f>
        <v/>
      </c>
      <c r="AQ2026" s="86">
        <f>+IF($AG2026=AQ$22,MONTH($D2026),"")</f>
        <v>5</v>
      </c>
      <c r="AR2026" s="86" t="str">
        <f>+IF($AG2026=AR$22,MONTH($D2026),"")</f>
        <v/>
      </c>
      <c r="AS2026" s="86" t="str">
        <f>+IF($AG2026=AS$22,MONTH($D2026),"")</f>
        <v/>
      </c>
      <c r="AT2026" s="86" t="str">
        <f>+IF($AG2026=AT$22,MONTH($D2026),"")</f>
        <v/>
      </c>
      <c r="AU2026" s="86" t="str">
        <f>+IF($AG2026=AU$22,MONTH($D2026),"")</f>
        <v/>
      </c>
      <c r="AV2026" s="86" t="str">
        <f>+IF($AG2026=AV$22,MONTH($D2026),"")</f>
        <v/>
      </c>
      <c r="AW2026" s="86" t="str">
        <f>+IF($AG2026=AW$22,MONTH($D2026),"")</f>
        <v/>
      </c>
      <c r="AX2026" s="86" t="str">
        <f>+IF($AG2026=AX$22,MONTH($D2026),"")</f>
        <v/>
      </c>
      <c r="AY2026" s="89"/>
      <c r="AZ2026" s="89"/>
      <c r="BA2026" s="89"/>
      <c r="BB2026" s="89"/>
      <c r="BC2026" s="89"/>
      <c r="BD2026" s="89"/>
      <c r="BE2026" s="89"/>
      <c r="BF2026" s="89"/>
      <c r="BG2026" s="89"/>
      <c r="BH2026" s="89"/>
      <c r="BI2026" s="89"/>
      <c r="BJ2026" s="89"/>
      <c r="BK2026" s="89"/>
      <c r="BL2026" s="89"/>
      <c r="BM2026" s="89"/>
      <c r="BN2026" s="89"/>
      <c r="BO2026" s="89"/>
      <c r="BP2026" s="89"/>
    </row>
    <row r="2027" spans="1:68" s="56" customFormat="1" ht="27" hidden="1">
      <c r="A2027" s="204" t="str">
        <f>+IFERROR(VALUE(MID(AB2027,4,4)),"")</f>
        <v/>
      </c>
      <c r="B2027" s="204">
        <f>VALUE(RIGHT(C2027,LEN(C2027)-2))</f>
        <v>698</v>
      </c>
      <c r="C2027" s="74" t="s">
        <v>7032</v>
      </c>
      <c r="D2027" s="75">
        <v>42865</v>
      </c>
      <c r="E2027" s="70" t="s">
        <v>7033</v>
      </c>
      <c r="F2027" s="70" t="s">
        <v>7033</v>
      </c>
      <c r="G2027" s="68" t="s">
        <v>7034</v>
      </c>
      <c r="H2027" s="59"/>
      <c r="I2027" s="162" t="s">
        <v>7035</v>
      </c>
      <c r="J2027" s="162"/>
      <c r="K2027" s="68"/>
      <c r="L2027" s="69" t="s">
        <v>120</v>
      </c>
      <c r="M2027" s="71" t="s">
        <v>113</v>
      </c>
      <c r="N2027" s="69" t="e" vm="4">
        <v>#VALUE!</v>
      </c>
      <c r="O2027" s="164">
        <v>42867</v>
      </c>
      <c r="P2027" s="72" t="s">
        <v>402</v>
      </c>
      <c r="Q2027" s="72"/>
      <c r="R2027" s="162"/>
      <c r="S2027" s="146" t="s">
        <v>7036</v>
      </c>
      <c r="T2027" s="68" t="s">
        <v>165</v>
      </c>
      <c r="U2027" s="87"/>
      <c r="V2027" s="183">
        <v>42886</v>
      </c>
      <c r="W2027" s="73">
        <v>40</v>
      </c>
      <c r="X2027" s="73">
        <f>627*4000/1000000</f>
        <v>2.508</v>
      </c>
      <c r="Y2027" s="83">
        <f>IF(SUM(W2027:W2027)&gt;0,X2027/SUM(W2027:W2027)*1000000,"N/A")</f>
        <v>62700.000000000007</v>
      </c>
      <c r="Z2027" s="183"/>
      <c r="AA2027" s="183"/>
      <c r="AB2027" s="73"/>
      <c r="AC2027" s="153"/>
      <c r="AD2027" s="331"/>
      <c r="AE2027" s="57"/>
      <c r="AF2027" s="88"/>
      <c r="AG2027" s="182">
        <f>YEAR(D2027)</f>
        <v>2017</v>
      </c>
      <c r="AH2027" s="86" t="str">
        <f>+IF(AE2027=$AJ$22,MONTH(T2027),"")</f>
        <v/>
      </c>
      <c r="AI2027" s="86" t="str">
        <f>+IF(AF2027=$AJ$22,MONTH(U2027),"")</f>
        <v/>
      </c>
      <c r="AJ2027" s="86" t="str">
        <f>+IF(AG2027=$AJ$22,MONTH(V2027),"")</f>
        <v/>
      </c>
      <c r="AK2027" s="86" t="str">
        <f>+IF(AG2027=$AK$22,MONTH(V2027),"")</f>
        <v/>
      </c>
      <c r="AL2027" s="86" t="str">
        <f>+IF(AG2027=$AL$22,MONTH(V2027),"")</f>
        <v/>
      </c>
      <c r="AM2027" s="86" t="str">
        <f>+IF($AG2027=$AM$22,MONTH($D2027),"")</f>
        <v/>
      </c>
      <c r="AN2027" s="89" t="str">
        <f>+IF($AG2027=AN$22,MONTH($D2027),"")</f>
        <v/>
      </c>
      <c r="AO2027" s="86" t="str">
        <f>+IF($AG2027=AO$22,MONTH($D2027),"")</f>
        <v/>
      </c>
      <c r="AP2027" s="86" t="str">
        <f>+IF($AG2027=AP$22,MONTH($D2027),"")</f>
        <v/>
      </c>
      <c r="AQ2027" s="86">
        <f>+IF($AG2027=AQ$22,MONTH($D2027),"")</f>
        <v>5</v>
      </c>
      <c r="AR2027" s="86" t="str">
        <f>+IF($AG2027=AR$22,MONTH($D2027),"")</f>
        <v/>
      </c>
      <c r="AS2027" s="86" t="str">
        <f>+IF($AG2027=AS$22,MONTH($D2027),"")</f>
        <v/>
      </c>
      <c r="AT2027" s="86" t="str">
        <f>+IF($AG2027=AT$22,MONTH($D2027),"")</f>
        <v/>
      </c>
      <c r="AU2027" s="86" t="str">
        <f>+IF($AG2027=AU$22,MONTH($D2027),"")</f>
        <v/>
      </c>
      <c r="AV2027" s="86" t="str">
        <f>+IF($AG2027=AV$22,MONTH($D2027),"")</f>
        <v/>
      </c>
      <c r="AW2027" s="86" t="str">
        <f>+IF($AG2027=AW$22,MONTH($D2027),"")</f>
        <v/>
      </c>
      <c r="AX2027" s="86" t="str">
        <f>+IF($AG2027=AX$22,MONTH($D2027),"")</f>
        <v/>
      </c>
      <c r="AY2027" s="89"/>
      <c r="AZ2027" s="89"/>
      <c r="BA2027" s="89"/>
      <c r="BB2027" s="89"/>
      <c r="BC2027" s="89"/>
      <c r="BD2027" s="89"/>
      <c r="BE2027" s="89"/>
      <c r="BF2027" s="89"/>
      <c r="BG2027" s="89"/>
      <c r="BH2027" s="89"/>
      <c r="BI2027" s="89"/>
      <c r="BJ2027" s="89"/>
      <c r="BK2027" s="89"/>
      <c r="BL2027" s="89"/>
      <c r="BM2027" s="89"/>
      <c r="BN2027" s="89"/>
      <c r="BO2027" s="89"/>
      <c r="BP2027" s="89"/>
    </row>
    <row r="2028" spans="1:68" s="56" customFormat="1" ht="13.5" hidden="1">
      <c r="A2028" s="204">
        <f>+IFERROR(VALUE(MID(AB2028,4,4)),"")</f>
        <v>166</v>
      </c>
      <c r="B2028" s="204">
        <f>VALUE(RIGHT(C2028,LEN(C2028)-2))</f>
        <v>697</v>
      </c>
      <c r="C2028" s="74" t="s">
        <v>7037</v>
      </c>
      <c r="D2028" s="75">
        <v>42865</v>
      </c>
      <c r="E2028" s="70" t="s">
        <v>52</v>
      </c>
      <c r="F2028" s="70" t="s">
        <v>52</v>
      </c>
      <c r="G2028" s="68"/>
      <c r="H2028" s="59"/>
      <c r="I2028" s="162" t="s">
        <v>7038</v>
      </c>
      <c r="J2028" s="162"/>
      <c r="K2028" s="68" t="s">
        <v>13</v>
      </c>
      <c r="L2028" s="69" t="s">
        <v>123</v>
      </c>
      <c r="M2028" s="71" t="s">
        <v>113</v>
      </c>
      <c r="N2028" s="69" t="e" vm="4">
        <v>#VALUE!</v>
      </c>
      <c r="O2028" s="164">
        <v>42885</v>
      </c>
      <c r="P2028" s="72" t="s">
        <v>274</v>
      </c>
      <c r="Q2028" s="72"/>
      <c r="R2028" s="162"/>
      <c r="S2028" s="146"/>
      <c r="T2028" s="68" t="s">
        <v>3</v>
      </c>
      <c r="U2028" s="87"/>
      <c r="V2028" s="183">
        <v>42886</v>
      </c>
      <c r="W2028" s="73">
        <v>3159</v>
      </c>
      <c r="X2028" s="73">
        <f>553197*220/1000000</f>
        <v>121.70334</v>
      </c>
      <c r="Y2028" s="83">
        <f>IF(SUM(W2028:W2028)&gt;0,X2028/SUM(W2028:W2028)*1000000,"N/A")</f>
        <v>38525.906932573598</v>
      </c>
      <c r="Z2028" s="183"/>
      <c r="AA2028" s="183"/>
      <c r="AB2028" s="73" t="s">
        <v>6493</v>
      </c>
      <c r="AC2028" s="153"/>
      <c r="AD2028" s="331"/>
      <c r="AE2028" s="57"/>
      <c r="AF2028" s="88"/>
      <c r="AG2028" s="182">
        <f>YEAR(D2028)</f>
        <v>2017</v>
      </c>
      <c r="AH2028" s="86" t="str">
        <f>+IF(AE2028=$AJ$22,MONTH(T2028),"")</f>
        <v/>
      </c>
      <c r="AI2028" s="86" t="str">
        <f>+IF(AF2028=$AJ$22,MONTH(U2028),"")</f>
        <v/>
      </c>
      <c r="AJ2028" s="86" t="str">
        <f>+IF(AG2028=$AJ$22,MONTH(V2028),"")</f>
        <v/>
      </c>
      <c r="AK2028" s="86" t="str">
        <f>+IF(AG2028=$AK$22,MONTH(V2028),"")</f>
        <v/>
      </c>
      <c r="AL2028" s="86" t="str">
        <f>+IF(AG2028=$AL$22,MONTH(V2028),"")</f>
        <v/>
      </c>
      <c r="AM2028" s="86" t="str">
        <f>+IF($AG2028=$AM$22,MONTH($D2028),"")</f>
        <v/>
      </c>
      <c r="AN2028" s="89" t="str">
        <f>+IF($AG2028=AN$22,MONTH($D2028),"")</f>
        <v/>
      </c>
      <c r="AO2028" s="86" t="str">
        <f>+IF($AG2028=AO$22,MONTH($D2028),"")</f>
        <v/>
      </c>
      <c r="AP2028" s="86" t="str">
        <f>+IF($AG2028=AP$22,MONTH($D2028),"")</f>
        <v/>
      </c>
      <c r="AQ2028" s="86">
        <f>+IF($AG2028=AQ$22,MONTH($D2028),"")</f>
        <v>5</v>
      </c>
      <c r="AR2028" s="86" t="str">
        <f>+IF($AG2028=AR$22,MONTH($D2028),"")</f>
        <v/>
      </c>
      <c r="AS2028" s="86" t="str">
        <f>+IF($AG2028=AS$22,MONTH($D2028),"")</f>
        <v/>
      </c>
      <c r="AT2028" s="86" t="str">
        <f>+IF($AG2028=AT$22,MONTH($D2028),"")</f>
        <v/>
      </c>
      <c r="AU2028" s="86" t="str">
        <f>+IF($AG2028=AU$22,MONTH($D2028),"")</f>
        <v/>
      </c>
      <c r="AV2028" s="86" t="str">
        <f>+IF($AG2028=AV$22,MONTH($D2028),"")</f>
        <v/>
      </c>
      <c r="AW2028" s="86" t="str">
        <f>+IF($AG2028=AW$22,MONTH($D2028),"")</f>
        <v/>
      </c>
      <c r="AX2028" s="86" t="str">
        <f>+IF($AG2028=AX$22,MONTH($D2028),"")</f>
        <v/>
      </c>
      <c r="AY2028" s="89"/>
      <c r="AZ2028" s="89"/>
      <c r="BA2028" s="89"/>
      <c r="BB2028" s="89"/>
      <c r="BC2028" s="89"/>
      <c r="BD2028" s="89"/>
      <c r="BE2028" s="89"/>
      <c r="BF2028" s="89"/>
      <c r="BG2028" s="89"/>
      <c r="BH2028" s="89"/>
      <c r="BI2028" s="89"/>
      <c r="BJ2028" s="89"/>
      <c r="BK2028" s="89"/>
      <c r="BL2028" s="89"/>
      <c r="BM2028" s="89"/>
      <c r="BN2028" s="89"/>
      <c r="BO2028" s="89"/>
      <c r="BP2028" s="89"/>
    </row>
    <row r="2029" spans="1:68" s="56" customFormat="1" ht="13.5" hidden="1">
      <c r="A2029" s="204">
        <f>+IFERROR(VALUE(MID(AB2029,4,4)),"")</f>
        <v>146</v>
      </c>
      <c r="B2029" s="204">
        <f>VALUE(RIGHT(C2029,LEN(C2029)-2))</f>
        <v>696</v>
      </c>
      <c r="C2029" s="74" t="s">
        <v>7039</v>
      </c>
      <c r="D2029" s="75">
        <v>42863</v>
      </c>
      <c r="E2029" s="70" t="s">
        <v>53</v>
      </c>
      <c r="F2029" s="70" t="s">
        <v>460</v>
      </c>
      <c r="G2029" s="68" t="s">
        <v>7040</v>
      </c>
      <c r="H2029" s="59"/>
      <c r="I2029" s="162" t="s">
        <v>7041</v>
      </c>
      <c r="J2029" s="162"/>
      <c r="K2029" s="68" t="s">
        <v>13</v>
      </c>
      <c r="L2029" s="69" t="s">
        <v>120</v>
      </c>
      <c r="M2029" s="71" t="s">
        <v>141</v>
      </c>
      <c r="N2029" s="69" t="e" vm="1">
        <v>#VALUE!</v>
      </c>
      <c r="O2029" s="164">
        <v>42864</v>
      </c>
      <c r="P2029" s="72" t="s">
        <v>402</v>
      </c>
      <c r="Q2029" s="72"/>
      <c r="R2029" s="162"/>
      <c r="S2029" s="146"/>
      <c r="T2029" s="68" t="s">
        <v>3</v>
      </c>
      <c r="U2029" s="87"/>
      <c r="V2029" s="183">
        <v>42866</v>
      </c>
      <c r="W2029" s="73">
        <v>1500</v>
      </c>
      <c r="X2029" s="73">
        <f>39087220/1000000</f>
        <v>39.087220000000002</v>
      </c>
      <c r="Y2029" s="83">
        <f>IF(SUM(W2029:W2029)&gt;0,X2029/SUM(W2029:W2029)*1000000,"N/A")</f>
        <v>26058.146666666667</v>
      </c>
      <c r="Z2029" s="183"/>
      <c r="AA2029" s="183"/>
      <c r="AB2029" s="73" t="s">
        <v>7042</v>
      </c>
      <c r="AC2029" s="153"/>
      <c r="AD2029" s="331"/>
      <c r="AE2029" s="57"/>
      <c r="AF2029" s="88"/>
      <c r="AG2029" s="182">
        <f>YEAR(D2029)</f>
        <v>2017</v>
      </c>
      <c r="AH2029" s="86" t="str">
        <f>+IF(AE2029=$AJ$22,MONTH(T2029),"")</f>
        <v/>
      </c>
      <c r="AI2029" s="86" t="str">
        <f>+IF(AF2029=$AJ$22,MONTH(U2029),"")</f>
        <v/>
      </c>
      <c r="AJ2029" s="86" t="str">
        <f>+IF(AG2029=$AJ$22,MONTH(V2029),"")</f>
        <v/>
      </c>
      <c r="AK2029" s="86" t="str">
        <f>+IF(AG2029=$AK$22,MONTH(V2029),"")</f>
        <v/>
      </c>
      <c r="AL2029" s="86" t="str">
        <f>+IF(AG2029=$AL$22,MONTH(V2029),"")</f>
        <v/>
      </c>
      <c r="AM2029" s="86" t="str">
        <f>+IF($AG2029=$AM$22,MONTH($D2029),"")</f>
        <v/>
      </c>
      <c r="AN2029" s="89" t="str">
        <f>+IF($AG2029=AN$22,MONTH($D2029),"")</f>
        <v/>
      </c>
      <c r="AO2029" s="86" t="str">
        <f>+IF($AG2029=AO$22,MONTH($D2029),"")</f>
        <v/>
      </c>
      <c r="AP2029" s="86" t="str">
        <f>+IF($AG2029=AP$22,MONTH($D2029),"")</f>
        <v/>
      </c>
      <c r="AQ2029" s="86">
        <f>+IF($AG2029=AQ$22,MONTH($D2029),"")</f>
        <v>5</v>
      </c>
      <c r="AR2029" s="86" t="str">
        <f>+IF($AG2029=AR$22,MONTH($D2029),"")</f>
        <v/>
      </c>
      <c r="AS2029" s="86" t="str">
        <f>+IF($AG2029=AS$22,MONTH($D2029),"")</f>
        <v/>
      </c>
      <c r="AT2029" s="86" t="str">
        <f>+IF($AG2029=AT$22,MONTH($D2029),"")</f>
        <v/>
      </c>
      <c r="AU2029" s="86" t="str">
        <f>+IF($AG2029=AU$22,MONTH($D2029),"")</f>
        <v/>
      </c>
      <c r="AV2029" s="86" t="str">
        <f>+IF($AG2029=AV$22,MONTH($D2029),"")</f>
        <v/>
      </c>
      <c r="AW2029" s="86" t="str">
        <f>+IF($AG2029=AW$22,MONTH($D2029),"")</f>
        <v/>
      </c>
      <c r="AX2029" s="86" t="str">
        <f>+IF($AG2029=AX$22,MONTH($D2029),"")</f>
        <v/>
      </c>
      <c r="AY2029" s="89"/>
      <c r="AZ2029" s="89"/>
      <c r="BA2029" s="89"/>
      <c r="BB2029" s="89"/>
      <c r="BC2029" s="89"/>
      <c r="BD2029" s="89"/>
      <c r="BE2029" s="89"/>
      <c r="BF2029" s="89"/>
      <c r="BG2029" s="89"/>
      <c r="BH2029" s="89"/>
      <c r="BI2029" s="89"/>
      <c r="BJ2029" s="89"/>
      <c r="BK2029" s="89"/>
      <c r="BL2029" s="89"/>
      <c r="BM2029" s="89"/>
      <c r="BN2029" s="89"/>
      <c r="BO2029" s="89"/>
      <c r="BP2029" s="89"/>
    </row>
    <row r="2030" spans="1:68" s="56" customFormat="1" ht="27" hidden="1">
      <c r="A2030" s="204" t="str">
        <f>+IFERROR(VALUE(MID(AB2030,4,4)),"")</f>
        <v/>
      </c>
      <c r="B2030" s="204">
        <f>VALUE(RIGHT(C2030,LEN(C2030)-2))</f>
        <v>695</v>
      </c>
      <c r="C2030" s="74" t="s">
        <v>7043</v>
      </c>
      <c r="D2030" s="75">
        <v>42860</v>
      </c>
      <c r="E2030" s="70" t="s">
        <v>41</v>
      </c>
      <c r="F2030" s="70" t="s">
        <v>41</v>
      </c>
      <c r="G2030" s="68" t="s">
        <v>6764</v>
      </c>
      <c r="H2030" s="59"/>
      <c r="I2030" s="162" t="s">
        <v>7044</v>
      </c>
      <c r="J2030" s="162"/>
      <c r="K2030" s="68" t="s">
        <v>13</v>
      </c>
      <c r="L2030" s="69" t="s">
        <v>123</v>
      </c>
      <c r="M2030" s="71" t="s">
        <v>141</v>
      </c>
      <c r="N2030" s="69" t="e" vm="1">
        <v>#VALUE!</v>
      </c>
      <c r="O2030" s="164">
        <v>42863</v>
      </c>
      <c r="P2030" s="72" t="s">
        <v>402</v>
      </c>
      <c r="Q2030" s="72"/>
      <c r="R2030" s="162"/>
      <c r="S2030" s="146" t="s">
        <v>7045</v>
      </c>
      <c r="T2030" s="68" t="s">
        <v>3</v>
      </c>
      <c r="U2030" s="87"/>
      <c r="V2030" s="183">
        <v>42886</v>
      </c>
      <c r="W2030" s="73">
        <v>445</v>
      </c>
      <c r="X2030" s="73">
        <f>26579*W2030/1000000</f>
        <v>11.827655</v>
      </c>
      <c r="Y2030" s="83">
        <f>IF(SUM(W2030:W2030)&gt;0,X2030/SUM(W2030:W2030)*1000000,"N/A")</f>
        <v>26579</v>
      </c>
      <c r="Z2030" s="183"/>
      <c r="AA2030" s="183"/>
      <c r="AB2030" s="73"/>
      <c r="AC2030" s="153"/>
      <c r="AD2030" s="331"/>
      <c r="AE2030" s="57"/>
      <c r="AF2030" s="88"/>
      <c r="AG2030" s="182">
        <f>YEAR(D2030)</f>
        <v>2017</v>
      </c>
      <c r="AH2030" s="86" t="str">
        <f>+IF(AE2030=$AJ$22,MONTH(T2030),"")</f>
        <v/>
      </c>
      <c r="AI2030" s="86" t="str">
        <f>+IF(AF2030=$AJ$22,MONTH(U2030),"")</f>
        <v/>
      </c>
      <c r="AJ2030" s="86" t="str">
        <f>+IF(AG2030=$AJ$22,MONTH(V2030),"")</f>
        <v/>
      </c>
      <c r="AK2030" s="86" t="str">
        <f>+IF(AG2030=$AK$22,MONTH(V2030),"")</f>
        <v/>
      </c>
      <c r="AL2030" s="86" t="str">
        <f>+IF(AG2030=$AL$22,MONTH(V2030),"")</f>
        <v/>
      </c>
      <c r="AM2030" s="86" t="str">
        <f>+IF($AG2030=$AM$22,MONTH($D2030),"")</f>
        <v/>
      </c>
      <c r="AN2030" s="89" t="str">
        <f>+IF($AG2030=AN$22,MONTH($D2030),"")</f>
        <v/>
      </c>
      <c r="AO2030" s="86" t="str">
        <f>+IF($AG2030=AO$22,MONTH($D2030),"")</f>
        <v/>
      </c>
      <c r="AP2030" s="86" t="str">
        <f>+IF($AG2030=AP$22,MONTH($D2030),"")</f>
        <v/>
      </c>
      <c r="AQ2030" s="86">
        <f>+IF($AG2030=AQ$22,MONTH($D2030),"")</f>
        <v>5</v>
      </c>
      <c r="AR2030" s="86" t="str">
        <f>+IF($AG2030=AR$22,MONTH($D2030),"")</f>
        <v/>
      </c>
      <c r="AS2030" s="86" t="str">
        <f>+IF($AG2030=AS$22,MONTH($D2030),"")</f>
        <v/>
      </c>
      <c r="AT2030" s="86" t="str">
        <f>+IF($AG2030=AT$22,MONTH($D2030),"")</f>
        <v/>
      </c>
      <c r="AU2030" s="86" t="str">
        <f>+IF($AG2030=AU$22,MONTH($D2030),"")</f>
        <v/>
      </c>
      <c r="AV2030" s="86" t="str">
        <f>+IF($AG2030=AV$22,MONTH($D2030),"")</f>
        <v/>
      </c>
      <c r="AW2030" s="86" t="str">
        <f>+IF($AG2030=AW$22,MONTH($D2030),"")</f>
        <v/>
      </c>
      <c r="AX2030" s="86" t="str">
        <f>+IF($AG2030=AX$22,MONTH($D2030),"")</f>
        <v/>
      </c>
      <c r="AY2030" s="89"/>
      <c r="AZ2030" s="89"/>
      <c r="BA2030" s="89"/>
      <c r="BB2030" s="89"/>
      <c r="BC2030" s="89"/>
      <c r="BD2030" s="89"/>
      <c r="BE2030" s="89"/>
      <c r="BF2030" s="89"/>
      <c r="BG2030" s="89"/>
      <c r="BH2030" s="89"/>
      <c r="BI2030" s="89"/>
      <c r="BJ2030" s="89"/>
      <c r="BK2030" s="89"/>
      <c r="BL2030" s="89"/>
      <c r="BM2030" s="89"/>
      <c r="BN2030" s="89"/>
      <c r="BO2030" s="89"/>
      <c r="BP2030" s="89"/>
    </row>
    <row r="2031" spans="1:68" s="56" customFormat="1" ht="27" hidden="1">
      <c r="A2031" s="204" t="str">
        <f>+IFERROR(VALUE(MID(AB2031,4,4)),"")</f>
        <v/>
      </c>
      <c r="B2031" s="204">
        <f>VALUE(RIGHT(C2031,LEN(C2031)-2))</f>
        <v>694</v>
      </c>
      <c r="C2031" s="74" t="s">
        <v>7046</v>
      </c>
      <c r="D2031" s="75">
        <v>42859</v>
      </c>
      <c r="E2031" s="70" t="s">
        <v>53</v>
      </c>
      <c r="F2031" s="70" t="s">
        <v>287</v>
      </c>
      <c r="G2031" s="68"/>
      <c r="H2031" s="59"/>
      <c r="I2031" s="162" t="s">
        <v>7047</v>
      </c>
      <c r="J2031" s="162"/>
      <c r="K2031" s="68"/>
      <c r="L2031" s="69" t="s">
        <v>123</v>
      </c>
      <c r="M2031" s="71" t="s">
        <v>141</v>
      </c>
      <c r="N2031" s="69" t="e" vm="1">
        <v>#VALUE!</v>
      </c>
      <c r="O2031" s="164"/>
      <c r="P2031" s="72" t="s">
        <v>402</v>
      </c>
      <c r="Q2031" s="72"/>
      <c r="R2031" s="162"/>
      <c r="S2031" s="146" t="s">
        <v>7048</v>
      </c>
      <c r="T2031" s="68" t="s">
        <v>165</v>
      </c>
      <c r="U2031" s="87"/>
      <c r="V2031" s="183">
        <v>42934</v>
      </c>
      <c r="W2031" s="73">
        <v>1250</v>
      </c>
      <c r="X2031" s="73">
        <f>46450000/1000000</f>
        <v>46.45</v>
      </c>
      <c r="Y2031" s="83">
        <f>IF(SUM(W2031:W2031)&gt;0,X2031/SUM(W2031:W2031)*1000000,"N/A")</f>
        <v>37160.000000000007</v>
      </c>
      <c r="Z2031" s="183"/>
      <c r="AA2031" s="183"/>
      <c r="AB2031" s="73"/>
      <c r="AC2031" s="153"/>
      <c r="AD2031" s="331"/>
      <c r="AE2031" s="57"/>
      <c r="AF2031" s="88"/>
      <c r="AG2031" s="182">
        <f>YEAR(D2031)</f>
        <v>2017</v>
      </c>
      <c r="AH2031" s="86" t="str">
        <f>+IF(AE2031=$AJ$22,MONTH(T2031),"")</f>
        <v/>
      </c>
      <c r="AI2031" s="86" t="str">
        <f>+IF(AF2031=$AJ$22,MONTH(U2031),"")</f>
        <v/>
      </c>
      <c r="AJ2031" s="86" t="str">
        <f>+IF(AG2031=$AJ$22,MONTH(V2031),"")</f>
        <v/>
      </c>
      <c r="AK2031" s="86" t="str">
        <f>+IF(AG2031=$AK$22,MONTH(V2031),"")</f>
        <v/>
      </c>
      <c r="AL2031" s="86" t="str">
        <f>+IF(AG2031=$AL$22,MONTH(V2031),"")</f>
        <v/>
      </c>
      <c r="AM2031" s="86" t="str">
        <f>+IF($AG2031=$AM$22,MONTH($D2031),"")</f>
        <v/>
      </c>
      <c r="AN2031" s="89" t="str">
        <f>+IF($AG2031=AN$22,MONTH($D2031),"")</f>
        <v/>
      </c>
      <c r="AO2031" s="86" t="str">
        <f>+IF($AG2031=AO$22,MONTH($D2031),"")</f>
        <v/>
      </c>
      <c r="AP2031" s="86" t="str">
        <f>+IF($AG2031=AP$22,MONTH($D2031),"")</f>
        <v/>
      </c>
      <c r="AQ2031" s="86">
        <f>+IF($AG2031=AQ$22,MONTH($D2031),"")</f>
        <v>5</v>
      </c>
      <c r="AR2031" s="86" t="str">
        <f>+IF($AG2031=AR$22,MONTH($D2031),"")</f>
        <v/>
      </c>
      <c r="AS2031" s="86" t="str">
        <f>+IF($AG2031=AS$22,MONTH($D2031),"")</f>
        <v/>
      </c>
      <c r="AT2031" s="86" t="str">
        <f>+IF($AG2031=AT$22,MONTH($D2031),"")</f>
        <v/>
      </c>
      <c r="AU2031" s="86" t="str">
        <f>+IF($AG2031=AU$22,MONTH($D2031),"")</f>
        <v/>
      </c>
      <c r="AV2031" s="86" t="str">
        <f>+IF($AG2031=AV$22,MONTH($D2031),"")</f>
        <v/>
      </c>
      <c r="AW2031" s="86" t="str">
        <f>+IF($AG2031=AW$22,MONTH($D2031),"")</f>
        <v/>
      </c>
      <c r="AX2031" s="86" t="str">
        <f>+IF($AG2031=AX$22,MONTH($D2031),"")</f>
        <v/>
      </c>
      <c r="AY2031" s="89"/>
      <c r="AZ2031" s="89"/>
      <c r="BA2031" s="89"/>
      <c r="BB2031" s="89"/>
      <c r="BC2031" s="89"/>
      <c r="BD2031" s="89"/>
      <c r="BE2031" s="89"/>
      <c r="BF2031" s="89"/>
      <c r="BG2031" s="89"/>
      <c r="BH2031" s="89"/>
      <c r="BI2031" s="89"/>
      <c r="BJ2031" s="89"/>
      <c r="BK2031" s="89"/>
      <c r="BL2031" s="89"/>
      <c r="BM2031" s="89"/>
      <c r="BN2031" s="89"/>
      <c r="BO2031" s="89"/>
      <c r="BP2031" s="89"/>
    </row>
    <row r="2032" spans="1:68" s="56" customFormat="1" ht="27" hidden="1">
      <c r="A2032" s="204" t="str">
        <f>+IFERROR(VALUE(MID(AB2032,4,4)),"")</f>
        <v/>
      </c>
      <c r="B2032" s="204">
        <f>VALUE(RIGHT(C2032,LEN(C2032)-2))</f>
        <v>693</v>
      </c>
      <c r="C2032" s="74" t="s">
        <v>7049</v>
      </c>
      <c r="D2032" s="75">
        <v>42858</v>
      </c>
      <c r="E2032" s="70" t="s">
        <v>685</v>
      </c>
      <c r="F2032" s="70" t="s">
        <v>685</v>
      </c>
      <c r="G2032" s="68" t="s">
        <v>7011</v>
      </c>
      <c r="H2032" s="59"/>
      <c r="I2032" s="162" t="s">
        <v>7050</v>
      </c>
      <c r="J2032" s="162"/>
      <c r="K2032" s="68" t="s">
        <v>12</v>
      </c>
      <c r="L2032" s="69" t="s">
        <v>120</v>
      </c>
      <c r="M2032" s="71" t="s">
        <v>141</v>
      </c>
      <c r="N2032" s="69" t="e" vm="1">
        <v>#VALUE!</v>
      </c>
      <c r="O2032" s="164">
        <v>42860</v>
      </c>
      <c r="P2032" s="72" t="s">
        <v>402</v>
      </c>
      <c r="Q2032" s="72"/>
      <c r="R2032" s="162"/>
      <c r="S2032" s="146" t="s">
        <v>7013</v>
      </c>
      <c r="T2032" s="68" t="s">
        <v>165</v>
      </c>
      <c r="U2032" s="87"/>
      <c r="V2032" s="183">
        <v>42886</v>
      </c>
      <c r="W2032" s="73">
        <v>390</v>
      </c>
      <c r="X2032" s="73">
        <f>19342*674/1000000</f>
        <v>13.036508</v>
      </c>
      <c r="Y2032" s="83">
        <f>IF(SUM(W2032:W2032)&gt;0,X2032/SUM(W2032:W2032)*1000000,"N/A")</f>
        <v>33426.943589743591</v>
      </c>
      <c r="Z2032" s="183"/>
      <c r="AA2032" s="183"/>
      <c r="AB2032" s="73"/>
      <c r="AC2032" s="153"/>
      <c r="AD2032" s="331"/>
      <c r="AE2032" s="57"/>
      <c r="AF2032" s="88"/>
      <c r="AG2032" s="182">
        <f>YEAR(D2032)</f>
        <v>2017</v>
      </c>
      <c r="AH2032" s="86" t="str">
        <f>+IF(AE2032=$AJ$22,MONTH(T2032),"")</f>
        <v/>
      </c>
      <c r="AI2032" s="86" t="str">
        <f>+IF(AF2032=$AJ$22,MONTH(U2032),"")</f>
        <v/>
      </c>
      <c r="AJ2032" s="86" t="str">
        <f>+IF(AG2032=$AJ$22,MONTH(V2032),"")</f>
        <v/>
      </c>
      <c r="AK2032" s="86" t="str">
        <f>+IF(AG2032=$AK$22,MONTH(V2032),"")</f>
        <v/>
      </c>
      <c r="AL2032" s="86" t="str">
        <f>+IF(AG2032=$AL$22,MONTH(V2032),"")</f>
        <v/>
      </c>
      <c r="AM2032" s="86" t="str">
        <f>+IF($AG2032=$AM$22,MONTH($D2032),"")</f>
        <v/>
      </c>
      <c r="AN2032" s="89" t="str">
        <f>+IF($AG2032=AN$22,MONTH($D2032),"")</f>
        <v/>
      </c>
      <c r="AO2032" s="86" t="str">
        <f>+IF($AG2032=AO$22,MONTH($D2032),"")</f>
        <v/>
      </c>
      <c r="AP2032" s="86" t="str">
        <f>+IF($AG2032=AP$22,MONTH($D2032),"")</f>
        <v/>
      </c>
      <c r="AQ2032" s="86">
        <f>+IF($AG2032=AQ$22,MONTH($D2032),"")</f>
        <v>5</v>
      </c>
      <c r="AR2032" s="86" t="str">
        <f>+IF($AG2032=AR$22,MONTH($D2032),"")</f>
        <v/>
      </c>
      <c r="AS2032" s="86" t="str">
        <f>+IF($AG2032=AS$22,MONTH($D2032),"")</f>
        <v/>
      </c>
      <c r="AT2032" s="86" t="str">
        <f>+IF($AG2032=AT$22,MONTH($D2032),"")</f>
        <v/>
      </c>
      <c r="AU2032" s="86" t="str">
        <f>+IF($AG2032=AU$22,MONTH($D2032),"")</f>
        <v/>
      </c>
      <c r="AV2032" s="86" t="str">
        <f>+IF($AG2032=AV$22,MONTH($D2032),"")</f>
        <v/>
      </c>
      <c r="AW2032" s="86" t="str">
        <f>+IF($AG2032=AW$22,MONTH($D2032),"")</f>
        <v/>
      </c>
      <c r="AX2032" s="86" t="str">
        <f>+IF($AG2032=AX$22,MONTH($D2032),"")</f>
        <v/>
      </c>
      <c r="AY2032" s="89"/>
      <c r="AZ2032" s="89"/>
      <c r="BA2032" s="89"/>
      <c r="BB2032" s="89"/>
      <c r="BC2032" s="89"/>
      <c r="BD2032" s="89"/>
      <c r="BE2032" s="89"/>
      <c r="BF2032" s="89"/>
      <c r="BG2032" s="89"/>
      <c r="BH2032" s="89"/>
      <c r="BI2032" s="89"/>
      <c r="BJ2032" s="89"/>
      <c r="BK2032" s="89"/>
      <c r="BL2032" s="89"/>
      <c r="BM2032" s="89"/>
      <c r="BN2032" s="89"/>
      <c r="BO2032" s="89"/>
      <c r="BP2032" s="89"/>
    </row>
    <row r="2033" spans="1:68" s="56" customFormat="1" ht="13.5" hidden="1">
      <c r="A2033" s="204" t="str">
        <f>+IFERROR(VALUE(MID(AB2033,4,4)),"")</f>
        <v/>
      </c>
      <c r="B2033" s="204">
        <f>VALUE(RIGHT(C2033,LEN(C2033)-2))</f>
        <v>692</v>
      </c>
      <c r="C2033" s="74" t="s">
        <v>7051</v>
      </c>
      <c r="D2033" s="75">
        <v>42858</v>
      </c>
      <c r="E2033" s="70" t="s">
        <v>4664</v>
      </c>
      <c r="F2033" s="70" t="s">
        <v>479</v>
      </c>
      <c r="G2033" s="68"/>
      <c r="H2033" s="59"/>
      <c r="I2033" s="162" t="s">
        <v>7052</v>
      </c>
      <c r="J2033" s="162"/>
      <c r="K2033" s="68"/>
      <c r="L2033" s="69" t="s">
        <v>120</v>
      </c>
      <c r="M2033" s="71" t="s">
        <v>113</v>
      </c>
      <c r="N2033" s="69" t="e" vm="2">
        <v>#VALUE!</v>
      </c>
      <c r="O2033" s="164">
        <v>42859</v>
      </c>
      <c r="P2033" s="72" t="s">
        <v>402</v>
      </c>
      <c r="Q2033" s="72"/>
      <c r="R2033" s="162"/>
      <c r="S2033" s="146"/>
      <c r="T2033" s="68" t="s">
        <v>165</v>
      </c>
      <c r="U2033" s="87"/>
      <c r="V2033" s="183">
        <v>42886</v>
      </c>
      <c r="W2033" s="73">
        <v>130</v>
      </c>
      <c r="X2033" s="73">
        <f>18050*212/1000000</f>
        <v>3.8266</v>
      </c>
      <c r="Y2033" s="83">
        <f>IF(SUM(W2033:W2033)&gt;0,X2033/SUM(W2033:W2033)*1000000,"N/A")</f>
        <v>29435.384615384617</v>
      </c>
      <c r="Z2033" s="183"/>
      <c r="AA2033" s="183"/>
      <c r="AB2033" s="73"/>
      <c r="AC2033" s="153"/>
      <c r="AD2033" s="331"/>
      <c r="AE2033" s="57"/>
      <c r="AF2033" s="88"/>
      <c r="AG2033" s="182">
        <f>YEAR(D2033)</f>
        <v>2017</v>
      </c>
      <c r="AH2033" s="86" t="str">
        <f>+IF(AE2033=$AJ$22,MONTH(T2033),"")</f>
        <v/>
      </c>
      <c r="AI2033" s="86" t="str">
        <f>+IF(AF2033=$AJ$22,MONTH(U2033),"")</f>
        <v/>
      </c>
      <c r="AJ2033" s="86" t="str">
        <f>+IF(AG2033=$AJ$22,MONTH(V2033),"")</f>
        <v/>
      </c>
      <c r="AK2033" s="86" t="str">
        <f>+IF(AG2033=$AK$22,MONTH(V2033),"")</f>
        <v/>
      </c>
      <c r="AL2033" s="86" t="str">
        <f>+IF(AG2033=$AL$22,MONTH(V2033),"")</f>
        <v/>
      </c>
      <c r="AM2033" s="86" t="str">
        <f>+IF($AG2033=$AM$22,MONTH($D2033),"")</f>
        <v/>
      </c>
      <c r="AN2033" s="89" t="str">
        <f>+IF($AG2033=AN$22,MONTH($D2033),"")</f>
        <v/>
      </c>
      <c r="AO2033" s="86" t="str">
        <f>+IF($AG2033=AO$22,MONTH($D2033),"")</f>
        <v/>
      </c>
      <c r="AP2033" s="86" t="str">
        <f>+IF($AG2033=AP$22,MONTH($D2033),"")</f>
        <v/>
      </c>
      <c r="AQ2033" s="86">
        <f>+IF($AG2033=AQ$22,MONTH($D2033),"")</f>
        <v>5</v>
      </c>
      <c r="AR2033" s="86" t="str">
        <f>+IF($AG2033=AR$22,MONTH($D2033),"")</f>
        <v/>
      </c>
      <c r="AS2033" s="86" t="str">
        <f>+IF($AG2033=AS$22,MONTH($D2033),"")</f>
        <v/>
      </c>
      <c r="AT2033" s="86" t="str">
        <f>+IF($AG2033=AT$22,MONTH($D2033),"")</f>
        <v/>
      </c>
      <c r="AU2033" s="86" t="str">
        <f>+IF($AG2033=AU$22,MONTH($D2033),"")</f>
        <v/>
      </c>
      <c r="AV2033" s="86" t="str">
        <f>+IF($AG2033=AV$22,MONTH($D2033),"")</f>
        <v/>
      </c>
      <c r="AW2033" s="86" t="str">
        <f>+IF($AG2033=AW$22,MONTH($D2033),"")</f>
        <v/>
      </c>
      <c r="AX2033" s="86" t="str">
        <f>+IF($AG2033=AX$22,MONTH($D2033),"")</f>
        <v/>
      </c>
      <c r="AY2033" s="89"/>
      <c r="AZ2033" s="89"/>
      <c r="BA2033" s="89"/>
      <c r="BB2033" s="89"/>
      <c r="BC2033" s="89"/>
      <c r="BD2033" s="89"/>
      <c r="BE2033" s="89"/>
      <c r="BF2033" s="89"/>
      <c r="BG2033" s="89"/>
      <c r="BH2033" s="89"/>
      <c r="BI2033" s="89"/>
      <c r="BJ2033" s="89"/>
      <c r="BK2033" s="89"/>
      <c r="BL2033" s="89"/>
      <c r="BM2033" s="89"/>
      <c r="BN2033" s="89"/>
      <c r="BO2033" s="89"/>
      <c r="BP2033" s="89"/>
    </row>
    <row r="2034" spans="1:68" s="56" customFormat="1" ht="81" hidden="1">
      <c r="A2034" s="204" t="str">
        <f>+IFERROR(VALUE(MID(AB2034,4,4)),"")</f>
        <v/>
      </c>
      <c r="B2034" s="204">
        <f>VALUE(RIGHT(C2034,LEN(C2034)-2))</f>
        <v>691</v>
      </c>
      <c r="C2034" s="74" t="s">
        <v>7053</v>
      </c>
      <c r="D2034" s="75">
        <v>42853</v>
      </c>
      <c r="E2034" s="70" t="s">
        <v>1988</v>
      </c>
      <c r="F2034" s="70" t="s">
        <v>1988</v>
      </c>
      <c r="G2034" s="68"/>
      <c r="H2034" s="59"/>
      <c r="I2034" s="162" t="s">
        <v>7054</v>
      </c>
      <c r="J2034" s="162"/>
      <c r="K2034" s="68"/>
      <c r="L2034" s="69" t="s">
        <v>123</v>
      </c>
      <c r="M2034" s="71" t="s">
        <v>141</v>
      </c>
      <c r="N2034" s="69" t="e" vm="1">
        <v>#VALUE!</v>
      </c>
      <c r="O2034" s="164">
        <v>42858</v>
      </c>
      <c r="P2034" s="72" t="s">
        <v>402</v>
      </c>
      <c r="Q2034" s="72"/>
      <c r="R2034" s="162"/>
      <c r="S2034" s="146" t="s">
        <v>7055</v>
      </c>
      <c r="T2034" s="68" t="s">
        <v>165</v>
      </c>
      <c r="U2034" s="87"/>
      <c r="V2034" s="183">
        <v>42873</v>
      </c>
      <c r="W2034" s="73">
        <v>685</v>
      </c>
      <c r="X2034" s="73">
        <f>857*26600/1000000</f>
        <v>22.796199999999999</v>
      </c>
      <c r="Y2034" s="83">
        <f>IF(SUM(W2034:W2034)&gt;0,X2034/SUM(W2034:W2034)*1000000,"N/A")</f>
        <v>33279.124087591241</v>
      </c>
      <c r="Z2034" s="183"/>
      <c r="AA2034" s="183"/>
      <c r="AB2034" s="73"/>
      <c r="AC2034" s="153"/>
      <c r="AD2034" s="331"/>
      <c r="AE2034" s="57"/>
      <c r="AF2034" s="88"/>
      <c r="AG2034" s="182">
        <f>YEAR(D2034)</f>
        <v>2017</v>
      </c>
      <c r="AH2034" s="86" t="str">
        <f>+IF(AE2034=$AJ$22,MONTH(T2034),"")</f>
        <v/>
      </c>
      <c r="AI2034" s="86" t="str">
        <f>+IF(AF2034=$AJ$22,MONTH(U2034),"")</f>
        <v/>
      </c>
      <c r="AJ2034" s="86" t="str">
        <f>+IF(AG2034=$AJ$22,MONTH(V2034),"")</f>
        <v/>
      </c>
      <c r="AK2034" s="86" t="str">
        <f>+IF(AG2034=$AK$22,MONTH(V2034),"")</f>
        <v/>
      </c>
      <c r="AL2034" s="86" t="str">
        <f>+IF(AG2034=$AL$22,MONTH(V2034),"")</f>
        <v/>
      </c>
      <c r="AM2034" s="86" t="str">
        <f>+IF($AG2034=$AM$22,MONTH($D2034),"")</f>
        <v/>
      </c>
      <c r="AN2034" s="89" t="str">
        <f>+IF($AG2034=AN$22,MONTH($D2034),"")</f>
        <v/>
      </c>
      <c r="AO2034" s="86" t="str">
        <f>+IF($AG2034=AO$22,MONTH($D2034),"")</f>
        <v/>
      </c>
      <c r="AP2034" s="86" t="str">
        <f>+IF($AG2034=AP$22,MONTH($D2034),"")</f>
        <v/>
      </c>
      <c r="AQ2034" s="86">
        <f>+IF($AG2034=AQ$22,MONTH($D2034),"")</f>
        <v>4</v>
      </c>
      <c r="AR2034" s="86" t="str">
        <f>+IF($AG2034=AR$22,MONTH($D2034),"")</f>
        <v/>
      </c>
      <c r="AS2034" s="86" t="str">
        <f>+IF($AG2034=AS$22,MONTH($D2034),"")</f>
        <v/>
      </c>
      <c r="AT2034" s="86" t="str">
        <f>+IF($AG2034=AT$22,MONTH($D2034),"")</f>
        <v/>
      </c>
      <c r="AU2034" s="86" t="str">
        <f>+IF($AG2034=AU$22,MONTH($D2034),"")</f>
        <v/>
      </c>
      <c r="AV2034" s="86" t="str">
        <f>+IF($AG2034=AV$22,MONTH($D2034),"")</f>
        <v/>
      </c>
      <c r="AW2034" s="86" t="str">
        <f>+IF($AG2034=AW$22,MONTH($D2034),"")</f>
        <v/>
      </c>
      <c r="AX2034" s="86" t="str">
        <f>+IF($AG2034=AX$22,MONTH($D2034),"")</f>
        <v/>
      </c>
      <c r="AY2034" s="89"/>
      <c r="AZ2034" s="89"/>
      <c r="BA2034" s="89"/>
      <c r="BB2034" s="89"/>
      <c r="BC2034" s="89"/>
      <c r="BD2034" s="89"/>
      <c r="BE2034" s="89"/>
      <c r="BF2034" s="89"/>
      <c r="BG2034" s="89"/>
      <c r="BH2034" s="89"/>
      <c r="BI2034" s="89"/>
      <c r="BJ2034" s="89"/>
      <c r="BK2034" s="89"/>
      <c r="BL2034" s="89"/>
      <c r="BM2034" s="89"/>
      <c r="BN2034" s="89"/>
      <c r="BO2034" s="89"/>
      <c r="BP2034" s="89"/>
    </row>
    <row r="2035" spans="1:68" s="56" customFormat="1" ht="53.25" hidden="1">
      <c r="A2035" s="204" t="str">
        <f>+IFERROR(VALUE(MID(AB2035,4,4)),"")</f>
        <v/>
      </c>
      <c r="B2035" s="204">
        <f>VALUE(RIGHT(C2035,LEN(C2035)-2))</f>
        <v>690</v>
      </c>
      <c r="C2035" s="74" t="s">
        <v>7056</v>
      </c>
      <c r="D2035" s="75">
        <v>42853</v>
      </c>
      <c r="E2035" s="70" t="s">
        <v>73</v>
      </c>
      <c r="F2035" s="70" t="s">
        <v>67</v>
      </c>
      <c r="G2035" s="68"/>
      <c r="H2035" s="59"/>
      <c r="I2035" s="162" t="s">
        <v>7057</v>
      </c>
      <c r="J2035" s="162"/>
      <c r="K2035" s="68"/>
      <c r="L2035" s="69" t="s">
        <v>123</v>
      </c>
      <c r="M2035" s="71" t="s">
        <v>141</v>
      </c>
      <c r="N2035" s="69" t="e" vm="1">
        <v>#VALUE!</v>
      </c>
      <c r="O2035" s="164"/>
      <c r="P2035" s="72" t="s">
        <v>402</v>
      </c>
      <c r="Q2035" s="72"/>
      <c r="R2035" s="162"/>
      <c r="S2035" s="146" t="s">
        <v>7058</v>
      </c>
      <c r="T2035" s="68" t="s">
        <v>168</v>
      </c>
      <c r="U2035" s="87"/>
      <c r="V2035" s="183">
        <v>42886</v>
      </c>
      <c r="W2035" s="73">
        <v>26903</v>
      </c>
      <c r="X2035" s="73">
        <v>666.63995499999999</v>
      </c>
      <c r="Y2035" s="83">
        <f>IF(SUM(W2035:W2035)&gt;0,X2035/SUM(W2035:W2035)*1000000,"N/A")</f>
        <v>24779.390960115972</v>
      </c>
      <c r="Z2035" s="183"/>
      <c r="AA2035" s="183"/>
      <c r="AB2035" s="73"/>
      <c r="AC2035" s="153"/>
      <c r="AD2035" s="331"/>
      <c r="AE2035" s="57"/>
      <c r="AF2035" s="88"/>
      <c r="AG2035" s="182"/>
      <c r="AH2035" s="86" t="str">
        <f>+IF(AE2035=$AJ$22,MONTH(T2035),"")</f>
        <v/>
      </c>
      <c r="AI2035" s="86" t="str">
        <f>+IF(AF2035=$AJ$22,MONTH(U2035),"")</f>
        <v/>
      </c>
      <c r="AJ2035" s="86" t="str">
        <f>+IF(AG2035=$AJ$22,MONTH(V2035),"")</f>
        <v/>
      </c>
      <c r="AK2035" s="86" t="str">
        <f>+IF(AG2035=$AK$22,MONTH(V2035),"")</f>
        <v/>
      </c>
      <c r="AL2035" s="86" t="str">
        <f>+IF(AG2035=$AL$22,MONTH(V2035),"")</f>
        <v/>
      </c>
      <c r="AM2035" s="86" t="str">
        <f>+IF($AG2035=$AM$22,MONTH($D2035),"")</f>
        <v/>
      </c>
      <c r="AN2035" s="89" t="str">
        <f>+IF($AG2035=AN$22,MONTH($D2035),"")</f>
        <v/>
      </c>
      <c r="AO2035" s="86" t="str">
        <f>+IF($AG2035=AO$22,MONTH($D2035),"")</f>
        <v/>
      </c>
      <c r="AP2035" s="86" t="str">
        <f>+IF($AG2035=AP$22,MONTH($D2035),"")</f>
        <v/>
      </c>
      <c r="AQ2035" s="86" t="str">
        <f>+IF($AG2035=AQ$22,MONTH($D2035),"")</f>
        <v/>
      </c>
      <c r="AR2035" s="86" t="str">
        <f>+IF($AG2035=AR$22,MONTH($D2035),"")</f>
        <v/>
      </c>
      <c r="AS2035" s="86" t="str">
        <f>+IF($AG2035=AS$22,MONTH($D2035),"")</f>
        <v/>
      </c>
      <c r="AT2035" s="86" t="str">
        <f>+IF($AG2035=AT$22,MONTH($D2035),"")</f>
        <v/>
      </c>
      <c r="AU2035" s="86" t="str">
        <f>+IF($AG2035=AU$22,MONTH($D2035),"")</f>
        <v/>
      </c>
      <c r="AV2035" s="86" t="str">
        <f>+IF($AG2035=AV$22,MONTH($D2035),"")</f>
        <v/>
      </c>
      <c r="AW2035" s="86" t="str">
        <f>+IF($AG2035=AW$22,MONTH($D2035),"")</f>
        <v/>
      </c>
      <c r="AX2035" s="86" t="str">
        <f>+IF($AG2035=AX$22,MONTH($D2035),"")</f>
        <v/>
      </c>
      <c r="AY2035" s="89"/>
      <c r="AZ2035" s="89"/>
      <c r="BA2035" s="89"/>
      <c r="BB2035" s="89"/>
      <c r="BC2035" s="89"/>
      <c r="BD2035" s="89"/>
      <c r="BE2035" s="89"/>
      <c r="BF2035" s="89"/>
      <c r="BG2035" s="89"/>
      <c r="BH2035" s="89"/>
      <c r="BI2035" s="89"/>
      <c r="BJ2035" s="89"/>
      <c r="BK2035" s="89"/>
      <c r="BL2035" s="89"/>
      <c r="BM2035" s="89"/>
      <c r="BN2035" s="89"/>
      <c r="BO2035" s="89"/>
      <c r="BP2035" s="89"/>
    </row>
    <row r="2036" spans="1:68" s="56" customFormat="1" ht="81" hidden="1">
      <c r="A2036" s="204" t="str">
        <f>+IFERROR(VALUE(MID(AB2036,4,4)),"")</f>
        <v/>
      </c>
      <c r="B2036" s="204">
        <f>VALUE(RIGHT(C2036,LEN(C2036)-2))</f>
        <v>689</v>
      </c>
      <c r="C2036" s="74" t="s">
        <v>7059</v>
      </c>
      <c r="D2036" s="75">
        <v>42852</v>
      </c>
      <c r="E2036" s="70" t="s">
        <v>53</v>
      </c>
      <c r="F2036" s="70" t="s">
        <v>287</v>
      </c>
      <c r="G2036" s="68"/>
      <c r="H2036" s="59"/>
      <c r="I2036" s="162" t="s">
        <v>7060</v>
      </c>
      <c r="J2036" s="162"/>
      <c r="K2036" s="68"/>
      <c r="L2036" s="69" t="s">
        <v>123</v>
      </c>
      <c r="M2036" s="71" t="s">
        <v>141</v>
      </c>
      <c r="N2036" s="69" t="e" vm="1">
        <v>#VALUE!</v>
      </c>
      <c r="O2036" s="164"/>
      <c r="P2036" s="72" t="s">
        <v>402</v>
      </c>
      <c r="Q2036" s="72"/>
      <c r="R2036" s="162"/>
      <c r="S2036" s="146" t="s">
        <v>7061</v>
      </c>
      <c r="T2036" s="68" t="s">
        <v>165</v>
      </c>
      <c r="U2036" s="87"/>
      <c r="V2036" s="183">
        <v>42941</v>
      </c>
      <c r="W2036" s="73">
        <v>2620</v>
      </c>
      <c r="X2036" s="73">
        <f>130000000/1000000</f>
        <v>130</v>
      </c>
      <c r="Y2036" s="83">
        <f>IF(SUM(W2036:W2036)&gt;0,X2036/SUM(W2036:W2036)*1000000,"N/A")</f>
        <v>49618.32061068702</v>
      </c>
      <c r="Z2036" s="183"/>
      <c r="AA2036" s="183"/>
      <c r="AB2036" s="73"/>
      <c r="AC2036" s="153"/>
      <c r="AD2036" s="331"/>
      <c r="AE2036" s="57"/>
      <c r="AF2036" s="88"/>
      <c r="AG2036" s="182"/>
      <c r="AH2036" s="86" t="str">
        <f>+IF(AE2036=$AJ$22,MONTH(T2036),"")</f>
        <v/>
      </c>
      <c r="AI2036" s="86" t="str">
        <f>+IF(AF2036=$AJ$22,MONTH(U2036),"")</f>
        <v/>
      </c>
      <c r="AJ2036" s="86" t="str">
        <f>+IF(AG2036=$AJ$22,MONTH(V2036),"")</f>
        <v/>
      </c>
      <c r="AK2036" s="86" t="str">
        <f>+IF(AG2036=$AK$22,MONTH(V2036),"")</f>
        <v/>
      </c>
      <c r="AL2036" s="86" t="str">
        <f>+IF(AG2036=$AL$22,MONTH(V2036),"")</f>
        <v/>
      </c>
      <c r="AM2036" s="86" t="str">
        <f>+IF($AG2036=$AM$22,MONTH($D2036),"")</f>
        <v/>
      </c>
      <c r="AN2036" s="89" t="str">
        <f>+IF($AG2036=AN$22,MONTH($D2036),"")</f>
        <v/>
      </c>
      <c r="AO2036" s="86" t="str">
        <f>+IF($AG2036=AO$22,MONTH($D2036),"")</f>
        <v/>
      </c>
      <c r="AP2036" s="86" t="str">
        <f>+IF($AG2036=AP$22,MONTH($D2036),"")</f>
        <v/>
      </c>
      <c r="AQ2036" s="86" t="str">
        <f>+IF($AG2036=AQ$22,MONTH($D2036),"")</f>
        <v/>
      </c>
      <c r="AR2036" s="86" t="str">
        <f>+IF($AG2036=AR$22,MONTH($D2036),"")</f>
        <v/>
      </c>
      <c r="AS2036" s="86" t="str">
        <f>+IF($AG2036=AS$22,MONTH($D2036),"")</f>
        <v/>
      </c>
      <c r="AT2036" s="86" t="str">
        <f>+IF($AG2036=AT$22,MONTH($D2036),"")</f>
        <v/>
      </c>
      <c r="AU2036" s="86" t="str">
        <f>+IF($AG2036=AU$22,MONTH($D2036),"")</f>
        <v/>
      </c>
      <c r="AV2036" s="86" t="str">
        <f>+IF($AG2036=AV$22,MONTH($D2036),"")</f>
        <v/>
      </c>
      <c r="AW2036" s="86" t="str">
        <f>+IF($AG2036=AW$22,MONTH($D2036),"")</f>
        <v/>
      </c>
      <c r="AX2036" s="86" t="str">
        <f>+IF($AG2036=AX$22,MONTH($D2036),"")</f>
        <v/>
      </c>
      <c r="AY2036" s="89"/>
      <c r="AZ2036" s="89"/>
      <c r="BA2036" s="89"/>
      <c r="BB2036" s="89"/>
      <c r="BC2036" s="89"/>
      <c r="BD2036" s="89"/>
      <c r="BE2036" s="89"/>
      <c r="BF2036" s="89"/>
      <c r="BG2036" s="89"/>
      <c r="BH2036" s="89"/>
      <c r="BI2036" s="89"/>
      <c r="BJ2036" s="89"/>
      <c r="BK2036" s="89"/>
      <c r="BL2036" s="89"/>
      <c r="BM2036" s="89"/>
      <c r="BN2036" s="89"/>
      <c r="BO2036" s="89"/>
      <c r="BP2036" s="89"/>
    </row>
    <row r="2037" spans="1:68" s="56" customFormat="1" ht="13.5" hidden="1">
      <c r="A2037" s="204" t="str">
        <f>+IFERROR(VALUE(MID(AB2037,4,4)),"")</f>
        <v/>
      </c>
      <c r="B2037" s="204">
        <f>VALUE(RIGHT(C2037,LEN(C2037)-2))</f>
        <v>688</v>
      </c>
      <c r="C2037" s="74" t="s">
        <v>7062</v>
      </c>
      <c r="D2037" s="75">
        <v>42852</v>
      </c>
      <c r="E2037" s="70" t="s">
        <v>53</v>
      </c>
      <c r="F2037" s="70" t="s">
        <v>287</v>
      </c>
      <c r="G2037" s="68" t="s">
        <v>7063</v>
      </c>
      <c r="H2037" s="59"/>
      <c r="I2037" s="162" t="s">
        <v>7064</v>
      </c>
      <c r="J2037" s="162"/>
      <c r="K2037" s="68" t="s">
        <v>12</v>
      </c>
      <c r="L2037" s="69" t="s">
        <v>120</v>
      </c>
      <c r="M2037" s="71" t="s">
        <v>141</v>
      </c>
      <c r="N2037" s="69" t="e" vm="1">
        <v>#VALUE!</v>
      </c>
      <c r="O2037" s="164">
        <v>42851</v>
      </c>
      <c r="P2037" s="72" t="s">
        <v>402</v>
      </c>
      <c r="Q2037" s="72"/>
      <c r="R2037" s="162"/>
      <c r="S2037" s="146"/>
      <c r="T2037" s="68" t="s">
        <v>165</v>
      </c>
      <c r="U2037" s="87"/>
      <c r="V2037" s="183">
        <v>42858</v>
      </c>
      <c r="W2037" s="73">
        <v>471</v>
      </c>
      <c r="X2037" s="73">
        <f>627*26551/1000000</f>
        <v>16.647476999999999</v>
      </c>
      <c r="Y2037" s="83">
        <f>IF(SUM(W2037:W2037)&gt;0,X2037/SUM(W2037:W2037)*1000000,"N/A")</f>
        <v>35344.961783439488</v>
      </c>
      <c r="Z2037" s="183"/>
      <c r="AA2037" s="183"/>
      <c r="AB2037" s="73"/>
      <c r="AC2037" s="153"/>
      <c r="AD2037" s="331"/>
      <c r="AE2037" s="57"/>
      <c r="AF2037" s="88"/>
      <c r="AG2037" s="182">
        <f>YEAR(D2037)</f>
        <v>2017</v>
      </c>
      <c r="AH2037" s="86" t="str">
        <f>+IF(AE2037=$AJ$22,MONTH(T2037),"")</f>
        <v/>
      </c>
      <c r="AI2037" s="86" t="str">
        <f>+IF(AF2037=$AJ$22,MONTH(U2037),"")</f>
        <v/>
      </c>
      <c r="AJ2037" s="86" t="str">
        <f>+IF(AG2037=$AJ$22,MONTH(V2037),"")</f>
        <v/>
      </c>
      <c r="AK2037" s="86" t="str">
        <f>+IF(AG2037=$AK$22,MONTH(V2037),"")</f>
        <v/>
      </c>
      <c r="AL2037" s="86" t="str">
        <f>+IF(AG2037=$AL$22,MONTH(V2037),"")</f>
        <v/>
      </c>
      <c r="AM2037" s="86" t="str">
        <f>+IF($AG2037=$AM$22,MONTH($D2037),"")</f>
        <v/>
      </c>
      <c r="AN2037" s="89" t="str">
        <f>+IF($AG2037=AN$22,MONTH($D2037),"")</f>
        <v/>
      </c>
      <c r="AO2037" s="86" t="str">
        <f>+IF($AG2037=AO$22,MONTH($D2037),"")</f>
        <v/>
      </c>
      <c r="AP2037" s="86" t="str">
        <f>+IF($AG2037=AP$22,MONTH($D2037),"")</f>
        <v/>
      </c>
      <c r="AQ2037" s="86">
        <f>+IF($AG2037=AQ$22,MONTH($D2037),"")</f>
        <v>4</v>
      </c>
      <c r="AR2037" s="86" t="str">
        <f>+IF($AG2037=AR$22,MONTH($D2037),"")</f>
        <v/>
      </c>
      <c r="AS2037" s="86" t="str">
        <f>+IF($AG2037=AS$22,MONTH($D2037),"")</f>
        <v/>
      </c>
      <c r="AT2037" s="86" t="str">
        <f>+IF($AG2037=AT$22,MONTH($D2037),"")</f>
        <v/>
      </c>
      <c r="AU2037" s="86" t="str">
        <f>+IF($AG2037=AU$22,MONTH($D2037),"")</f>
        <v/>
      </c>
      <c r="AV2037" s="86" t="str">
        <f>+IF($AG2037=AV$22,MONTH($D2037),"")</f>
        <v/>
      </c>
      <c r="AW2037" s="86" t="str">
        <f>+IF($AG2037=AW$22,MONTH($D2037),"")</f>
        <v/>
      </c>
      <c r="AX2037" s="86" t="str">
        <f>+IF($AG2037=AX$22,MONTH($D2037),"")</f>
        <v/>
      </c>
      <c r="AY2037" s="89"/>
      <c r="AZ2037" s="89"/>
      <c r="BA2037" s="89"/>
      <c r="BB2037" s="89"/>
      <c r="BC2037" s="89"/>
      <c r="BD2037" s="89"/>
      <c r="BE2037" s="89"/>
      <c r="BF2037" s="89"/>
      <c r="BG2037" s="89"/>
      <c r="BH2037" s="89"/>
      <c r="BI2037" s="89"/>
      <c r="BJ2037" s="89"/>
      <c r="BK2037" s="89"/>
      <c r="BL2037" s="89"/>
      <c r="BM2037" s="89"/>
      <c r="BN2037" s="89"/>
      <c r="BO2037" s="89"/>
      <c r="BP2037" s="89"/>
    </row>
    <row r="2038" spans="1:68" s="56" customFormat="1" ht="13.5" hidden="1">
      <c r="A2038" s="204" t="str">
        <f>+IFERROR(VALUE(MID(AB2038,4,4)),"")</f>
        <v/>
      </c>
      <c r="B2038" s="204">
        <f>VALUE(RIGHT(C2038,LEN(C2038)-2))</f>
        <v>687</v>
      </c>
      <c r="C2038" s="74" t="s">
        <v>7065</v>
      </c>
      <c r="D2038" s="75">
        <v>42846</v>
      </c>
      <c r="E2038" s="70" t="s">
        <v>685</v>
      </c>
      <c r="F2038" s="70" t="s">
        <v>685</v>
      </c>
      <c r="G2038" s="68"/>
      <c r="H2038" s="59"/>
      <c r="I2038" s="162" t="s">
        <v>7066</v>
      </c>
      <c r="J2038" s="162"/>
      <c r="K2038" s="68"/>
      <c r="L2038" s="69"/>
      <c r="M2038" s="71" t="s">
        <v>141</v>
      </c>
      <c r="N2038" s="69" t="e" vm="1">
        <v>#VALUE!</v>
      </c>
      <c r="O2038" s="164" t="s">
        <v>4574</v>
      </c>
      <c r="P2038" s="72" t="s">
        <v>4574</v>
      </c>
      <c r="Q2038" s="72"/>
      <c r="R2038" s="162"/>
      <c r="S2038" s="146" t="s">
        <v>4574</v>
      </c>
      <c r="T2038" s="68" t="s">
        <v>155</v>
      </c>
      <c r="U2038" s="87"/>
      <c r="V2038" s="183"/>
      <c r="W2038" s="73"/>
      <c r="X2038" s="73"/>
      <c r="Y2038" s="83"/>
      <c r="Z2038" s="183"/>
      <c r="AA2038" s="183"/>
      <c r="AB2038" s="73"/>
      <c r="AC2038" s="153"/>
      <c r="AD2038" s="331"/>
      <c r="AE2038" s="57"/>
      <c r="AF2038" s="88"/>
      <c r="AG2038" s="182"/>
      <c r="AH2038" s="86" t="str">
        <f>+IF(AE2038=$AJ$22,MONTH(T2038),"")</f>
        <v/>
      </c>
      <c r="AI2038" s="86" t="str">
        <f>+IF(AF2038=$AJ$22,MONTH(U2038),"")</f>
        <v/>
      </c>
      <c r="AJ2038" s="86" t="str">
        <f>+IF(AG2038=$AJ$22,MONTH(V2038),"")</f>
        <v/>
      </c>
      <c r="AK2038" s="86" t="str">
        <f>+IF(AG2038=$AK$22,MONTH(V2038),"")</f>
        <v/>
      </c>
      <c r="AL2038" s="86" t="str">
        <f>+IF(AG2038=$AL$22,MONTH(V2038),"")</f>
        <v/>
      </c>
      <c r="AM2038" s="86" t="str">
        <f>+IF($AG2038=$AM$22,MONTH($D2038),"")</f>
        <v/>
      </c>
      <c r="AN2038" s="89" t="str">
        <f>+IF($AG2038=AN$22,MONTH($D2038),"")</f>
        <v/>
      </c>
      <c r="AO2038" s="86" t="str">
        <f>+IF($AG2038=AO$22,MONTH($D2038),"")</f>
        <v/>
      </c>
      <c r="AP2038" s="86" t="str">
        <f>+IF($AG2038=AP$22,MONTH($D2038),"")</f>
        <v/>
      </c>
      <c r="AQ2038" s="86" t="str">
        <f>+IF($AG2038=AQ$22,MONTH($D2038),"")</f>
        <v/>
      </c>
      <c r="AR2038" s="86" t="str">
        <f>+IF($AG2038=AR$22,MONTH($D2038),"")</f>
        <v/>
      </c>
      <c r="AS2038" s="86" t="str">
        <f>+IF($AG2038=AS$22,MONTH($D2038),"")</f>
        <v/>
      </c>
      <c r="AT2038" s="86" t="str">
        <f>+IF($AG2038=AT$22,MONTH($D2038),"")</f>
        <v/>
      </c>
      <c r="AU2038" s="86" t="str">
        <f>+IF($AG2038=AU$22,MONTH($D2038),"")</f>
        <v/>
      </c>
      <c r="AV2038" s="86" t="str">
        <f>+IF($AG2038=AV$22,MONTH($D2038),"")</f>
        <v/>
      </c>
      <c r="AW2038" s="86" t="str">
        <f>+IF($AG2038=AW$22,MONTH($D2038),"")</f>
        <v/>
      </c>
      <c r="AX2038" s="86" t="str">
        <f>+IF($AG2038=AX$22,MONTH($D2038),"")</f>
        <v/>
      </c>
      <c r="AY2038" s="89"/>
      <c r="AZ2038" s="89"/>
      <c r="BA2038" s="89"/>
      <c r="BB2038" s="89"/>
      <c r="BC2038" s="89"/>
      <c r="BD2038" s="89"/>
      <c r="BE2038" s="89"/>
      <c r="BF2038" s="89"/>
      <c r="BG2038" s="89"/>
      <c r="BH2038" s="89"/>
      <c r="BI2038" s="89"/>
      <c r="BJ2038" s="89"/>
      <c r="BK2038" s="89"/>
      <c r="BL2038" s="89"/>
      <c r="BM2038" s="89"/>
      <c r="BN2038" s="89"/>
      <c r="BO2038" s="89"/>
      <c r="BP2038" s="89"/>
    </row>
    <row r="2039" spans="1:68" s="56" customFormat="1" ht="81" hidden="1">
      <c r="A2039" s="204" t="str">
        <f>+IFERROR(VALUE(MID(AB2039,4,4)),"")</f>
        <v/>
      </c>
      <c r="B2039" s="204">
        <f>VALUE(RIGHT(C2039,LEN(C2039)-2))</f>
        <v>686</v>
      </c>
      <c r="C2039" s="74" t="s">
        <v>7067</v>
      </c>
      <c r="D2039" s="75">
        <v>42838</v>
      </c>
      <c r="E2039" s="70" t="s">
        <v>7068</v>
      </c>
      <c r="F2039" s="70" t="s">
        <v>685</v>
      </c>
      <c r="G2039" s="68" t="s">
        <v>7069</v>
      </c>
      <c r="H2039" s="59" t="s">
        <v>7070</v>
      </c>
      <c r="I2039" s="162" t="s">
        <v>7071</v>
      </c>
      <c r="J2039" s="162"/>
      <c r="K2039" s="68" t="s">
        <v>11</v>
      </c>
      <c r="L2039" s="69" t="s">
        <v>120</v>
      </c>
      <c r="M2039" s="71" t="s">
        <v>141</v>
      </c>
      <c r="N2039" s="69" t="e" vm="1">
        <v>#VALUE!</v>
      </c>
      <c r="O2039" s="164">
        <v>42839</v>
      </c>
      <c r="P2039" s="72" t="s">
        <v>402</v>
      </c>
      <c r="Q2039" s="72"/>
      <c r="R2039" s="162"/>
      <c r="S2039" s="146" t="s">
        <v>7072</v>
      </c>
      <c r="T2039" s="68" t="s">
        <v>155</v>
      </c>
      <c r="U2039" s="87"/>
      <c r="V2039" s="183">
        <v>42858</v>
      </c>
      <c r="W2039" s="73">
        <v>885</v>
      </c>
      <c r="X2039" s="73">
        <f>26501*1085/1000000</f>
        <v>28.753585000000001</v>
      </c>
      <c r="Y2039" s="83">
        <f>IF(SUM(W2039:W2039)&gt;0,X2039/SUM(W2039:W2039)*1000000,"N/A")</f>
        <v>32489.926553672318</v>
      </c>
      <c r="Z2039" s="183"/>
      <c r="AA2039" s="183"/>
      <c r="AB2039" s="73"/>
      <c r="AC2039" s="153"/>
      <c r="AD2039" s="331"/>
      <c r="AE2039" s="57"/>
      <c r="AF2039" s="88"/>
      <c r="AG2039" s="182">
        <f>YEAR(D2039)</f>
        <v>2017</v>
      </c>
      <c r="AH2039" s="86" t="str">
        <f>+IF(AE2039=$AJ$22,MONTH(T2039),"")</f>
        <v/>
      </c>
      <c r="AI2039" s="86" t="str">
        <f>+IF(AF2039=$AJ$22,MONTH(U2039),"")</f>
        <v/>
      </c>
      <c r="AJ2039" s="86" t="str">
        <f>+IF(AG2039=$AJ$22,MONTH(V2039),"")</f>
        <v/>
      </c>
      <c r="AK2039" s="86" t="str">
        <f>+IF(AG2039=$AK$22,MONTH(V2039),"")</f>
        <v/>
      </c>
      <c r="AL2039" s="86" t="str">
        <f>+IF(AG2039=$AL$22,MONTH(V2039),"")</f>
        <v/>
      </c>
      <c r="AM2039" s="86" t="str">
        <f>+IF($AG2039=$AM$22,MONTH($D2039),"")</f>
        <v/>
      </c>
      <c r="AN2039" s="89" t="str">
        <f>+IF($AG2039=AN$22,MONTH($D2039),"")</f>
        <v/>
      </c>
      <c r="AO2039" s="86" t="str">
        <f>+IF($AG2039=AO$22,MONTH($D2039),"")</f>
        <v/>
      </c>
      <c r="AP2039" s="86" t="str">
        <f>+IF($AG2039=AP$22,MONTH($D2039),"")</f>
        <v/>
      </c>
      <c r="AQ2039" s="86">
        <f>+IF($AG2039=AQ$22,MONTH($D2039),"")</f>
        <v>4</v>
      </c>
      <c r="AR2039" s="86" t="str">
        <f>+IF($AG2039=AR$22,MONTH($D2039),"")</f>
        <v/>
      </c>
      <c r="AS2039" s="86" t="str">
        <f>+IF($AG2039=AS$22,MONTH($D2039),"")</f>
        <v/>
      </c>
      <c r="AT2039" s="86" t="str">
        <f>+IF($AG2039=AT$22,MONTH($D2039),"")</f>
        <v/>
      </c>
      <c r="AU2039" s="86" t="str">
        <f>+IF($AG2039=AU$22,MONTH($D2039),"")</f>
        <v/>
      </c>
      <c r="AV2039" s="86" t="str">
        <f>+IF($AG2039=AV$22,MONTH($D2039),"")</f>
        <v/>
      </c>
      <c r="AW2039" s="86" t="str">
        <f>+IF($AG2039=AW$22,MONTH($D2039),"")</f>
        <v/>
      </c>
      <c r="AX2039" s="86" t="str">
        <f>+IF($AG2039=AX$22,MONTH($D2039),"")</f>
        <v/>
      </c>
      <c r="AY2039" s="89"/>
      <c r="AZ2039" s="89"/>
      <c r="BA2039" s="89"/>
      <c r="BB2039" s="89"/>
      <c r="BC2039" s="89"/>
      <c r="BD2039" s="89"/>
      <c r="BE2039" s="89"/>
      <c r="BF2039" s="89"/>
      <c r="BG2039" s="89"/>
      <c r="BH2039" s="89"/>
      <c r="BI2039" s="89"/>
      <c r="BJ2039" s="89"/>
      <c r="BK2039" s="89"/>
      <c r="BL2039" s="89"/>
      <c r="BM2039" s="89"/>
      <c r="BN2039" s="89"/>
      <c r="BO2039" s="89"/>
      <c r="BP2039" s="89"/>
    </row>
    <row r="2040" spans="1:68" s="56" customFormat="1" ht="121.5" hidden="1">
      <c r="A2040" s="204" t="str">
        <f>+IFERROR(VALUE(MID(AB2040,4,4)),"")</f>
        <v/>
      </c>
      <c r="B2040" s="204">
        <f>VALUE(RIGHT(C2040,LEN(C2040)-2))</f>
        <v>685</v>
      </c>
      <c r="C2040" s="74" t="s">
        <v>7073</v>
      </c>
      <c r="D2040" s="75">
        <v>42835</v>
      </c>
      <c r="E2040" s="70" t="s">
        <v>81</v>
      </c>
      <c r="F2040" s="70" t="s">
        <v>3351</v>
      </c>
      <c r="G2040" s="68" t="s">
        <v>7074</v>
      </c>
      <c r="H2040" s="59" t="s">
        <v>7075</v>
      </c>
      <c r="I2040" s="162" t="s">
        <v>7076</v>
      </c>
      <c r="J2040" s="162"/>
      <c r="K2040" s="68"/>
      <c r="L2040" s="69" t="s">
        <v>120</v>
      </c>
      <c r="M2040" s="71" t="s">
        <v>113</v>
      </c>
      <c r="N2040" s="69" t="e" vm="4">
        <v>#VALUE!</v>
      </c>
      <c r="O2040" s="164">
        <v>42881</v>
      </c>
      <c r="P2040" s="72" t="s">
        <v>402</v>
      </c>
      <c r="Q2040" s="72"/>
      <c r="R2040" s="162"/>
      <c r="S2040" s="146" t="s">
        <v>7077</v>
      </c>
      <c r="T2040" s="68" t="s">
        <v>165</v>
      </c>
      <c r="U2040" s="87"/>
      <c r="V2040" s="183">
        <v>42886</v>
      </c>
      <c r="W2040" s="73">
        <v>1340</v>
      </c>
      <c r="X2040" s="73">
        <f>70095*665/1000000</f>
        <v>46.613174999999998</v>
      </c>
      <c r="Y2040" s="83">
        <f>IF(SUM(W2040:W2040)&gt;0,X2040/SUM(W2040:W2040)*1000000,"N/A")</f>
        <v>34785.951492537315</v>
      </c>
      <c r="Z2040" s="183"/>
      <c r="AA2040" s="183"/>
      <c r="AB2040" s="73"/>
      <c r="AC2040" s="153"/>
      <c r="AD2040" s="331"/>
      <c r="AE2040" s="57"/>
      <c r="AF2040" s="88"/>
      <c r="AG2040" s="182">
        <f>YEAR(D2040)</f>
        <v>2017</v>
      </c>
      <c r="AH2040" s="86" t="str">
        <f>+IF(AE2040=$AJ$22,MONTH(T2040),"")</f>
        <v/>
      </c>
      <c r="AI2040" s="86" t="str">
        <f>+IF(AF2040=$AJ$22,MONTH(U2040),"")</f>
        <v/>
      </c>
      <c r="AJ2040" s="86" t="str">
        <f>+IF(AG2040=$AJ$22,MONTH(V2040),"")</f>
        <v/>
      </c>
      <c r="AK2040" s="86" t="str">
        <f>+IF(AG2040=$AK$22,MONTH(V2040),"")</f>
        <v/>
      </c>
      <c r="AL2040" s="86" t="str">
        <f>+IF(AG2040=$AL$22,MONTH(V2040),"")</f>
        <v/>
      </c>
      <c r="AM2040" s="86" t="str">
        <f>+IF($AG2040=$AM$22,MONTH($D2040),"")</f>
        <v/>
      </c>
      <c r="AN2040" s="89" t="str">
        <f>+IF($AG2040=AN$22,MONTH($D2040),"")</f>
        <v/>
      </c>
      <c r="AO2040" s="86" t="str">
        <f>+IF($AG2040=AO$22,MONTH($D2040),"")</f>
        <v/>
      </c>
      <c r="AP2040" s="86" t="str">
        <f>+IF($AG2040=AP$22,MONTH($D2040),"")</f>
        <v/>
      </c>
      <c r="AQ2040" s="86">
        <f>+IF($AG2040=AQ$22,MONTH($D2040),"")</f>
        <v>4</v>
      </c>
      <c r="AR2040" s="86" t="str">
        <f>+IF($AG2040=AR$22,MONTH($D2040),"")</f>
        <v/>
      </c>
      <c r="AS2040" s="86" t="str">
        <f>+IF($AG2040=AS$22,MONTH($D2040),"")</f>
        <v/>
      </c>
      <c r="AT2040" s="86" t="str">
        <f>+IF($AG2040=AT$22,MONTH($D2040),"")</f>
        <v/>
      </c>
      <c r="AU2040" s="86" t="str">
        <f>+IF($AG2040=AU$22,MONTH($D2040),"")</f>
        <v/>
      </c>
      <c r="AV2040" s="86" t="str">
        <f>+IF($AG2040=AV$22,MONTH($D2040),"")</f>
        <v/>
      </c>
      <c r="AW2040" s="86" t="str">
        <f>+IF($AG2040=AW$22,MONTH($D2040),"")</f>
        <v/>
      </c>
      <c r="AX2040" s="86" t="str">
        <f>+IF($AG2040=AX$22,MONTH($D2040),"")</f>
        <v/>
      </c>
      <c r="AY2040" s="89"/>
      <c r="AZ2040" s="89"/>
      <c r="BA2040" s="89"/>
      <c r="BB2040" s="89"/>
      <c r="BC2040" s="89"/>
      <c r="BD2040" s="89"/>
      <c r="BE2040" s="89"/>
      <c r="BF2040" s="89"/>
      <c r="BG2040" s="89"/>
      <c r="BH2040" s="89"/>
      <c r="BI2040" s="89"/>
      <c r="BJ2040" s="89"/>
      <c r="BK2040" s="89"/>
      <c r="BL2040" s="89"/>
      <c r="BM2040" s="89"/>
      <c r="BN2040" s="89"/>
      <c r="BO2040" s="89"/>
      <c r="BP2040" s="89"/>
    </row>
    <row r="2041" spans="1:68" s="56" customFormat="1" ht="148.5" hidden="1">
      <c r="A2041" s="204" t="str">
        <f>+IFERROR(VALUE(MID(AB2041,4,4)),"")</f>
        <v/>
      </c>
      <c r="B2041" s="204">
        <f>VALUE(RIGHT(C2041,LEN(C2041)-2))</f>
        <v>684</v>
      </c>
      <c r="C2041" s="74" t="s">
        <v>7078</v>
      </c>
      <c r="D2041" s="75">
        <v>42835</v>
      </c>
      <c r="E2041" s="70" t="s">
        <v>81</v>
      </c>
      <c r="F2041" s="70" t="s">
        <v>3351</v>
      </c>
      <c r="G2041" s="68" t="s">
        <v>7079</v>
      </c>
      <c r="H2041" s="59" t="s">
        <v>7080</v>
      </c>
      <c r="I2041" s="162" t="s">
        <v>7081</v>
      </c>
      <c r="J2041" s="162"/>
      <c r="K2041" s="68"/>
      <c r="L2041" s="69" t="s">
        <v>120</v>
      </c>
      <c r="M2041" s="71" t="s">
        <v>113</v>
      </c>
      <c r="N2041" s="69" t="e" vm="4">
        <v>#VALUE!</v>
      </c>
      <c r="O2041" s="164">
        <v>42837</v>
      </c>
      <c r="P2041" s="72" t="s">
        <v>402</v>
      </c>
      <c r="Q2041" s="72"/>
      <c r="R2041" s="162"/>
      <c r="S2041" s="146" t="s">
        <v>7082</v>
      </c>
      <c r="T2041" s="68" t="s">
        <v>165</v>
      </c>
      <c r="U2041" s="87"/>
      <c r="V2041" s="183">
        <v>42886</v>
      </c>
      <c r="W2041" s="73">
        <v>729</v>
      </c>
      <c r="X2041" s="73">
        <f>39975*653/1000000</f>
        <v>26.103674999999999</v>
      </c>
      <c r="Y2041" s="83">
        <f>IF(SUM(W2041:W2041)&gt;0,X2041/SUM(W2041:W2041)*1000000,"N/A")</f>
        <v>35807.510288065845</v>
      </c>
      <c r="Z2041" s="183"/>
      <c r="AA2041" s="183"/>
      <c r="AB2041" s="73"/>
      <c r="AC2041" s="153"/>
      <c r="AD2041" s="331"/>
      <c r="AE2041" s="57"/>
      <c r="AF2041" s="88"/>
      <c r="AG2041" s="182">
        <f>YEAR(D2041)</f>
        <v>2017</v>
      </c>
      <c r="AH2041" s="86" t="str">
        <f>+IF(AE2041=$AJ$22,MONTH(T2041),"")</f>
        <v/>
      </c>
      <c r="AI2041" s="86" t="str">
        <f>+IF(AF2041=$AJ$22,MONTH(U2041),"")</f>
        <v/>
      </c>
      <c r="AJ2041" s="86" t="str">
        <f>+IF(AG2041=$AJ$22,MONTH(V2041),"")</f>
        <v/>
      </c>
      <c r="AK2041" s="86" t="str">
        <f>+IF(AG2041=$AK$22,MONTH(V2041),"")</f>
        <v/>
      </c>
      <c r="AL2041" s="86" t="str">
        <f>+IF(AG2041=$AL$22,MONTH(V2041),"")</f>
        <v/>
      </c>
      <c r="AM2041" s="86" t="str">
        <f>+IF($AG2041=$AM$22,MONTH($D2041),"")</f>
        <v/>
      </c>
      <c r="AN2041" s="89" t="str">
        <f>+IF($AG2041=AN$22,MONTH($D2041),"")</f>
        <v/>
      </c>
      <c r="AO2041" s="86" t="str">
        <f>+IF($AG2041=AO$22,MONTH($D2041),"")</f>
        <v/>
      </c>
      <c r="AP2041" s="86" t="str">
        <f>+IF($AG2041=AP$22,MONTH($D2041),"")</f>
        <v/>
      </c>
      <c r="AQ2041" s="86">
        <f>+IF($AG2041=AQ$22,MONTH($D2041),"")</f>
        <v>4</v>
      </c>
      <c r="AR2041" s="86" t="str">
        <f>+IF($AG2041=AR$22,MONTH($D2041),"")</f>
        <v/>
      </c>
      <c r="AS2041" s="86" t="str">
        <f>+IF($AG2041=AS$22,MONTH($D2041),"")</f>
        <v/>
      </c>
      <c r="AT2041" s="86" t="str">
        <f>+IF($AG2041=AT$22,MONTH($D2041),"")</f>
        <v/>
      </c>
      <c r="AU2041" s="86" t="str">
        <f>+IF($AG2041=AU$22,MONTH($D2041),"")</f>
        <v/>
      </c>
      <c r="AV2041" s="86" t="str">
        <f>+IF($AG2041=AV$22,MONTH($D2041),"")</f>
        <v/>
      </c>
      <c r="AW2041" s="86" t="str">
        <f>+IF($AG2041=AW$22,MONTH($D2041),"")</f>
        <v/>
      </c>
      <c r="AX2041" s="86" t="str">
        <f>+IF($AG2041=AX$22,MONTH($D2041),"")</f>
        <v/>
      </c>
      <c r="AY2041" s="89"/>
      <c r="AZ2041" s="89"/>
      <c r="BA2041" s="89"/>
      <c r="BB2041" s="89"/>
      <c r="BC2041" s="89"/>
      <c r="BD2041" s="89"/>
      <c r="BE2041" s="89"/>
      <c r="BF2041" s="89"/>
      <c r="BG2041" s="89"/>
      <c r="BH2041" s="89"/>
      <c r="BI2041" s="89"/>
      <c r="BJ2041" s="89"/>
      <c r="BK2041" s="89"/>
      <c r="BL2041" s="89"/>
      <c r="BM2041" s="89"/>
      <c r="BN2041" s="89"/>
      <c r="BO2041" s="89"/>
      <c r="BP2041" s="89"/>
    </row>
    <row r="2042" spans="1:68" s="52" customFormat="1" ht="40.5" hidden="1">
      <c r="A2042" s="204" t="str">
        <f>+IFERROR(VALUE(MID(AB2042,4,4)),"")</f>
        <v/>
      </c>
      <c r="B2042" s="204">
        <f>VALUE(RIGHT(C2042,LEN(C2042)-2))</f>
        <v>683</v>
      </c>
      <c r="C2042" s="219" t="s">
        <v>7083</v>
      </c>
      <c r="D2042" s="220">
        <v>42828</v>
      </c>
      <c r="E2042" s="181" t="s">
        <v>7084</v>
      </c>
      <c r="F2042" s="181" t="s">
        <v>7085</v>
      </c>
      <c r="G2042" s="68" t="s">
        <v>7086</v>
      </c>
      <c r="H2042" s="67" t="s">
        <v>7087</v>
      </c>
      <c r="I2042" s="163" t="s">
        <v>7088</v>
      </c>
      <c r="J2042" s="163"/>
      <c r="K2042" s="71"/>
      <c r="L2042" s="71" t="s">
        <v>120</v>
      </c>
      <c r="M2042" s="71" t="s">
        <v>141</v>
      </c>
      <c r="N2042" s="68" t="e" vm="1">
        <v>#VALUE!</v>
      </c>
      <c r="O2042" s="264">
        <v>42829</v>
      </c>
      <c r="P2042" s="221" t="s">
        <v>402</v>
      </c>
      <c r="Q2042" s="221"/>
      <c r="R2042" s="163"/>
      <c r="S2042" s="222" t="s">
        <v>7089</v>
      </c>
      <c r="T2042" s="68" t="s">
        <v>165</v>
      </c>
      <c r="U2042" s="87"/>
      <c r="V2042" s="183">
        <v>42886</v>
      </c>
      <c r="W2042" s="223">
        <v>174</v>
      </c>
      <c r="X2042" s="223">
        <f>150*658/1000000</f>
        <v>9.8699999999999996E-2</v>
      </c>
      <c r="Y2042" s="73">
        <f>IF(SUM(W2042:W2042)&gt;0,X2042/SUM(W2042:W2042)*1000000,"N/A")</f>
        <v>567.24137931034477</v>
      </c>
      <c r="Z2042" s="270"/>
      <c r="AA2042" s="270"/>
      <c r="AB2042" s="223"/>
      <c r="AC2042" s="224"/>
      <c r="AD2042" s="336"/>
      <c r="AE2042" s="65"/>
      <c r="AF2042" s="225"/>
      <c r="AG2042" s="182">
        <f>YEAR(D2042)</f>
        <v>2017</v>
      </c>
      <c r="AH2042" s="86" t="str">
        <f>+IF(AE2042=$AJ$22,MONTH(T2042),"")</f>
        <v/>
      </c>
      <c r="AI2042" s="86" t="str">
        <f>+IF(AF2042=$AJ$22,MONTH(U2042),"")</f>
        <v/>
      </c>
      <c r="AJ2042" s="86" t="str">
        <f>+IF(AG2042=$AJ$22,MONTH(V2042),"")</f>
        <v/>
      </c>
      <c r="AK2042" s="86" t="str">
        <f>+IF(AG2042=$AK$22,MONTH(V2042),"")</f>
        <v/>
      </c>
      <c r="AL2042" s="86" t="str">
        <f>+IF(AG2042=$AL$22,MONTH(V2042),"")</f>
        <v/>
      </c>
      <c r="AM2042" s="86" t="str">
        <f>+IF($AG2042=$AM$22,MONTH($D2042),"")</f>
        <v/>
      </c>
      <c r="AN2042" s="89" t="str">
        <f>+IF($AG2042=AN$22,MONTH($D2042),"")</f>
        <v/>
      </c>
      <c r="AO2042" s="86" t="str">
        <f>+IF($AG2042=AO$22,MONTH($D2042),"")</f>
        <v/>
      </c>
      <c r="AP2042" s="86" t="str">
        <f>+IF($AG2042=AP$22,MONTH($D2042),"")</f>
        <v/>
      </c>
      <c r="AQ2042" s="86">
        <f>+IF($AG2042=AQ$22,MONTH($D2042),"")</f>
        <v>4</v>
      </c>
      <c r="AR2042" s="86" t="str">
        <f>+IF($AG2042=AR$22,MONTH($D2042),"")</f>
        <v/>
      </c>
      <c r="AS2042" s="86" t="str">
        <f>+IF($AG2042=AS$22,MONTH($D2042),"")</f>
        <v/>
      </c>
      <c r="AT2042" s="86" t="str">
        <f>+IF($AG2042=AT$22,MONTH($D2042),"")</f>
        <v/>
      </c>
      <c r="AU2042" s="86" t="str">
        <f>+IF($AG2042=AU$22,MONTH($D2042),"")</f>
        <v/>
      </c>
      <c r="AV2042" s="86" t="str">
        <f>+IF($AG2042=AV$22,MONTH($D2042),"")</f>
        <v/>
      </c>
      <c r="AW2042" s="86" t="str">
        <f>+IF($AG2042=AW$22,MONTH($D2042),"")</f>
        <v/>
      </c>
      <c r="AX2042" s="86" t="str">
        <f>+IF($AG2042=AX$22,MONTH($D2042),"")</f>
        <v/>
      </c>
      <c r="AY2042" s="89"/>
      <c r="AZ2042" s="89"/>
      <c r="BA2042" s="89"/>
      <c r="BB2042" s="89"/>
      <c r="BC2042" s="89"/>
      <c r="BD2042" s="89"/>
      <c r="BE2042" s="89"/>
      <c r="BF2042" s="89"/>
      <c r="BG2042" s="89"/>
      <c r="BH2042" s="89"/>
      <c r="BI2042" s="89"/>
      <c r="BJ2042" s="2"/>
      <c r="BK2042" s="2"/>
      <c r="BL2042" s="2"/>
      <c r="BM2042" s="2"/>
      <c r="BN2042" s="2"/>
      <c r="BO2042" s="2"/>
      <c r="BP2042" s="2"/>
    </row>
    <row r="2043" spans="1:68" s="56" customFormat="1" ht="13.5" hidden="1">
      <c r="A2043" s="204">
        <f>+IFERROR(VALUE(MID(AB2043,4,4)),"")</f>
        <v>156</v>
      </c>
      <c r="B2043" s="204">
        <f>VALUE(RIGHT(C2043,LEN(C2043)-2))</f>
        <v>682</v>
      </c>
      <c r="C2043" s="74" t="s">
        <v>7090</v>
      </c>
      <c r="D2043" s="75">
        <v>42821</v>
      </c>
      <c r="E2043" s="70" t="s">
        <v>81</v>
      </c>
      <c r="F2043" s="70" t="s">
        <v>3351</v>
      </c>
      <c r="G2043" s="68" t="s">
        <v>7091</v>
      </c>
      <c r="H2043" s="59" t="s">
        <v>7092</v>
      </c>
      <c r="I2043" s="162" t="s">
        <v>7093</v>
      </c>
      <c r="J2043" s="162"/>
      <c r="K2043" s="68" t="s">
        <v>13</v>
      </c>
      <c r="L2043" s="69" t="s">
        <v>120</v>
      </c>
      <c r="M2043" s="71" t="s">
        <v>113</v>
      </c>
      <c r="N2043" s="69" t="e" vm="4">
        <v>#VALUE!</v>
      </c>
      <c r="O2043" s="164">
        <v>42823</v>
      </c>
      <c r="P2043" s="72" t="s">
        <v>402</v>
      </c>
      <c r="Q2043" s="72"/>
      <c r="R2043" s="162"/>
      <c r="S2043" s="146"/>
      <c r="T2043" s="68" t="s">
        <v>3</v>
      </c>
      <c r="U2043" s="87"/>
      <c r="V2043" s="183">
        <v>42858</v>
      </c>
      <c r="W2043" s="73">
        <v>210</v>
      </c>
      <c r="X2043" s="73">
        <f>11115*666/1000000</f>
        <v>7.40259</v>
      </c>
      <c r="Y2043" s="83">
        <f>IF(SUM(W2043:W2043)&gt;0,X2043/SUM(W2043:W2043)*1000000,"N/A")</f>
        <v>35250.428571428572</v>
      </c>
      <c r="Z2043" s="183"/>
      <c r="AA2043" s="183"/>
      <c r="AB2043" s="73" t="s">
        <v>7094</v>
      </c>
      <c r="AC2043" s="153"/>
      <c r="AD2043" s="331"/>
      <c r="AE2043" s="57"/>
      <c r="AF2043" s="88"/>
      <c r="AG2043" s="182">
        <f>YEAR(D2043)</f>
        <v>2017</v>
      </c>
      <c r="AH2043" s="86" t="str">
        <f>+IF(AE2043=$AJ$22,MONTH(T2043),"")</f>
        <v/>
      </c>
      <c r="AI2043" s="86" t="str">
        <f>+IF(AF2043=$AJ$22,MONTH(U2043),"")</f>
        <v/>
      </c>
      <c r="AJ2043" s="86" t="str">
        <f>+IF(AG2043=$AJ$22,MONTH(V2043),"")</f>
        <v/>
      </c>
      <c r="AK2043" s="86" t="str">
        <f>+IF(AG2043=$AK$22,MONTH(V2043),"")</f>
        <v/>
      </c>
      <c r="AL2043" s="86" t="str">
        <f>+IF(AG2043=$AL$22,MONTH(V2043),"")</f>
        <v/>
      </c>
      <c r="AM2043" s="86" t="str">
        <f>+IF($AG2043=$AM$22,MONTH($D2043),"")</f>
        <v/>
      </c>
      <c r="AN2043" s="89" t="str">
        <f>+IF($AG2043=AN$22,MONTH($D2043),"")</f>
        <v/>
      </c>
      <c r="AO2043" s="86" t="str">
        <f>+IF($AG2043=AO$22,MONTH($D2043),"")</f>
        <v/>
      </c>
      <c r="AP2043" s="86" t="str">
        <f>+IF($AG2043=AP$22,MONTH($D2043),"")</f>
        <v/>
      </c>
      <c r="AQ2043" s="86">
        <f>+IF($AG2043=AQ$22,MONTH($D2043),"")</f>
        <v>3</v>
      </c>
      <c r="AR2043" s="86" t="str">
        <f>+IF($AG2043=AR$22,MONTH($D2043),"")</f>
        <v/>
      </c>
      <c r="AS2043" s="86" t="str">
        <f>+IF($AG2043=AS$22,MONTH($D2043),"")</f>
        <v/>
      </c>
      <c r="AT2043" s="86" t="str">
        <f>+IF($AG2043=AT$22,MONTH($D2043),"")</f>
        <v/>
      </c>
      <c r="AU2043" s="86" t="str">
        <f>+IF($AG2043=AU$22,MONTH($D2043),"")</f>
        <v/>
      </c>
      <c r="AV2043" s="86" t="str">
        <f>+IF($AG2043=AV$22,MONTH($D2043),"")</f>
        <v/>
      </c>
      <c r="AW2043" s="86" t="str">
        <f>+IF($AG2043=AW$22,MONTH($D2043),"")</f>
        <v/>
      </c>
      <c r="AX2043" s="86" t="str">
        <f>+IF($AG2043=AX$22,MONTH($D2043),"")</f>
        <v/>
      </c>
      <c r="AY2043" s="89"/>
      <c r="AZ2043" s="89"/>
      <c r="BA2043" s="89"/>
      <c r="BB2043" s="89"/>
      <c r="BC2043" s="89"/>
      <c r="BD2043" s="89"/>
      <c r="BE2043" s="89"/>
      <c r="BF2043" s="89"/>
      <c r="BG2043" s="89"/>
      <c r="BH2043" s="89"/>
      <c r="BI2043" s="89"/>
      <c r="BJ2043" s="89"/>
      <c r="BK2043" s="89"/>
      <c r="BL2043" s="89"/>
      <c r="BM2043" s="89"/>
      <c r="BN2043" s="89"/>
      <c r="BO2043" s="89"/>
      <c r="BP2043" s="89"/>
    </row>
    <row r="2044" spans="1:68" s="56" customFormat="1" ht="13.5" hidden="1">
      <c r="A2044" s="204" t="str">
        <f>+IFERROR(VALUE(MID(AB2044,4,4)),"")</f>
        <v/>
      </c>
      <c r="B2044" s="204">
        <f>VALUE(RIGHT(C2044,LEN(C2044)-2))</f>
        <v>681</v>
      </c>
      <c r="C2044" s="74" t="s">
        <v>7095</v>
      </c>
      <c r="D2044" s="75">
        <v>42821</v>
      </c>
      <c r="E2044" s="70" t="s">
        <v>7096</v>
      </c>
      <c r="F2044" s="70" t="s">
        <v>7096</v>
      </c>
      <c r="G2044" s="68"/>
      <c r="H2044" s="59"/>
      <c r="I2044" s="162" t="s">
        <v>7097</v>
      </c>
      <c r="J2044" s="162"/>
      <c r="K2044" s="68"/>
      <c r="L2044" s="69"/>
      <c r="M2044" s="71"/>
      <c r="N2044" s="69"/>
      <c r="O2044" s="164"/>
      <c r="P2044" s="72"/>
      <c r="Q2044" s="72"/>
      <c r="R2044" s="162"/>
      <c r="S2044" s="146"/>
      <c r="T2044" s="68" t="s">
        <v>155</v>
      </c>
      <c r="U2044" s="87"/>
      <c r="V2044" s="183"/>
      <c r="W2044" s="73"/>
      <c r="X2044" s="73"/>
      <c r="Y2044" s="83"/>
      <c r="Z2044" s="183"/>
      <c r="AA2044" s="183"/>
      <c r="AB2044" s="73"/>
      <c r="AC2044" s="153"/>
      <c r="AD2044" s="331"/>
      <c r="AE2044" s="57"/>
      <c r="AF2044" s="88"/>
      <c r="AG2044" s="182"/>
      <c r="AH2044" s="86" t="str">
        <f>+IF(AE2044=$AJ$22,MONTH(T2044),"")</f>
        <v/>
      </c>
      <c r="AI2044" s="86" t="str">
        <f>+IF(AF2044=$AJ$22,MONTH(U2044),"")</f>
        <v/>
      </c>
      <c r="AJ2044" s="86" t="str">
        <f>+IF(AG2044=$AJ$22,MONTH(V2044),"")</f>
        <v/>
      </c>
      <c r="AK2044" s="86" t="str">
        <f>+IF(AG2044=$AK$22,MONTH(V2044),"")</f>
        <v/>
      </c>
      <c r="AL2044" s="86" t="str">
        <f>+IF(AG2044=$AL$22,MONTH(V2044),"")</f>
        <v/>
      </c>
      <c r="AM2044" s="86" t="str">
        <f>+IF($AG2044=$AM$22,MONTH($D2044),"")</f>
        <v/>
      </c>
      <c r="AN2044" s="89" t="str">
        <f>+IF($AG2044=AN$22,MONTH($D2044),"")</f>
        <v/>
      </c>
      <c r="AO2044" s="86" t="str">
        <f>+IF($AG2044=AO$22,MONTH($D2044),"")</f>
        <v/>
      </c>
      <c r="AP2044" s="86" t="str">
        <f>+IF($AG2044=AP$22,MONTH($D2044),"")</f>
        <v/>
      </c>
      <c r="AQ2044" s="86" t="str">
        <f>+IF($AG2044=AQ$22,MONTH($D2044),"")</f>
        <v/>
      </c>
      <c r="AR2044" s="86" t="str">
        <f>+IF($AG2044=AR$22,MONTH($D2044),"")</f>
        <v/>
      </c>
      <c r="AS2044" s="86" t="str">
        <f>+IF($AG2044=AS$22,MONTH($D2044),"")</f>
        <v/>
      </c>
      <c r="AT2044" s="86" t="str">
        <f>+IF($AG2044=AT$22,MONTH($D2044),"")</f>
        <v/>
      </c>
      <c r="AU2044" s="86" t="str">
        <f>+IF($AG2044=AU$22,MONTH($D2044),"")</f>
        <v/>
      </c>
      <c r="AV2044" s="86" t="str">
        <f>+IF($AG2044=AV$22,MONTH($D2044),"")</f>
        <v/>
      </c>
      <c r="AW2044" s="86" t="str">
        <f>+IF($AG2044=AW$22,MONTH($D2044),"")</f>
        <v/>
      </c>
      <c r="AX2044" s="86" t="str">
        <f>+IF($AG2044=AX$22,MONTH($D2044),"")</f>
        <v/>
      </c>
      <c r="AY2044" s="89"/>
      <c r="AZ2044" s="89"/>
      <c r="BA2044" s="89"/>
      <c r="BB2044" s="89"/>
      <c r="BC2044" s="89"/>
      <c r="BD2044" s="89"/>
      <c r="BE2044" s="89"/>
      <c r="BF2044" s="89"/>
      <c r="BG2044" s="89"/>
      <c r="BH2044" s="89"/>
      <c r="BI2044" s="89"/>
      <c r="BJ2044" s="89"/>
      <c r="BK2044" s="89"/>
      <c r="BL2044" s="89"/>
      <c r="BM2044" s="89"/>
      <c r="BN2044" s="89"/>
      <c r="BO2044" s="89"/>
      <c r="BP2044" s="89"/>
    </row>
    <row r="2045" spans="1:68" s="56" customFormat="1" ht="13.5" hidden="1">
      <c r="A2045" s="204" t="str">
        <f>+IFERROR(VALUE(MID(AB2045,4,4)),"")</f>
        <v/>
      </c>
      <c r="B2045" s="204">
        <f>VALUE(RIGHT(C2045,LEN(C2045)-2))</f>
        <v>680</v>
      </c>
      <c r="C2045" s="74" t="s">
        <v>7098</v>
      </c>
      <c r="D2045" s="75">
        <v>42815</v>
      </c>
      <c r="E2045" s="70" t="s">
        <v>1988</v>
      </c>
      <c r="F2045" s="70" t="s">
        <v>1988</v>
      </c>
      <c r="G2045" s="68"/>
      <c r="H2045" s="59"/>
      <c r="I2045" s="162" t="s">
        <v>7099</v>
      </c>
      <c r="J2045" s="162"/>
      <c r="K2045" s="68" t="s">
        <v>13</v>
      </c>
      <c r="L2045" s="69" t="s">
        <v>123</v>
      </c>
      <c r="M2045" s="71" t="s">
        <v>141</v>
      </c>
      <c r="N2045" s="69" t="e" vm="1">
        <v>#VALUE!</v>
      </c>
      <c r="O2045" s="164">
        <v>42842</v>
      </c>
      <c r="P2045" s="72" t="s">
        <v>402</v>
      </c>
      <c r="Q2045" s="72"/>
      <c r="R2045" s="162"/>
      <c r="S2045" s="146"/>
      <c r="T2045" s="68" t="s">
        <v>165</v>
      </c>
      <c r="U2045" s="87"/>
      <c r="V2045" s="183">
        <v>42872</v>
      </c>
      <c r="W2045" s="73">
        <v>4997</v>
      </c>
      <c r="X2045" s="73">
        <f>132019190/1000000</f>
        <v>132.01919000000001</v>
      </c>
      <c r="Y2045" s="83">
        <f>IF(SUM(W2045:W2045)&gt;0,X2045/SUM(W2045:W2045)*1000000,"N/A")</f>
        <v>26419.689813888333</v>
      </c>
      <c r="Z2045" s="183"/>
      <c r="AA2045" s="183"/>
      <c r="AB2045" s="73"/>
      <c r="AC2045" s="153"/>
      <c r="AD2045" s="331"/>
      <c r="AE2045" s="57"/>
      <c r="AF2045" s="88"/>
      <c r="AG2045" s="182">
        <f>YEAR(D2045)</f>
        <v>2017</v>
      </c>
      <c r="AH2045" s="86" t="str">
        <f>+IF(AE2045=$AJ$22,MONTH(T2045),"")</f>
        <v/>
      </c>
      <c r="AI2045" s="86" t="str">
        <f>+IF(AF2045=$AJ$22,MONTH(U2045),"")</f>
        <v/>
      </c>
      <c r="AJ2045" s="86" t="str">
        <f>+IF(AG2045=$AJ$22,MONTH(V2045),"")</f>
        <v/>
      </c>
      <c r="AK2045" s="86" t="str">
        <f>+IF(AG2045=$AK$22,MONTH(V2045),"")</f>
        <v/>
      </c>
      <c r="AL2045" s="86" t="str">
        <f>+IF(AG2045=$AL$22,MONTH(V2045),"")</f>
        <v/>
      </c>
      <c r="AM2045" s="86" t="str">
        <f>+IF($AG2045=$AM$22,MONTH($D2045),"")</f>
        <v/>
      </c>
      <c r="AN2045" s="89" t="str">
        <f>+IF($AG2045=AN$22,MONTH($D2045),"")</f>
        <v/>
      </c>
      <c r="AO2045" s="86" t="str">
        <f>+IF($AG2045=AO$22,MONTH($D2045),"")</f>
        <v/>
      </c>
      <c r="AP2045" s="86" t="str">
        <f>+IF($AG2045=AP$22,MONTH($D2045),"")</f>
        <v/>
      </c>
      <c r="AQ2045" s="86">
        <f>+IF($AG2045=AQ$22,MONTH($D2045),"")</f>
        <v>3</v>
      </c>
      <c r="AR2045" s="86" t="str">
        <f>+IF($AG2045=AR$22,MONTH($D2045),"")</f>
        <v/>
      </c>
      <c r="AS2045" s="86" t="str">
        <f>+IF($AG2045=AS$22,MONTH($D2045),"")</f>
        <v/>
      </c>
      <c r="AT2045" s="86" t="str">
        <f>+IF($AG2045=AT$22,MONTH($D2045),"")</f>
        <v/>
      </c>
      <c r="AU2045" s="86" t="str">
        <f>+IF($AG2045=AU$22,MONTH($D2045),"")</f>
        <v/>
      </c>
      <c r="AV2045" s="86" t="str">
        <f>+IF($AG2045=AV$22,MONTH($D2045),"")</f>
        <v/>
      </c>
      <c r="AW2045" s="86" t="str">
        <f>+IF($AG2045=AW$22,MONTH($D2045),"")</f>
        <v/>
      </c>
      <c r="AX2045" s="86" t="str">
        <f>+IF($AG2045=AX$22,MONTH($D2045),"")</f>
        <v/>
      </c>
      <c r="AY2045" s="89"/>
      <c r="AZ2045" s="89"/>
      <c r="BA2045" s="89"/>
      <c r="BB2045" s="89"/>
      <c r="BC2045" s="89"/>
      <c r="BD2045" s="89"/>
      <c r="BE2045" s="89"/>
      <c r="BF2045" s="89"/>
      <c r="BG2045" s="89"/>
      <c r="BH2045" s="89"/>
      <c r="BI2045" s="89"/>
      <c r="BJ2045" s="89"/>
      <c r="BK2045" s="89"/>
      <c r="BL2045" s="89"/>
      <c r="BM2045" s="89"/>
      <c r="BN2045" s="89"/>
      <c r="BO2045" s="89"/>
      <c r="BP2045" s="89"/>
    </row>
    <row r="2046" spans="1:68" s="56" customFormat="1" ht="27" hidden="1">
      <c r="A2046" s="204" t="str">
        <f>+IFERROR(VALUE(MID(AB2046,4,4)),"")</f>
        <v/>
      </c>
      <c r="B2046" s="204">
        <f>VALUE(RIGHT(C2046,LEN(C2046)-2))</f>
        <v>679</v>
      </c>
      <c r="C2046" s="74" t="s">
        <v>7100</v>
      </c>
      <c r="D2046" s="75">
        <v>42815</v>
      </c>
      <c r="E2046" s="70" t="s">
        <v>69</v>
      </c>
      <c r="F2046" s="70" t="s">
        <v>39</v>
      </c>
      <c r="G2046" s="68"/>
      <c r="H2046" s="59"/>
      <c r="I2046" s="162" t="s">
        <v>7101</v>
      </c>
      <c r="J2046" s="162"/>
      <c r="K2046" s="68"/>
      <c r="L2046" s="69" t="s">
        <v>120</v>
      </c>
      <c r="M2046" s="71" t="s">
        <v>141</v>
      </c>
      <c r="N2046" s="69" t="e" vm="1">
        <v>#VALUE!</v>
      </c>
      <c r="O2046" s="164">
        <v>42817</v>
      </c>
      <c r="P2046" s="72" t="s">
        <v>402</v>
      </c>
      <c r="Q2046" s="72"/>
      <c r="R2046" s="162"/>
      <c r="S2046" s="146" t="s">
        <v>7102</v>
      </c>
      <c r="T2046" s="68" t="s">
        <v>165</v>
      </c>
      <c r="U2046" s="87">
        <v>0.01</v>
      </c>
      <c r="V2046" s="183">
        <v>42886</v>
      </c>
      <c r="W2046" s="73">
        <v>811</v>
      </c>
      <c r="X2046" s="73">
        <f>26458*818/1000000</f>
        <v>21.642644000000001</v>
      </c>
      <c r="Y2046" s="83">
        <f>IF(SUM(W2046:W2046)&gt;0,X2046/SUM(W2046:W2046)*1000000,"N/A")</f>
        <v>26686.367447595559</v>
      </c>
      <c r="Z2046" s="183"/>
      <c r="AA2046" s="183"/>
      <c r="AB2046" s="73"/>
      <c r="AC2046" s="153"/>
      <c r="AD2046" s="331"/>
      <c r="AE2046" s="57"/>
      <c r="AF2046" s="88"/>
      <c r="AG2046" s="182">
        <f>YEAR(D2046)</f>
        <v>2017</v>
      </c>
      <c r="AH2046" s="86" t="str">
        <f>+IF(AE2046=$AJ$22,MONTH(T2046),"")</f>
        <v/>
      </c>
      <c r="AI2046" s="86" t="str">
        <f>+IF(AF2046=$AJ$22,MONTH(U2046),"")</f>
        <v/>
      </c>
      <c r="AJ2046" s="86" t="str">
        <f>+IF(AG2046=$AJ$22,MONTH(V2046),"")</f>
        <v/>
      </c>
      <c r="AK2046" s="86" t="str">
        <f>+IF(AG2046=$AK$22,MONTH(V2046),"")</f>
        <v/>
      </c>
      <c r="AL2046" s="86" t="str">
        <f>+IF(AG2046=$AL$22,MONTH(V2046),"")</f>
        <v/>
      </c>
      <c r="AM2046" s="86" t="str">
        <f>+IF($AG2046=$AM$22,MONTH($D2046),"")</f>
        <v/>
      </c>
      <c r="AN2046" s="89" t="str">
        <f>+IF($AG2046=AN$22,MONTH($D2046),"")</f>
        <v/>
      </c>
      <c r="AO2046" s="86" t="str">
        <f>+IF($AG2046=AO$22,MONTH($D2046),"")</f>
        <v/>
      </c>
      <c r="AP2046" s="86" t="str">
        <f>+IF($AG2046=AP$22,MONTH($D2046),"")</f>
        <v/>
      </c>
      <c r="AQ2046" s="86">
        <f>+IF($AG2046=AQ$22,MONTH($D2046),"")</f>
        <v>3</v>
      </c>
      <c r="AR2046" s="86" t="str">
        <f>+IF($AG2046=AR$22,MONTH($D2046),"")</f>
        <v/>
      </c>
      <c r="AS2046" s="86" t="str">
        <f>+IF($AG2046=AS$22,MONTH($D2046),"")</f>
        <v/>
      </c>
      <c r="AT2046" s="86" t="str">
        <f>+IF($AG2046=AT$22,MONTH($D2046),"")</f>
        <v/>
      </c>
      <c r="AU2046" s="86" t="str">
        <f>+IF($AG2046=AU$22,MONTH($D2046),"")</f>
        <v/>
      </c>
      <c r="AV2046" s="86" t="str">
        <f>+IF($AG2046=AV$22,MONTH($D2046),"")</f>
        <v/>
      </c>
      <c r="AW2046" s="86" t="str">
        <f>+IF($AG2046=AW$22,MONTH($D2046),"")</f>
        <v/>
      </c>
      <c r="AX2046" s="86" t="str">
        <f>+IF($AG2046=AX$22,MONTH($D2046),"")</f>
        <v/>
      </c>
      <c r="AY2046" s="89"/>
      <c r="AZ2046" s="89"/>
      <c r="BA2046" s="89"/>
      <c r="BB2046" s="89"/>
      <c r="BC2046" s="89"/>
      <c r="BD2046" s="89"/>
      <c r="BE2046" s="89"/>
      <c r="BF2046" s="89"/>
      <c r="BG2046" s="89"/>
      <c r="BH2046" s="89"/>
      <c r="BI2046" s="89"/>
      <c r="BJ2046" s="89"/>
      <c r="BK2046" s="89"/>
      <c r="BL2046" s="89"/>
      <c r="BM2046" s="89"/>
      <c r="BN2046" s="89"/>
      <c r="BO2046" s="89"/>
      <c r="BP2046" s="89"/>
    </row>
    <row r="2047" spans="1:68" s="56" customFormat="1" ht="27" hidden="1">
      <c r="A2047" s="204" t="str">
        <f>+IFERROR(VALUE(MID(AB2047,4,4)),"")</f>
        <v/>
      </c>
      <c r="B2047" s="204">
        <f>VALUE(RIGHT(C2047,LEN(C2047)-2))</f>
        <v>678</v>
      </c>
      <c r="C2047" s="74" t="s">
        <v>7103</v>
      </c>
      <c r="D2047" s="75">
        <v>42815</v>
      </c>
      <c r="E2047" s="70" t="s">
        <v>69</v>
      </c>
      <c r="F2047" s="70" t="s">
        <v>39</v>
      </c>
      <c r="G2047" s="68"/>
      <c r="H2047" s="59"/>
      <c r="I2047" s="162" t="s">
        <v>7104</v>
      </c>
      <c r="J2047" s="162"/>
      <c r="K2047" s="68"/>
      <c r="L2047" s="69" t="s">
        <v>120</v>
      </c>
      <c r="M2047" s="71" t="s">
        <v>141</v>
      </c>
      <c r="N2047" s="69" t="e" vm="1">
        <v>#VALUE!</v>
      </c>
      <c r="O2047" s="164">
        <v>42817</v>
      </c>
      <c r="P2047" s="72" t="s">
        <v>402</v>
      </c>
      <c r="Q2047" s="72"/>
      <c r="R2047" s="162"/>
      <c r="S2047" s="146" t="s">
        <v>7102</v>
      </c>
      <c r="T2047" s="68" t="s">
        <v>165</v>
      </c>
      <c r="U2047" s="87">
        <v>0.01</v>
      </c>
      <c r="V2047" s="183">
        <v>42886</v>
      </c>
      <c r="W2047" s="73">
        <v>560</v>
      </c>
      <c r="X2047" s="73">
        <f>26458*696/1000000</f>
        <v>18.414767999999999</v>
      </c>
      <c r="Y2047" s="83">
        <f>IF(SUM(W2047:W2047)&gt;0,X2047/SUM(W2047:W2047)*1000000,"N/A")</f>
        <v>32883.514285714278</v>
      </c>
      <c r="Z2047" s="183"/>
      <c r="AA2047" s="183"/>
      <c r="AB2047" s="73"/>
      <c r="AC2047" s="153"/>
      <c r="AD2047" s="331"/>
      <c r="AE2047" s="57"/>
      <c r="AF2047" s="88"/>
      <c r="AG2047" s="182">
        <f>YEAR(D2047)</f>
        <v>2017</v>
      </c>
      <c r="AH2047" s="86" t="str">
        <f>+IF(AE2047=$AJ$22,MONTH(T2047),"")</f>
        <v/>
      </c>
      <c r="AI2047" s="86" t="str">
        <f>+IF(AF2047=$AJ$22,MONTH(U2047),"")</f>
        <v/>
      </c>
      <c r="AJ2047" s="86" t="str">
        <f>+IF(AG2047=$AJ$22,MONTH(V2047),"")</f>
        <v/>
      </c>
      <c r="AK2047" s="86" t="str">
        <f>+IF(AG2047=$AK$22,MONTH(V2047),"")</f>
        <v/>
      </c>
      <c r="AL2047" s="86" t="str">
        <f>+IF(AG2047=$AL$22,MONTH(V2047),"")</f>
        <v/>
      </c>
      <c r="AM2047" s="86" t="str">
        <f>+IF($AG2047=$AM$22,MONTH($D2047),"")</f>
        <v/>
      </c>
      <c r="AN2047" s="89" t="str">
        <f>+IF($AG2047=AN$22,MONTH($D2047),"")</f>
        <v/>
      </c>
      <c r="AO2047" s="86" t="str">
        <f>+IF($AG2047=AO$22,MONTH($D2047),"")</f>
        <v/>
      </c>
      <c r="AP2047" s="86" t="str">
        <f>+IF($AG2047=AP$22,MONTH($D2047),"")</f>
        <v/>
      </c>
      <c r="AQ2047" s="86">
        <f>+IF($AG2047=AQ$22,MONTH($D2047),"")</f>
        <v>3</v>
      </c>
      <c r="AR2047" s="86" t="str">
        <f>+IF($AG2047=AR$22,MONTH($D2047),"")</f>
        <v/>
      </c>
      <c r="AS2047" s="86" t="str">
        <f>+IF($AG2047=AS$22,MONTH($D2047),"")</f>
        <v/>
      </c>
      <c r="AT2047" s="86" t="str">
        <f>+IF($AG2047=AT$22,MONTH($D2047),"")</f>
        <v/>
      </c>
      <c r="AU2047" s="86" t="str">
        <f>+IF($AG2047=AU$22,MONTH($D2047),"")</f>
        <v/>
      </c>
      <c r="AV2047" s="86" t="str">
        <f>+IF($AG2047=AV$22,MONTH($D2047),"")</f>
        <v/>
      </c>
      <c r="AW2047" s="86" t="str">
        <f>+IF($AG2047=AW$22,MONTH($D2047),"")</f>
        <v/>
      </c>
      <c r="AX2047" s="86" t="str">
        <f>+IF($AG2047=AX$22,MONTH($D2047),"")</f>
        <v/>
      </c>
      <c r="AY2047" s="89"/>
      <c r="AZ2047" s="89"/>
      <c r="BA2047" s="89"/>
      <c r="BB2047" s="89"/>
      <c r="BC2047" s="89"/>
      <c r="BD2047" s="89"/>
      <c r="BE2047" s="89"/>
      <c r="BF2047" s="89"/>
      <c r="BG2047" s="89"/>
      <c r="BH2047" s="89"/>
      <c r="BI2047" s="89"/>
      <c r="BJ2047" s="89"/>
      <c r="BK2047" s="89"/>
      <c r="BL2047" s="89"/>
      <c r="BM2047" s="89"/>
      <c r="BN2047" s="89"/>
      <c r="BO2047" s="89"/>
      <c r="BP2047" s="89"/>
    </row>
    <row r="2048" spans="1:68" s="56" customFormat="1" ht="13.5" hidden="1">
      <c r="A2048" s="204">
        <f>+IFERROR(VALUE(MID(AB2048,4,4)),"")</f>
        <v>151</v>
      </c>
      <c r="B2048" s="204">
        <f>VALUE(RIGHT(C2048,LEN(C2048)-2))</f>
        <v>677</v>
      </c>
      <c r="C2048" s="74" t="s">
        <v>7105</v>
      </c>
      <c r="D2048" s="75">
        <v>42814</v>
      </c>
      <c r="E2048" s="70" t="s">
        <v>81</v>
      </c>
      <c r="F2048" s="70" t="s">
        <v>3351</v>
      </c>
      <c r="G2048" s="68"/>
      <c r="H2048" s="59"/>
      <c r="I2048" s="162" t="s">
        <v>7106</v>
      </c>
      <c r="J2048" s="162"/>
      <c r="K2048" s="68" t="s">
        <v>13</v>
      </c>
      <c r="L2048" s="69" t="s">
        <v>120</v>
      </c>
      <c r="M2048" s="71" t="s">
        <v>113</v>
      </c>
      <c r="N2048" s="69" t="e" vm="4">
        <v>#VALUE!</v>
      </c>
      <c r="O2048" s="164">
        <v>42816</v>
      </c>
      <c r="P2048" s="72" t="s">
        <v>402</v>
      </c>
      <c r="Q2048" s="72"/>
      <c r="R2048" s="162"/>
      <c r="S2048" s="146"/>
      <c r="T2048" s="68" t="s">
        <v>3</v>
      </c>
      <c r="U2048" s="87"/>
      <c r="V2048" s="183">
        <v>42817</v>
      </c>
      <c r="W2048" s="73">
        <v>397</v>
      </c>
      <c r="X2048" s="73">
        <f>7935*661/1000000</f>
        <v>5.2450349999999997</v>
      </c>
      <c r="Y2048" s="83">
        <f>IF(SUM(W2048:W2048)&gt;0,X2048/SUM(W2048:W2048)*1000000,"N/A")</f>
        <v>13211.675062972292</v>
      </c>
      <c r="Z2048" s="183"/>
      <c r="AA2048" s="183"/>
      <c r="AB2048" s="73" t="s">
        <v>7107</v>
      </c>
      <c r="AC2048" s="153"/>
      <c r="AD2048" s="331"/>
      <c r="AE2048" s="57"/>
      <c r="AF2048" s="88"/>
      <c r="AG2048" s="182">
        <f>YEAR(D2048)</f>
        <v>2017</v>
      </c>
      <c r="AH2048" s="86" t="str">
        <f>+IF(AE2048=$AJ$22,MONTH(T2048),"")</f>
        <v/>
      </c>
      <c r="AI2048" s="86" t="str">
        <f>+IF(AF2048=$AJ$22,MONTH(U2048),"")</f>
        <v/>
      </c>
      <c r="AJ2048" s="86" t="str">
        <f>+IF(AG2048=$AJ$22,MONTH(V2048),"")</f>
        <v/>
      </c>
      <c r="AK2048" s="86" t="str">
        <f>+IF(AG2048=$AK$22,MONTH(V2048),"")</f>
        <v/>
      </c>
      <c r="AL2048" s="86" t="str">
        <f>+IF(AG2048=$AL$22,MONTH(V2048),"")</f>
        <v/>
      </c>
      <c r="AM2048" s="86" t="str">
        <f>+IF($AG2048=$AM$22,MONTH($D2048),"")</f>
        <v/>
      </c>
      <c r="AN2048" s="89" t="str">
        <f>+IF($AG2048=AN$22,MONTH($D2048),"")</f>
        <v/>
      </c>
      <c r="AO2048" s="86" t="str">
        <f>+IF($AG2048=AO$22,MONTH($D2048),"")</f>
        <v/>
      </c>
      <c r="AP2048" s="86" t="str">
        <f>+IF($AG2048=AP$22,MONTH($D2048),"")</f>
        <v/>
      </c>
      <c r="AQ2048" s="86">
        <f>+IF($AG2048=AQ$22,MONTH($D2048),"")</f>
        <v>3</v>
      </c>
      <c r="AR2048" s="86" t="str">
        <f>+IF($AG2048=AR$22,MONTH($D2048),"")</f>
        <v/>
      </c>
      <c r="AS2048" s="86" t="str">
        <f>+IF($AG2048=AS$22,MONTH($D2048),"")</f>
        <v/>
      </c>
      <c r="AT2048" s="86" t="str">
        <f>+IF($AG2048=AT$22,MONTH($D2048),"")</f>
        <v/>
      </c>
      <c r="AU2048" s="86" t="str">
        <f>+IF($AG2048=AU$22,MONTH($D2048),"")</f>
        <v/>
      </c>
      <c r="AV2048" s="86" t="str">
        <f>+IF($AG2048=AV$22,MONTH($D2048),"")</f>
        <v/>
      </c>
      <c r="AW2048" s="86" t="str">
        <f>+IF($AG2048=AW$22,MONTH($D2048),"")</f>
        <v/>
      </c>
      <c r="AX2048" s="86" t="str">
        <f>+IF($AG2048=AX$22,MONTH($D2048),"")</f>
        <v/>
      </c>
      <c r="AY2048" s="89"/>
      <c r="AZ2048" s="89"/>
      <c r="BA2048" s="89"/>
      <c r="BB2048" s="89"/>
      <c r="BC2048" s="89"/>
      <c r="BD2048" s="89"/>
      <c r="BE2048" s="89"/>
      <c r="BF2048" s="89"/>
      <c r="BG2048" s="89"/>
      <c r="BH2048" s="89"/>
      <c r="BI2048" s="89"/>
      <c r="BJ2048" s="89"/>
      <c r="BK2048" s="89"/>
      <c r="BL2048" s="89"/>
      <c r="BM2048" s="89"/>
      <c r="BN2048" s="89"/>
      <c r="BO2048" s="89"/>
      <c r="BP2048" s="89"/>
    </row>
    <row r="2049" spans="1:68" s="56" customFormat="1" ht="13.5" hidden="1">
      <c r="A2049" s="204" t="str">
        <f>+IFERROR(VALUE(MID(AB2049,4,4)),"")</f>
        <v/>
      </c>
      <c r="B2049" s="204">
        <f>VALUE(RIGHT(C2049,LEN(C2049)-2))</f>
        <v>676</v>
      </c>
      <c r="C2049" s="74" t="s">
        <v>7108</v>
      </c>
      <c r="D2049" s="75">
        <v>42814</v>
      </c>
      <c r="E2049" s="70" t="s">
        <v>53</v>
      </c>
      <c r="F2049" s="70" t="s">
        <v>287</v>
      </c>
      <c r="G2049" s="68"/>
      <c r="H2049" s="59"/>
      <c r="I2049" s="162" t="s">
        <v>7109</v>
      </c>
      <c r="J2049" s="162"/>
      <c r="K2049" s="68"/>
      <c r="L2049" s="69" t="s">
        <v>120</v>
      </c>
      <c r="M2049" s="71" t="s">
        <v>141</v>
      </c>
      <c r="N2049" s="69" t="e" vm="1">
        <v>#VALUE!</v>
      </c>
      <c r="O2049" s="164">
        <v>42815</v>
      </c>
      <c r="P2049" s="72" t="s">
        <v>402</v>
      </c>
      <c r="Q2049" s="72"/>
      <c r="R2049" s="162"/>
      <c r="S2049" s="146"/>
      <c r="T2049" s="68" t="s">
        <v>165</v>
      </c>
      <c r="U2049" s="87"/>
      <c r="V2049" s="183">
        <v>42817</v>
      </c>
      <c r="W2049" s="73">
        <v>565</v>
      </c>
      <c r="X2049" s="73">
        <f>466*26455/1000000</f>
        <v>12.32803</v>
      </c>
      <c r="Y2049" s="83">
        <f>IF(SUM(W2049:W2049)&gt;0,X2049/SUM(W2049:W2049)*1000000,"N/A")</f>
        <v>21819.522123893807</v>
      </c>
      <c r="Z2049" s="183"/>
      <c r="AA2049" s="183"/>
      <c r="AB2049" s="73"/>
      <c r="AC2049" s="153"/>
      <c r="AD2049" s="331"/>
      <c r="AE2049" s="57"/>
      <c r="AF2049" s="88"/>
      <c r="AG2049" s="182">
        <f>YEAR(D2049)</f>
        <v>2017</v>
      </c>
      <c r="AH2049" s="86" t="str">
        <f>+IF(AE2049=$AJ$22,MONTH(T2049),"")</f>
        <v/>
      </c>
      <c r="AI2049" s="86" t="str">
        <f>+IF(AF2049=$AJ$22,MONTH(U2049),"")</f>
        <v/>
      </c>
      <c r="AJ2049" s="86" t="str">
        <f>+IF(AG2049=$AJ$22,MONTH(V2049),"")</f>
        <v/>
      </c>
      <c r="AK2049" s="86" t="str">
        <f>+IF(AG2049=$AK$22,MONTH(V2049),"")</f>
        <v/>
      </c>
      <c r="AL2049" s="86" t="str">
        <f>+IF(AG2049=$AL$22,MONTH(V2049),"")</f>
        <v/>
      </c>
      <c r="AM2049" s="86" t="str">
        <f>+IF($AG2049=$AM$22,MONTH($D2049),"")</f>
        <v/>
      </c>
      <c r="AN2049" s="89" t="str">
        <f>+IF($AG2049=AN$22,MONTH($D2049),"")</f>
        <v/>
      </c>
      <c r="AO2049" s="86" t="str">
        <f>+IF($AG2049=AO$22,MONTH($D2049),"")</f>
        <v/>
      </c>
      <c r="AP2049" s="86" t="str">
        <f>+IF($AG2049=AP$22,MONTH($D2049),"")</f>
        <v/>
      </c>
      <c r="AQ2049" s="86">
        <f>+IF($AG2049=AQ$22,MONTH($D2049),"")</f>
        <v>3</v>
      </c>
      <c r="AR2049" s="86" t="str">
        <f>+IF($AG2049=AR$22,MONTH($D2049),"")</f>
        <v/>
      </c>
      <c r="AS2049" s="86" t="str">
        <f>+IF($AG2049=AS$22,MONTH($D2049),"")</f>
        <v/>
      </c>
      <c r="AT2049" s="86" t="str">
        <f>+IF($AG2049=AT$22,MONTH($D2049),"")</f>
        <v/>
      </c>
      <c r="AU2049" s="86" t="str">
        <f>+IF($AG2049=AU$22,MONTH($D2049),"")</f>
        <v/>
      </c>
      <c r="AV2049" s="86" t="str">
        <f>+IF($AG2049=AV$22,MONTH($D2049),"")</f>
        <v/>
      </c>
      <c r="AW2049" s="86" t="str">
        <f>+IF($AG2049=AW$22,MONTH($D2049),"")</f>
        <v/>
      </c>
      <c r="AX2049" s="86" t="str">
        <f>+IF($AG2049=AX$22,MONTH($D2049),"")</f>
        <v/>
      </c>
      <c r="AY2049" s="89"/>
      <c r="AZ2049" s="89"/>
      <c r="BA2049" s="89"/>
      <c r="BB2049" s="89"/>
      <c r="BC2049" s="89"/>
      <c r="BD2049" s="89"/>
      <c r="BE2049" s="89"/>
      <c r="BF2049" s="89"/>
      <c r="BG2049" s="89"/>
      <c r="BH2049" s="89"/>
      <c r="BI2049" s="89"/>
      <c r="BJ2049" s="89"/>
      <c r="BK2049" s="89"/>
      <c r="BL2049" s="89"/>
      <c r="BM2049" s="89"/>
      <c r="BN2049" s="89"/>
      <c r="BO2049" s="89"/>
      <c r="BP2049" s="89"/>
    </row>
    <row r="2050" spans="1:68" s="56" customFormat="1" ht="13.5" hidden="1">
      <c r="A2050" s="204" t="str">
        <f>+IFERROR(VALUE(MID(AB2050,4,4)),"")</f>
        <v/>
      </c>
      <c r="B2050" s="204">
        <f>VALUE(RIGHT(C2050,LEN(C2050)-2))</f>
        <v>675</v>
      </c>
      <c r="C2050" s="74" t="s">
        <v>7110</v>
      </c>
      <c r="D2050" s="75">
        <v>42814</v>
      </c>
      <c r="E2050" s="70" t="s">
        <v>53</v>
      </c>
      <c r="F2050" s="70" t="s">
        <v>287</v>
      </c>
      <c r="G2050" s="68"/>
      <c r="H2050" s="59"/>
      <c r="I2050" s="162" t="s">
        <v>7111</v>
      </c>
      <c r="J2050" s="162"/>
      <c r="K2050" s="68"/>
      <c r="L2050" s="69" t="s">
        <v>120</v>
      </c>
      <c r="M2050" s="71" t="s">
        <v>141</v>
      </c>
      <c r="N2050" s="69" t="e" vm="1">
        <v>#VALUE!</v>
      </c>
      <c r="O2050" s="164">
        <v>42814</v>
      </c>
      <c r="P2050" s="72" t="s">
        <v>402</v>
      </c>
      <c r="Q2050" s="72"/>
      <c r="R2050" s="162"/>
      <c r="S2050" s="146"/>
      <c r="T2050" s="68" t="s">
        <v>165</v>
      </c>
      <c r="U2050" s="87"/>
      <c r="V2050" s="183">
        <v>42817</v>
      </c>
      <c r="W2050" s="73">
        <v>228</v>
      </c>
      <c r="X2050" s="73">
        <f>273*26453/1000000</f>
        <v>7.2216690000000003</v>
      </c>
      <c r="Y2050" s="83">
        <f>IF(SUM(W2050:W2050)&gt;0,X2050/SUM(W2050:W2050)*1000000,"N/A")</f>
        <v>31673.986842105263</v>
      </c>
      <c r="Z2050" s="183"/>
      <c r="AA2050" s="183"/>
      <c r="AB2050" s="73"/>
      <c r="AC2050" s="153"/>
      <c r="AD2050" s="331"/>
      <c r="AE2050" s="57"/>
      <c r="AF2050" s="88"/>
      <c r="AG2050" s="182">
        <f>YEAR(D2050)</f>
        <v>2017</v>
      </c>
      <c r="AH2050" s="86" t="str">
        <f>+IF(AE2050=$AJ$22,MONTH(T2050),"")</f>
        <v/>
      </c>
      <c r="AI2050" s="86" t="str">
        <f>+IF(AF2050=$AJ$22,MONTH(U2050),"")</f>
        <v/>
      </c>
      <c r="AJ2050" s="86" t="str">
        <f>+IF(AG2050=$AJ$22,MONTH(V2050),"")</f>
        <v/>
      </c>
      <c r="AK2050" s="86" t="str">
        <f>+IF(AG2050=$AK$22,MONTH(V2050),"")</f>
        <v/>
      </c>
      <c r="AL2050" s="86" t="str">
        <f>+IF(AG2050=$AL$22,MONTH(V2050),"")</f>
        <v/>
      </c>
      <c r="AM2050" s="86" t="str">
        <f>+IF($AG2050=$AM$22,MONTH($D2050),"")</f>
        <v/>
      </c>
      <c r="AN2050" s="89" t="str">
        <f>+IF($AG2050=AN$22,MONTH($D2050),"")</f>
        <v/>
      </c>
      <c r="AO2050" s="86" t="str">
        <f>+IF($AG2050=AO$22,MONTH($D2050),"")</f>
        <v/>
      </c>
      <c r="AP2050" s="86" t="str">
        <f>+IF($AG2050=AP$22,MONTH($D2050),"")</f>
        <v/>
      </c>
      <c r="AQ2050" s="86">
        <f>+IF($AG2050=AQ$22,MONTH($D2050),"")</f>
        <v>3</v>
      </c>
      <c r="AR2050" s="86" t="str">
        <f>+IF($AG2050=AR$22,MONTH($D2050),"")</f>
        <v/>
      </c>
      <c r="AS2050" s="86" t="str">
        <f>+IF($AG2050=AS$22,MONTH($D2050),"")</f>
        <v/>
      </c>
      <c r="AT2050" s="86" t="str">
        <f>+IF($AG2050=AT$22,MONTH($D2050),"")</f>
        <v/>
      </c>
      <c r="AU2050" s="86" t="str">
        <f>+IF($AG2050=AU$22,MONTH($D2050),"")</f>
        <v/>
      </c>
      <c r="AV2050" s="86" t="str">
        <f>+IF($AG2050=AV$22,MONTH($D2050),"")</f>
        <v/>
      </c>
      <c r="AW2050" s="86" t="str">
        <f>+IF($AG2050=AW$22,MONTH($D2050),"")</f>
        <v/>
      </c>
      <c r="AX2050" s="86" t="str">
        <f>+IF($AG2050=AX$22,MONTH($D2050),"")</f>
        <v/>
      </c>
      <c r="AY2050" s="89"/>
      <c r="AZ2050" s="89"/>
      <c r="BA2050" s="89"/>
      <c r="BB2050" s="89"/>
      <c r="BC2050" s="89"/>
      <c r="BD2050" s="89"/>
      <c r="BE2050" s="89"/>
      <c r="BF2050" s="89"/>
      <c r="BG2050" s="89"/>
      <c r="BH2050" s="89"/>
      <c r="BI2050" s="89"/>
      <c r="BJ2050" s="89"/>
      <c r="BK2050" s="89"/>
      <c r="BL2050" s="89"/>
      <c r="BM2050" s="89"/>
      <c r="BN2050" s="89"/>
      <c r="BO2050" s="89"/>
      <c r="BP2050" s="89"/>
    </row>
    <row r="2051" spans="1:68" s="56" customFormat="1" ht="13.5" hidden="1">
      <c r="A2051" s="204" t="str">
        <f>+IFERROR(VALUE(MID(AB2051,4,4)),"")</f>
        <v/>
      </c>
      <c r="B2051" s="204">
        <f>VALUE(RIGHT(C2051,LEN(C2051)-2))</f>
        <v>674</v>
      </c>
      <c r="C2051" s="74" t="s">
        <v>7112</v>
      </c>
      <c r="D2051" s="75">
        <v>42814</v>
      </c>
      <c r="E2051" s="70" t="s">
        <v>2961</v>
      </c>
      <c r="F2051" s="70" t="s">
        <v>2961</v>
      </c>
      <c r="G2051" s="68" t="s">
        <v>364</v>
      </c>
      <c r="H2051" s="59"/>
      <c r="I2051" s="162" t="s">
        <v>7113</v>
      </c>
      <c r="J2051" s="162"/>
      <c r="K2051" s="68"/>
      <c r="L2051" s="69" t="s">
        <v>120</v>
      </c>
      <c r="M2051" s="71" t="s">
        <v>141</v>
      </c>
      <c r="N2051" s="69" t="e" vm="1">
        <v>#VALUE!</v>
      </c>
      <c r="O2051" s="164">
        <v>42815</v>
      </c>
      <c r="P2051" s="72" t="s">
        <v>7114</v>
      </c>
      <c r="Q2051" s="72"/>
      <c r="R2051" s="162"/>
      <c r="S2051" s="146"/>
      <c r="T2051" s="68" t="s">
        <v>165</v>
      </c>
      <c r="U2051" s="87"/>
      <c r="V2051" s="183">
        <v>42886</v>
      </c>
      <c r="W2051" s="73">
        <v>120</v>
      </c>
      <c r="X2051" s="73">
        <f>178*26453/1000000</f>
        <v>4.708634</v>
      </c>
      <c r="Y2051" s="83">
        <f>IF(SUM(W2051:W2051)&gt;0,X2051/SUM(W2051:W2051)*1000000,"N/A")</f>
        <v>39238.616666666661</v>
      </c>
      <c r="Z2051" s="183"/>
      <c r="AA2051" s="183"/>
      <c r="AB2051" s="73"/>
      <c r="AC2051" s="153"/>
      <c r="AD2051" s="331"/>
      <c r="AE2051" s="57"/>
      <c r="AF2051" s="88"/>
      <c r="AG2051" s="182">
        <f>YEAR(D2051)</f>
        <v>2017</v>
      </c>
      <c r="AH2051" s="86" t="str">
        <f>+IF(AE2051=$AJ$22,MONTH(T2051),"")</f>
        <v/>
      </c>
      <c r="AI2051" s="86" t="str">
        <f>+IF(AF2051=$AJ$22,MONTH(U2051),"")</f>
        <v/>
      </c>
      <c r="AJ2051" s="86" t="str">
        <f>+IF(AG2051=$AJ$22,MONTH(V2051),"")</f>
        <v/>
      </c>
      <c r="AK2051" s="86" t="str">
        <f>+IF(AG2051=$AK$22,MONTH(V2051),"")</f>
        <v/>
      </c>
      <c r="AL2051" s="86" t="str">
        <f>+IF(AG2051=$AL$22,MONTH(V2051),"")</f>
        <v/>
      </c>
      <c r="AM2051" s="86" t="str">
        <f>+IF($AG2051=$AM$22,MONTH($D2051),"")</f>
        <v/>
      </c>
      <c r="AN2051" s="89" t="str">
        <f>+IF($AG2051=AN$22,MONTH($D2051),"")</f>
        <v/>
      </c>
      <c r="AO2051" s="86" t="str">
        <f>+IF($AG2051=AO$22,MONTH($D2051),"")</f>
        <v/>
      </c>
      <c r="AP2051" s="86" t="str">
        <f>+IF($AG2051=AP$22,MONTH($D2051),"")</f>
        <v/>
      </c>
      <c r="AQ2051" s="86">
        <f>+IF($AG2051=AQ$22,MONTH($D2051),"")</f>
        <v>3</v>
      </c>
      <c r="AR2051" s="86" t="str">
        <f>+IF($AG2051=AR$22,MONTH($D2051),"")</f>
        <v/>
      </c>
      <c r="AS2051" s="86" t="str">
        <f>+IF($AG2051=AS$22,MONTH($D2051),"")</f>
        <v/>
      </c>
      <c r="AT2051" s="86" t="str">
        <f>+IF($AG2051=AT$22,MONTH($D2051),"")</f>
        <v/>
      </c>
      <c r="AU2051" s="86" t="str">
        <f>+IF($AG2051=AU$22,MONTH($D2051),"")</f>
        <v/>
      </c>
      <c r="AV2051" s="86" t="str">
        <f>+IF($AG2051=AV$22,MONTH($D2051),"")</f>
        <v/>
      </c>
      <c r="AW2051" s="86" t="str">
        <f>+IF($AG2051=AW$22,MONTH($D2051),"")</f>
        <v/>
      </c>
      <c r="AX2051" s="86" t="str">
        <f>+IF($AG2051=AX$22,MONTH($D2051),"")</f>
        <v/>
      </c>
      <c r="AY2051" s="89"/>
      <c r="AZ2051" s="89"/>
      <c r="BA2051" s="89"/>
      <c r="BB2051" s="89"/>
      <c r="BC2051" s="89"/>
      <c r="BD2051" s="89"/>
      <c r="BE2051" s="89"/>
      <c r="BF2051" s="89"/>
      <c r="BG2051" s="89"/>
      <c r="BH2051" s="89"/>
      <c r="BI2051" s="89"/>
      <c r="BJ2051" s="89"/>
      <c r="BK2051" s="89"/>
      <c r="BL2051" s="89"/>
      <c r="BM2051" s="89"/>
      <c r="BN2051" s="89"/>
      <c r="BO2051" s="89"/>
      <c r="BP2051" s="89"/>
    </row>
    <row r="2052" spans="1:68" s="56" customFormat="1" ht="13.5" hidden="1">
      <c r="A2052" s="204" t="str">
        <f>+IFERROR(VALUE(MID(AB2052,4,4)),"")</f>
        <v/>
      </c>
      <c r="B2052" s="204">
        <f>VALUE(RIGHT(C2052,LEN(C2052)-2))</f>
        <v>673</v>
      </c>
      <c r="C2052" s="74" t="s">
        <v>7115</v>
      </c>
      <c r="D2052" s="75">
        <v>42810</v>
      </c>
      <c r="E2052" s="70" t="s">
        <v>53</v>
      </c>
      <c r="F2052" s="70" t="s">
        <v>287</v>
      </c>
      <c r="G2052" s="68"/>
      <c r="H2052" s="59"/>
      <c r="I2052" s="162" t="s">
        <v>7116</v>
      </c>
      <c r="J2052" s="162"/>
      <c r="K2052" s="68"/>
      <c r="L2052" s="69" t="s">
        <v>120</v>
      </c>
      <c r="M2052" s="71" t="s">
        <v>141</v>
      </c>
      <c r="N2052" s="69" t="e" vm="1">
        <v>#VALUE!</v>
      </c>
      <c r="O2052" s="164"/>
      <c r="P2052" s="72" t="s">
        <v>7117</v>
      </c>
      <c r="Q2052" s="72"/>
      <c r="R2052" s="162"/>
      <c r="S2052" s="146"/>
      <c r="T2052" s="68" t="s">
        <v>155</v>
      </c>
      <c r="U2052" s="87"/>
      <c r="V2052" s="183">
        <v>42817</v>
      </c>
      <c r="W2052" s="73"/>
      <c r="X2052" s="73"/>
      <c r="Y2052" s="83"/>
      <c r="Z2052" s="183"/>
      <c r="AA2052" s="183"/>
      <c r="AB2052" s="73"/>
      <c r="AC2052" s="153"/>
      <c r="AD2052" s="331"/>
      <c r="AE2052" s="57"/>
      <c r="AF2052" s="88"/>
      <c r="AG2052" s="182">
        <f>YEAR(D2052)</f>
        <v>2017</v>
      </c>
      <c r="AH2052" s="86" t="str">
        <f>+IF(AE2052=$AJ$22,MONTH(T2052),"")</f>
        <v/>
      </c>
      <c r="AI2052" s="86" t="str">
        <f>+IF(AF2052=$AJ$22,MONTH(U2052),"")</f>
        <v/>
      </c>
      <c r="AJ2052" s="86" t="str">
        <f>+IF(AG2052=$AJ$22,MONTH(V2052),"")</f>
        <v/>
      </c>
      <c r="AK2052" s="86" t="str">
        <f>+IF(AG2052=$AK$22,MONTH(V2052),"")</f>
        <v/>
      </c>
      <c r="AL2052" s="86" t="str">
        <f>+IF(AG2052=$AL$22,MONTH(V2052),"")</f>
        <v/>
      </c>
      <c r="AM2052" s="86" t="str">
        <f>+IF($AG2052=$AM$22,MONTH($D2052),"")</f>
        <v/>
      </c>
      <c r="AN2052" s="89" t="str">
        <f>+IF($AG2052=AN$22,MONTH($D2052),"")</f>
        <v/>
      </c>
      <c r="AO2052" s="86" t="str">
        <f>+IF($AG2052=AO$22,MONTH($D2052),"")</f>
        <v/>
      </c>
      <c r="AP2052" s="86" t="str">
        <f>+IF($AG2052=AP$22,MONTH($D2052),"")</f>
        <v/>
      </c>
      <c r="AQ2052" s="86">
        <f>+IF($AG2052=AQ$22,MONTH($D2052),"")</f>
        <v>3</v>
      </c>
      <c r="AR2052" s="86" t="str">
        <f>+IF($AG2052=AR$22,MONTH($D2052),"")</f>
        <v/>
      </c>
      <c r="AS2052" s="86" t="str">
        <f>+IF($AG2052=AS$22,MONTH($D2052),"")</f>
        <v/>
      </c>
      <c r="AT2052" s="86" t="str">
        <f>+IF($AG2052=AT$22,MONTH($D2052),"")</f>
        <v/>
      </c>
      <c r="AU2052" s="86" t="str">
        <f>+IF($AG2052=AU$22,MONTH($D2052),"")</f>
        <v/>
      </c>
      <c r="AV2052" s="86" t="str">
        <f>+IF($AG2052=AV$22,MONTH($D2052),"")</f>
        <v/>
      </c>
      <c r="AW2052" s="86" t="str">
        <f>+IF($AG2052=AW$22,MONTH($D2052),"")</f>
        <v/>
      </c>
      <c r="AX2052" s="86" t="str">
        <f>+IF($AG2052=AX$22,MONTH($D2052),"")</f>
        <v/>
      </c>
      <c r="AY2052" s="89"/>
      <c r="AZ2052" s="89"/>
      <c r="BA2052" s="89"/>
      <c r="BB2052" s="89"/>
      <c r="BC2052" s="89"/>
      <c r="BD2052" s="89"/>
      <c r="BE2052" s="89"/>
      <c r="BF2052" s="89"/>
      <c r="BG2052" s="89"/>
      <c r="BH2052" s="89"/>
      <c r="BI2052" s="89"/>
      <c r="BJ2052" s="89"/>
      <c r="BK2052" s="89"/>
      <c r="BL2052" s="89"/>
      <c r="BM2052" s="89"/>
      <c r="BN2052" s="89"/>
      <c r="BO2052" s="89"/>
      <c r="BP2052" s="89"/>
    </row>
    <row r="2053" spans="1:68" s="56" customFormat="1" ht="13.5" hidden="1">
      <c r="A2053" s="204" t="str">
        <f>+IFERROR(VALUE(MID(AB2053,4,4)),"")</f>
        <v/>
      </c>
      <c r="B2053" s="204">
        <f>VALUE(RIGHT(C2053,LEN(C2053)-2))</f>
        <v>672</v>
      </c>
      <c r="C2053" s="74" t="s">
        <v>7118</v>
      </c>
      <c r="D2053" s="75">
        <v>42810</v>
      </c>
      <c r="E2053" s="70" t="s">
        <v>6389</v>
      </c>
      <c r="F2053" s="70" t="s">
        <v>287</v>
      </c>
      <c r="G2053" s="68"/>
      <c r="H2053" s="59"/>
      <c r="I2053" s="162" t="s">
        <v>7119</v>
      </c>
      <c r="J2053" s="162"/>
      <c r="K2053" s="68"/>
      <c r="L2053" s="69" t="s">
        <v>120</v>
      </c>
      <c r="M2053" s="71" t="s">
        <v>141</v>
      </c>
      <c r="N2053" s="69" t="e" vm="1">
        <v>#VALUE!</v>
      </c>
      <c r="O2053" s="164"/>
      <c r="P2053" s="72"/>
      <c r="Q2053" s="72"/>
      <c r="R2053" s="162"/>
      <c r="S2053" s="146"/>
      <c r="T2053" s="68" t="s">
        <v>155</v>
      </c>
      <c r="U2053" s="87"/>
      <c r="V2053" s="183">
        <v>42817</v>
      </c>
      <c r="W2053" s="73"/>
      <c r="X2053" s="73"/>
      <c r="Y2053" s="83"/>
      <c r="Z2053" s="183"/>
      <c r="AA2053" s="183"/>
      <c r="AB2053" s="73"/>
      <c r="AC2053" s="153"/>
      <c r="AD2053" s="331"/>
      <c r="AE2053" s="57"/>
      <c r="AF2053" s="88"/>
      <c r="AG2053" s="182">
        <f>YEAR(D2053)</f>
        <v>2017</v>
      </c>
      <c r="AH2053" s="86" t="str">
        <f>+IF(AE2053=$AJ$22,MONTH(T2053),"")</f>
        <v/>
      </c>
      <c r="AI2053" s="86" t="str">
        <f>+IF(AF2053=$AJ$22,MONTH(U2053),"")</f>
        <v/>
      </c>
      <c r="AJ2053" s="86" t="str">
        <f>+IF(AG2053=$AJ$22,MONTH(V2053),"")</f>
        <v/>
      </c>
      <c r="AK2053" s="86" t="str">
        <f>+IF(AG2053=$AK$22,MONTH(V2053),"")</f>
        <v/>
      </c>
      <c r="AL2053" s="86" t="str">
        <f>+IF(AG2053=$AL$22,MONTH(V2053),"")</f>
        <v/>
      </c>
      <c r="AM2053" s="86" t="str">
        <f>+IF($AG2053=$AM$22,MONTH($D2053),"")</f>
        <v/>
      </c>
      <c r="AN2053" s="89" t="str">
        <f>+IF($AG2053=AN$22,MONTH($D2053),"")</f>
        <v/>
      </c>
      <c r="AO2053" s="86" t="str">
        <f>+IF($AG2053=AO$22,MONTH($D2053),"")</f>
        <v/>
      </c>
      <c r="AP2053" s="86" t="str">
        <f>+IF($AG2053=AP$22,MONTH($D2053),"")</f>
        <v/>
      </c>
      <c r="AQ2053" s="86">
        <f>+IF($AG2053=AQ$22,MONTH($D2053),"")</f>
        <v>3</v>
      </c>
      <c r="AR2053" s="86" t="str">
        <f>+IF($AG2053=AR$22,MONTH($D2053),"")</f>
        <v/>
      </c>
      <c r="AS2053" s="86" t="str">
        <f>+IF($AG2053=AS$22,MONTH($D2053),"")</f>
        <v/>
      </c>
      <c r="AT2053" s="86" t="str">
        <f>+IF($AG2053=AT$22,MONTH($D2053),"")</f>
        <v/>
      </c>
      <c r="AU2053" s="86" t="str">
        <f>+IF($AG2053=AU$22,MONTH($D2053),"")</f>
        <v/>
      </c>
      <c r="AV2053" s="86" t="str">
        <f>+IF($AG2053=AV$22,MONTH($D2053),"")</f>
        <v/>
      </c>
      <c r="AW2053" s="86" t="str">
        <f>+IF($AG2053=AW$22,MONTH($D2053),"")</f>
        <v/>
      </c>
      <c r="AX2053" s="86" t="str">
        <f>+IF($AG2053=AX$22,MONTH($D2053),"")</f>
        <v/>
      </c>
      <c r="AY2053" s="89"/>
      <c r="AZ2053" s="89"/>
      <c r="BA2053" s="89"/>
      <c r="BB2053" s="89"/>
      <c r="BC2053" s="89"/>
      <c r="BD2053" s="89"/>
      <c r="BE2053" s="89"/>
      <c r="BF2053" s="89"/>
      <c r="BG2053" s="89"/>
      <c r="BH2053" s="89"/>
      <c r="BI2053" s="89"/>
      <c r="BJ2053" s="89"/>
      <c r="BK2053" s="89"/>
      <c r="BL2053" s="89"/>
      <c r="BM2053" s="89"/>
      <c r="BN2053" s="89"/>
      <c r="BO2053" s="89"/>
      <c r="BP2053" s="89"/>
    </row>
    <row r="2054" spans="1:68" s="56" customFormat="1" ht="13.5" hidden="1">
      <c r="A2054" s="204" t="str">
        <f>+IFERROR(VALUE(MID(AB2054,4,4)),"")</f>
        <v/>
      </c>
      <c r="B2054" s="204">
        <f>VALUE(RIGHT(C2054,LEN(C2054)-2))</f>
        <v>671</v>
      </c>
      <c r="C2054" s="74" t="s">
        <v>7120</v>
      </c>
      <c r="D2054" s="75">
        <v>42810</v>
      </c>
      <c r="E2054" s="70" t="s">
        <v>99</v>
      </c>
      <c r="F2054" s="70" t="s">
        <v>99</v>
      </c>
      <c r="G2054" s="68"/>
      <c r="H2054" s="59"/>
      <c r="I2054" s="162" t="s">
        <v>7121</v>
      </c>
      <c r="J2054" s="162"/>
      <c r="K2054" s="68"/>
      <c r="L2054" s="69" t="s">
        <v>120</v>
      </c>
      <c r="M2054" s="71" t="s">
        <v>141</v>
      </c>
      <c r="N2054" s="69" t="e" vm="1">
        <v>#VALUE!</v>
      </c>
      <c r="O2054" s="164"/>
      <c r="P2054" s="72"/>
      <c r="Q2054" s="72"/>
      <c r="R2054" s="162"/>
      <c r="S2054" s="146"/>
      <c r="T2054" s="68" t="s">
        <v>155</v>
      </c>
      <c r="U2054" s="87"/>
      <c r="V2054" s="183">
        <v>42817</v>
      </c>
      <c r="W2054" s="73"/>
      <c r="X2054" s="73"/>
      <c r="Y2054" s="83"/>
      <c r="Z2054" s="183"/>
      <c r="AA2054" s="183"/>
      <c r="AB2054" s="73"/>
      <c r="AC2054" s="153"/>
      <c r="AD2054" s="331"/>
      <c r="AE2054" s="57"/>
      <c r="AF2054" s="88"/>
      <c r="AG2054" s="182">
        <f>YEAR(D2054)</f>
        <v>2017</v>
      </c>
      <c r="AH2054" s="86" t="str">
        <f>+IF(AE2054=$AJ$22,MONTH(T2054),"")</f>
        <v/>
      </c>
      <c r="AI2054" s="86" t="str">
        <f>+IF(AF2054=$AJ$22,MONTH(U2054),"")</f>
        <v/>
      </c>
      <c r="AJ2054" s="86" t="str">
        <f>+IF(AG2054=$AJ$22,MONTH(V2054),"")</f>
        <v/>
      </c>
      <c r="AK2054" s="86" t="str">
        <f>+IF(AG2054=$AK$22,MONTH(V2054),"")</f>
        <v/>
      </c>
      <c r="AL2054" s="86" t="str">
        <f>+IF(AG2054=$AL$22,MONTH(V2054),"")</f>
        <v/>
      </c>
      <c r="AM2054" s="86" t="str">
        <f>+IF($AG2054=$AM$22,MONTH($D2054),"")</f>
        <v/>
      </c>
      <c r="AN2054" s="89" t="str">
        <f>+IF($AG2054=AN$22,MONTH($D2054),"")</f>
        <v/>
      </c>
      <c r="AO2054" s="86" t="str">
        <f>+IF($AG2054=AO$22,MONTH($D2054),"")</f>
        <v/>
      </c>
      <c r="AP2054" s="86" t="str">
        <f>+IF($AG2054=AP$22,MONTH($D2054),"")</f>
        <v/>
      </c>
      <c r="AQ2054" s="86">
        <f>+IF($AG2054=AQ$22,MONTH($D2054),"")</f>
        <v>3</v>
      </c>
      <c r="AR2054" s="86" t="str">
        <f>+IF($AG2054=AR$22,MONTH($D2054),"")</f>
        <v/>
      </c>
      <c r="AS2054" s="86" t="str">
        <f>+IF($AG2054=AS$22,MONTH($D2054),"")</f>
        <v/>
      </c>
      <c r="AT2054" s="86" t="str">
        <f>+IF($AG2054=AT$22,MONTH($D2054),"")</f>
        <v/>
      </c>
      <c r="AU2054" s="86" t="str">
        <f>+IF($AG2054=AU$22,MONTH($D2054),"")</f>
        <v/>
      </c>
      <c r="AV2054" s="86" t="str">
        <f>+IF($AG2054=AV$22,MONTH($D2054),"")</f>
        <v/>
      </c>
      <c r="AW2054" s="86" t="str">
        <f>+IF($AG2054=AW$22,MONTH($D2054),"")</f>
        <v/>
      </c>
      <c r="AX2054" s="86" t="str">
        <f>+IF($AG2054=AX$22,MONTH($D2054),"")</f>
        <v/>
      </c>
      <c r="AY2054" s="89"/>
      <c r="AZ2054" s="89"/>
      <c r="BA2054" s="89"/>
      <c r="BB2054" s="89"/>
      <c r="BC2054" s="89"/>
      <c r="BD2054" s="89"/>
      <c r="BE2054" s="89"/>
      <c r="BF2054" s="89"/>
      <c r="BG2054" s="89"/>
      <c r="BH2054" s="89"/>
      <c r="BI2054" s="89"/>
      <c r="BJ2054" s="89"/>
      <c r="BK2054" s="89"/>
      <c r="BL2054" s="89"/>
      <c r="BM2054" s="89"/>
      <c r="BN2054" s="89"/>
      <c r="BO2054" s="89"/>
      <c r="BP2054" s="89"/>
    </row>
    <row r="2055" spans="1:68" s="56" customFormat="1" ht="13.5" hidden="1">
      <c r="A2055" s="204" t="str">
        <f>+IFERROR(VALUE(MID(AB2055,4,4)),"")</f>
        <v/>
      </c>
      <c r="B2055" s="204">
        <f>VALUE(RIGHT(C2055,LEN(C2055)-2))</f>
        <v>670</v>
      </c>
      <c r="C2055" s="74" t="s">
        <v>7122</v>
      </c>
      <c r="D2055" s="75">
        <v>42810</v>
      </c>
      <c r="E2055" s="70"/>
      <c r="F2055" s="70"/>
      <c r="G2055" s="68"/>
      <c r="H2055" s="59"/>
      <c r="I2055" s="162" t="s">
        <v>7123</v>
      </c>
      <c r="J2055" s="162"/>
      <c r="K2055" s="68"/>
      <c r="L2055" s="69" t="s">
        <v>120</v>
      </c>
      <c r="M2055" s="71" t="s">
        <v>141</v>
      </c>
      <c r="N2055" s="69" t="e" vm="1">
        <v>#VALUE!</v>
      </c>
      <c r="O2055" s="164"/>
      <c r="P2055" s="72"/>
      <c r="Q2055" s="72"/>
      <c r="R2055" s="162"/>
      <c r="S2055" s="146"/>
      <c r="T2055" s="68" t="s">
        <v>155</v>
      </c>
      <c r="U2055" s="87"/>
      <c r="V2055" s="183">
        <v>42817</v>
      </c>
      <c r="W2055" s="73"/>
      <c r="X2055" s="73"/>
      <c r="Y2055" s="83"/>
      <c r="Z2055" s="183"/>
      <c r="AA2055" s="183"/>
      <c r="AB2055" s="73"/>
      <c r="AC2055" s="153"/>
      <c r="AD2055" s="331"/>
      <c r="AE2055" s="57"/>
      <c r="AF2055" s="88"/>
      <c r="AG2055" s="182">
        <f>YEAR(D2055)</f>
        <v>2017</v>
      </c>
      <c r="AH2055" s="86" t="str">
        <f>+IF(AE2055=$AJ$22,MONTH(T2055),"")</f>
        <v/>
      </c>
      <c r="AI2055" s="86" t="str">
        <f>+IF(AF2055=$AJ$22,MONTH(U2055),"")</f>
        <v/>
      </c>
      <c r="AJ2055" s="86" t="str">
        <f>+IF(AG2055=$AJ$22,MONTH(V2055),"")</f>
        <v/>
      </c>
      <c r="AK2055" s="86" t="str">
        <f>+IF(AG2055=$AK$22,MONTH(V2055),"")</f>
        <v/>
      </c>
      <c r="AL2055" s="86" t="str">
        <f>+IF(AG2055=$AL$22,MONTH(V2055),"")</f>
        <v/>
      </c>
      <c r="AM2055" s="86" t="str">
        <f>+IF($AG2055=$AM$22,MONTH($D2055),"")</f>
        <v/>
      </c>
      <c r="AN2055" s="89" t="str">
        <f>+IF($AG2055=AN$22,MONTH($D2055),"")</f>
        <v/>
      </c>
      <c r="AO2055" s="86" t="str">
        <f>+IF($AG2055=AO$22,MONTH($D2055),"")</f>
        <v/>
      </c>
      <c r="AP2055" s="86" t="str">
        <f>+IF($AG2055=AP$22,MONTH($D2055),"")</f>
        <v/>
      </c>
      <c r="AQ2055" s="86">
        <f>+IF($AG2055=AQ$22,MONTH($D2055),"")</f>
        <v>3</v>
      </c>
      <c r="AR2055" s="86" t="str">
        <f>+IF($AG2055=AR$22,MONTH($D2055),"")</f>
        <v/>
      </c>
      <c r="AS2055" s="86" t="str">
        <f>+IF($AG2055=AS$22,MONTH($D2055),"")</f>
        <v/>
      </c>
      <c r="AT2055" s="86" t="str">
        <f>+IF($AG2055=AT$22,MONTH($D2055),"")</f>
        <v/>
      </c>
      <c r="AU2055" s="86" t="str">
        <f>+IF($AG2055=AU$22,MONTH($D2055),"")</f>
        <v/>
      </c>
      <c r="AV2055" s="86" t="str">
        <f>+IF($AG2055=AV$22,MONTH($D2055),"")</f>
        <v/>
      </c>
      <c r="AW2055" s="86" t="str">
        <f>+IF($AG2055=AW$22,MONTH($D2055),"")</f>
        <v/>
      </c>
      <c r="AX2055" s="86" t="str">
        <f>+IF($AG2055=AX$22,MONTH($D2055),"")</f>
        <v/>
      </c>
      <c r="AY2055" s="89"/>
      <c r="AZ2055" s="89"/>
      <c r="BA2055" s="89"/>
      <c r="BB2055" s="89"/>
      <c r="BC2055" s="89"/>
      <c r="BD2055" s="89"/>
      <c r="BE2055" s="89"/>
      <c r="BF2055" s="89"/>
      <c r="BG2055" s="89"/>
      <c r="BH2055" s="89"/>
      <c r="BI2055" s="89"/>
      <c r="BJ2055" s="89"/>
      <c r="BK2055" s="89"/>
      <c r="BL2055" s="89"/>
      <c r="BM2055" s="89"/>
      <c r="BN2055" s="89"/>
      <c r="BO2055" s="89"/>
      <c r="BP2055" s="89"/>
    </row>
    <row r="2056" spans="1:68" s="56" customFormat="1" ht="13.5" hidden="1">
      <c r="A2056" s="204">
        <f>+IFERROR(VALUE(MID(AB2056,4,4)),"")</f>
        <v>168</v>
      </c>
      <c r="B2056" s="204">
        <f>VALUE(RIGHT(C2056,LEN(C2056)-2))</f>
        <v>669</v>
      </c>
      <c r="C2056" s="74" t="s">
        <v>7124</v>
      </c>
      <c r="D2056" s="75">
        <v>42803</v>
      </c>
      <c r="E2056" s="70" t="s">
        <v>2961</v>
      </c>
      <c r="F2056" s="70" t="s">
        <v>2961</v>
      </c>
      <c r="G2056" s="68" t="s">
        <v>364</v>
      </c>
      <c r="H2056" s="59"/>
      <c r="I2056" s="162" t="s">
        <v>7125</v>
      </c>
      <c r="J2056" s="162"/>
      <c r="K2056" s="68" t="s">
        <v>31</v>
      </c>
      <c r="L2056" s="69" t="s">
        <v>120</v>
      </c>
      <c r="M2056" s="71" t="s">
        <v>141</v>
      </c>
      <c r="N2056" s="69" t="e" vm="1">
        <v>#VALUE!</v>
      </c>
      <c r="O2056" s="164">
        <v>42804</v>
      </c>
      <c r="P2056" s="72" t="s">
        <v>402</v>
      </c>
      <c r="Q2056" s="72"/>
      <c r="R2056" s="162"/>
      <c r="S2056" s="146" t="s">
        <v>7126</v>
      </c>
      <c r="T2056" s="68" t="s">
        <v>3</v>
      </c>
      <c r="U2056" s="87"/>
      <c r="V2056" s="183">
        <v>42886</v>
      </c>
      <c r="W2056" s="73">
        <v>1</v>
      </c>
      <c r="X2056" s="73"/>
      <c r="Y2056" s="83">
        <f>IF(SUM(W2056:W2056)&gt;0,X2056/SUM(W2056:W2056)*1000000,"N/A")</f>
        <v>0</v>
      </c>
      <c r="Z2056" s="183"/>
      <c r="AA2056" s="183"/>
      <c r="AB2056" s="73" t="s">
        <v>7127</v>
      </c>
      <c r="AC2056" s="153"/>
      <c r="AD2056" s="331"/>
      <c r="AE2056" s="57"/>
      <c r="AF2056" s="88"/>
      <c r="AG2056" s="182">
        <f>YEAR(D2056)</f>
        <v>2017</v>
      </c>
      <c r="AH2056" s="86" t="str">
        <f>+IF(AE2056=$AJ$22,MONTH(T2056),"")</f>
        <v/>
      </c>
      <c r="AI2056" s="86" t="str">
        <f>+IF(AF2056=$AJ$22,MONTH(U2056),"")</f>
        <v/>
      </c>
      <c r="AJ2056" s="86" t="str">
        <f>+IF(AG2056=$AJ$22,MONTH(V2056),"")</f>
        <v/>
      </c>
      <c r="AK2056" s="86" t="str">
        <f>+IF(AG2056=$AK$22,MONTH(V2056),"")</f>
        <v/>
      </c>
      <c r="AL2056" s="86" t="str">
        <f>+IF(AG2056=$AL$22,MONTH(V2056),"")</f>
        <v/>
      </c>
      <c r="AM2056" s="86" t="str">
        <f>+IF($AG2056=$AM$22,MONTH($D2056),"")</f>
        <v/>
      </c>
      <c r="AN2056" s="89" t="str">
        <f>+IF($AG2056=AN$22,MONTH($D2056),"")</f>
        <v/>
      </c>
      <c r="AO2056" s="86" t="str">
        <f>+IF($AG2056=AO$22,MONTH($D2056),"")</f>
        <v/>
      </c>
      <c r="AP2056" s="86" t="str">
        <f>+IF($AG2056=AP$22,MONTH($D2056),"")</f>
        <v/>
      </c>
      <c r="AQ2056" s="86">
        <f>+IF($AG2056=AQ$22,MONTH($D2056),"")</f>
        <v>3</v>
      </c>
      <c r="AR2056" s="86" t="str">
        <f>+IF($AG2056=AR$22,MONTH($D2056),"")</f>
        <v/>
      </c>
      <c r="AS2056" s="86" t="str">
        <f>+IF($AG2056=AS$22,MONTH($D2056),"")</f>
        <v/>
      </c>
      <c r="AT2056" s="86" t="str">
        <f>+IF($AG2056=AT$22,MONTH($D2056),"")</f>
        <v/>
      </c>
      <c r="AU2056" s="86" t="str">
        <f>+IF($AG2056=AU$22,MONTH($D2056),"")</f>
        <v/>
      </c>
      <c r="AV2056" s="86" t="str">
        <f>+IF($AG2056=AV$22,MONTH($D2056),"")</f>
        <v/>
      </c>
      <c r="AW2056" s="86" t="str">
        <f>+IF($AG2056=AW$22,MONTH($D2056),"")</f>
        <v/>
      </c>
      <c r="AX2056" s="86" t="str">
        <f>+IF($AG2056=AX$22,MONTH($D2056),"")</f>
        <v/>
      </c>
      <c r="AY2056" s="89"/>
      <c r="AZ2056" s="89"/>
      <c r="BA2056" s="89"/>
      <c r="BB2056" s="89"/>
      <c r="BC2056" s="89"/>
      <c r="BD2056" s="89"/>
      <c r="BE2056" s="89"/>
      <c r="BF2056" s="89"/>
      <c r="BG2056" s="89"/>
      <c r="BH2056" s="89"/>
      <c r="BI2056" s="89"/>
      <c r="BJ2056" s="89"/>
      <c r="BK2056" s="89"/>
      <c r="BL2056" s="89"/>
      <c r="BM2056" s="89"/>
      <c r="BN2056" s="89"/>
      <c r="BO2056" s="89"/>
      <c r="BP2056" s="89"/>
    </row>
    <row r="2057" spans="1:68" s="56" customFormat="1" ht="13.5" hidden="1">
      <c r="A2057" s="204" t="str">
        <f>+IFERROR(VALUE(MID(AB2057,4,4)),"")</f>
        <v/>
      </c>
      <c r="B2057" s="204">
        <f>VALUE(RIGHT(C2057,LEN(C2057)-2))</f>
        <v>668</v>
      </c>
      <c r="C2057" s="74" t="s">
        <v>7128</v>
      </c>
      <c r="D2057" s="75">
        <v>42803</v>
      </c>
      <c r="E2057" s="70" t="s">
        <v>332</v>
      </c>
      <c r="F2057" s="70" t="s">
        <v>332</v>
      </c>
      <c r="G2057" s="68"/>
      <c r="H2057" s="59"/>
      <c r="I2057" s="162" t="s">
        <v>7129</v>
      </c>
      <c r="J2057" s="162"/>
      <c r="K2057" s="68" t="s">
        <v>13</v>
      </c>
      <c r="L2057" s="69" t="s">
        <v>120</v>
      </c>
      <c r="M2057" s="71" t="s">
        <v>141</v>
      </c>
      <c r="N2057" s="69" t="e" vm="1">
        <v>#VALUE!</v>
      </c>
      <c r="O2057" s="164"/>
      <c r="P2057" s="72" t="s">
        <v>7117</v>
      </c>
      <c r="Q2057" s="72"/>
      <c r="R2057" s="162"/>
      <c r="S2057" s="146" t="s">
        <v>7130</v>
      </c>
      <c r="T2057" s="68" t="s">
        <v>155</v>
      </c>
      <c r="U2057" s="87"/>
      <c r="V2057" s="183">
        <v>42886</v>
      </c>
      <c r="W2057" s="73"/>
      <c r="X2057" s="73"/>
      <c r="Y2057" s="83"/>
      <c r="Z2057" s="183"/>
      <c r="AA2057" s="183"/>
      <c r="AB2057" s="73"/>
      <c r="AC2057" s="153"/>
      <c r="AD2057" s="331"/>
      <c r="AE2057" s="57"/>
      <c r="AF2057" s="88"/>
      <c r="AG2057" s="182">
        <f>YEAR(D2057)</f>
        <v>2017</v>
      </c>
      <c r="AH2057" s="86" t="str">
        <f>+IF(AE2057=$AJ$22,MONTH(T2057),"")</f>
        <v/>
      </c>
      <c r="AI2057" s="86" t="str">
        <f>+IF(AF2057=$AJ$22,MONTH(U2057),"")</f>
        <v/>
      </c>
      <c r="AJ2057" s="86" t="str">
        <f>+IF(AG2057=$AJ$22,MONTH(V2057),"")</f>
        <v/>
      </c>
      <c r="AK2057" s="86" t="str">
        <f>+IF(AG2057=$AK$22,MONTH(V2057),"")</f>
        <v/>
      </c>
      <c r="AL2057" s="86" t="str">
        <f>+IF(AG2057=$AL$22,MONTH(V2057),"")</f>
        <v/>
      </c>
      <c r="AM2057" s="86" t="str">
        <f>+IF($AG2057=$AM$22,MONTH($D2057),"")</f>
        <v/>
      </c>
      <c r="AN2057" s="89" t="str">
        <f>+IF($AG2057=AN$22,MONTH($D2057),"")</f>
        <v/>
      </c>
      <c r="AO2057" s="86" t="str">
        <f>+IF($AG2057=AO$22,MONTH($D2057),"")</f>
        <v/>
      </c>
      <c r="AP2057" s="86" t="str">
        <f>+IF($AG2057=AP$22,MONTH($D2057),"")</f>
        <v/>
      </c>
      <c r="AQ2057" s="86">
        <f>+IF($AG2057=AQ$22,MONTH($D2057),"")</f>
        <v>3</v>
      </c>
      <c r="AR2057" s="86" t="str">
        <f>+IF($AG2057=AR$22,MONTH($D2057),"")</f>
        <v/>
      </c>
      <c r="AS2057" s="86" t="str">
        <f>+IF($AG2057=AS$22,MONTH($D2057),"")</f>
        <v/>
      </c>
      <c r="AT2057" s="86" t="str">
        <f>+IF($AG2057=AT$22,MONTH($D2057),"")</f>
        <v/>
      </c>
      <c r="AU2057" s="86" t="str">
        <f>+IF($AG2057=AU$22,MONTH($D2057),"")</f>
        <v/>
      </c>
      <c r="AV2057" s="86" t="str">
        <f>+IF($AG2057=AV$22,MONTH($D2057),"")</f>
        <v/>
      </c>
      <c r="AW2057" s="86" t="str">
        <f>+IF($AG2057=AW$22,MONTH($D2057),"")</f>
        <v/>
      </c>
      <c r="AX2057" s="86" t="str">
        <f>+IF($AG2057=AX$22,MONTH($D2057),"")</f>
        <v/>
      </c>
      <c r="AY2057" s="89"/>
      <c r="AZ2057" s="89"/>
      <c r="BA2057" s="89"/>
      <c r="BB2057" s="89"/>
      <c r="BC2057" s="89"/>
      <c r="BD2057" s="89"/>
      <c r="BE2057" s="89"/>
      <c r="BF2057" s="89"/>
      <c r="BG2057" s="89"/>
      <c r="BH2057" s="89"/>
      <c r="BI2057" s="89"/>
      <c r="BJ2057" s="89"/>
      <c r="BK2057" s="89"/>
      <c r="BL2057" s="89"/>
      <c r="BM2057" s="89"/>
      <c r="BN2057" s="89"/>
      <c r="BO2057" s="89"/>
      <c r="BP2057" s="89"/>
    </row>
    <row r="2058" spans="1:68" s="56" customFormat="1" ht="13.5" hidden="1">
      <c r="A2058" s="204">
        <f>+IFERROR(VALUE(MID(AB2058,4,4)),"")</f>
        <v>163</v>
      </c>
      <c r="B2058" s="204">
        <f>VALUE(RIGHT(C2058,LEN(C2058)-2))</f>
        <v>667</v>
      </c>
      <c r="C2058" s="74" t="s">
        <v>7131</v>
      </c>
      <c r="D2058" s="75">
        <v>42802</v>
      </c>
      <c r="E2058" s="70" t="s">
        <v>41</v>
      </c>
      <c r="F2058" s="70" t="s">
        <v>41</v>
      </c>
      <c r="G2058" s="68"/>
      <c r="H2058" s="59"/>
      <c r="I2058" s="162" t="s">
        <v>7132</v>
      </c>
      <c r="J2058" s="162"/>
      <c r="K2058" s="68" t="s">
        <v>13</v>
      </c>
      <c r="L2058" s="69" t="s">
        <v>120</v>
      </c>
      <c r="M2058" s="71" t="s">
        <v>141</v>
      </c>
      <c r="N2058" s="69" t="e" vm="1">
        <v>#VALUE!</v>
      </c>
      <c r="O2058" s="164">
        <v>42802</v>
      </c>
      <c r="P2058" s="72" t="s">
        <v>402</v>
      </c>
      <c r="Q2058" s="72"/>
      <c r="R2058" s="162"/>
      <c r="S2058" s="146"/>
      <c r="T2058" s="68" t="s">
        <v>3</v>
      </c>
      <c r="U2058" s="87"/>
      <c r="V2058" s="183">
        <v>42892</v>
      </c>
      <c r="W2058" s="73">
        <v>468</v>
      </c>
      <c r="X2058" s="73">
        <f>436*26430/1000000</f>
        <v>11.523479999999999</v>
      </c>
      <c r="Y2058" s="83">
        <f>IF(SUM(W2058:W2058)&gt;0,X2058/SUM(W2058:W2058)*1000000,"N/A")</f>
        <v>24622.820512820512</v>
      </c>
      <c r="Z2058" s="183"/>
      <c r="AA2058" s="183"/>
      <c r="AB2058" s="73" t="s">
        <v>7133</v>
      </c>
      <c r="AC2058" s="153"/>
      <c r="AD2058" s="331"/>
      <c r="AE2058" s="57"/>
      <c r="AF2058" s="88"/>
      <c r="AG2058" s="182">
        <f>YEAR(D2058)</f>
        <v>2017</v>
      </c>
      <c r="AH2058" s="86" t="str">
        <f>+IF(AE2058=$AJ$22,MONTH(T2058),"")</f>
        <v/>
      </c>
      <c r="AI2058" s="86" t="str">
        <f>+IF(AF2058=$AJ$22,MONTH(U2058),"")</f>
        <v/>
      </c>
      <c r="AJ2058" s="86" t="str">
        <f>+IF(AG2058=$AJ$22,MONTH(V2058),"")</f>
        <v/>
      </c>
      <c r="AK2058" s="86" t="str">
        <f>+IF(AG2058=$AK$22,MONTH(V2058),"")</f>
        <v/>
      </c>
      <c r="AL2058" s="86" t="str">
        <f>+IF(AG2058=$AL$22,MONTH(V2058),"")</f>
        <v/>
      </c>
      <c r="AM2058" s="86" t="str">
        <f>+IF($AG2058=$AM$22,MONTH($D2058),"")</f>
        <v/>
      </c>
      <c r="AN2058" s="89" t="str">
        <f>+IF($AG2058=AN$22,MONTH($D2058),"")</f>
        <v/>
      </c>
      <c r="AO2058" s="86" t="str">
        <f>+IF($AG2058=AO$22,MONTH($D2058),"")</f>
        <v/>
      </c>
      <c r="AP2058" s="86" t="str">
        <f>+IF($AG2058=AP$22,MONTH($D2058),"")</f>
        <v/>
      </c>
      <c r="AQ2058" s="86">
        <f>+IF($AG2058=AQ$22,MONTH($D2058),"")</f>
        <v>3</v>
      </c>
      <c r="AR2058" s="86" t="str">
        <f>+IF($AG2058=AR$22,MONTH($D2058),"")</f>
        <v/>
      </c>
      <c r="AS2058" s="86" t="str">
        <f>+IF($AG2058=AS$22,MONTH($D2058),"")</f>
        <v/>
      </c>
      <c r="AT2058" s="86" t="str">
        <f>+IF($AG2058=AT$22,MONTH($D2058),"")</f>
        <v/>
      </c>
      <c r="AU2058" s="86" t="str">
        <f>+IF($AG2058=AU$22,MONTH($D2058),"")</f>
        <v/>
      </c>
      <c r="AV2058" s="86" t="str">
        <f>+IF($AG2058=AV$22,MONTH($D2058),"")</f>
        <v/>
      </c>
      <c r="AW2058" s="86" t="str">
        <f>+IF($AG2058=AW$22,MONTH($D2058),"")</f>
        <v/>
      </c>
      <c r="AX2058" s="86" t="str">
        <f>+IF($AG2058=AX$22,MONTH($D2058),"")</f>
        <v/>
      </c>
      <c r="AY2058" s="89"/>
      <c r="AZ2058" s="89"/>
      <c r="BA2058" s="89"/>
      <c r="BB2058" s="89"/>
      <c r="BC2058" s="89"/>
      <c r="BD2058" s="89"/>
      <c r="BE2058" s="89"/>
      <c r="BF2058" s="89"/>
      <c r="BG2058" s="89"/>
      <c r="BH2058" s="89"/>
      <c r="BI2058" s="89"/>
      <c r="BJ2058" s="89"/>
      <c r="BK2058" s="89"/>
      <c r="BL2058" s="89"/>
      <c r="BM2058" s="89"/>
      <c r="BN2058" s="89"/>
      <c r="BO2058" s="89"/>
      <c r="BP2058" s="89"/>
    </row>
    <row r="2059" spans="1:68" s="56" customFormat="1" ht="27" hidden="1">
      <c r="A2059" s="204" t="str">
        <f>+IFERROR(VALUE(MID(AB2059,4,4)),"")</f>
        <v/>
      </c>
      <c r="B2059" s="204">
        <f>VALUE(RIGHT(C2059,LEN(C2059)-2))</f>
        <v>666</v>
      </c>
      <c r="C2059" s="74" t="s">
        <v>7134</v>
      </c>
      <c r="D2059" s="75">
        <v>42802</v>
      </c>
      <c r="E2059" s="70" t="s">
        <v>41</v>
      </c>
      <c r="F2059" s="70" t="s">
        <v>41</v>
      </c>
      <c r="G2059" s="68"/>
      <c r="H2059" s="59"/>
      <c r="I2059" s="162" t="s">
        <v>7135</v>
      </c>
      <c r="J2059" s="162"/>
      <c r="K2059" s="68" t="s">
        <v>13</v>
      </c>
      <c r="L2059" s="69" t="s">
        <v>120</v>
      </c>
      <c r="M2059" s="71" t="s">
        <v>141</v>
      </c>
      <c r="N2059" s="69" t="e" vm="1">
        <v>#VALUE!</v>
      </c>
      <c r="O2059" s="164">
        <v>42802</v>
      </c>
      <c r="P2059" s="72" t="s">
        <v>402</v>
      </c>
      <c r="Q2059" s="72"/>
      <c r="R2059" s="162"/>
      <c r="S2059" s="146"/>
      <c r="T2059" s="68" t="s">
        <v>3</v>
      </c>
      <c r="U2059" s="87"/>
      <c r="V2059" s="183">
        <v>42886</v>
      </c>
      <c r="W2059" s="73">
        <v>810</v>
      </c>
      <c r="X2059" s="73">
        <f>913*26430/1000000</f>
        <v>24.130590000000002</v>
      </c>
      <c r="Y2059" s="83">
        <f>IF(SUM(W2059:W2059)&gt;0,X2059/SUM(W2059:W2059)*1000000,"N/A")</f>
        <v>29790.851851851854</v>
      </c>
      <c r="Z2059" s="183"/>
      <c r="AA2059" s="183"/>
      <c r="AB2059" s="73"/>
      <c r="AC2059" s="153"/>
      <c r="AD2059" s="331"/>
      <c r="AE2059" s="57"/>
      <c r="AF2059" s="88"/>
      <c r="AG2059" s="182">
        <f>YEAR(D2059)</f>
        <v>2017</v>
      </c>
      <c r="AH2059" s="86" t="str">
        <f>+IF(AE2059=$AJ$22,MONTH(T2059),"")</f>
        <v/>
      </c>
      <c r="AI2059" s="86" t="str">
        <f>+IF(AF2059=$AJ$22,MONTH(U2059),"")</f>
        <v/>
      </c>
      <c r="AJ2059" s="86" t="str">
        <f>+IF(AG2059=$AJ$22,MONTH(V2059),"")</f>
        <v/>
      </c>
      <c r="AK2059" s="86" t="str">
        <f>+IF(AG2059=$AK$22,MONTH(V2059),"")</f>
        <v/>
      </c>
      <c r="AL2059" s="86" t="str">
        <f>+IF(AG2059=$AL$22,MONTH(V2059),"")</f>
        <v/>
      </c>
      <c r="AM2059" s="86" t="str">
        <f>+IF($AG2059=$AM$22,MONTH($D2059),"")</f>
        <v/>
      </c>
      <c r="AN2059" s="89" t="str">
        <f>+IF($AG2059=AN$22,MONTH($D2059),"")</f>
        <v/>
      </c>
      <c r="AO2059" s="86" t="str">
        <f>+IF($AG2059=AO$22,MONTH($D2059),"")</f>
        <v/>
      </c>
      <c r="AP2059" s="86" t="str">
        <f>+IF($AG2059=AP$22,MONTH($D2059),"")</f>
        <v/>
      </c>
      <c r="AQ2059" s="86">
        <f>+IF($AG2059=AQ$22,MONTH($D2059),"")</f>
        <v>3</v>
      </c>
      <c r="AR2059" s="86" t="str">
        <f>+IF($AG2059=AR$22,MONTH($D2059),"")</f>
        <v/>
      </c>
      <c r="AS2059" s="86" t="str">
        <f>+IF($AG2059=AS$22,MONTH($D2059),"")</f>
        <v/>
      </c>
      <c r="AT2059" s="86" t="str">
        <f>+IF($AG2059=AT$22,MONTH($D2059),"")</f>
        <v/>
      </c>
      <c r="AU2059" s="86" t="str">
        <f>+IF($AG2059=AU$22,MONTH($D2059),"")</f>
        <v/>
      </c>
      <c r="AV2059" s="86" t="str">
        <f>+IF($AG2059=AV$22,MONTH($D2059),"")</f>
        <v/>
      </c>
      <c r="AW2059" s="86" t="str">
        <f>+IF($AG2059=AW$22,MONTH($D2059),"")</f>
        <v/>
      </c>
      <c r="AX2059" s="86" t="str">
        <f>+IF($AG2059=AX$22,MONTH($D2059),"")</f>
        <v/>
      </c>
      <c r="AY2059" s="89"/>
      <c r="AZ2059" s="89"/>
      <c r="BA2059" s="89"/>
      <c r="BB2059" s="89"/>
      <c r="BC2059" s="89"/>
      <c r="BD2059" s="89"/>
      <c r="BE2059" s="89"/>
      <c r="BF2059" s="89"/>
      <c r="BG2059" s="89"/>
      <c r="BH2059" s="89"/>
      <c r="BI2059" s="89"/>
      <c r="BJ2059" s="89"/>
      <c r="BK2059" s="89"/>
      <c r="BL2059" s="89"/>
      <c r="BM2059" s="89"/>
      <c r="BN2059" s="89"/>
      <c r="BO2059" s="89"/>
      <c r="BP2059" s="89"/>
    </row>
    <row r="2060" spans="1:68" s="56" customFormat="1" ht="13.5" hidden="1">
      <c r="A2060" s="204">
        <f>+IFERROR(VALUE(MID(AB2060,4,4)),"")</f>
        <v>154</v>
      </c>
      <c r="B2060" s="204">
        <f>VALUE(RIGHT(C2060,LEN(C2060)-2))</f>
        <v>665</v>
      </c>
      <c r="C2060" s="74" t="s">
        <v>7136</v>
      </c>
      <c r="D2060" s="75">
        <v>42796</v>
      </c>
      <c r="E2060" s="70" t="s">
        <v>53</v>
      </c>
      <c r="F2060" s="70" t="s">
        <v>287</v>
      </c>
      <c r="G2060" s="68"/>
      <c r="H2060" s="59"/>
      <c r="I2060" s="162" t="s">
        <v>7137</v>
      </c>
      <c r="J2060" s="162"/>
      <c r="K2060" s="68" t="s">
        <v>12</v>
      </c>
      <c r="L2060" s="69" t="s">
        <v>120</v>
      </c>
      <c r="M2060" s="71" t="s">
        <v>141</v>
      </c>
      <c r="N2060" s="69" t="e" vm="1">
        <v>#VALUE!</v>
      </c>
      <c r="O2060" s="164">
        <v>42797</v>
      </c>
      <c r="P2060" s="72" t="s">
        <v>402</v>
      </c>
      <c r="Q2060" s="72"/>
      <c r="R2060" s="162"/>
      <c r="S2060" s="146"/>
      <c r="T2060" s="68" t="s">
        <v>3</v>
      </c>
      <c r="U2060" s="87"/>
      <c r="V2060" s="183">
        <v>42800</v>
      </c>
      <c r="W2060" s="73">
        <v>524</v>
      </c>
      <c r="X2060" s="73">
        <f>720*26420/1000000</f>
        <v>19.022400000000001</v>
      </c>
      <c r="Y2060" s="83">
        <f>IF(SUM(W2060:W2060)&gt;0,X2060/SUM(W2060:W2060)*1000000,"N/A")</f>
        <v>36302.290076335885</v>
      </c>
      <c r="Z2060" s="183"/>
      <c r="AA2060" s="183"/>
      <c r="AB2060" s="73" t="s">
        <v>7138</v>
      </c>
      <c r="AC2060" s="153"/>
      <c r="AD2060" s="331"/>
      <c r="AE2060" s="57"/>
      <c r="AF2060" s="88"/>
      <c r="AG2060" s="182">
        <f>YEAR(D2060)</f>
        <v>2017</v>
      </c>
      <c r="AH2060" s="86" t="str">
        <f>+IF(AE2060=$AJ$22,MONTH(T2060),"")</f>
        <v/>
      </c>
      <c r="AI2060" s="86" t="str">
        <f>+IF(AF2060=$AJ$22,MONTH(U2060),"")</f>
        <v/>
      </c>
      <c r="AJ2060" s="86" t="str">
        <f>+IF(AG2060=$AJ$22,MONTH(V2060),"")</f>
        <v/>
      </c>
      <c r="AK2060" s="86" t="str">
        <f>+IF(AG2060=$AK$22,MONTH(V2060),"")</f>
        <v/>
      </c>
      <c r="AL2060" s="86" t="str">
        <f>+IF(AG2060=$AL$22,MONTH(V2060),"")</f>
        <v/>
      </c>
      <c r="AM2060" s="86" t="str">
        <f>+IF($AG2060=$AM$22,MONTH($D2060),"")</f>
        <v/>
      </c>
      <c r="AN2060" s="89" t="str">
        <f>+IF($AG2060=AN$22,MONTH($D2060),"")</f>
        <v/>
      </c>
      <c r="AO2060" s="86" t="str">
        <f>+IF($AG2060=AO$22,MONTH($D2060),"")</f>
        <v/>
      </c>
      <c r="AP2060" s="86" t="str">
        <f>+IF($AG2060=AP$22,MONTH($D2060),"")</f>
        <v/>
      </c>
      <c r="AQ2060" s="86">
        <f>+IF($AG2060=AQ$22,MONTH($D2060),"")</f>
        <v>3</v>
      </c>
      <c r="AR2060" s="86" t="str">
        <f>+IF($AG2060=AR$22,MONTH($D2060),"")</f>
        <v/>
      </c>
      <c r="AS2060" s="86" t="str">
        <f>+IF($AG2060=AS$22,MONTH($D2060),"")</f>
        <v/>
      </c>
      <c r="AT2060" s="86" t="str">
        <f>+IF($AG2060=AT$22,MONTH($D2060),"")</f>
        <v/>
      </c>
      <c r="AU2060" s="86" t="str">
        <f>+IF($AG2060=AU$22,MONTH($D2060),"")</f>
        <v/>
      </c>
      <c r="AV2060" s="86" t="str">
        <f>+IF($AG2060=AV$22,MONTH($D2060),"")</f>
        <v/>
      </c>
      <c r="AW2060" s="86" t="str">
        <f>+IF($AG2060=AW$22,MONTH($D2060),"")</f>
        <v/>
      </c>
      <c r="AX2060" s="86" t="str">
        <f>+IF($AG2060=AX$22,MONTH($D2060),"")</f>
        <v/>
      </c>
      <c r="AY2060" s="89"/>
      <c r="AZ2060" s="89"/>
      <c r="BA2060" s="89"/>
      <c r="BB2060" s="89"/>
      <c r="BC2060" s="89"/>
      <c r="BD2060" s="89"/>
      <c r="BE2060" s="89"/>
      <c r="BF2060" s="89"/>
      <c r="BG2060" s="89"/>
      <c r="BH2060" s="89"/>
      <c r="BI2060" s="89"/>
      <c r="BJ2060" s="89"/>
      <c r="BK2060" s="89"/>
      <c r="BL2060" s="89"/>
      <c r="BM2060" s="89"/>
      <c r="BN2060" s="89"/>
      <c r="BO2060" s="89"/>
      <c r="BP2060" s="89"/>
    </row>
    <row r="2061" spans="1:68" s="56" customFormat="1" ht="13.5" hidden="1">
      <c r="A2061" s="204" t="str">
        <f>+IFERROR(VALUE(MID(AB2061,4,4)),"")</f>
        <v/>
      </c>
      <c r="B2061" s="204">
        <f>VALUE(RIGHT(C2061,LEN(C2061)-2))</f>
        <v>664</v>
      </c>
      <c r="C2061" s="74" t="s">
        <v>7139</v>
      </c>
      <c r="D2061" s="75">
        <v>42795</v>
      </c>
      <c r="E2061" s="70" t="s">
        <v>106</v>
      </c>
      <c r="F2061" s="70" t="s">
        <v>106</v>
      </c>
      <c r="G2061" s="68"/>
      <c r="H2061" s="59"/>
      <c r="I2061" s="162" t="s">
        <v>7140</v>
      </c>
      <c r="J2061" s="162"/>
      <c r="K2061" s="68"/>
      <c r="L2061" s="69" t="s">
        <v>120</v>
      </c>
      <c r="M2061" s="71" t="s">
        <v>141</v>
      </c>
      <c r="N2061" s="69" t="e" vm="1">
        <v>#VALUE!</v>
      </c>
      <c r="O2061" s="164">
        <v>42796</v>
      </c>
      <c r="P2061" s="72" t="s">
        <v>402</v>
      </c>
      <c r="Q2061" s="72"/>
      <c r="R2061" s="162"/>
      <c r="S2061" s="146"/>
      <c r="T2061" s="68" t="s">
        <v>165</v>
      </c>
      <c r="U2061" s="87"/>
      <c r="V2061" s="183">
        <v>42886</v>
      </c>
      <c r="W2061" s="73">
        <v>1</v>
      </c>
      <c r="X2061" s="73"/>
      <c r="Y2061" s="83">
        <f>IF(SUM(W2061:W2061)&gt;0,X2061/SUM(W2061:W2061)*1000000,"N/A")</f>
        <v>0</v>
      </c>
      <c r="Z2061" s="183"/>
      <c r="AA2061" s="183"/>
      <c r="AB2061" s="73"/>
      <c r="AC2061" s="153"/>
      <c r="AD2061" s="331"/>
      <c r="AE2061" s="57"/>
      <c r="AF2061" s="88"/>
      <c r="AG2061" s="182">
        <f>YEAR(D2061)</f>
        <v>2017</v>
      </c>
      <c r="AH2061" s="86" t="str">
        <f>+IF(AE2061=$AJ$22,MONTH(T2061),"")</f>
        <v/>
      </c>
      <c r="AI2061" s="86" t="str">
        <f>+IF(AF2061=$AJ$22,MONTH(U2061),"")</f>
        <v/>
      </c>
      <c r="AJ2061" s="86" t="str">
        <f>+IF(AG2061=$AJ$22,MONTH(V2061),"")</f>
        <v/>
      </c>
      <c r="AK2061" s="86" t="str">
        <f>+IF(AG2061=$AK$22,MONTH(V2061),"")</f>
        <v/>
      </c>
      <c r="AL2061" s="86" t="str">
        <f>+IF(AG2061=$AL$22,MONTH(V2061),"")</f>
        <v/>
      </c>
      <c r="AM2061" s="86" t="str">
        <f>+IF($AG2061=$AM$22,MONTH($D2061),"")</f>
        <v/>
      </c>
      <c r="AN2061" s="89" t="str">
        <f>+IF($AG2061=AN$22,MONTH($D2061),"")</f>
        <v/>
      </c>
      <c r="AO2061" s="86" t="str">
        <f>+IF($AG2061=AO$22,MONTH($D2061),"")</f>
        <v/>
      </c>
      <c r="AP2061" s="86" t="str">
        <f>+IF($AG2061=AP$22,MONTH($D2061),"")</f>
        <v/>
      </c>
      <c r="AQ2061" s="86">
        <f>+IF($AG2061=AQ$22,MONTH($D2061),"")</f>
        <v>3</v>
      </c>
      <c r="AR2061" s="86" t="str">
        <f>+IF($AG2061=AR$22,MONTH($D2061),"")</f>
        <v/>
      </c>
      <c r="AS2061" s="86" t="str">
        <f>+IF($AG2061=AS$22,MONTH($D2061),"")</f>
        <v/>
      </c>
      <c r="AT2061" s="86" t="str">
        <f>+IF($AG2061=AT$22,MONTH($D2061),"")</f>
        <v/>
      </c>
      <c r="AU2061" s="86" t="str">
        <f>+IF($AG2061=AU$22,MONTH($D2061),"")</f>
        <v/>
      </c>
      <c r="AV2061" s="86" t="str">
        <f>+IF($AG2061=AV$22,MONTH($D2061),"")</f>
        <v/>
      </c>
      <c r="AW2061" s="86" t="str">
        <f>+IF($AG2061=AW$22,MONTH($D2061),"")</f>
        <v/>
      </c>
      <c r="AX2061" s="86" t="str">
        <f>+IF($AG2061=AX$22,MONTH($D2061),"")</f>
        <v/>
      </c>
      <c r="AY2061" s="89"/>
      <c r="AZ2061" s="89"/>
      <c r="BA2061" s="89"/>
      <c r="BB2061" s="89"/>
      <c r="BC2061" s="89"/>
      <c r="BD2061" s="89"/>
      <c r="BE2061" s="89"/>
      <c r="BF2061" s="89"/>
      <c r="BG2061" s="89"/>
      <c r="BH2061" s="89"/>
      <c r="BI2061" s="89"/>
      <c r="BJ2061" s="89"/>
      <c r="BK2061" s="89"/>
      <c r="BL2061" s="89"/>
      <c r="BM2061" s="89"/>
      <c r="BN2061" s="89"/>
      <c r="BO2061" s="89"/>
      <c r="BP2061" s="89"/>
    </row>
    <row r="2062" spans="1:68" s="56" customFormat="1" ht="13.5" hidden="1">
      <c r="A2062" s="204">
        <f>+IFERROR(VALUE(MID(AB2062,4,4)),"")</f>
        <v>161</v>
      </c>
      <c r="B2062" s="204">
        <f>VALUE(RIGHT(C2062,LEN(C2062)-2))</f>
        <v>663</v>
      </c>
      <c r="C2062" s="74" t="s">
        <v>7141</v>
      </c>
      <c r="D2062" s="75">
        <v>42795</v>
      </c>
      <c r="E2062" s="70" t="s">
        <v>106</v>
      </c>
      <c r="F2062" s="70" t="s">
        <v>106</v>
      </c>
      <c r="G2062" s="68"/>
      <c r="H2062" s="59"/>
      <c r="I2062" s="162" t="s">
        <v>7142</v>
      </c>
      <c r="J2062" s="162"/>
      <c r="K2062" s="68" t="s">
        <v>13</v>
      </c>
      <c r="L2062" s="69" t="s">
        <v>123</v>
      </c>
      <c r="M2062" s="71" t="s">
        <v>141</v>
      </c>
      <c r="N2062" s="69" t="e" vm="1">
        <v>#VALUE!</v>
      </c>
      <c r="O2062" s="164"/>
      <c r="P2062" s="72" t="s">
        <v>402</v>
      </c>
      <c r="Q2062" s="72"/>
      <c r="R2062" s="162"/>
      <c r="S2062" s="146" t="s">
        <v>7143</v>
      </c>
      <c r="T2062" s="68" t="s">
        <v>3</v>
      </c>
      <c r="U2062" s="87"/>
      <c r="V2062" s="183">
        <v>42873</v>
      </c>
      <c r="W2062" s="73">
        <v>2922</v>
      </c>
      <c r="X2062" s="73">
        <f>3084.67*26600/1000000</f>
        <v>82.052222</v>
      </c>
      <c r="Y2062" s="83">
        <f>IF(SUM(W2062:W2062)&gt;0,X2062/SUM(W2062:W2062)*1000000,"N/A")</f>
        <v>28080.842573579743</v>
      </c>
      <c r="Z2062" s="183"/>
      <c r="AA2062" s="183"/>
      <c r="AB2062" s="73" t="s">
        <v>7144</v>
      </c>
      <c r="AC2062" s="153"/>
      <c r="AD2062" s="331"/>
      <c r="AE2062" s="57"/>
      <c r="AF2062" s="88"/>
      <c r="AG2062" s="182">
        <f>YEAR(D2062)</f>
        <v>2017</v>
      </c>
      <c r="AH2062" s="86" t="str">
        <f>+IF(AE2062=$AJ$22,MONTH(T2062),"")</f>
        <v/>
      </c>
      <c r="AI2062" s="86" t="str">
        <f>+IF(AF2062=$AJ$22,MONTH(U2062),"")</f>
        <v/>
      </c>
      <c r="AJ2062" s="86" t="str">
        <f>+IF(AG2062=$AJ$22,MONTH(V2062),"")</f>
        <v/>
      </c>
      <c r="AK2062" s="86" t="str">
        <f>+IF(AG2062=$AK$22,MONTH(V2062),"")</f>
        <v/>
      </c>
      <c r="AL2062" s="86" t="str">
        <f>+IF(AG2062=$AL$22,MONTH(V2062),"")</f>
        <v/>
      </c>
      <c r="AM2062" s="86" t="str">
        <f>+IF($AG2062=$AM$22,MONTH($D2062),"")</f>
        <v/>
      </c>
      <c r="AN2062" s="89" t="str">
        <f>+IF($AG2062=AN$22,MONTH($D2062),"")</f>
        <v/>
      </c>
      <c r="AO2062" s="86" t="str">
        <f>+IF($AG2062=AO$22,MONTH($D2062),"")</f>
        <v/>
      </c>
      <c r="AP2062" s="86" t="str">
        <f>+IF($AG2062=AP$22,MONTH($D2062),"")</f>
        <v/>
      </c>
      <c r="AQ2062" s="86">
        <f>+IF($AG2062=AQ$22,MONTH($D2062),"")</f>
        <v>3</v>
      </c>
      <c r="AR2062" s="86" t="str">
        <f>+IF($AG2062=AR$22,MONTH($D2062),"")</f>
        <v/>
      </c>
      <c r="AS2062" s="86" t="str">
        <f>+IF($AG2062=AS$22,MONTH($D2062),"")</f>
        <v/>
      </c>
      <c r="AT2062" s="86" t="str">
        <f>+IF($AG2062=AT$22,MONTH($D2062),"")</f>
        <v/>
      </c>
      <c r="AU2062" s="86" t="str">
        <f>+IF($AG2062=AU$22,MONTH($D2062),"")</f>
        <v/>
      </c>
      <c r="AV2062" s="86" t="str">
        <f>+IF($AG2062=AV$22,MONTH($D2062),"")</f>
        <v/>
      </c>
      <c r="AW2062" s="86" t="str">
        <f>+IF($AG2062=AW$22,MONTH($D2062),"")</f>
        <v/>
      </c>
      <c r="AX2062" s="86" t="str">
        <f>+IF($AG2062=AX$22,MONTH($D2062),"")</f>
        <v/>
      </c>
      <c r="AY2062" s="89"/>
      <c r="AZ2062" s="89"/>
      <c r="BA2062" s="89"/>
      <c r="BB2062" s="89"/>
      <c r="BC2062" s="89"/>
      <c r="BD2062" s="89"/>
      <c r="BE2062" s="89"/>
      <c r="BF2062" s="89"/>
      <c r="BG2062" s="89"/>
      <c r="BH2062" s="89"/>
      <c r="BI2062" s="89"/>
      <c r="BJ2062" s="89"/>
      <c r="BK2062" s="89"/>
      <c r="BL2062" s="89"/>
      <c r="BM2062" s="89"/>
      <c r="BN2062" s="89"/>
      <c r="BO2062" s="89"/>
      <c r="BP2062" s="89"/>
    </row>
    <row r="2063" spans="1:68" s="56" customFormat="1" ht="27" hidden="1">
      <c r="A2063" s="204" t="str">
        <f>+IFERROR(VALUE(MID(AB2063,4,4)),"")</f>
        <v/>
      </c>
      <c r="B2063" s="204">
        <f>VALUE(RIGHT(C2063,LEN(C2063)-2))</f>
        <v>662</v>
      </c>
      <c r="C2063" s="74" t="s">
        <v>7145</v>
      </c>
      <c r="D2063" s="75">
        <v>42793</v>
      </c>
      <c r="E2063" s="70" t="s">
        <v>332</v>
      </c>
      <c r="F2063" s="70" t="s">
        <v>332</v>
      </c>
      <c r="G2063" s="68"/>
      <c r="H2063" s="59"/>
      <c r="I2063" s="162" t="s">
        <v>7146</v>
      </c>
      <c r="J2063" s="162"/>
      <c r="K2063" s="68" t="s">
        <v>13</v>
      </c>
      <c r="L2063" s="69" t="s">
        <v>120</v>
      </c>
      <c r="M2063" s="71" t="s">
        <v>141</v>
      </c>
      <c r="N2063" s="69" t="e" vm="1">
        <v>#VALUE!</v>
      </c>
      <c r="O2063" s="164"/>
      <c r="P2063" s="72" t="s">
        <v>402</v>
      </c>
      <c r="Q2063" s="72"/>
      <c r="R2063" s="162"/>
      <c r="S2063" s="146" t="s">
        <v>5763</v>
      </c>
      <c r="T2063" s="68" t="s">
        <v>155</v>
      </c>
      <c r="U2063" s="87"/>
      <c r="V2063" s="183">
        <v>42800</v>
      </c>
      <c r="W2063" s="73">
        <v>1690</v>
      </c>
      <c r="X2063" s="73">
        <v>74.290400000000005</v>
      </c>
      <c r="Y2063" s="83">
        <f>IF(SUM(W2063:W2063)&gt;0,X2063/SUM(W2063:W2063)*1000000,"N/A")</f>
        <v>43958.816568047347</v>
      </c>
      <c r="Z2063" s="183"/>
      <c r="AA2063" s="183"/>
      <c r="AB2063" s="73"/>
      <c r="AC2063" s="153"/>
      <c r="AD2063" s="331"/>
      <c r="AE2063" s="57"/>
      <c r="AF2063" s="88"/>
      <c r="AG2063" s="182">
        <f>YEAR(D2063)</f>
        <v>2017</v>
      </c>
      <c r="AH2063" s="86" t="str">
        <f>+IF(AE2063=$AJ$22,MONTH(T2063),"")</f>
        <v/>
      </c>
      <c r="AI2063" s="86" t="str">
        <f>+IF(AF2063=$AJ$22,MONTH(U2063),"")</f>
        <v/>
      </c>
      <c r="AJ2063" s="86" t="str">
        <f>+IF(AG2063=$AJ$22,MONTH(V2063),"")</f>
        <v/>
      </c>
      <c r="AK2063" s="86" t="str">
        <f>+IF(AG2063=$AK$22,MONTH(V2063),"")</f>
        <v/>
      </c>
      <c r="AL2063" s="86" t="str">
        <f>+IF(AG2063=$AL$22,MONTH(V2063),"")</f>
        <v/>
      </c>
      <c r="AM2063" s="86" t="str">
        <f>+IF($AG2063=$AM$22,MONTH($D2063),"")</f>
        <v/>
      </c>
      <c r="AN2063" s="89" t="str">
        <f>+IF($AG2063=AN$22,MONTH($D2063),"")</f>
        <v/>
      </c>
      <c r="AO2063" s="86" t="str">
        <f>+IF($AG2063=AO$22,MONTH($D2063),"")</f>
        <v/>
      </c>
      <c r="AP2063" s="86" t="str">
        <f>+IF($AG2063=AP$22,MONTH($D2063),"")</f>
        <v/>
      </c>
      <c r="AQ2063" s="86">
        <f>+IF($AG2063=AQ$22,MONTH($D2063),"")</f>
        <v>2</v>
      </c>
      <c r="AR2063" s="86" t="str">
        <f>+IF($AG2063=AR$22,MONTH($D2063),"")</f>
        <v/>
      </c>
      <c r="AS2063" s="86" t="str">
        <f>+IF($AG2063=AS$22,MONTH($D2063),"")</f>
        <v/>
      </c>
      <c r="AT2063" s="86" t="str">
        <f>+IF($AG2063=AT$22,MONTH($D2063),"")</f>
        <v/>
      </c>
      <c r="AU2063" s="86" t="str">
        <f>+IF($AG2063=AU$22,MONTH($D2063),"")</f>
        <v/>
      </c>
      <c r="AV2063" s="86" t="str">
        <f>+IF($AG2063=AV$22,MONTH($D2063),"")</f>
        <v/>
      </c>
      <c r="AW2063" s="86" t="str">
        <f>+IF($AG2063=AW$22,MONTH($D2063),"")</f>
        <v/>
      </c>
      <c r="AX2063" s="86" t="str">
        <f>+IF($AG2063=AX$22,MONTH($D2063),"")</f>
        <v/>
      </c>
      <c r="AY2063" s="89"/>
      <c r="AZ2063" s="89"/>
      <c r="BA2063" s="89"/>
      <c r="BB2063" s="89"/>
      <c r="BC2063" s="89"/>
      <c r="BD2063" s="89"/>
      <c r="BE2063" s="89"/>
      <c r="BF2063" s="89"/>
      <c r="BG2063" s="89"/>
      <c r="BH2063" s="89"/>
      <c r="BI2063" s="89"/>
      <c r="BJ2063" s="89"/>
      <c r="BK2063" s="89"/>
      <c r="BL2063" s="89"/>
      <c r="BM2063" s="89"/>
      <c r="BN2063" s="89"/>
      <c r="BO2063" s="89"/>
      <c r="BP2063" s="89"/>
    </row>
    <row r="2064" spans="1:68" s="56" customFormat="1" ht="40.5" hidden="1">
      <c r="A2064" s="204" t="str">
        <f>+IFERROR(VALUE(MID(AB2064,4,4)),"")</f>
        <v/>
      </c>
      <c r="B2064" s="204">
        <f>VALUE(RIGHT(C2064,LEN(C2064)-2))</f>
        <v>661</v>
      </c>
      <c r="C2064" s="74" t="s">
        <v>7147</v>
      </c>
      <c r="D2064" s="75">
        <v>42789</v>
      </c>
      <c r="E2064" s="70" t="s">
        <v>3790</v>
      </c>
      <c r="F2064" s="70" t="s">
        <v>3790</v>
      </c>
      <c r="G2064" s="68"/>
      <c r="H2064" s="59"/>
      <c r="I2064" s="162" t="s">
        <v>7148</v>
      </c>
      <c r="J2064" s="162"/>
      <c r="K2064" s="68"/>
      <c r="L2064" s="69" t="s">
        <v>120</v>
      </c>
      <c r="M2064" s="71" t="s">
        <v>141</v>
      </c>
      <c r="N2064" s="69" t="e" vm="1">
        <v>#VALUE!</v>
      </c>
      <c r="O2064" s="164"/>
      <c r="P2064" s="72" t="s">
        <v>402</v>
      </c>
      <c r="Q2064" s="72"/>
      <c r="R2064" s="162"/>
      <c r="S2064" s="146"/>
      <c r="T2064" s="68" t="s">
        <v>165</v>
      </c>
      <c r="U2064" s="87"/>
      <c r="V2064" s="183">
        <v>42886</v>
      </c>
      <c r="W2064" s="73">
        <v>308</v>
      </c>
      <c r="X2064" s="73">
        <f>820*26420/1000000</f>
        <v>21.664400000000001</v>
      </c>
      <c r="Y2064" s="83">
        <f>IF(SUM(W2064:W2064)&gt;0,X2064/SUM(W2064:W2064)*1000000,"N/A")</f>
        <v>70338.961038961032</v>
      </c>
      <c r="Z2064" s="183"/>
      <c r="AA2064" s="183"/>
      <c r="AB2064" s="73"/>
      <c r="AC2064" s="153"/>
      <c r="AD2064" s="331"/>
      <c r="AE2064" s="57"/>
      <c r="AF2064" s="88"/>
      <c r="AG2064" s="182">
        <f>YEAR(D2064)</f>
        <v>2017</v>
      </c>
      <c r="AH2064" s="86" t="str">
        <f>+IF(AE2064=$AJ$22,MONTH(T2064),"")</f>
        <v/>
      </c>
      <c r="AI2064" s="86" t="str">
        <f>+IF(AF2064=$AJ$22,MONTH(U2064),"")</f>
        <v/>
      </c>
      <c r="AJ2064" s="86" t="str">
        <f>+IF(AG2064=$AJ$22,MONTH(V2064),"")</f>
        <v/>
      </c>
      <c r="AK2064" s="86" t="str">
        <f>+IF(AG2064=$AK$22,MONTH(V2064),"")</f>
        <v/>
      </c>
      <c r="AL2064" s="86" t="str">
        <f>+IF(AG2064=$AL$22,MONTH(V2064),"")</f>
        <v/>
      </c>
      <c r="AM2064" s="86" t="str">
        <f>+IF($AG2064=$AM$22,MONTH($D2064),"")</f>
        <v/>
      </c>
      <c r="AN2064" s="89" t="str">
        <f>+IF($AG2064=AN$22,MONTH($D2064),"")</f>
        <v/>
      </c>
      <c r="AO2064" s="86" t="str">
        <f>+IF($AG2064=AO$22,MONTH($D2064),"")</f>
        <v/>
      </c>
      <c r="AP2064" s="86" t="str">
        <f>+IF($AG2064=AP$22,MONTH($D2064),"")</f>
        <v/>
      </c>
      <c r="AQ2064" s="86">
        <f>+IF($AG2064=AQ$22,MONTH($D2064),"")</f>
        <v>2</v>
      </c>
      <c r="AR2064" s="86" t="str">
        <f>+IF($AG2064=AR$22,MONTH($D2064),"")</f>
        <v/>
      </c>
      <c r="AS2064" s="86" t="str">
        <f>+IF($AG2064=AS$22,MONTH($D2064),"")</f>
        <v/>
      </c>
      <c r="AT2064" s="86" t="str">
        <f>+IF($AG2064=AT$22,MONTH($D2064),"")</f>
        <v/>
      </c>
      <c r="AU2064" s="86" t="str">
        <f>+IF($AG2064=AU$22,MONTH($D2064),"")</f>
        <v/>
      </c>
      <c r="AV2064" s="86" t="str">
        <f>+IF($AG2064=AV$22,MONTH($D2064),"")</f>
        <v/>
      </c>
      <c r="AW2064" s="86" t="str">
        <f>+IF($AG2064=AW$22,MONTH($D2064),"")</f>
        <v/>
      </c>
      <c r="AX2064" s="86" t="str">
        <f>+IF($AG2064=AX$22,MONTH($D2064),"")</f>
        <v/>
      </c>
      <c r="AY2064" s="89"/>
      <c r="AZ2064" s="89"/>
      <c r="BA2064" s="89"/>
      <c r="BB2064" s="89"/>
      <c r="BC2064" s="89"/>
      <c r="BD2064" s="89"/>
      <c r="BE2064" s="89"/>
      <c r="BF2064" s="89"/>
      <c r="BG2064" s="89"/>
      <c r="BH2064" s="89"/>
      <c r="BI2064" s="89"/>
      <c r="BJ2064" s="89"/>
      <c r="BK2064" s="89"/>
      <c r="BL2064" s="89"/>
      <c r="BM2064" s="89"/>
      <c r="BN2064" s="89"/>
      <c r="BO2064" s="89"/>
      <c r="BP2064" s="89"/>
    </row>
    <row r="2065" spans="1:68" s="56" customFormat="1" ht="94.5" hidden="1">
      <c r="A2065" s="204" t="str">
        <f>+IFERROR(VALUE(MID(AB2065,4,4)),"")</f>
        <v/>
      </c>
      <c r="B2065" s="204">
        <f>VALUE(RIGHT(C2065,LEN(C2065)-2))</f>
        <v>660</v>
      </c>
      <c r="C2065" s="74" t="s">
        <v>7149</v>
      </c>
      <c r="D2065" s="75">
        <v>42788</v>
      </c>
      <c r="E2065" s="70" t="s">
        <v>53</v>
      </c>
      <c r="F2065" s="70" t="s">
        <v>53</v>
      </c>
      <c r="G2065" s="68"/>
      <c r="H2065" s="59"/>
      <c r="I2065" s="162" t="s">
        <v>7150</v>
      </c>
      <c r="J2065" s="162"/>
      <c r="K2065" s="68" t="s">
        <v>11</v>
      </c>
      <c r="L2065" s="69" t="s">
        <v>120</v>
      </c>
      <c r="M2065" s="71" t="s">
        <v>141</v>
      </c>
      <c r="N2065" s="69" t="e" vm="1">
        <v>#VALUE!</v>
      </c>
      <c r="O2065" s="164"/>
      <c r="P2065" s="72" t="s">
        <v>402</v>
      </c>
      <c r="Q2065" s="72"/>
      <c r="R2065" s="162"/>
      <c r="S2065" s="146" t="s">
        <v>7151</v>
      </c>
      <c r="T2065" s="68" t="s">
        <v>165</v>
      </c>
      <c r="U2065" s="87"/>
      <c r="V2065" s="183">
        <v>42886</v>
      </c>
      <c r="W2065" s="73">
        <v>1</v>
      </c>
      <c r="X2065" s="73"/>
      <c r="Y2065" s="83">
        <f>IF(SUM(W2065:W2065)&gt;0,X2065/SUM(W2065:W2065)*1000000,"N/A")</f>
        <v>0</v>
      </c>
      <c r="Z2065" s="183"/>
      <c r="AA2065" s="183"/>
      <c r="AB2065" s="73"/>
      <c r="AC2065" s="153"/>
      <c r="AD2065" s="331"/>
      <c r="AE2065" s="57"/>
      <c r="AF2065" s="88"/>
      <c r="AG2065" s="182">
        <f>YEAR(D2065)</f>
        <v>2017</v>
      </c>
      <c r="AH2065" s="86" t="str">
        <f>+IF(AE2065=$AJ$22,MONTH(T2065),"")</f>
        <v/>
      </c>
      <c r="AI2065" s="86" t="str">
        <f>+IF(AF2065=$AJ$22,MONTH(U2065),"")</f>
        <v/>
      </c>
      <c r="AJ2065" s="86" t="str">
        <f>+IF(AG2065=$AJ$22,MONTH(V2065),"")</f>
        <v/>
      </c>
      <c r="AK2065" s="86" t="str">
        <f>+IF(AG2065=$AK$22,MONTH(V2065),"")</f>
        <v/>
      </c>
      <c r="AL2065" s="86" t="str">
        <f>+IF(AG2065=$AL$22,MONTH(V2065),"")</f>
        <v/>
      </c>
      <c r="AM2065" s="86" t="str">
        <f>+IF($AG2065=$AM$22,MONTH($D2065),"")</f>
        <v/>
      </c>
      <c r="AN2065" s="89" t="str">
        <f>+IF($AG2065=AN$22,MONTH($D2065),"")</f>
        <v/>
      </c>
      <c r="AO2065" s="86" t="str">
        <f>+IF($AG2065=AO$22,MONTH($D2065),"")</f>
        <v/>
      </c>
      <c r="AP2065" s="86" t="str">
        <f>+IF($AG2065=AP$22,MONTH($D2065),"")</f>
        <v/>
      </c>
      <c r="AQ2065" s="86">
        <f>+IF($AG2065=AQ$22,MONTH($D2065),"")</f>
        <v>2</v>
      </c>
      <c r="AR2065" s="86" t="str">
        <f>+IF($AG2065=AR$22,MONTH($D2065),"")</f>
        <v/>
      </c>
      <c r="AS2065" s="86" t="str">
        <f>+IF($AG2065=AS$22,MONTH($D2065),"")</f>
        <v/>
      </c>
      <c r="AT2065" s="86" t="str">
        <f>+IF($AG2065=AT$22,MONTH($D2065),"")</f>
        <v/>
      </c>
      <c r="AU2065" s="86" t="str">
        <f>+IF($AG2065=AU$22,MONTH($D2065),"")</f>
        <v/>
      </c>
      <c r="AV2065" s="86" t="str">
        <f>+IF($AG2065=AV$22,MONTH($D2065),"")</f>
        <v/>
      </c>
      <c r="AW2065" s="86" t="str">
        <f>+IF($AG2065=AW$22,MONTH($D2065),"")</f>
        <v/>
      </c>
      <c r="AX2065" s="86" t="str">
        <f>+IF($AG2065=AX$22,MONTH($D2065),"")</f>
        <v/>
      </c>
      <c r="AY2065" s="89"/>
      <c r="AZ2065" s="89"/>
      <c r="BA2065" s="89"/>
      <c r="BB2065" s="89"/>
      <c r="BC2065" s="89"/>
      <c r="BD2065" s="89"/>
      <c r="BE2065" s="89"/>
      <c r="BF2065" s="89"/>
      <c r="BG2065" s="89"/>
      <c r="BH2065" s="89"/>
      <c r="BI2065" s="89"/>
      <c r="BJ2065" s="89"/>
      <c r="BK2065" s="89"/>
      <c r="BL2065" s="89"/>
      <c r="BM2065" s="89"/>
      <c r="BN2065" s="89"/>
      <c r="BO2065" s="89"/>
      <c r="BP2065" s="89"/>
    </row>
    <row r="2066" spans="1:68" s="56" customFormat="1" ht="27" hidden="1">
      <c r="A2066" s="204">
        <f>+IFERROR(VALUE(MID(AB2066,4,4)),"")</f>
        <v>153</v>
      </c>
      <c r="B2066" s="204">
        <f>VALUE(RIGHT(C2066,LEN(C2066)-2))</f>
        <v>659</v>
      </c>
      <c r="C2066" s="74" t="s">
        <v>7152</v>
      </c>
      <c r="D2066" s="75">
        <v>42783</v>
      </c>
      <c r="E2066" s="70" t="s">
        <v>685</v>
      </c>
      <c r="F2066" s="70" t="s">
        <v>685</v>
      </c>
      <c r="G2066" s="68" t="s">
        <v>7029</v>
      </c>
      <c r="H2066" s="59"/>
      <c r="I2066" s="162" t="s">
        <v>7153</v>
      </c>
      <c r="J2066" s="162"/>
      <c r="K2066" s="68" t="s">
        <v>13</v>
      </c>
      <c r="L2066" s="69" t="s">
        <v>120</v>
      </c>
      <c r="M2066" s="71" t="s">
        <v>141</v>
      </c>
      <c r="N2066" s="69" t="e" vm="1">
        <v>#VALUE!</v>
      </c>
      <c r="O2066" s="164">
        <v>42787</v>
      </c>
      <c r="P2066" s="72" t="s">
        <v>402</v>
      </c>
      <c r="Q2066" s="72"/>
      <c r="R2066" s="162"/>
      <c r="S2066" s="146"/>
      <c r="T2066" s="68" t="s">
        <v>3</v>
      </c>
      <c r="U2066" s="87"/>
      <c r="V2066" s="183">
        <v>42420</v>
      </c>
      <c r="W2066" s="73">
        <v>621</v>
      </c>
      <c r="X2066" s="73">
        <f>30518*656/1000000</f>
        <v>20.019808000000001</v>
      </c>
      <c r="Y2066" s="83">
        <f>IF(SUM(W2066:W2066)&gt;0,X2066/SUM(W2066:W2066)*1000000,"N/A")</f>
        <v>32238.016103059585</v>
      </c>
      <c r="Z2066" s="183"/>
      <c r="AA2066" s="183"/>
      <c r="AB2066" s="73" t="s">
        <v>7154</v>
      </c>
      <c r="AC2066" s="153"/>
      <c r="AD2066" s="331"/>
      <c r="AE2066" s="57"/>
      <c r="AF2066" s="88"/>
      <c r="AG2066" s="182">
        <f>YEAR(D2066)</f>
        <v>2017</v>
      </c>
      <c r="AH2066" s="86" t="str">
        <f>+IF(AE2066=$AJ$22,MONTH(T2066),"")</f>
        <v/>
      </c>
      <c r="AI2066" s="86" t="str">
        <f>+IF(AF2066=$AJ$22,MONTH(U2066),"")</f>
        <v/>
      </c>
      <c r="AJ2066" s="86" t="str">
        <f>+IF(AG2066=$AJ$22,MONTH(V2066),"")</f>
        <v/>
      </c>
      <c r="AK2066" s="86" t="str">
        <f>+IF(AG2066=$AK$22,MONTH(V2066),"")</f>
        <v/>
      </c>
      <c r="AL2066" s="86" t="str">
        <f>+IF(AG2066=$AL$22,MONTH(V2066),"")</f>
        <v/>
      </c>
      <c r="AM2066" s="86" t="str">
        <f>+IF($AG2066=$AM$22,MONTH($D2066),"")</f>
        <v/>
      </c>
      <c r="AN2066" s="89" t="str">
        <f>+IF($AG2066=AN$22,MONTH($D2066),"")</f>
        <v/>
      </c>
      <c r="AO2066" s="86" t="str">
        <f>+IF($AG2066=AO$22,MONTH($D2066),"")</f>
        <v/>
      </c>
      <c r="AP2066" s="86" t="str">
        <f>+IF($AG2066=AP$22,MONTH($D2066),"")</f>
        <v/>
      </c>
      <c r="AQ2066" s="86">
        <f>+IF($AG2066=AQ$22,MONTH($D2066),"")</f>
        <v>2</v>
      </c>
      <c r="AR2066" s="86" t="str">
        <f>+IF($AG2066=AR$22,MONTH($D2066),"")</f>
        <v/>
      </c>
      <c r="AS2066" s="86" t="str">
        <f>+IF($AG2066=AS$22,MONTH($D2066),"")</f>
        <v/>
      </c>
      <c r="AT2066" s="86" t="str">
        <f>+IF($AG2066=AT$22,MONTH($D2066),"")</f>
        <v/>
      </c>
      <c r="AU2066" s="86" t="str">
        <f>+IF($AG2066=AU$22,MONTH($D2066),"")</f>
        <v/>
      </c>
      <c r="AV2066" s="86" t="str">
        <f>+IF($AG2066=AV$22,MONTH($D2066),"")</f>
        <v/>
      </c>
      <c r="AW2066" s="86" t="str">
        <f>+IF($AG2066=AW$22,MONTH($D2066),"")</f>
        <v/>
      </c>
      <c r="AX2066" s="86" t="str">
        <f>+IF($AG2066=AX$22,MONTH($D2066),"")</f>
        <v/>
      </c>
      <c r="AY2066" s="89"/>
      <c r="AZ2066" s="89"/>
      <c r="BA2066" s="89"/>
      <c r="BB2066" s="89"/>
      <c r="BC2066" s="89"/>
      <c r="BD2066" s="89"/>
      <c r="BE2066" s="89"/>
      <c r="BF2066" s="89"/>
      <c r="BG2066" s="89"/>
      <c r="BH2066" s="89"/>
      <c r="BI2066" s="89"/>
      <c r="BJ2066" s="89"/>
      <c r="BK2066" s="89"/>
      <c r="BL2066" s="89"/>
      <c r="BM2066" s="89"/>
      <c r="BN2066" s="89"/>
      <c r="BO2066" s="89"/>
      <c r="BP2066" s="89"/>
    </row>
    <row r="2067" spans="1:68" s="56" customFormat="1" ht="67.5" hidden="1">
      <c r="A2067" s="204" t="str">
        <f>+IFERROR(VALUE(MID(AB2067,4,4)),"")</f>
        <v/>
      </c>
      <c r="B2067" s="204">
        <f>VALUE(RIGHT(C2067,LEN(C2067)-2))</f>
        <v>658</v>
      </c>
      <c r="C2067" s="74" t="s">
        <v>7155</v>
      </c>
      <c r="D2067" s="75">
        <v>42783</v>
      </c>
      <c r="E2067" s="70" t="s">
        <v>685</v>
      </c>
      <c r="F2067" s="70" t="s">
        <v>685</v>
      </c>
      <c r="G2067" s="68" t="s">
        <v>7011</v>
      </c>
      <c r="H2067" s="59"/>
      <c r="I2067" s="162" t="s">
        <v>7156</v>
      </c>
      <c r="J2067" s="162"/>
      <c r="K2067" s="68"/>
      <c r="L2067" s="69" t="s">
        <v>120</v>
      </c>
      <c r="M2067" s="71" t="s">
        <v>141</v>
      </c>
      <c r="N2067" s="69" t="e" vm="1">
        <v>#VALUE!</v>
      </c>
      <c r="O2067" s="164"/>
      <c r="P2067" s="72" t="s">
        <v>402</v>
      </c>
      <c r="Q2067" s="72"/>
      <c r="R2067" s="162"/>
      <c r="S2067" s="146" t="s">
        <v>7157</v>
      </c>
      <c r="T2067" s="68" t="s">
        <v>165</v>
      </c>
      <c r="U2067" s="87"/>
      <c r="V2067" s="183">
        <v>42886</v>
      </c>
      <c r="W2067" s="73">
        <v>714</v>
      </c>
      <c r="X2067" s="73">
        <f>36690*640/1000000</f>
        <v>23.4816</v>
      </c>
      <c r="Y2067" s="83">
        <f>IF(SUM(W2067:W2067)&gt;0,X2067/SUM(W2067:W2067)*1000000,"N/A")</f>
        <v>32887.39495798319</v>
      </c>
      <c r="Z2067" s="183"/>
      <c r="AA2067" s="183"/>
      <c r="AB2067" s="73"/>
      <c r="AC2067" s="153"/>
      <c r="AD2067" s="331"/>
      <c r="AE2067" s="57"/>
      <c r="AF2067" s="88"/>
      <c r="AG2067" s="182">
        <f>YEAR(D2067)</f>
        <v>2017</v>
      </c>
      <c r="AH2067" s="86" t="str">
        <f>+IF(AE2067=$AJ$22,MONTH(T2067),"")</f>
        <v/>
      </c>
      <c r="AI2067" s="86" t="str">
        <f>+IF(AF2067=$AJ$22,MONTH(U2067),"")</f>
        <v/>
      </c>
      <c r="AJ2067" s="86" t="str">
        <f>+IF(AG2067=$AJ$22,MONTH(V2067),"")</f>
        <v/>
      </c>
      <c r="AK2067" s="86" t="str">
        <f>+IF(AG2067=$AK$22,MONTH(V2067),"")</f>
        <v/>
      </c>
      <c r="AL2067" s="86" t="str">
        <f>+IF(AG2067=$AL$22,MONTH(V2067),"")</f>
        <v/>
      </c>
      <c r="AM2067" s="86" t="str">
        <f>+IF($AG2067=$AM$22,MONTH($D2067),"")</f>
        <v/>
      </c>
      <c r="AN2067" s="89" t="str">
        <f>+IF($AG2067=AN$22,MONTH($D2067),"")</f>
        <v/>
      </c>
      <c r="AO2067" s="86" t="str">
        <f>+IF($AG2067=AO$22,MONTH($D2067),"")</f>
        <v/>
      </c>
      <c r="AP2067" s="86" t="str">
        <f>+IF($AG2067=AP$22,MONTH($D2067),"")</f>
        <v/>
      </c>
      <c r="AQ2067" s="86">
        <f>+IF($AG2067=AQ$22,MONTH($D2067),"")</f>
        <v>2</v>
      </c>
      <c r="AR2067" s="86" t="str">
        <f>+IF($AG2067=AR$22,MONTH($D2067),"")</f>
        <v/>
      </c>
      <c r="AS2067" s="86" t="str">
        <f>+IF($AG2067=AS$22,MONTH($D2067),"")</f>
        <v/>
      </c>
      <c r="AT2067" s="86" t="str">
        <f>+IF($AG2067=AT$22,MONTH($D2067),"")</f>
        <v/>
      </c>
      <c r="AU2067" s="86" t="str">
        <f>+IF($AG2067=AU$22,MONTH($D2067),"")</f>
        <v/>
      </c>
      <c r="AV2067" s="86" t="str">
        <f>+IF($AG2067=AV$22,MONTH($D2067),"")</f>
        <v/>
      </c>
      <c r="AW2067" s="86" t="str">
        <f>+IF($AG2067=AW$22,MONTH($D2067),"")</f>
        <v/>
      </c>
      <c r="AX2067" s="86" t="str">
        <f>+IF($AG2067=AX$22,MONTH($D2067),"")</f>
        <v/>
      </c>
      <c r="AY2067" s="89"/>
      <c r="AZ2067" s="89"/>
      <c r="BA2067" s="89"/>
      <c r="BB2067" s="89"/>
      <c r="BC2067" s="89"/>
      <c r="BD2067" s="89"/>
      <c r="BE2067" s="89"/>
      <c r="BF2067" s="89"/>
      <c r="BG2067" s="89"/>
      <c r="BH2067" s="89"/>
      <c r="BI2067" s="89"/>
      <c r="BJ2067" s="89"/>
      <c r="BK2067" s="89"/>
      <c r="BL2067" s="89"/>
      <c r="BM2067" s="89"/>
      <c r="BN2067" s="89"/>
      <c r="BO2067" s="89"/>
      <c r="BP2067" s="89"/>
    </row>
    <row r="2068" spans="1:68" s="56" customFormat="1" ht="13.5" hidden="1">
      <c r="A2068" s="204">
        <f>+IFERROR(VALUE(MID(AB2068,4,4)),"")</f>
        <v>155</v>
      </c>
      <c r="B2068" s="204">
        <f>VALUE(RIGHT(C2068,LEN(C2068)-2))</f>
        <v>657</v>
      </c>
      <c r="C2068" s="74" t="s">
        <v>7158</v>
      </c>
      <c r="D2068" s="75">
        <v>42783</v>
      </c>
      <c r="E2068" s="70" t="s">
        <v>685</v>
      </c>
      <c r="F2068" s="70" t="s">
        <v>685</v>
      </c>
      <c r="G2068" s="68" t="s">
        <v>7011</v>
      </c>
      <c r="H2068" s="59"/>
      <c r="I2068" s="162" t="s">
        <v>7159</v>
      </c>
      <c r="J2068" s="162"/>
      <c r="K2068" s="68" t="s">
        <v>27</v>
      </c>
      <c r="L2068" s="69" t="s">
        <v>123</v>
      </c>
      <c r="M2068" s="71" t="s">
        <v>141</v>
      </c>
      <c r="N2068" s="69" t="e" vm="1">
        <v>#VALUE!</v>
      </c>
      <c r="O2068" s="164">
        <v>42802</v>
      </c>
      <c r="P2068" s="72" t="s">
        <v>402</v>
      </c>
      <c r="Q2068" s="72"/>
      <c r="R2068" s="162"/>
      <c r="S2068" s="146"/>
      <c r="T2068" s="68" t="s">
        <v>3</v>
      </c>
      <c r="U2068" s="87"/>
      <c r="V2068" s="183">
        <v>42816</v>
      </c>
      <c r="W2068" s="73">
        <v>2291</v>
      </c>
      <c r="X2068" s="73">
        <f>104877*660/1000000</f>
        <v>69.218819999999994</v>
      </c>
      <c r="Y2068" s="83">
        <f>IF(SUM(W2068:W2068)&gt;0,X2068/SUM(W2068:W2068)*1000000,"N/A")</f>
        <v>30213.365342645131</v>
      </c>
      <c r="Z2068" s="183"/>
      <c r="AA2068" s="183"/>
      <c r="AB2068" s="73" t="s">
        <v>7160</v>
      </c>
      <c r="AC2068" s="153"/>
      <c r="AD2068" s="331"/>
      <c r="AE2068" s="57"/>
      <c r="AF2068" s="88"/>
      <c r="AG2068" s="182">
        <f>YEAR(D2068)</f>
        <v>2017</v>
      </c>
      <c r="AH2068" s="86" t="str">
        <f>+IF(AE2068=$AJ$22,MONTH(T2068),"")</f>
        <v/>
      </c>
      <c r="AI2068" s="86" t="str">
        <f>+IF(AF2068=$AJ$22,MONTH(U2068),"")</f>
        <v/>
      </c>
      <c r="AJ2068" s="86" t="str">
        <f>+IF(AG2068=$AJ$22,MONTH(V2068),"")</f>
        <v/>
      </c>
      <c r="AK2068" s="86" t="str">
        <f>+IF(AG2068=$AK$22,MONTH(V2068),"")</f>
        <v/>
      </c>
      <c r="AL2068" s="86" t="str">
        <f>+IF(AG2068=$AL$22,MONTH(V2068),"")</f>
        <v/>
      </c>
      <c r="AM2068" s="86" t="str">
        <f>+IF($AG2068=$AM$22,MONTH($D2068),"")</f>
        <v/>
      </c>
      <c r="AN2068" s="89" t="str">
        <f>+IF($AG2068=AN$22,MONTH($D2068),"")</f>
        <v/>
      </c>
      <c r="AO2068" s="86" t="str">
        <f>+IF($AG2068=AO$22,MONTH($D2068),"")</f>
        <v/>
      </c>
      <c r="AP2068" s="86" t="str">
        <f>+IF($AG2068=AP$22,MONTH($D2068),"")</f>
        <v/>
      </c>
      <c r="AQ2068" s="86">
        <f>+IF($AG2068=AQ$22,MONTH($D2068),"")</f>
        <v>2</v>
      </c>
      <c r="AR2068" s="86" t="str">
        <f>+IF($AG2068=AR$22,MONTH($D2068),"")</f>
        <v/>
      </c>
      <c r="AS2068" s="86" t="str">
        <f>+IF($AG2068=AS$22,MONTH($D2068),"")</f>
        <v/>
      </c>
      <c r="AT2068" s="86" t="str">
        <f>+IF($AG2068=AT$22,MONTH($D2068),"")</f>
        <v/>
      </c>
      <c r="AU2068" s="86" t="str">
        <f>+IF($AG2068=AU$22,MONTH($D2068),"")</f>
        <v/>
      </c>
      <c r="AV2068" s="86" t="str">
        <f>+IF($AG2068=AV$22,MONTH($D2068),"")</f>
        <v/>
      </c>
      <c r="AW2068" s="86" t="str">
        <f>+IF($AG2068=AW$22,MONTH($D2068),"")</f>
        <v/>
      </c>
      <c r="AX2068" s="86" t="str">
        <f>+IF($AG2068=AX$22,MONTH($D2068),"")</f>
        <v/>
      </c>
      <c r="AY2068" s="89"/>
      <c r="AZ2068" s="89"/>
      <c r="BA2068" s="89"/>
      <c r="BB2068" s="89"/>
      <c r="BC2068" s="89"/>
      <c r="BD2068" s="89"/>
      <c r="BE2068" s="89"/>
      <c r="BF2068" s="89"/>
      <c r="BG2068" s="89"/>
      <c r="BH2068" s="89"/>
      <c r="BI2068" s="89"/>
      <c r="BJ2068" s="89"/>
      <c r="BK2068" s="89"/>
      <c r="BL2068" s="89"/>
      <c r="BM2068" s="89"/>
      <c r="BN2068" s="89"/>
      <c r="BO2068" s="89"/>
      <c r="BP2068" s="89"/>
    </row>
    <row r="2069" spans="1:68" s="56" customFormat="1" ht="40.5" hidden="1">
      <c r="A2069" s="204" t="str">
        <f>+IFERROR(VALUE(MID(AB2069,4,4)),"")</f>
        <v/>
      </c>
      <c r="B2069" s="204">
        <f>VALUE(RIGHT(C2069,LEN(C2069)-2))</f>
        <v>656</v>
      </c>
      <c r="C2069" s="74" t="s">
        <v>7161</v>
      </c>
      <c r="D2069" s="75">
        <v>42783</v>
      </c>
      <c r="E2069" s="70" t="s">
        <v>685</v>
      </c>
      <c r="F2069" s="70" t="s">
        <v>685</v>
      </c>
      <c r="G2069" s="68" t="s">
        <v>7011</v>
      </c>
      <c r="H2069" s="59"/>
      <c r="I2069" s="162" t="s">
        <v>7162</v>
      </c>
      <c r="J2069" s="162"/>
      <c r="K2069" s="68" t="s">
        <v>12</v>
      </c>
      <c r="L2069" s="69" t="s">
        <v>120</v>
      </c>
      <c r="M2069" s="71" t="s">
        <v>141</v>
      </c>
      <c r="N2069" s="69" t="e" vm="1">
        <v>#VALUE!</v>
      </c>
      <c r="O2069" s="164"/>
      <c r="P2069" s="72" t="s">
        <v>402</v>
      </c>
      <c r="Q2069" s="72"/>
      <c r="R2069" s="162"/>
      <c r="S2069" s="146" t="s">
        <v>7163</v>
      </c>
      <c r="T2069" s="68" t="s">
        <v>165</v>
      </c>
      <c r="U2069" s="87"/>
      <c r="V2069" s="183">
        <v>42886</v>
      </c>
      <c r="W2069" s="73">
        <v>1304</v>
      </c>
      <c r="X2069" s="73">
        <f>65060*660/1000000</f>
        <v>42.939599999999999</v>
      </c>
      <c r="Y2069" s="83">
        <f>IF(SUM(W2069:W2069)&gt;0,X2069/SUM(W2069:W2069)*1000000,"N/A")</f>
        <v>32929.141104294475</v>
      </c>
      <c r="Z2069" s="183"/>
      <c r="AA2069" s="183"/>
      <c r="AB2069" s="73"/>
      <c r="AC2069" s="153"/>
      <c r="AD2069" s="331"/>
      <c r="AE2069" s="57"/>
      <c r="AF2069" s="88"/>
      <c r="AG2069" s="182">
        <f>YEAR(D2069)</f>
        <v>2017</v>
      </c>
      <c r="AH2069" s="86" t="str">
        <f>+IF(AE2069=$AJ$22,MONTH(T2069),"")</f>
        <v/>
      </c>
      <c r="AI2069" s="86" t="str">
        <f>+IF(AF2069=$AJ$22,MONTH(U2069),"")</f>
        <v/>
      </c>
      <c r="AJ2069" s="86" t="str">
        <f>+IF(AG2069=$AJ$22,MONTH(V2069),"")</f>
        <v/>
      </c>
      <c r="AK2069" s="86" t="str">
        <f>+IF(AG2069=$AK$22,MONTH(V2069),"")</f>
        <v/>
      </c>
      <c r="AL2069" s="86" t="str">
        <f>+IF(AG2069=$AL$22,MONTH(V2069),"")</f>
        <v/>
      </c>
      <c r="AM2069" s="86" t="str">
        <f>+IF($AG2069=$AM$22,MONTH($D2069),"")</f>
        <v/>
      </c>
      <c r="AN2069" s="89" t="str">
        <f>+IF($AG2069=AN$22,MONTH($D2069),"")</f>
        <v/>
      </c>
      <c r="AO2069" s="86" t="str">
        <f>+IF($AG2069=AO$22,MONTH($D2069),"")</f>
        <v/>
      </c>
      <c r="AP2069" s="86" t="str">
        <f>+IF($AG2069=AP$22,MONTH($D2069),"")</f>
        <v/>
      </c>
      <c r="AQ2069" s="86">
        <f>+IF($AG2069=AQ$22,MONTH($D2069),"")</f>
        <v>2</v>
      </c>
      <c r="AR2069" s="86" t="str">
        <f>+IF($AG2069=AR$22,MONTH($D2069),"")</f>
        <v/>
      </c>
      <c r="AS2069" s="86" t="str">
        <f>+IF($AG2069=AS$22,MONTH($D2069),"")</f>
        <v/>
      </c>
      <c r="AT2069" s="86" t="str">
        <f>+IF($AG2069=AT$22,MONTH($D2069),"")</f>
        <v/>
      </c>
      <c r="AU2069" s="86" t="str">
        <f>+IF($AG2069=AU$22,MONTH($D2069),"")</f>
        <v/>
      </c>
      <c r="AV2069" s="86" t="str">
        <f>+IF($AG2069=AV$22,MONTH($D2069),"")</f>
        <v/>
      </c>
      <c r="AW2069" s="86" t="str">
        <f>+IF($AG2069=AW$22,MONTH($D2069),"")</f>
        <v/>
      </c>
      <c r="AX2069" s="86" t="str">
        <f>+IF($AG2069=AX$22,MONTH($D2069),"")</f>
        <v/>
      </c>
      <c r="AY2069" s="89"/>
      <c r="AZ2069" s="89"/>
      <c r="BA2069" s="89"/>
      <c r="BB2069" s="89"/>
      <c r="BC2069" s="89"/>
      <c r="BD2069" s="89"/>
      <c r="BE2069" s="89"/>
      <c r="BF2069" s="89"/>
      <c r="BG2069" s="89"/>
      <c r="BH2069" s="89"/>
      <c r="BI2069" s="89"/>
      <c r="BJ2069" s="89"/>
      <c r="BK2069" s="89"/>
      <c r="BL2069" s="89"/>
      <c r="BM2069" s="89"/>
      <c r="BN2069" s="89"/>
      <c r="BO2069" s="89"/>
      <c r="BP2069" s="89"/>
    </row>
    <row r="2070" spans="1:68" s="56" customFormat="1" ht="27" hidden="1">
      <c r="A2070" s="204">
        <f>+IFERROR(VALUE(MID(AB2070,4,4)),"")</f>
        <v>113</v>
      </c>
      <c r="B2070" s="204">
        <f>VALUE(RIGHT(C2070,LEN(C2070)-2))</f>
        <v>655</v>
      </c>
      <c r="C2070" s="74" t="s">
        <v>7164</v>
      </c>
      <c r="D2070" s="75">
        <v>42783</v>
      </c>
      <c r="E2070" s="70" t="s">
        <v>41</v>
      </c>
      <c r="F2070" s="70" t="s">
        <v>41</v>
      </c>
      <c r="G2070" s="68"/>
      <c r="H2070" s="59"/>
      <c r="I2070" s="162" t="s">
        <v>7165</v>
      </c>
      <c r="J2070" s="162"/>
      <c r="K2070" s="68" t="s">
        <v>13</v>
      </c>
      <c r="L2070" s="69" t="s">
        <v>123</v>
      </c>
      <c r="M2070" s="71" t="s">
        <v>141</v>
      </c>
      <c r="N2070" s="69" t="e" vm="1">
        <v>#VALUE!</v>
      </c>
      <c r="O2070" s="164">
        <v>42783</v>
      </c>
      <c r="P2070" s="72" t="s">
        <v>402</v>
      </c>
      <c r="Q2070" s="72"/>
      <c r="R2070" s="162"/>
      <c r="S2070" s="146"/>
      <c r="T2070" s="68" t="s">
        <v>3</v>
      </c>
      <c r="U2070" s="87"/>
      <c r="V2070" s="183">
        <v>42420</v>
      </c>
      <c r="W2070" s="73">
        <v>53</v>
      </c>
      <c r="X2070" s="73">
        <f>391*23355/1000000</f>
        <v>9.1318049999999999</v>
      </c>
      <c r="Y2070" s="83">
        <f>IF(SUM(W2070:W2070)&gt;0,X2070/SUM(W2070:W2070)*1000000,"N/A")</f>
        <v>172298.20754716982</v>
      </c>
      <c r="Z2070" s="183"/>
      <c r="AA2070" s="183"/>
      <c r="AB2070" s="73" t="s">
        <v>7166</v>
      </c>
      <c r="AC2070" s="153"/>
      <c r="AD2070" s="331"/>
      <c r="AE2070" s="57"/>
      <c r="AF2070" s="88"/>
      <c r="AG2070" s="182">
        <f>YEAR(D2070)</f>
        <v>2017</v>
      </c>
      <c r="AH2070" s="86" t="str">
        <f>+IF(AE2070=$AJ$22,MONTH(T2070),"")</f>
        <v/>
      </c>
      <c r="AI2070" s="86" t="str">
        <f>+IF(AF2070=$AJ$22,MONTH(U2070),"")</f>
        <v/>
      </c>
      <c r="AJ2070" s="86" t="str">
        <f>+IF(AG2070=$AJ$22,MONTH(V2070),"")</f>
        <v/>
      </c>
      <c r="AK2070" s="86" t="str">
        <f>+IF(AG2070=$AK$22,MONTH(V2070),"")</f>
        <v/>
      </c>
      <c r="AL2070" s="86" t="str">
        <f>+IF(AG2070=$AL$22,MONTH(V2070),"")</f>
        <v/>
      </c>
      <c r="AM2070" s="86" t="str">
        <f>+IF($AG2070=$AM$22,MONTH($D2070),"")</f>
        <v/>
      </c>
      <c r="AN2070" s="89" t="str">
        <f>+IF($AG2070=AN$22,MONTH($D2070),"")</f>
        <v/>
      </c>
      <c r="AO2070" s="86" t="str">
        <f>+IF($AG2070=AO$22,MONTH($D2070),"")</f>
        <v/>
      </c>
      <c r="AP2070" s="86" t="str">
        <f>+IF($AG2070=AP$22,MONTH($D2070),"")</f>
        <v/>
      </c>
      <c r="AQ2070" s="86">
        <f>+IF($AG2070=AQ$22,MONTH($D2070),"")</f>
        <v>2</v>
      </c>
      <c r="AR2070" s="86" t="str">
        <f>+IF($AG2070=AR$22,MONTH($D2070),"")</f>
        <v/>
      </c>
      <c r="AS2070" s="86" t="str">
        <f>+IF($AG2070=AS$22,MONTH($D2070),"")</f>
        <v/>
      </c>
      <c r="AT2070" s="86" t="str">
        <f>+IF($AG2070=AT$22,MONTH($D2070),"")</f>
        <v/>
      </c>
      <c r="AU2070" s="86" t="str">
        <f>+IF($AG2070=AU$22,MONTH($D2070),"")</f>
        <v/>
      </c>
      <c r="AV2070" s="86" t="str">
        <f>+IF($AG2070=AV$22,MONTH($D2070),"")</f>
        <v/>
      </c>
      <c r="AW2070" s="86" t="str">
        <f>+IF($AG2070=AW$22,MONTH($D2070),"")</f>
        <v/>
      </c>
      <c r="AX2070" s="86" t="str">
        <f>+IF($AG2070=AX$22,MONTH($D2070),"")</f>
        <v/>
      </c>
      <c r="AY2070" s="89"/>
      <c r="AZ2070" s="89"/>
      <c r="BA2070" s="89"/>
      <c r="BB2070" s="89"/>
      <c r="BC2070" s="89"/>
      <c r="BD2070" s="89"/>
      <c r="BE2070" s="89"/>
      <c r="BF2070" s="89"/>
      <c r="BG2070" s="89"/>
      <c r="BH2070" s="89"/>
      <c r="BI2070" s="89"/>
      <c r="BJ2070" s="89"/>
      <c r="BK2070" s="89"/>
      <c r="BL2070" s="89"/>
      <c r="BM2070" s="89"/>
      <c r="BN2070" s="89"/>
      <c r="BO2070" s="89"/>
      <c r="BP2070" s="89"/>
    </row>
    <row r="2071" spans="1:68" s="56" customFormat="1" ht="27" hidden="1">
      <c r="A2071" s="204" t="str">
        <f>+IFERROR(VALUE(MID(AB2071,4,4)),"")</f>
        <v/>
      </c>
      <c r="B2071" s="204">
        <f>VALUE(RIGHT(C2071,LEN(C2071)-2))</f>
        <v>654</v>
      </c>
      <c r="C2071" s="74" t="s">
        <v>7167</v>
      </c>
      <c r="D2071" s="75">
        <v>42781</v>
      </c>
      <c r="E2071" s="70" t="s">
        <v>7168</v>
      </c>
      <c r="F2071" s="70" t="s">
        <v>7168</v>
      </c>
      <c r="G2071" s="68"/>
      <c r="H2071" s="59"/>
      <c r="I2071" s="162" t="s">
        <v>7169</v>
      </c>
      <c r="J2071" s="162"/>
      <c r="K2071" s="68"/>
      <c r="L2071" s="69" t="s">
        <v>120</v>
      </c>
      <c r="M2071" s="71" t="s">
        <v>141</v>
      </c>
      <c r="N2071" s="69" t="e" vm="1">
        <v>#VALUE!</v>
      </c>
      <c r="O2071" s="164">
        <v>42781</v>
      </c>
      <c r="P2071" s="72" t="s">
        <v>4567</v>
      </c>
      <c r="Q2071" s="72"/>
      <c r="R2071" s="162"/>
      <c r="S2071" s="146"/>
      <c r="T2071" s="68" t="s">
        <v>165</v>
      </c>
      <c r="U2071" s="87"/>
      <c r="V2071" s="183">
        <v>42886</v>
      </c>
      <c r="W2071" s="73">
        <v>5300</v>
      </c>
      <c r="X2071" s="73">
        <f>342000*643/1000000</f>
        <v>219.90600000000001</v>
      </c>
      <c r="Y2071" s="83">
        <f>IF(SUM(W2071:W2071)&gt;0,X2071/SUM(W2071:W2071)*1000000,"N/A")</f>
        <v>41491.698113207545</v>
      </c>
      <c r="Z2071" s="183"/>
      <c r="AA2071" s="183"/>
      <c r="AB2071" s="73"/>
      <c r="AC2071" s="153"/>
      <c r="AD2071" s="331"/>
      <c r="AE2071" s="57"/>
      <c r="AF2071" s="88"/>
      <c r="AG2071" s="182">
        <f>YEAR(D2071)</f>
        <v>2017</v>
      </c>
      <c r="AH2071" s="86" t="str">
        <f>+IF(AE2071=$AJ$22,MONTH(T2071),"")</f>
        <v/>
      </c>
      <c r="AI2071" s="86" t="str">
        <f>+IF(AF2071=$AJ$22,MONTH(U2071),"")</f>
        <v/>
      </c>
      <c r="AJ2071" s="86" t="str">
        <f>+IF(AG2071=$AJ$22,MONTH(V2071),"")</f>
        <v/>
      </c>
      <c r="AK2071" s="86" t="str">
        <f>+IF(AG2071=$AK$22,MONTH(V2071),"")</f>
        <v/>
      </c>
      <c r="AL2071" s="86" t="str">
        <f>+IF(AG2071=$AL$22,MONTH(V2071),"")</f>
        <v/>
      </c>
      <c r="AM2071" s="86" t="str">
        <f>+IF($AG2071=$AM$22,MONTH($D2071),"")</f>
        <v/>
      </c>
      <c r="AN2071" s="89" t="str">
        <f>+IF($AG2071=AN$22,MONTH($D2071),"")</f>
        <v/>
      </c>
      <c r="AO2071" s="86" t="str">
        <f>+IF($AG2071=AO$22,MONTH($D2071),"")</f>
        <v/>
      </c>
      <c r="AP2071" s="86" t="str">
        <f>+IF($AG2071=AP$22,MONTH($D2071),"")</f>
        <v/>
      </c>
      <c r="AQ2071" s="86">
        <f>+IF($AG2071=AQ$22,MONTH($D2071),"")</f>
        <v>2</v>
      </c>
      <c r="AR2071" s="86" t="str">
        <f>+IF($AG2071=AR$22,MONTH($D2071),"")</f>
        <v/>
      </c>
      <c r="AS2071" s="86" t="str">
        <f>+IF($AG2071=AS$22,MONTH($D2071),"")</f>
        <v/>
      </c>
      <c r="AT2071" s="86" t="str">
        <f>+IF($AG2071=AT$22,MONTH($D2071),"")</f>
        <v/>
      </c>
      <c r="AU2071" s="86" t="str">
        <f>+IF($AG2071=AU$22,MONTH($D2071),"")</f>
        <v/>
      </c>
      <c r="AV2071" s="86" t="str">
        <f>+IF($AG2071=AV$22,MONTH($D2071),"")</f>
        <v/>
      </c>
      <c r="AW2071" s="86" t="str">
        <f>+IF($AG2071=AW$22,MONTH($D2071),"")</f>
        <v/>
      </c>
      <c r="AX2071" s="86" t="str">
        <f>+IF($AG2071=AX$22,MONTH($D2071),"")</f>
        <v/>
      </c>
      <c r="AY2071" s="89"/>
      <c r="AZ2071" s="89"/>
      <c r="BA2071" s="89"/>
      <c r="BB2071" s="89"/>
      <c r="BC2071" s="89"/>
      <c r="BD2071" s="89"/>
      <c r="BE2071" s="89"/>
      <c r="BF2071" s="89"/>
      <c r="BG2071" s="89"/>
      <c r="BH2071" s="89"/>
      <c r="BI2071" s="89"/>
      <c r="BJ2071" s="89"/>
      <c r="BK2071" s="89"/>
      <c r="BL2071" s="89"/>
      <c r="BM2071" s="89"/>
      <c r="BN2071" s="89"/>
      <c r="BO2071" s="89"/>
      <c r="BP2071" s="89"/>
    </row>
    <row r="2072" spans="1:68" s="56" customFormat="1" ht="53.25" hidden="1">
      <c r="A2072" s="204" t="str">
        <f>+IFERROR(VALUE(MID(AB2072,4,4)),"")</f>
        <v/>
      </c>
      <c r="B2072" s="204">
        <f>VALUE(RIGHT(C2072,LEN(C2072)-2))</f>
        <v>653</v>
      </c>
      <c r="C2072" s="74" t="s">
        <v>7170</v>
      </c>
      <c r="D2072" s="75">
        <v>42781</v>
      </c>
      <c r="E2072" s="70" t="s">
        <v>848</v>
      </c>
      <c r="F2072" s="70" t="s">
        <v>848</v>
      </c>
      <c r="G2072" s="68"/>
      <c r="H2072" s="59"/>
      <c r="I2072" s="162" t="s">
        <v>7171</v>
      </c>
      <c r="J2072" s="162"/>
      <c r="K2072" s="68"/>
      <c r="L2072" s="69" t="s">
        <v>120</v>
      </c>
      <c r="M2072" s="71" t="s">
        <v>141</v>
      </c>
      <c r="N2072" s="69" t="e" vm="1">
        <v>#VALUE!</v>
      </c>
      <c r="O2072" s="164"/>
      <c r="P2072" s="72" t="s">
        <v>402</v>
      </c>
      <c r="Q2072" s="72"/>
      <c r="R2072" s="162"/>
      <c r="S2072" s="146" t="s">
        <v>7172</v>
      </c>
      <c r="T2072" s="68" t="s">
        <v>165</v>
      </c>
      <c r="U2072" s="87"/>
      <c r="V2072" s="183">
        <v>42886</v>
      </c>
      <c r="W2072" s="73">
        <v>75</v>
      </c>
      <c r="X2072" s="73"/>
      <c r="Y2072" s="83">
        <f>IF(SUM(W2072:W2072)&gt;0,X2072/SUM(W2072:W2072)*1000000,"N/A")</f>
        <v>0</v>
      </c>
      <c r="Z2072" s="183"/>
      <c r="AA2072" s="183"/>
      <c r="AB2072" s="73"/>
      <c r="AC2072" s="153"/>
      <c r="AD2072" s="331"/>
      <c r="AE2072" s="57"/>
      <c r="AF2072" s="88"/>
      <c r="AG2072" s="182">
        <f>YEAR(D2072)</f>
        <v>2017</v>
      </c>
      <c r="AH2072" s="86" t="str">
        <f>+IF(AE2072=$AJ$22,MONTH(T2072),"")</f>
        <v/>
      </c>
      <c r="AI2072" s="86" t="str">
        <f>+IF(AF2072=$AJ$22,MONTH(U2072),"")</f>
        <v/>
      </c>
      <c r="AJ2072" s="86" t="str">
        <f>+IF(AG2072=$AJ$22,MONTH(V2072),"")</f>
        <v/>
      </c>
      <c r="AK2072" s="86" t="str">
        <f>+IF(AG2072=$AK$22,MONTH(V2072),"")</f>
        <v/>
      </c>
      <c r="AL2072" s="86" t="str">
        <f>+IF(AG2072=$AL$22,MONTH(V2072),"")</f>
        <v/>
      </c>
      <c r="AM2072" s="86" t="str">
        <f>+IF($AG2072=$AM$22,MONTH($D2072),"")</f>
        <v/>
      </c>
      <c r="AN2072" s="89" t="str">
        <f>+IF($AG2072=AN$22,MONTH($D2072),"")</f>
        <v/>
      </c>
      <c r="AO2072" s="86" t="str">
        <f>+IF($AG2072=AO$22,MONTH($D2072),"")</f>
        <v/>
      </c>
      <c r="AP2072" s="86" t="str">
        <f>+IF($AG2072=AP$22,MONTH($D2072),"")</f>
        <v/>
      </c>
      <c r="AQ2072" s="86">
        <f>+IF($AG2072=AQ$22,MONTH($D2072),"")</f>
        <v>2</v>
      </c>
      <c r="AR2072" s="86" t="str">
        <f>+IF($AG2072=AR$22,MONTH($D2072),"")</f>
        <v/>
      </c>
      <c r="AS2072" s="86" t="str">
        <f>+IF($AG2072=AS$22,MONTH($D2072),"")</f>
        <v/>
      </c>
      <c r="AT2072" s="86" t="str">
        <f>+IF($AG2072=AT$22,MONTH($D2072),"")</f>
        <v/>
      </c>
      <c r="AU2072" s="86" t="str">
        <f>+IF($AG2072=AU$22,MONTH($D2072),"")</f>
        <v/>
      </c>
      <c r="AV2072" s="86" t="str">
        <f>+IF($AG2072=AV$22,MONTH($D2072),"")</f>
        <v/>
      </c>
      <c r="AW2072" s="86" t="str">
        <f>+IF($AG2072=AW$22,MONTH($D2072),"")</f>
        <v/>
      </c>
      <c r="AX2072" s="86" t="str">
        <f>+IF($AG2072=AX$22,MONTH($D2072),"")</f>
        <v/>
      </c>
      <c r="AY2072" s="89"/>
      <c r="AZ2072" s="89"/>
      <c r="BA2072" s="89"/>
      <c r="BB2072" s="89"/>
      <c r="BC2072" s="89"/>
      <c r="BD2072" s="89"/>
      <c r="BE2072" s="89"/>
      <c r="BF2072" s="89"/>
      <c r="BG2072" s="89"/>
      <c r="BH2072" s="89"/>
      <c r="BI2072" s="89"/>
      <c r="BJ2072" s="89"/>
      <c r="BK2072" s="89"/>
      <c r="BL2072" s="89"/>
      <c r="BM2072" s="89"/>
      <c r="BN2072" s="89"/>
      <c r="BO2072" s="89"/>
      <c r="BP2072" s="89"/>
    </row>
    <row r="2073" spans="1:68" s="56" customFormat="1" ht="27" hidden="1">
      <c r="A2073" s="204" t="str">
        <f>+IFERROR(VALUE(MID(AB2073,4,4)),"")</f>
        <v/>
      </c>
      <c r="B2073" s="204">
        <f>VALUE(RIGHT(C2073,LEN(C2073)-2))</f>
        <v>652</v>
      </c>
      <c r="C2073" s="74" t="s">
        <v>7173</v>
      </c>
      <c r="D2073" s="75">
        <v>42781</v>
      </c>
      <c r="E2073" s="70" t="s">
        <v>7168</v>
      </c>
      <c r="F2073" s="70" t="s">
        <v>7168</v>
      </c>
      <c r="G2073" s="68"/>
      <c r="H2073" s="59"/>
      <c r="I2073" s="162" t="s">
        <v>7174</v>
      </c>
      <c r="J2073" s="162"/>
      <c r="K2073" s="68"/>
      <c r="L2073" s="69" t="s">
        <v>120</v>
      </c>
      <c r="M2073" s="71" t="s">
        <v>141</v>
      </c>
      <c r="N2073" s="69" t="e" vm="1">
        <v>#VALUE!</v>
      </c>
      <c r="O2073" s="164">
        <v>42781</v>
      </c>
      <c r="P2073" s="72" t="s">
        <v>4567</v>
      </c>
      <c r="Q2073" s="72"/>
      <c r="R2073" s="162"/>
      <c r="S2073" s="146"/>
      <c r="T2073" s="68" t="s">
        <v>165</v>
      </c>
      <c r="U2073" s="87"/>
      <c r="V2073" s="183">
        <v>42886</v>
      </c>
      <c r="W2073" s="73">
        <v>5300</v>
      </c>
      <c r="X2073" s="73">
        <f>342000*643/1000000</f>
        <v>219.90600000000001</v>
      </c>
      <c r="Y2073" s="83">
        <f>IF(SUM(W2073:W2073)&gt;0,X2073/SUM(W2073:W2073)*1000000,"N/A")</f>
        <v>41491.698113207545</v>
      </c>
      <c r="Z2073" s="183"/>
      <c r="AA2073" s="183"/>
      <c r="AB2073" s="73"/>
      <c r="AC2073" s="153"/>
      <c r="AD2073" s="331"/>
      <c r="AE2073" s="57"/>
      <c r="AF2073" s="88"/>
      <c r="AG2073" s="182">
        <f>YEAR(D2073)</f>
        <v>2017</v>
      </c>
      <c r="AH2073" s="86" t="str">
        <f>+IF(AE2073=$AJ$22,MONTH(T2073),"")</f>
        <v/>
      </c>
      <c r="AI2073" s="86" t="str">
        <f>+IF(AF2073=$AJ$22,MONTH(U2073),"")</f>
        <v/>
      </c>
      <c r="AJ2073" s="86" t="str">
        <f>+IF(AG2073=$AJ$22,MONTH(V2073),"")</f>
        <v/>
      </c>
      <c r="AK2073" s="86" t="str">
        <f>+IF(AG2073=$AK$22,MONTH(V2073),"")</f>
        <v/>
      </c>
      <c r="AL2073" s="86" t="str">
        <f>+IF(AG2073=$AL$22,MONTH(V2073),"")</f>
        <v/>
      </c>
      <c r="AM2073" s="86" t="str">
        <f>+IF($AG2073=$AM$22,MONTH($D2073),"")</f>
        <v/>
      </c>
      <c r="AN2073" s="89" t="str">
        <f>+IF($AG2073=AN$22,MONTH($D2073),"")</f>
        <v/>
      </c>
      <c r="AO2073" s="86" t="str">
        <f>+IF($AG2073=AO$22,MONTH($D2073),"")</f>
        <v/>
      </c>
      <c r="AP2073" s="86" t="str">
        <f>+IF($AG2073=AP$22,MONTH($D2073),"")</f>
        <v/>
      </c>
      <c r="AQ2073" s="86">
        <f>+IF($AG2073=AQ$22,MONTH($D2073),"")</f>
        <v>2</v>
      </c>
      <c r="AR2073" s="86" t="str">
        <f>+IF($AG2073=AR$22,MONTH($D2073),"")</f>
        <v/>
      </c>
      <c r="AS2073" s="86" t="str">
        <f>+IF($AG2073=AS$22,MONTH($D2073),"")</f>
        <v/>
      </c>
      <c r="AT2073" s="86" t="str">
        <f>+IF($AG2073=AT$22,MONTH($D2073),"")</f>
        <v/>
      </c>
      <c r="AU2073" s="86" t="str">
        <f>+IF($AG2073=AU$22,MONTH($D2073),"")</f>
        <v/>
      </c>
      <c r="AV2073" s="86" t="str">
        <f>+IF($AG2073=AV$22,MONTH($D2073),"")</f>
        <v/>
      </c>
      <c r="AW2073" s="86" t="str">
        <f>+IF($AG2073=AW$22,MONTH($D2073),"")</f>
        <v/>
      </c>
      <c r="AX2073" s="86" t="str">
        <f>+IF($AG2073=AX$22,MONTH($D2073),"")</f>
        <v/>
      </c>
      <c r="AY2073" s="89"/>
      <c r="AZ2073" s="89"/>
      <c r="BA2073" s="89"/>
      <c r="BB2073" s="89"/>
      <c r="BC2073" s="89"/>
      <c r="BD2073" s="89"/>
      <c r="BE2073" s="89"/>
      <c r="BF2073" s="89"/>
      <c r="BG2073" s="89"/>
      <c r="BH2073" s="89"/>
      <c r="BI2073" s="89"/>
      <c r="BJ2073" s="89"/>
      <c r="BK2073" s="89"/>
      <c r="BL2073" s="89"/>
      <c r="BM2073" s="89"/>
      <c r="BN2073" s="89"/>
      <c r="BO2073" s="89"/>
      <c r="BP2073" s="89"/>
    </row>
    <row r="2074" spans="1:68" s="56" customFormat="1" ht="27" hidden="1">
      <c r="A2074" s="204" t="str">
        <f>+IFERROR(VALUE(MID(AB2074,4,4)),"")</f>
        <v/>
      </c>
      <c r="B2074" s="204">
        <f>VALUE(RIGHT(C2074,LEN(C2074)-2))</f>
        <v>651</v>
      </c>
      <c r="C2074" s="74" t="s">
        <v>7175</v>
      </c>
      <c r="D2074" s="75">
        <v>42776</v>
      </c>
      <c r="E2074" s="70" t="s">
        <v>69</v>
      </c>
      <c r="F2074" s="70" t="s">
        <v>69</v>
      </c>
      <c r="G2074" s="68"/>
      <c r="H2074" s="59"/>
      <c r="I2074" s="162" t="s">
        <v>7176</v>
      </c>
      <c r="J2074" s="162"/>
      <c r="K2074" s="68" t="s">
        <v>13</v>
      </c>
      <c r="L2074" s="69" t="s">
        <v>120</v>
      </c>
      <c r="M2074" s="71" t="s">
        <v>141</v>
      </c>
      <c r="N2074" s="69" t="e" vm="1">
        <v>#VALUE!</v>
      </c>
      <c r="O2074" s="164">
        <v>42776</v>
      </c>
      <c r="P2074" s="72" t="s">
        <v>1686</v>
      </c>
      <c r="Q2074" s="72"/>
      <c r="R2074" s="162"/>
      <c r="S2074" s="146" t="s">
        <v>7102</v>
      </c>
      <c r="T2074" s="68" t="s">
        <v>165</v>
      </c>
      <c r="U2074" s="87">
        <v>0.01</v>
      </c>
      <c r="V2074" s="183">
        <v>42886</v>
      </c>
      <c r="W2074" s="73">
        <v>1964</v>
      </c>
      <c r="X2074" s="73">
        <f>2588*23355/1000000</f>
        <v>60.442740000000001</v>
      </c>
      <c r="Y2074" s="83">
        <f>IF(SUM(W2074:W2074)&gt;0,X2074/SUM(W2074:W2074)*1000000,"N/A")</f>
        <v>30775.325865580446</v>
      </c>
      <c r="Z2074" s="183"/>
      <c r="AA2074" s="183"/>
      <c r="AB2074" s="73"/>
      <c r="AC2074" s="153"/>
      <c r="AD2074" s="331"/>
      <c r="AE2074" s="57"/>
      <c r="AF2074" s="88"/>
      <c r="AG2074" s="182">
        <f>YEAR(D2074)</f>
        <v>2017</v>
      </c>
      <c r="AH2074" s="86" t="str">
        <f>+IF(AE2074=$AJ$22,MONTH(T2074),"")</f>
        <v/>
      </c>
      <c r="AI2074" s="86" t="str">
        <f>+IF(AF2074=$AJ$22,MONTH(U2074),"")</f>
        <v/>
      </c>
      <c r="AJ2074" s="86" t="str">
        <f>+IF(AG2074=$AJ$22,MONTH(V2074),"")</f>
        <v/>
      </c>
      <c r="AK2074" s="86" t="str">
        <f>+IF(AG2074=$AK$22,MONTH(V2074),"")</f>
        <v/>
      </c>
      <c r="AL2074" s="86" t="str">
        <f>+IF(AG2074=$AL$22,MONTH(V2074),"")</f>
        <v/>
      </c>
      <c r="AM2074" s="86" t="str">
        <f>+IF($AG2074=$AM$22,MONTH($D2074),"")</f>
        <v/>
      </c>
      <c r="AN2074" s="89" t="str">
        <f>+IF($AG2074=AN$22,MONTH($D2074),"")</f>
        <v/>
      </c>
      <c r="AO2074" s="86" t="str">
        <f>+IF($AG2074=AO$22,MONTH($D2074),"")</f>
        <v/>
      </c>
      <c r="AP2074" s="86" t="str">
        <f>+IF($AG2074=AP$22,MONTH($D2074),"")</f>
        <v/>
      </c>
      <c r="AQ2074" s="86">
        <f>+IF($AG2074=AQ$22,MONTH($D2074),"")</f>
        <v>2</v>
      </c>
      <c r="AR2074" s="86" t="str">
        <f>+IF($AG2074=AR$22,MONTH($D2074),"")</f>
        <v/>
      </c>
      <c r="AS2074" s="86" t="str">
        <f>+IF($AG2074=AS$22,MONTH($D2074),"")</f>
        <v/>
      </c>
      <c r="AT2074" s="86" t="str">
        <f>+IF($AG2074=AT$22,MONTH($D2074),"")</f>
        <v/>
      </c>
      <c r="AU2074" s="86" t="str">
        <f>+IF($AG2074=AU$22,MONTH($D2074),"")</f>
        <v/>
      </c>
      <c r="AV2074" s="86" t="str">
        <f>+IF($AG2074=AV$22,MONTH($D2074),"")</f>
        <v/>
      </c>
      <c r="AW2074" s="86" t="str">
        <f>+IF($AG2074=AW$22,MONTH($D2074),"")</f>
        <v/>
      </c>
      <c r="AX2074" s="86" t="str">
        <f>+IF($AG2074=AX$22,MONTH($D2074),"")</f>
        <v/>
      </c>
      <c r="AY2074" s="89"/>
      <c r="AZ2074" s="89"/>
      <c r="BA2074" s="89"/>
      <c r="BB2074" s="89"/>
      <c r="BC2074" s="89"/>
      <c r="BD2074" s="89"/>
      <c r="BE2074" s="89"/>
      <c r="BF2074" s="89"/>
      <c r="BG2074" s="89"/>
      <c r="BH2074" s="89"/>
      <c r="BI2074" s="89"/>
      <c r="BJ2074" s="89"/>
      <c r="BK2074" s="89"/>
      <c r="BL2074" s="89"/>
      <c r="BM2074" s="89"/>
      <c r="BN2074" s="89"/>
      <c r="BO2074" s="89"/>
      <c r="BP2074" s="89"/>
    </row>
    <row r="2075" spans="1:68" s="56" customFormat="1" ht="13.5" hidden="1">
      <c r="A2075" s="204" t="str">
        <f>+IFERROR(VALUE(MID(AB2075,4,4)),"")</f>
        <v/>
      </c>
      <c r="B2075" s="204">
        <f>VALUE(RIGHT(C2075,LEN(C2075)-2))</f>
        <v>650</v>
      </c>
      <c r="C2075" s="74" t="s">
        <v>7177</v>
      </c>
      <c r="D2075" s="75">
        <v>42775</v>
      </c>
      <c r="E2075" s="70" t="s">
        <v>5369</v>
      </c>
      <c r="F2075" s="70" t="s">
        <v>5369</v>
      </c>
      <c r="G2075" s="68"/>
      <c r="H2075" s="59"/>
      <c r="I2075" s="162" t="s">
        <v>7178</v>
      </c>
      <c r="J2075" s="162"/>
      <c r="K2075" s="68"/>
      <c r="L2075" s="69" t="s">
        <v>123</v>
      </c>
      <c r="M2075" s="71" t="s">
        <v>141</v>
      </c>
      <c r="N2075" s="69" t="e" vm="1">
        <v>#VALUE!</v>
      </c>
      <c r="O2075" s="164">
        <v>42809</v>
      </c>
      <c r="P2075" s="72" t="s">
        <v>402</v>
      </c>
      <c r="Q2075" s="72"/>
      <c r="R2075" s="162"/>
      <c r="S2075" s="146"/>
      <c r="T2075" s="68" t="s">
        <v>165</v>
      </c>
      <c r="U2075" s="87"/>
      <c r="V2075" s="183">
        <v>42816</v>
      </c>
      <c r="W2075" s="73">
        <v>1565</v>
      </c>
      <c r="X2075" s="73">
        <f>109295654/1000000</f>
        <v>109.295654</v>
      </c>
      <c r="Y2075" s="83">
        <f>IF(SUM(W2075:W2075)&gt;0,X2075/SUM(W2075:W2075)*1000000,"N/A")</f>
        <v>69837.478594249202</v>
      </c>
      <c r="Z2075" s="183"/>
      <c r="AA2075" s="183"/>
      <c r="AB2075" s="73"/>
      <c r="AC2075" s="153"/>
      <c r="AD2075" s="331"/>
      <c r="AE2075" s="57"/>
      <c r="AF2075" s="88"/>
      <c r="AG2075" s="182">
        <f>YEAR(D2075)</f>
        <v>2017</v>
      </c>
      <c r="AH2075" s="86" t="str">
        <f>+IF(AE2075=$AJ$22,MONTH(T2075),"")</f>
        <v/>
      </c>
      <c r="AI2075" s="86" t="str">
        <f>+IF(AF2075=$AJ$22,MONTH(U2075),"")</f>
        <v/>
      </c>
      <c r="AJ2075" s="86" t="str">
        <f>+IF(AG2075=$AJ$22,MONTH(V2075),"")</f>
        <v/>
      </c>
      <c r="AK2075" s="86" t="str">
        <f>+IF(AG2075=$AK$22,MONTH(V2075),"")</f>
        <v/>
      </c>
      <c r="AL2075" s="86" t="str">
        <f>+IF(AG2075=$AL$22,MONTH(V2075),"")</f>
        <v/>
      </c>
      <c r="AM2075" s="86" t="str">
        <f>+IF($AG2075=$AM$22,MONTH($D2075),"")</f>
        <v/>
      </c>
      <c r="AN2075" s="89" t="str">
        <f>+IF($AG2075=AN$22,MONTH($D2075),"")</f>
        <v/>
      </c>
      <c r="AO2075" s="86" t="str">
        <f>+IF($AG2075=AO$22,MONTH($D2075),"")</f>
        <v/>
      </c>
      <c r="AP2075" s="86" t="str">
        <f>+IF($AG2075=AP$22,MONTH($D2075),"")</f>
        <v/>
      </c>
      <c r="AQ2075" s="86">
        <f>+IF($AG2075=AQ$22,MONTH($D2075),"")</f>
        <v>2</v>
      </c>
      <c r="AR2075" s="86" t="str">
        <f>+IF($AG2075=AR$22,MONTH($D2075),"")</f>
        <v/>
      </c>
      <c r="AS2075" s="86" t="str">
        <f>+IF($AG2075=AS$22,MONTH($D2075),"")</f>
        <v/>
      </c>
      <c r="AT2075" s="86" t="str">
        <f>+IF($AG2075=AT$22,MONTH($D2075),"")</f>
        <v/>
      </c>
      <c r="AU2075" s="86" t="str">
        <f>+IF($AG2075=AU$22,MONTH($D2075),"")</f>
        <v/>
      </c>
      <c r="AV2075" s="86" t="str">
        <f>+IF($AG2075=AV$22,MONTH($D2075),"")</f>
        <v/>
      </c>
      <c r="AW2075" s="86" t="str">
        <f>+IF($AG2075=AW$22,MONTH($D2075),"")</f>
        <v/>
      </c>
      <c r="AX2075" s="86" t="str">
        <f>+IF($AG2075=AX$22,MONTH($D2075),"")</f>
        <v/>
      </c>
      <c r="AY2075" s="89"/>
      <c r="AZ2075" s="89"/>
      <c r="BA2075" s="89"/>
      <c r="BB2075" s="89"/>
      <c r="BC2075" s="89"/>
      <c r="BD2075" s="89"/>
      <c r="BE2075" s="89"/>
      <c r="BF2075" s="89"/>
      <c r="BG2075" s="89"/>
      <c r="BH2075" s="89"/>
      <c r="BI2075" s="89"/>
      <c r="BJ2075" s="89"/>
      <c r="BK2075" s="89"/>
      <c r="BL2075" s="89"/>
      <c r="BM2075" s="89"/>
      <c r="BN2075" s="89"/>
      <c r="BO2075" s="89"/>
      <c r="BP2075" s="89"/>
    </row>
    <row r="2076" spans="1:68" s="56" customFormat="1" ht="27" hidden="1">
      <c r="A2076" s="204" t="str">
        <f>+IFERROR(VALUE(MID(AB2076,4,4)),"")</f>
        <v/>
      </c>
      <c r="B2076" s="204">
        <f>VALUE(RIGHT(C2076,LEN(C2076)-2))</f>
        <v>649</v>
      </c>
      <c r="C2076" s="74" t="s">
        <v>7179</v>
      </c>
      <c r="D2076" s="75">
        <v>42775</v>
      </c>
      <c r="E2076" s="70" t="s">
        <v>5369</v>
      </c>
      <c r="F2076" s="70" t="s">
        <v>5369</v>
      </c>
      <c r="G2076" s="68"/>
      <c r="H2076" s="59"/>
      <c r="I2076" s="162" t="s">
        <v>7180</v>
      </c>
      <c r="J2076" s="162"/>
      <c r="K2076" s="68"/>
      <c r="L2076" s="69" t="s">
        <v>123</v>
      </c>
      <c r="M2076" s="71" t="s">
        <v>141</v>
      </c>
      <c r="N2076" s="69" t="e" vm="1">
        <v>#VALUE!</v>
      </c>
      <c r="O2076" s="164">
        <v>42809</v>
      </c>
      <c r="P2076" s="72" t="s">
        <v>402</v>
      </c>
      <c r="Q2076" s="72"/>
      <c r="R2076" s="162"/>
      <c r="S2076" s="146"/>
      <c r="T2076" s="68" t="s">
        <v>165</v>
      </c>
      <c r="U2076" s="87"/>
      <c r="V2076" s="183">
        <v>42786</v>
      </c>
      <c r="W2076" s="73">
        <v>2203</v>
      </c>
      <c r="X2076" s="73">
        <f>2682*246000/1000000</f>
        <v>659.77200000000005</v>
      </c>
      <c r="Y2076" s="83">
        <f>IF(SUM(W2076:W2076)&gt;0,X2076/SUM(W2076:W2076)*1000000,"N/A")</f>
        <v>299487.97094870632</v>
      </c>
      <c r="Z2076" s="183"/>
      <c r="AA2076" s="183"/>
      <c r="AB2076" s="73"/>
      <c r="AC2076" s="153"/>
      <c r="AD2076" s="331"/>
      <c r="AE2076" s="57"/>
      <c r="AF2076" s="88"/>
      <c r="AG2076" s="182">
        <f>YEAR(D2076)</f>
        <v>2017</v>
      </c>
      <c r="AH2076" s="86" t="str">
        <f>+IF(AE2076=$AJ$22,MONTH(T2076),"")</f>
        <v/>
      </c>
      <c r="AI2076" s="86" t="str">
        <f>+IF(AF2076=$AJ$22,MONTH(U2076),"")</f>
        <v/>
      </c>
      <c r="AJ2076" s="86" t="str">
        <f>+IF(AG2076=$AJ$22,MONTH(V2076),"")</f>
        <v/>
      </c>
      <c r="AK2076" s="86" t="str">
        <f>+IF(AG2076=$AK$22,MONTH(V2076),"")</f>
        <v/>
      </c>
      <c r="AL2076" s="86" t="str">
        <f>+IF(AG2076=$AL$22,MONTH(V2076),"")</f>
        <v/>
      </c>
      <c r="AM2076" s="86" t="str">
        <f>+IF($AG2076=$AM$22,MONTH($D2076),"")</f>
        <v/>
      </c>
      <c r="AN2076" s="89" t="str">
        <f>+IF($AG2076=AN$22,MONTH($D2076),"")</f>
        <v/>
      </c>
      <c r="AO2076" s="86" t="str">
        <f>+IF($AG2076=AO$22,MONTH($D2076),"")</f>
        <v/>
      </c>
      <c r="AP2076" s="86" t="str">
        <f>+IF($AG2076=AP$22,MONTH($D2076),"")</f>
        <v/>
      </c>
      <c r="AQ2076" s="86">
        <f>+IF($AG2076=AQ$22,MONTH($D2076),"")</f>
        <v>2</v>
      </c>
      <c r="AR2076" s="86" t="str">
        <f>+IF($AG2076=AR$22,MONTH($D2076),"")</f>
        <v/>
      </c>
      <c r="AS2076" s="86" t="str">
        <f>+IF($AG2076=AS$22,MONTH($D2076),"")</f>
        <v/>
      </c>
      <c r="AT2076" s="86" t="str">
        <f>+IF($AG2076=AT$22,MONTH($D2076),"")</f>
        <v/>
      </c>
      <c r="AU2076" s="86" t="str">
        <f>+IF($AG2076=AU$22,MONTH($D2076),"")</f>
        <v/>
      </c>
      <c r="AV2076" s="86" t="str">
        <f>+IF($AG2076=AV$22,MONTH($D2076),"")</f>
        <v/>
      </c>
      <c r="AW2076" s="86" t="str">
        <f>+IF($AG2076=AW$22,MONTH($D2076),"")</f>
        <v/>
      </c>
      <c r="AX2076" s="86" t="str">
        <f>+IF($AG2076=AX$22,MONTH($D2076),"")</f>
        <v/>
      </c>
      <c r="AY2076" s="89"/>
      <c r="AZ2076" s="89"/>
      <c r="BA2076" s="89"/>
      <c r="BB2076" s="89"/>
      <c r="BC2076" s="89"/>
      <c r="BD2076" s="89"/>
      <c r="BE2076" s="89"/>
      <c r="BF2076" s="89"/>
      <c r="BG2076" s="89"/>
      <c r="BH2076" s="89"/>
      <c r="BI2076" s="89"/>
      <c r="BJ2076" s="89"/>
      <c r="BK2076" s="89"/>
      <c r="BL2076" s="89"/>
      <c r="BM2076" s="89"/>
      <c r="BN2076" s="89"/>
      <c r="BO2076" s="89"/>
      <c r="BP2076" s="89"/>
    </row>
    <row r="2077" spans="1:68" s="56" customFormat="1" ht="13.5" hidden="1">
      <c r="A2077" s="204" t="str">
        <f>+IFERROR(VALUE(MID(AB2077,4,4)),"")</f>
        <v/>
      </c>
      <c r="B2077" s="204">
        <f>VALUE(RIGHT(C2077,LEN(C2077)-2))</f>
        <v>648</v>
      </c>
      <c r="C2077" s="74" t="s">
        <v>7181</v>
      </c>
      <c r="D2077" s="75">
        <v>42775</v>
      </c>
      <c r="E2077" s="70" t="s">
        <v>6483</v>
      </c>
      <c r="F2077" s="70" t="s">
        <v>6483</v>
      </c>
      <c r="G2077" s="68"/>
      <c r="H2077" s="59"/>
      <c r="I2077" s="162" t="s">
        <v>7182</v>
      </c>
      <c r="J2077" s="162"/>
      <c r="K2077" s="68"/>
      <c r="L2077" s="69" t="s">
        <v>123</v>
      </c>
      <c r="M2077" s="71" t="s">
        <v>141</v>
      </c>
      <c r="N2077" s="69" t="e" vm="1">
        <v>#VALUE!</v>
      </c>
      <c r="O2077" s="164">
        <v>42829</v>
      </c>
      <c r="P2077" s="72" t="s">
        <v>402</v>
      </c>
      <c r="Q2077" s="72"/>
      <c r="R2077" s="162"/>
      <c r="S2077" s="146"/>
      <c r="T2077" s="68" t="s">
        <v>155</v>
      </c>
      <c r="U2077" s="87"/>
      <c r="V2077" s="183">
        <v>42786</v>
      </c>
      <c r="W2077" s="73"/>
      <c r="X2077" s="73"/>
      <c r="Y2077" s="83"/>
      <c r="Z2077" s="183"/>
      <c r="AA2077" s="183"/>
      <c r="AB2077" s="73"/>
      <c r="AC2077" s="153"/>
      <c r="AD2077" s="331"/>
      <c r="AE2077" s="57"/>
      <c r="AF2077" s="88"/>
      <c r="AG2077" s="182">
        <f>YEAR(D2077)</f>
        <v>2017</v>
      </c>
      <c r="AH2077" s="86" t="str">
        <f>+IF(AE2077=$AJ$22,MONTH(T2077),"")</f>
        <v/>
      </c>
      <c r="AI2077" s="86" t="str">
        <f>+IF(AF2077=$AJ$22,MONTH(U2077),"")</f>
        <v/>
      </c>
      <c r="AJ2077" s="86" t="str">
        <f>+IF(AG2077=$AJ$22,MONTH(V2077),"")</f>
        <v/>
      </c>
      <c r="AK2077" s="86" t="str">
        <f>+IF(AG2077=$AK$22,MONTH(V2077),"")</f>
        <v/>
      </c>
      <c r="AL2077" s="86" t="str">
        <f>+IF(AG2077=$AL$22,MONTH(V2077),"")</f>
        <v/>
      </c>
      <c r="AM2077" s="86" t="str">
        <f>+IF($AG2077=$AM$22,MONTH($D2077),"")</f>
        <v/>
      </c>
      <c r="AN2077" s="89" t="str">
        <f>+IF($AG2077=AN$22,MONTH($D2077),"")</f>
        <v/>
      </c>
      <c r="AO2077" s="86" t="str">
        <f>+IF($AG2077=AO$22,MONTH($D2077),"")</f>
        <v/>
      </c>
      <c r="AP2077" s="86" t="str">
        <f>+IF($AG2077=AP$22,MONTH($D2077),"")</f>
        <v/>
      </c>
      <c r="AQ2077" s="86">
        <f>+IF($AG2077=AQ$22,MONTH($D2077),"")</f>
        <v>2</v>
      </c>
      <c r="AR2077" s="86" t="str">
        <f>+IF($AG2077=AR$22,MONTH($D2077),"")</f>
        <v/>
      </c>
      <c r="AS2077" s="86" t="str">
        <f>+IF($AG2077=AS$22,MONTH($D2077),"")</f>
        <v/>
      </c>
      <c r="AT2077" s="86" t="str">
        <f>+IF($AG2077=AT$22,MONTH($D2077),"")</f>
        <v/>
      </c>
      <c r="AU2077" s="86" t="str">
        <f>+IF($AG2077=AU$22,MONTH($D2077),"")</f>
        <v/>
      </c>
      <c r="AV2077" s="86" t="str">
        <f>+IF($AG2077=AV$22,MONTH($D2077),"")</f>
        <v/>
      </c>
      <c r="AW2077" s="86" t="str">
        <f>+IF($AG2077=AW$22,MONTH($D2077),"")</f>
        <v/>
      </c>
      <c r="AX2077" s="86" t="str">
        <f>+IF($AG2077=AX$22,MONTH($D2077),"")</f>
        <v/>
      </c>
      <c r="AY2077" s="89"/>
      <c r="AZ2077" s="89"/>
      <c r="BA2077" s="89"/>
      <c r="BB2077" s="89"/>
      <c r="BC2077" s="89"/>
      <c r="BD2077" s="89"/>
      <c r="BE2077" s="89"/>
      <c r="BF2077" s="89"/>
      <c r="BG2077" s="89"/>
      <c r="BH2077" s="89"/>
      <c r="BI2077" s="89"/>
      <c r="BJ2077" s="89"/>
      <c r="BK2077" s="89"/>
      <c r="BL2077" s="89"/>
      <c r="BM2077" s="89"/>
      <c r="BN2077" s="89"/>
      <c r="BO2077" s="89"/>
      <c r="BP2077" s="89"/>
    </row>
    <row r="2078" spans="1:68" s="56" customFormat="1" ht="40.5" hidden="1">
      <c r="A2078" s="204" t="str">
        <f>+IFERROR(VALUE(MID(AB2078,4,4)),"")</f>
        <v/>
      </c>
      <c r="B2078" s="204">
        <f>VALUE(RIGHT(C2078,LEN(C2078)-2))</f>
        <v>647</v>
      </c>
      <c r="C2078" s="74" t="s">
        <v>7183</v>
      </c>
      <c r="D2078" s="75">
        <v>42775</v>
      </c>
      <c r="E2078" s="70" t="s">
        <v>7184</v>
      </c>
      <c r="F2078" s="70" t="s">
        <v>53</v>
      </c>
      <c r="G2078" s="68"/>
      <c r="H2078" s="59"/>
      <c r="I2078" s="162" t="s">
        <v>7185</v>
      </c>
      <c r="J2078" s="162"/>
      <c r="K2078" s="68"/>
      <c r="L2078" s="69" t="s">
        <v>123</v>
      </c>
      <c r="M2078" s="71" t="s">
        <v>141</v>
      </c>
      <c r="N2078" s="69" t="e" vm="1">
        <v>#VALUE!</v>
      </c>
      <c r="O2078" s="164">
        <v>42787</v>
      </c>
      <c r="P2078" s="72" t="s">
        <v>402</v>
      </c>
      <c r="Q2078" s="72"/>
      <c r="R2078" s="162"/>
      <c r="S2078" s="146" t="s">
        <v>7186</v>
      </c>
      <c r="T2078" s="68" t="s">
        <v>165</v>
      </c>
      <c r="U2078" s="87"/>
      <c r="V2078" s="183">
        <v>42786</v>
      </c>
      <c r="W2078" s="73">
        <v>1</v>
      </c>
      <c r="X2078" s="73"/>
      <c r="Y2078" s="83">
        <f>IF(SUM(W2078:W2078)&gt;0,X2078/SUM(W2078:W2078)*1000000,"N/A")</f>
        <v>0</v>
      </c>
      <c r="Z2078" s="183"/>
      <c r="AA2078" s="183"/>
      <c r="AB2078" s="73"/>
      <c r="AC2078" s="153"/>
      <c r="AD2078" s="331"/>
      <c r="AE2078" s="57"/>
      <c r="AF2078" s="88"/>
      <c r="AG2078" s="182">
        <f>YEAR(D2078)</f>
        <v>2017</v>
      </c>
      <c r="AH2078" s="86" t="str">
        <f>+IF(AE2078=$AJ$22,MONTH(T2078),"")</f>
        <v/>
      </c>
      <c r="AI2078" s="86" t="str">
        <f>+IF(AF2078=$AJ$22,MONTH(U2078),"")</f>
        <v/>
      </c>
      <c r="AJ2078" s="86" t="str">
        <f>+IF(AG2078=$AJ$22,MONTH(V2078),"")</f>
        <v/>
      </c>
      <c r="AK2078" s="86" t="str">
        <f>+IF(AG2078=$AK$22,MONTH(V2078),"")</f>
        <v/>
      </c>
      <c r="AL2078" s="86" t="str">
        <f>+IF(AG2078=$AL$22,MONTH(V2078),"")</f>
        <v/>
      </c>
      <c r="AM2078" s="86" t="str">
        <f>+IF($AG2078=$AM$22,MONTH($D2078),"")</f>
        <v/>
      </c>
      <c r="AN2078" s="89" t="str">
        <f>+IF($AG2078=AN$22,MONTH($D2078),"")</f>
        <v/>
      </c>
      <c r="AO2078" s="86" t="str">
        <f>+IF($AG2078=AO$22,MONTH($D2078),"")</f>
        <v/>
      </c>
      <c r="AP2078" s="86" t="str">
        <f>+IF($AG2078=AP$22,MONTH($D2078),"")</f>
        <v/>
      </c>
      <c r="AQ2078" s="86">
        <f>+IF($AG2078=AQ$22,MONTH($D2078),"")</f>
        <v>2</v>
      </c>
      <c r="AR2078" s="86" t="str">
        <f>+IF($AG2078=AR$22,MONTH($D2078),"")</f>
        <v/>
      </c>
      <c r="AS2078" s="86" t="str">
        <f>+IF($AG2078=AS$22,MONTH($D2078),"")</f>
        <v/>
      </c>
      <c r="AT2078" s="86" t="str">
        <f>+IF($AG2078=AT$22,MONTH($D2078),"")</f>
        <v/>
      </c>
      <c r="AU2078" s="86" t="str">
        <f>+IF($AG2078=AU$22,MONTH($D2078),"")</f>
        <v/>
      </c>
      <c r="AV2078" s="86" t="str">
        <f>+IF($AG2078=AV$22,MONTH($D2078),"")</f>
        <v/>
      </c>
      <c r="AW2078" s="86" t="str">
        <f>+IF($AG2078=AW$22,MONTH($D2078),"")</f>
        <v/>
      </c>
      <c r="AX2078" s="86" t="str">
        <f>+IF($AG2078=AX$22,MONTH($D2078),"")</f>
        <v/>
      </c>
      <c r="AY2078" s="89"/>
      <c r="AZ2078" s="89"/>
      <c r="BA2078" s="89"/>
      <c r="BB2078" s="89"/>
      <c r="BC2078" s="89"/>
      <c r="BD2078" s="89"/>
      <c r="BE2078" s="89"/>
      <c r="BF2078" s="89"/>
      <c r="BG2078" s="89"/>
      <c r="BH2078" s="89"/>
      <c r="BI2078" s="89"/>
      <c r="BJ2078" s="89"/>
      <c r="BK2078" s="89"/>
      <c r="BL2078" s="89"/>
      <c r="BM2078" s="89"/>
      <c r="BN2078" s="89"/>
      <c r="BO2078" s="89"/>
      <c r="BP2078" s="89"/>
    </row>
    <row r="2079" spans="1:68" s="56" customFormat="1" ht="13.5" hidden="1">
      <c r="A2079" s="204" t="str">
        <f>+IFERROR(VALUE(MID(AB2079,4,4)),"")</f>
        <v/>
      </c>
      <c r="B2079" s="204">
        <f>VALUE(RIGHT(C2079,LEN(C2079)-2))</f>
        <v>646</v>
      </c>
      <c r="C2079" s="74" t="s">
        <v>7187</v>
      </c>
      <c r="D2079" s="75">
        <v>42774</v>
      </c>
      <c r="E2079" s="70" t="s">
        <v>7188</v>
      </c>
      <c r="F2079" s="70" t="s">
        <v>7189</v>
      </c>
      <c r="G2079" s="68"/>
      <c r="H2079" s="59"/>
      <c r="I2079" s="162" t="s">
        <v>7190</v>
      </c>
      <c r="J2079" s="162"/>
      <c r="K2079" s="68"/>
      <c r="L2079" s="69" t="s">
        <v>120</v>
      </c>
      <c r="M2079" s="71" t="s">
        <v>113</v>
      </c>
      <c r="N2079" s="69" t="e" vm="2">
        <v>#VALUE!</v>
      </c>
      <c r="O2079" s="164"/>
      <c r="P2079" s="72" t="s">
        <v>402</v>
      </c>
      <c r="Q2079" s="72"/>
      <c r="R2079" s="162"/>
      <c r="S2079" s="146"/>
      <c r="T2079" s="68" t="s">
        <v>165</v>
      </c>
      <c r="U2079" s="87"/>
      <c r="V2079" s="183">
        <v>42786</v>
      </c>
      <c r="W2079" s="73">
        <v>100</v>
      </c>
      <c r="X2079" s="73">
        <v>2.8</v>
      </c>
      <c r="Y2079" s="83">
        <f>IF(SUM(W2079:W2079)&gt;0,X2079/SUM(W2079:W2079)*1000000,"N/A")</f>
        <v>27999.999999999996</v>
      </c>
      <c r="Z2079" s="183"/>
      <c r="AA2079" s="183"/>
      <c r="AB2079" s="73"/>
      <c r="AC2079" s="153"/>
      <c r="AD2079" s="331"/>
      <c r="AE2079" s="57"/>
      <c r="AF2079" s="88"/>
      <c r="AG2079" s="182">
        <f>YEAR(D2079)</f>
        <v>2017</v>
      </c>
      <c r="AH2079" s="86" t="str">
        <f>+IF(AE2079=$AJ$22,MONTH(T2079),"")</f>
        <v/>
      </c>
      <c r="AI2079" s="86" t="str">
        <f>+IF(AF2079=$AJ$22,MONTH(U2079),"")</f>
        <v/>
      </c>
      <c r="AJ2079" s="86" t="str">
        <f>+IF(AG2079=$AJ$22,MONTH(V2079),"")</f>
        <v/>
      </c>
      <c r="AK2079" s="86" t="str">
        <f>+IF(AG2079=$AK$22,MONTH(V2079),"")</f>
        <v/>
      </c>
      <c r="AL2079" s="86" t="str">
        <f>+IF(AG2079=$AL$22,MONTH(V2079),"")</f>
        <v/>
      </c>
      <c r="AM2079" s="86" t="str">
        <f>+IF($AG2079=$AM$22,MONTH($D2079),"")</f>
        <v/>
      </c>
      <c r="AN2079" s="89" t="str">
        <f>+IF($AG2079=AN$22,MONTH($D2079),"")</f>
        <v/>
      </c>
      <c r="AO2079" s="86" t="str">
        <f>+IF($AG2079=AO$22,MONTH($D2079),"")</f>
        <v/>
      </c>
      <c r="AP2079" s="86" t="str">
        <f>+IF($AG2079=AP$22,MONTH($D2079),"")</f>
        <v/>
      </c>
      <c r="AQ2079" s="86">
        <f>+IF($AG2079=AQ$22,MONTH($D2079),"")</f>
        <v>2</v>
      </c>
      <c r="AR2079" s="86" t="str">
        <f>+IF($AG2079=AR$22,MONTH($D2079),"")</f>
        <v/>
      </c>
      <c r="AS2079" s="86" t="str">
        <f>+IF($AG2079=AS$22,MONTH($D2079),"")</f>
        <v/>
      </c>
      <c r="AT2079" s="86" t="str">
        <f>+IF($AG2079=AT$22,MONTH($D2079),"")</f>
        <v/>
      </c>
      <c r="AU2079" s="86" t="str">
        <f>+IF($AG2079=AU$22,MONTH($D2079),"")</f>
        <v/>
      </c>
      <c r="AV2079" s="86" t="str">
        <f>+IF($AG2079=AV$22,MONTH($D2079),"")</f>
        <v/>
      </c>
      <c r="AW2079" s="86" t="str">
        <f>+IF($AG2079=AW$22,MONTH($D2079),"")</f>
        <v/>
      </c>
      <c r="AX2079" s="86" t="str">
        <f>+IF($AG2079=AX$22,MONTH($D2079),"")</f>
        <v/>
      </c>
      <c r="AY2079" s="89"/>
      <c r="AZ2079" s="89"/>
      <c r="BA2079" s="89"/>
      <c r="BB2079" s="89"/>
      <c r="BC2079" s="89"/>
      <c r="BD2079" s="89"/>
      <c r="BE2079" s="89"/>
      <c r="BF2079" s="89"/>
      <c r="BG2079" s="89"/>
      <c r="BH2079" s="89"/>
      <c r="BI2079" s="89"/>
      <c r="BJ2079" s="89"/>
      <c r="BK2079" s="89"/>
      <c r="BL2079" s="89"/>
      <c r="BM2079" s="89"/>
      <c r="BN2079" s="89"/>
      <c r="BO2079" s="89"/>
      <c r="BP2079" s="89"/>
    </row>
    <row r="2080" spans="1:68" s="56" customFormat="1" ht="13.5" hidden="1">
      <c r="A2080" s="204" t="str">
        <f>+IFERROR(VALUE(MID(AB2080,4,4)),"")</f>
        <v/>
      </c>
      <c r="B2080" s="204">
        <f>VALUE(RIGHT(C2080,LEN(C2080)-2))</f>
        <v>645</v>
      </c>
      <c r="C2080" s="74" t="s">
        <v>7191</v>
      </c>
      <c r="D2080" s="75">
        <v>42775</v>
      </c>
      <c r="E2080" s="70" t="s">
        <v>332</v>
      </c>
      <c r="F2080" s="70" t="s">
        <v>332</v>
      </c>
      <c r="G2080" s="68"/>
      <c r="H2080" s="59"/>
      <c r="I2080" s="162" t="s">
        <v>7192</v>
      </c>
      <c r="J2080" s="162"/>
      <c r="K2080" s="68" t="s">
        <v>13</v>
      </c>
      <c r="L2080" s="69" t="s">
        <v>120</v>
      </c>
      <c r="M2080" s="71" t="s">
        <v>141</v>
      </c>
      <c r="N2080" s="69" t="e" vm="1">
        <v>#VALUE!</v>
      </c>
      <c r="O2080" s="164">
        <v>42775</v>
      </c>
      <c r="P2080" s="72" t="s">
        <v>402</v>
      </c>
      <c r="Q2080" s="72"/>
      <c r="R2080" s="162"/>
      <c r="S2080" s="146"/>
      <c r="T2080" s="68" t="s">
        <v>165</v>
      </c>
      <c r="U2080" s="87"/>
      <c r="V2080" s="183">
        <v>42886</v>
      </c>
      <c r="W2080" s="73">
        <v>870</v>
      </c>
      <c r="X2080" s="73">
        <f>900*24355/1000000</f>
        <v>21.919499999999999</v>
      </c>
      <c r="Y2080" s="83">
        <f>IF(SUM(W2080:W2080)&gt;0,X2080/SUM(W2080:W2080)*1000000,"N/A")</f>
        <v>25194.827586206895</v>
      </c>
      <c r="Z2080" s="183"/>
      <c r="AA2080" s="183"/>
      <c r="AB2080" s="73"/>
      <c r="AC2080" s="153"/>
      <c r="AD2080" s="331"/>
      <c r="AE2080" s="57"/>
      <c r="AF2080" s="88"/>
      <c r="AG2080" s="182">
        <f>YEAR(D2080)</f>
        <v>2017</v>
      </c>
      <c r="AH2080" s="86" t="str">
        <f>+IF(AE2080=$AJ$22,MONTH(T2080),"")</f>
        <v/>
      </c>
      <c r="AI2080" s="86" t="str">
        <f>+IF(AF2080=$AJ$22,MONTH(U2080),"")</f>
        <v/>
      </c>
      <c r="AJ2080" s="86" t="str">
        <f>+IF(AG2080=$AJ$22,MONTH(V2080),"")</f>
        <v/>
      </c>
      <c r="AK2080" s="86" t="str">
        <f>+IF(AG2080=$AK$22,MONTH(V2080),"")</f>
        <v/>
      </c>
      <c r="AL2080" s="86" t="str">
        <f>+IF(AG2080=$AL$22,MONTH(V2080),"")</f>
        <v/>
      </c>
      <c r="AM2080" s="86" t="str">
        <f>+IF($AG2080=$AM$22,MONTH($D2080),"")</f>
        <v/>
      </c>
      <c r="AN2080" s="89" t="str">
        <f>+IF($AG2080=AN$22,MONTH($D2080),"")</f>
        <v/>
      </c>
      <c r="AO2080" s="86" t="str">
        <f>+IF($AG2080=AO$22,MONTH($D2080),"")</f>
        <v/>
      </c>
      <c r="AP2080" s="86" t="str">
        <f>+IF($AG2080=AP$22,MONTH($D2080),"")</f>
        <v/>
      </c>
      <c r="AQ2080" s="86">
        <f>+IF($AG2080=AQ$22,MONTH($D2080),"")</f>
        <v>2</v>
      </c>
      <c r="AR2080" s="86" t="str">
        <f>+IF($AG2080=AR$22,MONTH($D2080),"")</f>
        <v/>
      </c>
      <c r="AS2080" s="86" t="str">
        <f>+IF($AG2080=AS$22,MONTH($D2080),"")</f>
        <v/>
      </c>
      <c r="AT2080" s="86" t="str">
        <f>+IF($AG2080=AT$22,MONTH($D2080),"")</f>
        <v/>
      </c>
      <c r="AU2080" s="86" t="str">
        <f>+IF($AG2080=AU$22,MONTH($D2080),"")</f>
        <v/>
      </c>
      <c r="AV2080" s="86" t="str">
        <f>+IF($AG2080=AV$22,MONTH($D2080),"")</f>
        <v/>
      </c>
      <c r="AW2080" s="86" t="str">
        <f>+IF($AG2080=AW$22,MONTH($D2080),"")</f>
        <v/>
      </c>
      <c r="AX2080" s="86" t="str">
        <f>+IF($AG2080=AX$22,MONTH($D2080),"")</f>
        <v/>
      </c>
      <c r="AY2080" s="89"/>
      <c r="AZ2080" s="89"/>
      <c r="BA2080" s="89"/>
      <c r="BB2080" s="89"/>
      <c r="BC2080" s="89"/>
      <c r="BD2080" s="89"/>
      <c r="BE2080" s="89"/>
      <c r="BF2080" s="89"/>
      <c r="BG2080" s="89"/>
      <c r="BH2080" s="89"/>
      <c r="BI2080" s="89"/>
      <c r="BJ2080" s="89"/>
      <c r="BK2080" s="89"/>
      <c r="BL2080" s="89"/>
      <c r="BM2080" s="89"/>
      <c r="BN2080" s="89"/>
      <c r="BO2080" s="89"/>
      <c r="BP2080" s="89"/>
    </row>
    <row r="2081" spans="1:68" s="56" customFormat="1" ht="13.5" hidden="1">
      <c r="A2081" s="204" t="str">
        <f>+IFERROR(VALUE(MID(AB2081,4,4)),"")</f>
        <v/>
      </c>
      <c r="B2081" s="204">
        <f>VALUE(RIGHT(C2081,LEN(C2081)-2))</f>
        <v>644</v>
      </c>
      <c r="C2081" s="74" t="s">
        <v>7193</v>
      </c>
      <c r="D2081" s="75">
        <v>42772</v>
      </c>
      <c r="E2081" s="70" t="s">
        <v>2444</v>
      </c>
      <c r="F2081" s="70" t="s">
        <v>2444</v>
      </c>
      <c r="G2081" s="68"/>
      <c r="H2081" s="59"/>
      <c r="I2081" s="162" t="s">
        <v>7194</v>
      </c>
      <c r="J2081" s="162"/>
      <c r="K2081" s="68" t="s">
        <v>13</v>
      </c>
      <c r="L2081" s="69" t="s">
        <v>123</v>
      </c>
      <c r="M2081" s="71" t="s">
        <v>141</v>
      </c>
      <c r="N2081" s="69" t="e" vm="1">
        <v>#VALUE!</v>
      </c>
      <c r="O2081" s="164">
        <v>42775</v>
      </c>
      <c r="P2081" s="72" t="s">
        <v>402</v>
      </c>
      <c r="Q2081" s="72"/>
      <c r="R2081" s="162"/>
      <c r="S2081" s="146"/>
      <c r="T2081" s="68" t="s">
        <v>155</v>
      </c>
      <c r="U2081" s="87"/>
      <c r="V2081" s="183">
        <v>42786</v>
      </c>
      <c r="W2081" s="73"/>
      <c r="X2081" s="73"/>
      <c r="Y2081" s="83"/>
      <c r="Z2081" s="183"/>
      <c r="AA2081" s="183"/>
      <c r="AB2081" s="73"/>
      <c r="AC2081" s="153"/>
      <c r="AD2081" s="331"/>
      <c r="AE2081" s="57"/>
      <c r="AF2081" s="88"/>
      <c r="AG2081" s="182">
        <f>YEAR(D2081)</f>
        <v>2017</v>
      </c>
      <c r="AH2081" s="86" t="str">
        <f>+IF(AE2081=$AJ$22,MONTH(T2081),"")</f>
        <v/>
      </c>
      <c r="AI2081" s="86" t="str">
        <f>+IF(AF2081=$AJ$22,MONTH(U2081),"")</f>
        <v/>
      </c>
      <c r="AJ2081" s="86" t="str">
        <f>+IF(AG2081=$AJ$22,MONTH(V2081),"")</f>
        <v/>
      </c>
      <c r="AK2081" s="86" t="str">
        <f>+IF(AG2081=$AK$22,MONTH(V2081),"")</f>
        <v/>
      </c>
      <c r="AL2081" s="86" t="str">
        <f>+IF(AG2081=$AL$22,MONTH(V2081),"")</f>
        <v/>
      </c>
      <c r="AM2081" s="86" t="str">
        <f>+IF($AG2081=$AM$22,MONTH($D2081),"")</f>
        <v/>
      </c>
      <c r="AN2081" s="89" t="str">
        <f>+IF($AG2081=AN$22,MONTH($D2081),"")</f>
        <v/>
      </c>
      <c r="AO2081" s="86" t="str">
        <f>+IF($AG2081=AO$22,MONTH($D2081),"")</f>
        <v/>
      </c>
      <c r="AP2081" s="86" t="str">
        <f>+IF($AG2081=AP$22,MONTH($D2081),"")</f>
        <v/>
      </c>
      <c r="AQ2081" s="86">
        <f>+IF($AG2081=AQ$22,MONTH($D2081),"")</f>
        <v>2</v>
      </c>
      <c r="AR2081" s="86" t="str">
        <f>+IF($AG2081=AR$22,MONTH($D2081),"")</f>
        <v/>
      </c>
      <c r="AS2081" s="86" t="str">
        <f>+IF($AG2081=AS$22,MONTH($D2081),"")</f>
        <v/>
      </c>
      <c r="AT2081" s="86" t="str">
        <f>+IF($AG2081=AT$22,MONTH($D2081),"")</f>
        <v/>
      </c>
      <c r="AU2081" s="86" t="str">
        <f>+IF($AG2081=AU$22,MONTH($D2081),"")</f>
        <v/>
      </c>
      <c r="AV2081" s="86" t="str">
        <f>+IF($AG2081=AV$22,MONTH($D2081),"")</f>
        <v/>
      </c>
      <c r="AW2081" s="86" t="str">
        <f>+IF($AG2081=AW$22,MONTH($D2081),"")</f>
        <v/>
      </c>
      <c r="AX2081" s="86" t="str">
        <f>+IF($AG2081=AX$22,MONTH($D2081),"")</f>
        <v/>
      </c>
      <c r="AY2081" s="89"/>
      <c r="AZ2081" s="89"/>
      <c r="BA2081" s="89"/>
      <c r="BB2081" s="89"/>
      <c r="BC2081" s="89"/>
      <c r="BD2081" s="89"/>
      <c r="BE2081" s="89"/>
      <c r="BF2081" s="89"/>
      <c r="BG2081" s="89"/>
      <c r="BH2081" s="89"/>
      <c r="BI2081" s="89"/>
      <c r="BJ2081" s="89"/>
      <c r="BK2081" s="89"/>
      <c r="BL2081" s="89"/>
      <c r="BM2081" s="89"/>
      <c r="BN2081" s="89"/>
      <c r="BO2081" s="89"/>
      <c r="BP2081" s="89"/>
    </row>
    <row r="2082" spans="1:68" s="56" customFormat="1" ht="27" hidden="1">
      <c r="A2082" s="204" t="str">
        <f>+IFERROR(VALUE(MID(AB2082,4,4)),"")</f>
        <v/>
      </c>
      <c r="B2082" s="204">
        <f>VALUE(RIGHT(C2082,LEN(C2082)-2))</f>
        <v>643</v>
      </c>
      <c r="C2082" s="74" t="s">
        <v>7195</v>
      </c>
      <c r="D2082" s="75">
        <v>42772</v>
      </c>
      <c r="E2082" s="70" t="s">
        <v>5369</v>
      </c>
      <c r="F2082" s="70" t="s">
        <v>5369</v>
      </c>
      <c r="G2082" s="68"/>
      <c r="H2082" s="59"/>
      <c r="I2082" s="162" t="s">
        <v>7196</v>
      </c>
      <c r="J2082" s="162"/>
      <c r="K2082" s="68"/>
      <c r="L2082" s="69" t="s">
        <v>123</v>
      </c>
      <c r="M2082" s="71" t="s">
        <v>141</v>
      </c>
      <c r="N2082" s="69" t="e" vm="1">
        <v>#VALUE!</v>
      </c>
      <c r="O2082" s="164">
        <v>42796</v>
      </c>
      <c r="P2082" s="72" t="s">
        <v>402</v>
      </c>
      <c r="Q2082" s="72"/>
      <c r="R2082" s="162"/>
      <c r="S2082" s="146"/>
      <c r="T2082" s="68" t="s">
        <v>165</v>
      </c>
      <c r="U2082" s="87"/>
      <c r="V2082" s="183">
        <v>42786</v>
      </c>
      <c r="W2082" s="73">
        <v>763</v>
      </c>
      <c r="X2082" s="73">
        <f>619*26402/1000000</f>
        <v>16.342838</v>
      </c>
      <c r="Y2082" s="83">
        <f>IF(SUM(W2082:W2082)&gt;0,X2082/SUM(W2082:W2082)*1000000,"N/A")</f>
        <v>21419.184796854519</v>
      </c>
      <c r="Z2082" s="183"/>
      <c r="AA2082" s="183"/>
      <c r="AB2082" s="73"/>
      <c r="AC2082" s="153"/>
      <c r="AD2082" s="331"/>
      <c r="AE2082" s="57"/>
      <c r="AF2082" s="88"/>
      <c r="AG2082" s="182">
        <f>YEAR(D2082)</f>
        <v>2017</v>
      </c>
      <c r="AH2082" s="86" t="str">
        <f>+IF(AE2082=$AJ$22,MONTH(T2082),"")</f>
        <v/>
      </c>
      <c r="AI2082" s="86" t="str">
        <f>+IF(AF2082=$AJ$22,MONTH(U2082),"")</f>
        <v/>
      </c>
      <c r="AJ2082" s="86" t="str">
        <f>+IF(AG2082=$AJ$22,MONTH(V2082),"")</f>
        <v/>
      </c>
      <c r="AK2082" s="86" t="str">
        <f>+IF(AG2082=$AK$22,MONTH(V2082),"")</f>
        <v/>
      </c>
      <c r="AL2082" s="86" t="str">
        <f>+IF(AG2082=$AL$22,MONTH(V2082),"")</f>
        <v/>
      </c>
      <c r="AM2082" s="86" t="str">
        <f>+IF($AG2082=$AM$22,MONTH($D2082),"")</f>
        <v/>
      </c>
      <c r="AN2082" s="89" t="str">
        <f>+IF($AG2082=AN$22,MONTH($D2082),"")</f>
        <v/>
      </c>
      <c r="AO2082" s="86" t="str">
        <f>+IF($AG2082=AO$22,MONTH($D2082),"")</f>
        <v/>
      </c>
      <c r="AP2082" s="86" t="str">
        <f>+IF($AG2082=AP$22,MONTH($D2082),"")</f>
        <v/>
      </c>
      <c r="AQ2082" s="86">
        <f>+IF($AG2082=AQ$22,MONTH($D2082),"")</f>
        <v>2</v>
      </c>
      <c r="AR2082" s="86" t="str">
        <f>+IF($AG2082=AR$22,MONTH($D2082),"")</f>
        <v/>
      </c>
      <c r="AS2082" s="86" t="str">
        <f>+IF($AG2082=AS$22,MONTH($D2082),"")</f>
        <v/>
      </c>
      <c r="AT2082" s="86" t="str">
        <f>+IF($AG2082=AT$22,MONTH($D2082),"")</f>
        <v/>
      </c>
      <c r="AU2082" s="86" t="str">
        <f>+IF($AG2082=AU$22,MONTH($D2082),"")</f>
        <v/>
      </c>
      <c r="AV2082" s="86" t="str">
        <f>+IF($AG2082=AV$22,MONTH($D2082),"")</f>
        <v/>
      </c>
      <c r="AW2082" s="86" t="str">
        <f>+IF($AG2082=AW$22,MONTH($D2082),"")</f>
        <v/>
      </c>
      <c r="AX2082" s="86" t="str">
        <f>+IF($AG2082=AX$22,MONTH($D2082),"")</f>
        <v/>
      </c>
      <c r="AY2082" s="89"/>
      <c r="AZ2082" s="89"/>
      <c r="BA2082" s="89"/>
      <c r="BB2082" s="89"/>
      <c r="BC2082" s="89"/>
      <c r="BD2082" s="89"/>
      <c r="BE2082" s="89"/>
      <c r="BF2082" s="89"/>
      <c r="BG2082" s="89"/>
      <c r="BH2082" s="89"/>
      <c r="BI2082" s="89"/>
      <c r="BJ2082" s="89"/>
      <c r="BK2082" s="89"/>
      <c r="BL2082" s="89"/>
      <c r="BM2082" s="89"/>
      <c r="BN2082" s="89"/>
      <c r="BO2082" s="89"/>
      <c r="BP2082" s="89"/>
    </row>
    <row r="2083" spans="1:68" s="56" customFormat="1" ht="13.5" hidden="1">
      <c r="A2083" s="204">
        <f>+IFERROR(VALUE(MID(AB2083,4,4)),"")</f>
        <v>152</v>
      </c>
      <c r="B2083" s="204">
        <f>VALUE(RIGHT(C2083,LEN(C2083)-2))</f>
        <v>642</v>
      </c>
      <c r="C2083" s="74" t="s">
        <v>7197</v>
      </c>
      <c r="D2083" s="75">
        <v>42768</v>
      </c>
      <c r="E2083" s="70" t="s">
        <v>2961</v>
      </c>
      <c r="F2083" s="70" t="s">
        <v>2961</v>
      </c>
      <c r="G2083" s="68" t="s">
        <v>364</v>
      </c>
      <c r="H2083" s="59"/>
      <c r="I2083" s="162" t="s">
        <v>7198</v>
      </c>
      <c r="J2083" s="162"/>
      <c r="K2083" s="68" t="s">
        <v>28</v>
      </c>
      <c r="L2083" s="69" t="s">
        <v>120</v>
      </c>
      <c r="M2083" s="71" t="s">
        <v>141</v>
      </c>
      <c r="N2083" s="69" t="e" vm="1">
        <v>#VALUE!</v>
      </c>
      <c r="O2083" s="164">
        <v>42768</v>
      </c>
      <c r="P2083" s="72" t="s">
        <v>402</v>
      </c>
      <c r="Q2083" s="72"/>
      <c r="R2083" s="162"/>
      <c r="S2083" s="146"/>
      <c r="T2083" s="68" t="s">
        <v>3</v>
      </c>
      <c r="U2083" s="87"/>
      <c r="V2083" s="183">
        <v>42786</v>
      </c>
      <c r="W2083" s="73">
        <v>150</v>
      </c>
      <c r="X2083" s="73">
        <f>23355*305/1000000</f>
        <v>7.1232749999999996</v>
      </c>
      <c r="Y2083" s="83">
        <f>IF(SUM(W2083:W2083)&gt;0,X2083/SUM(W2083:W2083)*1000000,"N/A")</f>
        <v>47488.499999999993</v>
      </c>
      <c r="Z2083" s="183"/>
      <c r="AA2083" s="183"/>
      <c r="AB2083" s="73" t="s">
        <v>7199</v>
      </c>
      <c r="AC2083" s="153"/>
      <c r="AD2083" s="331"/>
      <c r="AE2083" s="57"/>
      <c r="AF2083" s="88"/>
      <c r="AG2083" s="182">
        <f>YEAR(D2083)</f>
        <v>2017</v>
      </c>
      <c r="AH2083" s="86" t="str">
        <f>+IF(AE2083=$AJ$22,MONTH(T2083),"")</f>
        <v/>
      </c>
      <c r="AI2083" s="86" t="str">
        <f>+IF(AF2083=$AJ$22,MONTH(U2083),"")</f>
        <v/>
      </c>
      <c r="AJ2083" s="86" t="str">
        <f>+IF(AG2083=$AJ$22,MONTH(V2083),"")</f>
        <v/>
      </c>
      <c r="AK2083" s="86" t="str">
        <f>+IF(AG2083=$AK$22,MONTH(V2083),"")</f>
        <v/>
      </c>
      <c r="AL2083" s="86" t="str">
        <f>+IF(AG2083=$AL$22,MONTH(V2083),"")</f>
        <v/>
      </c>
      <c r="AM2083" s="86" t="str">
        <f>+IF($AG2083=$AM$22,MONTH($D2083),"")</f>
        <v/>
      </c>
      <c r="AN2083" s="89" t="str">
        <f>+IF($AG2083=AN$22,MONTH($D2083),"")</f>
        <v/>
      </c>
      <c r="AO2083" s="86" t="str">
        <f>+IF($AG2083=AO$22,MONTH($D2083),"")</f>
        <v/>
      </c>
      <c r="AP2083" s="86" t="str">
        <f>+IF($AG2083=AP$22,MONTH($D2083),"")</f>
        <v/>
      </c>
      <c r="AQ2083" s="86">
        <f>+IF($AG2083=AQ$22,MONTH($D2083),"")</f>
        <v>2</v>
      </c>
      <c r="AR2083" s="86" t="str">
        <f>+IF($AG2083=AR$22,MONTH($D2083),"")</f>
        <v/>
      </c>
      <c r="AS2083" s="86" t="str">
        <f>+IF($AG2083=AS$22,MONTH($D2083),"")</f>
        <v/>
      </c>
      <c r="AT2083" s="86" t="str">
        <f>+IF($AG2083=AT$22,MONTH($D2083),"")</f>
        <v/>
      </c>
      <c r="AU2083" s="86" t="str">
        <f>+IF($AG2083=AU$22,MONTH($D2083),"")</f>
        <v/>
      </c>
      <c r="AV2083" s="86" t="str">
        <f>+IF($AG2083=AV$22,MONTH($D2083),"")</f>
        <v/>
      </c>
      <c r="AW2083" s="86" t="str">
        <f>+IF($AG2083=AW$22,MONTH($D2083),"")</f>
        <v/>
      </c>
      <c r="AX2083" s="86" t="str">
        <f>+IF($AG2083=AX$22,MONTH($D2083),"")</f>
        <v/>
      </c>
      <c r="AY2083" s="89"/>
      <c r="AZ2083" s="89"/>
      <c r="BA2083" s="89"/>
      <c r="BB2083" s="89"/>
      <c r="BC2083" s="89"/>
      <c r="BD2083" s="89"/>
      <c r="BE2083" s="89"/>
      <c r="BF2083" s="89"/>
      <c r="BG2083" s="89"/>
      <c r="BH2083" s="89"/>
      <c r="BI2083" s="89"/>
      <c r="BJ2083" s="89"/>
      <c r="BK2083" s="89"/>
      <c r="BL2083" s="89"/>
      <c r="BM2083" s="89"/>
      <c r="BN2083" s="89"/>
      <c r="BO2083" s="89"/>
      <c r="BP2083" s="89"/>
    </row>
    <row r="2084" spans="1:68" s="56" customFormat="1" ht="13.5" hidden="1">
      <c r="A2084" s="204" t="str">
        <f>+IFERROR(VALUE(MID(AB2084,4,4)),"")</f>
        <v/>
      </c>
      <c r="B2084" s="204">
        <f>VALUE(RIGHT(C2084,LEN(C2084)-2))</f>
        <v>641</v>
      </c>
      <c r="C2084" s="74" t="s">
        <v>7200</v>
      </c>
      <c r="D2084" s="75">
        <v>42768</v>
      </c>
      <c r="E2084" s="70" t="s">
        <v>1988</v>
      </c>
      <c r="F2084" s="70" t="s">
        <v>1988</v>
      </c>
      <c r="G2084" s="68"/>
      <c r="H2084" s="59"/>
      <c r="I2084" s="162" t="s">
        <v>7201</v>
      </c>
      <c r="J2084" s="162"/>
      <c r="K2084" s="68"/>
      <c r="L2084" s="69" t="s">
        <v>123</v>
      </c>
      <c r="M2084" s="71" t="s">
        <v>141</v>
      </c>
      <c r="N2084" s="69" t="e" vm="1">
        <v>#VALUE!</v>
      </c>
      <c r="O2084" s="164">
        <v>42790</v>
      </c>
      <c r="P2084" s="72" t="s">
        <v>402</v>
      </c>
      <c r="Q2084" s="72"/>
      <c r="R2084" s="162"/>
      <c r="S2084" s="146"/>
      <c r="T2084" s="68" t="s">
        <v>165</v>
      </c>
      <c r="U2084" s="87"/>
      <c r="V2084" s="183">
        <v>42790</v>
      </c>
      <c r="W2084" s="73">
        <v>1000</v>
      </c>
      <c r="X2084" s="73"/>
      <c r="Y2084" s="83">
        <f>IF(SUM(W2084:W2084)&gt;0,X2084/SUM(W2084:W2084)*1000000,"N/A")</f>
        <v>0</v>
      </c>
      <c r="Z2084" s="183"/>
      <c r="AA2084" s="183"/>
      <c r="AB2084" s="73"/>
      <c r="AC2084" s="153"/>
      <c r="AD2084" s="331"/>
      <c r="AE2084" s="57"/>
      <c r="AF2084" s="88"/>
      <c r="AG2084" s="182">
        <f>YEAR(D2084)</f>
        <v>2017</v>
      </c>
      <c r="AH2084" s="86" t="str">
        <f>+IF(AE2084=$AJ$22,MONTH(T2084),"")</f>
        <v/>
      </c>
      <c r="AI2084" s="86" t="str">
        <f>+IF(AF2084=$AJ$22,MONTH(U2084),"")</f>
        <v/>
      </c>
      <c r="AJ2084" s="86" t="str">
        <f>+IF(AG2084=$AJ$22,MONTH(V2084),"")</f>
        <v/>
      </c>
      <c r="AK2084" s="86" t="str">
        <f>+IF(AG2084=$AK$22,MONTH(V2084),"")</f>
        <v/>
      </c>
      <c r="AL2084" s="86" t="str">
        <f>+IF(AG2084=$AL$22,MONTH(V2084),"")</f>
        <v/>
      </c>
      <c r="AM2084" s="86" t="str">
        <f>+IF($AG2084=$AM$22,MONTH($D2084),"")</f>
        <v/>
      </c>
      <c r="AN2084" s="89" t="str">
        <f>+IF($AG2084=AN$22,MONTH($D2084),"")</f>
        <v/>
      </c>
      <c r="AO2084" s="86" t="str">
        <f>+IF($AG2084=AO$22,MONTH($D2084),"")</f>
        <v/>
      </c>
      <c r="AP2084" s="86" t="str">
        <f>+IF($AG2084=AP$22,MONTH($D2084),"")</f>
        <v/>
      </c>
      <c r="AQ2084" s="86">
        <f>+IF($AG2084=AQ$22,MONTH($D2084),"")</f>
        <v>2</v>
      </c>
      <c r="AR2084" s="86" t="str">
        <f>+IF($AG2084=AR$22,MONTH($D2084),"")</f>
        <v/>
      </c>
      <c r="AS2084" s="86" t="str">
        <f>+IF($AG2084=AS$22,MONTH($D2084),"")</f>
        <v/>
      </c>
      <c r="AT2084" s="86" t="str">
        <f>+IF($AG2084=AT$22,MONTH($D2084),"")</f>
        <v/>
      </c>
      <c r="AU2084" s="86" t="str">
        <f>+IF($AG2084=AU$22,MONTH($D2084),"")</f>
        <v/>
      </c>
      <c r="AV2084" s="86" t="str">
        <f>+IF($AG2084=AV$22,MONTH($D2084),"")</f>
        <v/>
      </c>
      <c r="AW2084" s="86" t="str">
        <f>+IF($AG2084=AW$22,MONTH($D2084),"")</f>
        <v/>
      </c>
      <c r="AX2084" s="86" t="str">
        <f>+IF($AG2084=AX$22,MONTH($D2084),"")</f>
        <v/>
      </c>
      <c r="AY2084" s="89"/>
      <c r="AZ2084" s="89"/>
      <c r="BA2084" s="89"/>
      <c r="BB2084" s="89"/>
      <c r="BC2084" s="89"/>
      <c r="BD2084" s="89"/>
      <c r="BE2084" s="89"/>
      <c r="BF2084" s="89"/>
      <c r="BG2084" s="89"/>
      <c r="BH2084" s="89"/>
      <c r="BI2084" s="89"/>
      <c r="BJ2084" s="89"/>
      <c r="BK2084" s="89"/>
      <c r="BL2084" s="89"/>
      <c r="BM2084" s="89"/>
      <c r="BN2084" s="89"/>
      <c r="BO2084" s="89"/>
      <c r="BP2084" s="89"/>
    </row>
    <row r="2085" spans="1:68" s="56" customFormat="1" ht="13.5" hidden="1">
      <c r="A2085" s="204">
        <f>+IFERROR(VALUE(MID(AB2085,4,4)),"")</f>
        <v>158</v>
      </c>
      <c r="B2085" s="204">
        <f>VALUE(RIGHT(C2085,LEN(C2085)-2))</f>
        <v>640</v>
      </c>
      <c r="C2085" s="74" t="s">
        <v>7202</v>
      </c>
      <c r="D2085" s="75">
        <v>42758</v>
      </c>
      <c r="E2085" s="70" t="s">
        <v>41</v>
      </c>
      <c r="F2085" s="70" t="s">
        <v>41</v>
      </c>
      <c r="G2085" s="68"/>
      <c r="H2085" s="59"/>
      <c r="I2085" s="162" t="s">
        <v>7203</v>
      </c>
      <c r="J2085" s="162"/>
      <c r="K2085" s="68" t="s">
        <v>212</v>
      </c>
      <c r="L2085" s="69" t="s">
        <v>123</v>
      </c>
      <c r="M2085" s="71" t="s">
        <v>141</v>
      </c>
      <c r="N2085" s="69" t="e" vm="1">
        <v>#VALUE!</v>
      </c>
      <c r="O2085" s="164">
        <v>42768</v>
      </c>
      <c r="P2085" s="72" t="s">
        <v>402</v>
      </c>
      <c r="Q2085" s="72"/>
      <c r="R2085" s="162"/>
      <c r="S2085" s="146"/>
      <c r="T2085" s="68" t="s">
        <v>3</v>
      </c>
      <c r="U2085" s="87"/>
      <c r="V2085" s="183">
        <v>42790</v>
      </c>
      <c r="W2085" s="73">
        <v>5135</v>
      </c>
      <c r="X2085" s="73">
        <f>(20328*27201/1000000)/4</f>
        <v>138.23548199999999</v>
      </c>
      <c r="Y2085" s="83">
        <f>IF(SUM(W2085:W2085)&gt;0,X2085/SUM(W2085:W2085)*1000000,"N/A")</f>
        <v>26920.249659201556</v>
      </c>
      <c r="Z2085" s="183"/>
      <c r="AA2085" s="183"/>
      <c r="AB2085" s="223" t="s">
        <v>7204</v>
      </c>
      <c r="AC2085" s="153"/>
      <c r="AD2085" s="331"/>
      <c r="AE2085" s="57"/>
      <c r="AF2085" s="88"/>
      <c r="AG2085" s="182">
        <f>YEAR(D2085)</f>
        <v>2017</v>
      </c>
      <c r="AH2085" s="86" t="str">
        <f>+IF(AE2085=$AJ$22,MONTH(T2085),"")</f>
        <v/>
      </c>
      <c r="AI2085" s="86" t="str">
        <f>+IF(AF2085=$AJ$22,MONTH(U2085),"")</f>
        <v/>
      </c>
      <c r="AJ2085" s="86" t="str">
        <f>+IF(AG2085=$AJ$22,MONTH(V2085),"")</f>
        <v/>
      </c>
      <c r="AK2085" s="86" t="str">
        <f>+IF(AG2085=$AK$22,MONTH(V2085),"")</f>
        <v/>
      </c>
      <c r="AL2085" s="86" t="str">
        <f>+IF(AG2085=$AL$22,MONTH(V2085),"")</f>
        <v/>
      </c>
      <c r="AM2085" s="86" t="str">
        <f>+IF($AG2085=$AM$22,MONTH($D2085),"")</f>
        <v/>
      </c>
      <c r="AN2085" s="89" t="str">
        <f>+IF($AG2085=AN$22,MONTH($D2085),"")</f>
        <v/>
      </c>
      <c r="AO2085" s="86" t="str">
        <f>+IF($AG2085=AO$22,MONTH($D2085),"")</f>
        <v/>
      </c>
      <c r="AP2085" s="86" t="str">
        <f>+IF($AG2085=AP$22,MONTH($D2085),"")</f>
        <v/>
      </c>
      <c r="AQ2085" s="86">
        <f>+IF($AG2085=AQ$22,MONTH($D2085),"")</f>
        <v>1</v>
      </c>
      <c r="AR2085" s="86" t="str">
        <f>+IF($AG2085=AR$22,MONTH($D2085),"")</f>
        <v/>
      </c>
      <c r="AS2085" s="86" t="str">
        <f>+IF($AG2085=AS$22,MONTH($D2085),"")</f>
        <v/>
      </c>
      <c r="AT2085" s="86" t="str">
        <f>+IF($AG2085=AT$22,MONTH($D2085),"")</f>
        <v/>
      </c>
      <c r="AU2085" s="86" t="str">
        <f>+IF($AG2085=AU$22,MONTH($D2085),"")</f>
        <v/>
      </c>
      <c r="AV2085" s="86" t="str">
        <f>+IF($AG2085=AV$22,MONTH($D2085),"")</f>
        <v/>
      </c>
      <c r="AW2085" s="86" t="str">
        <f>+IF($AG2085=AW$22,MONTH($D2085),"")</f>
        <v/>
      </c>
      <c r="AX2085" s="86" t="str">
        <f>+IF($AG2085=AX$22,MONTH($D2085),"")</f>
        <v/>
      </c>
      <c r="AY2085" s="89"/>
      <c r="AZ2085" s="89"/>
      <c r="BA2085" s="89"/>
      <c r="BB2085" s="89"/>
      <c r="BC2085" s="89"/>
      <c r="BD2085" s="89"/>
      <c r="BE2085" s="89"/>
      <c r="BF2085" s="89"/>
      <c r="BG2085" s="89"/>
      <c r="BH2085" s="89"/>
      <c r="BI2085" s="89"/>
      <c r="BJ2085" s="89"/>
      <c r="BK2085" s="89"/>
      <c r="BL2085" s="89"/>
      <c r="BM2085" s="89"/>
      <c r="BN2085" s="89"/>
      <c r="BO2085" s="89"/>
      <c r="BP2085" s="89"/>
    </row>
    <row r="2086" spans="1:68" s="56" customFormat="1" ht="13.5" hidden="1">
      <c r="A2086" s="204" t="str">
        <f>+IFERROR(VALUE(MID(AB2086,4,4)),"")</f>
        <v/>
      </c>
      <c r="B2086" s="204">
        <f>VALUE(RIGHT(C2086,LEN(C2086)-2))</f>
        <v>639</v>
      </c>
      <c r="C2086" s="74" t="s">
        <v>7205</v>
      </c>
      <c r="D2086" s="75">
        <v>42755</v>
      </c>
      <c r="E2086" s="70" t="s">
        <v>106</v>
      </c>
      <c r="F2086" s="70" t="s">
        <v>106</v>
      </c>
      <c r="G2086" s="68"/>
      <c r="H2086" s="59"/>
      <c r="I2086" s="162" t="s">
        <v>7206</v>
      </c>
      <c r="J2086" s="162"/>
      <c r="K2086" s="68"/>
      <c r="L2086" s="69" t="s">
        <v>123</v>
      </c>
      <c r="M2086" s="71" t="s">
        <v>141</v>
      </c>
      <c r="N2086" s="69" t="e" vm="1">
        <v>#VALUE!</v>
      </c>
      <c r="O2086" s="164">
        <v>42768</v>
      </c>
      <c r="P2086" s="72" t="s">
        <v>4567</v>
      </c>
      <c r="Q2086" s="72"/>
      <c r="R2086" s="162"/>
      <c r="S2086" s="146"/>
      <c r="T2086" s="68" t="s">
        <v>165</v>
      </c>
      <c r="U2086" s="87"/>
      <c r="V2086" s="183">
        <v>42790</v>
      </c>
      <c r="W2086" s="73">
        <v>4500</v>
      </c>
      <c r="X2086" s="73">
        <v>128</v>
      </c>
      <c r="Y2086" s="83">
        <f>IF(SUM(W2086:W2086)&gt;0,X2086/SUM(W2086:W2086)*1000000,"N/A")</f>
        <v>28444.444444444445</v>
      </c>
      <c r="Z2086" s="183"/>
      <c r="AA2086" s="183"/>
      <c r="AB2086" s="223"/>
      <c r="AC2086" s="153"/>
      <c r="AD2086" s="331"/>
      <c r="AE2086" s="57"/>
      <c r="AF2086" s="88"/>
      <c r="AG2086" s="182">
        <f>YEAR(D2086)</f>
        <v>2017</v>
      </c>
      <c r="AH2086" s="86" t="str">
        <f>+IF(AE2086=$AJ$22,MONTH(T2086),"")</f>
        <v/>
      </c>
      <c r="AI2086" s="86" t="str">
        <f>+IF(AF2086=$AJ$22,MONTH(U2086),"")</f>
        <v/>
      </c>
      <c r="AJ2086" s="86" t="str">
        <f>+IF(AG2086=$AJ$22,MONTH(V2086),"")</f>
        <v/>
      </c>
      <c r="AK2086" s="86" t="str">
        <f>+IF(AG2086=$AK$22,MONTH(V2086),"")</f>
        <v/>
      </c>
      <c r="AL2086" s="86" t="str">
        <f>+IF(AG2086=$AL$22,MONTH(V2086),"")</f>
        <v/>
      </c>
      <c r="AM2086" s="86" t="str">
        <f>+IF($AG2086=$AM$22,MONTH($D2086),"")</f>
        <v/>
      </c>
      <c r="AN2086" s="89" t="str">
        <f>+IF($AG2086=AN$22,MONTH($D2086),"")</f>
        <v/>
      </c>
      <c r="AO2086" s="86" t="str">
        <f>+IF($AG2086=AO$22,MONTH($D2086),"")</f>
        <v/>
      </c>
      <c r="AP2086" s="86" t="str">
        <f>+IF($AG2086=AP$22,MONTH($D2086),"")</f>
        <v/>
      </c>
      <c r="AQ2086" s="86">
        <f>+IF($AG2086=AQ$22,MONTH($D2086),"")</f>
        <v>1</v>
      </c>
      <c r="AR2086" s="86" t="str">
        <f>+IF($AG2086=AR$22,MONTH($D2086),"")</f>
        <v/>
      </c>
      <c r="AS2086" s="86" t="str">
        <f>+IF($AG2086=AS$22,MONTH($D2086),"")</f>
        <v/>
      </c>
      <c r="AT2086" s="86" t="str">
        <f>+IF($AG2086=AT$22,MONTH($D2086),"")</f>
        <v/>
      </c>
      <c r="AU2086" s="86" t="str">
        <f>+IF($AG2086=AU$22,MONTH($D2086),"")</f>
        <v/>
      </c>
      <c r="AV2086" s="86" t="str">
        <f>+IF($AG2086=AV$22,MONTH($D2086),"")</f>
        <v/>
      </c>
      <c r="AW2086" s="86" t="str">
        <f>+IF($AG2086=AW$22,MONTH($D2086),"")</f>
        <v/>
      </c>
      <c r="AX2086" s="86" t="str">
        <f>+IF($AG2086=AX$22,MONTH($D2086),"")</f>
        <v/>
      </c>
      <c r="AY2086" s="89"/>
      <c r="AZ2086" s="89"/>
      <c r="BA2086" s="89"/>
      <c r="BB2086" s="89"/>
      <c r="BC2086" s="89"/>
      <c r="BD2086" s="89"/>
      <c r="BE2086" s="89"/>
      <c r="BF2086" s="89"/>
      <c r="BG2086" s="89"/>
      <c r="BH2086" s="89"/>
      <c r="BI2086" s="89"/>
      <c r="BJ2086" s="89"/>
      <c r="BK2086" s="89"/>
      <c r="BL2086" s="89"/>
      <c r="BM2086" s="89"/>
      <c r="BN2086" s="89"/>
      <c r="BO2086" s="89"/>
      <c r="BP2086" s="89"/>
    </row>
    <row r="2087" spans="1:68" s="56" customFormat="1" ht="13.5" hidden="1">
      <c r="A2087" s="204" t="str">
        <f>+IFERROR(VALUE(MID(AB2087,4,4)),"")</f>
        <v/>
      </c>
      <c r="B2087" s="204">
        <f>VALUE(RIGHT(C2087,LEN(C2087)-2))</f>
        <v>638</v>
      </c>
      <c r="C2087" s="74" t="s">
        <v>7207</v>
      </c>
      <c r="D2087" s="75">
        <v>42755</v>
      </c>
      <c r="E2087" s="70" t="s">
        <v>332</v>
      </c>
      <c r="F2087" s="70" t="s">
        <v>332</v>
      </c>
      <c r="G2087" s="68"/>
      <c r="H2087" s="59"/>
      <c r="I2087" s="162" t="s">
        <v>7208</v>
      </c>
      <c r="J2087" s="162"/>
      <c r="K2087" s="68" t="s">
        <v>13</v>
      </c>
      <c r="L2087" s="69" t="s">
        <v>120</v>
      </c>
      <c r="M2087" s="71" t="s">
        <v>141</v>
      </c>
      <c r="N2087" s="69" t="e" vm="1">
        <v>#VALUE!</v>
      </c>
      <c r="O2087" s="164">
        <v>42755</v>
      </c>
      <c r="P2087" s="72" t="s">
        <v>402</v>
      </c>
      <c r="Q2087" s="72"/>
      <c r="R2087" s="162"/>
      <c r="S2087" s="146"/>
      <c r="T2087" s="68" t="s">
        <v>165</v>
      </c>
      <c r="U2087" s="87"/>
      <c r="V2087" s="183">
        <v>42886</v>
      </c>
      <c r="W2087" s="73">
        <v>387</v>
      </c>
      <c r="X2087" s="73">
        <f>401*26332/1000000</f>
        <v>10.559132</v>
      </c>
      <c r="Y2087" s="83">
        <f>IF(SUM(W2087:W2087)&gt;0,X2087/SUM(W2087:W2087)*1000000,"N/A")</f>
        <v>27284.578811369509</v>
      </c>
      <c r="Z2087" s="183"/>
      <c r="AA2087" s="183"/>
      <c r="AB2087" s="223"/>
      <c r="AC2087" s="153"/>
      <c r="AD2087" s="331"/>
      <c r="AE2087" s="57"/>
      <c r="AF2087" s="88"/>
      <c r="AG2087" s="182">
        <f>YEAR(D2087)</f>
        <v>2017</v>
      </c>
      <c r="AH2087" s="86" t="str">
        <f>+IF(AE2087=$AJ$22,MONTH(T2087),"")</f>
        <v/>
      </c>
      <c r="AI2087" s="86" t="str">
        <f>+IF(AF2087=$AJ$22,MONTH(U2087),"")</f>
        <v/>
      </c>
      <c r="AJ2087" s="86" t="str">
        <f>+IF(AG2087=$AJ$22,MONTH(V2087),"")</f>
        <v/>
      </c>
      <c r="AK2087" s="86" t="str">
        <f>+IF(AG2087=$AK$22,MONTH(V2087),"")</f>
        <v/>
      </c>
      <c r="AL2087" s="86" t="str">
        <f>+IF(AG2087=$AL$22,MONTH(V2087),"")</f>
        <v/>
      </c>
      <c r="AM2087" s="86" t="str">
        <f>+IF($AG2087=$AM$22,MONTH($D2087),"")</f>
        <v/>
      </c>
      <c r="AN2087" s="89" t="str">
        <f>+IF($AG2087=AN$22,MONTH($D2087),"")</f>
        <v/>
      </c>
      <c r="AO2087" s="86" t="str">
        <f>+IF($AG2087=AO$22,MONTH($D2087),"")</f>
        <v/>
      </c>
      <c r="AP2087" s="86" t="str">
        <f>+IF($AG2087=AP$22,MONTH($D2087),"")</f>
        <v/>
      </c>
      <c r="AQ2087" s="86">
        <f>+IF($AG2087=AQ$22,MONTH($D2087),"")</f>
        <v>1</v>
      </c>
      <c r="AR2087" s="86" t="str">
        <f>+IF($AG2087=AR$22,MONTH($D2087),"")</f>
        <v/>
      </c>
      <c r="AS2087" s="86" t="str">
        <f>+IF($AG2087=AS$22,MONTH($D2087),"")</f>
        <v/>
      </c>
      <c r="AT2087" s="86" t="str">
        <f>+IF($AG2087=AT$22,MONTH($D2087),"")</f>
        <v/>
      </c>
      <c r="AU2087" s="86" t="str">
        <f>+IF($AG2087=AU$22,MONTH($D2087),"")</f>
        <v/>
      </c>
      <c r="AV2087" s="86" t="str">
        <f>+IF($AG2087=AV$22,MONTH($D2087),"")</f>
        <v/>
      </c>
      <c r="AW2087" s="86" t="str">
        <f>+IF($AG2087=AW$22,MONTH($D2087),"")</f>
        <v/>
      </c>
      <c r="AX2087" s="86" t="str">
        <f>+IF($AG2087=AX$22,MONTH($D2087),"")</f>
        <v/>
      </c>
      <c r="AY2087" s="89"/>
      <c r="AZ2087" s="89"/>
      <c r="BA2087" s="89"/>
      <c r="BB2087" s="89"/>
      <c r="BC2087" s="89"/>
      <c r="BD2087" s="89"/>
      <c r="BE2087" s="89"/>
      <c r="BF2087" s="89"/>
      <c r="BG2087" s="89"/>
      <c r="BH2087" s="89"/>
      <c r="BI2087" s="89"/>
      <c r="BJ2087" s="89"/>
      <c r="BK2087" s="89"/>
      <c r="BL2087" s="89"/>
      <c r="BM2087" s="89"/>
      <c r="BN2087" s="89"/>
      <c r="BO2087" s="89"/>
      <c r="BP2087" s="89"/>
    </row>
    <row r="2088" spans="1:68" s="56" customFormat="1" ht="13.5" hidden="1">
      <c r="A2088" s="204" t="str">
        <f>+IFERROR(VALUE(MID(AB2088,4,4)),"")</f>
        <v/>
      </c>
      <c r="B2088" s="204">
        <f>VALUE(RIGHT(C2088,LEN(C2088)-2))</f>
        <v>637</v>
      </c>
      <c r="C2088" s="74" t="s">
        <v>7209</v>
      </c>
      <c r="D2088" s="75">
        <v>42754</v>
      </c>
      <c r="E2088" s="70" t="s">
        <v>277</v>
      </c>
      <c r="F2088" s="70" t="s">
        <v>277</v>
      </c>
      <c r="G2088" s="68"/>
      <c r="H2088" s="59"/>
      <c r="I2088" s="162" t="s">
        <v>7210</v>
      </c>
      <c r="J2088" s="162"/>
      <c r="K2088" s="68"/>
      <c r="L2088" s="69" t="s">
        <v>120</v>
      </c>
      <c r="M2088" s="71" t="s">
        <v>141</v>
      </c>
      <c r="N2088" s="69" t="e" vm="1">
        <v>#VALUE!</v>
      </c>
      <c r="O2088" s="164">
        <v>42760</v>
      </c>
      <c r="P2088" s="72" t="s">
        <v>7117</v>
      </c>
      <c r="Q2088" s="72"/>
      <c r="R2088" s="162"/>
      <c r="S2088" s="146"/>
      <c r="T2088" s="68" t="s">
        <v>165</v>
      </c>
      <c r="U2088" s="87"/>
      <c r="V2088" s="183">
        <v>42886</v>
      </c>
      <c r="W2088" s="73">
        <v>961</v>
      </c>
      <c r="X2088" s="73">
        <f>1570*26330/1000000</f>
        <v>41.338099999999997</v>
      </c>
      <c r="Y2088" s="83">
        <f>IF(SUM(W2088:W2088)&gt;0,X2088/SUM(W2088:W2088)*1000000,"N/A")</f>
        <v>43015.71279916753</v>
      </c>
      <c r="Z2088" s="183"/>
      <c r="AA2088" s="183"/>
      <c r="AB2088" s="223"/>
      <c r="AC2088" s="153"/>
      <c r="AD2088" s="331"/>
      <c r="AE2088" s="57"/>
      <c r="AF2088" s="88"/>
      <c r="AG2088" s="182">
        <f>YEAR(D2088)</f>
        <v>2017</v>
      </c>
      <c r="AH2088" s="86" t="str">
        <f>+IF(AE2088=$AJ$22,MONTH(T2088),"")</f>
        <v/>
      </c>
      <c r="AI2088" s="86" t="str">
        <f>+IF(AF2088=$AJ$22,MONTH(U2088),"")</f>
        <v/>
      </c>
      <c r="AJ2088" s="86" t="str">
        <f>+IF(AG2088=$AJ$22,MONTH(V2088),"")</f>
        <v/>
      </c>
      <c r="AK2088" s="86" t="str">
        <f>+IF(AG2088=$AK$22,MONTH(V2088),"")</f>
        <v/>
      </c>
      <c r="AL2088" s="86" t="str">
        <f>+IF(AG2088=$AL$22,MONTH(V2088),"")</f>
        <v/>
      </c>
      <c r="AM2088" s="86" t="str">
        <f>+IF($AG2088=$AM$22,MONTH($D2088),"")</f>
        <v/>
      </c>
      <c r="AN2088" s="89" t="str">
        <f>+IF($AG2088=AN$22,MONTH($D2088),"")</f>
        <v/>
      </c>
      <c r="AO2088" s="86" t="str">
        <f>+IF($AG2088=AO$22,MONTH($D2088),"")</f>
        <v/>
      </c>
      <c r="AP2088" s="86" t="str">
        <f>+IF($AG2088=AP$22,MONTH($D2088),"")</f>
        <v/>
      </c>
      <c r="AQ2088" s="86">
        <f>+IF($AG2088=AQ$22,MONTH($D2088),"")</f>
        <v>1</v>
      </c>
      <c r="AR2088" s="86" t="str">
        <f>+IF($AG2088=AR$22,MONTH($D2088),"")</f>
        <v/>
      </c>
      <c r="AS2088" s="86" t="str">
        <f>+IF($AG2088=AS$22,MONTH($D2088),"")</f>
        <v/>
      </c>
      <c r="AT2088" s="86" t="str">
        <f>+IF($AG2088=AT$22,MONTH($D2088),"")</f>
        <v/>
      </c>
      <c r="AU2088" s="86" t="str">
        <f>+IF($AG2088=AU$22,MONTH($D2088),"")</f>
        <v/>
      </c>
      <c r="AV2088" s="86" t="str">
        <f>+IF($AG2088=AV$22,MONTH($D2088),"")</f>
        <v/>
      </c>
      <c r="AW2088" s="86" t="str">
        <f>+IF($AG2088=AW$22,MONTH($D2088),"")</f>
        <v/>
      </c>
      <c r="AX2088" s="86" t="str">
        <f>+IF($AG2088=AX$22,MONTH($D2088),"")</f>
        <v/>
      </c>
      <c r="AY2088" s="89"/>
      <c r="AZ2088" s="89"/>
      <c r="BA2088" s="89"/>
      <c r="BB2088" s="89"/>
      <c r="BC2088" s="89"/>
      <c r="BD2088" s="89"/>
      <c r="BE2088" s="89"/>
      <c r="BF2088" s="89"/>
      <c r="BG2088" s="89"/>
      <c r="BH2088" s="89"/>
      <c r="BI2088" s="89"/>
      <c r="BJ2088" s="89"/>
      <c r="BK2088" s="89"/>
      <c r="BL2088" s="89"/>
      <c r="BM2088" s="89"/>
      <c r="BN2088" s="89"/>
      <c r="BO2088" s="89"/>
      <c r="BP2088" s="89"/>
    </row>
    <row r="2089" spans="1:68" s="56" customFormat="1" ht="13.5" hidden="1">
      <c r="A2089" s="204" t="str">
        <f>+IFERROR(VALUE(MID(AB2089,4,4)),"")</f>
        <v/>
      </c>
      <c r="B2089" s="204">
        <f>VALUE(RIGHT(C2089,LEN(C2089)-2))</f>
        <v>636</v>
      </c>
      <c r="C2089" s="74" t="s">
        <v>7211</v>
      </c>
      <c r="D2089" s="75">
        <v>42755</v>
      </c>
      <c r="E2089" s="70" t="s">
        <v>277</v>
      </c>
      <c r="F2089" s="70" t="s">
        <v>277</v>
      </c>
      <c r="G2089" s="68"/>
      <c r="H2089" s="59"/>
      <c r="I2089" s="162" t="s">
        <v>7212</v>
      </c>
      <c r="J2089" s="162"/>
      <c r="K2089" s="68" t="s">
        <v>30</v>
      </c>
      <c r="L2089" s="69" t="s">
        <v>120</v>
      </c>
      <c r="M2089" s="71" t="s">
        <v>141</v>
      </c>
      <c r="N2089" s="69" t="e" vm="1">
        <v>#VALUE!</v>
      </c>
      <c r="O2089" s="164">
        <v>42755</v>
      </c>
      <c r="P2089" s="72" t="s">
        <v>402</v>
      </c>
      <c r="Q2089" s="72"/>
      <c r="R2089" s="162"/>
      <c r="S2089" s="146"/>
      <c r="T2089" s="68" t="s">
        <v>165</v>
      </c>
      <c r="U2089" s="87"/>
      <c r="V2089" s="183">
        <v>42886</v>
      </c>
      <c r="W2089" s="73">
        <v>615</v>
      </c>
      <c r="X2089" s="73">
        <f>950*26332/1000000</f>
        <v>25.0154</v>
      </c>
      <c r="Y2089" s="83">
        <f>IF(SUM(W2089:W2089)&gt;0,X2089/SUM(W2089:W2089)*1000000,"N/A")</f>
        <v>40675.447154471542</v>
      </c>
      <c r="Z2089" s="183"/>
      <c r="AA2089" s="183"/>
      <c r="AB2089" s="223"/>
      <c r="AC2089" s="153"/>
      <c r="AD2089" s="331"/>
      <c r="AE2089" s="57"/>
      <c r="AF2089" s="88"/>
      <c r="AG2089" s="182">
        <f>YEAR(D2089)</f>
        <v>2017</v>
      </c>
      <c r="AH2089" s="86" t="str">
        <f>+IF(AE2089=$AJ$22,MONTH(T2089),"")</f>
        <v/>
      </c>
      <c r="AI2089" s="86" t="str">
        <f>+IF(AF2089=$AJ$22,MONTH(U2089),"")</f>
        <v/>
      </c>
      <c r="AJ2089" s="86" t="str">
        <f>+IF(AG2089=$AJ$22,MONTH(V2089),"")</f>
        <v/>
      </c>
      <c r="AK2089" s="86" t="str">
        <f>+IF(AG2089=$AK$22,MONTH(V2089),"")</f>
        <v/>
      </c>
      <c r="AL2089" s="86" t="str">
        <f>+IF(AG2089=$AL$22,MONTH(V2089),"")</f>
        <v/>
      </c>
      <c r="AM2089" s="86" t="str">
        <f>+IF($AG2089=$AM$22,MONTH($D2089),"")</f>
        <v/>
      </c>
      <c r="AN2089" s="89" t="str">
        <f>+IF($AG2089=AN$22,MONTH($D2089),"")</f>
        <v/>
      </c>
      <c r="AO2089" s="86" t="str">
        <f>+IF($AG2089=AO$22,MONTH($D2089),"")</f>
        <v/>
      </c>
      <c r="AP2089" s="86" t="str">
        <f>+IF($AG2089=AP$22,MONTH($D2089),"")</f>
        <v/>
      </c>
      <c r="AQ2089" s="86">
        <f>+IF($AG2089=AQ$22,MONTH($D2089),"")</f>
        <v>1</v>
      </c>
      <c r="AR2089" s="86" t="str">
        <f>+IF($AG2089=AR$22,MONTH($D2089),"")</f>
        <v/>
      </c>
      <c r="AS2089" s="86" t="str">
        <f>+IF($AG2089=AS$22,MONTH($D2089),"")</f>
        <v/>
      </c>
      <c r="AT2089" s="86" t="str">
        <f>+IF($AG2089=AT$22,MONTH($D2089),"")</f>
        <v/>
      </c>
      <c r="AU2089" s="86" t="str">
        <f>+IF($AG2089=AU$22,MONTH($D2089),"")</f>
        <v/>
      </c>
      <c r="AV2089" s="86" t="str">
        <f>+IF($AG2089=AV$22,MONTH($D2089),"")</f>
        <v/>
      </c>
      <c r="AW2089" s="86" t="str">
        <f>+IF($AG2089=AW$22,MONTH($D2089),"")</f>
        <v/>
      </c>
      <c r="AX2089" s="86" t="str">
        <f>+IF($AG2089=AX$22,MONTH($D2089),"")</f>
        <v/>
      </c>
      <c r="AY2089" s="89"/>
      <c r="AZ2089" s="89"/>
      <c r="BA2089" s="89"/>
      <c r="BB2089" s="89"/>
      <c r="BC2089" s="89"/>
      <c r="BD2089" s="89"/>
      <c r="BE2089" s="89"/>
      <c r="BF2089" s="89"/>
      <c r="BG2089" s="89"/>
      <c r="BH2089" s="89"/>
      <c r="BI2089" s="89"/>
      <c r="BJ2089" s="89"/>
      <c r="BK2089" s="89"/>
      <c r="BL2089" s="89"/>
      <c r="BM2089" s="89"/>
      <c r="BN2089" s="89"/>
      <c r="BO2089" s="89"/>
      <c r="BP2089" s="89"/>
    </row>
    <row r="2090" spans="1:68" s="56" customFormat="1" ht="13.5" hidden="1">
      <c r="A2090" s="204" t="str">
        <f>+IFERROR(VALUE(MID(AB2090,4,4)),"")</f>
        <v/>
      </c>
      <c r="B2090" s="204">
        <f>VALUE(RIGHT(C2090,LEN(C2090)-2))</f>
        <v>635</v>
      </c>
      <c r="C2090" s="74" t="s">
        <v>7213</v>
      </c>
      <c r="D2090" s="75">
        <v>42755</v>
      </c>
      <c r="E2090" s="70" t="s">
        <v>53</v>
      </c>
      <c r="F2090" s="70" t="s">
        <v>287</v>
      </c>
      <c r="G2090" s="68"/>
      <c r="H2090" s="59"/>
      <c r="I2090" s="162" t="s">
        <v>7214</v>
      </c>
      <c r="J2090" s="162"/>
      <c r="K2090" s="68" t="s">
        <v>30</v>
      </c>
      <c r="L2090" s="69" t="s">
        <v>120</v>
      </c>
      <c r="M2090" s="71" t="s">
        <v>141</v>
      </c>
      <c r="N2090" s="69" t="e" vm="1">
        <v>#VALUE!</v>
      </c>
      <c r="O2090" s="164">
        <v>42755</v>
      </c>
      <c r="P2090" s="72" t="s">
        <v>7117</v>
      </c>
      <c r="Q2090" s="72"/>
      <c r="R2090" s="162"/>
      <c r="S2090" s="146"/>
      <c r="T2090" s="68" t="s">
        <v>165</v>
      </c>
      <c r="U2090" s="87"/>
      <c r="V2090" s="183">
        <v>42758</v>
      </c>
      <c r="W2090" s="73">
        <v>665</v>
      </c>
      <c r="X2090" s="73">
        <f>1059*26332/1000000</f>
        <v>27.885587999999998</v>
      </c>
      <c r="Y2090" s="83">
        <f>IF(SUM(W2090:W2090)&gt;0,X2090/SUM(W2090:W2090)*1000000,"N/A")</f>
        <v>41933.215037593982</v>
      </c>
      <c r="Z2090" s="183"/>
      <c r="AA2090" s="183"/>
      <c r="AB2090" s="223"/>
      <c r="AC2090" s="153"/>
      <c r="AD2090" s="331"/>
      <c r="AE2090" s="57"/>
      <c r="AF2090" s="88"/>
      <c r="AG2090" s="182">
        <f>YEAR(D2090)</f>
        <v>2017</v>
      </c>
      <c r="AH2090" s="86" t="str">
        <f>+IF(AE2090=$AJ$22,MONTH(T2090),"")</f>
        <v/>
      </c>
      <c r="AI2090" s="86" t="str">
        <f>+IF(AF2090=$AJ$22,MONTH(U2090),"")</f>
        <v/>
      </c>
      <c r="AJ2090" s="86" t="str">
        <f>+IF(AG2090=$AJ$22,MONTH(V2090),"")</f>
        <v/>
      </c>
      <c r="AK2090" s="86" t="str">
        <f>+IF(AG2090=$AK$22,MONTH(V2090),"")</f>
        <v/>
      </c>
      <c r="AL2090" s="86" t="str">
        <f>+IF(AG2090=$AL$22,MONTH(V2090),"")</f>
        <v/>
      </c>
      <c r="AM2090" s="86" t="str">
        <f>+IF($AG2090=$AM$22,MONTH($D2090),"")</f>
        <v/>
      </c>
      <c r="AN2090" s="89" t="str">
        <f>+IF($AG2090=AN$22,MONTH($D2090),"")</f>
        <v/>
      </c>
      <c r="AO2090" s="86" t="str">
        <f>+IF($AG2090=AO$22,MONTH($D2090),"")</f>
        <v/>
      </c>
      <c r="AP2090" s="86" t="str">
        <f>+IF($AG2090=AP$22,MONTH($D2090),"")</f>
        <v/>
      </c>
      <c r="AQ2090" s="86">
        <f>+IF($AG2090=AQ$22,MONTH($D2090),"")</f>
        <v>1</v>
      </c>
      <c r="AR2090" s="86" t="str">
        <f>+IF($AG2090=AR$22,MONTH($D2090),"")</f>
        <v/>
      </c>
      <c r="AS2090" s="86" t="str">
        <f>+IF($AG2090=AS$22,MONTH($D2090),"")</f>
        <v/>
      </c>
      <c r="AT2090" s="86" t="str">
        <f>+IF($AG2090=AT$22,MONTH($D2090),"")</f>
        <v/>
      </c>
      <c r="AU2090" s="86" t="str">
        <f>+IF($AG2090=AU$22,MONTH($D2090),"")</f>
        <v/>
      </c>
      <c r="AV2090" s="86" t="str">
        <f>+IF($AG2090=AV$22,MONTH($D2090),"")</f>
        <v/>
      </c>
      <c r="AW2090" s="86" t="str">
        <f>+IF($AG2090=AW$22,MONTH($D2090),"")</f>
        <v/>
      </c>
      <c r="AX2090" s="86" t="str">
        <f>+IF($AG2090=AX$22,MONTH($D2090),"")</f>
        <v/>
      </c>
      <c r="AY2090" s="89"/>
      <c r="AZ2090" s="89"/>
      <c r="BA2090" s="89"/>
      <c r="BB2090" s="89"/>
      <c r="BC2090" s="89"/>
      <c r="BD2090" s="89"/>
      <c r="BE2090" s="89"/>
      <c r="BF2090" s="89"/>
      <c r="BG2090" s="89"/>
      <c r="BH2090" s="89"/>
      <c r="BI2090" s="89"/>
      <c r="BJ2090" s="89"/>
      <c r="BK2090" s="89"/>
      <c r="BL2090" s="89"/>
      <c r="BM2090" s="89"/>
      <c r="BN2090" s="89"/>
      <c r="BO2090" s="89"/>
      <c r="BP2090" s="89"/>
    </row>
    <row r="2091" spans="1:68" s="56" customFormat="1" ht="81" hidden="1">
      <c r="A2091" s="204" t="str">
        <f>+IFERROR(VALUE(MID(AB2091,4,4)),"")</f>
        <v/>
      </c>
      <c r="B2091" s="204">
        <f>VALUE(RIGHT(C2091,LEN(C2091)-2))</f>
        <v>634</v>
      </c>
      <c r="C2091" s="74" t="s">
        <v>7215</v>
      </c>
      <c r="D2091" s="75">
        <v>42753</v>
      </c>
      <c r="E2091" s="70" t="s">
        <v>3790</v>
      </c>
      <c r="F2091" s="70" t="s">
        <v>3790</v>
      </c>
      <c r="G2091" s="68"/>
      <c r="H2091" s="59"/>
      <c r="I2091" s="162" t="s">
        <v>7216</v>
      </c>
      <c r="J2091" s="162"/>
      <c r="K2091" s="68" t="s">
        <v>13</v>
      </c>
      <c r="L2091" s="69" t="s">
        <v>120</v>
      </c>
      <c r="M2091" s="71" t="s">
        <v>141</v>
      </c>
      <c r="N2091" s="69" t="e" vm="1">
        <v>#VALUE!</v>
      </c>
      <c r="O2091" s="164">
        <v>42753</v>
      </c>
      <c r="P2091" s="72" t="s">
        <v>402</v>
      </c>
      <c r="Q2091" s="72"/>
      <c r="R2091" s="162"/>
      <c r="S2091" s="146" t="s">
        <v>7217</v>
      </c>
      <c r="T2091" s="68" t="s">
        <v>155</v>
      </c>
      <c r="U2091" s="87"/>
      <c r="V2091" s="183">
        <v>42758</v>
      </c>
      <c r="W2091" s="73">
        <v>1107</v>
      </c>
      <c r="X2091" s="73">
        <f>1360*26332/1000000</f>
        <v>35.811520000000002</v>
      </c>
      <c r="Y2091" s="83">
        <f>IF(SUM(W2091:W2091)&gt;0,X2091/SUM(W2091:W2091)*1000000,"N/A")</f>
        <v>32350.063233965673</v>
      </c>
      <c r="Z2091" s="183"/>
      <c r="AA2091" s="183"/>
      <c r="AB2091" s="223"/>
      <c r="AC2091" s="153"/>
      <c r="AD2091" s="331"/>
      <c r="AE2091" s="57"/>
      <c r="AF2091" s="88"/>
      <c r="AG2091" s="182">
        <f>YEAR(D2091)</f>
        <v>2017</v>
      </c>
      <c r="AH2091" s="86" t="str">
        <f>+IF(AE2091=$AJ$22,MONTH(T2091),"")</f>
        <v/>
      </c>
      <c r="AI2091" s="86" t="str">
        <f>+IF(AF2091=$AJ$22,MONTH(U2091),"")</f>
        <v/>
      </c>
      <c r="AJ2091" s="86" t="str">
        <f>+IF(AG2091=$AJ$22,MONTH(V2091),"")</f>
        <v/>
      </c>
      <c r="AK2091" s="86" t="str">
        <f>+IF(AG2091=$AK$22,MONTH(V2091),"")</f>
        <v/>
      </c>
      <c r="AL2091" s="86" t="str">
        <f>+IF(AG2091=$AL$22,MONTH(V2091),"")</f>
        <v/>
      </c>
      <c r="AM2091" s="86" t="str">
        <f>+IF($AG2091=$AM$22,MONTH($D2091),"")</f>
        <v/>
      </c>
      <c r="AN2091" s="89" t="str">
        <f>+IF($AG2091=AN$22,MONTH($D2091),"")</f>
        <v/>
      </c>
      <c r="AO2091" s="86" t="str">
        <f>+IF($AG2091=AO$22,MONTH($D2091),"")</f>
        <v/>
      </c>
      <c r="AP2091" s="86" t="str">
        <f>+IF($AG2091=AP$22,MONTH($D2091),"")</f>
        <v/>
      </c>
      <c r="AQ2091" s="86">
        <f>+IF($AG2091=AQ$22,MONTH($D2091),"")</f>
        <v>1</v>
      </c>
      <c r="AR2091" s="86" t="str">
        <f>+IF($AG2091=AR$22,MONTH($D2091),"")</f>
        <v/>
      </c>
      <c r="AS2091" s="86" t="str">
        <f>+IF($AG2091=AS$22,MONTH($D2091),"")</f>
        <v/>
      </c>
      <c r="AT2091" s="86" t="str">
        <f>+IF($AG2091=AT$22,MONTH($D2091),"")</f>
        <v/>
      </c>
      <c r="AU2091" s="86" t="str">
        <f>+IF($AG2091=AU$22,MONTH($D2091),"")</f>
        <v/>
      </c>
      <c r="AV2091" s="86" t="str">
        <f>+IF($AG2091=AV$22,MONTH($D2091),"")</f>
        <v/>
      </c>
      <c r="AW2091" s="86" t="str">
        <f>+IF($AG2091=AW$22,MONTH($D2091),"")</f>
        <v/>
      </c>
      <c r="AX2091" s="86" t="str">
        <f>+IF($AG2091=AX$22,MONTH($D2091),"")</f>
        <v/>
      </c>
      <c r="AY2091" s="89"/>
      <c r="AZ2091" s="89"/>
      <c r="BA2091" s="89"/>
      <c r="BB2091" s="89"/>
      <c r="BC2091" s="89"/>
      <c r="BD2091" s="89"/>
      <c r="BE2091" s="89"/>
      <c r="BF2091" s="89"/>
      <c r="BG2091" s="89"/>
      <c r="BH2091" s="89"/>
      <c r="BI2091" s="89"/>
      <c r="BJ2091" s="89"/>
      <c r="BK2091" s="89"/>
      <c r="BL2091" s="89"/>
      <c r="BM2091" s="89"/>
      <c r="BN2091" s="89"/>
      <c r="BO2091" s="89"/>
      <c r="BP2091" s="89"/>
    </row>
    <row r="2092" spans="1:68" s="56" customFormat="1" ht="81" hidden="1">
      <c r="A2092" s="204" t="str">
        <f>+IFERROR(VALUE(MID(AB2092,4,4)),"")</f>
        <v/>
      </c>
      <c r="B2092" s="204">
        <f>VALUE(RIGHT(C2092,LEN(C2092)-2))</f>
        <v>633</v>
      </c>
      <c r="C2092" s="74" t="s">
        <v>7218</v>
      </c>
      <c r="D2092" s="75">
        <v>42753</v>
      </c>
      <c r="E2092" s="70" t="s">
        <v>3790</v>
      </c>
      <c r="F2092" s="70" t="s">
        <v>3790</v>
      </c>
      <c r="G2092" s="68"/>
      <c r="H2092" s="59"/>
      <c r="I2092" s="162" t="s">
        <v>7219</v>
      </c>
      <c r="J2092" s="162"/>
      <c r="K2092" s="68" t="s">
        <v>13</v>
      </c>
      <c r="L2092" s="69" t="s">
        <v>120</v>
      </c>
      <c r="M2092" s="71" t="s">
        <v>141</v>
      </c>
      <c r="N2092" s="69" t="e" vm="1">
        <v>#VALUE!</v>
      </c>
      <c r="O2092" s="164">
        <v>42753</v>
      </c>
      <c r="P2092" s="72" t="s">
        <v>402</v>
      </c>
      <c r="Q2092" s="72"/>
      <c r="R2092" s="162"/>
      <c r="S2092" s="146" t="s">
        <v>7217</v>
      </c>
      <c r="T2092" s="68" t="s">
        <v>155</v>
      </c>
      <c r="U2092" s="87"/>
      <c r="V2092" s="183">
        <v>42758</v>
      </c>
      <c r="W2092" s="73">
        <v>592</v>
      </c>
      <c r="X2092" s="73">
        <f>713*26332/1000000</f>
        <v>18.774716000000002</v>
      </c>
      <c r="Y2092" s="83">
        <f>IF(SUM(W2092:W2092)&gt;0,X2092/SUM(W2092:W2092)*1000000,"N/A")</f>
        <v>31714.0472972973</v>
      </c>
      <c r="Z2092" s="183"/>
      <c r="AA2092" s="183"/>
      <c r="AB2092" s="223"/>
      <c r="AC2092" s="153"/>
      <c r="AD2092" s="331"/>
      <c r="AE2092" s="57"/>
      <c r="AF2092" s="88"/>
      <c r="AG2092" s="182">
        <f>YEAR(D2092)</f>
        <v>2017</v>
      </c>
      <c r="AH2092" s="86" t="str">
        <f>+IF(AE2092=$AJ$22,MONTH(T2092),"")</f>
        <v/>
      </c>
      <c r="AI2092" s="86" t="str">
        <f>+IF(AF2092=$AJ$22,MONTH(U2092),"")</f>
        <v/>
      </c>
      <c r="AJ2092" s="86" t="str">
        <f>+IF(AG2092=$AJ$22,MONTH(V2092),"")</f>
        <v/>
      </c>
      <c r="AK2092" s="86" t="str">
        <f>+IF(AG2092=$AK$22,MONTH(V2092),"")</f>
        <v/>
      </c>
      <c r="AL2092" s="86" t="str">
        <f>+IF(AG2092=$AL$22,MONTH(V2092),"")</f>
        <v/>
      </c>
      <c r="AM2092" s="86" t="str">
        <f>+IF($AG2092=$AM$22,MONTH($D2092),"")</f>
        <v/>
      </c>
      <c r="AN2092" s="89" t="str">
        <f>+IF($AG2092=AN$22,MONTH($D2092),"")</f>
        <v/>
      </c>
      <c r="AO2092" s="86" t="str">
        <f>+IF($AG2092=AO$22,MONTH($D2092),"")</f>
        <v/>
      </c>
      <c r="AP2092" s="86" t="str">
        <f>+IF($AG2092=AP$22,MONTH($D2092),"")</f>
        <v/>
      </c>
      <c r="AQ2092" s="86">
        <f>+IF($AG2092=AQ$22,MONTH($D2092),"")</f>
        <v>1</v>
      </c>
      <c r="AR2092" s="86" t="str">
        <f>+IF($AG2092=AR$22,MONTH($D2092),"")</f>
        <v/>
      </c>
      <c r="AS2092" s="86" t="str">
        <f>+IF($AG2092=AS$22,MONTH($D2092),"")</f>
        <v/>
      </c>
      <c r="AT2092" s="86" t="str">
        <f>+IF($AG2092=AT$22,MONTH($D2092),"")</f>
        <v/>
      </c>
      <c r="AU2092" s="86" t="str">
        <f>+IF($AG2092=AU$22,MONTH($D2092),"")</f>
        <v/>
      </c>
      <c r="AV2092" s="86" t="str">
        <f>+IF($AG2092=AV$22,MONTH($D2092),"")</f>
        <v/>
      </c>
      <c r="AW2092" s="86" t="str">
        <f>+IF($AG2092=AW$22,MONTH($D2092),"")</f>
        <v/>
      </c>
      <c r="AX2092" s="86" t="str">
        <f>+IF($AG2092=AX$22,MONTH($D2092),"")</f>
        <v/>
      </c>
      <c r="AY2092" s="89"/>
      <c r="AZ2092" s="89"/>
      <c r="BA2092" s="89"/>
      <c r="BB2092" s="89"/>
      <c r="BC2092" s="89"/>
      <c r="BD2092" s="89"/>
      <c r="BE2092" s="89"/>
      <c r="BF2092" s="89"/>
      <c r="BG2092" s="89"/>
      <c r="BH2092" s="89"/>
      <c r="BI2092" s="89"/>
      <c r="BJ2092" s="89"/>
      <c r="BK2092" s="89"/>
      <c r="BL2092" s="89"/>
      <c r="BM2092" s="89"/>
      <c r="BN2092" s="89"/>
      <c r="BO2092" s="89"/>
      <c r="BP2092" s="89"/>
    </row>
    <row r="2093" spans="1:68" s="56" customFormat="1" ht="13.5" hidden="1">
      <c r="A2093" s="204" t="str">
        <f>+IFERROR(VALUE(MID(AB2093,4,4)),"")</f>
        <v/>
      </c>
      <c r="B2093" s="204">
        <f>VALUE(RIGHT(C2093,LEN(C2093)-2))</f>
        <v>632</v>
      </c>
      <c r="C2093" s="74" t="s">
        <v>7220</v>
      </c>
      <c r="D2093" s="75">
        <v>42755</v>
      </c>
      <c r="E2093" s="70" t="s">
        <v>53</v>
      </c>
      <c r="F2093" s="70" t="s">
        <v>287</v>
      </c>
      <c r="G2093" s="68"/>
      <c r="H2093" s="59"/>
      <c r="I2093" s="162" t="s">
        <v>7221</v>
      </c>
      <c r="J2093" s="162"/>
      <c r="K2093" s="68" t="s">
        <v>30</v>
      </c>
      <c r="L2093" s="69" t="s">
        <v>120</v>
      </c>
      <c r="M2093" s="71" t="s">
        <v>141</v>
      </c>
      <c r="N2093" s="69" t="e" vm="1">
        <v>#VALUE!</v>
      </c>
      <c r="O2093" s="164">
        <v>42755</v>
      </c>
      <c r="P2093" s="72" t="s">
        <v>402</v>
      </c>
      <c r="Q2093" s="72"/>
      <c r="R2093" s="162"/>
      <c r="S2093" s="146"/>
      <c r="T2093" s="68" t="s">
        <v>165</v>
      </c>
      <c r="U2093" s="87"/>
      <c r="V2093" s="183">
        <v>42758</v>
      </c>
      <c r="W2093" s="73">
        <v>614</v>
      </c>
      <c r="X2093" s="73">
        <f>1000*26332/1000000</f>
        <v>26.332000000000001</v>
      </c>
      <c r="Y2093" s="83">
        <f>IF(SUM(W2093:W2093)&gt;0,X2093/SUM(W2093:W2093)*1000000,"N/A")</f>
        <v>42885.99348534202</v>
      </c>
      <c r="Z2093" s="183"/>
      <c r="AA2093" s="183"/>
      <c r="AB2093" s="223"/>
      <c r="AC2093" s="153"/>
      <c r="AD2093" s="331"/>
      <c r="AE2093" s="57"/>
      <c r="AF2093" s="88"/>
      <c r="AG2093" s="182">
        <f>YEAR(D2093)</f>
        <v>2017</v>
      </c>
      <c r="AH2093" s="86" t="str">
        <f>+IF(AE2093=$AJ$22,MONTH(T2093),"")</f>
        <v/>
      </c>
      <c r="AI2093" s="86" t="str">
        <f>+IF(AF2093=$AJ$22,MONTH(U2093),"")</f>
        <v/>
      </c>
      <c r="AJ2093" s="86" t="str">
        <f>+IF(AG2093=$AJ$22,MONTH(V2093),"")</f>
        <v/>
      </c>
      <c r="AK2093" s="86" t="str">
        <f>+IF(AG2093=$AK$22,MONTH(V2093),"")</f>
        <v/>
      </c>
      <c r="AL2093" s="86" t="str">
        <f>+IF(AG2093=$AL$22,MONTH(V2093),"")</f>
        <v/>
      </c>
      <c r="AM2093" s="86" t="str">
        <f>+IF($AG2093=$AM$22,MONTH($D2093),"")</f>
        <v/>
      </c>
      <c r="AN2093" s="89" t="str">
        <f>+IF($AG2093=AN$22,MONTH($D2093),"")</f>
        <v/>
      </c>
      <c r="AO2093" s="86" t="str">
        <f>+IF($AG2093=AO$22,MONTH($D2093),"")</f>
        <v/>
      </c>
      <c r="AP2093" s="86" t="str">
        <f>+IF($AG2093=AP$22,MONTH($D2093),"")</f>
        <v/>
      </c>
      <c r="AQ2093" s="86">
        <f>+IF($AG2093=AQ$22,MONTH($D2093),"")</f>
        <v>1</v>
      </c>
      <c r="AR2093" s="86" t="str">
        <f>+IF($AG2093=AR$22,MONTH($D2093),"")</f>
        <v/>
      </c>
      <c r="AS2093" s="86" t="str">
        <f>+IF($AG2093=AS$22,MONTH($D2093),"")</f>
        <v/>
      </c>
      <c r="AT2093" s="86" t="str">
        <f>+IF($AG2093=AT$22,MONTH($D2093),"")</f>
        <v/>
      </c>
      <c r="AU2093" s="86" t="str">
        <f>+IF($AG2093=AU$22,MONTH($D2093),"")</f>
        <v/>
      </c>
      <c r="AV2093" s="86" t="str">
        <f>+IF($AG2093=AV$22,MONTH($D2093),"")</f>
        <v/>
      </c>
      <c r="AW2093" s="86" t="str">
        <f>+IF($AG2093=AW$22,MONTH($D2093),"")</f>
        <v/>
      </c>
      <c r="AX2093" s="86" t="str">
        <f>+IF($AG2093=AX$22,MONTH($D2093),"")</f>
        <v/>
      </c>
      <c r="AY2093" s="89"/>
      <c r="AZ2093" s="89"/>
      <c r="BA2093" s="89"/>
      <c r="BB2093" s="89"/>
      <c r="BC2093" s="89"/>
      <c r="BD2093" s="89"/>
      <c r="BE2093" s="89"/>
      <c r="BF2093" s="89"/>
      <c r="BG2093" s="89"/>
      <c r="BH2093" s="89"/>
      <c r="BI2093" s="89"/>
      <c r="BJ2093" s="89"/>
      <c r="BK2093" s="89"/>
      <c r="BL2093" s="89"/>
      <c r="BM2093" s="89"/>
      <c r="BN2093" s="89"/>
      <c r="BO2093" s="89"/>
      <c r="BP2093" s="89"/>
    </row>
    <row r="2094" spans="1:68" s="56" customFormat="1" ht="13.5" hidden="1">
      <c r="A2094" s="204" t="str">
        <f>+IFERROR(VALUE(MID(AB2094,4,4)),"")</f>
        <v/>
      </c>
      <c r="B2094" s="204">
        <f>VALUE(RIGHT(C2094,LEN(C2094)-2))</f>
        <v>631</v>
      </c>
      <c r="C2094" s="74" t="s">
        <v>7222</v>
      </c>
      <c r="D2094" s="75">
        <v>42745</v>
      </c>
      <c r="E2094" s="70" t="s">
        <v>41</v>
      </c>
      <c r="F2094" s="70" t="s">
        <v>41</v>
      </c>
      <c r="G2094" s="68"/>
      <c r="H2094" s="59"/>
      <c r="I2094" s="162" t="s">
        <v>7223</v>
      </c>
      <c r="J2094" s="162"/>
      <c r="K2094" s="68" t="s">
        <v>13</v>
      </c>
      <c r="L2094" s="69" t="s">
        <v>120</v>
      </c>
      <c r="M2094" s="71" t="s">
        <v>141</v>
      </c>
      <c r="N2094" s="69" t="e" vm="1">
        <v>#VALUE!</v>
      </c>
      <c r="O2094" s="164">
        <v>42745</v>
      </c>
      <c r="P2094" s="72" t="s">
        <v>402</v>
      </c>
      <c r="Q2094" s="72"/>
      <c r="R2094" s="162"/>
      <c r="S2094" s="146"/>
      <c r="T2094" s="68" t="s">
        <v>3</v>
      </c>
      <c r="U2094" s="87"/>
      <c r="V2094" s="183">
        <v>42886</v>
      </c>
      <c r="W2094" s="73">
        <v>243</v>
      </c>
      <c r="X2094" s="73">
        <f>331*26350/1000000</f>
        <v>8.7218499999999999</v>
      </c>
      <c r="Y2094" s="83">
        <f>IF(SUM(W2094:W2094)&gt;0,X2094/SUM(W2094:W2094)*1000000,"N/A")</f>
        <v>35892.386831275719</v>
      </c>
      <c r="Z2094" s="183"/>
      <c r="AA2094" s="183"/>
      <c r="AB2094" s="223"/>
      <c r="AC2094" s="153"/>
      <c r="AD2094" s="331"/>
      <c r="AE2094" s="57"/>
      <c r="AF2094" s="88"/>
      <c r="AG2094" s="182">
        <f>YEAR(D2094)</f>
        <v>2017</v>
      </c>
      <c r="AH2094" s="86" t="str">
        <f>+IF(AE2094=$AJ$22,MONTH(T2094),"")</f>
        <v/>
      </c>
      <c r="AI2094" s="86" t="str">
        <f>+IF(AF2094=$AJ$22,MONTH(U2094),"")</f>
        <v/>
      </c>
      <c r="AJ2094" s="86" t="str">
        <f>+IF(AG2094=$AJ$22,MONTH(V2094),"")</f>
        <v/>
      </c>
      <c r="AK2094" s="86" t="str">
        <f>+IF(AG2094=$AK$22,MONTH(V2094),"")</f>
        <v/>
      </c>
      <c r="AL2094" s="86" t="str">
        <f>+IF(AG2094=$AL$22,MONTH(V2094),"")</f>
        <v/>
      </c>
      <c r="AM2094" s="86" t="str">
        <f>+IF($AG2094=$AM$22,MONTH($D2094),"")</f>
        <v/>
      </c>
      <c r="AN2094" s="89" t="str">
        <f>+IF($AG2094=AN$22,MONTH($D2094),"")</f>
        <v/>
      </c>
      <c r="AO2094" s="86" t="str">
        <f>+IF($AG2094=AO$22,MONTH($D2094),"")</f>
        <v/>
      </c>
      <c r="AP2094" s="86" t="str">
        <f>+IF($AG2094=AP$22,MONTH($D2094),"")</f>
        <v/>
      </c>
      <c r="AQ2094" s="86">
        <f>+IF($AG2094=AQ$22,MONTH($D2094),"")</f>
        <v>1</v>
      </c>
      <c r="AR2094" s="86" t="str">
        <f>+IF($AG2094=AR$22,MONTH($D2094),"")</f>
        <v/>
      </c>
      <c r="AS2094" s="86" t="str">
        <f>+IF($AG2094=AS$22,MONTH($D2094),"")</f>
        <v/>
      </c>
      <c r="AT2094" s="86" t="str">
        <f>+IF($AG2094=AT$22,MONTH($D2094),"")</f>
        <v/>
      </c>
      <c r="AU2094" s="86" t="str">
        <f>+IF($AG2094=AU$22,MONTH($D2094),"")</f>
        <v/>
      </c>
      <c r="AV2094" s="86" t="str">
        <f>+IF($AG2094=AV$22,MONTH($D2094),"")</f>
        <v/>
      </c>
      <c r="AW2094" s="86" t="str">
        <f>+IF($AG2094=AW$22,MONTH($D2094),"")</f>
        <v/>
      </c>
      <c r="AX2094" s="86" t="str">
        <f>+IF($AG2094=AX$22,MONTH($D2094),"")</f>
        <v/>
      </c>
      <c r="AY2094" s="89"/>
      <c r="AZ2094" s="89"/>
      <c r="BA2094" s="89"/>
      <c r="BB2094" s="89"/>
      <c r="BC2094" s="89"/>
      <c r="BD2094" s="89"/>
      <c r="BE2094" s="89"/>
      <c r="BF2094" s="89"/>
      <c r="BG2094" s="89"/>
      <c r="BH2094" s="89"/>
      <c r="BI2094" s="89"/>
      <c r="BJ2094" s="89"/>
      <c r="BK2094" s="89"/>
      <c r="BL2094" s="89"/>
      <c r="BM2094" s="89"/>
      <c r="BN2094" s="89"/>
      <c r="BO2094" s="89"/>
      <c r="BP2094" s="89"/>
    </row>
    <row r="2095" spans="1:68" s="56" customFormat="1" ht="27" hidden="1">
      <c r="A2095" s="204" t="str">
        <f>+IFERROR(VALUE(MID(AB2095,4,4)),"")</f>
        <v/>
      </c>
      <c r="B2095" s="204">
        <f>VALUE(RIGHT(C2095,LEN(C2095)-2))</f>
        <v>630</v>
      </c>
      <c r="C2095" s="74" t="s">
        <v>7224</v>
      </c>
      <c r="D2095" s="75">
        <v>42745</v>
      </c>
      <c r="E2095" s="70" t="s">
        <v>81</v>
      </c>
      <c r="F2095" s="70" t="s">
        <v>3351</v>
      </c>
      <c r="G2095" s="68"/>
      <c r="H2095" s="59"/>
      <c r="I2095" s="162" t="s">
        <v>7225</v>
      </c>
      <c r="J2095" s="162"/>
      <c r="K2095" s="68"/>
      <c r="L2095" s="69" t="s">
        <v>120</v>
      </c>
      <c r="M2095" s="71" t="s">
        <v>113</v>
      </c>
      <c r="N2095" s="69" t="e" vm="4">
        <v>#VALUE!</v>
      </c>
      <c r="O2095" s="164">
        <v>42747</v>
      </c>
      <c r="P2095" s="72" t="s">
        <v>1686</v>
      </c>
      <c r="Q2095" s="72"/>
      <c r="R2095" s="162"/>
      <c r="S2095" s="146"/>
      <c r="T2095" s="68" t="s">
        <v>165</v>
      </c>
      <c r="U2095" s="87"/>
      <c r="V2095" s="183">
        <v>42758</v>
      </c>
      <c r="W2095" s="73">
        <v>760</v>
      </c>
      <c r="X2095" s="73">
        <f>45125*650/1000000</f>
        <v>29.331250000000001</v>
      </c>
      <c r="Y2095" s="83">
        <f>IF(SUM(W2095:W2095)&gt;0,X2095/SUM(W2095:W2095)*1000000,"N/A")</f>
        <v>38593.75</v>
      </c>
      <c r="Z2095" s="183"/>
      <c r="AA2095" s="183"/>
      <c r="AB2095" s="223"/>
      <c r="AC2095" s="153"/>
      <c r="AD2095" s="331"/>
      <c r="AE2095" s="57"/>
      <c r="AF2095" s="88"/>
      <c r="AG2095" s="182">
        <f>YEAR(D2095)</f>
        <v>2017</v>
      </c>
      <c r="AH2095" s="86" t="str">
        <f>+IF(AE2095=$AJ$22,MONTH(T2095),"")</f>
        <v/>
      </c>
      <c r="AI2095" s="86" t="str">
        <f>+IF(AF2095=$AJ$22,MONTH(U2095),"")</f>
        <v/>
      </c>
      <c r="AJ2095" s="86" t="str">
        <f>+IF(AG2095=$AJ$22,MONTH(V2095),"")</f>
        <v/>
      </c>
      <c r="AK2095" s="86" t="str">
        <f>+IF(AG2095=$AK$22,MONTH(V2095),"")</f>
        <v/>
      </c>
      <c r="AL2095" s="86" t="str">
        <f>+IF(AG2095=$AL$22,MONTH(V2095),"")</f>
        <v/>
      </c>
      <c r="AM2095" s="86" t="str">
        <f>+IF($AG2095=$AM$22,MONTH($D2095),"")</f>
        <v/>
      </c>
      <c r="AN2095" s="89" t="str">
        <f>+IF($AG2095=AN$22,MONTH($D2095),"")</f>
        <v/>
      </c>
      <c r="AO2095" s="86" t="str">
        <f>+IF($AG2095=AO$22,MONTH($D2095),"")</f>
        <v/>
      </c>
      <c r="AP2095" s="86" t="str">
        <f>+IF($AG2095=AP$22,MONTH($D2095),"")</f>
        <v/>
      </c>
      <c r="AQ2095" s="86">
        <f>+IF($AG2095=AQ$22,MONTH($D2095),"")</f>
        <v>1</v>
      </c>
      <c r="AR2095" s="86" t="str">
        <f>+IF($AG2095=AR$22,MONTH($D2095),"")</f>
        <v/>
      </c>
      <c r="AS2095" s="86" t="str">
        <f>+IF($AG2095=AS$22,MONTH($D2095),"")</f>
        <v/>
      </c>
      <c r="AT2095" s="86" t="str">
        <f>+IF($AG2095=AT$22,MONTH($D2095),"")</f>
        <v/>
      </c>
      <c r="AU2095" s="86" t="str">
        <f>+IF($AG2095=AU$22,MONTH($D2095),"")</f>
        <v/>
      </c>
      <c r="AV2095" s="86" t="str">
        <f>+IF($AG2095=AV$22,MONTH($D2095),"")</f>
        <v/>
      </c>
      <c r="AW2095" s="86" t="str">
        <f>+IF($AG2095=AW$22,MONTH($D2095),"")</f>
        <v/>
      </c>
      <c r="AX2095" s="86" t="str">
        <f>+IF($AG2095=AX$22,MONTH($D2095),"")</f>
        <v/>
      </c>
      <c r="AY2095" s="89"/>
      <c r="AZ2095" s="89"/>
      <c r="BA2095" s="89"/>
      <c r="BB2095" s="89"/>
      <c r="BC2095" s="89"/>
      <c r="BD2095" s="89"/>
      <c r="BE2095" s="89"/>
      <c r="BF2095" s="89"/>
      <c r="BG2095" s="89"/>
      <c r="BH2095" s="89"/>
      <c r="BI2095" s="89"/>
      <c r="BJ2095" s="89"/>
      <c r="BK2095" s="89"/>
      <c r="BL2095" s="89"/>
      <c r="BM2095" s="89"/>
      <c r="BN2095" s="89"/>
      <c r="BO2095" s="89"/>
      <c r="BP2095" s="89"/>
    </row>
    <row r="2096" spans="1:68" s="56" customFormat="1" ht="13.5" hidden="1">
      <c r="A2096" s="204" t="str">
        <f>+IFERROR(VALUE(MID(AB2096,4,4)),"")</f>
        <v/>
      </c>
      <c r="B2096" s="204">
        <f>VALUE(RIGHT(C2096,LEN(C2096)-2))</f>
        <v>629</v>
      </c>
      <c r="C2096" s="74" t="s">
        <v>7226</v>
      </c>
      <c r="D2096" s="75">
        <v>42745</v>
      </c>
      <c r="E2096" s="70" t="s">
        <v>332</v>
      </c>
      <c r="F2096" s="70" t="s">
        <v>332</v>
      </c>
      <c r="G2096" s="68"/>
      <c r="H2096" s="59"/>
      <c r="I2096" s="162" t="s">
        <v>7227</v>
      </c>
      <c r="J2096" s="162"/>
      <c r="K2096" s="68" t="s">
        <v>13</v>
      </c>
      <c r="L2096" s="69" t="s">
        <v>120</v>
      </c>
      <c r="M2096" s="71" t="s">
        <v>141</v>
      </c>
      <c r="N2096" s="69" t="e" vm="1">
        <v>#VALUE!</v>
      </c>
      <c r="O2096" s="164">
        <v>42745</v>
      </c>
      <c r="P2096" s="72" t="s">
        <v>402</v>
      </c>
      <c r="Q2096" s="72"/>
      <c r="R2096" s="162"/>
      <c r="S2096" s="146"/>
      <c r="T2096" s="68" t="s">
        <v>165</v>
      </c>
      <c r="U2096" s="87"/>
      <c r="V2096" s="183">
        <v>42886</v>
      </c>
      <c r="W2096" s="73">
        <v>57</v>
      </c>
      <c r="X2096" s="73">
        <f>26350*85/1000000</f>
        <v>2.2397499999999999</v>
      </c>
      <c r="Y2096" s="83">
        <f>IF(SUM(W2096:W2096)&gt;0,X2096/SUM(W2096:W2096)*1000000,"N/A")</f>
        <v>39293.859649122802</v>
      </c>
      <c r="Z2096" s="183"/>
      <c r="AA2096" s="183"/>
      <c r="AB2096" s="223"/>
      <c r="AC2096" s="153"/>
      <c r="AD2096" s="331"/>
      <c r="AE2096" s="57"/>
      <c r="AF2096" s="88"/>
      <c r="AG2096" s="182">
        <f>YEAR(D2096)</f>
        <v>2017</v>
      </c>
      <c r="AH2096" s="86" t="str">
        <f>+IF(AE2096=$AJ$22,MONTH(T2096),"")</f>
        <v/>
      </c>
      <c r="AI2096" s="86" t="str">
        <f>+IF(AF2096=$AJ$22,MONTH(U2096),"")</f>
        <v/>
      </c>
      <c r="AJ2096" s="86" t="str">
        <f>+IF(AG2096=$AJ$22,MONTH(V2096),"")</f>
        <v/>
      </c>
      <c r="AK2096" s="86" t="str">
        <f>+IF(AG2096=$AK$22,MONTH(V2096),"")</f>
        <v/>
      </c>
      <c r="AL2096" s="86" t="str">
        <f>+IF(AG2096=$AL$22,MONTH(V2096),"")</f>
        <v/>
      </c>
      <c r="AM2096" s="86" t="str">
        <f>+IF($AG2096=$AM$22,MONTH($D2096),"")</f>
        <v/>
      </c>
      <c r="AN2096" s="89" t="str">
        <f>+IF($AG2096=AN$22,MONTH($D2096),"")</f>
        <v/>
      </c>
      <c r="AO2096" s="86" t="str">
        <f>+IF($AG2096=AO$22,MONTH($D2096),"")</f>
        <v/>
      </c>
      <c r="AP2096" s="86" t="str">
        <f>+IF($AG2096=AP$22,MONTH($D2096),"")</f>
        <v/>
      </c>
      <c r="AQ2096" s="86">
        <f>+IF($AG2096=AQ$22,MONTH($D2096),"")</f>
        <v>1</v>
      </c>
      <c r="AR2096" s="86" t="str">
        <f>+IF($AG2096=AR$22,MONTH($D2096),"")</f>
        <v/>
      </c>
      <c r="AS2096" s="86" t="str">
        <f>+IF($AG2096=AS$22,MONTH($D2096),"")</f>
        <v/>
      </c>
      <c r="AT2096" s="86" t="str">
        <f>+IF($AG2096=AT$22,MONTH($D2096),"")</f>
        <v/>
      </c>
      <c r="AU2096" s="86" t="str">
        <f>+IF($AG2096=AU$22,MONTH($D2096),"")</f>
        <v/>
      </c>
      <c r="AV2096" s="86" t="str">
        <f>+IF($AG2096=AV$22,MONTH($D2096),"")</f>
        <v/>
      </c>
      <c r="AW2096" s="86" t="str">
        <f>+IF($AG2096=AW$22,MONTH($D2096),"")</f>
        <v/>
      </c>
      <c r="AX2096" s="86" t="str">
        <f>+IF($AG2096=AX$22,MONTH($D2096),"")</f>
        <v/>
      </c>
      <c r="AY2096" s="89"/>
      <c r="AZ2096" s="89"/>
      <c r="BA2096" s="89"/>
      <c r="BB2096" s="89"/>
      <c r="BC2096" s="89"/>
      <c r="BD2096" s="89"/>
      <c r="BE2096" s="89"/>
      <c r="BF2096" s="89"/>
      <c r="BG2096" s="89"/>
      <c r="BH2096" s="89"/>
      <c r="BI2096" s="89"/>
      <c r="BJ2096" s="89"/>
      <c r="BK2096" s="89"/>
      <c r="BL2096" s="89"/>
      <c r="BM2096" s="89"/>
      <c r="BN2096" s="89"/>
      <c r="BO2096" s="89"/>
      <c r="BP2096" s="89"/>
    </row>
    <row r="2097" spans="1:68" s="56" customFormat="1" ht="13.5" hidden="1">
      <c r="A2097" s="204" t="str">
        <f>+IFERROR(VALUE(MID(AB2097,4,4)),"")</f>
        <v/>
      </c>
      <c r="B2097" s="204">
        <f>VALUE(RIGHT(C2097,LEN(C2097)-2))</f>
        <v>628</v>
      </c>
      <c r="C2097" s="74" t="s">
        <v>7228</v>
      </c>
      <c r="D2097" s="75">
        <v>42744</v>
      </c>
      <c r="E2097" s="70" t="s">
        <v>332</v>
      </c>
      <c r="F2097" s="70" t="s">
        <v>332</v>
      </c>
      <c r="G2097" s="68"/>
      <c r="H2097" s="59"/>
      <c r="I2097" s="162" t="s">
        <v>7229</v>
      </c>
      <c r="J2097" s="162"/>
      <c r="K2097" s="68" t="s">
        <v>13</v>
      </c>
      <c r="L2097" s="69" t="s">
        <v>120</v>
      </c>
      <c r="M2097" s="71" t="s">
        <v>141</v>
      </c>
      <c r="N2097" s="69" t="e" vm="1">
        <v>#VALUE!</v>
      </c>
      <c r="O2097" s="164">
        <v>42744</v>
      </c>
      <c r="P2097" s="72" t="s">
        <v>402</v>
      </c>
      <c r="Q2097" s="72"/>
      <c r="R2097" s="162"/>
      <c r="S2097" s="146"/>
      <c r="T2097" s="68" t="s">
        <v>165</v>
      </c>
      <c r="U2097" s="87"/>
      <c r="V2097" s="183">
        <v>42886</v>
      </c>
      <c r="W2097" s="73">
        <v>1539</v>
      </c>
      <c r="X2097" s="73">
        <f>26350*1458/1000000</f>
        <v>38.418300000000002</v>
      </c>
      <c r="Y2097" s="83">
        <f>IF(SUM(W2097:W2097)&gt;0,X2097/SUM(W2097:W2097)*1000000,"N/A")</f>
        <v>24963.157894736843</v>
      </c>
      <c r="Z2097" s="183"/>
      <c r="AA2097" s="183"/>
      <c r="AB2097" s="223"/>
      <c r="AC2097" s="153"/>
      <c r="AD2097" s="331"/>
      <c r="AE2097" s="57"/>
      <c r="AF2097" s="88"/>
      <c r="AG2097" s="182">
        <f>YEAR(D2097)</f>
        <v>2017</v>
      </c>
      <c r="AH2097" s="86" t="str">
        <f>+IF(AE2097=$AJ$22,MONTH(T2097),"")</f>
        <v/>
      </c>
      <c r="AI2097" s="86" t="str">
        <f>+IF(AF2097=$AJ$22,MONTH(U2097),"")</f>
        <v/>
      </c>
      <c r="AJ2097" s="86" t="str">
        <f>+IF(AG2097=$AJ$22,MONTH(V2097),"")</f>
        <v/>
      </c>
      <c r="AK2097" s="86" t="str">
        <f>+IF(AG2097=$AK$22,MONTH(V2097),"")</f>
        <v/>
      </c>
      <c r="AL2097" s="86" t="str">
        <f>+IF(AG2097=$AL$22,MONTH(V2097),"")</f>
        <v/>
      </c>
      <c r="AM2097" s="86" t="str">
        <f>+IF($AG2097=$AM$22,MONTH($D2097),"")</f>
        <v/>
      </c>
      <c r="AN2097" s="89" t="str">
        <f>+IF($AG2097=AN$22,MONTH($D2097),"")</f>
        <v/>
      </c>
      <c r="AO2097" s="86" t="str">
        <f>+IF($AG2097=AO$22,MONTH($D2097),"")</f>
        <v/>
      </c>
      <c r="AP2097" s="86" t="str">
        <f>+IF($AG2097=AP$22,MONTH($D2097),"")</f>
        <v/>
      </c>
      <c r="AQ2097" s="86">
        <f>+IF($AG2097=AQ$22,MONTH($D2097),"")</f>
        <v>1</v>
      </c>
      <c r="AR2097" s="86" t="str">
        <f>+IF($AG2097=AR$22,MONTH($D2097),"")</f>
        <v/>
      </c>
      <c r="AS2097" s="86" t="str">
        <f>+IF($AG2097=AS$22,MONTH($D2097),"")</f>
        <v/>
      </c>
      <c r="AT2097" s="86" t="str">
        <f>+IF($AG2097=AT$22,MONTH($D2097),"")</f>
        <v/>
      </c>
      <c r="AU2097" s="86" t="str">
        <f>+IF($AG2097=AU$22,MONTH($D2097),"")</f>
        <v/>
      </c>
      <c r="AV2097" s="86" t="str">
        <f>+IF($AG2097=AV$22,MONTH($D2097),"")</f>
        <v/>
      </c>
      <c r="AW2097" s="86" t="str">
        <f>+IF($AG2097=AW$22,MONTH($D2097),"")</f>
        <v/>
      </c>
      <c r="AX2097" s="86" t="str">
        <f>+IF($AG2097=AX$22,MONTH($D2097),"")</f>
        <v/>
      </c>
      <c r="AY2097" s="89"/>
      <c r="AZ2097" s="89"/>
      <c r="BA2097" s="89"/>
      <c r="BB2097" s="89"/>
      <c r="BC2097" s="89"/>
      <c r="BD2097" s="89"/>
      <c r="BE2097" s="89"/>
      <c r="BF2097" s="89"/>
      <c r="BG2097" s="89"/>
      <c r="BH2097" s="89"/>
      <c r="BI2097" s="89"/>
      <c r="BJ2097" s="89"/>
      <c r="BK2097" s="89"/>
      <c r="BL2097" s="89"/>
      <c r="BM2097" s="89"/>
      <c r="BN2097" s="89"/>
      <c r="BO2097" s="89"/>
      <c r="BP2097" s="89"/>
    </row>
    <row r="2098" spans="1:68" s="56" customFormat="1" ht="13.5" hidden="1">
      <c r="A2098" s="204" t="str">
        <f>+IFERROR(VALUE(MID(AB2098,4,4)),"")</f>
        <v/>
      </c>
      <c r="B2098" s="204">
        <f>VALUE(RIGHT(C2098,LEN(C2098)-2))</f>
        <v>627</v>
      </c>
      <c r="C2098" s="74" t="s">
        <v>7230</v>
      </c>
      <c r="D2098" s="75">
        <v>42740</v>
      </c>
      <c r="E2098" s="70" t="s">
        <v>106</v>
      </c>
      <c r="F2098" s="70" t="s">
        <v>106</v>
      </c>
      <c r="G2098" s="68"/>
      <c r="H2098" s="59"/>
      <c r="I2098" s="162" t="s">
        <v>7231</v>
      </c>
      <c r="J2098" s="162"/>
      <c r="K2098" s="68"/>
      <c r="L2098" s="69" t="s">
        <v>123</v>
      </c>
      <c r="M2098" s="71" t="s">
        <v>141</v>
      </c>
      <c r="N2098" s="69" t="e" vm="1">
        <v>#VALUE!</v>
      </c>
      <c r="O2098" s="164"/>
      <c r="P2098" s="72" t="s">
        <v>402</v>
      </c>
      <c r="Q2098" s="72"/>
      <c r="R2098" s="162"/>
      <c r="S2098" s="146"/>
      <c r="T2098" s="68" t="s">
        <v>165</v>
      </c>
      <c r="U2098" s="87"/>
      <c r="V2098" s="183"/>
      <c r="W2098" s="73">
        <v>1515</v>
      </c>
      <c r="X2098" s="73">
        <f>1819*26351/1000000</f>
        <v>47.932468999999998</v>
      </c>
      <c r="Y2098" s="83">
        <f>IF(SUM(W2098:W2098)&gt;0,X2098/SUM(W2098:W2098)*1000000,"N/A")</f>
        <v>31638.593399339934</v>
      </c>
      <c r="Z2098" s="183"/>
      <c r="AA2098" s="183"/>
      <c r="AB2098" s="223"/>
      <c r="AC2098" s="153"/>
      <c r="AD2098" s="331"/>
      <c r="AE2098" s="57"/>
      <c r="AF2098" s="88"/>
      <c r="AG2098" s="182">
        <f>YEAR(D2098)</f>
        <v>2017</v>
      </c>
      <c r="AH2098" s="86" t="str">
        <f>+IF(AE2098=$AJ$22,MONTH(T2098),"")</f>
        <v/>
      </c>
      <c r="AI2098" s="86" t="str">
        <f>+IF(AF2098=$AJ$22,MONTH(U2098),"")</f>
        <v/>
      </c>
      <c r="AJ2098" s="86" t="str">
        <f>+IF(AG2098=$AJ$22,MONTH(V2098),"")</f>
        <v/>
      </c>
      <c r="AK2098" s="86" t="str">
        <f>+IF(AG2098=$AK$22,MONTH(V2098),"")</f>
        <v/>
      </c>
      <c r="AL2098" s="86" t="str">
        <f>+IF(AG2098=$AL$22,MONTH(V2098),"")</f>
        <v/>
      </c>
      <c r="AM2098" s="86" t="str">
        <f>+IF($AG2098=$AM$22,MONTH($D2098),"")</f>
        <v/>
      </c>
      <c r="AN2098" s="89" t="str">
        <f>+IF($AG2098=AN$22,MONTH($D2098),"")</f>
        <v/>
      </c>
      <c r="AO2098" s="86" t="str">
        <f>+IF($AG2098=AO$22,MONTH($D2098),"")</f>
        <v/>
      </c>
      <c r="AP2098" s="86" t="str">
        <f>+IF($AG2098=AP$22,MONTH($D2098),"")</f>
        <v/>
      </c>
      <c r="AQ2098" s="86">
        <f>+IF($AG2098=AQ$22,MONTH($D2098),"")</f>
        <v>1</v>
      </c>
      <c r="AR2098" s="86" t="str">
        <f>+IF($AG2098=AR$22,MONTH($D2098),"")</f>
        <v/>
      </c>
      <c r="AS2098" s="86" t="str">
        <f>+IF($AG2098=AS$22,MONTH($D2098),"")</f>
        <v/>
      </c>
      <c r="AT2098" s="86" t="str">
        <f>+IF($AG2098=AT$22,MONTH($D2098),"")</f>
        <v/>
      </c>
      <c r="AU2098" s="86" t="str">
        <f>+IF($AG2098=AU$22,MONTH($D2098),"")</f>
        <v/>
      </c>
      <c r="AV2098" s="86" t="str">
        <f>+IF($AG2098=AV$22,MONTH($D2098),"")</f>
        <v/>
      </c>
      <c r="AW2098" s="86" t="str">
        <f>+IF($AG2098=AW$22,MONTH($D2098),"")</f>
        <v/>
      </c>
      <c r="AX2098" s="86" t="str">
        <f>+IF($AG2098=AX$22,MONTH($D2098),"")</f>
        <v/>
      </c>
      <c r="AY2098" s="89"/>
      <c r="AZ2098" s="89"/>
      <c r="BA2098" s="89"/>
      <c r="BB2098" s="89"/>
      <c r="BC2098" s="89"/>
      <c r="BD2098" s="89"/>
      <c r="BE2098" s="89"/>
      <c r="BF2098" s="89"/>
      <c r="BG2098" s="89"/>
      <c r="BH2098" s="89"/>
      <c r="BI2098" s="89"/>
      <c r="BJ2098" s="89"/>
      <c r="BK2098" s="89"/>
      <c r="BL2098" s="89"/>
      <c r="BM2098" s="89"/>
      <c r="BN2098" s="89"/>
      <c r="BO2098" s="89"/>
      <c r="BP2098" s="89"/>
    </row>
    <row r="2099" spans="1:68" s="56" customFormat="1" ht="13.5" hidden="1">
      <c r="A2099" s="204">
        <f>+IFERROR(VALUE(MID(AB2099,4,4)),"")</f>
        <v>147</v>
      </c>
      <c r="B2099" s="204">
        <f>VALUE(RIGHT(C2099,LEN(C2099)-2))</f>
        <v>626</v>
      </c>
      <c r="C2099" s="74" t="s">
        <v>7232</v>
      </c>
      <c r="D2099" s="75">
        <v>42740</v>
      </c>
      <c r="E2099" s="70" t="s">
        <v>81</v>
      </c>
      <c r="F2099" s="70" t="s">
        <v>3351</v>
      </c>
      <c r="G2099" s="68"/>
      <c r="H2099" s="59"/>
      <c r="I2099" s="162" t="s">
        <v>7233</v>
      </c>
      <c r="J2099" s="162"/>
      <c r="K2099" s="68" t="s">
        <v>13</v>
      </c>
      <c r="L2099" s="69" t="s">
        <v>120</v>
      </c>
      <c r="M2099" s="71" t="s">
        <v>113</v>
      </c>
      <c r="N2099" s="69" t="e" vm="4">
        <v>#VALUE!</v>
      </c>
      <c r="O2099" s="164">
        <v>42740</v>
      </c>
      <c r="P2099" s="72" t="s">
        <v>402</v>
      </c>
      <c r="Q2099" s="72"/>
      <c r="R2099" s="162"/>
      <c r="S2099" s="146"/>
      <c r="T2099" s="68" t="s">
        <v>3</v>
      </c>
      <c r="U2099" s="87"/>
      <c r="V2099" s="183">
        <v>42741</v>
      </c>
      <c r="W2099" s="73">
        <v>204</v>
      </c>
      <c r="X2099" s="73">
        <f>13560*650/1000000</f>
        <v>8.8140000000000001</v>
      </c>
      <c r="Y2099" s="83">
        <f>IF(SUM(W2099:W2099)&gt;0,X2099/SUM(W2099:W2099)*1000000,"N/A")</f>
        <v>43205.882352941175</v>
      </c>
      <c r="Z2099" s="183"/>
      <c r="AA2099" s="183"/>
      <c r="AB2099" s="223" t="s">
        <v>7234</v>
      </c>
      <c r="AC2099" s="153"/>
      <c r="AD2099" s="331"/>
      <c r="AE2099" s="57"/>
      <c r="AF2099" s="88"/>
      <c r="AG2099" s="182">
        <f>YEAR(D2099)</f>
        <v>2017</v>
      </c>
      <c r="AH2099" s="86" t="str">
        <f>+IF(AE2099=$AJ$22,MONTH(T2099),"")</f>
        <v/>
      </c>
      <c r="AI2099" s="86" t="str">
        <f>+IF(AF2099=$AJ$22,MONTH(U2099),"")</f>
        <v/>
      </c>
      <c r="AJ2099" s="86" t="str">
        <f>+IF(AG2099=$AJ$22,MONTH(V2099),"")</f>
        <v/>
      </c>
      <c r="AK2099" s="86" t="str">
        <f>+IF(AG2099=$AK$22,MONTH(V2099),"")</f>
        <v/>
      </c>
      <c r="AL2099" s="86" t="str">
        <f>+IF(AG2099=$AL$22,MONTH(V2099),"")</f>
        <v/>
      </c>
      <c r="AM2099" s="86" t="str">
        <f>+IF($AG2099=$AM$22,MONTH($D2099),"")</f>
        <v/>
      </c>
      <c r="AN2099" s="89" t="str">
        <f>+IF($AG2099=AN$22,MONTH($D2099),"")</f>
        <v/>
      </c>
      <c r="AO2099" s="86" t="str">
        <f>+IF($AG2099=AO$22,MONTH($D2099),"")</f>
        <v/>
      </c>
      <c r="AP2099" s="86" t="str">
        <f>+IF($AG2099=AP$22,MONTH($D2099),"")</f>
        <v/>
      </c>
      <c r="AQ2099" s="86">
        <f>+IF($AG2099=AQ$22,MONTH($D2099),"")</f>
        <v>1</v>
      </c>
      <c r="AR2099" s="86" t="str">
        <f>+IF($AG2099=AR$22,MONTH($D2099),"")</f>
        <v/>
      </c>
      <c r="AS2099" s="86" t="str">
        <f>+IF($AG2099=AS$22,MONTH($D2099),"")</f>
        <v/>
      </c>
      <c r="AT2099" s="86" t="str">
        <f>+IF($AG2099=AT$22,MONTH($D2099),"")</f>
        <v/>
      </c>
      <c r="AU2099" s="86" t="str">
        <f>+IF($AG2099=AU$22,MONTH($D2099),"")</f>
        <v/>
      </c>
      <c r="AV2099" s="86" t="str">
        <f>+IF($AG2099=AV$22,MONTH($D2099),"")</f>
        <v/>
      </c>
      <c r="AW2099" s="86" t="str">
        <f>+IF($AG2099=AW$22,MONTH($D2099),"")</f>
        <v/>
      </c>
      <c r="AX2099" s="86" t="str">
        <f>+IF($AG2099=AX$22,MONTH($D2099),"")</f>
        <v/>
      </c>
      <c r="AY2099" s="89"/>
      <c r="AZ2099" s="89"/>
      <c r="BA2099" s="89"/>
      <c r="BB2099" s="89"/>
      <c r="BC2099" s="89"/>
      <c r="BD2099" s="89"/>
      <c r="BE2099" s="89"/>
      <c r="BF2099" s="89"/>
      <c r="BG2099" s="89"/>
      <c r="BH2099" s="89"/>
      <c r="BI2099" s="89"/>
      <c r="BJ2099" s="89"/>
      <c r="BK2099" s="89"/>
      <c r="BL2099" s="89"/>
      <c r="BM2099" s="89"/>
      <c r="BN2099" s="89"/>
      <c r="BO2099" s="89"/>
      <c r="BP2099" s="89"/>
    </row>
    <row r="2100" spans="1:68" s="56" customFormat="1" ht="40.5" hidden="1">
      <c r="A2100" s="204" t="str">
        <f>+IFERROR(VALUE(MID(AB2100,4,4)),"")</f>
        <v/>
      </c>
      <c r="B2100" s="204">
        <f>VALUE(RIGHT(C2100,LEN(C2100)-2))</f>
        <v>625</v>
      </c>
      <c r="C2100" s="74" t="s">
        <v>7235</v>
      </c>
      <c r="D2100" s="75">
        <v>42670</v>
      </c>
      <c r="E2100" s="70" t="s">
        <v>7236</v>
      </c>
      <c r="F2100" s="70" t="s">
        <v>7236</v>
      </c>
      <c r="G2100" s="68"/>
      <c r="H2100" s="59"/>
      <c r="I2100" s="162" t="s">
        <v>7237</v>
      </c>
      <c r="J2100" s="162"/>
      <c r="K2100" s="68"/>
      <c r="L2100" s="69" t="s">
        <v>120</v>
      </c>
      <c r="M2100" s="71" t="s">
        <v>113</v>
      </c>
      <c r="N2100" s="69" t="e" vm="13">
        <v>#VALUE!</v>
      </c>
      <c r="O2100" s="164">
        <v>42724</v>
      </c>
      <c r="P2100" s="72" t="s">
        <v>402</v>
      </c>
      <c r="Q2100" s="72"/>
      <c r="R2100" s="162"/>
      <c r="S2100" s="146" t="s">
        <v>7238</v>
      </c>
      <c r="T2100" s="68" t="s">
        <v>165</v>
      </c>
      <c r="U2100" s="87"/>
      <c r="V2100" s="183">
        <v>42886</v>
      </c>
      <c r="W2100" s="73">
        <v>8500</v>
      </c>
      <c r="X2100" s="73">
        <f>850000*650/1000000</f>
        <v>552.5</v>
      </c>
      <c r="Y2100" s="83">
        <f>IF(SUM(W2100:W2100)&gt;0,X2100/SUM(W2100:W2100)*1000000,"N/A")</f>
        <v>65000</v>
      </c>
      <c r="Z2100" s="183"/>
      <c r="AA2100" s="183"/>
      <c r="AB2100" s="223"/>
      <c r="AC2100" s="153"/>
      <c r="AD2100" s="331"/>
      <c r="AE2100" s="57"/>
      <c r="AF2100" s="88"/>
      <c r="AG2100" s="182">
        <f>YEAR(D2100)</f>
        <v>2016</v>
      </c>
      <c r="AH2100" s="86" t="str">
        <f>+IF(AE2100=$AJ$22,MONTH(T2100),"")</f>
        <v/>
      </c>
      <c r="AI2100" s="86" t="str">
        <f>+IF(AF2100=$AJ$22,MONTH(U2100),"")</f>
        <v/>
      </c>
      <c r="AJ2100" s="86" t="str">
        <f>+IF(AG2100=$AJ$22,MONTH(V2100),"")</f>
        <v/>
      </c>
      <c r="AK2100" s="86" t="str">
        <f>+IF(AG2100=$AK$22,MONTH(V2100),"")</f>
        <v/>
      </c>
      <c r="AL2100" s="86" t="str">
        <f>+IF(AG2100=$AL$22,MONTH(V2100),"")</f>
        <v/>
      </c>
      <c r="AM2100" s="86" t="str">
        <f>+IF($AG2100=$AM$22,MONTH($D2100),"")</f>
        <v/>
      </c>
      <c r="AN2100" s="89" t="str">
        <f>+IF($AG2100=AN$22,MONTH($D2100),"")</f>
        <v/>
      </c>
      <c r="AO2100" s="86" t="str">
        <f>+IF($AG2100=AO$22,MONTH($D2100),"")</f>
        <v/>
      </c>
      <c r="AP2100" s="86" t="str">
        <f>+IF($AG2100=AP$22,MONTH($D2100),"")</f>
        <v/>
      </c>
      <c r="AQ2100" s="86" t="str">
        <f>+IF($AG2100=AQ$22,MONTH($D2100),"")</f>
        <v/>
      </c>
      <c r="AR2100" s="86">
        <f>+IF($AG2100=AR$22,MONTH($D2100),"")</f>
        <v>10</v>
      </c>
      <c r="AS2100" s="86" t="str">
        <f>+IF($AG2100=AS$22,MONTH($D2100),"")</f>
        <v/>
      </c>
      <c r="AT2100" s="86" t="str">
        <f>+IF($AG2100=AT$22,MONTH($D2100),"")</f>
        <v/>
      </c>
      <c r="AU2100" s="86" t="str">
        <f>+IF($AG2100=AU$22,MONTH($D2100),"")</f>
        <v/>
      </c>
      <c r="AV2100" s="86" t="str">
        <f>+IF($AG2100=AV$22,MONTH($D2100),"")</f>
        <v/>
      </c>
      <c r="AW2100" s="86" t="str">
        <f>+IF($AG2100=AW$22,MONTH($D2100),"")</f>
        <v/>
      </c>
      <c r="AX2100" s="86" t="str">
        <f>+IF($AG2100=AX$22,MONTH($D2100),"")</f>
        <v/>
      </c>
      <c r="AY2100" s="89"/>
      <c r="AZ2100" s="89"/>
      <c r="BA2100" s="89"/>
      <c r="BB2100" s="89"/>
      <c r="BC2100" s="89"/>
      <c r="BD2100" s="89"/>
      <c r="BE2100" s="89"/>
      <c r="BF2100" s="89"/>
      <c r="BG2100" s="89"/>
      <c r="BH2100" s="89"/>
      <c r="BI2100" s="89"/>
      <c r="BJ2100" s="89"/>
      <c r="BK2100" s="89"/>
      <c r="BL2100" s="89"/>
      <c r="BM2100" s="89"/>
      <c r="BN2100" s="89"/>
      <c r="BO2100" s="89"/>
      <c r="BP2100" s="89"/>
    </row>
    <row r="2101" spans="1:68" s="56" customFormat="1" ht="13.5" hidden="1">
      <c r="A2101" s="204" t="str">
        <f>+IFERROR(VALUE(MID(AB2101,4,4)),"")</f>
        <v/>
      </c>
      <c r="B2101" s="204">
        <f>VALUE(RIGHT(C2101,LEN(C2101)-2))</f>
        <v>624</v>
      </c>
      <c r="C2101" s="74" t="s">
        <v>7239</v>
      </c>
      <c r="D2101" s="75">
        <v>42718</v>
      </c>
      <c r="E2101" s="70" t="s">
        <v>7240</v>
      </c>
      <c r="F2101" s="70" t="s">
        <v>2639</v>
      </c>
      <c r="G2101" s="68"/>
      <c r="H2101" s="59"/>
      <c r="I2101" s="162" t="s">
        <v>7241</v>
      </c>
      <c r="J2101" s="162"/>
      <c r="K2101" s="68"/>
      <c r="L2101" s="69"/>
      <c r="M2101" s="71"/>
      <c r="N2101" s="69"/>
      <c r="O2101" s="164"/>
      <c r="P2101" s="72"/>
      <c r="Q2101" s="72"/>
      <c r="R2101" s="162"/>
      <c r="S2101" s="146"/>
      <c r="T2101" s="68" t="s">
        <v>155</v>
      </c>
      <c r="U2101" s="87"/>
      <c r="V2101" s="183"/>
      <c r="W2101" s="73"/>
      <c r="X2101" s="73"/>
      <c r="Y2101" s="83"/>
      <c r="Z2101" s="183"/>
      <c r="AA2101" s="183"/>
      <c r="AB2101" s="223"/>
      <c r="AC2101" s="153"/>
      <c r="AD2101" s="331"/>
      <c r="AE2101" s="57"/>
      <c r="AF2101" s="88"/>
      <c r="AG2101" s="182">
        <f>YEAR(D2101)</f>
        <v>2016</v>
      </c>
      <c r="AH2101" s="86" t="str">
        <f>+IF(AE2101=$AJ$22,MONTH(T2101),"")</f>
        <v/>
      </c>
      <c r="AI2101" s="86" t="str">
        <f>+IF(AF2101=$AJ$22,MONTH(U2101),"")</f>
        <v/>
      </c>
      <c r="AJ2101" s="86" t="str">
        <f>+IF(AG2101=$AJ$22,MONTH(V2101),"")</f>
        <v/>
      </c>
      <c r="AK2101" s="86" t="str">
        <f>+IF(AG2101=$AK$22,MONTH(V2101),"")</f>
        <v/>
      </c>
      <c r="AL2101" s="86" t="str">
        <f>+IF(AG2101=$AL$22,MONTH(V2101),"")</f>
        <v/>
      </c>
      <c r="AM2101" s="86" t="str">
        <f>+IF($AG2101=$AM$22,MONTH($D2101),"")</f>
        <v/>
      </c>
      <c r="AN2101" s="89" t="str">
        <f>+IF($AG2101=AN$22,MONTH($D2101),"")</f>
        <v/>
      </c>
      <c r="AO2101" s="86" t="str">
        <f>+IF($AG2101=AO$22,MONTH($D2101),"")</f>
        <v/>
      </c>
      <c r="AP2101" s="86" t="str">
        <f>+IF($AG2101=AP$22,MONTH($D2101),"")</f>
        <v/>
      </c>
      <c r="AQ2101" s="86" t="str">
        <f>+IF($AG2101=AQ$22,MONTH($D2101),"")</f>
        <v/>
      </c>
      <c r="AR2101" s="86">
        <f>+IF($AG2101=AR$22,MONTH($D2101),"")</f>
        <v>12</v>
      </c>
      <c r="AS2101" s="86" t="str">
        <f>+IF($AG2101=AS$22,MONTH($D2101),"")</f>
        <v/>
      </c>
      <c r="AT2101" s="86" t="str">
        <f>+IF($AG2101=AT$22,MONTH($D2101),"")</f>
        <v/>
      </c>
      <c r="AU2101" s="86" t="str">
        <f>+IF($AG2101=AU$22,MONTH($D2101),"")</f>
        <v/>
      </c>
      <c r="AV2101" s="86" t="str">
        <f>+IF($AG2101=AV$22,MONTH($D2101),"")</f>
        <v/>
      </c>
      <c r="AW2101" s="86" t="str">
        <f>+IF($AG2101=AW$22,MONTH($D2101),"")</f>
        <v/>
      </c>
      <c r="AX2101" s="86" t="str">
        <f>+IF($AG2101=AX$22,MONTH($D2101),"")</f>
        <v/>
      </c>
      <c r="AY2101" s="89"/>
      <c r="AZ2101" s="89"/>
      <c r="BA2101" s="89"/>
      <c r="BB2101" s="89"/>
      <c r="BC2101" s="89"/>
      <c r="BD2101" s="89"/>
      <c r="BE2101" s="89"/>
      <c r="BF2101" s="89"/>
      <c r="BG2101" s="89"/>
      <c r="BH2101" s="89"/>
      <c r="BI2101" s="89"/>
      <c r="BJ2101" s="89"/>
      <c r="BK2101" s="89"/>
      <c r="BL2101" s="89"/>
      <c r="BM2101" s="89"/>
      <c r="BN2101" s="89"/>
      <c r="BO2101" s="89"/>
      <c r="BP2101" s="89"/>
    </row>
    <row r="2102" spans="1:68" s="56" customFormat="1" ht="67.5" hidden="1">
      <c r="A2102" s="204" t="str">
        <f>+IFERROR(VALUE(MID(AB2102,4,4)),"")</f>
        <v/>
      </c>
      <c r="B2102" s="204">
        <f>VALUE(RIGHT(C2102,LEN(C2102)-2))</f>
        <v>623</v>
      </c>
      <c r="C2102" s="74" t="s">
        <v>7242</v>
      </c>
      <c r="D2102" s="75">
        <v>42718</v>
      </c>
      <c r="E2102" s="70" t="s">
        <v>106</v>
      </c>
      <c r="F2102" s="70" t="s">
        <v>106</v>
      </c>
      <c r="G2102" s="68"/>
      <c r="H2102" s="59"/>
      <c r="I2102" s="162" t="s">
        <v>7243</v>
      </c>
      <c r="J2102" s="162"/>
      <c r="K2102" s="68" t="s">
        <v>13</v>
      </c>
      <c r="L2102" s="69" t="s">
        <v>123</v>
      </c>
      <c r="M2102" s="71" t="s">
        <v>141</v>
      </c>
      <c r="N2102" s="69" t="e" vm="1">
        <v>#VALUE!</v>
      </c>
      <c r="O2102" s="164">
        <v>42747</v>
      </c>
      <c r="P2102" s="72" t="s">
        <v>402</v>
      </c>
      <c r="Q2102" s="72"/>
      <c r="R2102" s="162"/>
      <c r="S2102" s="146" t="s">
        <v>7244</v>
      </c>
      <c r="T2102" s="68" t="s">
        <v>165</v>
      </c>
      <c r="U2102" s="87"/>
      <c r="V2102" s="183">
        <v>42758</v>
      </c>
      <c r="W2102" s="73">
        <v>7529</v>
      </c>
      <c r="X2102" s="73">
        <f>355824*650/1000000</f>
        <v>231.28559999999999</v>
      </c>
      <c r="Y2102" s="83">
        <f>IF(SUM(W2102:W2102)&gt;0,X2102/SUM(W2102:W2102)*1000000,"N/A")</f>
        <v>30719.298711648291</v>
      </c>
      <c r="Z2102" s="183"/>
      <c r="AA2102" s="183"/>
      <c r="AB2102" s="223"/>
      <c r="AC2102" s="153"/>
      <c r="AD2102" s="331"/>
      <c r="AE2102" s="57"/>
      <c r="AF2102" s="88"/>
      <c r="AG2102" s="182">
        <f>YEAR(D2102)</f>
        <v>2016</v>
      </c>
      <c r="AH2102" s="86" t="str">
        <f>+IF(AE2102=$AJ$22,MONTH(T2102),"")</f>
        <v/>
      </c>
      <c r="AI2102" s="86" t="str">
        <f>+IF(AF2102=$AJ$22,MONTH(U2102),"")</f>
        <v/>
      </c>
      <c r="AJ2102" s="86" t="str">
        <f>+IF(AG2102=$AJ$22,MONTH(V2102),"")</f>
        <v/>
      </c>
      <c r="AK2102" s="86" t="str">
        <f>+IF(AG2102=$AK$22,MONTH(V2102),"")</f>
        <v/>
      </c>
      <c r="AL2102" s="86" t="str">
        <f>+IF(AG2102=$AL$22,MONTH(V2102),"")</f>
        <v/>
      </c>
      <c r="AM2102" s="86" t="str">
        <f>+IF($AG2102=$AM$22,MONTH($D2102),"")</f>
        <v/>
      </c>
      <c r="AN2102" s="89" t="str">
        <f>+IF($AG2102=AN$22,MONTH($D2102),"")</f>
        <v/>
      </c>
      <c r="AO2102" s="86" t="str">
        <f>+IF($AG2102=AO$22,MONTH($D2102),"")</f>
        <v/>
      </c>
      <c r="AP2102" s="86" t="str">
        <f>+IF($AG2102=AP$22,MONTH($D2102),"")</f>
        <v/>
      </c>
      <c r="AQ2102" s="86" t="str">
        <f>+IF($AG2102=AQ$22,MONTH($D2102),"")</f>
        <v/>
      </c>
      <c r="AR2102" s="86">
        <f>+IF($AG2102=AR$22,MONTH($D2102),"")</f>
        <v>12</v>
      </c>
      <c r="AS2102" s="86" t="str">
        <f>+IF($AG2102=AS$22,MONTH($D2102),"")</f>
        <v/>
      </c>
      <c r="AT2102" s="86" t="str">
        <f>+IF($AG2102=AT$22,MONTH($D2102),"")</f>
        <v/>
      </c>
      <c r="AU2102" s="86" t="str">
        <f>+IF($AG2102=AU$22,MONTH($D2102),"")</f>
        <v/>
      </c>
      <c r="AV2102" s="86" t="str">
        <f>+IF($AG2102=AV$22,MONTH($D2102),"")</f>
        <v/>
      </c>
      <c r="AW2102" s="86" t="str">
        <f>+IF($AG2102=AW$22,MONTH($D2102),"")</f>
        <v/>
      </c>
      <c r="AX2102" s="86" t="str">
        <f>+IF($AG2102=AX$22,MONTH($D2102),"")</f>
        <v/>
      </c>
      <c r="AY2102" s="89"/>
      <c r="AZ2102" s="89"/>
      <c r="BA2102" s="89"/>
      <c r="BB2102" s="89"/>
      <c r="BC2102" s="89"/>
      <c r="BD2102" s="89"/>
      <c r="BE2102" s="89"/>
      <c r="BF2102" s="89"/>
      <c r="BG2102" s="89"/>
      <c r="BH2102" s="89"/>
      <c r="BI2102" s="89"/>
      <c r="BJ2102" s="89"/>
      <c r="BK2102" s="89"/>
      <c r="BL2102" s="89"/>
      <c r="BM2102" s="89"/>
      <c r="BN2102" s="89"/>
      <c r="BO2102" s="89"/>
      <c r="BP2102" s="89"/>
    </row>
    <row r="2103" spans="1:68" s="56" customFormat="1" ht="27" hidden="1">
      <c r="A2103" s="204" t="str">
        <f>+IFERROR(VALUE(MID(AB2103,4,4)),"")</f>
        <v/>
      </c>
      <c r="B2103" s="204">
        <f>VALUE(RIGHT(C2103,LEN(C2103)-2))</f>
        <v>622</v>
      </c>
      <c r="C2103" s="74" t="s">
        <v>7245</v>
      </c>
      <c r="D2103" s="75">
        <v>42716</v>
      </c>
      <c r="E2103" s="70" t="s">
        <v>81</v>
      </c>
      <c r="F2103" s="70" t="s">
        <v>3351</v>
      </c>
      <c r="G2103" s="68"/>
      <c r="H2103" s="59"/>
      <c r="I2103" s="162" t="s">
        <v>7246</v>
      </c>
      <c r="J2103" s="162"/>
      <c r="K2103" s="68"/>
      <c r="L2103" s="69" t="s">
        <v>120</v>
      </c>
      <c r="M2103" s="71" t="s">
        <v>113</v>
      </c>
      <c r="N2103" s="69" t="e" vm="4">
        <v>#VALUE!</v>
      </c>
      <c r="O2103" s="164">
        <v>42718</v>
      </c>
      <c r="P2103" s="72" t="s">
        <v>402</v>
      </c>
      <c r="Q2103" s="72"/>
      <c r="R2103" s="162"/>
      <c r="S2103" s="146"/>
      <c r="T2103" s="68" t="s">
        <v>155</v>
      </c>
      <c r="U2103" s="87"/>
      <c r="V2103" s="183"/>
      <c r="W2103" s="73"/>
      <c r="X2103" s="73"/>
      <c r="Y2103" s="83"/>
      <c r="Z2103" s="183"/>
      <c r="AA2103" s="183"/>
      <c r="AB2103" s="223"/>
      <c r="AC2103" s="153"/>
      <c r="AD2103" s="331"/>
      <c r="AE2103" s="57"/>
      <c r="AF2103" s="88"/>
      <c r="AG2103" s="182">
        <f>YEAR(D2103)</f>
        <v>2016</v>
      </c>
      <c r="AH2103" s="86" t="str">
        <f>+IF(AE2103=$AJ$22,MONTH(T2103),"")</f>
        <v/>
      </c>
      <c r="AI2103" s="86" t="str">
        <f>+IF(AF2103=$AJ$22,MONTH(U2103),"")</f>
        <v/>
      </c>
      <c r="AJ2103" s="86" t="str">
        <f>+IF(AG2103=$AJ$22,MONTH(V2103),"")</f>
        <v/>
      </c>
      <c r="AK2103" s="86" t="str">
        <f>+IF(AG2103=$AK$22,MONTH(V2103),"")</f>
        <v/>
      </c>
      <c r="AL2103" s="86" t="str">
        <f>+IF(AG2103=$AL$22,MONTH(V2103),"")</f>
        <v/>
      </c>
      <c r="AM2103" s="86" t="str">
        <f>+IF($AG2103=$AM$22,MONTH($D2103),"")</f>
        <v/>
      </c>
      <c r="AN2103" s="89" t="str">
        <f>+IF($AG2103=AN$22,MONTH($D2103),"")</f>
        <v/>
      </c>
      <c r="AO2103" s="86" t="str">
        <f>+IF($AG2103=AO$22,MONTH($D2103),"")</f>
        <v/>
      </c>
      <c r="AP2103" s="86" t="str">
        <f>+IF($AG2103=AP$22,MONTH($D2103),"")</f>
        <v/>
      </c>
      <c r="AQ2103" s="86" t="str">
        <f>+IF($AG2103=AQ$22,MONTH($D2103),"")</f>
        <v/>
      </c>
      <c r="AR2103" s="86">
        <f>+IF($AG2103=AR$22,MONTH($D2103),"")</f>
        <v>12</v>
      </c>
      <c r="AS2103" s="86" t="str">
        <f>+IF($AG2103=AS$22,MONTH($D2103),"")</f>
        <v/>
      </c>
      <c r="AT2103" s="86" t="str">
        <f>+IF($AG2103=AT$22,MONTH($D2103),"")</f>
        <v/>
      </c>
      <c r="AU2103" s="86" t="str">
        <f>+IF($AG2103=AU$22,MONTH($D2103),"")</f>
        <v/>
      </c>
      <c r="AV2103" s="86" t="str">
        <f>+IF($AG2103=AV$22,MONTH($D2103),"")</f>
        <v/>
      </c>
      <c r="AW2103" s="86" t="str">
        <f>+IF($AG2103=AW$22,MONTH($D2103),"")</f>
        <v/>
      </c>
      <c r="AX2103" s="86" t="str">
        <f>+IF($AG2103=AX$22,MONTH($D2103),"")</f>
        <v/>
      </c>
      <c r="AY2103" s="89"/>
      <c r="AZ2103" s="89"/>
      <c r="BA2103" s="89"/>
      <c r="BB2103" s="89"/>
      <c r="BC2103" s="89"/>
      <c r="BD2103" s="89"/>
      <c r="BE2103" s="89"/>
      <c r="BF2103" s="89"/>
      <c r="BG2103" s="89"/>
      <c r="BH2103" s="89"/>
      <c r="BI2103" s="89"/>
      <c r="BJ2103" s="89"/>
      <c r="BK2103" s="89"/>
      <c r="BL2103" s="89"/>
      <c r="BM2103" s="89"/>
      <c r="BN2103" s="89"/>
      <c r="BO2103" s="89"/>
      <c r="BP2103" s="89"/>
    </row>
    <row r="2104" spans="1:68" s="56" customFormat="1" ht="27" hidden="1">
      <c r="A2104" s="204" t="str">
        <f>+IFERROR(VALUE(MID(AB2104,4,4)),"")</f>
        <v/>
      </c>
      <c r="B2104" s="204">
        <f>VALUE(RIGHT(C2104,LEN(C2104)-2))</f>
        <v>621</v>
      </c>
      <c r="C2104" s="74" t="s">
        <v>7247</v>
      </c>
      <c r="D2104" s="75">
        <v>42716</v>
      </c>
      <c r="E2104" s="70" t="s">
        <v>81</v>
      </c>
      <c r="F2104" s="70" t="s">
        <v>3351</v>
      </c>
      <c r="G2104" s="68"/>
      <c r="H2104" s="59"/>
      <c r="I2104" s="162" t="s">
        <v>7248</v>
      </c>
      <c r="J2104" s="162"/>
      <c r="K2104" s="68"/>
      <c r="L2104" s="69" t="s">
        <v>120</v>
      </c>
      <c r="M2104" s="71" t="s">
        <v>113</v>
      </c>
      <c r="N2104" s="69" t="e" vm="4">
        <v>#VALUE!</v>
      </c>
      <c r="O2104" s="164">
        <v>42726</v>
      </c>
      <c r="P2104" s="72" t="s">
        <v>402</v>
      </c>
      <c r="Q2104" s="72"/>
      <c r="R2104" s="162"/>
      <c r="S2104" s="146"/>
      <c r="T2104" s="68" t="s">
        <v>165</v>
      </c>
      <c r="U2104" s="87"/>
      <c r="V2104" s="183">
        <v>42886</v>
      </c>
      <c r="W2104" s="73">
        <v>3715</v>
      </c>
      <c r="X2104" s="73">
        <f>272790*650/1000000</f>
        <v>177.3135</v>
      </c>
      <c r="Y2104" s="83">
        <f>IF(SUM(W2104:W2104)&gt;0,X2104/SUM(W2104:W2104)*1000000,"N/A")</f>
        <v>47729.071332436069</v>
      </c>
      <c r="Z2104" s="183"/>
      <c r="AA2104" s="183"/>
      <c r="AB2104" s="223"/>
      <c r="AC2104" s="153"/>
      <c r="AD2104" s="331"/>
      <c r="AE2104" s="57"/>
      <c r="AF2104" s="88"/>
      <c r="AG2104" s="182">
        <f>YEAR(D2104)</f>
        <v>2016</v>
      </c>
      <c r="AH2104" s="86" t="str">
        <f>+IF(AE2104=$AJ$22,MONTH(T2104),"")</f>
        <v/>
      </c>
      <c r="AI2104" s="86" t="str">
        <f>+IF(AF2104=$AJ$22,MONTH(U2104),"")</f>
        <v/>
      </c>
      <c r="AJ2104" s="86" t="str">
        <f>+IF(AG2104=$AJ$22,MONTH(V2104),"")</f>
        <v/>
      </c>
      <c r="AK2104" s="86" t="str">
        <f>+IF(AG2104=$AK$22,MONTH(V2104),"")</f>
        <v/>
      </c>
      <c r="AL2104" s="86" t="str">
        <f>+IF(AG2104=$AL$22,MONTH(V2104),"")</f>
        <v/>
      </c>
      <c r="AM2104" s="86" t="str">
        <f>+IF($AG2104=$AM$22,MONTH($D2104),"")</f>
        <v/>
      </c>
      <c r="AN2104" s="89" t="str">
        <f>+IF($AG2104=AN$22,MONTH($D2104),"")</f>
        <v/>
      </c>
      <c r="AO2104" s="140" t="str">
        <f>+IF($AG2104=AO$22,MONTH($D2104),"")</f>
        <v/>
      </c>
      <c r="AP2104" s="140" t="str">
        <f>+IF($AG2104=AP$22,MONTH($D2104),"")</f>
        <v/>
      </c>
      <c r="AQ2104" s="140" t="str">
        <f>+IF($AG2104=AQ$22,MONTH($D2104),"")</f>
        <v/>
      </c>
      <c r="AR2104" s="140">
        <f>+IF($AG2104=AR$22,MONTH($D2104),"")</f>
        <v>12</v>
      </c>
      <c r="AS2104" s="140" t="str">
        <f>+IF($AG2104=AS$22,MONTH($D2104),"")</f>
        <v/>
      </c>
      <c r="AT2104" s="140" t="str">
        <f>+IF($AG2104=AT$22,MONTH($D2104),"")</f>
        <v/>
      </c>
      <c r="AU2104" s="140" t="str">
        <f>+IF($AG2104=AU$22,MONTH($D2104),"")</f>
        <v/>
      </c>
      <c r="AV2104" s="140" t="str">
        <f>+IF($AG2104=AV$22,MONTH($D2104),"")</f>
        <v/>
      </c>
      <c r="AW2104" s="86" t="str">
        <f>+IF($AG2104=AW$22,MONTH($D2104),"")</f>
        <v/>
      </c>
      <c r="AX2104" s="86" t="str">
        <f>+IF($AG2104=AX$22,MONTH($D2104),"")</f>
        <v/>
      </c>
      <c r="AY2104" s="89"/>
      <c r="AZ2104" s="89"/>
      <c r="BA2104" s="89"/>
      <c r="BB2104" s="89"/>
      <c r="BC2104" s="89"/>
      <c r="BD2104" s="89"/>
      <c r="BE2104" s="89"/>
      <c r="BF2104" s="89"/>
      <c r="BG2104" s="89"/>
      <c r="BH2104" s="89"/>
      <c r="BI2104" s="89"/>
      <c r="BJ2104" s="89"/>
      <c r="BK2104" s="89"/>
      <c r="BL2104" s="89"/>
      <c r="BM2104" s="89"/>
      <c r="BN2104" s="89"/>
      <c r="BO2104" s="89"/>
      <c r="BP2104" s="89"/>
    </row>
    <row r="2105" spans="1:68" s="56" customFormat="1" ht="13.5" hidden="1">
      <c r="A2105" s="204" t="str">
        <f>+IFERROR(VALUE(MID(AB2105,4,4)),"")</f>
        <v/>
      </c>
      <c r="B2105" s="204">
        <f>VALUE(RIGHT(C2105,LEN(C2105)-2))</f>
        <v>620</v>
      </c>
      <c r="C2105" s="74" t="s">
        <v>7249</v>
      </c>
      <c r="D2105" s="75">
        <v>42711</v>
      </c>
      <c r="E2105" s="70" t="s">
        <v>69</v>
      </c>
      <c r="F2105" s="70" t="s">
        <v>69</v>
      </c>
      <c r="G2105" s="68"/>
      <c r="H2105" s="59"/>
      <c r="I2105" s="162" t="s">
        <v>7250</v>
      </c>
      <c r="J2105" s="162"/>
      <c r="K2105" s="68"/>
      <c r="L2105" s="69" t="s">
        <v>120</v>
      </c>
      <c r="M2105" s="71" t="s">
        <v>141</v>
      </c>
      <c r="N2105" s="69" t="e" vm="1">
        <v>#VALUE!</v>
      </c>
      <c r="O2105" s="164">
        <v>42711</v>
      </c>
      <c r="P2105" s="72" t="s">
        <v>402</v>
      </c>
      <c r="Q2105" s="72"/>
      <c r="R2105" s="162"/>
      <c r="S2105" s="146"/>
      <c r="T2105" s="68" t="s">
        <v>155</v>
      </c>
      <c r="U2105" s="87"/>
      <c r="V2105" s="183"/>
      <c r="W2105" s="73"/>
      <c r="X2105" s="73"/>
      <c r="Y2105" s="83"/>
      <c r="Z2105" s="183"/>
      <c r="AA2105" s="183"/>
      <c r="AB2105" s="223"/>
      <c r="AC2105" s="153"/>
      <c r="AD2105" s="331"/>
      <c r="AE2105" s="57"/>
      <c r="AF2105" s="88"/>
      <c r="AG2105" s="227">
        <f>YEAR(D2105)</f>
        <v>2016</v>
      </c>
      <c r="AH2105" s="86" t="str">
        <f>+IF(AE2105=$AJ$22,MONTH(T2105),"")</f>
        <v/>
      </c>
      <c r="AI2105" s="86" t="str">
        <f>+IF(AF2105=$AJ$22,MONTH(U2105),"")</f>
        <v/>
      </c>
      <c r="AJ2105" s="86" t="str">
        <f>+IF(AG2105=$AJ$22,MONTH(V2105),"")</f>
        <v/>
      </c>
      <c r="AK2105" s="86" t="str">
        <f>+IF(AG2105=$AK$22,MONTH(V2105),"")</f>
        <v/>
      </c>
      <c r="AL2105" s="86" t="str">
        <f>+IF(AG2105=$AL$22,MONTH(V2105),"")</f>
        <v/>
      </c>
      <c r="AM2105" s="86" t="str">
        <f>+IF($AG2105=$AM$22,MONTH($D2105),"")</f>
        <v/>
      </c>
      <c r="AN2105" s="89" t="str">
        <f>+IF($AG2105=AN$22,MONTH($D2105),"")</f>
        <v/>
      </c>
      <c r="AO2105" s="86" t="str">
        <f>+IF($AG2105=AO$22,MONTH($D2105),"")</f>
        <v/>
      </c>
      <c r="AP2105" s="86" t="str">
        <f>+IF($AG2105=AP$22,MONTH($D2105),"")</f>
        <v/>
      </c>
      <c r="AQ2105" s="86" t="str">
        <f>+IF($AG2105=AQ$22,MONTH($D2105),"")</f>
        <v/>
      </c>
      <c r="AR2105" s="86">
        <f>+IF($AG2105=AR$22,MONTH($D2105),"")</f>
        <v>12</v>
      </c>
      <c r="AS2105" s="86" t="str">
        <f>+IF($AG2105=AS$22,MONTH($D2105),"")</f>
        <v/>
      </c>
      <c r="AT2105" s="86" t="str">
        <f>+IF($AG2105=AT$22,MONTH($D2105),"")</f>
        <v/>
      </c>
      <c r="AU2105" s="86" t="str">
        <f>+IF($AG2105=AU$22,MONTH($D2105),"")</f>
        <v/>
      </c>
      <c r="AV2105" s="86" t="str">
        <f>+IF($AG2105=AV$22,MONTH($D2105),"")</f>
        <v/>
      </c>
      <c r="AW2105" s="86" t="str">
        <f>+IF($AG2105=AW$22,MONTH($D2105),"")</f>
        <v/>
      </c>
      <c r="AX2105" s="86" t="str">
        <f>+IF($AG2105=AX$22,MONTH($D2105),"")</f>
        <v/>
      </c>
      <c r="AY2105" s="89"/>
      <c r="AZ2105" s="89"/>
      <c r="BA2105" s="89"/>
      <c r="BB2105" s="89"/>
      <c r="BC2105" s="89"/>
      <c r="BD2105" s="89"/>
      <c r="BE2105" s="89"/>
      <c r="BF2105" s="89"/>
      <c r="BG2105" s="89"/>
      <c r="BH2105" s="89"/>
      <c r="BI2105" s="89"/>
      <c r="BJ2105" s="89"/>
      <c r="BK2105" s="89"/>
      <c r="BL2105" s="89"/>
      <c r="BM2105" s="89"/>
      <c r="BN2105" s="89"/>
      <c r="BO2105" s="89"/>
      <c r="BP2105" s="89"/>
    </row>
    <row r="2106" spans="1:68" s="56" customFormat="1" ht="94.5" hidden="1">
      <c r="A2106" s="204" t="str">
        <f>+IFERROR(VALUE(MID(AB2106,4,4)),"")</f>
        <v/>
      </c>
      <c r="B2106" s="204">
        <f>VALUE(RIGHT(C2106,LEN(C2106)-2))</f>
        <v>619</v>
      </c>
      <c r="C2106" s="74" t="s">
        <v>7251</v>
      </c>
      <c r="D2106" s="75">
        <v>42709</v>
      </c>
      <c r="E2106" s="70" t="s">
        <v>81</v>
      </c>
      <c r="F2106" s="70" t="s">
        <v>3351</v>
      </c>
      <c r="G2106" s="68"/>
      <c r="H2106" s="59"/>
      <c r="I2106" s="162" t="s">
        <v>7252</v>
      </c>
      <c r="J2106" s="162"/>
      <c r="K2106" s="68" t="s">
        <v>13</v>
      </c>
      <c r="L2106" s="69" t="s">
        <v>120</v>
      </c>
      <c r="M2106" s="71" t="s">
        <v>113</v>
      </c>
      <c r="N2106" s="69" t="e" vm="4">
        <v>#VALUE!</v>
      </c>
      <c r="O2106" s="164">
        <v>42709</v>
      </c>
      <c r="P2106" s="72" t="s">
        <v>402</v>
      </c>
      <c r="Q2106" s="72"/>
      <c r="R2106" s="162"/>
      <c r="S2106" s="146" t="s">
        <v>7253</v>
      </c>
      <c r="T2106" s="68" t="s">
        <v>165</v>
      </c>
      <c r="U2106" s="87"/>
      <c r="V2106" s="183">
        <v>43144</v>
      </c>
      <c r="W2106" s="73">
        <v>3850</v>
      </c>
      <c r="X2106" s="73">
        <f>208000*650/1000000</f>
        <v>135.19999999999999</v>
      </c>
      <c r="Y2106" s="83">
        <f>IF(SUM(W2106:W2106)&gt;0,X2106/SUM(W2106:W2106)*1000000,"N/A")</f>
        <v>35116.883116883117</v>
      </c>
      <c r="Z2106" s="183"/>
      <c r="AA2106" s="183"/>
      <c r="AB2106" s="223"/>
      <c r="AC2106" s="153"/>
      <c r="AD2106" s="331"/>
      <c r="AE2106" s="57"/>
      <c r="AF2106" s="88"/>
      <c r="AG2106" s="227">
        <f>YEAR(D2106)</f>
        <v>2016</v>
      </c>
      <c r="AH2106" s="86" t="str">
        <f>+IF(AE2106=$AJ$22,MONTH(T2106),"")</f>
        <v/>
      </c>
      <c r="AI2106" s="86" t="str">
        <f>+IF(AF2106=$AJ$22,MONTH(U2106),"")</f>
        <v/>
      </c>
      <c r="AJ2106" s="86" t="str">
        <f>+IF(AG2106=$AJ$22,MONTH(V2106),"")</f>
        <v/>
      </c>
      <c r="AK2106" s="86" t="str">
        <f>+IF(AG2106=$AK$22,MONTH(V2106),"")</f>
        <v/>
      </c>
      <c r="AL2106" s="86" t="str">
        <f>+IF(AG2106=$AL$22,MONTH(V2106),"")</f>
        <v/>
      </c>
      <c r="AM2106" s="86" t="str">
        <f>+IF($AG2106=$AM$22,MONTH($D2106),"")</f>
        <v/>
      </c>
      <c r="AN2106" s="89" t="str">
        <f>+IF($AG2106=AN$22,MONTH($D2106),"")</f>
        <v/>
      </c>
      <c r="AO2106" s="86" t="str">
        <f>+IF($AG2106=AO$22,MONTH($D2106),"")</f>
        <v/>
      </c>
      <c r="AP2106" s="86" t="str">
        <f>+IF($AG2106=AP$22,MONTH($D2106),"")</f>
        <v/>
      </c>
      <c r="AQ2106" s="86" t="str">
        <f>+IF($AG2106=AQ$22,MONTH($D2106),"")</f>
        <v/>
      </c>
      <c r="AR2106" s="86">
        <f>+IF($AG2106=AR$22,MONTH($D2106),"")</f>
        <v>12</v>
      </c>
      <c r="AS2106" s="86" t="str">
        <f>+IF($AG2106=AS$22,MONTH($D2106),"")</f>
        <v/>
      </c>
      <c r="AT2106" s="86" t="str">
        <f>+IF($AG2106=AT$22,MONTH($D2106),"")</f>
        <v/>
      </c>
      <c r="AU2106" s="86" t="str">
        <f>+IF($AG2106=AU$22,MONTH($D2106),"")</f>
        <v/>
      </c>
      <c r="AV2106" s="86" t="str">
        <f>+IF($AG2106=AV$22,MONTH($D2106),"")</f>
        <v/>
      </c>
      <c r="AW2106" s="86" t="str">
        <f>+IF($AG2106=AW$22,MONTH($D2106),"")</f>
        <v/>
      </c>
      <c r="AX2106" s="86" t="str">
        <f>+IF($AG2106=AX$22,MONTH($D2106),"")</f>
        <v/>
      </c>
      <c r="AY2106" s="89"/>
      <c r="AZ2106" s="89"/>
      <c r="BA2106" s="89"/>
      <c r="BB2106" s="89"/>
      <c r="BC2106" s="89"/>
      <c r="BD2106" s="89"/>
      <c r="BE2106" s="89"/>
      <c r="BF2106" s="89"/>
      <c r="BG2106" s="89"/>
      <c r="BH2106" s="89"/>
      <c r="BI2106" s="89"/>
      <c r="BJ2106" s="89"/>
      <c r="BK2106" s="89"/>
      <c r="BL2106" s="89"/>
      <c r="BM2106" s="89"/>
      <c r="BN2106" s="89"/>
      <c r="BO2106" s="89"/>
      <c r="BP2106" s="89"/>
    </row>
    <row r="2107" spans="1:68" s="56" customFormat="1" ht="53.25" hidden="1">
      <c r="A2107" s="204" t="str">
        <f>+IFERROR(VALUE(MID(AB2107,4,4)),"")</f>
        <v/>
      </c>
      <c r="B2107" s="204">
        <f>VALUE(RIGHT(C2107,LEN(C2107)-2))</f>
        <v>618</v>
      </c>
      <c r="C2107" s="74" t="s">
        <v>7254</v>
      </c>
      <c r="D2107" s="75">
        <v>42705</v>
      </c>
      <c r="E2107" s="70" t="s">
        <v>1321</v>
      </c>
      <c r="F2107" s="70" t="s">
        <v>270</v>
      </c>
      <c r="G2107" s="68"/>
      <c r="H2107" s="59"/>
      <c r="I2107" s="162" t="s">
        <v>7255</v>
      </c>
      <c r="J2107" s="162"/>
      <c r="K2107" s="68" t="s">
        <v>9</v>
      </c>
      <c r="L2107" s="69" t="s">
        <v>123</v>
      </c>
      <c r="M2107" s="71" t="s">
        <v>141</v>
      </c>
      <c r="N2107" s="69" t="e" vm="1">
        <v>#VALUE!</v>
      </c>
      <c r="O2107" s="164">
        <v>42717</v>
      </c>
      <c r="P2107" s="72" t="s">
        <v>7256</v>
      </c>
      <c r="Q2107" s="72"/>
      <c r="R2107" s="162"/>
      <c r="S2107" s="146" t="s">
        <v>7257</v>
      </c>
      <c r="T2107" s="68" t="s">
        <v>155</v>
      </c>
      <c r="U2107" s="87"/>
      <c r="V2107" s="183">
        <v>42793</v>
      </c>
      <c r="W2107" s="73">
        <v>80</v>
      </c>
      <c r="X2107" s="73">
        <f>1260000*2/1000000</f>
        <v>2.52</v>
      </c>
      <c r="Y2107" s="83">
        <f>IF(SUM(W2107:W2107)&gt;0,X2107/SUM(W2107:W2107)*1000000,"N/A")</f>
        <v>31500</v>
      </c>
      <c r="Z2107" s="183"/>
      <c r="AA2107" s="183"/>
      <c r="AB2107" s="223"/>
      <c r="AC2107" s="153"/>
      <c r="AD2107" s="331"/>
      <c r="AE2107" s="57"/>
      <c r="AF2107" s="88"/>
      <c r="AG2107" s="182">
        <f>YEAR(D2107)</f>
        <v>2016</v>
      </c>
      <c r="AH2107" s="86" t="str">
        <f>+IF(AE2107=$AJ$22,MONTH(T2107),"")</f>
        <v/>
      </c>
      <c r="AI2107" s="86" t="str">
        <f>+IF(AF2107=$AJ$22,MONTH(U2107),"")</f>
        <v/>
      </c>
      <c r="AJ2107" s="86" t="str">
        <f>+IF(AG2107=$AJ$22,MONTH(V2107),"")</f>
        <v/>
      </c>
      <c r="AK2107" s="86" t="str">
        <f>+IF(AG2107=$AK$22,MONTH(V2107),"")</f>
        <v/>
      </c>
      <c r="AL2107" s="86" t="str">
        <f>+IF(AG2107=$AL$22,MONTH(V2107),"")</f>
        <v/>
      </c>
      <c r="AM2107" s="86" t="str">
        <f>+IF($AG2107=$AM$22,MONTH($D2107),"")</f>
        <v/>
      </c>
      <c r="AN2107" s="89" t="str">
        <f>+IF($AG2107=AN$22,MONTH($D2107),"")</f>
        <v/>
      </c>
      <c r="AO2107" s="86" t="str">
        <f>+IF($AG2107=AO$22,MONTH($D2107),"")</f>
        <v/>
      </c>
      <c r="AP2107" s="86" t="str">
        <f>+IF($AG2107=AP$22,MONTH($D2107),"")</f>
        <v/>
      </c>
      <c r="AQ2107" s="86" t="str">
        <f>+IF($AG2107=AQ$22,MONTH($D2107),"")</f>
        <v/>
      </c>
      <c r="AR2107" s="86">
        <f>+IF($AG2107=AR$22,MONTH($D2107),"")</f>
        <v>12</v>
      </c>
      <c r="AS2107" s="86" t="str">
        <f>+IF($AG2107=AS$22,MONTH($D2107),"")</f>
        <v/>
      </c>
      <c r="AT2107" s="86" t="str">
        <f>+IF($AG2107=AT$22,MONTH($D2107),"")</f>
        <v/>
      </c>
      <c r="AU2107" s="86" t="str">
        <f>+IF($AG2107=AU$22,MONTH($D2107),"")</f>
        <v/>
      </c>
      <c r="AV2107" s="86" t="str">
        <f>+IF($AG2107=AV$22,MONTH($D2107),"")</f>
        <v/>
      </c>
      <c r="AW2107" s="86" t="str">
        <f>+IF($AG2107=AW$22,MONTH($D2107),"")</f>
        <v/>
      </c>
      <c r="AX2107" s="86" t="str">
        <f>+IF($AG2107=AX$22,MONTH($D2107),"")</f>
        <v/>
      </c>
      <c r="AY2107" s="89"/>
      <c r="AZ2107" s="89"/>
      <c r="BA2107" s="89"/>
      <c r="BB2107" s="89"/>
      <c r="BC2107" s="89"/>
      <c r="BD2107" s="89"/>
      <c r="BE2107" s="89"/>
      <c r="BF2107" s="89"/>
      <c r="BG2107" s="89"/>
      <c r="BH2107" s="89"/>
      <c r="BI2107" s="89"/>
      <c r="BJ2107" s="89"/>
      <c r="BK2107" s="89"/>
      <c r="BL2107" s="89"/>
      <c r="BM2107" s="89"/>
      <c r="BN2107" s="89"/>
      <c r="BO2107" s="89"/>
      <c r="BP2107" s="89"/>
    </row>
    <row r="2108" spans="1:68" s="56" customFormat="1" ht="13.5" hidden="1">
      <c r="A2108" s="204" t="str">
        <f>+IFERROR(VALUE(MID(AB2108,4,4)),"")</f>
        <v/>
      </c>
      <c r="B2108" s="204">
        <f>VALUE(RIGHT(C2108,LEN(C2108)-2))</f>
        <v>617</v>
      </c>
      <c r="C2108" s="74" t="s">
        <v>7258</v>
      </c>
      <c r="D2108" s="75">
        <v>42702</v>
      </c>
      <c r="E2108" s="70" t="s">
        <v>7259</v>
      </c>
      <c r="F2108" s="70" t="s">
        <v>7259</v>
      </c>
      <c r="G2108" s="68"/>
      <c r="H2108" s="59"/>
      <c r="I2108" s="162" t="s">
        <v>7260</v>
      </c>
      <c r="J2108" s="162"/>
      <c r="K2108" s="68"/>
      <c r="L2108" s="69"/>
      <c r="M2108" s="71"/>
      <c r="N2108" s="69"/>
      <c r="O2108" s="164"/>
      <c r="P2108" s="72" t="s">
        <v>402</v>
      </c>
      <c r="Q2108" s="72"/>
      <c r="R2108" s="162"/>
      <c r="S2108" s="146"/>
      <c r="T2108" s="68" t="s">
        <v>155</v>
      </c>
      <c r="U2108" s="87"/>
      <c r="V2108" s="183">
        <v>42704</v>
      </c>
      <c r="W2108" s="73"/>
      <c r="X2108" s="73"/>
      <c r="Y2108" s="83"/>
      <c r="Z2108" s="183"/>
      <c r="AA2108" s="183"/>
      <c r="AB2108" s="223"/>
      <c r="AC2108" s="153"/>
      <c r="AD2108" s="331"/>
      <c r="AE2108" s="57"/>
      <c r="AF2108" s="88"/>
      <c r="AG2108" s="227">
        <f>YEAR(D2108)</f>
        <v>2016</v>
      </c>
      <c r="AH2108" s="86" t="str">
        <f>+IF(AE2108=$AJ$22,MONTH(T2108),"")</f>
        <v/>
      </c>
      <c r="AI2108" s="86" t="str">
        <f>+IF(AF2108=$AJ$22,MONTH(U2108),"")</f>
        <v/>
      </c>
      <c r="AJ2108" s="86" t="str">
        <f>+IF(AG2108=$AJ$22,MONTH(V2108),"")</f>
        <v/>
      </c>
      <c r="AK2108" s="86" t="str">
        <f>+IF(AG2108=$AK$22,MONTH(V2108),"")</f>
        <v/>
      </c>
      <c r="AL2108" s="86" t="str">
        <f>+IF(AG2108=$AL$22,MONTH(V2108),"")</f>
        <v/>
      </c>
      <c r="AM2108" s="86" t="str">
        <f>+IF($AG2108=$AM$22,MONTH($D2108),"")</f>
        <v/>
      </c>
      <c r="AN2108" s="89" t="str">
        <f>+IF($AG2108=AN$22,MONTH($D2108),"")</f>
        <v/>
      </c>
      <c r="AO2108" s="86" t="str">
        <f>+IF($AG2108=AO$22,MONTH($D2108),"")</f>
        <v/>
      </c>
      <c r="AP2108" s="86" t="str">
        <f>+IF($AG2108=AP$22,MONTH($D2108),"")</f>
        <v/>
      </c>
      <c r="AQ2108" s="86" t="str">
        <f>+IF($AG2108=AQ$22,MONTH($D2108),"")</f>
        <v/>
      </c>
      <c r="AR2108" s="86">
        <f>+IF($AG2108=AR$22,MONTH($D2108),"")</f>
        <v>11</v>
      </c>
      <c r="AS2108" s="86" t="str">
        <f>+IF($AG2108=AS$22,MONTH($D2108),"")</f>
        <v/>
      </c>
      <c r="AT2108" s="86" t="str">
        <f>+IF($AG2108=AT$22,MONTH($D2108),"")</f>
        <v/>
      </c>
      <c r="AU2108" s="86" t="str">
        <f>+IF($AG2108=AU$22,MONTH($D2108),"")</f>
        <v/>
      </c>
      <c r="AV2108" s="86" t="str">
        <f>+IF($AG2108=AV$22,MONTH($D2108),"")</f>
        <v/>
      </c>
      <c r="AW2108" s="86" t="str">
        <f>+IF($AG2108=AW$22,MONTH($D2108),"")</f>
        <v/>
      </c>
      <c r="AX2108" s="86" t="str">
        <f>+IF($AG2108=AX$22,MONTH($D2108),"")</f>
        <v/>
      </c>
      <c r="AY2108" s="89"/>
      <c r="AZ2108" s="89"/>
      <c r="BA2108" s="89"/>
      <c r="BB2108" s="89"/>
      <c r="BC2108" s="89"/>
      <c r="BD2108" s="89"/>
      <c r="BE2108" s="89"/>
      <c r="BF2108" s="89"/>
      <c r="BG2108" s="89"/>
      <c r="BH2108" s="89"/>
      <c r="BI2108" s="89"/>
      <c r="BJ2108" s="89"/>
      <c r="BK2108" s="89"/>
      <c r="BL2108" s="89"/>
      <c r="BM2108" s="89"/>
      <c r="BN2108" s="89"/>
      <c r="BO2108" s="89"/>
      <c r="BP2108" s="89"/>
    </row>
    <row r="2109" spans="1:68" s="56" customFormat="1" ht="13.5" hidden="1">
      <c r="A2109" s="204">
        <f>+IFERROR(VALUE(MID(AB2109,4,4)),"")</f>
        <v>146</v>
      </c>
      <c r="B2109" s="204">
        <f>VALUE(RIGHT(C2109,LEN(C2109)-2))</f>
        <v>616</v>
      </c>
      <c r="C2109" s="74" t="s">
        <v>7261</v>
      </c>
      <c r="D2109" s="75">
        <v>42703</v>
      </c>
      <c r="E2109" s="70" t="s">
        <v>53</v>
      </c>
      <c r="F2109" s="70" t="s">
        <v>460</v>
      </c>
      <c r="G2109" s="68"/>
      <c r="H2109" s="59"/>
      <c r="I2109" s="162" t="s">
        <v>7262</v>
      </c>
      <c r="J2109" s="162"/>
      <c r="K2109" s="68" t="s">
        <v>13</v>
      </c>
      <c r="L2109" s="69" t="s">
        <v>120</v>
      </c>
      <c r="M2109" s="71" t="s">
        <v>141</v>
      </c>
      <c r="N2109" s="69" t="e" vm="1">
        <v>#VALUE!</v>
      </c>
      <c r="O2109" s="164">
        <v>42703</v>
      </c>
      <c r="P2109" s="72" t="s">
        <v>402</v>
      </c>
      <c r="Q2109" s="72"/>
      <c r="R2109" s="162"/>
      <c r="S2109" s="146"/>
      <c r="T2109" s="68" t="s">
        <v>3</v>
      </c>
      <c r="U2109" s="87"/>
      <c r="V2109" s="183">
        <v>42705</v>
      </c>
      <c r="W2109" s="73">
        <v>147</v>
      </c>
      <c r="X2109" s="73">
        <f>4400000/1000000</f>
        <v>4.4000000000000004</v>
      </c>
      <c r="Y2109" s="83">
        <f>IF(SUM(W2109:W2109)&gt;0,X2109/SUM(W2109:W2109)*1000000,"N/A")</f>
        <v>29931.972789115647</v>
      </c>
      <c r="Z2109" s="183"/>
      <c r="AA2109" s="183"/>
      <c r="AB2109" s="223" t="s">
        <v>7042</v>
      </c>
      <c r="AC2109" s="153"/>
      <c r="AD2109" s="331"/>
      <c r="AE2109" s="57"/>
      <c r="AF2109" s="88"/>
      <c r="AG2109" s="182">
        <f>YEAR(D2109)</f>
        <v>2016</v>
      </c>
      <c r="AH2109" s="86" t="str">
        <f>+IF(AE2109=$AJ$22,MONTH(T2109),"")</f>
        <v/>
      </c>
      <c r="AI2109" s="86" t="str">
        <f>+IF(AF2109=$AJ$22,MONTH(U2109),"")</f>
        <v/>
      </c>
      <c r="AJ2109" s="86" t="str">
        <f>+IF(AG2109=$AJ$22,MONTH(V2109),"")</f>
        <v/>
      </c>
      <c r="AK2109" s="86" t="str">
        <f>+IF(AG2109=$AK$22,MONTH(V2109),"")</f>
        <v/>
      </c>
      <c r="AL2109" s="86" t="str">
        <f>+IF(AG2109=$AL$22,MONTH(V2109),"")</f>
        <v/>
      </c>
      <c r="AM2109" s="86" t="str">
        <f>+IF($AG2109=$AM$22,MONTH($D2109),"")</f>
        <v/>
      </c>
      <c r="AN2109" s="89" t="str">
        <f>+IF($AG2109=AN$22,MONTH($D2109),"")</f>
        <v/>
      </c>
      <c r="AO2109" s="140" t="str">
        <f>+IF($AG2109=AO$22,MONTH($D2109),"")</f>
        <v/>
      </c>
      <c r="AP2109" s="140" t="str">
        <f>+IF($AG2109=AP$22,MONTH($D2109),"")</f>
        <v/>
      </c>
      <c r="AQ2109" s="140" t="str">
        <f>+IF($AG2109=AQ$22,MONTH($D2109),"")</f>
        <v/>
      </c>
      <c r="AR2109" s="140">
        <f>+IF($AG2109=AR$22,MONTH($D2109),"")</f>
        <v>11</v>
      </c>
      <c r="AS2109" s="140" t="str">
        <f>+IF($AG2109=AS$22,MONTH($D2109),"")</f>
        <v/>
      </c>
      <c r="AT2109" s="140" t="str">
        <f>+IF($AG2109=AT$22,MONTH($D2109),"")</f>
        <v/>
      </c>
      <c r="AU2109" s="140" t="str">
        <f>+IF($AG2109=AU$22,MONTH($D2109),"")</f>
        <v/>
      </c>
      <c r="AV2109" s="86" t="str">
        <f>+IF($AG2109=AV$22,MONTH($D2109),"")</f>
        <v/>
      </c>
      <c r="AW2109" s="86" t="str">
        <f>+IF($AG2109=AW$22,MONTH($D2109),"")</f>
        <v/>
      </c>
      <c r="AX2109" s="86" t="str">
        <f>+IF($AG2109=AX$22,MONTH($D2109),"")</f>
        <v/>
      </c>
      <c r="AY2109" s="89"/>
      <c r="AZ2109" s="89"/>
      <c r="BA2109" s="89"/>
      <c r="BB2109" s="89"/>
      <c r="BC2109" s="89"/>
      <c r="BD2109" s="89"/>
      <c r="BE2109" s="89"/>
      <c r="BF2109" s="89"/>
      <c r="BG2109" s="89"/>
      <c r="BH2109" s="89"/>
      <c r="BI2109" s="89"/>
      <c r="BJ2109" s="89"/>
      <c r="BK2109" s="89"/>
      <c r="BL2109" s="89"/>
      <c r="BM2109" s="89"/>
      <c r="BN2109" s="89"/>
      <c r="BO2109" s="89"/>
      <c r="BP2109" s="89"/>
    </row>
    <row r="2110" spans="1:68" s="56" customFormat="1" ht="310.5" hidden="1">
      <c r="A2110" s="204" t="str">
        <f>+IFERROR(VALUE(MID(AB2110,4,4)),"")</f>
        <v/>
      </c>
      <c r="B2110" s="204">
        <f>VALUE(RIGHT(C2110,LEN(C2110)-2))</f>
        <v>615</v>
      </c>
      <c r="C2110" s="74" t="s">
        <v>7263</v>
      </c>
      <c r="D2110" s="75">
        <v>42704</v>
      </c>
      <c r="E2110" s="70" t="s">
        <v>81</v>
      </c>
      <c r="F2110" s="70" t="s">
        <v>3351</v>
      </c>
      <c r="G2110" s="68"/>
      <c r="H2110" s="59"/>
      <c r="I2110" s="162" t="s">
        <v>7264</v>
      </c>
      <c r="J2110" s="162"/>
      <c r="K2110" s="68" t="s">
        <v>11</v>
      </c>
      <c r="L2110" s="69" t="s">
        <v>120</v>
      </c>
      <c r="M2110" s="71" t="s">
        <v>113</v>
      </c>
      <c r="N2110" s="69" t="e" vm="4">
        <v>#VALUE!</v>
      </c>
      <c r="O2110" s="164">
        <v>42704</v>
      </c>
      <c r="P2110" s="72" t="s">
        <v>402</v>
      </c>
      <c r="Q2110" s="72"/>
      <c r="R2110" s="162"/>
      <c r="S2110" s="146" t="s">
        <v>7265</v>
      </c>
      <c r="T2110" s="68" t="s">
        <v>165</v>
      </c>
      <c r="U2110" s="87"/>
      <c r="V2110" s="183">
        <v>42704</v>
      </c>
      <c r="W2110" s="73">
        <v>1375</v>
      </c>
      <c r="X2110" s="73">
        <f>76120*630/1000000</f>
        <v>47.955599999999997</v>
      </c>
      <c r="Y2110" s="83">
        <f>IF(SUM(W2110:W2110)&gt;0,X2110/SUM(W2110:W2110)*1000000,"N/A")</f>
        <v>34876.800000000003</v>
      </c>
      <c r="Z2110" s="183"/>
      <c r="AA2110" s="183"/>
      <c r="AB2110" s="223"/>
      <c r="AC2110" s="153"/>
      <c r="AD2110" s="331"/>
      <c r="AE2110" s="57"/>
      <c r="AF2110" s="88"/>
      <c r="AG2110" s="182">
        <f>YEAR(D2110)</f>
        <v>2016</v>
      </c>
      <c r="AH2110" s="86" t="str">
        <f>+IF(AE2110=$AJ$22,MONTH(T2110),"")</f>
        <v/>
      </c>
      <c r="AI2110" s="86" t="str">
        <f>+IF(AF2110=$AJ$22,MONTH(U2110),"")</f>
        <v/>
      </c>
      <c r="AJ2110" s="86" t="str">
        <f>+IF(AG2110=$AJ$22,MONTH(V2110),"")</f>
        <v/>
      </c>
      <c r="AK2110" s="86" t="str">
        <f>+IF(AG2110=$AK$22,MONTH(V2110),"")</f>
        <v/>
      </c>
      <c r="AL2110" s="86" t="str">
        <f>+IF(AG2110=$AL$22,MONTH(V2110),"")</f>
        <v/>
      </c>
      <c r="AM2110" s="86" t="str">
        <f>+IF($AG2110=$AM$22,MONTH($D2110),"")</f>
        <v/>
      </c>
      <c r="AN2110" s="89" t="str">
        <f>+IF($AG2110=AN$22,MONTH($D2110),"")</f>
        <v/>
      </c>
      <c r="AO2110" s="140" t="str">
        <f>+IF($AG2110=AO$22,MONTH($D2110),"")</f>
        <v/>
      </c>
      <c r="AP2110" s="140" t="str">
        <f>+IF($AG2110=AP$22,MONTH($D2110),"")</f>
        <v/>
      </c>
      <c r="AQ2110" s="140" t="str">
        <f>+IF($AG2110=AQ$22,MONTH($D2110),"")</f>
        <v/>
      </c>
      <c r="AR2110" s="140">
        <f>+IF($AG2110=AR$22,MONTH($D2110),"")</f>
        <v>11</v>
      </c>
      <c r="AS2110" s="140" t="str">
        <f>+IF($AG2110=AS$22,MONTH($D2110),"")</f>
        <v/>
      </c>
      <c r="AT2110" s="140" t="str">
        <f>+IF($AG2110=AT$22,MONTH($D2110),"")</f>
        <v/>
      </c>
      <c r="AU2110" s="140" t="str">
        <f>+IF($AG2110=AU$22,MONTH($D2110),"")</f>
        <v/>
      </c>
      <c r="AV2110" s="140" t="str">
        <f>+IF($AG2110=AV$22,MONTH($D2110),"")</f>
        <v/>
      </c>
      <c r="AW2110" s="86" t="str">
        <f>+IF($AG2110=AW$22,MONTH($D2110),"")</f>
        <v/>
      </c>
      <c r="AX2110" s="86" t="str">
        <f>+IF($AG2110=AX$22,MONTH($D2110),"")</f>
        <v/>
      </c>
      <c r="AY2110" s="89"/>
      <c r="AZ2110" s="89"/>
      <c r="BA2110" s="89"/>
      <c r="BB2110" s="89"/>
      <c r="BC2110" s="89"/>
      <c r="BD2110" s="89"/>
      <c r="BE2110" s="89"/>
      <c r="BF2110" s="89"/>
      <c r="BG2110" s="89"/>
      <c r="BH2110" s="89"/>
      <c r="BI2110" s="89"/>
      <c r="BJ2110" s="89"/>
      <c r="BK2110" s="89"/>
      <c r="BL2110" s="89"/>
      <c r="BM2110" s="89"/>
      <c r="BN2110" s="89"/>
      <c r="BO2110" s="89"/>
      <c r="BP2110" s="89"/>
    </row>
    <row r="2111" spans="1:68" s="56" customFormat="1" ht="13.5" hidden="1">
      <c r="A2111" s="204" t="str">
        <f>+IFERROR(VALUE(MID(AB2111,4,4)),"")</f>
        <v/>
      </c>
      <c r="B2111" s="204">
        <f>VALUE(RIGHT(C2111,LEN(C2111)-2))</f>
        <v>614</v>
      </c>
      <c r="C2111" s="74" t="s">
        <v>7266</v>
      </c>
      <c r="D2111" s="75">
        <v>42696</v>
      </c>
      <c r="E2111" s="70" t="s">
        <v>332</v>
      </c>
      <c r="F2111" s="70" t="s">
        <v>332</v>
      </c>
      <c r="G2111" s="68" t="s">
        <v>737</v>
      </c>
      <c r="H2111" s="59" t="s">
        <v>7267</v>
      </c>
      <c r="I2111" s="162" t="s">
        <v>7268</v>
      </c>
      <c r="J2111" s="162"/>
      <c r="K2111" s="68" t="s">
        <v>12</v>
      </c>
      <c r="L2111" s="69" t="s">
        <v>120</v>
      </c>
      <c r="M2111" s="71" t="s">
        <v>141</v>
      </c>
      <c r="N2111" s="69" t="e" vm="1">
        <v>#VALUE!</v>
      </c>
      <c r="O2111" s="164">
        <v>42696</v>
      </c>
      <c r="P2111" s="72" t="s">
        <v>402</v>
      </c>
      <c r="Q2111" s="72"/>
      <c r="R2111" s="162"/>
      <c r="S2111" s="146"/>
      <c r="T2111" s="68" t="s">
        <v>165</v>
      </c>
      <c r="U2111" s="87"/>
      <c r="V2111" s="183">
        <v>42886</v>
      </c>
      <c r="W2111" s="73">
        <v>646</v>
      </c>
      <c r="X2111" s="73">
        <f>724*24500/1000000</f>
        <v>17.738</v>
      </c>
      <c r="Y2111" s="83">
        <f>IF(SUM(W2111:W2111)&gt;0,X2111/SUM(W2111:W2111)*1000000,"N/A")</f>
        <v>27458.204334365324</v>
      </c>
      <c r="Z2111" s="183"/>
      <c r="AA2111" s="183"/>
      <c r="AB2111" s="223"/>
      <c r="AC2111" s="153"/>
      <c r="AD2111" s="331"/>
      <c r="AE2111" s="57"/>
      <c r="AF2111" s="88"/>
      <c r="AG2111" s="182">
        <f>YEAR(D2111)</f>
        <v>2016</v>
      </c>
      <c r="AH2111" s="86" t="str">
        <f>+IF(AE2111=$AJ$22,MONTH(T2111),"")</f>
        <v/>
      </c>
      <c r="AI2111" s="86" t="str">
        <f>+IF(AF2111=$AJ$22,MONTH(U2111),"")</f>
        <v/>
      </c>
      <c r="AJ2111" s="86" t="str">
        <f>+IF(AG2111=$AJ$22,MONTH(V2111),"")</f>
        <v/>
      </c>
      <c r="AK2111" s="86" t="str">
        <f>+IF(AG2111=$AK$22,MONTH(V2111),"")</f>
        <v/>
      </c>
      <c r="AL2111" s="86" t="str">
        <f>+IF(AG2111=$AL$22,MONTH(V2111),"")</f>
        <v/>
      </c>
      <c r="AM2111" s="86" t="str">
        <f>+IF($AG2111=$AM$22,MONTH($D2111),"")</f>
        <v/>
      </c>
      <c r="AN2111" s="89" t="str">
        <f>+IF($AG2111=AN$22,MONTH($D2111),"")</f>
        <v/>
      </c>
      <c r="AO2111" s="86" t="str">
        <f>+IF($AG2111=AO$22,MONTH($D2111),"")</f>
        <v/>
      </c>
      <c r="AP2111" s="86" t="str">
        <f>+IF($AG2111=AP$22,MONTH($D2111),"")</f>
        <v/>
      </c>
      <c r="AQ2111" s="86" t="str">
        <f>+IF($AG2111=AQ$22,MONTH($D2111),"")</f>
        <v/>
      </c>
      <c r="AR2111" s="86">
        <f>+IF($AG2111=AR$22,MONTH($D2111),"")</f>
        <v>11</v>
      </c>
      <c r="AS2111" s="86" t="str">
        <f>+IF($AG2111=AS$22,MONTH($D2111),"")</f>
        <v/>
      </c>
      <c r="AT2111" s="86" t="str">
        <f>+IF($AG2111=AT$22,MONTH($D2111),"")</f>
        <v/>
      </c>
      <c r="AU2111" s="86" t="str">
        <f>+IF($AG2111=AU$22,MONTH($D2111),"")</f>
        <v/>
      </c>
      <c r="AV2111" s="86" t="str">
        <f>+IF($AG2111=AV$22,MONTH($D2111),"")</f>
        <v/>
      </c>
      <c r="AW2111" s="86" t="str">
        <f>+IF($AG2111=AW$22,MONTH($D2111),"")</f>
        <v/>
      </c>
      <c r="AX2111" s="86" t="str">
        <f>+IF($AG2111=AX$22,MONTH($D2111),"")</f>
        <v/>
      </c>
      <c r="AY2111" s="89"/>
      <c r="AZ2111" s="89"/>
      <c r="BA2111" s="89"/>
      <c r="BB2111" s="89"/>
      <c r="BC2111" s="89"/>
      <c r="BD2111" s="89"/>
      <c r="BE2111" s="89"/>
      <c r="BF2111" s="89"/>
      <c r="BG2111" s="89"/>
      <c r="BH2111" s="89"/>
      <c r="BI2111" s="89"/>
      <c r="BJ2111" s="89"/>
      <c r="BK2111" s="89"/>
      <c r="BL2111" s="89"/>
      <c r="BM2111" s="89"/>
      <c r="BN2111" s="89"/>
      <c r="BO2111" s="89"/>
      <c r="BP2111" s="89"/>
    </row>
    <row r="2112" spans="1:68" s="56" customFormat="1" ht="13.5" hidden="1">
      <c r="A2112" s="204">
        <f>+IFERROR(VALUE(MID(AB2112,4,4)),"")</f>
        <v>150</v>
      </c>
      <c r="B2112" s="204">
        <f>VALUE(RIGHT(C2112,LEN(C2112)-2))</f>
        <v>613</v>
      </c>
      <c r="C2112" s="74" t="s">
        <v>7269</v>
      </c>
      <c r="D2112" s="75">
        <v>42699</v>
      </c>
      <c r="E2112" s="70" t="s">
        <v>685</v>
      </c>
      <c r="F2112" s="70" t="s">
        <v>685</v>
      </c>
      <c r="G2112" s="68" t="s">
        <v>7270</v>
      </c>
      <c r="H2112" s="59"/>
      <c r="I2112" s="162" t="s">
        <v>7271</v>
      </c>
      <c r="J2112" s="162"/>
      <c r="K2112" s="68" t="s">
        <v>27</v>
      </c>
      <c r="L2112" s="69" t="s">
        <v>123</v>
      </c>
      <c r="M2112" s="71" t="s">
        <v>141</v>
      </c>
      <c r="N2112" s="69" t="e" vm="1">
        <v>#VALUE!</v>
      </c>
      <c r="O2112" s="164">
        <v>42699</v>
      </c>
      <c r="P2112" s="72" t="s">
        <v>402</v>
      </c>
      <c r="Q2112" s="72"/>
      <c r="R2112" s="162"/>
      <c r="S2112" s="146"/>
      <c r="T2112" s="68" t="s">
        <v>3</v>
      </c>
      <c r="U2112" s="87">
        <v>0.3</v>
      </c>
      <c r="V2112" s="183">
        <v>42705</v>
      </c>
      <c r="W2112" s="73">
        <v>1558</v>
      </c>
      <c r="X2112" s="73">
        <f>52268893/1000000</f>
        <v>52.268892999999998</v>
      </c>
      <c r="Y2112" s="83">
        <f>IF(SUM(W2112:W2112)&gt;0,X2112/SUM(W2112:W2112)*1000000,"N/A")</f>
        <v>33548.711810012835</v>
      </c>
      <c r="Z2112" s="183"/>
      <c r="AA2112" s="183"/>
      <c r="AB2112" s="223" t="s">
        <v>7272</v>
      </c>
      <c r="AC2112" s="153"/>
      <c r="AD2112" s="331"/>
      <c r="AE2112" s="57"/>
      <c r="AF2112" s="88"/>
      <c r="AG2112" s="182">
        <f>YEAR(D2112)</f>
        <v>2016</v>
      </c>
      <c r="AH2112" s="86" t="str">
        <f>+IF(AE2112=$AJ$22,MONTH(T2112),"")</f>
        <v/>
      </c>
      <c r="AI2112" s="86" t="str">
        <f>+IF(AF2112=$AJ$22,MONTH(U2112),"")</f>
        <v/>
      </c>
      <c r="AJ2112" s="86" t="str">
        <f>+IF(AG2112=$AJ$22,MONTH(V2112),"")</f>
        <v/>
      </c>
      <c r="AK2112" s="86" t="str">
        <f>+IF(AG2112=$AK$22,MONTH(V2112),"")</f>
        <v/>
      </c>
      <c r="AL2112" s="86" t="str">
        <f>+IF(AG2112=$AL$22,MONTH(V2112),"")</f>
        <v/>
      </c>
      <c r="AM2112" s="86" t="str">
        <f>+IF($AG2112=$AM$22,MONTH($D2112),"")</f>
        <v/>
      </c>
      <c r="AN2112" s="89" t="str">
        <f>+IF($AG2112=AN$22,MONTH($D2112),"")</f>
        <v/>
      </c>
      <c r="AO2112" s="140" t="str">
        <f>+IF($AG2112=AO$22,MONTH($D2112),"")</f>
        <v/>
      </c>
      <c r="AP2112" s="140" t="str">
        <f>+IF($AG2112=AP$22,MONTH($D2112),"")</f>
        <v/>
      </c>
      <c r="AQ2112" s="140" t="str">
        <f>+IF($AG2112=AQ$22,MONTH($D2112),"")</f>
        <v/>
      </c>
      <c r="AR2112" s="140">
        <f>+IF($AG2112=AR$22,MONTH($D2112),"")</f>
        <v>11</v>
      </c>
      <c r="AS2112" s="140" t="str">
        <f>+IF($AG2112=AS$22,MONTH($D2112),"")</f>
        <v/>
      </c>
      <c r="AT2112" s="140" t="str">
        <f>+IF($AG2112=AT$22,MONTH($D2112),"")</f>
        <v/>
      </c>
      <c r="AU2112" s="140" t="str">
        <f>+IF($AG2112=AU$22,MONTH($D2112),"")</f>
        <v/>
      </c>
      <c r="AV2112" s="86" t="str">
        <f>+IF($AG2112=AV$22,MONTH($D2112),"")</f>
        <v/>
      </c>
      <c r="AW2112" s="86" t="str">
        <f>+IF($AG2112=AW$22,MONTH($D2112),"")</f>
        <v/>
      </c>
      <c r="AX2112" s="86" t="str">
        <f>+IF($AG2112=AX$22,MONTH($D2112),"")</f>
        <v/>
      </c>
      <c r="AY2112" s="89"/>
      <c r="AZ2112" s="89"/>
      <c r="BA2112" s="89"/>
      <c r="BB2112" s="89"/>
      <c r="BC2112" s="89"/>
      <c r="BD2112" s="89"/>
      <c r="BE2112" s="89"/>
      <c r="BF2112" s="89"/>
      <c r="BG2112" s="89"/>
      <c r="BH2112" s="89"/>
      <c r="BI2112" s="89"/>
      <c r="BJ2112" s="89"/>
      <c r="BK2112" s="89"/>
      <c r="BL2112" s="89"/>
      <c r="BM2112" s="89"/>
      <c r="BN2112" s="89"/>
      <c r="BO2112" s="89"/>
      <c r="BP2112" s="89"/>
    </row>
    <row r="2113" spans="1:68" s="56" customFormat="1" ht="13.5" hidden="1">
      <c r="A2113" s="204" t="str">
        <f>+IFERROR(VALUE(MID(AB2113,4,4)),"")</f>
        <v/>
      </c>
      <c r="B2113" s="204">
        <f>VALUE(RIGHT(C2113,LEN(C2113)-2))</f>
        <v>612</v>
      </c>
      <c r="C2113" s="74" t="s">
        <v>7273</v>
      </c>
      <c r="D2113" s="75">
        <v>42683</v>
      </c>
      <c r="E2113" s="70" t="s">
        <v>7274</v>
      </c>
      <c r="F2113" s="70" t="s">
        <v>270</v>
      </c>
      <c r="G2113" s="68"/>
      <c r="H2113" s="59"/>
      <c r="I2113" s="162" t="s">
        <v>7275</v>
      </c>
      <c r="J2113" s="162"/>
      <c r="K2113" s="68" t="s">
        <v>13</v>
      </c>
      <c r="L2113" s="69" t="s">
        <v>123</v>
      </c>
      <c r="M2113" s="71" t="s">
        <v>141</v>
      </c>
      <c r="N2113" s="69" t="e" vm="1">
        <v>#VALUE!</v>
      </c>
      <c r="O2113" s="164">
        <v>42690</v>
      </c>
      <c r="P2113" s="72" t="s">
        <v>4567</v>
      </c>
      <c r="Q2113" s="72"/>
      <c r="R2113" s="162"/>
      <c r="S2113" s="146"/>
      <c r="T2113" s="68" t="s">
        <v>165</v>
      </c>
      <c r="U2113" s="87"/>
      <c r="V2113" s="183">
        <v>42698</v>
      </c>
      <c r="W2113" s="73">
        <v>14716</v>
      </c>
      <c r="X2113" s="73">
        <v>457.35719499999999</v>
      </c>
      <c r="Y2113" s="83">
        <f>IF(SUM(W2113:W2113)&gt;0,X2113/SUM(W2113:W2113)*1000000,"N/A")</f>
        <v>31078.906972003264</v>
      </c>
      <c r="Z2113" s="183"/>
      <c r="AA2113" s="183"/>
      <c r="AB2113" s="223"/>
      <c r="AC2113" s="153"/>
      <c r="AD2113" s="331"/>
      <c r="AE2113" s="57"/>
      <c r="AF2113" s="88"/>
      <c r="AG2113" s="182">
        <f>YEAR(D2113)</f>
        <v>2016</v>
      </c>
      <c r="AH2113" s="86" t="str">
        <f>+IF(AE2113=$AJ$22,MONTH(T2113),"")</f>
        <v/>
      </c>
      <c r="AI2113" s="86" t="str">
        <f>+IF(AF2113=$AJ$22,MONTH(U2113),"")</f>
        <v/>
      </c>
      <c r="AJ2113" s="86" t="str">
        <f>+IF(AG2113=$AJ$22,MONTH(V2113),"")</f>
        <v/>
      </c>
      <c r="AK2113" s="86" t="str">
        <f>+IF(AG2113=$AK$22,MONTH(V2113),"")</f>
        <v/>
      </c>
      <c r="AL2113" s="86" t="str">
        <f>+IF(AG2113=$AL$22,MONTH(V2113),"")</f>
        <v/>
      </c>
      <c r="AM2113" s="86" t="str">
        <f>+IF($AG2113=$AM$22,MONTH($D2113),"")</f>
        <v/>
      </c>
      <c r="AN2113" s="89" t="str">
        <f>+IF($AG2113=AN$22,MONTH($D2113),"")</f>
        <v/>
      </c>
      <c r="AO2113" s="86" t="str">
        <f>+IF($AG2113=AO$22,MONTH($D2113),"")</f>
        <v/>
      </c>
      <c r="AP2113" s="86" t="str">
        <f>+IF($AG2113=AP$22,MONTH($D2113),"")</f>
        <v/>
      </c>
      <c r="AQ2113" s="86" t="str">
        <f>+IF($AG2113=AQ$22,MONTH($D2113),"")</f>
        <v/>
      </c>
      <c r="AR2113" s="86">
        <f>+IF($AG2113=AR$22,MONTH($D2113),"")</f>
        <v>11</v>
      </c>
      <c r="AS2113" s="86" t="str">
        <f>+IF($AG2113=AS$22,MONTH($D2113),"")</f>
        <v/>
      </c>
      <c r="AT2113" s="86" t="str">
        <f>+IF($AG2113=AT$22,MONTH($D2113),"")</f>
        <v/>
      </c>
      <c r="AU2113" s="86" t="str">
        <f>+IF($AG2113=AU$22,MONTH($D2113),"")</f>
        <v/>
      </c>
      <c r="AV2113" s="86" t="str">
        <f>+IF($AG2113=AV$22,MONTH($D2113),"")</f>
        <v/>
      </c>
      <c r="AW2113" s="86" t="str">
        <f>+IF($AG2113=AW$22,MONTH($D2113),"")</f>
        <v/>
      </c>
      <c r="AX2113" s="86" t="str">
        <f>+IF($AG2113=AX$22,MONTH($D2113),"")</f>
        <v/>
      </c>
      <c r="AY2113" s="89"/>
      <c r="AZ2113" s="89"/>
      <c r="BA2113" s="89"/>
      <c r="BB2113" s="89"/>
      <c r="BC2113" s="89"/>
      <c r="BD2113" s="89"/>
      <c r="BE2113" s="89"/>
      <c r="BF2113" s="89"/>
      <c r="BG2113" s="89"/>
      <c r="BH2113" s="89"/>
      <c r="BI2113" s="89"/>
      <c r="BJ2113" s="89"/>
      <c r="BK2113" s="89"/>
      <c r="BL2113" s="89"/>
      <c r="BM2113" s="89"/>
      <c r="BN2113" s="89"/>
      <c r="BO2113" s="89"/>
      <c r="BP2113" s="89"/>
    </row>
    <row r="2114" spans="1:68" s="56" customFormat="1" ht="13.5" hidden="1">
      <c r="A2114" s="204">
        <f>+IFERROR(VALUE(MID(AB2114,4,4)),"")</f>
        <v>149</v>
      </c>
      <c r="B2114" s="204">
        <f>VALUE(RIGHT(C2114,LEN(C2114)-2))</f>
        <v>611</v>
      </c>
      <c r="C2114" s="74" t="s">
        <v>7276</v>
      </c>
      <c r="D2114" s="75">
        <v>42681</v>
      </c>
      <c r="E2114" s="70" t="s">
        <v>51</v>
      </c>
      <c r="F2114" s="70" t="s">
        <v>51</v>
      </c>
      <c r="G2114" s="68" t="s">
        <v>7277</v>
      </c>
      <c r="H2114" s="59" t="s">
        <v>7007</v>
      </c>
      <c r="I2114" s="162" t="s">
        <v>7278</v>
      </c>
      <c r="J2114" s="162"/>
      <c r="K2114" s="68" t="s">
        <v>12</v>
      </c>
      <c r="L2114" s="69" t="s">
        <v>120</v>
      </c>
      <c r="M2114" s="71" t="s">
        <v>141</v>
      </c>
      <c r="N2114" s="69" t="e" vm="1">
        <v>#VALUE!</v>
      </c>
      <c r="O2114" s="164">
        <v>42685</v>
      </c>
      <c r="P2114" s="72" t="s">
        <v>402</v>
      </c>
      <c r="Q2114" s="72" t="s">
        <v>259</v>
      </c>
      <c r="R2114" s="162"/>
      <c r="S2114" s="146"/>
      <c r="T2114" s="68" t="s">
        <v>3</v>
      </c>
      <c r="U2114" s="87"/>
      <c r="V2114" s="183">
        <v>42698</v>
      </c>
      <c r="W2114" s="73">
        <v>1133</v>
      </c>
      <c r="X2114" s="83">
        <f>1790*26300/1000000</f>
        <v>47.076999999999998</v>
      </c>
      <c r="Y2114" s="83">
        <f>IF(SUM(W2114:W2114)&gt;0,X2114/SUM(W2114:W2114)*1000000,"N/A")</f>
        <v>41550.750220653135</v>
      </c>
      <c r="Z2114" s="183"/>
      <c r="AA2114" s="183"/>
      <c r="AB2114" s="223" t="s">
        <v>7279</v>
      </c>
      <c r="AC2114" s="153"/>
      <c r="AD2114" s="331"/>
      <c r="AE2114" s="57"/>
      <c r="AF2114" s="88"/>
      <c r="AG2114" s="182">
        <f>YEAR(D2114)</f>
        <v>2016</v>
      </c>
      <c r="AH2114" s="86" t="str">
        <f>+IF(AE2114=$AJ$22,MONTH(T2114),"")</f>
        <v/>
      </c>
      <c r="AI2114" s="86" t="str">
        <f>+IF(AF2114=$AJ$22,MONTH(U2114),"")</f>
        <v/>
      </c>
      <c r="AJ2114" s="86" t="str">
        <f>+IF(AG2114=$AJ$22,MONTH(V2114),"")</f>
        <v/>
      </c>
      <c r="AK2114" s="86" t="str">
        <f>+IF(AG2114=$AK$22,MONTH(V2114),"")</f>
        <v/>
      </c>
      <c r="AL2114" s="86" t="str">
        <f>+IF(AG2114=$AL$22,MONTH(V2114),"")</f>
        <v/>
      </c>
      <c r="AM2114" s="86" t="str">
        <f>+IF($AG2114=$AM$22,MONTH($D2114),"")</f>
        <v/>
      </c>
      <c r="AN2114" s="89" t="str">
        <f>+IF($AG2114=AN$22,MONTH($D2114),"")</f>
        <v/>
      </c>
      <c r="AO2114" s="86" t="str">
        <f>+IF($AG2114=AO$22,MONTH($D2114),"")</f>
        <v/>
      </c>
      <c r="AP2114" s="86" t="str">
        <f>+IF($AG2114=AP$22,MONTH($D2114),"")</f>
        <v/>
      </c>
      <c r="AQ2114" s="86" t="str">
        <f>+IF($AG2114=AQ$22,MONTH($D2114),"")</f>
        <v/>
      </c>
      <c r="AR2114" s="86">
        <f>+IF($AG2114=AR$22,MONTH($D2114),"")</f>
        <v>11</v>
      </c>
      <c r="AS2114" s="86" t="str">
        <f>+IF($AG2114=AS$22,MONTH($D2114),"")</f>
        <v/>
      </c>
      <c r="AT2114" s="86" t="str">
        <f>+IF($AG2114=AT$22,MONTH($D2114),"")</f>
        <v/>
      </c>
      <c r="AU2114" s="86" t="str">
        <f>+IF($AG2114=AU$22,MONTH($D2114),"")</f>
        <v/>
      </c>
      <c r="AV2114" s="86" t="str">
        <f>+IF($AG2114=AV$22,MONTH($D2114),"")</f>
        <v/>
      </c>
      <c r="AW2114" s="86" t="str">
        <f>+IF($AG2114=AW$22,MONTH($D2114),"")</f>
        <v/>
      </c>
      <c r="AX2114" s="86" t="str">
        <f>+IF($AG2114=AX$22,MONTH($D2114),"")</f>
        <v/>
      </c>
      <c r="AY2114" s="89"/>
      <c r="AZ2114" s="89"/>
      <c r="BA2114" s="89"/>
      <c r="BB2114" s="89"/>
      <c r="BC2114" s="89"/>
      <c r="BD2114" s="89"/>
      <c r="BE2114" s="89"/>
      <c r="BF2114" s="89"/>
      <c r="BG2114" s="89"/>
      <c r="BH2114" s="89"/>
      <c r="BI2114" s="89"/>
      <c r="BJ2114" s="89"/>
      <c r="BK2114" s="89"/>
      <c r="BL2114" s="89"/>
      <c r="BM2114" s="89"/>
      <c r="BN2114" s="89"/>
      <c r="BO2114" s="89"/>
      <c r="BP2114" s="89"/>
    </row>
    <row r="2115" spans="1:68" s="56" customFormat="1" ht="13.5" hidden="1">
      <c r="A2115" s="204" t="str">
        <f>+IFERROR(VALUE(MID(AB2115,4,4)),"")</f>
        <v/>
      </c>
      <c r="B2115" s="204">
        <f>VALUE(RIGHT(C2115,LEN(C2115)-2))</f>
        <v>610</v>
      </c>
      <c r="C2115" s="74" t="s">
        <v>7280</v>
      </c>
      <c r="D2115" s="75">
        <v>42677</v>
      </c>
      <c r="E2115" s="70" t="s">
        <v>332</v>
      </c>
      <c r="F2115" s="70" t="s">
        <v>332</v>
      </c>
      <c r="G2115" s="68" t="s">
        <v>7281</v>
      </c>
      <c r="H2115" s="59" t="s">
        <v>7282</v>
      </c>
      <c r="I2115" s="162" t="s">
        <v>7283</v>
      </c>
      <c r="J2115" s="162"/>
      <c r="K2115" s="68" t="s">
        <v>13</v>
      </c>
      <c r="L2115" s="69" t="s">
        <v>120</v>
      </c>
      <c r="M2115" s="71" t="s">
        <v>141</v>
      </c>
      <c r="N2115" s="69" t="e" vm="1">
        <v>#VALUE!</v>
      </c>
      <c r="O2115" s="164">
        <v>42685</v>
      </c>
      <c r="P2115" s="72" t="s">
        <v>402</v>
      </c>
      <c r="Q2115" s="72"/>
      <c r="R2115" s="162"/>
      <c r="S2115" s="146" t="s">
        <v>7284</v>
      </c>
      <c r="T2115" s="68" t="s">
        <v>165</v>
      </c>
      <c r="U2115" s="87">
        <v>0.3</v>
      </c>
      <c r="V2115" s="183">
        <v>42886</v>
      </c>
      <c r="W2115" s="73">
        <v>1295</v>
      </c>
      <c r="X2115" s="73">
        <f>1266*26200/1000000</f>
        <v>33.169199999999996</v>
      </c>
      <c r="Y2115" s="83">
        <f>IF(SUM(W2115:W2115)&gt;0,X2115/SUM(W2115:W2115)*1000000,"N/A")</f>
        <v>25613.281853281849</v>
      </c>
      <c r="Z2115" s="183"/>
      <c r="AA2115" s="183"/>
      <c r="AB2115" s="223"/>
      <c r="AC2115" s="153"/>
      <c r="AD2115" s="331"/>
      <c r="AE2115" s="57"/>
      <c r="AF2115" s="88"/>
      <c r="AG2115" s="182">
        <f>YEAR(D2115)</f>
        <v>2016</v>
      </c>
      <c r="AH2115" s="86" t="str">
        <f>+IF(AE2115=$AJ$22,MONTH(T2115),"")</f>
        <v/>
      </c>
      <c r="AI2115" s="86" t="str">
        <f>+IF(AF2115=$AJ$22,MONTH(U2115),"")</f>
        <v/>
      </c>
      <c r="AJ2115" s="86" t="str">
        <f>+IF(AG2115=$AJ$22,MONTH(V2115),"")</f>
        <v/>
      </c>
      <c r="AK2115" s="86" t="str">
        <f>+IF(AG2115=$AK$22,MONTH(V2115),"")</f>
        <v/>
      </c>
      <c r="AL2115" s="86" t="str">
        <f>+IF(AG2115=$AL$22,MONTH(V2115),"")</f>
        <v/>
      </c>
      <c r="AM2115" s="86" t="str">
        <f>+IF($AG2115=$AM$22,MONTH($D2115),"")</f>
        <v/>
      </c>
      <c r="AN2115" s="89" t="str">
        <f>+IF($AG2115=AN$22,MONTH($D2115),"")</f>
        <v/>
      </c>
      <c r="AO2115" s="86" t="str">
        <f>+IF($AG2115=AO$22,MONTH($D2115),"")</f>
        <v/>
      </c>
      <c r="AP2115" s="86" t="str">
        <f>+IF($AG2115=AP$22,MONTH($D2115),"")</f>
        <v/>
      </c>
      <c r="AQ2115" s="86" t="str">
        <f>+IF($AG2115=AQ$22,MONTH($D2115),"")</f>
        <v/>
      </c>
      <c r="AR2115" s="86">
        <f>+IF($AG2115=AR$22,MONTH($D2115),"")</f>
        <v>11</v>
      </c>
      <c r="AS2115" s="86" t="str">
        <f>+IF($AG2115=AS$22,MONTH($D2115),"")</f>
        <v/>
      </c>
      <c r="AT2115" s="86" t="str">
        <f>+IF($AG2115=AT$22,MONTH($D2115),"")</f>
        <v/>
      </c>
      <c r="AU2115" s="86" t="str">
        <f>+IF($AG2115=AU$22,MONTH($D2115),"")</f>
        <v/>
      </c>
      <c r="AV2115" s="86" t="str">
        <f>+IF($AG2115=AV$22,MONTH($D2115),"")</f>
        <v/>
      </c>
      <c r="AW2115" s="86" t="str">
        <f>+IF($AG2115=AW$22,MONTH($D2115),"")</f>
        <v/>
      </c>
      <c r="AX2115" s="86" t="str">
        <f>+IF($AG2115=AX$22,MONTH($D2115),"")</f>
        <v/>
      </c>
      <c r="AY2115" s="89"/>
      <c r="AZ2115" s="89"/>
      <c r="BA2115" s="89"/>
      <c r="BB2115" s="89"/>
      <c r="BC2115" s="89"/>
      <c r="BD2115" s="89"/>
      <c r="BE2115" s="89"/>
      <c r="BF2115" s="89"/>
      <c r="BG2115" s="89"/>
      <c r="BH2115" s="89"/>
      <c r="BI2115" s="89"/>
      <c r="BJ2115" s="89"/>
      <c r="BK2115" s="89"/>
      <c r="BL2115" s="89"/>
      <c r="BM2115" s="89"/>
      <c r="BN2115" s="89"/>
      <c r="BO2115" s="89"/>
      <c r="BP2115" s="89"/>
    </row>
    <row r="2116" spans="1:68" s="56" customFormat="1" ht="27" hidden="1">
      <c r="A2116" s="204">
        <f>+IFERROR(VALUE(MID(AB2116,4,4)),"")</f>
        <v>113</v>
      </c>
      <c r="B2116" s="204">
        <f>VALUE(RIGHT(C2116,LEN(C2116)-2))</f>
        <v>609</v>
      </c>
      <c r="C2116" s="74" t="s">
        <v>7285</v>
      </c>
      <c r="D2116" s="75">
        <v>42676</v>
      </c>
      <c r="E2116" s="70" t="s">
        <v>41</v>
      </c>
      <c r="F2116" s="70" t="s">
        <v>41</v>
      </c>
      <c r="G2116" s="68" t="s">
        <v>737</v>
      </c>
      <c r="H2116" s="59" t="s">
        <v>7267</v>
      </c>
      <c r="I2116" s="162" t="s">
        <v>7286</v>
      </c>
      <c r="J2116" s="162"/>
      <c r="K2116" s="68" t="s">
        <v>30</v>
      </c>
      <c r="L2116" s="69" t="s">
        <v>120</v>
      </c>
      <c r="M2116" s="71" t="s">
        <v>141</v>
      </c>
      <c r="N2116" s="69" t="e" vm="1">
        <v>#VALUE!</v>
      </c>
      <c r="O2116" s="164">
        <v>42676</v>
      </c>
      <c r="P2116" s="72" t="s">
        <v>402</v>
      </c>
      <c r="Q2116" s="72"/>
      <c r="R2116" s="162"/>
      <c r="S2116" s="146"/>
      <c r="T2116" s="68" t="s">
        <v>3</v>
      </c>
      <c r="U2116" s="87"/>
      <c r="V2116" s="183">
        <v>42698</v>
      </c>
      <c r="W2116" s="73">
        <v>150</v>
      </c>
      <c r="X2116" s="83">
        <f>187*26200/1000000</f>
        <v>4.8994</v>
      </c>
      <c r="Y2116" s="83">
        <f>IF(SUM(W2116:W2116)&gt;0,X2116/SUM(W2116:W2116)*1000000,"N/A")</f>
        <v>32662.666666666668</v>
      </c>
      <c r="Z2116" s="183"/>
      <c r="AA2116" s="183"/>
      <c r="AB2116" s="223" t="s">
        <v>7287</v>
      </c>
      <c r="AC2116" s="153"/>
      <c r="AD2116" s="331"/>
      <c r="AE2116" s="57"/>
      <c r="AF2116" s="88"/>
      <c r="AG2116" s="182">
        <f>YEAR(D2116)</f>
        <v>2016</v>
      </c>
      <c r="AH2116" s="86" t="str">
        <f>+IF(AE2116=$AJ$22,MONTH(T2116),"")</f>
        <v/>
      </c>
      <c r="AI2116" s="86" t="str">
        <f>+IF(AF2116=$AJ$22,MONTH(U2116),"")</f>
        <v/>
      </c>
      <c r="AJ2116" s="86" t="str">
        <f>+IF(AG2116=$AJ$22,MONTH(V2116),"")</f>
        <v/>
      </c>
      <c r="AK2116" s="86" t="str">
        <f>+IF(AG2116=$AK$22,MONTH(V2116),"")</f>
        <v/>
      </c>
      <c r="AL2116" s="86" t="str">
        <f>+IF(AG2116=$AL$22,MONTH(V2116),"")</f>
        <v/>
      </c>
      <c r="AM2116" s="86" t="str">
        <f>+IF($AG2116=$AM$22,MONTH($D2116),"")</f>
        <v/>
      </c>
      <c r="AN2116" s="89" t="str">
        <f>+IF($AG2116=AN$22,MONTH($D2116),"")</f>
        <v/>
      </c>
      <c r="AO2116" s="86" t="str">
        <f>+IF($AG2116=AO$22,MONTH($D2116),"")</f>
        <v/>
      </c>
      <c r="AP2116" s="86" t="str">
        <f>+IF($AG2116=AP$22,MONTH($D2116),"")</f>
        <v/>
      </c>
      <c r="AQ2116" s="86" t="str">
        <f>+IF($AG2116=AQ$22,MONTH($D2116),"")</f>
        <v/>
      </c>
      <c r="AR2116" s="86">
        <f>+IF($AG2116=AR$22,MONTH($D2116),"")</f>
        <v>11</v>
      </c>
      <c r="AS2116" s="86" t="str">
        <f>+IF($AG2116=AS$22,MONTH($D2116),"")</f>
        <v/>
      </c>
      <c r="AT2116" s="86" t="str">
        <f>+IF($AG2116=AT$22,MONTH($D2116),"")</f>
        <v/>
      </c>
      <c r="AU2116" s="86" t="str">
        <f>+IF($AG2116=AU$22,MONTH($D2116),"")</f>
        <v/>
      </c>
      <c r="AV2116" s="86" t="str">
        <f>+IF($AG2116=AV$22,MONTH($D2116),"")</f>
        <v/>
      </c>
      <c r="AW2116" s="86" t="str">
        <f>+IF($AG2116=AW$22,MONTH($D2116),"")</f>
        <v/>
      </c>
      <c r="AX2116" s="86" t="str">
        <f>+IF($AG2116=AX$22,MONTH($D2116),"")</f>
        <v/>
      </c>
      <c r="AY2116" s="89"/>
      <c r="AZ2116" s="89"/>
      <c r="BA2116" s="89"/>
      <c r="BB2116" s="89"/>
      <c r="BC2116" s="89"/>
      <c r="BD2116" s="89"/>
      <c r="BE2116" s="89"/>
      <c r="BF2116" s="89"/>
      <c r="BG2116" s="89"/>
      <c r="BH2116" s="89"/>
      <c r="BI2116" s="89"/>
      <c r="BJ2116" s="89"/>
      <c r="BK2116" s="89"/>
      <c r="BL2116" s="89"/>
      <c r="BM2116" s="89"/>
      <c r="BN2116" s="89"/>
      <c r="BO2116" s="89"/>
      <c r="BP2116" s="89"/>
    </row>
    <row r="2117" spans="1:68" s="56" customFormat="1" ht="27" hidden="1">
      <c r="A2117" s="204">
        <f>+IFERROR(VALUE(MID(AB2117,4,4)),"")</f>
        <v>113</v>
      </c>
      <c r="B2117" s="204">
        <f>VALUE(RIGHT(C2117,LEN(C2117)-2))</f>
        <v>608</v>
      </c>
      <c r="C2117" s="74" t="s">
        <v>7288</v>
      </c>
      <c r="D2117" s="75">
        <v>42676</v>
      </c>
      <c r="E2117" s="70" t="s">
        <v>332</v>
      </c>
      <c r="F2117" s="70" t="s">
        <v>332</v>
      </c>
      <c r="G2117" s="68" t="s">
        <v>737</v>
      </c>
      <c r="H2117" s="59" t="s">
        <v>7267</v>
      </c>
      <c r="I2117" s="162" t="s">
        <v>7289</v>
      </c>
      <c r="J2117" s="162"/>
      <c r="K2117" s="68" t="s">
        <v>13</v>
      </c>
      <c r="L2117" s="69" t="s">
        <v>120</v>
      </c>
      <c r="M2117" s="71" t="s">
        <v>141</v>
      </c>
      <c r="N2117" s="69" t="e" vm="1">
        <v>#VALUE!</v>
      </c>
      <c r="O2117" s="164">
        <v>42676</v>
      </c>
      <c r="P2117" s="72" t="s">
        <v>402</v>
      </c>
      <c r="Q2117" s="72"/>
      <c r="R2117" s="162"/>
      <c r="S2117" s="146"/>
      <c r="T2117" s="68" t="s">
        <v>3</v>
      </c>
      <c r="U2117" s="87"/>
      <c r="V2117" s="183">
        <v>42698</v>
      </c>
      <c r="W2117" s="73">
        <v>40</v>
      </c>
      <c r="X2117" s="73">
        <f>44*26200/1000000</f>
        <v>1.1528</v>
      </c>
      <c r="Y2117" s="83">
        <f>IF(SUM(W2117:W2117)&gt;0,X2117/SUM(W2117:W2117)*1000000,"N/A")</f>
        <v>28820.000000000004</v>
      </c>
      <c r="Z2117" s="183"/>
      <c r="AA2117" s="183"/>
      <c r="AB2117" s="223" t="s">
        <v>7290</v>
      </c>
      <c r="AC2117" s="153"/>
      <c r="AD2117" s="331"/>
      <c r="AE2117" s="57"/>
      <c r="AF2117" s="88"/>
      <c r="AG2117" s="182">
        <f>YEAR(D2117)</f>
        <v>2016</v>
      </c>
      <c r="AH2117" s="86" t="str">
        <f>+IF(AE2117=$AJ$22,MONTH(T2117),"")</f>
        <v/>
      </c>
      <c r="AI2117" s="86" t="str">
        <f>+IF(AF2117=$AJ$22,MONTH(U2117),"")</f>
        <v/>
      </c>
      <c r="AJ2117" s="86" t="str">
        <f>+IF(AG2117=$AJ$22,MONTH(V2117),"")</f>
        <v/>
      </c>
      <c r="AK2117" s="86" t="str">
        <f>+IF(AG2117=$AK$22,MONTH(V2117),"")</f>
        <v/>
      </c>
      <c r="AL2117" s="86" t="str">
        <f>+IF(AG2117=$AL$22,MONTH(V2117),"")</f>
        <v/>
      </c>
      <c r="AM2117" s="86" t="str">
        <f>+IF($AG2117=$AM$22,MONTH($D2117),"")</f>
        <v/>
      </c>
      <c r="AN2117" s="89" t="str">
        <f>+IF($AG2117=AN$22,MONTH($D2117),"")</f>
        <v/>
      </c>
      <c r="AO2117" s="86" t="str">
        <f>+IF($AG2117=AO$22,MONTH($D2117),"")</f>
        <v/>
      </c>
      <c r="AP2117" s="86" t="str">
        <f>+IF($AG2117=AP$22,MONTH($D2117),"")</f>
        <v/>
      </c>
      <c r="AQ2117" s="86" t="str">
        <f>+IF($AG2117=AQ$22,MONTH($D2117),"")</f>
        <v/>
      </c>
      <c r="AR2117" s="86">
        <f>+IF($AG2117=AR$22,MONTH($D2117),"")</f>
        <v>11</v>
      </c>
      <c r="AS2117" s="86" t="str">
        <f>+IF($AG2117=AS$22,MONTH($D2117),"")</f>
        <v/>
      </c>
      <c r="AT2117" s="86" t="str">
        <f>+IF($AG2117=AT$22,MONTH($D2117),"")</f>
        <v/>
      </c>
      <c r="AU2117" s="86" t="str">
        <f>+IF($AG2117=AU$22,MONTH($D2117),"")</f>
        <v/>
      </c>
      <c r="AV2117" s="86" t="str">
        <f>+IF($AG2117=AV$22,MONTH($D2117),"")</f>
        <v/>
      </c>
      <c r="AW2117" s="86" t="str">
        <f>+IF($AG2117=AW$22,MONTH($D2117),"")</f>
        <v/>
      </c>
      <c r="AX2117" s="86" t="str">
        <f>+IF($AG2117=AX$22,MONTH($D2117),"")</f>
        <v/>
      </c>
      <c r="AY2117" s="89"/>
      <c r="AZ2117" s="89"/>
      <c r="BA2117" s="89"/>
      <c r="BB2117" s="89"/>
      <c r="BC2117" s="89"/>
      <c r="BD2117" s="89"/>
      <c r="BE2117" s="89"/>
      <c r="BF2117" s="89"/>
      <c r="BG2117" s="89"/>
      <c r="BH2117" s="89"/>
      <c r="BI2117" s="89"/>
      <c r="BJ2117" s="89"/>
      <c r="BK2117" s="89"/>
      <c r="BL2117" s="89"/>
      <c r="BM2117" s="89"/>
      <c r="BN2117" s="89"/>
      <c r="BO2117" s="89"/>
      <c r="BP2117" s="89"/>
    </row>
    <row r="2118" spans="1:68" s="56" customFormat="1" ht="13.5" hidden="1">
      <c r="A2118" s="204">
        <f>+IFERROR(VALUE(MID(AB2118,4,4)),"")</f>
        <v>113</v>
      </c>
      <c r="B2118" s="204">
        <f>VALUE(RIGHT(C2118,LEN(C2118)-2))</f>
        <v>607</v>
      </c>
      <c r="C2118" s="74" t="s">
        <v>7291</v>
      </c>
      <c r="D2118" s="75">
        <v>42676</v>
      </c>
      <c r="E2118" s="70" t="s">
        <v>332</v>
      </c>
      <c r="F2118" s="70" t="s">
        <v>332</v>
      </c>
      <c r="G2118" s="68" t="s">
        <v>737</v>
      </c>
      <c r="H2118" s="59" t="s">
        <v>7267</v>
      </c>
      <c r="I2118" s="162" t="s">
        <v>7292</v>
      </c>
      <c r="J2118" s="162"/>
      <c r="K2118" s="68" t="s">
        <v>13</v>
      </c>
      <c r="L2118" s="69" t="s">
        <v>120</v>
      </c>
      <c r="M2118" s="71" t="s">
        <v>141</v>
      </c>
      <c r="N2118" s="69" t="e" vm="1">
        <v>#VALUE!</v>
      </c>
      <c r="O2118" s="164">
        <v>42676</v>
      </c>
      <c r="P2118" s="72" t="s">
        <v>402</v>
      </c>
      <c r="Q2118" s="72"/>
      <c r="R2118" s="162"/>
      <c r="S2118" s="146"/>
      <c r="T2118" s="68" t="s">
        <v>3</v>
      </c>
      <c r="U2118" s="87"/>
      <c r="V2118" s="183">
        <v>42698</v>
      </c>
      <c r="W2118" s="73">
        <v>639</v>
      </c>
      <c r="X2118" s="73">
        <f>644*26200/1000000</f>
        <v>16.872800000000002</v>
      </c>
      <c r="Y2118" s="83">
        <f>IF(SUM(W2118:W2118)&gt;0,X2118/SUM(W2118:W2118)*1000000,"N/A")</f>
        <v>26405.007824726137</v>
      </c>
      <c r="Z2118" s="183"/>
      <c r="AA2118" s="183"/>
      <c r="AB2118" s="223" t="s">
        <v>7293</v>
      </c>
      <c r="AC2118" s="153"/>
      <c r="AD2118" s="331"/>
      <c r="AE2118" s="57"/>
      <c r="AF2118" s="88"/>
      <c r="AG2118" s="182">
        <f>YEAR(D2118)</f>
        <v>2016</v>
      </c>
      <c r="AH2118" s="86" t="str">
        <f>+IF(AE2118=$AJ$22,MONTH(T2118),"")</f>
        <v/>
      </c>
      <c r="AI2118" s="86" t="str">
        <f>+IF(AF2118=$AJ$22,MONTH(U2118),"")</f>
        <v/>
      </c>
      <c r="AJ2118" s="86" t="str">
        <f>+IF(AG2118=$AJ$22,MONTH(V2118),"")</f>
        <v/>
      </c>
      <c r="AK2118" s="86" t="str">
        <f>+IF(AG2118=$AK$22,MONTH(V2118),"")</f>
        <v/>
      </c>
      <c r="AL2118" s="86" t="str">
        <f>+IF(AG2118=$AL$22,MONTH(V2118),"")</f>
        <v/>
      </c>
      <c r="AM2118" s="86" t="str">
        <f>+IF($AG2118=$AM$22,MONTH($D2118),"")</f>
        <v/>
      </c>
      <c r="AN2118" s="89" t="str">
        <f>+IF($AG2118=AN$22,MONTH($D2118),"")</f>
        <v/>
      </c>
      <c r="AO2118" s="86" t="str">
        <f>+IF($AG2118=AO$22,MONTH($D2118),"")</f>
        <v/>
      </c>
      <c r="AP2118" s="86" t="str">
        <f>+IF($AG2118=AP$22,MONTH($D2118),"")</f>
        <v/>
      </c>
      <c r="AQ2118" s="86" t="str">
        <f>+IF($AG2118=AQ$22,MONTH($D2118),"")</f>
        <v/>
      </c>
      <c r="AR2118" s="86">
        <f>+IF($AG2118=AR$22,MONTH($D2118),"")</f>
        <v>11</v>
      </c>
      <c r="AS2118" s="86" t="str">
        <f>+IF($AG2118=AS$22,MONTH($D2118),"")</f>
        <v/>
      </c>
      <c r="AT2118" s="86" t="str">
        <f>+IF($AG2118=AT$22,MONTH($D2118),"")</f>
        <v/>
      </c>
      <c r="AU2118" s="86" t="str">
        <f>+IF($AG2118=AU$22,MONTH($D2118),"")</f>
        <v/>
      </c>
      <c r="AV2118" s="86" t="str">
        <f>+IF($AG2118=AV$22,MONTH($D2118),"")</f>
        <v/>
      </c>
      <c r="AW2118" s="86" t="str">
        <f>+IF($AG2118=AW$22,MONTH($D2118),"")</f>
        <v/>
      </c>
      <c r="AX2118" s="86" t="str">
        <f>+IF($AG2118=AX$22,MONTH($D2118),"")</f>
        <v/>
      </c>
      <c r="AY2118" s="89"/>
      <c r="AZ2118" s="89"/>
      <c r="BA2118" s="89"/>
      <c r="BB2118" s="89"/>
      <c r="BC2118" s="89"/>
      <c r="BD2118" s="89"/>
      <c r="BE2118" s="89"/>
      <c r="BF2118" s="89"/>
      <c r="BG2118" s="89"/>
      <c r="BH2118" s="89"/>
      <c r="BI2118" s="89"/>
      <c r="BJ2118" s="89"/>
      <c r="BK2118" s="89"/>
      <c r="BL2118" s="89"/>
      <c r="BM2118" s="89"/>
      <c r="BN2118" s="89"/>
      <c r="BO2118" s="89"/>
      <c r="BP2118" s="89"/>
    </row>
    <row r="2119" spans="1:68" s="56" customFormat="1" ht="13.5" hidden="1">
      <c r="A2119" s="204" t="str">
        <f>+IFERROR(VALUE(MID(AB2119,4,4)),"")</f>
        <v/>
      </c>
      <c r="B2119" s="204">
        <f>VALUE(RIGHT(C2119,LEN(C2119)-2))</f>
        <v>606</v>
      </c>
      <c r="C2119" s="74" t="s">
        <v>7294</v>
      </c>
      <c r="D2119" s="75">
        <v>42676</v>
      </c>
      <c r="E2119" s="70" t="s">
        <v>97</v>
      </c>
      <c r="F2119" s="70" t="s">
        <v>460</v>
      </c>
      <c r="G2119" s="68" t="s">
        <v>6857</v>
      </c>
      <c r="H2119" s="59"/>
      <c r="I2119" s="162" t="s">
        <v>7295</v>
      </c>
      <c r="J2119" s="162"/>
      <c r="K2119" s="68" t="s">
        <v>42</v>
      </c>
      <c r="L2119" s="69" t="s">
        <v>123</v>
      </c>
      <c r="M2119" s="71" t="s">
        <v>141</v>
      </c>
      <c r="N2119" s="69" t="e" vm="1">
        <v>#VALUE!</v>
      </c>
      <c r="O2119" s="164">
        <v>42689</v>
      </c>
      <c r="P2119" s="72" t="s">
        <v>402</v>
      </c>
      <c r="Q2119" s="72"/>
      <c r="R2119" s="162"/>
      <c r="S2119" s="146" t="s">
        <v>7296</v>
      </c>
      <c r="T2119" s="68" t="s">
        <v>155</v>
      </c>
      <c r="U2119" s="87"/>
      <c r="V2119" s="183">
        <v>42698</v>
      </c>
      <c r="W2119" s="73">
        <v>12650</v>
      </c>
      <c r="X2119" s="73">
        <v>314.863767</v>
      </c>
      <c r="Y2119" s="83">
        <f>IF(SUM(W2119:W2119)&gt;0,X2119/SUM(W2119:W2119)*1000000,"N/A")</f>
        <v>24890.416363636363</v>
      </c>
      <c r="Z2119" s="183"/>
      <c r="AA2119" s="183"/>
      <c r="AB2119" s="223"/>
      <c r="AC2119" s="153"/>
      <c r="AD2119" s="331"/>
      <c r="AE2119" s="57"/>
      <c r="AF2119" s="88"/>
      <c r="AG2119" s="182">
        <f>YEAR(D2119)</f>
        <v>2016</v>
      </c>
      <c r="AH2119" s="86" t="str">
        <f>+IF(AE2119=$AJ$22,MONTH(T2119),"")</f>
        <v/>
      </c>
      <c r="AI2119" s="86" t="str">
        <f>+IF(AF2119=$AJ$22,MONTH(U2119),"")</f>
        <v/>
      </c>
      <c r="AJ2119" s="86" t="str">
        <f>+IF(AG2119=$AJ$22,MONTH(V2119),"")</f>
        <v/>
      </c>
      <c r="AK2119" s="86" t="str">
        <f>+IF(AG2119=$AK$22,MONTH(V2119),"")</f>
        <v/>
      </c>
      <c r="AL2119" s="86" t="str">
        <f>+IF(AG2119=$AL$22,MONTH(V2119),"")</f>
        <v/>
      </c>
      <c r="AM2119" s="86" t="str">
        <f>+IF($AG2119=$AM$22,MONTH($D2119),"")</f>
        <v/>
      </c>
      <c r="AN2119" s="89" t="str">
        <f>+IF($AG2119=AN$22,MONTH($D2119),"")</f>
        <v/>
      </c>
      <c r="AO2119" s="86" t="str">
        <f>+IF($AG2119=AO$22,MONTH($D2119),"")</f>
        <v/>
      </c>
      <c r="AP2119" s="86" t="str">
        <f>+IF($AG2119=AP$22,MONTH($D2119),"")</f>
        <v/>
      </c>
      <c r="AQ2119" s="86" t="str">
        <f>+IF($AG2119=AQ$22,MONTH($D2119),"")</f>
        <v/>
      </c>
      <c r="AR2119" s="86">
        <f>+IF($AG2119=AR$22,MONTH($D2119),"")</f>
        <v>11</v>
      </c>
      <c r="AS2119" s="86" t="str">
        <f>+IF($AG2119=AS$22,MONTH($D2119),"")</f>
        <v/>
      </c>
      <c r="AT2119" s="86" t="str">
        <f>+IF($AG2119=AT$22,MONTH($D2119),"")</f>
        <v/>
      </c>
      <c r="AU2119" s="86" t="str">
        <f>+IF($AG2119=AU$22,MONTH($D2119),"")</f>
        <v/>
      </c>
      <c r="AV2119" s="86" t="str">
        <f>+IF($AG2119=AV$22,MONTH($D2119),"")</f>
        <v/>
      </c>
      <c r="AW2119" s="86" t="str">
        <f>+IF($AG2119=AW$22,MONTH($D2119),"")</f>
        <v/>
      </c>
      <c r="AX2119" s="86" t="str">
        <f>+IF($AG2119=AX$22,MONTH($D2119),"")</f>
        <v/>
      </c>
      <c r="AY2119" s="89"/>
      <c r="AZ2119" s="89"/>
      <c r="BA2119" s="89"/>
      <c r="BB2119" s="89"/>
      <c r="BC2119" s="89"/>
      <c r="BD2119" s="89"/>
      <c r="BE2119" s="89"/>
      <c r="BF2119" s="89"/>
      <c r="BG2119" s="89"/>
      <c r="BH2119" s="89"/>
      <c r="BI2119" s="89"/>
      <c r="BJ2119" s="89"/>
      <c r="BK2119" s="89"/>
      <c r="BL2119" s="89"/>
      <c r="BM2119" s="89"/>
      <c r="BN2119" s="89"/>
      <c r="BO2119" s="89"/>
      <c r="BP2119" s="89"/>
    </row>
    <row r="2120" spans="1:68" s="56" customFormat="1" ht="27" hidden="1">
      <c r="A2120" s="204">
        <f>+IFERROR(VALUE(MID(AB2120,4,4)),"")</f>
        <v>113</v>
      </c>
      <c r="B2120" s="204">
        <f>VALUE(RIGHT(C2120,LEN(C2120)-2))</f>
        <v>605</v>
      </c>
      <c r="C2120" s="74" t="s">
        <v>7297</v>
      </c>
      <c r="D2120" s="75">
        <v>42676</v>
      </c>
      <c r="E2120" s="70" t="s">
        <v>332</v>
      </c>
      <c r="F2120" s="70" t="s">
        <v>332</v>
      </c>
      <c r="G2120" s="68" t="s">
        <v>737</v>
      </c>
      <c r="H2120" s="59" t="s">
        <v>7267</v>
      </c>
      <c r="I2120" s="162" t="s">
        <v>7298</v>
      </c>
      <c r="J2120" s="162"/>
      <c r="K2120" s="68" t="s">
        <v>13</v>
      </c>
      <c r="L2120" s="69" t="s">
        <v>120</v>
      </c>
      <c r="M2120" s="71" t="s">
        <v>141</v>
      </c>
      <c r="N2120" s="69" t="e" vm="1">
        <v>#VALUE!</v>
      </c>
      <c r="O2120" s="164">
        <v>42676</v>
      </c>
      <c r="P2120" s="72" t="s">
        <v>402</v>
      </c>
      <c r="Q2120" s="72"/>
      <c r="R2120" s="162"/>
      <c r="S2120" s="146"/>
      <c r="T2120" s="68" t="s">
        <v>3</v>
      </c>
      <c r="U2120" s="87"/>
      <c r="V2120" s="183">
        <v>42698</v>
      </c>
      <c r="W2120" s="73">
        <v>1111</v>
      </c>
      <c r="X2120" s="73">
        <f>1212*26200/1000000</f>
        <v>31.7544</v>
      </c>
      <c r="Y2120" s="83">
        <f>IF(SUM(W2120:W2120)&gt;0,X2120/SUM(W2120:W2120)*1000000,"N/A")</f>
        <v>28581.81818181818</v>
      </c>
      <c r="Z2120" s="183"/>
      <c r="AA2120" s="183"/>
      <c r="AB2120" s="223" t="s">
        <v>7299</v>
      </c>
      <c r="AC2120" s="153"/>
      <c r="AD2120" s="331"/>
      <c r="AE2120" s="57"/>
      <c r="AF2120" s="88"/>
      <c r="AG2120" s="182">
        <f>YEAR(D2120)</f>
        <v>2016</v>
      </c>
      <c r="AH2120" s="86" t="str">
        <f>+IF(AE2120=$AJ$22,MONTH(T2120),"")</f>
        <v/>
      </c>
      <c r="AI2120" s="86" t="str">
        <f>+IF(AF2120=$AJ$22,MONTH(U2120),"")</f>
        <v/>
      </c>
      <c r="AJ2120" s="86" t="str">
        <f>+IF(AG2120=$AJ$22,MONTH(V2120),"")</f>
        <v/>
      </c>
      <c r="AK2120" s="86" t="str">
        <f>+IF(AG2120=$AK$22,MONTH(V2120),"")</f>
        <v/>
      </c>
      <c r="AL2120" s="86" t="str">
        <f>+IF(AG2120=$AL$22,MONTH(V2120),"")</f>
        <v/>
      </c>
      <c r="AM2120" s="86" t="str">
        <f>+IF($AG2120=$AM$22,MONTH($D2120),"")</f>
        <v/>
      </c>
      <c r="AN2120" s="89" t="str">
        <f>+IF($AG2120=AN$22,MONTH($D2120),"")</f>
        <v/>
      </c>
      <c r="AO2120" s="86" t="str">
        <f>+IF($AG2120=AO$22,MONTH($D2120),"")</f>
        <v/>
      </c>
      <c r="AP2120" s="86" t="str">
        <f>+IF($AG2120=AP$22,MONTH($D2120),"")</f>
        <v/>
      </c>
      <c r="AQ2120" s="86" t="str">
        <f>+IF($AG2120=AQ$22,MONTH($D2120),"")</f>
        <v/>
      </c>
      <c r="AR2120" s="86">
        <f>+IF($AG2120=AR$22,MONTH($D2120),"")</f>
        <v>11</v>
      </c>
      <c r="AS2120" s="86" t="str">
        <f>+IF($AG2120=AS$22,MONTH($D2120),"")</f>
        <v/>
      </c>
      <c r="AT2120" s="86" t="str">
        <f>+IF($AG2120=AT$22,MONTH($D2120),"")</f>
        <v/>
      </c>
      <c r="AU2120" s="86" t="str">
        <f>+IF($AG2120=AU$22,MONTH($D2120),"")</f>
        <v/>
      </c>
      <c r="AV2120" s="86" t="str">
        <f>+IF($AG2120=AV$22,MONTH($D2120),"")</f>
        <v/>
      </c>
      <c r="AW2120" s="86" t="str">
        <f>+IF($AG2120=AW$22,MONTH($D2120),"")</f>
        <v/>
      </c>
      <c r="AX2120" s="86" t="str">
        <f>+IF($AG2120=AX$22,MONTH($D2120),"")</f>
        <v/>
      </c>
      <c r="AY2120" s="89"/>
      <c r="AZ2120" s="89"/>
      <c r="BA2120" s="89"/>
      <c r="BB2120" s="89"/>
      <c r="BC2120" s="89"/>
      <c r="BD2120" s="89"/>
      <c r="BE2120" s="89"/>
      <c r="BF2120" s="89"/>
      <c r="BG2120" s="89"/>
      <c r="BH2120" s="89"/>
      <c r="BI2120" s="89"/>
      <c r="BJ2120" s="89"/>
      <c r="BK2120" s="89"/>
      <c r="BL2120" s="89"/>
      <c r="BM2120" s="89"/>
      <c r="BN2120" s="89"/>
      <c r="BO2120" s="89"/>
      <c r="BP2120" s="89"/>
    </row>
    <row r="2121" spans="1:68" s="56" customFormat="1" ht="13.5" hidden="1">
      <c r="A2121" s="204" t="str">
        <f>+IFERROR(VALUE(MID(AB2121,4,4)),"")</f>
        <v/>
      </c>
      <c r="B2121" s="204">
        <f>VALUE(RIGHT(C2121,LEN(C2121)-2))</f>
        <v>604</v>
      </c>
      <c r="C2121" s="74" t="s">
        <v>7300</v>
      </c>
      <c r="D2121" s="75">
        <v>42676</v>
      </c>
      <c r="E2121" s="70" t="s">
        <v>332</v>
      </c>
      <c r="F2121" s="70" t="s">
        <v>332</v>
      </c>
      <c r="G2121" s="68" t="s">
        <v>737</v>
      </c>
      <c r="H2121" s="59" t="s">
        <v>7267</v>
      </c>
      <c r="I2121" s="162" t="s">
        <v>7301</v>
      </c>
      <c r="J2121" s="162"/>
      <c r="K2121" s="68" t="s">
        <v>13</v>
      </c>
      <c r="L2121" s="69" t="s">
        <v>120</v>
      </c>
      <c r="M2121" s="71" t="s">
        <v>141</v>
      </c>
      <c r="N2121" s="69" t="e" vm="1">
        <v>#VALUE!</v>
      </c>
      <c r="O2121" s="164"/>
      <c r="P2121" s="72" t="s">
        <v>402</v>
      </c>
      <c r="Q2121" s="72"/>
      <c r="R2121" s="162"/>
      <c r="S2121" s="146" t="s">
        <v>7296</v>
      </c>
      <c r="T2121" s="68" t="s">
        <v>155</v>
      </c>
      <c r="U2121" s="87"/>
      <c r="V2121" s="183">
        <v>42698</v>
      </c>
      <c r="W2121" s="73"/>
      <c r="X2121" s="73"/>
      <c r="Y2121" s="83"/>
      <c r="Z2121" s="183"/>
      <c r="AA2121" s="183"/>
      <c r="AB2121" s="223"/>
      <c r="AC2121" s="153"/>
      <c r="AD2121" s="331"/>
      <c r="AE2121" s="57"/>
      <c r="AF2121" s="88"/>
      <c r="AG2121" s="182">
        <f>YEAR(D2121)</f>
        <v>2016</v>
      </c>
      <c r="AH2121" s="86" t="str">
        <f>+IF(AE2121=$AJ$22,MONTH(T2121),"")</f>
        <v/>
      </c>
      <c r="AI2121" s="86" t="str">
        <f>+IF(AF2121=$AJ$22,MONTH(U2121),"")</f>
        <v/>
      </c>
      <c r="AJ2121" s="86" t="str">
        <f>+IF(AG2121=$AJ$22,MONTH(V2121),"")</f>
        <v/>
      </c>
      <c r="AK2121" s="86" t="str">
        <f>+IF(AG2121=$AK$22,MONTH(V2121),"")</f>
        <v/>
      </c>
      <c r="AL2121" s="86" t="str">
        <f>+IF(AG2121=$AL$22,MONTH(V2121),"")</f>
        <v/>
      </c>
      <c r="AM2121" s="86" t="str">
        <f>+IF($AG2121=$AM$22,MONTH($D2121),"")</f>
        <v/>
      </c>
      <c r="AN2121" s="89" t="str">
        <f>+IF($AG2121=AN$22,MONTH($D2121),"")</f>
        <v/>
      </c>
      <c r="AO2121" s="86" t="str">
        <f>+IF($AG2121=AO$22,MONTH($D2121),"")</f>
        <v/>
      </c>
      <c r="AP2121" s="86" t="str">
        <f>+IF($AG2121=AP$22,MONTH($D2121),"")</f>
        <v/>
      </c>
      <c r="AQ2121" s="86" t="str">
        <f>+IF($AG2121=AQ$22,MONTH($D2121),"")</f>
        <v/>
      </c>
      <c r="AR2121" s="86">
        <f>+IF($AG2121=AR$22,MONTH($D2121),"")</f>
        <v>11</v>
      </c>
      <c r="AS2121" s="86" t="str">
        <f>+IF($AG2121=AS$22,MONTH($D2121),"")</f>
        <v/>
      </c>
      <c r="AT2121" s="86" t="str">
        <f>+IF($AG2121=AT$22,MONTH($D2121),"")</f>
        <v/>
      </c>
      <c r="AU2121" s="86" t="str">
        <f>+IF($AG2121=AU$22,MONTH($D2121),"")</f>
        <v/>
      </c>
      <c r="AV2121" s="86" t="str">
        <f>+IF($AG2121=AV$22,MONTH($D2121),"")</f>
        <v/>
      </c>
      <c r="AW2121" s="86" t="str">
        <f>+IF($AG2121=AW$22,MONTH($D2121),"")</f>
        <v/>
      </c>
      <c r="AX2121" s="86" t="str">
        <f>+IF($AG2121=AX$22,MONTH($D2121),"")</f>
        <v/>
      </c>
      <c r="AY2121" s="89"/>
      <c r="AZ2121" s="89"/>
      <c r="BA2121" s="89"/>
      <c r="BB2121" s="89"/>
      <c r="BC2121" s="89"/>
      <c r="BD2121" s="89"/>
      <c r="BE2121" s="89"/>
      <c r="BF2121" s="89"/>
      <c r="BG2121" s="89"/>
      <c r="BH2121" s="89"/>
      <c r="BI2121" s="89"/>
      <c r="BJ2121" s="89"/>
      <c r="BK2121" s="89"/>
      <c r="BL2121" s="89"/>
      <c r="BM2121" s="89"/>
      <c r="BN2121" s="89"/>
      <c r="BO2121" s="89"/>
      <c r="BP2121" s="89"/>
    </row>
    <row r="2122" spans="1:68" s="56" customFormat="1" ht="13.5" hidden="1">
      <c r="A2122" s="204" t="str">
        <f>+IFERROR(VALUE(MID(AB2122,4,4)),"")</f>
        <v/>
      </c>
      <c r="B2122" s="204">
        <f>VALUE(RIGHT(C2122,LEN(C2122)-2))</f>
        <v>603</v>
      </c>
      <c r="C2122" s="74" t="s">
        <v>7302</v>
      </c>
      <c r="D2122" s="75">
        <v>42676</v>
      </c>
      <c r="E2122" s="70" t="s">
        <v>332</v>
      </c>
      <c r="F2122" s="70" t="s">
        <v>332</v>
      </c>
      <c r="G2122" s="68" t="s">
        <v>737</v>
      </c>
      <c r="H2122" s="59" t="s">
        <v>7267</v>
      </c>
      <c r="I2122" s="162" t="s">
        <v>7303</v>
      </c>
      <c r="J2122" s="162"/>
      <c r="K2122" s="68" t="s">
        <v>13</v>
      </c>
      <c r="L2122" s="69" t="s">
        <v>120</v>
      </c>
      <c r="M2122" s="71" t="s">
        <v>141</v>
      </c>
      <c r="N2122" s="69" t="e" vm="1">
        <v>#VALUE!</v>
      </c>
      <c r="O2122" s="164"/>
      <c r="P2122" s="72" t="s">
        <v>402</v>
      </c>
      <c r="Q2122" s="72"/>
      <c r="R2122" s="162"/>
      <c r="S2122" s="146" t="s">
        <v>7296</v>
      </c>
      <c r="T2122" s="68" t="s">
        <v>155</v>
      </c>
      <c r="U2122" s="87"/>
      <c r="V2122" s="183">
        <v>42698</v>
      </c>
      <c r="W2122" s="73"/>
      <c r="X2122" s="73"/>
      <c r="Y2122" s="83"/>
      <c r="Z2122" s="183"/>
      <c r="AA2122" s="183"/>
      <c r="AB2122" s="223"/>
      <c r="AC2122" s="153"/>
      <c r="AD2122" s="331"/>
      <c r="AE2122" s="57"/>
      <c r="AF2122" s="88"/>
      <c r="AG2122" s="182">
        <f>YEAR(D2122)</f>
        <v>2016</v>
      </c>
      <c r="AH2122" s="86" t="str">
        <f>+IF(AE2122=$AJ$22,MONTH(T2122),"")</f>
        <v/>
      </c>
      <c r="AI2122" s="86" t="str">
        <f>+IF(AF2122=$AJ$22,MONTH(U2122),"")</f>
        <v/>
      </c>
      <c r="AJ2122" s="86" t="str">
        <f>+IF(AG2122=$AJ$22,MONTH(V2122),"")</f>
        <v/>
      </c>
      <c r="AK2122" s="86" t="str">
        <f>+IF(AG2122=$AK$22,MONTH(V2122),"")</f>
        <v/>
      </c>
      <c r="AL2122" s="86" t="str">
        <f>+IF(AG2122=$AL$22,MONTH(V2122),"")</f>
        <v/>
      </c>
      <c r="AM2122" s="86" t="str">
        <f>+IF($AG2122=$AM$22,MONTH($D2122),"")</f>
        <v/>
      </c>
      <c r="AN2122" s="89" t="str">
        <f>+IF($AG2122=AN$22,MONTH($D2122),"")</f>
        <v/>
      </c>
      <c r="AO2122" s="86" t="str">
        <f>+IF($AG2122=AO$22,MONTH($D2122),"")</f>
        <v/>
      </c>
      <c r="AP2122" s="86" t="str">
        <f>+IF($AG2122=AP$22,MONTH($D2122),"")</f>
        <v/>
      </c>
      <c r="AQ2122" s="86" t="str">
        <f>+IF($AG2122=AQ$22,MONTH($D2122),"")</f>
        <v/>
      </c>
      <c r="AR2122" s="86">
        <f>+IF($AG2122=AR$22,MONTH($D2122),"")</f>
        <v>11</v>
      </c>
      <c r="AS2122" s="86" t="str">
        <f>+IF($AG2122=AS$22,MONTH($D2122),"")</f>
        <v/>
      </c>
      <c r="AT2122" s="86" t="str">
        <f>+IF($AG2122=AT$22,MONTH($D2122),"")</f>
        <v/>
      </c>
      <c r="AU2122" s="86" t="str">
        <f>+IF($AG2122=AU$22,MONTH($D2122),"")</f>
        <v/>
      </c>
      <c r="AV2122" s="86" t="str">
        <f>+IF($AG2122=AV$22,MONTH($D2122),"")</f>
        <v/>
      </c>
      <c r="AW2122" s="86" t="str">
        <f>+IF($AG2122=AW$22,MONTH($D2122),"")</f>
        <v/>
      </c>
      <c r="AX2122" s="86" t="str">
        <f>+IF($AG2122=AX$22,MONTH($D2122),"")</f>
        <v/>
      </c>
      <c r="AY2122" s="89"/>
      <c r="AZ2122" s="89"/>
      <c r="BA2122" s="89"/>
      <c r="BB2122" s="89"/>
      <c r="BC2122" s="89"/>
      <c r="BD2122" s="89"/>
      <c r="BE2122" s="89"/>
      <c r="BF2122" s="89"/>
      <c r="BG2122" s="89"/>
      <c r="BH2122" s="89"/>
      <c r="BI2122" s="89"/>
      <c r="BJ2122" s="89"/>
      <c r="BK2122" s="89"/>
      <c r="BL2122" s="89"/>
      <c r="BM2122" s="89"/>
      <c r="BN2122" s="89"/>
      <c r="BO2122" s="89"/>
      <c r="BP2122" s="89"/>
    </row>
    <row r="2123" spans="1:68" s="56" customFormat="1" ht="13.5" hidden="1">
      <c r="A2123" s="204" t="str">
        <f>+IFERROR(VALUE(MID(AB2123,4,4)),"")</f>
        <v/>
      </c>
      <c r="B2123" s="204">
        <f>VALUE(RIGHT(C2123,LEN(C2123)-2))</f>
        <v>602</v>
      </c>
      <c r="C2123" s="74" t="s">
        <v>7304</v>
      </c>
      <c r="D2123" s="75">
        <v>42676</v>
      </c>
      <c r="E2123" s="70" t="s">
        <v>332</v>
      </c>
      <c r="F2123" s="70" t="s">
        <v>332</v>
      </c>
      <c r="G2123" s="68" t="s">
        <v>737</v>
      </c>
      <c r="H2123" s="59" t="s">
        <v>7267</v>
      </c>
      <c r="I2123" s="162" t="s">
        <v>7305</v>
      </c>
      <c r="J2123" s="162"/>
      <c r="K2123" s="68" t="s">
        <v>13</v>
      </c>
      <c r="L2123" s="69" t="s">
        <v>120</v>
      </c>
      <c r="M2123" s="71" t="s">
        <v>141</v>
      </c>
      <c r="N2123" s="69" t="e" vm="1">
        <v>#VALUE!</v>
      </c>
      <c r="O2123" s="164"/>
      <c r="P2123" s="72" t="s">
        <v>402</v>
      </c>
      <c r="Q2123" s="72"/>
      <c r="R2123" s="162"/>
      <c r="S2123" s="146" t="s">
        <v>7296</v>
      </c>
      <c r="T2123" s="68" t="s">
        <v>155</v>
      </c>
      <c r="U2123" s="87"/>
      <c r="V2123" s="183">
        <v>42698</v>
      </c>
      <c r="W2123" s="73"/>
      <c r="X2123" s="73"/>
      <c r="Y2123" s="83"/>
      <c r="Z2123" s="183"/>
      <c r="AA2123" s="183"/>
      <c r="AB2123" s="223"/>
      <c r="AC2123" s="153"/>
      <c r="AD2123" s="331"/>
      <c r="AE2123" s="57"/>
      <c r="AF2123" s="88"/>
      <c r="AG2123" s="182">
        <f>YEAR(D2123)</f>
        <v>2016</v>
      </c>
      <c r="AH2123" s="86" t="str">
        <f>+IF(AE2123=$AJ$22,MONTH(T2123),"")</f>
        <v/>
      </c>
      <c r="AI2123" s="86" t="str">
        <f>+IF(AF2123=$AJ$22,MONTH(U2123),"")</f>
        <v/>
      </c>
      <c r="AJ2123" s="86" t="str">
        <f>+IF(AG2123=$AJ$22,MONTH(V2123),"")</f>
        <v/>
      </c>
      <c r="AK2123" s="86" t="str">
        <f>+IF(AG2123=$AK$22,MONTH(V2123),"")</f>
        <v/>
      </c>
      <c r="AL2123" s="86" t="str">
        <f>+IF(AG2123=$AL$22,MONTH(V2123),"")</f>
        <v/>
      </c>
      <c r="AM2123" s="86" t="str">
        <f>+IF($AG2123=$AM$22,MONTH($D2123),"")</f>
        <v/>
      </c>
      <c r="AN2123" s="89" t="str">
        <f>+IF($AG2123=AN$22,MONTH($D2123),"")</f>
        <v/>
      </c>
      <c r="AO2123" s="86" t="str">
        <f>+IF($AG2123=AO$22,MONTH($D2123),"")</f>
        <v/>
      </c>
      <c r="AP2123" s="86" t="str">
        <f>+IF($AG2123=AP$22,MONTH($D2123),"")</f>
        <v/>
      </c>
      <c r="AQ2123" s="86" t="str">
        <f>+IF($AG2123=AQ$22,MONTH($D2123),"")</f>
        <v/>
      </c>
      <c r="AR2123" s="86">
        <f>+IF($AG2123=AR$22,MONTH($D2123),"")</f>
        <v>11</v>
      </c>
      <c r="AS2123" s="86" t="str">
        <f>+IF($AG2123=AS$22,MONTH($D2123),"")</f>
        <v/>
      </c>
      <c r="AT2123" s="86" t="str">
        <f>+IF($AG2123=AT$22,MONTH($D2123),"")</f>
        <v/>
      </c>
      <c r="AU2123" s="86" t="str">
        <f>+IF($AG2123=AU$22,MONTH($D2123),"")</f>
        <v/>
      </c>
      <c r="AV2123" s="86" t="str">
        <f>+IF($AG2123=AV$22,MONTH($D2123),"")</f>
        <v/>
      </c>
      <c r="AW2123" s="86" t="str">
        <f>+IF($AG2123=AW$22,MONTH($D2123),"")</f>
        <v/>
      </c>
      <c r="AX2123" s="86" t="str">
        <f>+IF($AG2123=AX$22,MONTH($D2123),"")</f>
        <v/>
      </c>
      <c r="AY2123" s="89"/>
      <c r="AZ2123" s="89"/>
      <c r="BA2123" s="89"/>
      <c r="BB2123" s="89"/>
      <c r="BC2123" s="89"/>
      <c r="BD2123" s="89"/>
      <c r="BE2123" s="89"/>
      <c r="BF2123" s="89"/>
      <c r="BG2123" s="89"/>
      <c r="BH2123" s="89"/>
      <c r="BI2123" s="89"/>
      <c r="BJ2123" s="89"/>
      <c r="BK2123" s="89"/>
      <c r="BL2123" s="89"/>
      <c r="BM2123" s="89"/>
      <c r="BN2123" s="89"/>
      <c r="BO2123" s="89"/>
      <c r="BP2123" s="89"/>
    </row>
    <row r="2124" spans="1:68" s="56" customFormat="1" ht="27" hidden="1">
      <c r="A2124" s="204">
        <f>+IFERROR(VALUE(MID(AB2124,4,4)),"")</f>
        <v>113</v>
      </c>
      <c r="B2124" s="204">
        <f>VALUE(RIGHT(C2124,LEN(C2124)-2))</f>
        <v>601</v>
      </c>
      <c r="C2124" s="74" t="s">
        <v>7306</v>
      </c>
      <c r="D2124" s="75">
        <v>42676</v>
      </c>
      <c r="E2124" s="70" t="s">
        <v>332</v>
      </c>
      <c r="F2124" s="70" t="s">
        <v>332</v>
      </c>
      <c r="G2124" s="68" t="s">
        <v>737</v>
      </c>
      <c r="H2124" s="59" t="s">
        <v>7267</v>
      </c>
      <c r="I2124" s="162" t="s">
        <v>7307</v>
      </c>
      <c r="J2124" s="162"/>
      <c r="K2124" s="68" t="s">
        <v>13</v>
      </c>
      <c r="L2124" s="69" t="s">
        <v>120</v>
      </c>
      <c r="M2124" s="71" t="s">
        <v>141</v>
      </c>
      <c r="N2124" s="69" t="e" vm="1">
        <v>#VALUE!</v>
      </c>
      <c r="O2124" s="164">
        <v>42676</v>
      </c>
      <c r="P2124" s="72" t="s">
        <v>402</v>
      </c>
      <c r="Q2124" s="72"/>
      <c r="R2124" s="162"/>
      <c r="S2124" s="146"/>
      <c r="T2124" s="68" t="s">
        <v>3</v>
      </c>
      <c r="U2124" s="87"/>
      <c r="V2124" s="183">
        <v>42698</v>
      </c>
      <c r="W2124" s="73">
        <v>450</v>
      </c>
      <c r="X2124" s="73">
        <f>492*26200/1000000</f>
        <v>12.8904</v>
      </c>
      <c r="Y2124" s="83">
        <f>IF(SUM(W2124:W2124)&gt;0,X2124/SUM(W2124:W2124)*1000000,"N/A")</f>
        <v>28645.333333333332</v>
      </c>
      <c r="Z2124" s="183"/>
      <c r="AA2124" s="183"/>
      <c r="AB2124" s="223" t="s">
        <v>7308</v>
      </c>
      <c r="AC2124" s="153"/>
      <c r="AD2124" s="331"/>
      <c r="AE2124" s="57"/>
      <c r="AF2124" s="88"/>
      <c r="AG2124" s="182">
        <f>YEAR(D2124)</f>
        <v>2016</v>
      </c>
      <c r="AH2124" s="86" t="str">
        <f>+IF(AE2124=$AJ$22,MONTH(T2124),"")</f>
        <v/>
      </c>
      <c r="AI2124" s="86" t="str">
        <f>+IF(AF2124=$AJ$22,MONTH(U2124),"")</f>
        <v/>
      </c>
      <c r="AJ2124" s="86" t="str">
        <f>+IF(AG2124=$AJ$22,MONTH(V2124),"")</f>
        <v/>
      </c>
      <c r="AK2124" s="86" t="str">
        <f>+IF(AG2124=$AK$22,MONTH(V2124),"")</f>
        <v/>
      </c>
      <c r="AL2124" s="86" t="str">
        <f>+IF(AG2124=$AL$22,MONTH(V2124),"")</f>
        <v/>
      </c>
      <c r="AM2124" s="86" t="str">
        <f>+IF($AG2124=$AM$22,MONTH($D2124),"")</f>
        <v/>
      </c>
      <c r="AN2124" s="89" t="str">
        <f>+IF($AG2124=AN$22,MONTH($D2124),"")</f>
        <v/>
      </c>
      <c r="AO2124" s="86" t="str">
        <f>+IF($AG2124=AO$22,MONTH($D2124),"")</f>
        <v/>
      </c>
      <c r="AP2124" s="86" t="str">
        <f>+IF($AG2124=AP$22,MONTH($D2124),"")</f>
        <v/>
      </c>
      <c r="AQ2124" s="86" t="str">
        <f>+IF($AG2124=AQ$22,MONTH($D2124),"")</f>
        <v/>
      </c>
      <c r="AR2124" s="86">
        <f>+IF($AG2124=AR$22,MONTH($D2124),"")</f>
        <v>11</v>
      </c>
      <c r="AS2124" s="86" t="str">
        <f>+IF($AG2124=AS$22,MONTH($D2124),"")</f>
        <v/>
      </c>
      <c r="AT2124" s="86" t="str">
        <f>+IF($AG2124=AT$22,MONTH($D2124),"")</f>
        <v/>
      </c>
      <c r="AU2124" s="86" t="str">
        <f>+IF($AG2124=AU$22,MONTH($D2124),"")</f>
        <v/>
      </c>
      <c r="AV2124" s="86" t="str">
        <f>+IF($AG2124=AV$22,MONTH($D2124),"")</f>
        <v/>
      </c>
      <c r="AW2124" s="86" t="str">
        <f>+IF($AG2124=AW$22,MONTH($D2124),"")</f>
        <v/>
      </c>
      <c r="AX2124" s="86" t="str">
        <f>+IF($AG2124=AX$22,MONTH($D2124),"")</f>
        <v/>
      </c>
      <c r="AY2124" s="89"/>
      <c r="AZ2124" s="89"/>
      <c r="BA2124" s="89"/>
      <c r="BB2124" s="89"/>
      <c r="BC2124" s="89"/>
      <c r="BD2124" s="89"/>
      <c r="BE2124" s="89"/>
      <c r="BF2124" s="89"/>
      <c r="BG2124" s="89"/>
      <c r="BH2124" s="89"/>
      <c r="BI2124" s="89"/>
      <c r="BJ2124" s="89"/>
      <c r="BK2124" s="89"/>
      <c r="BL2124" s="89"/>
      <c r="BM2124" s="89"/>
      <c r="BN2124" s="89"/>
      <c r="BO2124" s="89"/>
      <c r="BP2124" s="89"/>
    </row>
    <row r="2125" spans="1:68" s="56" customFormat="1" ht="27" hidden="1">
      <c r="A2125" s="204" t="str">
        <f>+IFERROR(VALUE(MID(AB2125,4,4)),"")</f>
        <v/>
      </c>
      <c r="B2125" s="204">
        <f>VALUE(RIGHT(C2125,LEN(C2125)-2))</f>
        <v>600</v>
      </c>
      <c r="C2125" s="74" t="s">
        <v>7309</v>
      </c>
      <c r="D2125" s="75">
        <v>42676</v>
      </c>
      <c r="E2125" s="70" t="s">
        <v>332</v>
      </c>
      <c r="F2125" s="70" t="s">
        <v>332</v>
      </c>
      <c r="G2125" s="68" t="s">
        <v>737</v>
      </c>
      <c r="H2125" s="59" t="s">
        <v>7267</v>
      </c>
      <c r="I2125" s="162" t="s">
        <v>7310</v>
      </c>
      <c r="J2125" s="162"/>
      <c r="K2125" s="68" t="s">
        <v>13</v>
      </c>
      <c r="L2125" s="69" t="s">
        <v>120</v>
      </c>
      <c r="M2125" s="71" t="s">
        <v>141</v>
      </c>
      <c r="N2125" s="69" t="e" vm="1">
        <v>#VALUE!</v>
      </c>
      <c r="O2125" s="164"/>
      <c r="P2125" s="72" t="s">
        <v>402</v>
      </c>
      <c r="Q2125" s="72"/>
      <c r="R2125" s="162"/>
      <c r="S2125" s="146"/>
      <c r="T2125" s="68" t="s">
        <v>165</v>
      </c>
      <c r="U2125" s="87"/>
      <c r="V2125" s="183">
        <v>42698</v>
      </c>
      <c r="W2125" s="73">
        <v>377</v>
      </c>
      <c r="X2125" s="73">
        <f>26200*411/1000000</f>
        <v>10.7682</v>
      </c>
      <c r="Y2125" s="83">
        <f>IF(SUM(W2125:W2125)&gt;0,X2125/SUM(W2125:W2125)*1000000,"N/A")</f>
        <v>28562.864721485414</v>
      </c>
      <c r="Z2125" s="183"/>
      <c r="AA2125" s="183"/>
      <c r="AB2125" s="223"/>
      <c r="AC2125" s="153"/>
      <c r="AD2125" s="331"/>
      <c r="AE2125" s="57"/>
      <c r="AF2125" s="88"/>
      <c r="AG2125" s="182">
        <f>YEAR(D2125)</f>
        <v>2016</v>
      </c>
      <c r="AH2125" s="86" t="str">
        <f>+IF(AE2125=$AJ$22,MONTH(T2125),"")</f>
        <v/>
      </c>
      <c r="AI2125" s="86" t="str">
        <f>+IF(AF2125=$AJ$22,MONTH(U2125),"")</f>
        <v/>
      </c>
      <c r="AJ2125" s="86" t="str">
        <f>+IF(AG2125=$AJ$22,MONTH(V2125),"")</f>
        <v/>
      </c>
      <c r="AK2125" s="86" t="str">
        <f>+IF(AG2125=$AK$22,MONTH(V2125),"")</f>
        <v/>
      </c>
      <c r="AL2125" s="86" t="str">
        <f>+IF(AG2125=$AL$22,MONTH(V2125),"")</f>
        <v/>
      </c>
      <c r="AM2125" s="86" t="str">
        <f>+IF($AG2125=$AM$22,MONTH($D2125),"")</f>
        <v/>
      </c>
      <c r="AN2125" s="89" t="str">
        <f>+IF($AG2125=AN$22,MONTH($D2125),"")</f>
        <v/>
      </c>
      <c r="AO2125" s="86" t="str">
        <f>+IF($AG2125=AO$22,MONTH($D2125),"")</f>
        <v/>
      </c>
      <c r="AP2125" s="86" t="str">
        <f>+IF($AG2125=AP$22,MONTH($D2125),"")</f>
        <v/>
      </c>
      <c r="AQ2125" s="86" t="str">
        <f>+IF($AG2125=AQ$22,MONTH($D2125),"")</f>
        <v/>
      </c>
      <c r="AR2125" s="86">
        <f>+IF($AG2125=AR$22,MONTH($D2125),"")</f>
        <v>11</v>
      </c>
      <c r="AS2125" s="86" t="str">
        <f>+IF($AG2125=AS$22,MONTH($D2125),"")</f>
        <v/>
      </c>
      <c r="AT2125" s="86" t="str">
        <f>+IF($AG2125=AT$22,MONTH($D2125),"")</f>
        <v/>
      </c>
      <c r="AU2125" s="86" t="str">
        <f>+IF($AG2125=AU$22,MONTH($D2125),"")</f>
        <v/>
      </c>
      <c r="AV2125" s="86" t="str">
        <f>+IF($AG2125=AV$22,MONTH($D2125),"")</f>
        <v/>
      </c>
      <c r="AW2125" s="86" t="str">
        <f>+IF($AG2125=AW$22,MONTH($D2125),"")</f>
        <v/>
      </c>
      <c r="AX2125" s="86" t="str">
        <f>+IF($AG2125=AX$22,MONTH($D2125),"")</f>
        <v/>
      </c>
      <c r="AY2125" s="89"/>
      <c r="AZ2125" s="89"/>
      <c r="BA2125" s="89"/>
      <c r="BB2125" s="89"/>
      <c r="BC2125" s="89"/>
      <c r="BD2125" s="89"/>
      <c r="BE2125" s="89"/>
      <c r="BF2125" s="89"/>
      <c r="BG2125" s="89"/>
      <c r="BH2125" s="89"/>
      <c r="BI2125" s="89"/>
      <c r="BJ2125" s="89"/>
      <c r="BK2125" s="89"/>
      <c r="BL2125" s="89"/>
      <c r="BM2125" s="89"/>
      <c r="BN2125" s="89"/>
      <c r="BO2125" s="89"/>
      <c r="BP2125" s="89"/>
    </row>
    <row r="2126" spans="1:68" s="56" customFormat="1" ht="13.5" hidden="1">
      <c r="A2126" s="204" t="str">
        <f>+IFERROR(VALUE(MID(AB2126,4,4)),"")</f>
        <v/>
      </c>
      <c r="B2126" s="204">
        <f>VALUE(RIGHT(C2126,LEN(C2126)-2))</f>
        <v>599</v>
      </c>
      <c r="C2126" s="74" t="s">
        <v>7311</v>
      </c>
      <c r="D2126" s="75">
        <v>42676</v>
      </c>
      <c r="E2126" s="70" t="s">
        <v>332</v>
      </c>
      <c r="F2126" s="70" t="s">
        <v>332</v>
      </c>
      <c r="G2126" s="68" t="s">
        <v>737</v>
      </c>
      <c r="H2126" s="59" t="s">
        <v>7267</v>
      </c>
      <c r="I2126" s="162" t="s">
        <v>7312</v>
      </c>
      <c r="J2126" s="162"/>
      <c r="K2126" s="68" t="s">
        <v>13</v>
      </c>
      <c r="L2126" s="69" t="s">
        <v>120</v>
      </c>
      <c r="M2126" s="71" t="s">
        <v>141</v>
      </c>
      <c r="N2126" s="69" t="e" vm="1">
        <v>#VALUE!</v>
      </c>
      <c r="O2126" s="164"/>
      <c r="P2126" s="72" t="s">
        <v>402</v>
      </c>
      <c r="Q2126" s="72"/>
      <c r="R2126" s="162"/>
      <c r="S2126" s="146"/>
      <c r="T2126" s="68" t="s">
        <v>165</v>
      </c>
      <c r="U2126" s="87"/>
      <c r="V2126" s="183">
        <v>42698</v>
      </c>
      <c r="W2126" s="73">
        <v>715</v>
      </c>
      <c r="X2126" s="73">
        <f>764*26200/1000000</f>
        <v>20.0168</v>
      </c>
      <c r="Y2126" s="83">
        <f>IF(SUM(W2126:W2126)&gt;0,X2126/SUM(W2126:W2126)*1000000,"N/A")</f>
        <v>27995.524475524475</v>
      </c>
      <c r="Z2126" s="183"/>
      <c r="AA2126" s="183"/>
      <c r="AB2126" s="223"/>
      <c r="AC2126" s="153"/>
      <c r="AD2126" s="331"/>
      <c r="AE2126" s="57"/>
      <c r="AF2126" s="88"/>
      <c r="AG2126" s="182">
        <f>YEAR(D2126)</f>
        <v>2016</v>
      </c>
      <c r="AH2126" s="86" t="str">
        <f>+IF(AE2126=$AJ$22,MONTH(T2126),"")</f>
        <v/>
      </c>
      <c r="AI2126" s="86" t="str">
        <f>+IF(AF2126=$AJ$22,MONTH(U2126),"")</f>
        <v/>
      </c>
      <c r="AJ2126" s="86" t="str">
        <f>+IF(AG2126=$AJ$22,MONTH(V2126),"")</f>
        <v/>
      </c>
      <c r="AK2126" s="86" t="str">
        <f>+IF(AG2126=$AK$22,MONTH(V2126),"")</f>
        <v/>
      </c>
      <c r="AL2126" s="86" t="str">
        <f>+IF(AG2126=$AL$22,MONTH(V2126),"")</f>
        <v/>
      </c>
      <c r="AM2126" s="86" t="str">
        <f>+IF($AG2126=$AM$22,MONTH($D2126),"")</f>
        <v/>
      </c>
      <c r="AN2126" s="89" t="str">
        <f>+IF($AG2126=AN$22,MONTH($D2126),"")</f>
        <v/>
      </c>
      <c r="AO2126" s="86" t="str">
        <f>+IF($AG2126=AO$22,MONTH($D2126),"")</f>
        <v/>
      </c>
      <c r="AP2126" s="86" t="str">
        <f>+IF($AG2126=AP$22,MONTH($D2126),"")</f>
        <v/>
      </c>
      <c r="AQ2126" s="86" t="str">
        <f>+IF($AG2126=AQ$22,MONTH($D2126),"")</f>
        <v/>
      </c>
      <c r="AR2126" s="86">
        <f>+IF($AG2126=AR$22,MONTH($D2126),"")</f>
        <v>11</v>
      </c>
      <c r="AS2126" s="86" t="str">
        <f>+IF($AG2126=AS$22,MONTH($D2126),"")</f>
        <v/>
      </c>
      <c r="AT2126" s="86" t="str">
        <f>+IF($AG2126=AT$22,MONTH($D2126),"")</f>
        <v/>
      </c>
      <c r="AU2126" s="86" t="str">
        <f>+IF($AG2126=AU$22,MONTH($D2126),"")</f>
        <v/>
      </c>
      <c r="AV2126" s="86" t="str">
        <f>+IF($AG2126=AV$22,MONTH($D2126),"")</f>
        <v/>
      </c>
      <c r="AW2126" s="86" t="str">
        <f>+IF($AG2126=AW$22,MONTH($D2126),"")</f>
        <v/>
      </c>
      <c r="AX2126" s="86" t="str">
        <f>+IF($AG2126=AX$22,MONTH($D2126),"")</f>
        <v/>
      </c>
      <c r="AY2126" s="89"/>
      <c r="AZ2126" s="89"/>
      <c r="BA2126" s="89"/>
      <c r="BB2126" s="89"/>
      <c r="BC2126" s="89"/>
      <c r="BD2126" s="89"/>
      <c r="BE2126" s="89"/>
      <c r="BF2126" s="89"/>
      <c r="BG2126" s="89"/>
      <c r="BH2126" s="89"/>
      <c r="BI2126" s="89"/>
      <c r="BJ2126" s="89"/>
      <c r="BK2126" s="89"/>
      <c r="BL2126" s="89"/>
      <c r="BM2126" s="89"/>
      <c r="BN2126" s="89"/>
      <c r="BO2126" s="89"/>
      <c r="BP2126" s="89"/>
    </row>
    <row r="2127" spans="1:68" s="56" customFormat="1" ht="13.5" hidden="1">
      <c r="A2127" s="204" t="str">
        <f>+IFERROR(VALUE(MID(AB2127,4,4)),"")</f>
        <v/>
      </c>
      <c r="B2127" s="204">
        <f>VALUE(RIGHT(C2127,LEN(C2127)-2))</f>
        <v>598</v>
      </c>
      <c r="C2127" s="74" t="s">
        <v>7313</v>
      </c>
      <c r="D2127" s="75">
        <v>42676</v>
      </c>
      <c r="E2127" s="70" t="s">
        <v>332</v>
      </c>
      <c r="F2127" s="70" t="s">
        <v>332</v>
      </c>
      <c r="G2127" s="68" t="s">
        <v>737</v>
      </c>
      <c r="H2127" s="59" t="s">
        <v>7267</v>
      </c>
      <c r="I2127" s="162" t="s">
        <v>7314</v>
      </c>
      <c r="J2127" s="162"/>
      <c r="K2127" s="68" t="s">
        <v>13</v>
      </c>
      <c r="L2127" s="69" t="s">
        <v>120</v>
      </c>
      <c r="M2127" s="71" t="s">
        <v>141</v>
      </c>
      <c r="N2127" s="69" t="e" vm="1">
        <v>#VALUE!</v>
      </c>
      <c r="O2127" s="164"/>
      <c r="P2127" s="72" t="s">
        <v>402</v>
      </c>
      <c r="Q2127" s="72"/>
      <c r="R2127" s="162"/>
      <c r="S2127" s="146" t="s">
        <v>7296</v>
      </c>
      <c r="T2127" s="68" t="s">
        <v>155</v>
      </c>
      <c r="U2127" s="87"/>
      <c r="V2127" s="183">
        <v>42698</v>
      </c>
      <c r="W2127" s="73"/>
      <c r="X2127" s="73"/>
      <c r="Y2127" s="83"/>
      <c r="Z2127" s="183"/>
      <c r="AA2127" s="183"/>
      <c r="AB2127" s="223"/>
      <c r="AC2127" s="153"/>
      <c r="AD2127" s="331"/>
      <c r="AE2127" s="57"/>
      <c r="AF2127" s="88"/>
      <c r="AG2127" s="182">
        <f>YEAR(D2127)</f>
        <v>2016</v>
      </c>
      <c r="AH2127" s="86" t="str">
        <f>+IF(AE2127=$AJ$22,MONTH(T2127),"")</f>
        <v/>
      </c>
      <c r="AI2127" s="86" t="str">
        <f>+IF(AF2127=$AJ$22,MONTH(U2127),"")</f>
        <v/>
      </c>
      <c r="AJ2127" s="86" t="str">
        <f>+IF(AG2127=$AJ$22,MONTH(V2127),"")</f>
        <v/>
      </c>
      <c r="AK2127" s="86" t="str">
        <f>+IF(AG2127=$AK$22,MONTH(V2127),"")</f>
        <v/>
      </c>
      <c r="AL2127" s="86" t="str">
        <f>+IF(AG2127=$AL$22,MONTH(V2127),"")</f>
        <v/>
      </c>
      <c r="AM2127" s="86" t="str">
        <f>+IF($AG2127=$AM$22,MONTH($D2127),"")</f>
        <v/>
      </c>
      <c r="AN2127" s="89" t="str">
        <f>+IF($AG2127=AN$22,MONTH($D2127),"")</f>
        <v/>
      </c>
      <c r="AO2127" s="86" t="str">
        <f>+IF($AG2127=AO$22,MONTH($D2127),"")</f>
        <v/>
      </c>
      <c r="AP2127" s="86" t="str">
        <f>+IF($AG2127=AP$22,MONTH($D2127),"")</f>
        <v/>
      </c>
      <c r="AQ2127" s="86" t="str">
        <f>+IF($AG2127=AQ$22,MONTH($D2127),"")</f>
        <v/>
      </c>
      <c r="AR2127" s="86">
        <f>+IF($AG2127=AR$22,MONTH($D2127),"")</f>
        <v>11</v>
      </c>
      <c r="AS2127" s="86" t="str">
        <f>+IF($AG2127=AS$22,MONTH($D2127),"")</f>
        <v/>
      </c>
      <c r="AT2127" s="86" t="str">
        <f>+IF($AG2127=AT$22,MONTH($D2127),"")</f>
        <v/>
      </c>
      <c r="AU2127" s="86" t="str">
        <f>+IF($AG2127=AU$22,MONTH($D2127),"")</f>
        <v/>
      </c>
      <c r="AV2127" s="86" t="str">
        <f>+IF($AG2127=AV$22,MONTH($D2127),"")</f>
        <v/>
      </c>
      <c r="AW2127" s="86" t="str">
        <f>+IF($AG2127=AW$22,MONTH($D2127),"")</f>
        <v/>
      </c>
      <c r="AX2127" s="86" t="str">
        <f>+IF($AG2127=AX$22,MONTH($D2127),"")</f>
        <v/>
      </c>
      <c r="AY2127" s="89"/>
      <c r="AZ2127" s="89"/>
      <c r="BA2127" s="89"/>
      <c r="BB2127" s="89"/>
      <c r="BC2127" s="89"/>
      <c r="BD2127" s="89"/>
      <c r="BE2127" s="89"/>
      <c r="BF2127" s="89"/>
      <c r="BG2127" s="89"/>
      <c r="BH2127" s="89"/>
      <c r="BI2127" s="89"/>
      <c r="BJ2127" s="89"/>
      <c r="BK2127" s="89"/>
      <c r="BL2127" s="89"/>
      <c r="BM2127" s="89"/>
      <c r="BN2127" s="89"/>
      <c r="BO2127" s="89"/>
      <c r="BP2127" s="89"/>
    </row>
    <row r="2128" spans="1:68" s="56" customFormat="1" ht="27" hidden="1">
      <c r="A2128" s="204">
        <f>+IFERROR(VALUE(MID(AB2128,4,4)),"")</f>
        <v>113</v>
      </c>
      <c r="B2128" s="204">
        <f>VALUE(RIGHT(C2128,LEN(C2128)-2))</f>
        <v>597</v>
      </c>
      <c r="C2128" s="74" t="s">
        <v>7315</v>
      </c>
      <c r="D2128" s="75">
        <v>42676</v>
      </c>
      <c r="E2128" s="70" t="s">
        <v>332</v>
      </c>
      <c r="F2128" s="70" t="s">
        <v>332</v>
      </c>
      <c r="G2128" s="68" t="s">
        <v>737</v>
      </c>
      <c r="H2128" s="59" t="s">
        <v>7267</v>
      </c>
      <c r="I2128" s="162" t="s">
        <v>7316</v>
      </c>
      <c r="J2128" s="162"/>
      <c r="K2128" s="68" t="s">
        <v>13</v>
      </c>
      <c r="L2128" s="69" t="s">
        <v>120</v>
      </c>
      <c r="M2128" s="71" t="s">
        <v>141</v>
      </c>
      <c r="N2128" s="69" t="e" vm="1">
        <v>#VALUE!</v>
      </c>
      <c r="O2128" s="164">
        <v>42676</v>
      </c>
      <c r="P2128" s="72" t="s">
        <v>402</v>
      </c>
      <c r="Q2128" s="72"/>
      <c r="R2128" s="162"/>
      <c r="S2128" s="146"/>
      <c r="T2128" s="68" t="s">
        <v>3</v>
      </c>
      <c r="U2128" s="87"/>
      <c r="V2128" s="183">
        <v>42676</v>
      </c>
      <c r="W2128" s="73">
        <v>1000</v>
      </c>
      <c r="X2128" s="73">
        <f>1092*26200/1000000</f>
        <v>28.610399999999998</v>
      </c>
      <c r="Y2128" s="83">
        <f>IF(SUM(W2128:W2128)&gt;0,X2128/SUM(W2128:W2128)*1000000,"N/A")</f>
        <v>28610.399999999998</v>
      </c>
      <c r="Z2128" s="183"/>
      <c r="AA2128" s="183"/>
      <c r="AB2128" s="223" t="s">
        <v>7317</v>
      </c>
      <c r="AC2128" s="153"/>
      <c r="AD2128" s="331"/>
      <c r="AE2128" s="57"/>
      <c r="AF2128" s="88"/>
      <c r="AG2128" s="182">
        <f>YEAR(D2128)</f>
        <v>2016</v>
      </c>
      <c r="AH2128" s="86" t="str">
        <f>+IF(AE2128=$AJ$22,MONTH(T2128),"")</f>
        <v/>
      </c>
      <c r="AI2128" s="86" t="str">
        <f>+IF(AF2128=$AJ$22,MONTH(U2128),"")</f>
        <v/>
      </c>
      <c r="AJ2128" s="86" t="str">
        <f>+IF(AG2128=$AJ$22,MONTH(V2128),"")</f>
        <v/>
      </c>
      <c r="AK2128" s="86" t="str">
        <f>+IF(AG2128=$AK$22,MONTH(V2128),"")</f>
        <v/>
      </c>
      <c r="AL2128" s="86" t="str">
        <f>+IF(AG2128=$AL$22,MONTH(V2128),"")</f>
        <v/>
      </c>
      <c r="AM2128" s="86" t="str">
        <f>+IF($AG2128=$AM$22,MONTH($D2128),"")</f>
        <v/>
      </c>
      <c r="AN2128" s="89" t="str">
        <f>+IF($AG2128=AN$22,MONTH($D2128),"")</f>
        <v/>
      </c>
      <c r="AO2128" s="86" t="str">
        <f>+IF($AG2128=AO$22,MONTH($D2128),"")</f>
        <v/>
      </c>
      <c r="AP2128" s="86" t="str">
        <f>+IF($AG2128=AP$22,MONTH($D2128),"")</f>
        <v/>
      </c>
      <c r="AQ2128" s="86" t="str">
        <f>+IF($AG2128=AQ$22,MONTH($D2128),"")</f>
        <v/>
      </c>
      <c r="AR2128" s="86">
        <f>+IF($AG2128=AR$22,MONTH($D2128),"")</f>
        <v>11</v>
      </c>
      <c r="AS2128" s="86" t="str">
        <f>+IF($AG2128=AS$22,MONTH($D2128),"")</f>
        <v/>
      </c>
      <c r="AT2128" s="86" t="str">
        <f>+IF($AG2128=AT$22,MONTH($D2128),"")</f>
        <v/>
      </c>
      <c r="AU2128" s="86" t="str">
        <f>+IF($AG2128=AU$22,MONTH($D2128),"")</f>
        <v/>
      </c>
      <c r="AV2128" s="86" t="str">
        <f>+IF($AG2128=AV$22,MONTH($D2128),"")</f>
        <v/>
      </c>
      <c r="AW2128" s="86" t="str">
        <f>+IF($AG2128=AW$22,MONTH($D2128),"")</f>
        <v/>
      </c>
      <c r="AX2128" s="86" t="str">
        <f>+IF($AG2128=AX$22,MONTH($D2128),"")</f>
        <v/>
      </c>
      <c r="AY2128" s="89"/>
      <c r="AZ2128" s="89"/>
      <c r="BA2128" s="89"/>
      <c r="BB2128" s="89"/>
      <c r="BC2128" s="89"/>
      <c r="BD2128" s="89"/>
      <c r="BE2128" s="89"/>
      <c r="BF2128" s="89"/>
      <c r="BG2128" s="89"/>
      <c r="BH2128" s="89"/>
      <c r="BI2128" s="89"/>
      <c r="BJ2128" s="89"/>
      <c r="BK2128" s="89"/>
      <c r="BL2128" s="89"/>
      <c r="BM2128" s="89"/>
      <c r="BN2128" s="89"/>
      <c r="BO2128" s="89"/>
      <c r="BP2128" s="89"/>
    </row>
    <row r="2129" spans="1:68" s="56" customFormat="1" ht="13.5" hidden="1">
      <c r="A2129" s="204" t="str">
        <f>+IFERROR(VALUE(MID(AB2129,4,4)),"")</f>
        <v/>
      </c>
      <c r="B2129" s="204">
        <f>VALUE(RIGHT(C2129,LEN(C2129)-2))</f>
        <v>596</v>
      </c>
      <c r="C2129" s="74" t="s">
        <v>7318</v>
      </c>
      <c r="D2129" s="75">
        <v>42676</v>
      </c>
      <c r="E2129" s="70" t="s">
        <v>5369</v>
      </c>
      <c r="F2129" s="70" t="s">
        <v>5369</v>
      </c>
      <c r="G2129" s="68"/>
      <c r="H2129" s="59"/>
      <c r="I2129" s="162" t="s">
        <v>7319</v>
      </c>
      <c r="J2129" s="162"/>
      <c r="K2129" s="68" t="s">
        <v>13</v>
      </c>
      <c r="L2129" s="69" t="s">
        <v>123</v>
      </c>
      <c r="M2129" s="71" t="s">
        <v>141</v>
      </c>
      <c r="N2129" s="69" t="e" vm="1">
        <v>#VALUE!</v>
      </c>
      <c r="O2129" s="164"/>
      <c r="P2129" s="72" t="s">
        <v>4567</v>
      </c>
      <c r="Q2129" s="72"/>
      <c r="R2129" s="162"/>
      <c r="S2129" s="146" t="s">
        <v>7296</v>
      </c>
      <c r="T2129" s="68" t="s">
        <v>155</v>
      </c>
      <c r="U2129" s="87"/>
      <c r="V2129" s="183">
        <v>42698</v>
      </c>
      <c r="W2129" s="73"/>
      <c r="X2129" s="73"/>
      <c r="Y2129" s="83"/>
      <c r="Z2129" s="183"/>
      <c r="AA2129" s="183"/>
      <c r="AB2129" s="223"/>
      <c r="AC2129" s="153"/>
      <c r="AD2129" s="331"/>
      <c r="AE2129" s="57"/>
      <c r="AF2129" s="88"/>
      <c r="AG2129" s="182">
        <f>YEAR(D2129)</f>
        <v>2016</v>
      </c>
      <c r="AH2129" s="86" t="str">
        <f>+IF(AE2129=$AJ$22,MONTH(T2129),"")</f>
        <v/>
      </c>
      <c r="AI2129" s="86" t="str">
        <f>+IF(AF2129=$AJ$22,MONTH(U2129),"")</f>
        <v/>
      </c>
      <c r="AJ2129" s="86" t="str">
        <f>+IF(AG2129=$AJ$22,MONTH(V2129),"")</f>
        <v/>
      </c>
      <c r="AK2129" s="86" t="str">
        <f>+IF(AG2129=$AK$22,MONTH(V2129),"")</f>
        <v/>
      </c>
      <c r="AL2129" s="86" t="str">
        <f>+IF(AG2129=$AL$22,MONTH(V2129),"")</f>
        <v/>
      </c>
      <c r="AM2129" s="86" t="str">
        <f>+IF($AG2129=$AM$22,MONTH($D2129),"")</f>
        <v/>
      </c>
      <c r="AN2129" s="89" t="str">
        <f>+IF($AG2129=AN$22,MONTH($D2129),"")</f>
        <v/>
      </c>
      <c r="AO2129" s="86" t="str">
        <f>+IF($AG2129=AO$22,MONTH($D2129),"")</f>
        <v/>
      </c>
      <c r="AP2129" s="86" t="str">
        <f>+IF($AG2129=AP$22,MONTH($D2129),"")</f>
        <v/>
      </c>
      <c r="AQ2129" s="86" t="str">
        <f>+IF($AG2129=AQ$22,MONTH($D2129),"")</f>
        <v/>
      </c>
      <c r="AR2129" s="86">
        <f>+IF($AG2129=AR$22,MONTH($D2129),"")</f>
        <v>11</v>
      </c>
      <c r="AS2129" s="86" t="str">
        <f>+IF($AG2129=AS$22,MONTH($D2129),"")</f>
        <v/>
      </c>
      <c r="AT2129" s="86" t="str">
        <f>+IF($AG2129=AT$22,MONTH($D2129),"")</f>
        <v/>
      </c>
      <c r="AU2129" s="86" t="str">
        <f>+IF($AG2129=AU$22,MONTH($D2129),"")</f>
        <v/>
      </c>
      <c r="AV2129" s="86" t="str">
        <f>+IF($AG2129=AV$22,MONTH($D2129),"")</f>
        <v/>
      </c>
      <c r="AW2129" s="86" t="str">
        <f>+IF($AG2129=AW$22,MONTH($D2129),"")</f>
        <v/>
      </c>
      <c r="AX2129" s="86" t="str">
        <f>+IF($AG2129=AX$22,MONTH($D2129),"")</f>
        <v/>
      </c>
      <c r="AY2129" s="89"/>
      <c r="AZ2129" s="89"/>
      <c r="BA2129" s="89"/>
      <c r="BB2129" s="89"/>
      <c r="BC2129" s="89"/>
      <c r="BD2129" s="89"/>
      <c r="BE2129" s="89"/>
      <c r="BF2129" s="89"/>
      <c r="BG2129" s="89"/>
      <c r="BH2129" s="89"/>
      <c r="BI2129" s="89"/>
      <c r="BJ2129" s="89"/>
      <c r="BK2129" s="89"/>
      <c r="BL2129" s="89"/>
      <c r="BM2129" s="89"/>
      <c r="BN2129" s="89"/>
      <c r="BO2129" s="89"/>
      <c r="BP2129" s="89"/>
    </row>
    <row r="2130" spans="1:68" s="56" customFormat="1" ht="27" hidden="1">
      <c r="A2130" s="204" t="str">
        <f>+IFERROR(VALUE(MID(AB2130,4,4)),"")</f>
        <v/>
      </c>
      <c r="B2130" s="204">
        <f>VALUE(RIGHT(C2130,LEN(C2130)-2))</f>
        <v>595</v>
      </c>
      <c r="C2130" s="74" t="s">
        <v>7320</v>
      </c>
      <c r="D2130" s="75">
        <v>42685</v>
      </c>
      <c r="E2130" s="70" t="s">
        <v>685</v>
      </c>
      <c r="F2130" s="70" t="s">
        <v>685</v>
      </c>
      <c r="G2130" s="68" t="s">
        <v>7321</v>
      </c>
      <c r="H2130" s="59"/>
      <c r="I2130" s="162" t="s">
        <v>7322</v>
      </c>
      <c r="J2130" s="162"/>
      <c r="K2130" s="68" t="s">
        <v>30</v>
      </c>
      <c r="L2130" s="69" t="s">
        <v>123</v>
      </c>
      <c r="M2130" s="71" t="s">
        <v>141</v>
      </c>
      <c r="N2130" s="69" t="e" vm="1">
        <v>#VALUE!</v>
      </c>
      <c r="O2130" s="164">
        <v>42689</v>
      </c>
      <c r="P2130" s="72" t="s">
        <v>4567</v>
      </c>
      <c r="Q2130" s="72"/>
      <c r="R2130" s="162"/>
      <c r="S2130" s="146" t="s">
        <v>7323</v>
      </c>
      <c r="T2130" s="68" t="s">
        <v>165</v>
      </c>
      <c r="U2130" s="87">
        <v>0.3</v>
      </c>
      <c r="V2130" s="183">
        <v>42886</v>
      </c>
      <c r="W2130" s="73">
        <v>1405</v>
      </c>
      <c r="X2130" s="73">
        <f>1896*26200/1000000</f>
        <v>49.675199999999997</v>
      </c>
      <c r="Y2130" s="83">
        <f>IF(SUM(W2130:W2130)&gt;0,X2130/SUM(W2130:W2130)*1000000,"N/A")</f>
        <v>35356.014234875445</v>
      </c>
      <c r="Z2130" s="183"/>
      <c r="AA2130" s="183"/>
      <c r="AB2130" s="223"/>
      <c r="AC2130" s="153"/>
      <c r="AD2130" s="331"/>
      <c r="AE2130" s="57"/>
      <c r="AF2130" s="88"/>
      <c r="AG2130" s="182">
        <f>YEAR(D2130)</f>
        <v>2016</v>
      </c>
      <c r="AH2130" s="86" t="str">
        <f>+IF(AE2130=$AJ$22,MONTH(T2130),"")</f>
        <v/>
      </c>
      <c r="AI2130" s="86" t="str">
        <f>+IF(AF2130=$AJ$22,MONTH(U2130),"")</f>
        <v/>
      </c>
      <c r="AJ2130" s="86" t="str">
        <f>+IF(AG2130=$AJ$22,MONTH(V2130),"")</f>
        <v/>
      </c>
      <c r="AK2130" s="86" t="str">
        <f>+IF(AG2130=$AK$22,MONTH(V2130),"")</f>
        <v/>
      </c>
      <c r="AL2130" s="86" t="str">
        <f>+IF(AG2130=$AL$22,MONTH(V2130),"")</f>
        <v/>
      </c>
      <c r="AM2130" s="86" t="str">
        <f>+IF($AG2130=$AM$22,MONTH($D2130),"")</f>
        <v/>
      </c>
      <c r="AN2130" s="89" t="str">
        <f>+IF($AG2130=AN$22,MONTH($D2130),"")</f>
        <v/>
      </c>
      <c r="AO2130" s="86" t="str">
        <f>+IF($AG2130=AO$22,MONTH($D2130),"")</f>
        <v/>
      </c>
      <c r="AP2130" s="86" t="str">
        <f>+IF($AG2130=AP$22,MONTH($D2130),"")</f>
        <v/>
      </c>
      <c r="AQ2130" s="86" t="str">
        <f>+IF($AG2130=AQ$22,MONTH($D2130),"")</f>
        <v/>
      </c>
      <c r="AR2130" s="86">
        <f>+IF($AG2130=AR$22,MONTH($D2130),"")</f>
        <v>11</v>
      </c>
      <c r="AS2130" s="86" t="str">
        <f>+IF($AG2130=AS$22,MONTH($D2130),"")</f>
        <v/>
      </c>
      <c r="AT2130" s="86" t="str">
        <f>+IF($AG2130=AT$22,MONTH($D2130),"")</f>
        <v/>
      </c>
      <c r="AU2130" s="86" t="str">
        <f>+IF($AG2130=AU$22,MONTH($D2130),"")</f>
        <v/>
      </c>
      <c r="AV2130" s="86" t="str">
        <f>+IF($AG2130=AV$22,MONTH($D2130),"")</f>
        <v/>
      </c>
      <c r="AW2130" s="86" t="str">
        <f>+IF($AG2130=AW$22,MONTH($D2130),"")</f>
        <v/>
      </c>
      <c r="AX2130" s="86" t="str">
        <f>+IF($AG2130=AX$22,MONTH($D2130),"")</f>
        <v/>
      </c>
      <c r="AY2130" s="89"/>
      <c r="AZ2130" s="89"/>
      <c r="BA2130" s="89"/>
      <c r="BB2130" s="89"/>
      <c r="BC2130" s="89"/>
      <c r="BD2130" s="89"/>
      <c r="BE2130" s="89"/>
      <c r="BF2130" s="89"/>
      <c r="BG2130" s="89"/>
      <c r="BH2130" s="89"/>
      <c r="BI2130" s="89"/>
      <c r="BJ2130" s="89"/>
      <c r="BK2130" s="89"/>
      <c r="BL2130" s="89"/>
      <c r="BM2130" s="89"/>
      <c r="BN2130" s="89"/>
      <c r="BO2130" s="89"/>
      <c r="BP2130" s="89"/>
    </row>
    <row r="2131" spans="1:68" s="56" customFormat="1" ht="27" hidden="1">
      <c r="A2131" s="204" t="str">
        <f>+IFERROR(VALUE(MID(AB2131,4,4)),"")</f>
        <v/>
      </c>
      <c r="B2131" s="204">
        <f>VALUE(RIGHT(C2131,LEN(C2131)-2))</f>
        <v>594</v>
      </c>
      <c r="C2131" s="74" t="s">
        <v>7324</v>
      </c>
      <c r="D2131" s="75">
        <v>42664</v>
      </c>
      <c r="E2131" s="70" t="s">
        <v>7325</v>
      </c>
      <c r="F2131" s="70" t="s">
        <v>7326</v>
      </c>
      <c r="G2131" s="68" t="s">
        <v>7327</v>
      </c>
      <c r="H2131" s="59" t="s">
        <v>7328</v>
      </c>
      <c r="I2131" s="162" t="s">
        <v>7329</v>
      </c>
      <c r="J2131" s="162"/>
      <c r="K2131" s="68" t="s">
        <v>13</v>
      </c>
      <c r="L2131" s="69" t="s">
        <v>123</v>
      </c>
      <c r="M2131" s="71" t="s">
        <v>141</v>
      </c>
      <c r="N2131" s="69" t="e" vm="1">
        <v>#VALUE!</v>
      </c>
      <c r="O2131" s="164">
        <v>42664</v>
      </c>
      <c r="P2131" s="72" t="s">
        <v>7256</v>
      </c>
      <c r="Q2131" s="72"/>
      <c r="R2131" s="162"/>
      <c r="S2131" s="146"/>
      <c r="T2131" s="68" t="s">
        <v>165</v>
      </c>
      <c r="U2131" s="87">
        <v>0.01</v>
      </c>
      <c r="V2131" s="183">
        <v>42667</v>
      </c>
      <c r="W2131" s="73">
        <v>20976</v>
      </c>
      <c r="X2131" s="73">
        <f>29436*24600/1000000</f>
        <v>724.12559999999996</v>
      </c>
      <c r="Y2131" s="83">
        <f>IF(SUM(W2131:W2131)&gt;0,X2131/SUM(W2131:W2131)*1000000,"N/A")</f>
        <v>34521.624713958809</v>
      </c>
      <c r="Z2131" s="183"/>
      <c r="AA2131" s="183"/>
      <c r="AB2131" s="223"/>
      <c r="AC2131" s="153"/>
      <c r="AD2131" s="331"/>
      <c r="AE2131" s="57"/>
      <c r="AF2131" s="88"/>
      <c r="AG2131" s="182">
        <f>YEAR(D2131)</f>
        <v>2016</v>
      </c>
      <c r="AH2131" s="86" t="str">
        <f>+IF(AE2131=$AJ$22,MONTH(T2131),"")</f>
        <v/>
      </c>
      <c r="AI2131" s="86" t="str">
        <f>+IF(AF2131=$AJ$22,MONTH(U2131),"")</f>
        <v/>
      </c>
      <c r="AJ2131" s="86" t="str">
        <f>+IF(AG2131=$AJ$22,MONTH(V2131),"")</f>
        <v/>
      </c>
      <c r="AK2131" s="86" t="str">
        <f>+IF(AG2131=$AK$22,MONTH(V2131),"")</f>
        <v/>
      </c>
      <c r="AL2131" s="86" t="str">
        <f>+IF(AG2131=$AL$22,MONTH(V2131),"")</f>
        <v/>
      </c>
      <c r="AM2131" s="86" t="str">
        <f>+IF($AG2131=$AM$22,MONTH($D2131),"")</f>
        <v/>
      </c>
      <c r="AN2131" s="89" t="str">
        <f>+IF($AG2131=AN$22,MONTH($D2131),"")</f>
        <v/>
      </c>
      <c r="AO2131" s="86" t="str">
        <f>+IF($AG2131=AO$22,MONTH($D2131),"")</f>
        <v/>
      </c>
      <c r="AP2131" s="86" t="str">
        <f>+IF($AG2131=AP$22,MONTH($D2131),"")</f>
        <v/>
      </c>
      <c r="AQ2131" s="86" t="str">
        <f>+IF($AG2131=AQ$22,MONTH($D2131),"")</f>
        <v/>
      </c>
      <c r="AR2131" s="86">
        <f>+IF($AG2131=AR$22,MONTH($D2131),"")</f>
        <v>10</v>
      </c>
      <c r="AS2131" s="86" t="str">
        <f>+IF($AG2131=AS$22,MONTH($D2131),"")</f>
        <v/>
      </c>
      <c r="AT2131" s="86" t="str">
        <f>+IF($AG2131=AT$22,MONTH($D2131),"")</f>
        <v/>
      </c>
      <c r="AU2131" s="86" t="str">
        <f>+IF($AG2131=AU$22,MONTH($D2131),"")</f>
        <v/>
      </c>
      <c r="AV2131" s="86" t="str">
        <f>+IF($AG2131=AV$22,MONTH($D2131),"")</f>
        <v/>
      </c>
      <c r="AW2131" s="86" t="str">
        <f>+IF($AG2131=AW$22,MONTH($D2131),"")</f>
        <v/>
      </c>
      <c r="AX2131" s="86" t="str">
        <f>+IF($AG2131=AX$22,MONTH($D2131),"")</f>
        <v/>
      </c>
      <c r="AY2131" s="89"/>
      <c r="AZ2131" s="89"/>
      <c r="BA2131" s="89"/>
      <c r="BB2131" s="89"/>
      <c r="BC2131" s="89"/>
      <c r="BD2131" s="89"/>
      <c r="BE2131" s="89"/>
      <c r="BF2131" s="89"/>
      <c r="BG2131" s="89"/>
      <c r="BH2131" s="89"/>
      <c r="BI2131" s="89"/>
      <c r="BJ2131" s="89"/>
      <c r="BK2131" s="89"/>
      <c r="BL2131" s="89"/>
      <c r="BM2131" s="89"/>
      <c r="BN2131" s="89"/>
      <c r="BO2131" s="89"/>
      <c r="BP2131" s="89"/>
    </row>
    <row r="2132" spans="1:68" s="56" customFormat="1" ht="13.5" hidden="1">
      <c r="A2132" s="204">
        <f>+IFERROR(VALUE(MID(AB2132,4,4)),"")</f>
        <v>147</v>
      </c>
      <c r="B2132" s="204">
        <f>VALUE(RIGHT(C2132,LEN(C2132)-2))</f>
        <v>593</v>
      </c>
      <c r="C2132" s="74" t="s">
        <v>7330</v>
      </c>
      <c r="D2132" s="75">
        <v>42660</v>
      </c>
      <c r="E2132" s="70" t="s">
        <v>81</v>
      </c>
      <c r="F2132" s="70" t="s">
        <v>3351</v>
      </c>
      <c r="G2132" s="68" t="s">
        <v>6801</v>
      </c>
      <c r="H2132" s="59" t="s">
        <v>7331</v>
      </c>
      <c r="I2132" s="162" t="s">
        <v>7332</v>
      </c>
      <c r="J2132" s="162"/>
      <c r="K2132" s="68" t="s">
        <v>13</v>
      </c>
      <c r="L2132" s="69" t="s">
        <v>120</v>
      </c>
      <c r="M2132" s="71" t="s">
        <v>113</v>
      </c>
      <c r="N2132" s="69" t="e" vm="4">
        <v>#VALUE!</v>
      </c>
      <c r="O2132" s="164">
        <v>42660</v>
      </c>
      <c r="P2132" s="72" t="s">
        <v>402</v>
      </c>
      <c r="Q2132" s="72"/>
      <c r="R2132" s="162"/>
      <c r="S2132" s="146"/>
      <c r="T2132" s="68" t="s">
        <v>3</v>
      </c>
      <c r="U2132" s="87"/>
      <c r="V2132" s="183">
        <v>42667</v>
      </c>
      <c r="W2132" s="73">
        <v>820</v>
      </c>
      <c r="X2132" s="73">
        <f>49689*620/1000000</f>
        <v>30.807179999999999</v>
      </c>
      <c r="Y2132" s="83">
        <f>IF(SUM(W2132:W2132)&gt;0,X2132/SUM(W2132:W2132)*1000000,"N/A")</f>
        <v>37569.731707317078</v>
      </c>
      <c r="Z2132" s="183"/>
      <c r="AA2132" s="183"/>
      <c r="AB2132" s="223" t="s">
        <v>7234</v>
      </c>
      <c r="AC2132" s="153"/>
      <c r="AD2132" s="331"/>
      <c r="AE2132" s="57"/>
      <c r="AF2132" s="88"/>
      <c r="AG2132" s="182">
        <f>YEAR(D2132)</f>
        <v>2016</v>
      </c>
      <c r="AH2132" s="86" t="str">
        <f>+IF(AE2132=$AJ$22,MONTH(T2132),"")</f>
        <v/>
      </c>
      <c r="AI2132" s="86" t="str">
        <f>+IF(AF2132=$AJ$22,MONTH(U2132),"")</f>
        <v/>
      </c>
      <c r="AJ2132" s="86" t="str">
        <f>+IF(AG2132=$AJ$22,MONTH(V2132),"")</f>
        <v/>
      </c>
      <c r="AK2132" s="86" t="str">
        <f>+IF(AG2132=$AK$22,MONTH(V2132),"")</f>
        <v/>
      </c>
      <c r="AL2132" s="86" t="str">
        <f>+IF(AG2132=$AL$22,MONTH(V2132),"")</f>
        <v/>
      </c>
      <c r="AM2132" s="86" t="str">
        <f>+IF($AG2132=$AM$22,MONTH($D2132),"")</f>
        <v/>
      </c>
      <c r="AN2132" s="89" t="str">
        <f>+IF($AG2132=AN$22,MONTH($D2132),"")</f>
        <v/>
      </c>
      <c r="AO2132" s="86" t="str">
        <f>+IF($AG2132=AO$22,MONTH($D2132),"")</f>
        <v/>
      </c>
      <c r="AP2132" s="86" t="str">
        <f>+IF($AG2132=AP$22,MONTH($D2132),"")</f>
        <v/>
      </c>
      <c r="AQ2132" s="86" t="str">
        <f>+IF($AG2132=AQ$22,MONTH($D2132),"")</f>
        <v/>
      </c>
      <c r="AR2132" s="86">
        <f>+IF($AG2132=AR$22,MONTH($D2132),"")</f>
        <v>10</v>
      </c>
      <c r="AS2132" s="86" t="str">
        <f>+IF($AG2132=AS$22,MONTH($D2132),"")</f>
        <v/>
      </c>
      <c r="AT2132" s="86" t="str">
        <f>+IF($AG2132=AT$22,MONTH($D2132),"")</f>
        <v/>
      </c>
      <c r="AU2132" s="86" t="str">
        <f>+IF($AG2132=AU$22,MONTH($D2132),"")</f>
        <v/>
      </c>
      <c r="AV2132" s="86" t="str">
        <f>+IF($AG2132=AV$22,MONTH($D2132),"")</f>
        <v/>
      </c>
      <c r="AW2132" s="86" t="str">
        <f>+IF($AG2132=AW$22,MONTH($D2132),"")</f>
        <v/>
      </c>
      <c r="AX2132" s="86" t="str">
        <f>+IF($AG2132=AX$22,MONTH($D2132),"")</f>
        <v/>
      </c>
      <c r="AY2132" s="89"/>
      <c r="AZ2132" s="89"/>
      <c r="BA2132" s="89"/>
      <c r="BB2132" s="89"/>
      <c r="BC2132" s="89"/>
      <c r="BD2132" s="89"/>
      <c r="BE2132" s="89"/>
      <c r="BF2132" s="89"/>
      <c r="BG2132" s="89"/>
      <c r="BH2132" s="89"/>
      <c r="BI2132" s="89"/>
      <c r="BJ2132" s="89"/>
      <c r="BK2132" s="89"/>
      <c r="BL2132" s="89"/>
      <c r="BM2132" s="89"/>
      <c r="BN2132" s="89"/>
      <c r="BO2132" s="89"/>
      <c r="BP2132" s="89"/>
    </row>
    <row r="2133" spans="1:68" s="56" customFormat="1" ht="13.5" hidden="1">
      <c r="A2133" s="204">
        <f>+IFERROR(VALUE(MID(AB2133,4,4)),"")</f>
        <v>151</v>
      </c>
      <c r="B2133" s="204">
        <f>VALUE(RIGHT(C2133,LEN(C2133)-2))</f>
        <v>592</v>
      </c>
      <c r="C2133" s="74" t="s">
        <v>7333</v>
      </c>
      <c r="D2133" s="75">
        <v>42655</v>
      </c>
      <c r="E2133" s="70" t="s">
        <v>81</v>
      </c>
      <c r="F2133" s="70" t="s">
        <v>3351</v>
      </c>
      <c r="G2133" s="68" t="s">
        <v>7079</v>
      </c>
      <c r="H2133" s="59" t="s">
        <v>7080</v>
      </c>
      <c r="I2133" s="162" t="s">
        <v>7334</v>
      </c>
      <c r="J2133" s="162"/>
      <c r="K2133" s="68" t="s">
        <v>30</v>
      </c>
      <c r="L2133" s="69" t="s">
        <v>120</v>
      </c>
      <c r="M2133" s="71" t="s">
        <v>113</v>
      </c>
      <c r="N2133" s="69" t="e" vm="4">
        <v>#VALUE!</v>
      </c>
      <c r="O2133" s="164">
        <v>42655</v>
      </c>
      <c r="P2133" s="72" t="s">
        <v>402</v>
      </c>
      <c r="Q2133" s="72"/>
      <c r="R2133" s="162"/>
      <c r="S2133" s="146"/>
      <c r="T2133" s="68" t="s">
        <v>3</v>
      </c>
      <c r="U2133" s="87"/>
      <c r="V2133" s="183">
        <v>42667</v>
      </c>
      <c r="W2133" s="73">
        <v>558</v>
      </c>
      <c r="X2133" s="73">
        <f>32390*620/1000000</f>
        <v>20.081800000000001</v>
      </c>
      <c r="Y2133" s="83">
        <f>IF(SUM(W2133:W2133)&gt;0,X2133/SUM(W2133:W2133)*1000000,"N/A")</f>
        <v>35988.888888888891</v>
      </c>
      <c r="Z2133" s="183"/>
      <c r="AA2133" s="183"/>
      <c r="AB2133" s="223" t="s">
        <v>7107</v>
      </c>
      <c r="AC2133" s="153"/>
      <c r="AD2133" s="331"/>
      <c r="AE2133" s="57"/>
      <c r="AF2133" s="88"/>
      <c r="AG2133" s="182">
        <f>YEAR(D2133)</f>
        <v>2016</v>
      </c>
      <c r="AH2133" s="86" t="str">
        <f>+IF(AE2133=$AJ$22,MONTH(T2133),"")</f>
        <v/>
      </c>
      <c r="AI2133" s="86" t="str">
        <f>+IF(AF2133=$AJ$22,MONTH(U2133),"")</f>
        <v/>
      </c>
      <c r="AJ2133" s="86" t="str">
        <f>+IF(AG2133=$AJ$22,MONTH(V2133),"")</f>
        <v/>
      </c>
      <c r="AK2133" s="86" t="str">
        <f>+IF(AG2133=$AK$22,MONTH(V2133),"")</f>
        <v/>
      </c>
      <c r="AL2133" s="86" t="str">
        <f>+IF(AG2133=$AL$22,MONTH(V2133),"")</f>
        <v/>
      </c>
      <c r="AM2133" s="86" t="str">
        <f>+IF($AG2133=$AM$22,MONTH($D2133),"")</f>
        <v/>
      </c>
      <c r="AN2133" s="89" t="str">
        <f>+IF($AG2133=AN$22,MONTH($D2133),"")</f>
        <v/>
      </c>
      <c r="AO2133" s="86" t="str">
        <f>+IF($AG2133=AO$22,MONTH($D2133),"")</f>
        <v/>
      </c>
      <c r="AP2133" s="86" t="str">
        <f>+IF($AG2133=AP$22,MONTH($D2133),"")</f>
        <v/>
      </c>
      <c r="AQ2133" s="86" t="str">
        <f>+IF($AG2133=AQ$22,MONTH($D2133),"")</f>
        <v/>
      </c>
      <c r="AR2133" s="86">
        <f>+IF($AG2133=AR$22,MONTH($D2133),"")</f>
        <v>10</v>
      </c>
      <c r="AS2133" s="86" t="str">
        <f>+IF($AG2133=AS$22,MONTH($D2133),"")</f>
        <v/>
      </c>
      <c r="AT2133" s="86" t="str">
        <f>+IF($AG2133=AT$22,MONTH($D2133),"")</f>
        <v/>
      </c>
      <c r="AU2133" s="86" t="str">
        <f>+IF($AG2133=AU$22,MONTH($D2133),"")</f>
        <v/>
      </c>
      <c r="AV2133" s="86" t="str">
        <f>+IF($AG2133=AV$22,MONTH($D2133),"")</f>
        <v/>
      </c>
      <c r="AW2133" s="86" t="str">
        <f>+IF($AG2133=AW$22,MONTH($D2133),"")</f>
        <v/>
      </c>
      <c r="AX2133" s="86" t="str">
        <f>+IF($AG2133=AX$22,MONTH($D2133),"")</f>
        <v/>
      </c>
      <c r="AY2133" s="89"/>
      <c r="AZ2133" s="89"/>
      <c r="BA2133" s="89"/>
      <c r="BB2133" s="89"/>
      <c r="BC2133" s="89"/>
      <c r="BD2133" s="89"/>
      <c r="BE2133" s="89"/>
      <c r="BF2133" s="89"/>
      <c r="BG2133" s="89"/>
      <c r="BH2133" s="89"/>
      <c r="BI2133" s="89"/>
      <c r="BJ2133" s="89"/>
      <c r="BK2133" s="89"/>
      <c r="BL2133" s="89"/>
      <c r="BM2133" s="89"/>
      <c r="BN2133" s="89"/>
      <c r="BO2133" s="89"/>
      <c r="BP2133" s="89"/>
    </row>
    <row r="2134" spans="1:68" s="56" customFormat="1" ht="27" hidden="1">
      <c r="A2134" s="204" t="str">
        <f>+IFERROR(VALUE(MID(AB2134,4,4)),"")</f>
        <v/>
      </c>
      <c r="B2134" s="204">
        <f>VALUE(RIGHT(C2134,LEN(C2134)-2))</f>
        <v>591</v>
      </c>
      <c r="C2134" s="74" t="s">
        <v>7335</v>
      </c>
      <c r="D2134" s="75">
        <v>42649</v>
      </c>
      <c r="E2134" s="70" t="s">
        <v>7325</v>
      </c>
      <c r="F2134" s="70" t="s">
        <v>7325</v>
      </c>
      <c r="G2134" s="68" t="s">
        <v>7336</v>
      </c>
      <c r="H2134" s="59"/>
      <c r="I2134" s="162" t="s">
        <v>7337</v>
      </c>
      <c r="J2134" s="162"/>
      <c r="K2134" s="68" t="s">
        <v>13</v>
      </c>
      <c r="L2134" s="69" t="s">
        <v>120</v>
      </c>
      <c r="M2134" s="71" t="s">
        <v>141</v>
      </c>
      <c r="N2134" s="69" t="e" vm="1">
        <v>#VALUE!</v>
      </c>
      <c r="O2134" s="164">
        <v>42649</v>
      </c>
      <c r="P2134" s="72" t="s">
        <v>7256</v>
      </c>
      <c r="Q2134" s="72"/>
      <c r="R2134" s="162"/>
      <c r="S2134" s="146"/>
      <c r="T2134" s="68" t="s">
        <v>165</v>
      </c>
      <c r="U2134" s="87"/>
      <c r="V2134" s="183">
        <v>42667</v>
      </c>
      <c r="W2134" s="73">
        <v>366</v>
      </c>
      <c r="X2134" s="73">
        <f>11700000/1000000</f>
        <v>11.7</v>
      </c>
      <c r="Y2134" s="83">
        <f>IF(SUM(W2134:W2134)&gt;0,X2134/SUM(W2134:W2134)*1000000,"N/A")</f>
        <v>31967.213114754097</v>
      </c>
      <c r="Z2134" s="183"/>
      <c r="AA2134" s="183"/>
      <c r="AB2134" s="223"/>
      <c r="AC2134" s="153"/>
      <c r="AD2134" s="331"/>
      <c r="AE2134" s="57"/>
      <c r="AF2134" s="88"/>
      <c r="AG2134" s="182">
        <f>YEAR(D2134)</f>
        <v>2016</v>
      </c>
      <c r="AH2134" s="86" t="str">
        <f>+IF(AE2134=$AJ$22,MONTH(T2134),"")</f>
        <v/>
      </c>
      <c r="AI2134" s="86" t="str">
        <f>+IF(AF2134=$AJ$22,MONTH(U2134),"")</f>
        <v/>
      </c>
      <c r="AJ2134" s="86" t="str">
        <f>+IF(AG2134=$AJ$22,MONTH(V2134),"")</f>
        <v/>
      </c>
      <c r="AK2134" s="86" t="str">
        <f>+IF(AG2134=$AK$22,MONTH(V2134),"")</f>
        <v/>
      </c>
      <c r="AL2134" s="86" t="str">
        <f>+IF(AG2134=$AL$22,MONTH(V2134),"")</f>
        <v/>
      </c>
      <c r="AM2134" s="86" t="str">
        <f>+IF($AG2134=$AM$22,MONTH($D2134),"")</f>
        <v/>
      </c>
      <c r="AN2134" s="89" t="str">
        <f>+IF($AG2134=AN$22,MONTH($D2134),"")</f>
        <v/>
      </c>
      <c r="AO2134" s="86" t="str">
        <f>+IF($AG2134=AO$22,MONTH($D2134),"")</f>
        <v/>
      </c>
      <c r="AP2134" s="86" t="str">
        <f>+IF($AG2134=AP$22,MONTH($D2134),"")</f>
        <v/>
      </c>
      <c r="AQ2134" s="86" t="str">
        <f>+IF($AG2134=AQ$22,MONTH($D2134),"")</f>
        <v/>
      </c>
      <c r="AR2134" s="86">
        <f>+IF($AG2134=AR$22,MONTH($D2134),"")</f>
        <v>10</v>
      </c>
      <c r="AS2134" s="86" t="str">
        <f>+IF($AG2134=AS$22,MONTH($D2134),"")</f>
        <v/>
      </c>
      <c r="AT2134" s="86" t="str">
        <f>+IF($AG2134=AT$22,MONTH($D2134),"")</f>
        <v/>
      </c>
      <c r="AU2134" s="86" t="str">
        <f>+IF($AG2134=AU$22,MONTH($D2134),"")</f>
        <v/>
      </c>
      <c r="AV2134" s="86" t="str">
        <f>+IF($AG2134=AV$22,MONTH($D2134),"")</f>
        <v/>
      </c>
      <c r="AW2134" s="86" t="str">
        <f>+IF($AG2134=AW$22,MONTH($D2134),"")</f>
        <v/>
      </c>
      <c r="AX2134" s="86" t="str">
        <f>+IF($AG2134=AX$22,MONTH($D2134),"")</f>
        <v/>
      </c>
      <c r="AY2134" s="89"/>
      <c r="AZ2134" s="89"/>
      <c r="BA2134" s="89"/>
      <c r="BB2134" s="89"/>
      <c r="BC2134" s="89"/>
      <c r="BD2134" s="89"/>
      <c r="BE2134" s="89"/>
      <c r="BF2134" s="89"/>
      <c r="BG2134" s="89"/>
      <c r="BH2134" s="89"/>
      <c r="BI2134" s="89"/>
      <c r="BJ2134" s="89"/>
      <c r="BK2134" s="89"/>
      <c r="BL2134" s="89"/>
      <c r="BM2134" s="89"/>
      <c r="BN2134" s="89"/>
      <c r="BO2134" s="89"/>
      <c r="BP2134" s="89"/>
    </row>
    <row r="2135" spans="1:68" s="56" customFormat="1" ht="13.5" hidden="1">
      <c r="A2135" s="204" t="str">
        <f>+IFERROR(VALUE(MID(AB2135,4,4)),"")</f>
        <v/>
      </c>
      <c r="B2135" s="204">
        <f>VALUE(RIGHT(C2135,LEN(C2135)-2))</f>
        <v>590</v>
      </c>
      <c r="C2135" s="74" t="s">
        <v>7338</v>
      </c>
      <c r="D2135" s="75">
        <v>42649</v>
      </c>
      <c r="E2135" s="70" t="s">
        <v>262</v>
      </c>
      <c r="F2135" s="70" t="s">
        <v>345</v>
      </c>
      <c r="G2135" s="68" t="s">
        <v>7339</v>
      </c>
      <c r="H2135" s="59"/>
      <c r="I2135" s="162" t="s">
        <v>7340</v>
      </c>
      <c r="J2135" s="162"/>
      <c r="K2135" s="68" t="s">
        <v>16</v>
      </c>
      <c r="L2135" s="69" t="s">
        <v>123</v>
      </c>
      <c r="M2135" s="71" t="s">
        <v>141</v>
      </c>
      <c r="N2135" s="69" t="e" vm="1">
        <v>#VALUE!</v>
      </c>
      <c r="O2135" s="164">
        <v>42668</v>
      </c>
      <c r="P2135" s="72" t="s">
        <v>402</v>
      </c>
      <c r="Q2135" s="72"/>
      <c r="R2135" s="162"/>
      <c r="S2135" s="146"/>
      <c r="T2135" s="68" t="s">
        <v>165</v>
      </c>
      <c r="U2135" s="87"/>
      <c r="V2135" s="183">
        <v>42669</v>
      </c>
      <c r="W2135" s="73">
        <v>198</v>
      </c>
      <c r="X2135" s="73">
        <f>14880000/1000000</f>
        <v>14.88</v>
      </c>
      <c r="Y2135" s="83">
        <f>IF(SUM(W2135:W2135)&gt;0,X2135/SUM(W2135:W2135)*1000000,"N/A")</f>
        <v>75151.515151515152</v>
      </c>
      <c r="Z2135" s="183"/>
      <c r="AA2135" s="183"/>
      <c r="AB2135" s="223"/>
      <c r="AC2135" s="153"/>
      <c r="AD2135" s="331"/>
      <c r="AE2135" s="57"/>
      <c r="AF2135" s="88"/>
      <c r="AG2135" s="182">
        <f>YEAR(D2135)</f>
        <v>2016</v>
      </c>
      <c r="AH2135" s="86" t="str">
        <f>+IF(AE2135=$AJ$22,MONTH(T2135),"")</f>
        <v/>
      </c>
      <c r="AI2135" s="86" t="str">
        <f>+IF(AF2135=$AJ$22,MONTH(U2135),"")</f>
        <v/>
      </c>
      <c r="AJ2135" s="86" t="str">
        <f>+IF(AG2135=$AJ$22,MONTH(V2135),"")</f>
        <v/>
      </c>
      <c r="AK2135" s="86" t="str">
        <f>+IF(AG2135=$AK$22,MONTH(V2135),"")</f>
        <v/>
      </c>
      <c r="AL2135" s="86" t="str">
        <f>+IF(AG2135=$AL$22,MONTH(V2135),"")</f>
        <v/>
      </c>
      <c r="AM2135" s="86" t="str">
        <f>+IF($AG2135=$AM$22,MONTH($D2135),"")</f>
        <v/>
      </c>
      <c r="AN2135" s="89" t="str">
        <f>+IF($AG2135=AN$22,MONTH($D2135),"")</f>
        <v/>
      </c>
      <c r="AO2135" s="86" t="str">
        <f>+IF($AG2135=AO$22,MONTH($D2135),"")</f>
        <v/>
      </c>
      <c r="AP2135" s="86" t="str">
        <f>+IF($AG2135=AP$22,MONTH($D2135),"")</f>
        <v/>
      </c>
      <c r="AQ2135" s="86" t="str">
        <f>+IF($AG2135=AQ$22,MONTH($D2135),"")</f>
        <v/>
      </c>
      <c r="AR2135" s="86">
        <f>+IF($AG2135=AR$22,MONTH($D2135),"")</f>
        <v>10</v>
      </c>
      <c r="AS2135" s="86" t="str">
        <f>+IF($AG2135=AS$22,MONTH($D2135),"")</f>
        <v/>
      </c>
      <c r="AT2135" s="86" t="str">
        <f>+IF($AG2135=AT$22,MONTH($D2135),"")</f>
        <v/>
      </c>
      <c r="AU2135" s="86" t="str">
        <f>+IF($AG2135=AU$22,MONTH($D2135),"")</f>
        <v/>
      </c>
      <c r="AV2135" s="86" t="str">
        <f>+IF($AG2135=AV$22,MONTH($D2135),"")</f>
        <v/>
      </c>
      <c r="AW2135" s="86" t="str">
        <f>+IF($AG2135=AW$22,MONTH($D2135),"")</f>
        <v/>
      </c>
      <c r="AX2135" s="86" t="str">
        <f>+IF($AG2135=AX$22,MONTH($D2135),"")</f>
        <v/>
      </c>
      <c r="AY2135" s="89"/>
      <c r="AZ2135" s="89"/>
      <c r="BA2135" s="89"/>
      <c r="BB2135" s="89"/>
      <c r="BC2135" s="89"/>
      <c r="BD2135" s="89"/>
      <c r="BE2135" s="89"/>
      <c r="BF2135" s="89"/>
      <c r="BG2135" s="89"/>
      <c r="BH2135" s="89"/>
      <c r="BI2135" s="89"/>
      <c r="BJ2135" s="89"/>
      <c r="BK2135" s="89"/>
      <c r="BL2135" s="89"/>
      <c r="BM2135" s="89"/>
      <c r="BN2135" s="89"/>
      <c r="BO2135" s="89"/>
      <c r="BP2135" s="89"/>
    </row>
    <row r="2136" spans="1:68" s="56" customFormat="1" ht="13.5" hidden="1">
      <c r="A2136" s="204" t="str">
        <f>+IFERROR(VALUE(MID(AB2136,4,4)),"")</f>
        <v/>
      </c>
      <c r="B2136" s="204">
        <f>VALUE(RIGHT(C2136,LEN(C2136)-2))</f>
        <v>589</v>
      </c>
      <c r="C2136" s="74" t="s">
        <v>7341</v>
      </c>
      <c r="D2136" s="75">
        <v>42678</v>
      </c>
      <c r="E2136" s="70" t="s">
        <v>685</v>
      </c>
      <c r="F2136" s="70" t="s">
        <v>685</v>
      </c>
      <c r="G2136" s="68" t="s">
        <v>7011</v>
      </c>
      <c r="H2136" s="59"/>
      <c r="I2136" s="162" t="s">
        <v>7342</v>
      </c>
      <c r="J2136" s="162"/>
      <c r="K2136" s="68" t="s">
        <v>30</v>
      </c>
      <c r="L2136" s="69" t="s">
        <v>120</v>
      </c>
      <c r="M2136" s="71" t="s">
        <v>141</v>
      </c>
      <c r="N2136" s="69" t="e" vm="1">
        <v>#VALUE!</v>
      </c>
      <c r="O2136" s="164">
        <v>42678</v>
      </c>
      <c r="P2136" s="72"/>
      <c r="Q2136" s="72"/>
      <c r="R2136" s="162"/>
      <c r="S2136" s="146"/>
      <c r="T2136" s="68" t="s">
        <v>165</v>
      </c>
      <c r="U2136" s="87">
        <v>0.2</v>
      </c>
      <c r="V2136" s="183">
        <v>42886</v>
      </c>
      <c r="W2136" s="73">
        <v>4105</v>
      </c>
      <c r="X2136" s="73">
        <f>(32243+35715+34744+38689+33243+30515)*630/1000000</f>
        <v>129.24386999999999</v>
      </c>
      <c r="Y2136" s="83">
        <f>IF(SUM(W2136:W2136)&gt;0,X2136/SUM(W2136:W2136)*1000000,"N/A")</f>
        <v>31484.499390986595</v>
      </c>
      <c r="Z2136" s="183"/>
      <c r="AA2136" s="183"/>
      <c r="AB2136" s="223"/>
      <c r="AC2136" s="153"/>
      <c r="AD2136" s="331"/>
      <c r="AE2136" s="57"/>
      <c r="AF2136" s="88"/>
      <c r="AG2136" s="182">
        <f>YEAR(D2136)</f>
        <v>2016</v>
      </c>
      <c r="AH2136" s="86" t="str">
        <f>+IF(AE2136=$AJ$22,MONTH(T2136),"")</f>
        <v/>
      </c>
      <c r="AI2136" s="86" t="str">
        <f>+IF(AF2136=$AJ$22,MONTH(U2136),"")</f>
        <v/>
      </c>
      <c r="AJ2136" s="86" t="str">
        <f>+IF(AG2136=$AJ$22,MONTH(V2136),"")</f>
        <v/>
      </c>
      <c r="AK2136" s="86" t="str">
        <f>+IF(AG2136=$AK$22,MONTH(V2136),"")</f>
        <v/>
      </c>
      <c r="AL2136" s="86" t="str">
        <f>+IF(AG2136=$AL$22,MONTH(V2136),"")</f>
        <v/>
      </c>
      <c r="AM2136" s="86" t="str">
        <f>+IF($AG2136=$AM$22,MONTH($D2136),"")</f>
        <v/>
      </c>
      <c r="AN2136" s="89" t="str">
        <f>+IF($AG2136=AN$22,MONTH($D2136),"")</f>
        <v/>
      </c>
      <c r="AO2136" s="86" t="str">
        <f>+IF($AG2136=AO$22,MONTH($D2136),"")</f>
        <v/>
      </c>
      <c r="AP2136" s="86" t="str">
        <f>+IF($AG2136=AP$22,MONTH($D2136),"")</f>
        <v/>
      </c>
      <c r="AQ2136" s="86" t="str">
        <f>+IF($AG2136=AQ$22,MONTH($D2136),"")</f>
        <v/>
      </c>
      <c r="AR2136" s="86">
        <f>+IF($AG2136=AR$22,MONTH($D2136),"")</f>
        <v>11</v>
      </c>
      <c r="AS2136" s="86" t="str">
        <f>+IF($AG2136=AS$22,MONTH($D2136),"")</f>
        <v/>
      </c>
      <c r="AT2136" s="86" t="str">
        <f>+IF($AG2136=AT$22,MONTH($D2136),"")</f>
        <v/>
      </c>
      <c r="AU2136" s="86" t="str">
        <f>+IF($AG2136=AU$22,MONTH($D2136),"")</f>
        <v/>
      </c>
      <c r="AV2136" s="86" t="str">
        <f>+IF($AG2136=AV$22,MONTH($D2136),"")</f>
        <v/>
      </c>
      <c r="AW2136" s="86" t="str">
        <f>+IF($AG2136=AW$22,MONTH($D2136),"")</f>
        <v/>
      </c>
      <c r="AX2136" s="86" t="str">
        <f>+IF($AG2136=AX$22,MONTH($D2136),"")</f>
        <v/>
      </c>
      <c r="AY2136" s="89"/>
      <c r="AZ2136" s="89"/>
      <c r="BA2136" s="89"/>
      <c r="BB2136" s="89"/>
      <c r="BC2136" s="89"/>
      <c r="BD2136" s="89"/>
      <c r="BE2136" s="89"/>
      <c r="BF2136" s="89"/>
      <c r="BG2136" s="89"/>
      <c r="BH2136" s="89"/>
      <c r="BI2136" s="89"/>
      <c r="BJ2136" s="89"/>
      <c r="BK2136" s="89"/>
      <c r="BL2136" s="89"/>
      <c r="BM2136" s="89"/>
      <c r="BN2136" s="89"/>
      <c r="BO2136" s="89"/>
      <c r="BP2136" s="89"/>
    </row>
    <row r="2137" spans="1:68" s="56" customFormat="1" ht="27" hidden="1">
      <c r="A2137" s="204">
        <f>+IFERROR(VALUE(MID(AB2137,4,4)),"")</f>
        <v>149</v>
      </c>
      <c r="B2137" s="204">
        <f>VALUE(RIGHT(C2137,LEN(C2137)-2))</f>
        <v>588</v>
      </c>
      <c r="C2137" s="74" t="s">
        <v>7343</v>
      </c>
      <c r="D2137" s="75">
        <v>42661</v>
      </c>
      <c r="E2137" s="70" t="s">
        <v>37</v>
      </c>
      <c r="F2137" s="70" t="s">
        <v>37</v>
      </c>
      <c r="G2137" s="68" t="s">
        <v>7344</v>
      </c>
      <c r="H2137" s="59" t="s">
        <v>7345</v>
      </c>
      <c r="I2137" s="162" t="s">
        <v>7346</v>
      </c>
      <c r="J2137" s="162"/>
      <c r="K2137" s="68" t="s">
        <v>30</v>
      </c>
      <c r="L2137" s="69" t="s">
        <v>120</v>
      </c>
      <c r="M2137" s="71" t="s">
        <v>141</v>
      </c>
      <c r="N2137" s="69" t="e" vm="1">
        <v>#VALUE!</v>
      </c>
      <c r="O2137" s="164">
        <v>42661</v>
      </c>
      <c r="P2137" s="72" t="s">
        <v>402</v>
      </c>
      <c r="Q2137" s="72"/>
      <c r="R2137" s="162"/>
      <c r="S2137" s="146"/>
      <c r="T2137" s="68" t="s">
        <v>3</v>
      </c>
      <c r="U2137" s="87"/>
      <c r="V2137" s="183">
        <v>42667</v>
      </c>
      <c r="W2137" s="73">
        <v>150</v>
      </c>
      <c r="X2137" s="73">
        <f>200*24600/1000000</f>
        <v>4.92</v>
      </c>
      <c r="Y2137" s="83">
        <f>IF(SUM(W2137:W2137)&gt;0,X2137/SUM(W2137:W2137)*1000000,"N/A")</f>
        <v>32800</v>
      </c>
      <c r="Z2137" s="183"/>
      <c r="AA2137" s="183"/>
      <c r="AB2137" s="223" t="s">
        <v>7279</v>
      </c>
      <c r="AC2137" s="153"/>
      <c r="AD2137" s="331"/>
      <c r="AE2137" s="57"/>
      <c r="AF2137" s="88"/>
      <c r="AG2137" s="182">
        <f>YEAR(D2137)</f>
        <v>2016</v>
      </c>
      <c r="AH2137" s="86" t="str">
        <f>+IF(AE2137=$AJ$22,MONTH(T2137),"")</f>
        <v/>
      </c>
      <c r="AI2137" s="86" t="str">
        <f>+IF(AF2137=$AJ$22,MONTH(U2137),"")</f>
        <v/>
      </c>
      <c r="AJ2137" s="86" t="str">
        <f>+IF(AG2137=$AJ$22,MONTH(V2137),"")</f>
        <v/>
      </c>
      <c r="AK2137" s="86" t="str">
        <f>+IF(AG2137=$AK$22,MONTH(V2137),"")</f>
        <v/>
      </c>
      <c r="AL2137" s="86" t="str">
        <f>+IF(AG2137=$AL$22,MONTH(V2137),"")</f>
        <v/>
      </c>
      <c r="AM2137" s="86" t="str">
        <f>+IF($AG2137=$AM$22,MONTH($D2137),"")</f>
        <v/>
      </c>
      <c r="AN2137" s="89" t="str">
        <f>+IF($AG2137=AN$22,MONTH($D2137),"")</f>
        <v/>
      </c>
      <c r="AO2137" s="86" t="str">
        <f>+IF($AG2137=AO$22,MONTH($D2137),"")</f>
        <v/>
      </c>
      <c r="AP2137" s="86" t="str">
        <f>+IF($AG2137=AP$22,MONTH($D2137),"")</f>
        <v/>
      </c>
      <c r="AQ2137" s="86" t="str">
        <f>+IF($AG2137=AQ$22,MONTH($D2137),"")</f>
        <v/>
      </c>
      <c r="AR2137" s="86">
        <f>+IF($AG2137=AR$22,MONTH($D2137),"")</f>
        <v>10</v>
      </c>
      <c r="AS2137" s="86" t="str">
        <f>+IF($AG2137=AS$22,MONTH($D2137),"")</f>
        <v/>
      </c>
      <c r="AT2137" s="86" t="str">
        <f>+IF($AG2137=AT$22,MONTH($D2137),"")</f>
        <v/>
      </c>
      <c r="AU2137" s="86" t="str">
        <f>+IF($AG2137=AU$22,MONTH($D2137),"")</f>
        <v/>
      </c>
      <c r="AV2137" s="86" t="str">
        <f>+IF($AG2137=AV$22,MONTH($D2137),"")</f>
        <v/>
      </c>
      <c r="AW2137" s="86" t="str">
        <f>+IF($AG2137=AW$22,MONTH($D2137),"")</f>
        <v/>
      </c>
      <c r="AX2137" s="86" t="str">
        <f>+IF($AG2137=AX$22,MONTH($D2137),"")</f>
        <v/>
      </c>
      <c r="AY2137" s="89"/>
      <c r="AZ2137" s="89"/>
      <c r="BA2137" s="89"/>
      <c r="BB2137" s="89"/>
      <c r="BC2137" s="89"/>
      <c r="BD2137" s="89"/>
      <c r="BE2137" s="89"/>
      <c r="BF2137" s="89"/>
      <c r="BG2137" s="89"/>
      <c r="BH2137" s="89"/>
      <c r="BI2137" s="89"/>
      <c r="BJ2137" s="89"/>
      <c r="BK2137" s="89"/>
      <c r="BL2137" s="89"/>
      <c r="BM2137" s="89"/>
      <c r="BN2137" s="89"/>
      <c r="BO2137" s="89"/>
      <c r="BP2137" s="89"/>
    </row>
    <row r="2138" spans="1:68" s="56" customFormat="1" ht="27" hidden="1">
      <c r="A2138" s="204" t="str">
        <f>+IFERROR(VALUE(MID(AB2138,4,4)),"")</f>
        <v/>
      </c>
      <c r="B2138" s="204">
        <f>VALUE(RIGHT(C2138,LEN(C2138)-2))</f>
        <v>587</v>
      </c>
      <c r="C2138" s="74" t="s">
        <v>7347</v>
      </c>
      <c r="D2138" s="75">
        <v>42646</v>
      </c>
      <c r="E2138" s="70" t="s">
        <v>332</v>
      </c>
      <c r="F2138" s="70" t="s">
        <v>332</v>
      </c>
      <c r="G2138" s="68" t="s">
        <v>737</v>
      </c>
      <c r="H2138" s="59" t="s">
        <v>7267</v>
      </c>
      <c r="I2138" s="162" t="s">
        <v>7348</v>
      </c>
      <c r="J2138" s="162"/>
      <c r="K2138" s="68" t="s">
        <v>13</v>
      </c>
      <c r="L2138" s="69" t="s">
        <v>120</v>
      </c>
      <c r="M2138" s="71" t="s">
        <v>141</v>
      </c>
      <c r="N2138" s="69" t="e" vm="1">
        <v>#VALUE!</v>
      </c>
      <c r="O2138" s="164">
        <v>42646</v>
      </c>
      <c r="P2138" s="72" t="s">
        <v>402</v>
      </c>
      <c r="Q2138" s="72"/>
      <c r="R2138" s="162"/>
      <c r="S2138" s="146"/>
      <c r="T2138" s="68" t="s">
        <v>165</v>
      </c>
      <c r="U2138" s="87"/>
      <c r="V2138" s="183">
        <v>42667</v>
      </c>
      <c r="W2138" s="73">
        <v>6911</v>
      </c>
      <c r="X2138" s="73">
        <f>6742*24600/1000000</f>
        <v>165.85319999999999</v>
      </c>
      <c r="Y2138" s="83">
        <f>IF(SUM(W2138:W2138)&gt;0,X2138/SUM(W2138:W2138)*1000000,"N/A")</f>
        <v>23998.437273911157</v>
      </c>
      <c r="Z2138" s="183"/>
      <c r="AA2138" s="183"/>
      <c r="AB2138" s="223"/>
      <c r="AC2138" s="153"/>
      <c r="AD2138" s="331"/>
      <c r="AE2138" s="57"/>
      <c r="AF2138" s="88"/>
      <c r="AG2138" s="182">
        <f>YEAR(D2138)</f>
        <v>2016</v>
      </c>
      <c r="AH2138" s="86" t="str">
        <f>+IF(AE2138=$AJ$22,MONTH(T2138),"")</f>
        <v/>
      </c>
      <c r="AI2138" s="86" t="str">
        <f>+IF(AF2138=$AJ$22,MONTH(U2138),"")</f>
        <v/>
      </c>
      <c r="AJ2138" s="86" t="str">
        <f>+IF(AG2138=$AJ$22,MONTH(V2138),"")</f>
        <v/>
      </c>
      <c r="AK2138" s="86" t="str">
        <f>+IF(AG2138=$AK$22,MONTH(V2138),"")</f>
        <v/>
      </c>
      <c r="AL2138" s="86" t="str">
        <f>+IF(AG2138=$AL$22,MONTH(V2138),"")</f>
        <v/>
      </c>
      <c r="AM2138" s="86" t="str">
        <f>+IF($AG2138=$AM$22,MONTH($D2138),"")</f>
        <v/>
      </c>
      <c r="AN2138" s="89" t="str">
        <f>+IF($AG2138=AN$22,MONTH($D2138),"")</f>
        <v/>
      </c>
      <c r="AO2138" s="86" t="str">
        <f>+IF($AG2138=AO$22,MONTH($D2138),"")</f>
        <v/>
      </c>
      <c r="AP2138" s="86" t="str">
        <f>+IF($AG2138=AP$22,MONTH($D2138),"")</f>
        <v/>
      </c>
      <c r="AQ2138" s="86" t="str">
        <f>+IF($AG2138=AQ$22,MONTH($D2138),"")</f>
        <v/>
      </c>
      <c r="AR2138" s="86">
        <f>+IF($AG2138=AR$22,MONTH($D2138),"")</f>
        <v>10</v>
      </c>
      <c r="AS2138" s="86" t="str">
        <f>+IF($AG2138=AS$22,MONTH($D2138),"")</f>
        <v/>
      </c>
      <c r="AT2138" s="86" t="str">
        <f>+IF($AG2138=AT$22,MONTH($D2138),"")</f>
        <v/>
      </c>
      <c r="AU2138" s="86" t="str">
        <f>+IF($AG2138=AU$22,MONTH($D2138),"")</f>
        <v/>
      </c>
      <c r="AV2138" s="86" t="str">
        <f>+IF($AG2138=AV$22,MONTH($D2138),"")</f>
        <v/>
      </c>
      <c r="AW2138" s="86" t="str">
        <f>+IF($AG2138=AW$22,MONTH($D2138),"")</f>
        <v/>
      </c>
      <c r="AX2138" s="86" t="str">
        <f>+IF($AG2138=AX$22,MONTH($D2138),"")</f>
        <v/>
      </c>
      <c r="AY2138" s="89"/>
      <c r="AZ2138" s="89"/>
      <c r="BA2138" s="89"/>
      <c r="BB2138" s="89"/>
      <c r="BC2138" s="89"/>
      <c r="BD2138" s="89"/>
      <c r="BE2138" s="89"/>
      <c r="BF2138" s="89"/>
      <c r="BG2138" s="89"/>
      <c r="BH2138" s="89"/>
      <c r="BI2138" s="89"/>
      <c r="BJ2138" s="89"/>
      <c r="BK2138" s="89"/>
      <c r="BL2138" s="89"/>
      <c r="BM2138" s="89"/>
      <c r="BN2138" s="89"/>
      <c r="BO2138" s="89"/>
      <c r="BP2138" s="89"/>
    </row>
    <row r="2139" spans="1:68" s="56" customFormat="1" ht="13.5" hidden="1">
      <c r="A2139" s="204">
        <f>+IFERROR(VALUE(MID(AB2139,4,4)),"")</f>
        <v>145</v>
      </c>
      <c r="B2139" s="204">
        <f>VALUE(RIGHT(C2139,LEN(C2139)-2))</f>
        <v>586</v>
      </c>
      <c r="C2139" s="74" t="s">
        <v>7349</v>
      </c>
      <c r="D2139" s="75">
        <v>42639</v>
      </c>
      <c r="E2139" s="70" t="s">
        <v>81</v>
      </c>
      <c r="F2139" s="70" t="s">
        <v>3351</v>
      </c>
      <c r="G2139" s="68" t="s">
        <v>6801</v>
      </c>
      <c r="H2139" s="59" t="s">
        <v>7331</v>
      </c>
      <c r="I2139" s="162" t="s">
        <v>7350</v>
      </c>
      <c r="J2139" s="162"/>
      <c r="K2139" s="68" t="s">
        <v>13</v>
      </c>
      <c r="L2139" s="69" t="s">
        <v>120</v>
      </c>
      <c r="M2139" s="71" t="s">
        <v>113</v>
      </c>
      <c r="N2139" s="69" t="e" vm="4">
        <v>#VALUE!</v>
      </c>
      <c r="O2139" s="164">
        <v>42639</v>
      </c>
      <c r="P2139" s="72" t="s">
        <v>402</v>
      </c>
      <c r="Q2139" s="72"/>
      <c r="R2139" s="162"/>
      <c r="S2139" s="146"/>
      <c r="T2139" s="68" t="s">
        <v>3</v>
      </c>
      <c r="U2139" s="87"/>
      <c r="V2139" s="183">
        <v>42667</v>
      </c>
      <c r="W2139" s="73">
        <v>320</v>
      </c>
      <c r="X2139" s="73">
        <f>19397*620/1000000</f>
        <v>12.02614</v>
      </c>
      <c r="Y2139" s="83">
        <f>IF(SUM(W2139:W2139)&gt;0,X2139/SUM(W2139:W2139)*1000000,"N/A")</f>
        <v>37581.6875</v>
      </c>
      <c r="Z2139" s="183"/>
      <c r="AA2139" s="183"/>
      <c r="AB2139" s="223" t="s">
        <v>7351</v>
      </c>
      <c r="AC2139" s="153"/>
      <c r="AD2139" s="331"/>
      <c r="AE2139" s="57"/>
      <c r="AF2139" s="88"/>
      <c r="AG2139" s="182">
        <f>YEAR(D2139)</f>
        <v>2016</v>
      </c>
      <c r="AH2139" s="86" t="str">
        <f>+IF(AE2139=$AJ$22,MONTH(T2139),"")</f>
        <v/>
      </c>
      <c r="AI2139" s="86" t="str">
        <f>+IF(AF2139=$AJ$22,MONTH(U2139),"")</f>
        <v/>
      </c>
      <c r="AJ2139" s="86" t="str">
        <f>+IF(AG2139=$AJ$22,MONTH(V2139),"")</f>
        <v/>
      </c>
      <c r="AK2139" s="86" t="str">
        <f>+IF(AG2139=$AK$22,MONTH(V2139),"")</f>
        <v/>
      </c>
      <c r="AL2139" s="86" t="str">
        <f>+IF(AG2139=$AL$22,MONTH(V2139),"")</f>
        <v/>
      </c>
      <c r="AM2139" s="86" t="str">
        <f>+IF($AG2139=$AM$22,MONTH($D2139),"")</f>
        <v/>
      </c>
      <c r="AN2139" s="89" t="str">
        <f>+IF($AG2139=AN$22,MONTH($D2139),"")</f>
        <v/>
      </c>
      <c r="AO2139" s="86" t="str">
        <f>+IF($AG2139=AO$22,MONTH($D2139),"")</f>
        <v/>
      </c>
      <c r="AP2139" s="86" t="str">
        <f>+IF($AG2139=AP$22,MONTH($D2139),"")</f>
        <v/>
      </c>
      <c r="AQ2139" s="86" t="str">
        <f>+IF($AG2139=AQ$22,MONTH($D2139),"")</f>
        <v/>
      </c>
      <c r="AR2139" s="86">
        <f>+IF($AG2139=AR$22,MONTH($D2139),"")</f>
        <v>9</v>
      </c>
      <c r="AS2139" s="86" t="str">
        <f>+IF($AG2139=AS$22,MONTH($D2139),"")</f>
        <v/>
      </c>
      <c r="AT2139" s="86" t="str">
        <f>+IF($AG2139=AT$22,MONTH($D2139),"")</f>
        <v/>
      </c>
      <c r="AU2139" s="86" t="str">
        <f>+IF($AG2139=AU$22,MONTH($D2139),"")</f>
        <v/>
      </c>
      <c r="AV2139" s="86" t="str">
        <f>+IF($AG2139=AV$22,MONTH($D2139),"")</f>
        <v/>
      </c>
      <c r="AW2139" s="86" t="str">
        <f>+IF($AG2139=AW$22,MONTH($D2139),"")</f>
        <v/>
      </c>
      <c r="AX2139" s="86" t="str">
        <f>+IF($AG2139=AX$22,MONTH($D2139),"")</f>
        <v/>
      </c>
      <c r="AY2139" s="89"/>
      <c r="AZ2139" s="89"/>
      <c r="BA2139" s="89"/>
      <c r="BB2139" s="89"/>
      <c r="BC2139" s="89"/>
      <c r="BD2139" s="89"/>
      <c r="BE2139" s="89"/>
      <c r="BF2139" s="89"/>
      <c r="BG2139" s="89"/>
      <c r="BH2139" s="89"/>
      <c r="BI2139" s="89"/>
      <c r="BJ2139" s="89"/>
      <c r="BK2139" s="89"/>
      <c r="BL2139" s="89"/>
      <c r="BM2139" s="89"/>
      <c r="BN2139" s="89"/>
      <c r="BO2139" s="89"/>
      <c r="BP2139" s="89"/>
    </row>
    <row r="2140" spans="1:68" s="58" customFormat="1" ht="40.5" hidden="1">
      <c r="A2140" s="204" t="str">
        <f>+IFERROR(VALUE(MID(AB2140,4,4)),"")</f>
        <v/>
      </c>
      <c r="B2140" s="204">
        <f>VALUE(RIGHT(C2140,LEN(C2140)-2))</f>
        <v>585</v>
      </c>
      <c r="C2140" s="74" t="s">
        <v>7352</v>
      </c>
      <c r="D2140" s="75">
        <v>42636</v>
      </c>
      <c r="E2140" s="70" t="s">
        <v>7353</v>
      </c>
      <c r="F2140" s="70" t="s">
        <v>7353</v>
      </c>
      <c r="G2140" s="68" t="s">
        <v>7354</v>
      </c>
      <c r="H2140" s="59"/>
      <c r="I2140" s="162" t="s">
        <v>7355</v>
      </c>
      <c r="J2140" s="162"/>
      <c r="K2140" s="68" t="s">
        <v>13</v>
      </c>
      <c r="L2140" s="69" t="s">
        <v>120</v>
      </c>
      <c r="M2140" s="71" t="s">
        <v>141</v>
      </c>
      <c r="N2140" s="69" t="e" vm="1">
        <v>#VALUE!</v>
      </c>
      <c r="O2140" s="164">
        <v>42636</v>
      </c>
      <c r="P2140" s="72" t="s">
        <v>402</v>
      </c>
      <c r="Q2140" s="72"/>
      <c r="R2140" s="162"/>
      <c r="S2140" s="146"/>
      <c r="T2140" s="68" t="s">
        <v>165</v>
      </c>
      <c r="U2140" s="87"/>
      <c r="V2140" s="183">
        <v>42667</v>
      </c>
      <c r="W2140" s="73">
        <v>864</v>
      </c>
      <c r="X2140" s="73">
        <f>78310*620/1000000</f>
        <v>48.552199999999999</v>
      </c>
      <c r="Y2140" s="83">
        <f>IF(SUM(W2140:W2140)&gt;0,X2140/SUM(W2140:W2140)*1000000,"N/A")</f>
        <v>56194.675925925927</v>
      </c>
      <c r="Z2140" s="183"/>
      <c r="AA2140" s="183"/>
      <c r="AB2140" s="223"/>
      <c r="AC2140" s="153"/>
      <c r="AD2140" s="331"/>
      <c r="AE2140" s="57"/>
      <c r="AF2140" s="88"/>
      <c r="AG2140" s="182">
        <f>YEAR(D2140)</f>
        <v>2016</v>
      </c>
      <c r="AH2140" s="86" t="str">
        <f>+IF(AE2140=$AJ$22,MONTH(T2140),"")</f>
        <v/>
      </c>
      <c r="AI2140" s="86" t="str">
        <f>+IF(AF2140=$AJ$22,MONTH(U2140),"")</f>
        <v/>
      </c>
      <c r="AJ2140" s="86" t="str">
        <f>+IF(AG2140=$AJ$22,MONTH(V2140),"")</f>
        <v/>
      </c>
      <c r="AK2140" s="86" t="str">
        <f>+IF(AG2140=$AK$22,MONTH(V2140),"")</f>
        <v/>
      </c>
      <c r="AL2140" s="86" t="str">
        <f>+IF(AG2140=$AL$22,MONTH(V2140),"")</f>
        <v/>
      </c>
      <c r="AM2140" s="86" t="str">
        <f>+IF($AG2140=$AM$22,MONTH($D2140),"")</f>
        <v/>
      </c>
      <c r="AN2140" s="89" t="str">
        <f>+IF($AG2140=AN$22,MONTH($D2140),"")</f>
        <v/>
      </c>
      <c r="AO2140" s="86" t="str">
        <f>+IF($AG2140=AO$22,MONTH($D2140),"")</f>
        <v/>
      </c>
      <c r="AP2140" s="86" t="str">
        <f>+IF($AG2140=AP$22,MONTH($D2140),"")</f>
        <v/>
      </c>
      <c r="AQ2140" s="86" t="str">
        <f>+IF($AG2140=AQ$22,MONTH($D2140),"")</f>
        <v/>
      </c>
      <c r="AR2140" s="86">
        <f>+IF($AG2140=AR$22,MONTH($D2140),"")</f>
        <v>9</v>
      </c>
      <c r="AS2140" s="86" t="str">
        <f>+IF($AG2140=AS$22,MONTH($D2140),"")</f>
        <v/>
      </c>
      <c r="AT2140" s="86" t="str">
        <f>+IF($AG2140=AT$22,MONTH($D2140),"")</f>
        <v/>
      </c>
      <c r="AU2140" s="86" t="str">
        <f>+IF($AG2140=AU$22,MONTH($D2140),"")</f>
        <v/>
      </c>
      <c r="AV2140" s="86" t="str">
        <f>+IF($AG2140=AV$22,MONTH($D2140),"")</f>
        <v/>
      </c>
      <c r="AW2140" s="86" t="str">
        <f>+IF($AG2140=AW$22,MONTH($D2140),"")</f>
        <v/>
      </c>
      <c r="AX2140" s="86" t="str">
        <f>+IF($AG2140=AX$22,MONTH($D2140),"")</f>
        <v/>
      </c>
      <c r="AY2140" s="89"/>
      <c r="AZ2140" s="89"/>
      <c r="BA2140" s="89"/>
      <c r="BB2140" s="89"/>
      <c r="BC2140" s="89"/>
      <c r="BD2140" s="89"/>
      <c r="BE2140" s="89"/>
      <c r="BF2140" s="89"/>
      <c r="BG2140" s="89"/>
      <c r="BH2140" s="89"/>
      <c r="BI2140" s="89"/>
      <c r="BJ2140" s="259"/>
      <c r="BK2140" s="259"/>
      <c r="BL2140" s="259"/>
      <c r="BM2140" s="259"/>
      <c r="BN2140" s="259"/>
      <c r="BO2140" s="259"/>
      <c r="BP2140" s="259"/>
    </row>
    <row r="2141" spans="1:68" s="56" customFormat="1" ht="13.5" hidden="1">
      <c r="A2141" s="204" t="str">
        <f>+IFERROR(VALUE(MID(AB2141,4,4)),"")</f>
        <v/>
      </c>
      <c r="B2141" s="204">
        <f>VALUE(RIGHT(C2141,LEN(C2141)-2))</f>
        <v>584</v>
      </c>
      <c r="C2141" s="74" t="s">
        <v>7356</v>
      </c>
      <c r="D2141" s="75">
        <v>42636</v>
      </c>
      <c r="E2141" s="70" t="s">
        <v>79</v>
      </c>
      <c r="F2141" s="70" t="s">
        <v>79</v>
      </c>
      <c r="G2141" s="68" t="s">
        <v>7357</v>
      </c>
      <c r="H2141" s="59"/>
      <c r="I2141" s="162" t="s">
        <v>7358</v>
      </c>
      <c r="J2141" s="162"/>
      <c r="K2141" s="68" t="s">
        <v>30</v>
      </c>
      <c r="L2141" s="69" t="s">
        <v>120</v>
      </c>
      <c r="M2141" s="71" t="s">
        <v>141</v>
      </c>
      <c r="N2141" s="69" t="e" vm="1">
        <v>#VALUE!</v>
      </c>
      <c r="O2141" s="164">
        <v>42636</v>
      </c>
      <c r="P2141" s="72" t="s">
        <v>1686</v>
      </c>
      <c r="Q2141" s="72"/>
      <c r="R2141" s="162"/>
      <c r="S2141" s="146"/>
      <c r="T2141" s="68" t="s">
        <v>3</v>
      </c>
      <c r="U2141" s="87"/>
      <c r="V2141" s="183">
        <v>42667</v>
      </c>
      <c r="W2141" s="73">
        <v>754</v>
      </c>
      <c r="X2141" s="73">
        <f>1290*27201/1000000</f>
        <v>35.089289999999998</v>
      </c>
      <c r="Y2141" s="83">
        <f>IF(SUM(W2141:W2141)&gt;0,X2141/SUM(W2141:W2141)*1000000,"N/A")</f>
        <v>46537.519893899203</v>
      </c>
      <c r="Z2141" s="183"/>
      <c r="AA2141" s="183"/>
      <c r="AB2141" s="223"/>
      <c r="AC2141" s="153"/>
      <c r="AD2141" s="331"/>
      <c r="AE2141" s="57"/>
      <c r="AF2141" s="88"/>
      <c r="AG2141" s="182">
        <f>YEAR(D2141)</f>
        <v>2016</v>
      </c>
      <c r="AH2141" s="86" t="str">
        <f>+IF(AE2141=$AJ$22,MONTH(T2141),"")</f>
        <v/>
      </c>
      <c r="AI2141" s="86" t="str">
        <f>+IF(AF2141=$AJ$22,MONTH(U2141),"")</f>
        <v/>
      </c>
      <c r="AJ2141" s="86" t="str">
        <f>+IF(AG2141=$AJ$22,MONTH(V2141),"")</f>
        <v/>
      </c>
      <c r="AK2141" s="86" t="str">
        <f>+IF(AG2141=$AK$22,MONTH(V2141),"")</f>
        <v/>
      </c>
      <c r="AL2141" s="86" t="str">
        <f>+IF(AG2141=$AL$22,MONTH(V2141),"")</f>
        <v/>
      </c>
      <c r="AM2141" s="86" t="str">
        <f>+IF($AG2141=$AM$22,MONTH($D2141),"")</f>
        <v/>
      </c>
      <c r="AN2141" s="89" t="str">
        <f>+IF($AG2141=AN$22,MONTH($D2141),"")</f>
        <v/>
      </c>
      <c r="AO2141" s="86" t="str">
        <f>+IF($AG2141=AO$22,MONTH($D2141),"")</f>
        <v/>
      </c>
      <c r="AP2141" s="86" t="str">
        <f>+IF($AG2141=AP$22,MONTH($D2141),"")</f>
        <v/>
      </c>
      <c r="AQ2141" s="86" t="str">
        <f>+IF($AG2141=AQ$22,MONTH($D2141),"")</f>
        <v/>
      </c>
      <c r="AR2141" s="86">
        <f>+IF($AG2141=AR$22,MONTH($D2141),"")</f>
        <v>9</v>
      </c>
      <c r="AS2141" s="86" t="str">
        <f>+IF($AG2141=AS$22,MONTH($D2141),"")</f>
        <v/>
      </c>
      <c r="AT2141" s="86" t="str">
        <f>+IF($AG2141=AT$22,MONTH($D2141),"")</f>
        <v/>
      </c>
      <c r="AU2141" s="86" t="str">
        <f>+IF($AG2141=AU$22,MONTH($D2141),"")</f>
        <v/>
      </c>
      <c r="AV2141" s="86" t="str">
        <f>+IF($AG2141=AV$22,MONTH($D2141),"")</f>
        <v/>
      </c>
      <c r="AW2141" s="86" t="str">
        <f>+IF($AG2141=AW$22,MONTH($D2141),"")</f>
        <v/>
      </c>
      <c r="AX2141" s="86" t="str">
        <f>+IF($AG2141=AX$22,MONTH($D2141),"")</f>
        <v/>
      </c>
      <c r="AY2141" s="89"/>
      <c r="AZ2141" s="89"/>
      <c r="BA2141" s="89"/>
      <c r="BB2141" s="89"/>
      <c r="BC2141" s="89"/>
      <c r="BD2141" s="89"/>
      <c r="BE2141" s="89"/>
      <c r="BF2141" s="89"/>
      <c r="BG2141" s="89"/>
      <c r="BH2141" s="89"/>
      <c r="BI2141" s="89"/>
      <c r="BJ2141" s="89"/>
      <c r="BK2141" s="89"/>
      <c r="BL2141" s="89"/>
      <c r="BM2141" s="89"/>
      <c r="BN2141" s="89"/>
      <c r="BO2141" s="89"/>
      <c r="BP2141" s="89"/>
    </row>
    <row r="2142" spans="1:68" s="56" customFormat="1" ht="13.5" hidden="1">
      <c r="A2142" s="204" t="str">
        <f>+IFERROR(VALUE(MID(AB2142,4,4)),"")</f>
        <v/>
      </c>
      <c r="B2142" s="204">
        <f>VALUE(RIGHT(C2142,LEN(C2142)-2))</f>
        <v>583</v>
      </c>
      <c r="C2142" s="74" t="s">
        <v>7359</v>
      </c>
      <c r="D2142" s="75">
        <v>42635</v>
      </c>
      <c r="E2142" s="70" t="s">
        <v>6483</v>
      </c>
      <c r="F2142" s="70" t="s">
        <v>6483</v>
      </c>
      <c r="G2142" s="68"/>
      <c r="H2142" s="59"/>
      <c r="I2142" s="162" t="s">
        <v>7360</v>
      </c>
      <c r="J2142" s="162"/>
      <c r="K2142" s="68" t="s">
        <v>13</v>
      </c>
      <c r="L2142" s="69" t="s">
        <v>123</v>
      </c>
      <c r="M2142" s="71" t="s">
        <v>141</v>
      </c>
      <c r="N2142" s="69" t="e" vm="1">
        <v>#VALUE!</v>
      </c>
      <c r="O2142" s="164">
        <v>42671</v>
      </c>
      <c r="P2142" s="72"/>
      <c r="Q2142" s="72"/>
      <c r="R2142" s="162"/>
      <c r="S2142" s="146"/>
      <c r="T2142" s="68" t="s">
        <v>165</v>
      </c>
      <c r="U2142" s="87">
        <v>0.1</v>
      </c>
      <c r="V2142" s="183">
        <v>42667</v>
      </c>
      <c r="W2142" s="73">
        <v>34727</v>
      </c>
      <c r="X2142" s="73">
        <f>48597.58*26200/1000000</f>
        <v>1273.2565959999999</v>
      </c>
      <c r="Y2142" s="83">
        <f>IF(SUM(W2142:W2142)&gt;0,X2142/SUM(W2142:W2142)*1000000,"N/A")</f>
        <v>36664.744895902324</v>
      </c>
      <c r="Z2142" s="183"/>
      <c r="AA2142" s="183"/>
      <c r="AB2142" s="223"/>
      <c r="AC2142" s="153"/>
      <c r="AD2142" s="331"/>
      <c r="AE2142" s="57"/>
      <c r="AF2142" s="88"/>
      <c r="AG2142" s="182">
        <f>YEAR(D2142)</f>
        <v>2016</v>
      </c>
      <c r="AH2142" s="86" t="str">
        <f>+IF(AE2142=$AJ$22,MONTH(T2142),"")</f>
        <v/>
      </c>
      <c r="AI2142" s="86" t="str">
        <f>+IF(AF2142=$AJ$22,MONTH(U2142),"")</f>
        <v/>
      </c>
      <c r="AJ2142" s="86" t="str">
        <f>+IF(AG2142=$AJ$22,MONTH(V2142),"")</f>
        <v/>
      </c>
      <c r="AK2142" s="86" t="str">
        <f>+IF(AG2142=$AK$22,MONTH(V2142),"")</f>
        <v/>
      </c>
      <c r="AL2142" s="86" t="str">
        <f>+IF(AG2142=$AL$22,MONTH(V2142),"")</f>
        <v/>
      </c>
      <c r="AM2142" s="86" t="str">
        <f>+IF($AG2142=$AM$22,MONTH($D2142),"")</f>
        <v/>
      </c>
      <c r="AN2142" s="89" t="str">
        <f>+IF($AG2142=AN$22,MONTH($D2142),"")</f>
        <v/>
      </c>
      <c r="AO2142" s="86" t="str">
        <f>+IF($AG2142=AO$22,MONTH($D2142),"")</f>
        <v/>
      </c>
      <c r="AP2142" s="86" t="str">
        <f>+IF($AG2142=AP$22,MONTH($D2142),"")</f>
        <v/>
      </c>
      <c r="AQ2142" s="86" t="str">
        <f>+IF($AG2142=AQ$22,MONTH($D2142),"")</f>
        <v/>
      </c>
      <c r="AR2142" s="86">
        <f>+IF($AG2142=AR$22,MONTH($D2142),"")</f>
        <v>9</v>
      </c>
      <c r="AS2142" s="86" t="str">
        <f>+IF($AG2142=AS$22,MONTH($D2142),"")</f>
        <v/>
      </c>
      <c r="AT2142" s="86" t="str">
        <f>+IF($AG2142=AT$22,MONTH($D2142),"")</f>
        <v/>
      </c>
      <c r="AU2142" s="86" t="str">
        <f>+IF($AG2142=AU$22,MONTH($D2142),"")</f>
        <v/>
      </c>
      <c r="AV2142" s="86" t="str">
        <f>+IF($AG2142=AV$22,MONTH($D2142),"")</f>
        <v/>
      </c>
      <c r="AW2142" s="86" t="str">
        <f>+IF($AG2142=AW$22,MONTH($D2142),"")</f>
        <v/>
      </c>
      <c r="AX2142" s="86" t="str">
        <f>+IF($AG2142=AX$22,MONTH($D2142),"")</f>
        <v/>
      </c>
      <c r="AY2142" s="89"/>
      <c r="AZ2142" s="89"/>
      <c r="BA2142" s="89"/>
      <c r="BB2142" s="89"/>
      <c r="BC2142" s="89"/>
      <c r="BD2142" s="89"/>
      <c r="BE2142" s="89"/>
      <c r="BF2142" s="89"/>
      <c r="BG2142" s="89"/>
      <c r="BH2142" s="89"/>
      <c r="BI2142" s="89"/>
      <c r="BJ2142" s="89"/>
      <c r="BK2142" s="89"/>
      <c r="BL2142" s="89"/>
      <c r="BM2142" s="89"/>
      <c r="BN2142" s="89"/>
      <c r="BO2142" s="89"/>
      <c r="BP2142" s="89"/>
    </row>
    <row r="2143" spans="1:68" s="56" customFormat="1" ht="13.5" hidden="1">
      <c r="A2143" s="204" t="str">
        <f>+IFERROR(VALUE(MID(AB2143,4,4)),"")</f>
        <v/>
      </c>
      <c r="B2143" s="204">
        <f>VALUE(RIGHT(C2143,LEN(C2143)-2))</f>
        <v>582</v>
      </c>
      <c r="C2143" s="74" t="s">
        <v>7361</v>
      </c>
      <c r="D2143" s="75">
        <v>42635</v>
      </c>
      <c r="E2143" s="70" t="s">
        <v>6483</v>
      </c>
      <c r="F2143" s="70" t="s">
        <v>6483</v>
      </c>
      <c r="G2143" s="68"/>
      <c r="H2143" s="59"/>
      <c r="I2143" s="162" t="s">
        <v>7362</v>
      </c>
      <c r="J2143" s="162"/>
      <c r="K2143" s="68" t="s">
        <v>13</v>
      </c>
      <c r="L2143" s="69" t="s">
        <v>123</v>
      </c>
      <c r="M2143" s="71" t="s">
        <v>141</v>
      </c>
      <c r="N2143" s="69" t="e" vm="1">
        <v>#VALUE!</v>
      </c>
      <c r="O2143" s="164">
        <v>42667</v>
      </c>
      <c r="P2143" s="72"/>
      <c r="Q2143" s="72"/>
      <c r="R2143" s="162"/>
      <c r="S2143" s="146"/>
      <c r="T2143" s="68" t="s">
        <v>165</v>
      </c>
      <c r="U2143" s="87"/>
      <c r="V2143" s="183">
        <v>42667</v>
      </c>
      <c r="W2143" s="73">
        <v>48508</v>
      </c>
      <c r="X2143" s="73">
        <f>66661.93*26200/1000000</f>
        <v>1746.5425659999999</v>
      </c>
      <c r="Y2143" s="83">
        <f>IF(SUM(W2143:W2143)&gt;0,X2143/SUM(W2143:W2143)*1000000,"N/A")</f>
        <v>36005.247917869216</v>
      </c>
      <c r="Z2143" s="183"/>
      <c r="AA2143" s="183"/>
      <c r="AB2143" s="223"/>
      <c r="AC2143" s="153"/>
      <c r="AD2143" s="331"/>
      <c r="AE2143" s="57"/>
      <c r="AF2143" s="88"/>
      <c r="AG2143" s="182">
        <f>YEAR(D2143)</f>
        <v>2016</v>
      </c>
      <c r="AH2143" s="86" t="str">
        <f>+IF(AE2143=$AJ$22,MONTH(T2143),"")</f>
        <v/>
      </c>
      <c r="AI2143" s="86" t="str">
        <f>+IF(AF2143=$AJ$22,MONTH(U2143),"")</f>
        <v/>
      </c>
      <c r="AJ2143" s="86" t="str">
        <f>+IF(AG2143=$AJ$22,MONTH(V2143),"")</f>
        <v/>
      </c>
      <c r="AK2143" s="86" t="str">
        <f>+IF(AG2143=$AK$22,MONTH(V2143),"")</f>
        <v/>
      </c>
      <c r="AL2143" s="86" t="str">
        <f>+IF(AG2143=$AL$22,MONTH(V2143),"")</f>
        <v/>
      </c>
      <c r="AM2143" s="86" t="str">
        <f>+IF($AG2143=$AM$22,MONTH($D2143),"")</f>
        <v/>
      </c>
      <c r="AN2143" s="89" t="str">
        <f>+IF($AG2143=AN$22,MONTH($D2143),"")</f>
        <v/>
      </c>
      <c r="AO2143" s="86" t="str">
        <f>+IF($AG2143=AO$22,MONTH($D2143),"")</f>
        <v/>
      </c>
      <c r="AP2143" s="86" t="str">
        <f>+IF($AG2143=AP$22,MONTH($D2143),"")</f>
        <v/>
      </c>
      <c r="AQ2143" s="86" t="str">
        <f>+IF($AG2143=AQ$22,MONTH($D2143),"")</f>
        <v/>
      </c>
      <c r="AR2143" s="86">
        <f>+IF($AG2143=AR$22,MONTH($D2143),"")</f>
        <v>9</v>
      </c>
      <c r="AS2143" s="86" t="str">
        <f>+IF($AG2143=AS$22,MONTH($D2143),"")</f>
        <v/>
      </c>
      <c r="AT2143" s="86" t="str">
        <f>+IF($AG2143=AT$22,MONTH($D2143),"")</f>
        <v/>
      </c>
      <c r="AU2143" s="86" t="str">
        <f>+IF($AG2143=AU$22,MONTH($D2143),"")</f>
        <v/>
      </c>
      <c r="AV2143" s="86" t="str">
        <f>+IF($AG2143=AV$22,MONTH($D2143),"")</f>
        <v/>
      </c>
      <c r="AW2143" s="86" t="str">
        <f>+IF($AG2143=AW$22,MONTH($D2143),"")</f>
        <v/>
      </c>
      <c r="AX2143" s="86" t="str">
        <f>+IF($AG2143=AX$22,MONTH($D2143),"")</f>
        <v/>
      </c>
      <c r="AY2143" s="89"/>
      <c r="AZ2143" s="89"/>
      <c r="BA2143" s="89"/>
      <c r="BB2143" s="89"/>
      <c r="BC2143" s="89"/>
      <c r="BD2143" s="89"/>
      <c r="BE2143" s="89"/>
      <c r="BF2143" s="89"/>
      <c r="BG2143" s="89"/>
      <c r="BH2143" s="89"/>
      <c r="BI2143" s="89"/>
      <c r="BJ2143" s="89"/>
      <c r="BK2143" s="89"/>
      <c r="BL2143" s="89"/>
      <c r="BM2143" s="89"/>
      <c r="BN2143" s="89"/>
      <c r="BO2143" s="89"/>
      <c r="BP2143" s="89"/>
    </row>
    <row r="2144" spans="1:68" s="56" customFormat="1" ht="13.5" hidden="1">
      <c r="A2144" s="204">
        <f>+IFERROR(VALUE(MID(AB2144,4,4)),"")</f>
        <v>124</v>
      </c>
      <c r="B2144" s="204">
        <f>VALUE(RIGHT(C2144,LEN(C2144)-2))</f>
        <v>581</v>
      </c>
      <c r="C2144" s="74" t="s">
        <v>7363</v>
      </c>
      <c r="D2144" s="75">
        <v>42629</v>
      </c>
      <c r="E2144" s="70" t="s">
        <v>81</v>
      </c>
      <c r="F2144" s="70" t="s">
        <v>3351</v>
      </c>
      <c r="G2144" s="68" t="s">
        <v>7364</v>
      </c>
      <c r="H2144" s="59" t="s">
        <v>7365</v>
      </c>
      <c r="I2144" s="162" t="s">
        <v>7366</v>
      </c>
      <c r="J2144" s="162"/>
      <c r="K2144" s="68"/>
      <c r="L2144" s="69" t="s">
        <v>120</v>
      </c>
      <c r="M2144" s="71" t="s">
        <v>113</v>
      </c>
      <c r="N2144" s="69" t="e" vm="4">
        <v>#VALUE!</v>
      </c>
      <c r="O2144" s="164">
        <v>42629</v>
      </c>
      <c r="P2144" s="72" t="s">
        <v>402</v>
      </c>
      <c r="Q2144" s="72"/>
      <c r="R2144" s="162"/>
      <c r="S2144" s="146"/>
      <c r="T2144" s="68" t="s">
        <v>3</v>
      </c>
      <c r="U2144" s="87"/>
      <c r="V2144" s="183">
        <v>42629</v>
      </c>
      <c r="W2144" s="73">
        <v>1067</v>
      </c>
      <c r="X2144" s="73">
        <f>78646*620/1000000</f>
        <v>48.76052</v>
      </c>
      <c r="Y2144" s="83">
        <f>IF(SUM(W2144:W2144)&gt;0,X2144/SUM(W2144:W2144)*1000000,"N/A")</f>
        <v>45698.706654170572</v>
      </c>
      <c r="Z2144" s="183"/>
      <c r="AA2144" s="183"/>
      <c r="AB2144" s="223" t="s">
        <v>7367</v>
      </c>
      <c r="AC2144" s="153"/>
      <c r="AD2144" s="331"/>
      <c r="AE2144" s="57"/>
      <c r="AF2144" s="88"/>
      <c r="AG2144" s="182">
        <f>YEAR(D2144)</f>
        <v>2016</v>
      </c>
      <c r="AH2144" s="86" t="str">
        <f>+IF(AE2144=$AJ$22,MONTH(T2144),"")</f>
        <v/>
      </c>
      <c r="AI2144" s="86" t="str">
        <f>+IF(AF2144=$AJ$22,MONTH(U2144),"")</f>
        <v/>
      </c>
      <c r="AJ2144" s="86" t="str">
        <f>+IF(AG2144=$AJ$22,MONTH(V2144),"")</f>
        <v/>
      </c>
      <c r="AK2144" s="86" t="str">
        <f>+IF(AG2144=$AK$22,MONTH(V2144),"")</f>
        <v/>
      </c>
      <c r="AL2144" s="86" t="str">
        <f>+IF(AG2144=$AL$22,MONTH(V2144),"")</f>
        <v/>
      </c>
      <c r="AM2144" s="86" t="str">
        <f>+IF($AG2144=$AM$22,MONTH($D2144),"")</f>
        <v/>
      </c>
      <c r="AN2144" s="89" t="str">
        <f>+IF($AG2144=AN$22,MONTH($D2144),"")</f>
        <v/>
      </c>
      <c r="AO2144" s="86" t="str">
        <f>+IF($AG2144=AO$22,MONTH($D2144),"")</f>
        <v/>
      </c>
      <c r="AP2144" s="86" t="str">
        <f>+IF($AG2144=AP$22,MONTH($D2144),"")</f>
        <v/>
      </c>
      <c r="AQ2144" s="86" t="str">
        <f>+IF($AG2144=AQ$22,MONTH($D2144),"")</f>
        <v/>
      </c>
      <c r="AR2144" s="86">
        <f>+IF($AG2144=AR$22,MONTH($D2144),"")</f>
        <v>9</v>
      </c>
      <c r="AS2144" s="86" t="str">
        <f>+IF($AG2144=AS$22,MONTH($D2144),"")</f>
        <v/>
      </c>
      <c r="AT2144" s="86" t="str">
        <f>+IF($AG2144=AT$22,MONTH($D2144),"")</f>
        <v/>
      </c>
      <c r="AU2144" s="86" t="str">
        <f>+IF($AG2144=AU$22,MONTH($D2144),"")</f>
        <v/>
      </c>
      <c r="AV2144" s="86" t="str">
        <f>+IF($AG2144=AV$22,MONTH($D2144),"")</f>
        <v/>
      </c>
      <c r="AW2144" s="86" t="str">
        <f>+IF($AG2144=AW$22,MONTH($D2144),"")</f>
        <v/>
      </c>
      <c r="AX2144" s="86" t="str">
        <f>+IF($AG2144=AX$22,MONTH($D2144),"")</f>
        <v/>
      </c>
      <c r="AY2144" s="89"/>
      <c r="AZ2144" s="89"/>
      <c r="BA2144" s="89"/>
      <c r="BB2144" s="89"/>
      <c r="BC2144" s="89"/>
      <c r="BD2144" s="89"/>
      <c r="BE2144" s="89"/>
      <c r="BF2144" s="89"/>
      <c r="BG2144" s="89"/>
      <c r="BH2144" s="89"/>
      <c r="BI2144" s="89"/>
      <c r="BJ2144" s="89"/>
      <c r="BK2144" s="89"/>
      <c r="BL2144" s="89"/>
      <c r="BM2144" s="89"/>
      <c r="BN2144" s="89"/>
      <c r="BO2144" s="89"/>
      <c r="BP2144" s="89"/>
    </row>
    <row r="2145" spans="1:68" s="58" customFormat="1" ht="13.5" hidden="1">
      <c r="A2145" s="204" t="str">
        <f>+IFERROR(VALUE(MID(AB2145,4,4)),"")</f>
        <v/>
      </c>
      <c r="B2145" s="204">
        <f>VALUE(RIGHT(C2145,LEN(C2145)-2))</f>
        <v>580</v>
      </c>
      <c r="C2145" s="74" t="s">
        <v>7368</v>
      </c>
      <c r="D2145" s="75">
        <v>42628</v>
      </c>
      <c r="E2145" s="70"/>
      <c r="F2145" s="70"/>
      <c r="G2145" s="68"/>
      <c r="H2145" s="59"/>
      <c r="I2145" s="162" t="s">
        <v>7369</v>
      </c>
      <c r="J2145" s="162"/>
      <c r="K2145" s="68"/>
      <c r="L2145" s="69"/>
      <c r="M2145" s="71"/>
      <c r="N2145" s="69"/>
      <c r="O2145" s="164"/>
      <c r="P2145" s="72"/>
      <c r="Q2145" s="72"/>
      <c r="R2145" s="162"/>
      <c r="S2145" s="146"/>
      <c r="T2145" s="68" t="s">
        <v>155</v>
      </c>
      <c r="U2145" s="87"/>
      <c r="V2145" s="183"/>
      <c r="W2145" s="73"/>
      <c r="X2145" s="73"/>
      <c r="Y2145" s="83"/>
      <c r="Z2145" s="183"/>
      <c r="AA2145" s="183"/>
      <c r="AB2145" s="223"/>
      <c r="AC2145" s="153"/>
      <c r="AD2145" s="331"/>
      <c r="AE2145" s="57"/>
      <c r="AF2145" s="88"/>
      <c r="AG2145" s="182">
        <f>YEAR(D2145)</f>
        <v>2016</v>
      </c>
      <c r="AH2145" s="86" t="str">
        <f>+IF(AE2145=$AJ$22,MONTH(T2145),"")</f>
        <v/>
      </c>
      <c r="AI2145" s="86" t="str">
        <f>+IF(AF2145=$AJ$22,MONTH(U2145),"")</f>
        <v/>
      </c>
      <c r="AJ2145" s="86" t="str">
        <f>+IF(AG2145=$AJ$22,MONTH(V2145),"")</f>
        <v/>
      </c>
      <c r="AK2145" s="86" t="str">
        <f>+IF(AG2145=$AK$22,MONTH(V2145),"")</f>
        <v/>
      </c>
      <c r="AL2145" s="86" t="str">
        <f>+IF(AG2145=$AL$22,MONTH(V2145),"")</f>
        <v/>
      </c>
      <c r="AM2145" s="86" t="str">
        <f>+IF($AG2145=$AM$22,MONTH($D2145),"")</f>
        <v/>
      </c>
      <c r="AN2145" s="89" t="str">
        <f>+IF($AG2145=AN$22,MONTH($D2145),"")</f>
        <v/>
      </c>
      <c r="AO2145" s="184" t="str">
        <f>+IF($AG2145=AO$22,MONTH($D2145),"")</f>
        <v/>
      </c>
      <c r="AP2145" s="184" t="str">
        <f>+IF($AG2145=AP$22,MONTH($D2145),"")</f>
        <v/>
      </c>
      <c r="AQ2145" s="184" t="str">
        <f>+IF($AG2145=AQ$22,MONTH($D2145),"")</f>
        <v/>
      </c>
      <c r="AR2145" s="184">
        <f>+IF($AG2145=AR$22,MONTH($D2145),"")</f>
        <v>9</v>
      </c>
      <c r="AS2145" s="184" t="str">
        <f>+IF($AG2145=AS$22,MONTH($D2145),"")</f>
        <v/>
      </c>
      <c r="AT2145" s="86" t="str">
        <f>+IF($AG2145=AT$22,MONTH($D2145),"")</f>
        <v/>
      </c>
      <c r="AU2145" s="86" t="str">
        <f>+IF($AG2145=AU$22,MONTH($D2145),"")</f>
        <v/>
      </c>
      <c r="AV2145" s="86" t="str">
        <f>+IF($AG2145=AV$22,MONTH($D2145),"")</f>
        <v/>
      </c>
      <c r="AW2145" s="86" t="str">
        <f>+IF($AG2145=AW$22,MONTH($D2145),"")</f>
        <v/>
      </c>
      <c r="AX2145" s="86" t="str">
        <f>+IF($AG2145=AX$22,MONTH($D2145),"")</f>
        <v/>
      </c>
      <c r="AY2145" s="89"/>
      <c r="AZ2145" s="89"/>
      <c r="BA2145" s="89"/>
      <c r="BB2145" s="89"/>
      <c r="BC2145" s="89"/>
      <c r="BD2145" s="89"/>
      <c r="BE2145" s="89"/>
      <c r="BF2145" s="89"/>
      <c r="BG2145" s="89"/>
      <c r="BH2145" s="89"/>
      <c r="BI2145" s="89"/>
      <c r="BJ2145" s="259"/>
      <c r="BK2145" s="259"/>
      <c r="BL2145" s="259"/>
      <c r="BM2145" s="259"/>
      <c r="BN2145" s="259"/>
      <c r="BO2145" s="259"/>
      <c r="BP2145" s="259"/>
    </row>
    <row r="2146" spans="1:68" s="58" customFormat="1" ht="27" hidden="1">
      <c r="A2146" s="204">
        <f>+IFERROR(VALUE(MID(AB2146,4,4)),"")</f>
        <v>113</v>
      </c>
      <c r="B2146" s="204">
        <f>VALUE(RIGHT(C2146,LEN(C2146)-2))</f>
        <v>579</v>
      </c>
      <c r="C2146" s="74" t="s">
        <v>7370</v>
      </c>
      <c r="D2146" s="75">
        <v>42633</v>
      </c>
      <c r="E2146" s="70" t="s">
        <v>332</v>
      </c>
      <c r="F2146" s="70" t="s">
        <v>332</v>
      </c>
      <c r="G2146" s="68" t="s">
        <v>737</v>
      </c>
      <c r="H2146" s="59" t="s">
        <v>7267</v>
      </c>
      <c r="I2146" s="162" t="s">
        <v>7371</v>
      </c>
      <c r="J2146" s="162"/>
      <c r="K2146" s="68" t="s">
        <v>13</v>
      </c>
      <c r="L2146" s="69" t="s">
        <v>120</v>
      </c>
      <c r="M2146" s="71" t="s">
        <v>141</v>
      </c>
      <c r="N2146" s="69" t="e" vm="1">
        <v>#VALUE!</v>
      </c>
      <c r="O2146" s="164">
        <v>42633</v>
      </c>
      <c r="P2146" s="72" t="s">
        <v>7372</v>
      </c>
      <c r="Q2146" s="72"/>
      <c r="R2146" s="162"/>
      <c r="S2146" s="146"/>
      <c r="T2146" s="68" t="s">
        <v>3</v>
      </c>
      <c r="U2146" s="87"/>
      <c r="V2146" s="183">
        <v>42633</v>
      </c>
      <c r="W2146" s="73">
        <v>469</v>
      </c>
      <c r="X2146" s="73">
        <f>569*24600/1000000</f>
        <v>13.997400000000001</v>
      </c>
      <c r="Y2146" s="83">
        <f>IF(SUM(W2146:W2146)&gt;0,X2146/SUM(W2146:W2146)*1000000,"N/A")</f>
        <v>29845.202558635396</v>
      </c>
      <c r="Z2146" s="183"/>
      <c r="AA2146" s="183"/>
      <c r="AB2146" s="223" t="s">
        <v>7373</v>
      </c>
      <c r="AC2146" s="153"/>
      <c r="AD2146" s="331"/>
      <c r="AE2146" s="57"/>
      <c r="AF2146" s="88"/>
      <c r="AG2146" s="182">
        <f>YEAR(D2146)</f>
        <v>2016</v>
      </c>
      <c r="AH2146" s="86" t="str">
        <f>+IF(AE2146=$AJ$22,MONTH(T2146),"")</f>
        <v/>
      </c>
      <c r="AI2146" s="86" t="str">
        <f>+IF(AF2146=$AJ$22,MONTH(U2146),"")</f>
        <v/>
      </c>
      <c r="AJ2146" s="86" t="str">
        <f>+IF(AG2146=$AJ$22,MONTH(V2146),"")</f>
        <v/>
      </c>
      <c r="AK2146" s="86" t="str">
        <f>+IF(AG2146=$AK$22,MONTH(V2146),"")</f>
        <v/>
      </c>
      <c r="AL2146" s="86" t="str">
        <f>+IF(AG2146=$AL$22,MONTH(V2146),"")</f>
        <v/>
      </c>
      <c r="AM2146" s="86" t="str">
        <f>+IF($AG2146=$AM$22,MONTH($D2146),"")</f>
        <v/>
      </c>
      <c r="AN2146" s="89" t="str">
        <f>+IF($AG2146=AN$22,MONTH($D2146),"")</f>
        <v/>
      </c>
      <c r="AO2146" s="86" t="str">
        <f>+IF($AG2146=AO$22,MONTH($D2146),"")</f>
        <v/>
      </c>
      <c r="AP2146" s="86" t="str">
        <f>+IF($AG2146=AP$22,MONTH($D2146),"")</f>
        <v/>
      </c>
      <c r="AQ2146" s="86" t="str">
        <f>+IF($AG2146=AQ$22,MONTH($D2146),"")</f>
        <v/>
      </c>
      <c r="AR2146" s="86">
        <f>+IF($AG2146=AR$22,MONTH($D2146),"")</f>
        <v>9</v>
      </c>
      <c r="AS2146" s="86" t="str">
        <f>+IF($AG2146=AS$22,MONTH($D2146),"")</f>
        <v/>
      </c>
      <c r="AT2146" s="86" t="str">
        <f>+IF($AG2146=AT$22,MONTH($D2146),"")</f>
        <v/>
      </c>
      <c r="AU2146" s="86" t="str">
        <f>+IF($AG2146=AU$22,MONTH($D2146),"")</f>
        <v/>
      </c>
      <c r="AV2146" s="86" t="str">
        <f>+IF($AG2146=AV$22,MONTH($D2146),"")</f>
        <v/>
      </c>
      <c r="AW2146" s="86" t="str">
        <f>+IF($AG2146=AW$22,MONTH($D2146),"")</f>
        <v/>
      </c>
      <c r="AX2146" s="86" t="str">
        <f>+IF($AG2146=AX$22,MONTH($D2146),"")</f>
        <v/>
      </c>
      <c r="AY2146" s="89"/>
      <c r="AZ2146" s="89"/>
      <c r="BA2146" s="89"/>
      <c r="BB2146" s="89"/>
      <c r="BC2146" s="89"/>
      <c r="BD2146" s="89"/>
      <c r="BE2146" s="89"/>
      <c r="BF2146" s="89"/>
      <c r="BG2146" s="89"/>
      <c r="BH2146" s="89"/>
      <c r="BI2146" s="89"/>
      <c r="BJ2146" s="259"/>
      <c r="BK2146" s="259"/>
      <c r="BL2146" s="259"/>
      <c r="BM2146" s="259"/>
      <c r="BN2146" s="259"/>
      <c r="BO2146" s="259"/>
      <c r="BP2146" s="259"/>
    </row>
    <row r="2147" spans="1:68" s="56" customFormat="1" ht="13.5" hidden="1">
      <c r="A2147" s="204">
        <f>+IFERROR(VALUE(MID(AB2147,4,4)),"")</f>
        <v>148</v>
      </c>
      <c r="B2147" s="204">
        <f>VALUE(RIGHT(C2147,LEN(C2147)-2))</f>
        <v>578</v>
      </c>
      <c r="C2147" s="74" t="s">
        <v>7374</v>
      </c>
      <c r="D2147" s="75">
        <v>42626</v>
      </c>
      <c r="E2147" s="70" t="s">
        <v>85</v>
      </c>
      <c r="F2147" s="70" t="s">
        <v>85</v>
      </c>
      <c r="G2147" s="68" t="s">
        <v>7375</v>
      </c>
      <c r="H2147" s="59" t="s">
        <v>7331</v>
      </c>
      <c r="I2147" s="162" t="s">
        <v>7376</v>
      </c>
      <c r="J2147" s="162"/>
      <c r="K2147" s="68" t="s">
        <v>13</v>
      </c>
      <c r="L2147" s="69" t="s">
        <v>120</v>
      </c>
      <c r="M2147" s="71" t="s">
        <v>113</v>
      </c>
      <c r="N2147" s="69" t="e" vm="4">
        <v>#VALUE!</v>
      </c>
      <c r="O2147" s="164">
        <v>42614</v>
      </c>
      <c r="P2147" s="72" t="s">
        <v>402</v>
      </c>
      <c r="Q2147" s="72"/>
      <c r="R2147" s="162"/>
      <c r="S2147" s="146"/>
      <c r="T2147" s="68" t="s">
        <v>3</v>
      </c>
      <c r="U2147" s="87"/>
      <c r="V2147" s="183">
        <v>42633</v>
      </c>
      <c r="W2147" s="73">
        <v>143</v>
      </c>
      <c r="X2147" s="73">
        <f>9050*620/1000000</f>
        <v>5.6109999999999998</v>
      </c>
      <c r="Y2147" s="83">
        <f>IF(SUM(W2147:W2147)&gt;0,X2147/SUM(W2147:W2147)*1000000,"N/A")</f>
        <v>39237.762237762239</v>
      </c>
      <c r="Z2147" s="183"/>
      <c r="AA2147" s="183"/>
      <c r="AB2147" s="223" t="s">
        <v>7377</v>
      </c>
      <c r="AC2147" s="153"/>
      <c r="AD2147" s="331"/>
      <c r="AE2147" s="57"/>
      <c r="AF2147" s="88"/>
      <c r="AG2147" s="182">
        <f>YEAR(D2147)</f>
        <v>2016</v>
      </c>
      <c r="AH2147" s="86" t="str">
        <f>+IF(AE2147=$AJ$22,MONTH(T2147),"")</f>
        <v/>
      </c>
      <c r="AI2147" s="86" t="str">
        <f>+IF(AF2147=$AJ$22,MONTH(U2147),"")</f>
        <v/>
      </c>
      <c r="AJ2147" s="86" t="str">
        <f>+IF(AG2147=$AJ$22,MONTH(V2147),"")</f>
        <v/>
      </c>
      <c r="AK2147" s="86" t="str">
        <f>+IF(AG2147=$AK$22,MONTH(V2147),"")</f>
        <v/>
      </c>
      <c r="AL2147" s="86" t="str">
        <f>+IF(AG2147=$AL$22,MONTH(V2147),"")</f>
        <v/>
      </c>
      <c r="AM2147" s="86" t="str">
        <f>+IF($AG2147=$AM$22,MONTH($D2147),"")</f>
        <v/>
      </c>
      <c r="AN2147" s="89" t="str">
        <f>+IF($AG2147=AN$22,MONTH($D2147),"")</f>
        <v/>
      </c>
      <c r="AO2147" s="86" t="str">
        <f>+IF($AG2147=AO$22,MONTH($D2147),"")</f>
        <v/>
      </c>
      <c r="AP2147" s="86" t="str">
        <f>+IF($AG2147=AP$22,MONTH($D2147),"")</f>
        <v/>
      </c>
      <c r="AQ2147" s="86" t="str">
        <f>+IF($AG2147=AQ$22,MONTH($D2147),"")</f>
        <v/>
      </c>
      <c r="AR2147" s="86">
        <f>+IF($AG2147=AR$22,MONTH($D2147),"")</f>
        <v>9</v>
      </c>
      <c r="AS2147" s="86" t="str">
        <f>+IF($AG2147=AS$22,MONTH($D2147),"")</f>
        <v/>
      </c>
      <c r="AT2147" s="86" t="str">
        <f>+IF($AG2147=AT$22,MONTH($D2147),"")</f>
        <v/>
      </c>
      <c r="AU2147" s="86" t="str">
        <f>+IF($AG2147=AU$22,MONTH($D2147),"")</f>
        <v/>
      </c>
      <c r="AV2147" s="86" t="str">
        <f>+IF($AG2147=AV$22,MONTH($D2147),"")</f>
        <v/>
      </c>
      <c r="AW2147" s="86" t="str">
        <f>+IF($AG2147=AW$22,MONTH($D2147),"")</f>
        <v/>
      </c>
      <c r="AX2147" s="86" t="str">
        <f>+IF($AG2147=AX$22,MONTH($D2147),"")</f>
        <v/>
      </c>
      <c r="AY2147" s="89"/>
      <c r="AZ2147" s="89"/>
      <c r="BA2147" s="89"/>
      <c r="BB2147" s="89"/>
      <c r="BC2147" s="89"/>
      <c r="BD2147" s="89"/>
      <c r="BE2147" s="89"/>
      <c r="BF2147" s="89"/>
      <c r="BG2147" s="89"/>
      <c r="BH2147" s="89"/>
      <c r="BI2147" s="89"/>
      <c r="BJ2147" s="89"/>
      <c r="BK2147" s="89"/>
      <c r="BL2147" s="89"/>
      <c r="BM2147" s="89"/>
      <c r="BN2147" s="89"/>
      <c r="BO2147" s="89"/>
      <c r="BP2147" s="89"/>
    </row>
    <row r="2148" spans="1:68" s="58" customFormat="1" ht="67.5" hidden="1">
      <c r="A2148" s="204" t="str">
        <f>+IFERROR(VALUE(MID(AB2148,4,4)),"")</f>
        <v/>
      </c>
      <c r="B2148" s="204">
        <f>VALUE(RIGHT(C2148,LEN(C2148)-2))</f>
        <v>577</v>
      </c>
      <c r="C2148" s="74" t="s">
        <v>7378</v>
      </c>
      <c r="D2148" s="75">
        <v>42628</v>
      </c>
      <c r="E2148" s="70" t="s">
        <v>53</v>
      </c>
      <c r="F2148" s="70" t="s">
        <v>252</v>
      </c>
      <c r="G2148" s="68" t="s">
        <v>7379</v>
      </c>
      <c r="H2148" s="59" t="s">
        <v>7380</v>
      </c>
      <c r="I2148" s="162" t="s">
        <v>7381</v>
      </c>
      <c r="J2148" s="162"/>
      <c r="K2148" s="68" t="s">
        <v>13</v>
      </c>
      <c r="L2148" s="69" t="s">
        <v>123</v>
      </c>
      <c r="M2148" s="71" t="s">
        <v>141</v>
      </c>
      <c r="N2148" s="69" t="e" vm="1">
        <v>#VALUE!</v>
      </c>
      <c r="O2148" s="164">
        <v>42628</v>
      </c>
      <c r="P2148" s="72" t="s">
        <v>402</v>
      </c>
      <c r="Q2148" s="72"/>
      <c r="R2148" s="162"/>
      <c r="S2148" s="146" t="s">
        <v>7382</v>
      </c>
      <c r="T2148" s="68" t="s">
        <v>155</v>
      </c>
      <c r="U2148" s="87"/>
      <c r="V2148" s="183">
        <v>42633</v>
      </c>
      <c r="W2148" s="73"/>
      <c r="X2148" s="73"/>
      <c r="Y2148" s="83"/>
      <c r="Z2148" s="183"/>
      <c r="AA2148" s="183"/>
      <c r="AB2148" s="223"/>
      <c r="AC2148" s="153"/>
      <c r="AD2148" s="331"/>
      <c r="AE2148" s="57"/>
      <c r="AF2148" s="88"/>
      <c r="AG2148" s="182">
        <f>YEAR(D2148)</f>
        <v>2016</v>
      </c>
      <c r="AH2148" s="86" t="str">
        <f>+IF(AE2148=$AJ$22,MONTH(T2148),"")</f>
        <v/>
      </c>
      <c r="AI2148" s="86" t="str">
        <f>+IF(AF2148=$AJ$22,MONTH(U2148),"")</f>
        <v/>
      </c>
      <c r="AJ2148" s="86" t="str">
        <f>+IF(AG2148=$AJ$22,MONTH(V2148),"")</f>
        <v/>
      </c>
      <c r="AK2148" s="86" t="str">
        <f>+IF(AG2148=$AK$22,MONTH(V2148),"")</f>
        <v/>
      </c>
      <c r="AL2148" s="86" t="str">
        <f>+IF(AG2148=$AL$22,MONTH(V2148),"")</f>
        <v/>
      </c>
      <c r="AM2148" s="86" t="str">
        <f>+IF($AG2148=$AM$22,MONTH($D2148),"")</f>
        <v/>
      </c>
      <c r="AN2148" s="89" t="str">
        <f>+IF($AG2148=AN$22,MONTH($D2148),"")</f>
        <v/>
      </c>
      <c r="AO2148" s="86" t="str">
        <f>+IF($AG2148=AO$22,MONTH($D2148),"")</f>
        <v/>
      </c>
      <c r="AP2148" s="86" t="str">
        <f>+IF($AG2148=AP$22,MONTH($D2148),"")</f>
        <v/>
      </c>
      <c r="AQ2148" s="86" t="str">
        <f>+IF($AG2148=AQ$22,MONTH($D2148),"")</f>
        <v/>
      </c>
      <c r="AR2148" s="86">
        <f>+IF($AG2148=AR$22,MONTH($D2148),"")</f>
        <v>9</v>
      </c>
      <c r="AS2148" s="86" t="str">
        <f>+IF($AG2148=AS$22,MONTH($D2148),"")</f>
        <v/>
      </c>
      <c r="AT2148" s="86" t="str">
        <f>+IF($AG2148=AT$22,MONTH($D2148),"")</f>
        <v/>
      </c>
      <c r="AU2148" s="86" t="str">
        <f>+IF($AG2148=AU$22,MONTH($D2148),"")</f>
        <v/>
      </c>
      <c r="AV2148" s="86" t="str">
        <f>+IF($AG2148=AV$22,MONTH($D2148),"")</f>
        <v/>
      </c>
      <c r="AW2148" s="86" t="str">
        <f>+IF($AG2148=AW$22,MONTH($D2148),"")</f>
        <v/>
      </c>
      <c r="AX2148" s="86" t="str">
        <f>+IF($AG2148=AX$22,MONTH($D2148),"")</f>
        <v/>
      </c>
      <c r="AY2148" s="89"/>
      <c r="AZ2148" s="89"/>
      <c r="BA2148" s="89"/>
      <c r="BB2148" s="89"/>
      <c r="BC2148" s="89"/>
      <c r="BD2148" s="89"/>
      <c r="BE2148" s="89"/>
      <c r="BF2148" s="89"/>
      <c r="BG2148" s="89"/>
      <c r="BH2148" s="89"/>
      <c r="BI2148" s="89"/>
      <c r="BJ2148" s="259"/>
      <c r="BK2148" s="259"/>
      <c r="BL2148" s="259"/>
      <c r="BM2148" s="259"/>
      <c r="BN2148" s="259"/>
      <c r="BO2148" s="259"/>
      <c r="BP2148" s="259"/>
    </row>
    <row r="2149" spans="1:68" s="56" customFormat="1" ht="13.5" hidden="1">
      <c r="A2149" s="204" t="str">
        <f>+IFERROR(VALUE(MID(AB2149,4,4)),"")</f>
        <v/>
      </c>
      <c r="B2149" s="204">
        <f>VALUE(RIGHT(C2149,LEN(C2149)-2))</f>
        <v>576</v>
      </c>
      <c r="C2149" s="74" t="s">
        <v>7383</v>
      </c>
      <c r="D2149" s="75">
        <v>42625</v>
      </c>
      <c r="E2149" s="70" t="s">
        <v>53</v>
      </c>
      <c r="F2149" s="70" t="s">
        <v>630</v>
      </c>
      <c r="G2149" s="68"/>
      <c r="H2149" s="59" t="s">
        <v>7384</v>
      </c>
      <c r="I2149" s="162" t="s">
        <v>7385</v>
      </c>
      <c r="J2149" s="162"/>
      <c r="K2149" s="68" t="s">
        <v>30</v>
      </c>
      <c r="L2149" s="69" t="s">
        <v>123</v>
      </c>
      <c r="M2149" s="71" t="s">
        <v>141</v>
      </c>
      <c r="N2149" s="69" t="e" vm="1">
        <v>#VALUE!</v>
      </c>
      <c r="O2149" s="164">
        <v>42628</v>
      </c>
      <c r="P2149" s="72" t="s">
        <v>402</v>
      </c>
      <c r="Q2149" s="72"/>
      <c r="R2149" s="162"/>
      <c r="S2149" s="146"/>
      <c r="T2149" s="68" t="s">
        <v>155</v>
      </c>
      <c r="U2149" s="87"/>
      <c r="V2149" s="183">
        <v>42633</v>
      </c>
      <c r="W2149" s="73"/>
      <c r="X2149" s="73"/>
      <c r="Y2149" s="83"/>
      <c r="Z2149" s="183"/>
      <c r="AA2149" s="183"/>
      <c r="AB2149" s="223"/>
      <c r="AC2149" s="153"/>
      <c r="AD2149" s="331"/>
      <c r="AE2149" s="57"/>
      <c r="AF2149" s="88"/>
      <c r="AG2149" s="182">
        <f>YEAR(D2149)</f>
        <v>2016</v>
      </c>
      <c r="AH2149" s="86" t="str">
        <f>+IF(AE2149=$AJ$22,MONTH(T2149),"")</f>
        <v/>
      </c>
      <c r="AI2149" s="86" t="str">
        <f>+IF(AF2149=$AJ$22,MONTH(U2149),"")</f>
        <v/>
      </c>
      <c r="AJ2149" s="86" t="str">
        <f>+IF(AG2149=$AJ$22,MONTH(V2149),"")</f>
        <v/>
      </c>
      <c r="AK2149" s="86" t="str">
        <f>+IF(AG2149=$AK$22,MONTH(V2149),"")</f>
        <v/>
      </c>
      <c r="AL2149" s="86" t="str">
        <f>+IF(AG2149=$AL$22,MONTH(V2149),"")</f>
        <v/>
      </c>
      <c r="AM2149" s="86" t="str">
        <f>+IF($AG2149=$AM$22,MONTH($D2149),"")</f>
        <v/>
      </c>
      <c r="AN2149" s="89" t="str">
        <f>+IF($AG2149=AN$22,MONTH($D2149),"")</f>
        <v/>
      </c>
      <c r="AO2149" s="86" t="str">
        <f>+IF($AG2149=AO$22,MONTH($D2149),"")</f>
        <v/>
      </c>
      <c r="AP2149" s="86" t="str">
        <f>+IF($AG2149=AP$22,MONTH($D2149),"")</f>
        <v/>
      </c>
      <c r="AQ2149" s="86" t="str">
        <f>+IF($AG2149=AQ$22,MONTH($D2149),"")</f>
        <v/>
      </c>
      <c r="AR2149" s="86">
        <f>+IF($AG2149=AR$22,MONTH($D2149),"")</f>
        <v>9</v>
      </c>
      <c r="AS2149" s="86" t="str">
        <f>+IF($AG2149=AS$22,MONTH($D2149),"")</f>
        <v/>
      </c>
      <c r="AT2149" s="86" t="str">
        <f>+IF($AG2149=AT$22,MONTH($D2149),"")</f>
        <v/>
      </c>
      <c r="AU2149" s="86" t="str">
        <f>+IF($AG2149=AU$22,MONTH($D2149),"")</f>
        <v/>
      </c>
      <c r="AV2149" s="86" t="str">
        <f>+IF($AG2149=AV$22,MONTH($D2149),"")</f>
        <v/>
      </c>
      <c r="AW2149" s="86" t="str">
        <f>+IF($AG2149=AW$22,MONTH($D2149),"")</f>
        <v/>
      </c>
      <c r="AX2149" s="86" t="str">
        <f>+IF($AG2149=AX$22,MONTH($D2149),"")</f>
        <v/>
      </c>
      <c r="AY2149" s="89"/>
      <c r="AZ2149" s="89"/>
      <c r="BA2149" s="89"/>
      <c r="BB2149" s="89"/>
      <c r="BC2149" s="89"/>
      <c r="BD2149" s="89"/>
      <c r="BE2149" s="89"/>
      <c r="BF2149" s="89"/>
      <c r="BG2149" s="89"/>
      <c r="BH2149" s="89"/>
      <c r="BI2149" s="89"/>
      <c r="BJ2149" s="89"/>
      <c r="BK2149" s="89"/>
      <c r="BL2149" s="89"/>
      <c r="BM2149" s="89"/>
      <c r="BN2149" s="89"/>
      <c r="BO2149" s="89"/>
      <c r="BP2149" s="89"/>
    </row>
    <row r="2150" spans="1:68" s="56" customFormat="1" ht="40.5" hidden="1">
      <c r="A2150" s="204" t="str">
        <f>+IFERROR(VALUE(MID(AB2150,4,4)),"")</f>
        <v/>
      </c>
      <c r="B2150" s="204">
        <f>VALUE(RIGHT(C2150,LEN(C2150)-2))</f>
        <v>575</v>
      </c>
      <c r="C2150" s="74" t="s">
        <v>7386</v>
      </c>
      <c r="D2150" s="75">
        <v>42615</v>
      </c>
      <c r="E2150" s="70" t="s">
        <v>223</v>
      </c>
      <c r="F2150" s="70" t="s">
        <v>223</v>
      </c>
      <c r="G2150" s="68" t="s">
        <v>7387</v>
      </c>
      <c r="H2150" s="59" t="s">
        <v>7388</v>
      </c>
      <c r="I2150" s="162" t="s">
        <v>7389</v>
      </c>
      <c r="J2150" s="162"/>
      <c r="K2150" s="68" t="s">
        <v>113</v>
      </c>
      <c r="L2150" s="69" t="s">
        <v>123</v>
      </c>
      <c r="M2150" s="71" t="s">
        <v>141</v>
      </c>
      <c r="N2150" s="69" t="e" vm="1">
        <v>#VALUE!</v>
      </c>
      <c r="O2150" s="164"/>
      <c r="P2150" s="72" t="s">
        <v>402</v>
      </c>
      <c r="Q2150" s="72"/>
      <c r="R2150" s="162"/>
      <c r="S2150" s="146" t="s">
        <v>7390</v>
      </c>
      <c r="T2150" s="68" t="s">
        <v>165</v>
      </c>
      <c r="U2150" s="87"/>
      <c r="V2150" s="183">
        <v>42713</v>
      </c>
      <c r="W2150" s="73">
        <v>1410</v>
      </c>
      <c r="X2150" s="73">
        <f>3525*27201/1000000</f>
        <v>95.883525000000006</v>
      </c>
      <c r="Y2150" s="83">
        <f>IF(SUM(W2150:W2150)&gt;0,X2150/SUM(W2150:W2150)*1000000,"N/A")</f>
        <v>68002.500000000015</v>
      </c>
      <c r="Z2150" s="183"/>
      <c r="AA2150" s="183"/>
      <c r="AB2150" s="223"/>
      <c r="AC2150" s="153"/>
      <c r="AD2150" s="331"/>
      <c r="AE2150" s="57"/>
      <c r="AF2150" s="88"/>
      <c r="AG2150" s="182">
        <f>YEAR(D2150)</f>
        <v>2016</v>
      </c>
      <c r="AH2150" s="86" t="str">
        <f>+IF(AE2150=$AJ$22,MONTH(T2150),"")</f>
        <v/>
      </c>
      <c r="AI2150" s="86" t="str">
        <f>+IF(AF2150=$AJ$22,MONTH(U2150),"")</f>
        <v/>
      </c>
      <c r="AJ2150" s="86" t="str">
        <f>+IF(AG2150=$AJ$22,MONTH(V2150),"")</f>
        <v/>
      </c>
      <c r="AK2150" s="86" t="str">
        <f>+IF(AG2150=$AK$22,MONTH(V2150),"")</f>
        <v/>
      </c>
      <c r="AL2150" s="86" t="str">
        <f>+IF(AG2150=$AL$22,MONTH(V2150),"")</f>
        <v/>
      </c>
      <c r="AM2150" s="86" t="str">
        <f>+IF($AG2150=$AM$22,MONTH($D2150),"")</f>
        <v/>
      </c>
      <c r="AN2150" s="89" t="str">
        <f>+IF($AG2150=AN$22,MONTH($D2150),"")</f>
        <v/>
      </c>
      <c r="AO2150" s="86" t="str">
        <f>+IF($AG2150=AO$22,MONTH($D2150),"")</f>
        <v/>
      </c>
      <c r="AP2150" s="86" t="str">
        <f>+IF($AG2150=AP$22,MONTH($D2150),"")</f>
        <v/>
      </c>
      <c r="AQ2150" s="86" t="str">
        <f>+IF($AG2150=AQ$22,MONTH($D2150),"")</f>
        <v/>
      </c>
      <c r="AR2150" s="86">
        <f>+IF($AG2150=AR$22,MONTH($D2150),"")</f>
        <v>9</v>
      </c>
      <c r="AS2150" s="86" t="str">
        <f>+IF($AG2150=AS$22,MONTH($D2150),"")</f>
        <v/>
      </c>
      <c r="AT2150" s="86" t="str">
        <f>+IF($AG2150=AT$22,MONTH($D2150),"")</f>
        <v/>
      </c>
      <c r="AU2150" s="86" t="str">
        <f>+IF($AG2150=AU$22,MONTH($D2150),"")</f>
        <v/>
      </c>
      <c r="AV2150" s="86" t="str">
        <f>+IF($AG2150=AV$22,MONTH($D2150),"")</f>
        <v/>
      </c>
      <c r="AW2150" s="86" t="str">
        <f>+IF($AG2150=AW$22,MONTH($D2150),"")</f>
        <v/>
      </c>
      <c r="AX2150" s="86" t="str">
        <f>+IF($AG2150=AX$22,MONTH($D2150),"")</f>
        <v/>
      </c>
      <c r="AY2150" s="89"/>
      <c r="AZ2150" s="89"/>
      <c r="BA2150" s="89"/>
      <c r="BB2150" s="89"/>
      <c r="BC2150" s="89"/>
      <c r="BD2150" s="89"/>
      <c r="BE2150" s="89"/>
      <c r="BF2150" s="89"/>
      <c r="BG2150" s="89"/>
      <c r="BH2150" s="89"/>
      <c r="BI2150" s="89"/>
      <c r="BJ2150" s="89"/>
      <c r="BK2150" s="89"/>
      <c r="BL2150" s="89"/>
      <c r="BM2150" s="89"/>
      <c r="BN2150" s="89"/>
      <c r="BO2150" s="89"/>
      <c r="BP2150" s="89"/>
    </row>
    <row r="2151" spans="1:68" s="56" customFormat="1" ht="27" hidden="1">
      <c r="A2151" s="204">
        <f>+IFERROR(VALUE(MID(AB2151,4,4)),"")</f>
        <v>113</v>
      </c>
      <c r="B2151" s="204">
        <f>VALUE(RIGHT(C2151,LEN(C2151)-2))</f>
        <v>574</v>
      </c>
      <c r="C2151" s="74" t="s">
        <v>7391</v>
      </c>
      <c r="D2151" s="75">
        <v>42619</v>
      </c>
      <c r="E2151" s="70" t="s">
        <v>332</v>
      </c>
      <c r="F2151" s="70" t="s">
        <v>332</v>
      </c>
      <c r="G2151" s="68" t="s">
        <v>737</v>
      </c>
      <c r="H2151" s="59" t="s">
        <v>7267</v>
      </c>
      <c r="I2151" s="162" t="s">
        <v>7392</v>
      </c>
      <c r="J2151" s="162"/>
      <c r="K2151" s="68" t="s">
        <v>13</v>
      </c>
      <c r="L2151" s="69" t="s">
        <v>120</v>
      </c>
      <c r="M2151" s="71" t="s">
        <v>141</v>
      </c>
      <c r="N2151" s="69" t="e" vm="1">
        <v>#VALUE!</v>
      </c>
      <c r="O2151" s="164">
        <v>42619</v>
      </c>
      <c r="P2151" s="72" t="s">
        <v>402</v>
      </c>
      <c r="Q2151" s="72"/>
      <c r="R2151" s="162"/>
      <c r="S2151" s="146"/>
      <c r="T2151" s="68" t="s">
        <v>3</v>
      </c>
      <c r="U2151" s="87"/>
      <c r="V2151" s="183">
        <v>42619</v>
      </c>
      <c r="W2151" s="73">
        <v>814</v>
      </c>
      <c r="X2151" s="73">
        <f>994*24600/1000000</f>
        <v>24.452400000000001</v>
      </c>
      <c r="Y2151" s="83">
        <f>IF(SUM(W2151:W2151)&gt;0,X2151/SUM(W2151:W2151)*1000000,"N/A")</f>
        <v>30039.80343980344</v>
      </c>
      <c r="Z2151" s="183"/>
      <c r="AA2151" s="183"/>
      <c r="AB2151" s="223" t="s">
        <v>7393</v>
      </c>
      <c r="AC2151" s="153"/>
      <c r="AD2151" s="331"/>
      <c r="AE2151" s="57"/>
      <c r="AF2151" s="88"/>
      <c r="AG2151" s="182">
        <f>YEAR(D2151)</f>
        <v>2016</v>
      </c>
      <c r="AH2151" s="86" t="str">
        <f>+IF(AE2151=$AJ$22,MONTH(T2151),"")</f>
        <v/>
      </c>
      <c r="AI2151" s="86" t="str">
        <f>+IF(AF2151=$AJ$22,MONTH(U2151),"")</f>
        <v/>
      </c>
      <c r="AJ2151" s="86" t="str">
        <f>+IF(AG2151=$AJ$22,MONTH(V2151),"")</f>
        <v/>
      </c>
      <c r="AK2151" s="86" t="str">
        <f>+IF(AG2151=$AK$22,MONTH(V2151),"")</f>
        <v/>
      </c>
      <c r="AL2151" s="86" t="str">
        <f>+IF(AG2151=$AL$22,MONTH(V2151),"")</f>
        <v/>
      </c>
      <c r="AM2151" s="86" t="str">
        <f>+IF($AG2151=$AM$22,MONTH($D2151),"")</f>
        <v/>
      </c>
      <c r="AN2151" s="89" t="str">
        <f>+IF($AG2151=AN$22,MONTH($D2151),"")</f>
        <v/>
      </c>
      <c r="AO2151" s="86" t="str">
        <f>+IF($AG2151=AO$22,MONTH($D2151),"")</f>
        <v/>
      </c>
      <c r="AP2151" s="86" t="str">
        <f>+IF($AG2151=AP$22,MONTH($D2151),"")</f>
        <v/>
      </c>
      <c r="AQ2151" s="86" t="str">
        <f>+IF($AG2151=AQ$22,MONTH($D2151),"")</f>
        <v/>
      </c>
      <c r="AR2151" s="86">
        <f>+IF($AG2151=AR$22,MONTH($D2151),"")</f>
        <v>9</v>
      </c>
      <c r="AS2151" s="86" t="str">
        <f>+IF($AG2151=AS$22,MONTH($D2151),"")</f>
        <v/>
      </c>
      <c r="AT2151" s="86" t="str">
        <f>+IF($AG2151=AT$22,MONTH($D2151),"")</f>
        <v/>
      </c>
      <c r="AU2151" s="86" t="str">
        <f>+IF($AG2151=AU$22,MONTH($D2151),"")</f>
        <v/>
      </c>
      <c r="AV2151" s="86" t="str">
        <f>+IF($AG2151=AV$22,MONTH($D2151),"")</f>
        <v/>
      </c>
      <c r="AW2151" s="86" t="str">
        <f>+IF($AG2151=AW$22,MONTH($D2151),"")</f>
        <v/>
      </c>
      <c r="AX2151" s="86" t="str">
        <f>+IF($AG2151=AX$22,MONTH($D2151),"")</f>
        <v/>
      </c>
      <c r="AY2151" s="89"/>
      <c r="AZ2151" s="89"/>
      <c r="BA2151" s="89"/>
      <c r="BB2151" s="89"/>
      <c r="BC2151" s="89"/>
      <c r="BD2151" s="89"/>
      <c r="BE2151" s="89"/>
      <c r="BF2151" s="89"/>
      <c r="BG2151" s="89"/>
      <c r="BH2151" s="89"/>
      <c r="BI2151" s="89"/>
      <c r="BJ2151" s="89"/>
      <c r="BK2151" s="89"/>
      <c r="BL2151" s="89"/>
      <c r="BM2151" s="89"/>
      <c r="BN2151" s="89"/>
      <c r="BO2151" s="89"/>
      <c r="BP2151" s="89"/>
    </row>
    <row r="2152" spans="1:68" s="56" customFormat="1" ht="13.5" hidden="1">
      <c r="A2152" s="204">
        <f>+IFERROR(VALUE(MID(AB2152,4,4)),"")</f>
        <v>144</v>
      </c>
      <c r="B2152" s="204">
        <f>VALUE(RIGHT(C2152,LEN(C2152)-2))</f>
        <v>573</v>
      </c>
      <c r="C2152" s="74" t="s">
        <v>7394</v>
      </c>
      <c r="D2152" s="75">
        <v>42612</v>
      </c>
      <c r="E2152" s="70" t="s">
        <v>106</v>
      </c>
      <c r="F2152" s="70" t="s">
        <v>106</v>
      </c>
      <c r="G2152" s="68" t="s">
        <v>7395</v>
      </c>
      <c r="H2152" s="59"/>
      <c r="I2152" s="162" t="s">
        <v>7396</v>
      </c>
      <c r="J2152" s="162"/>
      <c r="K2152" s="68" t="s">
        <v>11</v>
      </c>
      <c r="L2152" s="69" t="s">
        <v>120</v>
      </c>
      <c r="M2152" s="71" t="s">
        <v>141</v>
      </c>
      <c r="N2152" s="69" t="e" vm="1">
        <v>#VALUE!</v>
      </c>
      <c r="O2152" s="164">
        <v>42612</v>
      </c>
      <c r="P2152" s="72" t="s">
        <v>402</v>
      </c>
      <c r="Q2152" s="72"/>
      <c r="R2152" s="162"/>
      <c r="S2152" s="146"/>
      <c r="T2152" s="68" t="s">
        <v>3</v>
      </c>
      <c r="U2152" s="87"/>
      <c r="V2152" s="183">
        <v>42621</v>
      </c>
      <c r="W2152" s="73">
        <v>50</v>
      </c>
      <c r="X2152" s="73">
        <f>100*24600/1000000</f>
        <v>2.46</v>
      </c>
      <c r="Y2152" s="83"/>
      <c r="Z2152" s="183"/>
      <c r="AA2152" s="183"/>
      <c r="AB2152" s="223" t="s">
        <v>7397</v>
      </c>
      <c r="AC2152" s="153"/>
      <c r="AD2152" s="331"/>
      <c r="AE2152" s="57"/>
      <c r="AF2152" s="88"/>
      <c r="AG2152" s="182">
        <f>YEAR(D2152)</f>
        <v>2016</v>
      </c>
      <c r="AH2152" s="86" t="str">
        <f>+IF(AE2152=$AJ$22,MONTH(T2152),"")</f>
        <v/>
      </c>
      <c r="AI2152" s="86" t="str">
        <f>+IF(AF2152=$AJ$22,MONTH(U2152),"")</f>
        <v/>
      </c>
      <c r="AJ2152" s="86" t="str">
        <f>+IF(AG2152=$AJ$22,MONTH(V2152),"")</f>
        <v/>
      </c>
      <c r="AK2152" s="86" t="str">
        <f>+IF(AG2152=$AK$22,MONTH(V2152),"")</f>
        <v/>
      </c>
      <c r="AL2152" s="86" t="str">
        <f>+IF(AG2152=$AL$22,MONTH(V2152),"")</f>
        <v/>
      </c>
      <c r="AM2152" s="86" t="str">
        <f>+IF($AG2152=$AM$22,MONTH($D2152),"")</f>
        <v/>
      </c>
      <c r="AN2152" s="89" t="str">
        <f>+IF($AG2152=AN$22,MONTH($D2152),"")</f>
        <v/>
      </c>
      <c r="AO2152" s="86" t="str">
        <f>+IF($AG2152=AO$22,MONTH($D2152),"")</f>
        <v/>
      </c>
      <c r="AP2152" s="86" t="str">
        <f>+IF($AG2152=AP$22,MONTH($D2152),"")</f>
        <v/>
      </c>
      <c r="AQ2152" s="86" t="str">
        <f>+IF($AG2152=AQ$22,MONTH($D2152),"")</f>
        <v/>
      </c>
      <c r="AR2152" s="86">
        <f>+IF($AG2152=AR$22,MONTH($D2152),"")</f>
        <v>8</v>
      </c>
      <c r="AS2152" s="86" t="str">
        <f>+IF($AG2152=AS$22,MONTH($D2152),"")</f>
        <v/>
      </c>
      <c r="AT2152" s="86" t="str">
        <f>+IF($AG2152=AT$22,MONTH($D2152),"")</f>
        <v/>
      </c>
      <c r="AU2152" s="86" t="str">
        <f>+IF($AG2152=AU$22,MONTH($D2152),"")</f>
        <v/>
      </c>
      <c r="AV2152" s="86" t="str">
        <f>+IF($AG2152=AV$22,MONTH($D2152),"")</f>
        <v/>
      </c>
      <c r="AW2152" s="86" t="str">
        <f>+IF($AG2152=AW$22,MONTH($D2152),"")</f>
        <v/>
      </c>
      <c r="AX2152" s="86" t="str">
        <f>+IF($AG2152=AX$22,MONTH($D2152),"")</f>
        <v/>
      </c>
      <c r="AY2152" s="89"/>
      <c r="AZ2152" s="89"/>
      <c r="BA2152" s="89"/>
      <c r="BB2152" s="89"/>
      <c r="BC2152" s="89"/>
      <c r="BD2152" s="89"/>
      <c r="BE2152" s="89"/>
      <c r="BF2152" s="89"/>
      <c r="BG2152" s="89"/>
      <c r="BH2152" s="89"/>
      <c r="BI2152" s="89"/>
      <c r="BJ2152" s="89"/>
      <c r="BK2152" s="89"/>
      <c r="BL2152" s="89"/>
      <c r="BM2152" s="89"/>
      <c r="BN2152" s="89"/>
      <c r="BO2152" s="89"/>
      <c r="BP2152" s="89"/>
    </row>
    <row r="2153" spans="1:68" s="56" customFormat="1" ht="40.5" hidden="1">
      <c r="A2153" s="204" t="str">
        <f>+IFERROR(VALUE(MID(AB2153,4,4)),"")</f>
        <v/>
      </c>
      <c r="B2153" s="204">
        <f>VALUE(RIGHT(C2153,LEN(C2153)-2))</f>
        <v>572</v>
      </c>
      <c r="C2153" s="74" t="s">
        <v>7398</v>
      </c>
      <c r="D2153" s="75">
        <v>42636</v>
      </c>
      <c r="E2153" s="70" t="s">
        <v>7353</v>
      </c>
      <c r="F2153" s="70" t="s">
        <v>7353</v>
      </c>
      <c r="G2153" s="68"/>
      <c r="H2153" s="59"/>
      <c r="I2153" s="162" t="s">
        <v>7399</v>
      </c>
      <c r="J2153" s="162"/>
      <c r="K2153" s="68" t="s">
        <v>13</v>
      </c>
      <c r="L2153" s="69" t="s">
        <v>120</v>
      </c>
      <c r="M2153" s="71" t="s">
        <v>141</v>
      </c>
      <c r="N2153" s="69" t="e" vm="1">
        <v>#VALUE!</v>
      </c>
      <c r="O2153" s="164">
        <v>42636</v>
      </c>
      <c r="P2153" s="72" t="s">
        <v>402</v>
      </c>
      <c r="Q2153" s="72"/>
      <c r="R2153" s="162"/>
      <c r="S2153" s="146"/>
      <c r="T2153" s="68" t="s">
        <v>165</v>
      </c>
      <c r="U2153" s="87"/>
      <c r="V2153" s="183">
        <v>42698</v>
      </c>
      <c r="W2153" s="73">
        <v>1753</v>
      </c>
      <c r="X2153" s="73">
        <f>123750*630/1000000</f>
        <v>77.962500000000006</v>
      </c>
      <c r="Y2153" s="83">
        <f>IF(SUM(W2153:W2153)&gt;0,X2153/SUM(W2153:W2153)*1000000,"N/A")</f>
        <v>44473.759269823167</v>
      </c>
      <c r="Z2153" s="183"/>
      <c r="AA2153" s="183"/>
      <c r="AB2153" s="223"/>
      <c r="AC2153" s="153"/>
      <c r="AD2153" s="331"/>
      <c r="AE2153" s="57"/>
      <c r="AF2153" s="88"/>
      <c r="AG2153" s="182">
        <f>YEAR(D2153)</f>
        <v>2016</v>
      </c>
      <c r="AH2153" s="86" t="str">
        <f>+IF(AE2153=$AJ$22,MONTH(T2153),"")</f>
        <v/>
      </c>
      <c r="AI2153" s="86" t="str">
        <f>+IF(AF2153=$AJ$22,MONTH(U2153),"")</f>
        <v/>
      </c>
      <c r="AJ2153" s="86" t="str">
        <f>+IF(AG2153=$AJ$22,MONTH(V2153),"")</f>
        <v/>
      </c>
      <c r="AK2153" s="86" t="str">
        <f>+IF(AG2153=$AK$22,MONTH(V2153),"")</f>
        <v/>
      </c>
      <c r="AL2153" s="86" t="str">
        <f>+IF(AG2153=$AL$22,MONTH(V2153),"")</f>
        <v/>
      </c>
      <c r="AM2153" s="86" t="str">
        <f>+IF($AG2153=$AM$22,MONTH($D2153),"")</f>
        <v/>
      </c>
      <c r="AN2153" s="89" t="str">
        <f>+IF($AG2153=AN$22,MONTH($D2153),"")</f>
        <v/>
      </c>
      <c r="AO2153" s="86" t="str">
        <f>+IF($AG2153=AO$22,MONTH($D2153),"")</f>
        <v/>
      </c>
      <c r="AP2153" s="86" t="str">
        <f>+IF($AG2153=AP$22,MONTH($D2153),"")</f>
        <v/>
      </c>
      <c r="AQ2153" s="86" t="str">
        <f>+IF($AG2153=AQ$22,MONTH($D2153),"")</f>
        <v/>
      </c>
      <c r="AR2153" s="86">
        <f>+IF($AG2153=AR$22,MONTH($D2153),"")</f>
        <v>9</v>
      </c>
      <c r="AS2153" s="86" t="str">
        <f>+IF($AG2153=AS$22,MONTH($D2153),"")</f>
        <v/>
      </c>
      <c r="AT2153" s="86" t="str">
        <f>+IF($AG2153=AT$22,MONTH($D2153),"")</f>
        <v/>
      </c>
      <c r="AU2153" s="86" t="str">
        <f>+IF($AG2153=AU$22,MONTH($D2153),"")</f>
        <v/>
      </c>
      <c r="AV2153" s="86" t="str">
        <f>+IF($AG2153=AV$22,MONTH($D2153),"")</f>
        <v/>
      </c>
      <c r="AW2153" s="86" t="str">
        <f>+IF($AG2153=AW$22,MONTH($D2153),"")</f>
        <v/>
      </c>
      <c r="AX2153" s="86" t="str">
        <f>+IF($AG2153=AX$22,MONTH($D2153),"")</f>
        <v/>
      </c>
      <c r="AY2153" s="89"/>
      <c r="AZ2153" s="89"/>
      <c r="BA2153" s="89"/>
      <c r="BB2153" s="89"/>
      <c r="BC2153" s="89"/>
      <c r="BD2153" s="89"/>
      <c r="BE2153" s="89"/>
      <c r="BF2153" s="89"/>
      <c r="BG2153" s="89"/>
      <c r="BH2153" s="89"/>
      <c r="BI2153" s="89"/>
      <c r="BJ2153" s="89"/>
      <c r="BK2153" s="89"/>
      <c r="BL2153" s="89"/>
      <c r="BM2153" s="89"/>
      <c r="BN2153" s="89"/>
      <c r="BO2153" s="89"/>
      <c r="BP2153" s="89"/>
    </row>
    <row r="2154" spans="1:68" s="56" customFormat="1" ht="27" hidden="1">
      <c r="A2154" s="204">
        <f>+IFERROR(VALUE(MID(AB2154,4,4)),"")</f>
        <v>113</v>
      </c>
      <c r="B2154" s="204">
        <f>VALUE(RIGHT(C2154,LEN(C2154)-2))</f>
        <v>571</v>
      </c>
      <c r="C2154" s="74" t="s">
        <v>7400</v>
      </c>
      <c r="D2154" s="75">
        <v>42611</v>
      </c>
      <c r="E2154" s="70" t="s">
        <v>332</v>
      </c>
      <c r="F2154" s="70" t="s">
        <v>332</v>
      </c>
      <c r="G2154" s="68" t="s">
        <v>285</v>
      </c>
      <c r="H2154" s="59" t="s">
        <v>7401</v>
      </c>
      <c r="I2154" s="162" t="s">
        <v>7402</v>
      </c>
      <c r="J2154" s="162"/>
      <c r="K2154" s="68" t="s">
        <v>13</v>
      </c>
      <c r="L2154" s="69" t="s">
        <v>120</v>
      </c>
      <c r="M2154" s="71" t="s">
        <v>141</v>
      </c>
      <c r="N2154" s="69" t="e" vm="1">
        <v>#VALUE!</v>
      </c>
      <c r="O2154" s="164">
        <v>42611</v>
      </c>
      <c r="P2154" s="72" t="s">
        <v>402</v>
      </c>
      <c r="Q2154" s="72"/>
      <c r="R2154" s="162"/>
      <c r="S2154" s="146"/>
      <c r="T2154" s="68" t="s">
        <v>3</v>
      </c>
      <c r="U2154" s="87"/>
      <c r="V2154" s="183">
        <v>42621</v>
      </c>
      <c r="W2154" s="73">
        <v>605</v>
      </c>
      <c r="X2154" s="73">
        <f>710*24600/1000000</f>
        <v>17.466000000000001</v>
      </c>
      <c r="Y2154" s="83">
        <f>IF(SUM(W2154:W2154)&gt;0,X2154/SUM(W2154:W2154)*1000000,"N/A")</f>
        <v>28869.421487603307</v>
      </c>
      <c r="Z2154" s="183"/>
      <c r="AA2154" s="183"/>
      <c r="AB2154" s="223" t="s">
        <v>7403</v>
      </c>
      <c r="AC2154" s="153"/>
      <c r="AD2154" s="331"/>
      <c r="AE2154" s="57"/>
      <c r="AF2154" s="88"/>
      <c r="AG2154" s="182">
        <f>YEAR(D2161)</f>
        <v>2016</v>
      </c>
      <c r="AH2154" s="86" t="str">
        <f>+IF(AE2154=$AJ$22,MONTH(T2154),"")</f>
        <v/>
      </c>
      <c r="AI2154" s="86" t="str">
        <f>+IF(AF2154=$AJ$22,MONTH(U2154),"")</f>
        <v/>
      </c>
      <c r="AJ2154" s="86" t="str">
        <f>+IF(AG2154=$AJ$22,MONTH(V2154),"")</f>
        <v/>
      </c>
      <c r="AK2154" s="86" t="str">
        <f>+IF(AG2154=$AK$22,MONTH(V2154),"")</f>
        <v/>
      </c>
      <c r="AL2154" s="86" t="str">
        <f>+IF(AG2154=$AL$22,MONTH(V2154),"")</f>
        <v/>
      </c>
      <c r="AM2154" s="86" t="str">
        <f>+IF($AG2154=$AM$22,MONTH($D2154),"")</f>
        <v/>
      </c>
      <c r="AN2154" s="89" t="str">
        <f>+IF($AG2154=AN$22,MONTH($D2154),"")</f>
        <v/>
      </c>
      <c r="AO2154" s="86" t="str">
        <f>+IF($AG2154=AO$22,MONTH($D2154),"")</f>
        <v/>
      </c>
      <c r="AP2154" s="86" t="str">
        <f>+IF($AG2154=AP$22,MONTH($D2154),"")</f>
        <v/>
      </c>
      <c r="AQ2154" s="86" t="str">
        <f>+IF($AG2154=AQ$22,MONTH($D2154),"")</f>
        <v/>
      </c>
      <c r="AR2154" s="86">
        <f>+IF($AG2154=AR$22,MONTH($D2154),"")</f>
        <v>8</v>
      </c>
      <c r="AS2154" s="86" t="str">
        <f>+IF($AG2154=AS$22,MONTH($D2154),"")</f>
        <v/>
      </c>
      <c r="AT2154" s="86" t="str">
        <f>+IF($AG2154=AT$22,MONTH($D2154),"")</f>
        <v/>
      </c>
      <c r="AU2154" s="86" t="str">
        <f>+IF($AG2154=AU$22,MONTH($D2154),"")</f>
        <v/>
      </c>
      <c r="AV2154" s="86" t="str">
        <f>+IF($AG2154=AV$22,MONTH($D2154),"")</f>
        <v/>
      </c>
      <c r="AW2154" s="86" t="str">
        <f>+IF($AG2154=AW$22,MONTH($D2154),"")</f>
        <v/>
      </c>
      <c r="AX2154" s="86" t="str">
        <f>+IF($AG2154=AX$22,MONTH($D2154),"")</f>
        <v/>
      </c>
      <c r="AY2154" s="89"/>
      <c r="AZ2154" s="89"/>
      <c r="BA2154" s="89"/>
      <c r="BB2154" s="89"/>
      <c r="BC2154" s="89"/>
      <c r="BD2154" s="89"/>
      <c r="BE2154" s="89"/>
      <c r="BF2154" s="89"/>
      <c r="BG2154" s="89"/>
      <c r="BH2154" s="89"/>
      <c r="BI2154" s="89"/>
      <c r="BJ2154" s="89"/>
      <c r="BK2154" s="89"/>
      <c r="BL2154" s="89"/>
      <c r="BM2154" s="89"/>
      <c r="BN2154" s="89"/>
      <c r="BO2154" s="89"/>
      <c r="BP2154" s="89"/>
    </row>
    <row r="2155" spans="1:68" s="56" customFormat="1" ht="27" hidden="1">
      <c r="A2155" s="204">
        <f>+IFERROR(VALUE(MID(AB2155,4,4)),"")</f>
        <v>113</v>
      </c>
      <c r="B2155" s="204">
        <f>VALUE(RIGHT(C2155,LEN(C2155)-2))</f>
        <v>570</v>
      </c>
      <c r="C2155" s="74" t="s">
        <v>7404</v>
      </c>
      <c r="D2155" s="75">
        <v>42611</v>
      </c>
      <c r="E2155" s="70" t="s">
        <v>332</v>
      </c>
      <c r="F2155" s="70" t="s">
        <v>332</v>
      </c>
      <c r="G2155" s="68" t="s">
        <v>285</v>
      </c>
      <c r="H2155" s="59" t="s">
        <v>7401</v>
      </c>
      <c r="I2155" s="162" t="s">
        <v>7405</v>
      </c>
      <c r="J2155" s="162"/>
      <c r="K2155" s="68" t="s">
        <v>13</v>
      </c>
      <c r="L2155" s="69" t="s">
        <v>120</v>
      </c>
      <c r="M2155" s="71" t="s">
        <v>141</v>
      </c>
      <c r="N2155" s="69" t="e" vm="1">
        <v>#VALUE!</v>
      </c>
      <c r="O2155" s="164">
        <v>42611</v>
      </c>
      <c r="P2155" s="72" t="s">
        <v>402</v>
      </c>
      <c r="Q2155" s="72"/>
      <c r="R2155" s="162"/>
      <c r="S2155" s="146"/>
      <c r="T2155" s="68" t="s">
        <v>165</v>
      </c>
      <c r="U2155" s="87"/>
      <c r="V2155" s="183">
        <v>42621</v>
      </c>
      <c r="W2155" s="73">
        <v>1213</v>
      </c>
      <c r="X2155" s="73">
        <f>1378*24600/1000000</f>
        <v>33.898800000000001</v>
      </c>
      <c r="Y2155" s="83">
        <f>IF(SUM(W2155:W2155)&gt;0,X2155/SUM(W2155:W2155)*1000000,"N/A")</f>
        <v>27946.248969497115</v>
      </c>
      <c r="Z2155" s="183"/>
      <c r="AA2155" s="183"/>
      <c r="AB2155" s="223" t="s">
        <v>7406</v>
      </c>
      <c r="AC2155" s="153"/>
      <c r="AD2155" s="331"/>
      <c r="AE2155" s="57"/>
      <c r="AF2155" s="88"/>
      <c r="AG2155" s="182">
        <f>YEAR(D2156)</f>
        <v>2016</v>
      </c>
      <c r="AH2155" s="86" t="str">
        <f>+IF(AE2155=$AJ$22,MONTH(T2155),"")</f>
        <v/>
      </c>
      <c r="AI2155" s="86" t="str">
        <f>+IF(AF2155=$AJ$22,MONTH(U2155),"")</f>
        <v/>
      </c>
      <c r="AJ2155" s="86" t="str">
        <f>+IF(AG2155=$AJ$22,MONTH(V2155),"")</f>
        <v/>
      </c>
      <c r="AK2155" s="86" t="str">
        <f>+IF(AG2155=$AK$22,MONTH(V2155),"")</f>
        <v/>
      </c>
      <c r="AL2155" s="86" t="str">
        <f>+IF(AG2155=$AL$22,MONTH(V2155),"")</f>
        <v/>
      </c>
      <c r="AM2155" s="86" t="str">
        <f>+IF($AG2155=$AM$22,MONTH($D2155),"")</f>
        <v/>
      </c>
      <c r="AN2155" s="89" t="str">
        <f>+IF($AG2155=AN$22,MONTH($D2155),"")</f>
        <v/>
      </c>
      <c r="AO2155" s="86" t="str">
        <f>+IF($AG2155=AO$22,MONTH($D2155),"")</f>
        <v/>
      </c>
      <c r="AP2155" s="86" t="str">
        <f>+IF($AG2155=AP$22,MONTH($D2155),"")</f>
        <v/>
      </c>
      <c r="AQ2155" s="86" t="str">
        <f>+IF($AG2155=AQ$22,MONTH($D2155),"")</f>
        <v/>
      </c>
      <c r="AR2155" s="86">
        <f>+IF($AG2155=AR$22,MONTH($D2155),"")</f>
        <v>8</v>
      </c>
      <c r="AS2155" s="86" t="str">
        <f>+IF($AG2155=AS$22,MONTH($D2155),"")</f>
        <v/>
      </c>
      <c r="AT2155" s="86" t="str">
        <f>+IF($AG2155=AT$22,MONTH($D2155),"")</f>
        <v/>
      </c>
      <c r="AU2155" s="86" t="str">
        <f>+IF($AG2155=AU$22,MONTH($D2155),"")</f>
        <v/>
      </c>
      <c r="AV2155" s="86" t="str">
        <f>+IF($AG2155=AV$22,MONTH($D2155),"")</f>
        <v/>
      </c>
      <c r="AW2155" s="86" t="str">
        <f>+IF($AG2155=AW$22,MONTH($D2155),"")</f>
        <v/>
      </c>
      <c r="AX2155" s="86" t="str">
        <f>+IF($AG2155=AX$22,MONTH($D2155),"")</f>
        <v/>
      </c>
      <c r="AY2155" s="89"/>
      <c r="AZ2155" s="89"/>
      <c r="BA2155" s="89"/>
      <c r="BB2155" s="89"/>
      <c r="BC2155" s="89"/>
      <c r="BD2155" s="89"/>
      <c r="BE2155" s="89"/>
      <c r="BF2155" s="89"/>
      <c r="BG2155" s="89"/>
      <c r="BH2155" s="89"/>
      <c r="BI2155" s="89"/>
      <c r="BJ2155" s="89"/>
      <c r="BK2155" s="89"/>
      <c r="BL2155" s="89"/>
      <c r="BM2155" s="89"/>
      <c r="BN2155" s="89"/>
      <c r="BO2155" s="89"/>
      <c r="BP2155" s="89"/>
    </row>
    <row r="2156" spans="1:68" s="56" customFormat="1" ht="27" hidden="1">
      <c r="A2156" s="204">
        <f>+IFERROR(VALUE(MID(AB2156,4,4)),"")</f>
        <v>113</v>
      </c>
      <c r="B2156" s="204">
        <f>VALUE(RIGHT(C2156,LEN(C2156)-2))</f>
        <v>569</v>
      </c>
      <c r="C2156" s="74" t="s">
        <v>7407</v>
      </c>
      <c r="D2156" s="75">
        <v>42611</v>
      </c>
      <c r="E2156" s="70" t="s">
        <v>332</v>
      </c>
      <c r="F2156" s="70" t="s">
        <v>332</v>
      </c>
      <c r="G2156" s="68" t="s">
        <v>285</v>
      </c>
      <c r="H2156" s="59" t="s">
        <v>7401</v>
      </c>
      <c r="I2156" s="162" t="s">
        <v>7408</v>
      </c>
      <c r="J2156" s="162"/>
      <c r="K2156" s="68" t="s">
        <v>13</v>
      </c>
      <c r="L2156" s="69" t="s">
        <v>120</v>
      </c>
      <c r="M2156" s="71" t="s">
        <v>141</v>
      </c>
      <c r="N2156" s="69" t="e" vm="1">
        <v>#VALUE!</v>
      </c>
      <c r="O2156" s="164">
        <v>42611</v>
      </c>
      <c r="P2156" s="72" t="s">
        <v>402</v>
      </c>
      <c r="Q2156" s="72"/>
      <c r="R2156" s="162"/>
      <c r="S2156" s="146"/>
      <c r="T2156" s="68" t="s">
        <v>165</v>
      </c>
      <c r="U2156" s="87"/>
      <c r="V2156" s="183">
        <v>42621</v>
      </c>
      <c r="W2156" s="73">
        <v>1255</v>
      </c>
      <c r="X2156" s="73">
        <f>1397*24600/1000000</f>
        <v>34.366199999999999</v>
      </c>
      <c r="Y2156" s="83">
        <f>IF(SUM(W2156:W2156)&gt;0,X2156/SUM(W2156:W2156)*1000000,"N/A")</f>
        <v>27383.426294820714</v>
      </c>
      <c r="Z2156" s="183"/>
      <c r="AA2156" s="183"/>
      <c r="AB2156" s="223" t="s">
        <v>7409</v>
      </c>
      <c r="AC2156" s="153"/>
      <c r="AD2156" s="331"/>
      <c r="AE2156" s="57"/>
      <c r="AF2156" s="88"/>
      <c r="AG2156" s="182">
        <f>YEAR(D2157)</f>
        <v>2016</v>
      </c>
      <c r="AH2156" s="86" t="str">
        <f>+IF(AE2156=$AJ$22,MONTH(T2156),"")</f>
        <v/>
      </c>
      <c r="AI2156" s="86" t="str">
        <f>+IF(AF2156=$AJ$22,MONTH(U2156),"")</f>
        <v/>
      </c>
      <c r="AJ2156" s="86" t="str">
        <f>+IF(AG2156=$AJ$22,MONTH(V2156),"")</f>
        <v/>
      </c>
      <c r="AK2156" s="86" t="str">
        <f>+IF(AG2156=$AK$22,MONTH(V2156),"")</f>
        <v/>
      </c>
      <c r="AL2156" s="86" t="str">
        <f>+IF(AG2156=$AL$22,MONTH(V2156),"")</f>
        <v/>
      </c>
      <c r="AM2156" s="86" t="str">
        <f>+IF($AG2156=$AM$22,MONTH($D2156),"")</f>
        <v/>
      </c>
      <c r="AN2156" s="89" t="str">
        <f>+IF($AG2156=AN$22,MONTH($D2156),"")</f>
        <v/>
      </c>
      <c r="AO2156" s="86" t="str">
        <f>+IF($AG2156=AO$22,MONTH($D2156),"")</f>
        <v/>
      </c>
      <c r="AP2156" s="86" t="str">
        <f>+IF($AG2156=AP$22,MONTH($D2156),"")</f>
        <v/>
      </c>
      <c r="AQ2156" s="86" t="str">
        <f>+IF($AG2156=AQ$22,MONTH($D2156),"")</f>
        <v/>
      </c>
      <c r="AR2156" s="86">
        <f>+IF($AG2156=AR$22,MONTH($D2156),"")</f>
        <v>8</v>
      </c>
      <c r="AS2156" s="86" t="str">
        <f>+IF($AG2156=AS$22,MONTH($D2156),"")</f>
        <v/>
      </c>
      <c r="AT2156" s="86" t="str">
        <f>+IF($AG2156=AT$22,MONTH($D2156),"")</f>
        <v/>
      </c>
      <c r="AU2156" s="86" t="str">
        <f>+IF($AG2156=AU$22,MONTH($D2156),"")</f>
        <v/>
      </c>
      <c r="AV2156" s="86" t="str">
        <f>+IF($AG2156=AV$22,MONTH($D2156),"")</f>
        <v/>
      </c>
      <c r="AW2156" s="86" t="str">
        <f>+IF($AG2156=AW$22,MONTH($D2156),"")</f>
        <v/>
      </c>
      <c r="AX2156" s="86" t="str">
        <f>+IF($AG2156=AX$22,MONTH($D2156),"")</f>
        <v/>
      </c>
      <c r="AY2156" s="89"/>
      <c r="AZ2156" s="89"/>
      <c r="BA2156" s="89"/>
      <c r="BB2156" s="89"/>
      <c r="BC2156" s="89"/>
      <c r="BD2156" s="89"/>
      <c r="BE2156" s="89"/>
      <c r="BF2156" s="89"/>
      <c r="BG2156" s="89"/>
      <c r="BH2156" s="89"/>
      <c r="BI2156" s="89"/>
      <c r="BJ2156" s="89"/>
      <c r="BK2156" s="89"/>
      <c r="BL2156" s="89"/>
      <c r="BM2156" s="89"/>
      <c r="BN2156" s="89"/>
      <c r="BO2156" s="89"/>
      <c r="BP2156" s="89"/>
    </row>
    <row r="2157" spans="1:68" s="56" customFormat="1" ht="13.5" hidden="1">
      <c r="A2157" s="204" t="str">
        <f>+IFERROR(VALUE(MID(AB2157,4,4)),"")</f>
        <v/>
      </c>
      <c r="B2157" s="204">
        <f>VALUE(RIGHT(C2157,LEN(C2157)-2))</f>
        <v>568</v>
      </c>
      <c r="C2157" s="74" t="s">
        <v>7410</v>
      </c>
      <c r="D2157" s="75">
        <v>42611</v>
      </c>
      <c r="E2157" s="70" t="s">
        <v>332</v>
      </c>
      <c r="F2157" s="70" t="s">
        <v>332</v>
      </c>
      <c r="G2157" s="68" t="s">
        <v>285</v>
      </c>
      <c r="H2157" s="59" t="s">
        <v>7401</v>
      </c>
      <c r="I2157" s="162" t="s">
        <v>7411</v>
      </c>
      <c r="J2157" s="162"/>
      <c r="K2157" s="68" t="s">
        <v>13</v>
      </c>
      <c r="L2157" s="69" t="s">
        <v>120</v>
      </c>
      <c r="M2157" s="71" t="s">
        <v>141</v>
      </c>
      <c r="N2157" s="69" t="e" vm="1">
        <v>#VALUE!</v>
      </c>
      <c r="O2157" s="164">
        <v>42611</v>
      </c>
      <c r="P2157" s="72" t="s">
        <v>402</v>
      </c>
      <c r="Q2157" s="72"/>
      <c r="R2157" s="162"/>
      <c r="S2157" s="146"/>
      <c r="T2157" s="68" t="s">
        <v>165</v>
      </c>
      <c r="U2157" s="87"/>
      <c r="V2157" s="183">
        <v>42621</v>
      </c>
      <c r="W2157" s="73">
        <v>887</v>
      </c>
      <c r="X2157" s="73">
        <f>1030*24600/1000000</f>
        <v>25.338000000000001</v>
      </c>
      <c r="Y2157" s="83">
        <f>IF(SUM(W2157:W2157)&gt;0,X2157/SUM(W2157:W2157)*1000000,"N/A")</f>
        <v>28565.952649379935</v>
      </c>
      <c r="Z2157" s="183"/>
      <c r="AA2157" s="183"/>
      <c r="AB2157" s="223"/>
      <c r="AC2157" s="153"/>
      <c r="AD2157" s="331"/>
      <c r="AE2157" s="57"/>
      <c r="AF2157" s="88"/>
      <c r="AG2157" s="89"/>
      <c r="AH2157" s="86" t="str">
        <f>+IF(AE2157=$AJ$22,MONTH(T2157),"")</f>
        <v/>
      </c>
      <c r="AI2157" s="86" t="str">
        <f>+IF(AF2157=$AJ$22,MONTH(U2157),"")</f>
        <v/>
      </c>
      <c r="AJ2157" s="86" t="str">
        <f>+IF(AG2157=$AJ$22,MONTH(V2157),"")</f>
        <v/>
      </c>
      <c r="AK2157" s="86" t="str">
        <f>+IF(AG2157=$AK$22,MONTH(V2157),"")</f>
        <v/>
      </c>
      <c r="AL2157" s="86" t="str">
        <f>+IF(AG2157=$AL$22,MONTH(V2157),"")</f>
        <v/>
      </c>
      <c r="AM2157" s="86" t="str">
        <f>+IF($AG2157=$AM$22,MONTH($D2157),"")</f>
        <v/>
      </c>
      <c r="AN2157" s="89" t="str">
        <f>+IF($AG2157=AN$22,MONTH($D2157),"")</f>
        <v/>
      </c>
      <c r="AO2157" s="86" t="str">
        <f>+IF($AG2157=AO$22,MONTH($D2157),"")</f>
        <v/>
      </c>
      <c r="AP2157" s="86" t="str">
        <f>+IF($AG2157=AP$22,MONTH($D2157),"")</f>
        <v/>
      </c>
      <c r="AQ2157" s="86" t="str">
        <f>+IF($AG2157=AQ$22,MONTH($D2157),"")</f>
        <v/>
      </c>
      <c r="AR2157" s="86" t="str">
        <f>+IF($AG2157=AR$22,MONTH($D2157),"")</f>
        <v/>
      </c>
      <c r="AS2157" s="86" t="str">
        <f>+IF($AG2157=AS$22,MONTH($D2157),"")</f>
        <v/>
      </c>
      <c r="AT2157" s="86" t="str">
        <f>+IF($AG2157=AT$22,MONTH($D2157),"")</f>
        <v/>
      </c>
      <c r="AU2157" s="86" t="str">
        <f>+IF($AG2157=AU$22,MONTH($D2157),"")</f>
        <v/>
      </c>
      <c r="AV2157" s="86" t="str">
        <f>+IF($AG2157=AV$22,MONTH($D2157),"")</f>
        <v/>
      </c>
      <c r="AW2157" s="86" t="str">
        <f>+IF($AG2157=AW$22,MONTH($D2157),"")</f>
        <v/>
      </c>
      <c r="AX2157" s="86" t="str">
        <f>+IF($AG2157=AX$22,MONTH($D2157),"")</f>
        <v/>
      </c>
      <c r="AY2157" s="89"/>
      <c r="AZ2157" s="89"/>
      <c r="BA2157" s="89"/>
      <c r="BB2157" s="89"/>
      <c r="BC2157" s="89"/>
      <c r="BD2157" s="89"/>
      <c r="BE2157" s="89"/>
      <c r="BF2157" s="89"/>
      <c r="BG2157" s="89"/>
      <c r="BH2157" s="89"/>
      <c r="BI2157" s="89"/>
      <c r="BJ2157" s="89"/>
      <c r="BK2157" s="89"/>
      <c r="BL2157" s="89"/>
      <c r="BM2157" s="89"/>
      <c r="BN2157" s="89"/>
      <c r="BO2157" s="89"/>
      <c r="BP2157" s="89"/>
    </row>
    <row r="2158" spans="1:68" s="56" customFormat="1" ht="27" hidden="1">
      <c r="A2158" s="204">
        <f>+IFERROR(VALUE(MID(AB2158,4,4)),"")</f>
        <v>146</v>
      </c>
      <c r="B2158" s="204">
        <f>VALUE(RIGHT(C2158,LEN(C2158)-2))</f>
        <v>567</v>
      </c>
      <c r="C2158" s="74" t="s">
        <v>7412</v>
      </c>
      <c r="D2158" s="75">
        <v>42620</v>
      </c>
      <c r="E2158" s="70" t="s">
        <v>97</v>
      </c>
      <c r="F2158" s="70" t="s">
        <v>460</v>
      </c>
      <c r="G2158" s="68"/>
      <c r="H2158" s="59"/>
      <c r="I2158" s="162" t="s">
        <v>7413</v>
      </c>
      <c r="J2158" s="162"/>
      <c r="K2158" s="68" t="s">
        <v>13</v>
      </c>
      <c r="L2158" s="69" t="s">
        <v>123</v>
      </c>
      <c r="M2158" s="71" t="s">
        <v>141</v>
      </c>
      <c r="N2158" s="69" t="e" vm="1">
        <v>#VALUE!</v>
      </c>
      <c r="O2158" s="164">
        <v>42620</v>
      </c>
      <c r="P2158" s="72" t="s">
        <v>7372</v>
      </c>
      <c r="Q2158" s="72"/>
      <c r="R2158" s="162"/>
      <c r="S2158" s="146"/>
      <c r="T2158" s="68" t="s">
        <v>3</v>
      </c>
      <c r="U2158" s="87"/>
      <c r="V2158" s="183">
        <v>42621</v>
      </c>
      <c r="W2158" s="73">
        <v>3998</v>
      </c>
      <c r="X2158" s="73">
        <f>99190755/1000000</f>
        <v>99.190754999999996</v>
      </c>
      <c r="Y2158" s="83">
        <f>IF(SUM(W2158:W2158)&gt;0,X2158/SUM(W2158:W2158)*1000000,"N/A")</f>
        <v>24810.093796898447</v>
      </c>
      <c r="Z2158" s="183"/>
      <c r="AA2158" s="183"/>
      <c r="AB2158" s="223" t="s">
        <v>7042</v>
      </c>
      <c r="AC2158" s="153"/>
      <c r="AD2158" s="331"/>
      <c r="AE2158" s="57"/>
      <c r="AF2158" s="88"/>
      <c r="AG2158" s="182">
        <f>YEAR(D2158)</f>
        <v>2016</v>
      </c>
      <c r="AH2158" s="86" t="str">
        <f>+IF(AE2158=$AJ$22,MONTH(T2158),"")</f>
        <v/>
      </c>
      <c r="AI2158" s="86" t="str">
        <f>+IF(AF2158=$AJ$22,MONTH(U2158),"")</f>
        <v/>
      </c>
      <c r="AJ2158" s="86" t="str">
        <f>+IF(AG2158=$AJ$22,MONTH(V2158),"")</f>
        <v/>
      </c>
      <c r="AK2158" s="86" t="str">
        <f>+IF(AG2158=$AK$22,MONTH(V2158),"")</f>
        <v/>
      </c>
      <c r="AL2158" s="86" t="str">
        <f>+IF(AG2158=$AL$22,MONTH(V2158),"")</f>
        <v/>
      </c>
      <c r="AM2158" s="86" t="str">
        <f>+IF($AG2158=$AM$22,MONTH($D2158),"")</f>
        <v/>
      </c>
      <c r="AN2158" s="89" t="str">
        <f>+IF($AG2158=AN$22,MONTH($D2158),"")</f>
        <v/>
      </c>
      <c r="AO2158" s="86" t="str">
        <f>+IF($AG2158=AO$22,MONTH($D2158),"")</f>
        <v/>
      </c>
      <c r="AP2158" s="86" t="str">
        <f>+IF($AG2158=AP$22,MONTH($D2158),"")</f>
        <v/>
      </c>
      <c r="AQ2158" s="86" t="str">
        <f>+IF($AG2158=AQ$22,MONTH($D2158),"")</f>
        <v/>
      </c>
      <c r="AR2158" s="86">
        <f>+IF($AG2158=AR$22,MONTH($D2158),"")</f>
        <v>9</v>
      </c>
      <c r="AS2158" s="86" t="str">
        <f>+IF($AG2158=AS$22,MONTH($D2158),"")</f>
        <v/>
      </c>
      <c r="AT2158" s="86" t="str">
        <f>+IF($AG2158=AT$22,MONTH($D2158),"")</f>
        <v/>
      </c>
      <c r="AU2158" s="86" t="str">
        <f>+IF($AG2158=AU$22,MONTH($D2158),"")</f>
        <v/>
      </c>
      <c r="AV2158" s="86" t="str">
        <f>+IF($AG2158=AV$22,MONTH($D2158),"")</f>
        <v/>
      </c>
      <c r="AW2158" s="86" t="str">
        <f>+IF($AG2158=AW$22,MONTH($D2158),"")</f>
        <v/>
      </c>
      <c r="AX2158" s="86" t="str">
        <f>+IF($AG2158=AX$22,MONTH($D2158),"")</f>
        <v/>
      </c>
      <c r="AY2158" s="89"/>
      <c r="AZ2158" s="89"/>
      <c r="BA2158" s="89"/>
      <c r="BB2158" s="89"/>
      <c r="BC2158" s="89"/>
      <c r="BD2158" s="89"/>
      <c r="BE2158" s="89"/>
      <c r="BF2158" s="89"/>
      <c r="BG2158" s="89"/>
      <c r="BH2158" s="89"/>
      <c r="BI2158" s="89"/>
      <c r="BJ2158" s="89"/>
      <c r="BK2158" s="89"/>
      <c r="BL2158" s="89"/>
      <c r="BM2158" s="89"/>
      <c r="BN2158" s="89"/>
      <c r="BO2158" s="89"/>
      <c r="BP2158" s="89"/>
    </row>
    <row r="2159" spans="1:68" s="56" customFormat="1" ht="13.5" hidden="1">
      <c r="A2159" s="204" t="str">
        <f>+IFERROR(VALUE(MID(AB2159,4,4)),"")</f>
        <v/>
      </c>
      <c r="B2159" s="204">
        <f>VALUE(RIGHT(C2159,LEN(C2159)-2))</f>
        <v>566</v>
      </c>
      <c r="C2159" s="74" t="s">
        <v>7414</v>
      </c>
      <c r="D2159" s="75">
        <v>42620</v>
      </c>
      <c r="E2159" s="70" t="s">
        <v>106</v>
      </c>
      <c r="F2159" s="70" t="s">
        <v>106</v>
      </c>
      <c r="G2159" s="68"/>
      <c r="H2159" s="59"/>
      <c r="I2159" s="162" t="s">
        <v>7415</v>
      </c>
      <c r="J2159" s="162"/>
      <c r="K2159" s="68" t="s">
        <v>13</v>
      </c>
      <c r="L2159" s="69" t="s">
        <v>120</v>
      </c>
      <c r="M2159" s="71" t="s">
        <v>141</v>
      </c>
      <c r="N2159" s="69" t="e" vm="1">
        <v>#VALUE!</v>
      </c>
      <c r="O2159" s="164">
        <v>42620</v>
      </c>
      <c r="P2159" s="72" t="s">
        <v>1686</v>
      </c>
      <c r="Q2159" s="72"/>
      <c r="R2159" s="162"/>
      <c r="S2159" s="146"/>
      <c r="T2159" s="68" t="s">
        <v>165</v>
      </c>
      <c r="U2159" s="87"/>
      <c r="V2159" s="183">
        <v>42621</v>
      </c>
      <c r="W2159" s="73">
        <v>945</v>
      </c>
      <c r="X2159" s="73">
        <f>3318*24600/1000000</f>
        <v>81.622799999999998</v>
      </c>
      <c r="Y2159" s="83">
        <f>IF(SUM(W2159:W2159)&gt;0,X2159/SUM(W2159:W2159)*1000000,"N/A")</f>
        <v>86373.333333333328</v>
      </c>
      <c r="Z2159" s="183"/>
      <c r="AA2159" s="183"/>
      <c r="AB2159" s="223"/>
      <c r="AC2159" s="153"/>
      <c r="AD2159" s="331"/>
      <c r="AE2159" s="57"/>
      <c r="AF2159" s="88"/>
      <c r="AG2159" s="182">
        <f>YEAR(D2159)</f>
        <v>2016</v>
      </c>
      <c r="AH2159" s="86" t="str">
        <f>+IF(AE2159=$AJ$22,MONTH(T2159),"")</f>
        <v/>
      </c>
      <c r="AI2159" s="86" t="str">
        <f>+IF(AF2159=$AJ$22,MONTH(U2159),"")</f>
        <v/>
      </c>
      <c r="AJ2159" s="86" t="str">
        <f>+IF(AG2159=$AJ$22,MONTH(V2159),"")</f>
        <v/>
      </c>
      <c r="AK2159" s="86" t="str">
        <f>+IF(AG2159=$AK$22,MONTH(V2159),"")</f>
        <v/>
      </c>
      <c r="AL2159" s="86" t="str">
        <f>+IF(AG2159=$AL$22,MONTH(V2159),"")</f>
        <v/>
      </c>
      <c r="AM2159" s="86" t="str">
        <f>+IF($AG2159=$AM$22,MONTH($D2159),"")</f>
        <v/>
      </c>
      <c r="AN2159" s="89" t="str">
        <f>+IF($AG2159=AN$22,MONTH($D2159),"")</f>
        <v/>
      </c>
      <c r="AO2159" s="86" t="str">
        <f>+IF($AG2159=AO$22,MONTH($D2159),"")</f>
        <v/>
      </c>
      <c r="AP2159" s="86" t="str">
        <f>+IF($AG2159=AP$22,MONTH($D2159),"")</f>
        <v/>
      </c>
      <c r="AQ2159" s="86" t="str">
        <f>+IF($AG2159=AQ$22,MONTH($D2159),"")</f>
        <v/>
      </c>
      <c r="AR2159" s="86">
        <f>+IF($AG2159=AR$22,MONTH($D2159),"")</f>
        <v>9</v>
      </c>
      <c r="AS2159" s="86" t="str">
        <f>+IF($AG2159=AS$22,MONTH($D2159),"")</f>
        <v/>
      </c>
      <c r="AT2159" s="86" t="str">
        <f>+IF($AG2159=AT$22,MONTH($D2159),"")</f>
        <v/>
      </c>
      <c r="AU2159" s="86" t="str">
        <f>+IF($AG2159=AU$22,MONTH($D2159),"")</f>
        <v/>
      </c>
      <c r="AV2159" s="86" t="str">
        <f>+IF($AG2159=AV$22,MONTH($D2159),"")</f>
        <v/>
      </c>
      <c r="AW2159" s="86" t="str">
        <f>+IF($AG2159=AW$22,MONTH($D2159),"")</f>
        <v/>
      </c>
      <c r="AX2159" s="86" t="str">
        <f>+IF($AG2159=AX$22,MONTH($D2159),"")</f>
        <v/>
      </c>
      <c r="AY2159" s="89"/>
      <c r="AZ2159" s="89"/>
      <c r="BA2159" s="89"/>
      <c r="BB2159" s="89"/>
      <c r="BC2159" s="89"/>
      <c r="BD2159" s="89"/>
      <c r="BE2159" s="89"/>
      <c r="BF2159" s="89"/>
      <c r="BG2159" s="89"/>
      <c r="BH2159" s="89"/>
      <c r="BI2159" s="89"/>
      <c r="BJ2159" s="89"/>
      <c r="BK2159" s="89"/>
      <c r="BL2159" s="89"/>
      <c r="BM2159" s="89"/>
      <c r="BN2159" s="89"/>
      <c r="BO2159" s="89"/>
      <c r="BP2159" s="89"/>
    </row>
    <row r="2160" spans="1:68" s="56" customFormat="1" ht="27" hidden="1">
      <c r="A2160" s="204">
        <f>+IFERROR(VALUE(MID(AB2160,4,4)),"")</f>
        <v>141</v>
      </c>
      <c r="B2160" s="204">
        <f>VALUE(RIGHT(C2160,LEN(C2160)-2))</f>
        <v>565</v>
      </c>
      <c r="C2160" s="74" t="s">
        <v>7416</v>
      </c>
      <c r="D2160" s="75">
        <v>42606</v>
      </c>
      <c r="E2160" s="70" t="s">
        <v>106</v>
      </c>
      <c r="F2160" s="70" t="s">
        <v>106</v>
      </c>
      <c r="G2160" s="68"/>
      <c r="H2160" s="59"/>
      <c r="I2160" s="162" t="s">
        <v>7417</v>
      </c>
      <c r="J2160" s="162"/>
      <c r="K2160" s="68" t="s">
        <v>13</v>
      </c>
      <c r="L2160" s="69" t="s">
        <v>120</v>
      </c>
      <c r="M2160" s="71" t="s">
        <v>141</v>
      </c>
      <c r="N2160" s="69" t="e" vm="1">
        <v>#VALUE!</v>
      </c>
      <c r="O2160" s="164">
        <v>42606</v>
      </c>
      <c r="P2160" s="72" t="s">
        <v>7418</v>
      </c>
      <c r="Q2160" s="72"/>
      <c r="R2160" s="162"/>
      <c r="S2160" s="146"/>
      <c r="T2160" s="68" t="s">
        <v>3</v>
      </c>
      <c r="U2160" s="87"/>
      <c r="V2160" s="183">
        <v>42604</v>
      </c>
      <c r="W2160" s="73">
        <v>536</v>
      </c>
      <c r="X2160" s="73">
        <f>758.92*24600/1000000</f>
        <v>18.669432</v>
      </c>
      <c r="Y2160" s="83">
        <f>IF(SUM(W2160:W2160)&gt;0,X2160/SUM(W2160:W2160)*1000000,"N/A")</f>
        <v>34831.029850746272</v>
      </c>
      <c r="Z2160" s="183"/>
      <c r="AA2160" s="183"/>
      <c r="AB2160" s="223" t="s">
        <v>7419</v>
      </c>
      <c r="AC2160" s="153"/>
      <c r="AD2160" s="331"/>
      <c r="AE2160" s="57"/>
      <c r="AF2160" s="88"/>
      <c r="AG2160" s="182">
        <f>YEAR(D2160)</f>
        <v>2016</v>
      </c>
      <c r="AH2160" s="86" t="str">
        <f>+IF(AE2160=$AJ$22,MONTH(T2160),"")</f>
        <v/>
      </c>
      <c r="AI2160" s="86" t="str">
        <f>+IF(AF2160=$AJ$22,MONTH(U2160),"")</f>
        <v/>
      </c>
      <c r="AJ2160" s="86" t="str">
        <f>+IF(AG2160=$AJ$22,MONTH(V2160),"")</f>
        <v/>
      </c>
      <c r="AK2160" s="86" t="str">
        <f>+IF(AG2160=$AK$22,MONTH(V2160),"")</f>
        <v/>
      </c>
      <c r="AL2160" s="86" t="str">
        <f>+IF(AG2160=$AL$22,MONTH(V2160),"")</f>
        <v/>
      </c>
      <c r="AM2160" s="86" t="str">
        <f>+IF($AG2160=$AM$22,MONTH($D2160),"")</f>
        <v/>
      </c>
      <c r="AN2160" s="89" t="str">
        <f>+IF($AG2160=AN$22,MONTH($D2160),"")</f>
        <v/>
      </c>
      <c r="AO2160" s="86" t="str">
        <f>+IF($AG2160=AO$22,MONTH($D2160),"")</f>
        <v/>
      </c>
      <c r="AP2160" s="86" t="str">
        <f>+IF($AG2160=AP$22,MONTH($D2160),"")</f>
        <v/>
      </c>
      <c r="AQ2160" s="86" t="str">
        <f>+IF($AG2160=AQ$22,MONTH($D2160),"")</f>
        <v/>
      </c>
      <c r="AR2160" s="86">
        <f>+IF($AG2160=AR$22,MONTH($D2160),"")</f>
        <v>8</v>
      </c>
      <c r="AS2160" s="86" t="str">
        <f>+IF($AG2160=AS$22,MONTH($D2160),"")</f>
        <v/>
      </c>
      <c r="AT2160" s="86" t="str">
        <f>+IF($AG2160=AT$22,MONTH($D2160),"")</f>
        <v/>
      </c>
      <c r="AU2160" s="86" t="str">
        <f>+IF($AG2160=AU$22,MONTH($D2160),"")</f>
        <v/>
      </c>
      <c r="AV2160" s="86" t="str">
        <f>+IF($AG2160=AV$22,MONTH($D2160),"")</f>
        <v/>
      </c>
      <c r="AW2160" s="86" t="str">
        <f>+IF($AG2160=AW$22,MONTH($D2160),"")</f>
        <v/>
      </c>
      <c r="AX2160" s="86" t="str">
        <f>+IF($AG2160=AX$22,MONTH($D2160),"")</f>
        <v/>
      </c>
      <c r="AY2160" s="89"/>
      <c r="AZ2160" s="89"/>
      <c r="BA2160" s="89"/>
      <c r="BB2160" s="89"/>
      <c r="BC2160" s="89"/>
      <c r="BD2160" s="89"/>
      <c r="BE2160" s="89"/>
      <c r="BF2160" s="89"/>
      <c r="BG2160" s="89"/>
      <c r="BH2160" s="89"/>
      <c r="BI2160" s="89"/>
      <c r="BJ2160" s="89"/>
      <c r="BK2160" s="89"/>
      <c r="BL2160" s="89"/>
      <c r="BM2160" s="89"/>
      <c r="BN2160" s="89"/>
      <c r="BO2160" s="89"/>
      <c r="BP2160" s="89"/>
    </row>
    <row r="2161" spans="1:68" s="56" customFormat="1" ht="27" hidden="1">
      <c r="A2161" s="204">
        <f>+IFERROR(VALUE(MID(AB2161,4,4)),"")</f>
        <v>113</v>
      </c>
      <c r="B2161" s="204">
        <f>VALUE(RIGHT(C2161,LEN(C2161)-2))</f>
        <v>564</v>
      </c>
      <c r="C2161" s="74" t="s">
        <v>7420</v>
      </c>
      <c r="D2161" s="75">
        <v>42611</v>
      </c>
      <c r="E2161" s="70" t="s">
        <v>332</v>
      </c>
      <c r="F2161" s="70" t="s">
        <v>332</v>
      </c>
      <c r="G2161" s="68"/>
      <c r="H2161" s="59"/>
      <c r="I2161" s="162" t="s">
        <v>7421</v>
      </c>
      <c r="J2161" s="162"/>
      <c r="K2161" s="68" t="s">
        <v>13</v>
      </c>
      <c r="L2161" s="69" t="s">
        <v>120</v>
      </c>
      <c r="M2161" s="71" t="s">
        <v>141</v>
      </c>
      <c r="N2161" s="69" t="e" vm="1">
        <v>#VALUE!</v>
      </c>
      <c r="O2161" s="164">
        <v>42611</v>
      </c>
      <c r="P2161" s="72" t="s">
        <v>7422</v>
      </c>
      <c r="Q2161" s="72"/>
      <c r="R2161" s="162"/>
      <c r="S2161" s="146"/>
      <c r="T2161" s="68" t="s">
        <v>3</v>
      </c>
      <c r="U2161" s="87"/>
      <c r="V2161" s="183">
        <v>42621</v>
      </c>
      <c r="W2161" s="73">
        <v>544</v>
      </c>
      <c r="X2161" s="73">
        <f>676*24600/1000000</f>
        <v>16.6296</v>
      </c>
      <c r="Y2161" s="83">
        <f>IF(SUM(W2161:W2161)&gt;0,X2161/SUM(W2161:W2161)*1000000,"N/A")</f>
        <v>30569.117647058822</v>
      </c>
      <c r="Z2161" s="183"/>
      <c r="AA2161" s="183"/>
      <c r="AB2161" s="223" t="s">
        <v>7423</v>
      </c>
      <c r="AC2161" s="153"/>
      <c r="AD2161" s="331"/>
      <c r="AE2161" s="57"/>
      <c r="AF2161" s="88"/>
      <c r="AG2161" s="182">
        <f>YEAR(D2161)</f>
        <v>2016</v>
      </c>
      <c r="AH2161" s="86" t="str">
        <f>+IF(AE2161=$AJ$22,MONTH(T2161),"")</f>
        <v/>
      </c>
      <c r="AI2161" s="86" t="str">
        <f>+IF(AF2161=$AJ$22,MONTH(U2161),"")</f>
        <v/>
      </c>
      <c r="AJ2161" s="86" t="str">
        <f>+IF(AG2161=$AJ$22,MONTH(V2161),"")</f>
        <v/>
      </c>
      <c r="AK2161" s="86" t="str">
        <f>+IF(AG2161=$AK$22,MONTH(V2161),"")</f>
        <v/>
      </c>
      <c r="AL2161" s="86" t="str">
        <f>+IF(AG2161=$AL$22,MONTH(V2161),"")</f>
        <v/>
      </c>
      <c r="AM2161" s="86" t="str">
        <f>+IF($AG2161=$AM$22,MONTH($D2161),"")</f>
        <v/>
      </c>
      <c r="AN2161" s="89" t="str">
        <f>+IF($AG2161=AN$22,MONTH($D2161),"")</f>
        <v/>
      </c>
      <c r="AO2161" s="86" t="str">
        <f>+IF($AG2161=AO$22,MONTH($D2161),"")</f>
        <v/>
      </c>
      <c r="AP2161" s="86" t="str">
        <f>+IF($AG2161=AP$22,MONTH($D2161),"")</f>
        <v/>
      </c>
      <c r="AQ2161" s="86" t="str">
        <f>+IF($AG2161=AQ$22,MONTH($D2161),"")</f>
        <v/>
      </c>
      <c r="AR2161" s="86">
        <f>+IF($AG2161=AR$22,MONTH($D2161),"")</f>
        <v>8</v>
      </c>
      <c r="AS2161" s="86" t="str">
        <f>+IF($AG2161=AS$22,MONTH($D2161),"")</f>
        <v/>
      </c>
      <c r="AT2161" s="86" t="str">
        <f>+IF($AG2161=AT$22,MONTH($D2161),"")</f>
        <v/>
      </c>
      <c r="AU2161" s="86" t="str">
        <f>+IF($AG2161=AU$22,MONTH($D2161),"")</f>
        <v/>
      </c>
      <c r="AV2161" s="86" t="str">
        <f>+IF($AG2161=AV$22,MONTH($D2161),"")</f>
        <v/>
      </c>
      <c r="AW2161" s="86" t="str">
        <f>+IF($AG2161=AW$22,MONTH($D2161),"")</f>
        <v/>
      </c>
      <c r="AX2161" s="86" t="str">
        <f>+IF($AG2161=AX$22,MONTH($D2161),"")</f>
        <v/>
      </c>
      <c r="AY2161" s="89"/>
      <c r="AZ2161" s="89"/>
      <c r="BA2161" s="89"/>
      <c r="BB2161" s="89"/>
      <c r="BC2161" s="89"/>
      <c r="BD2161" s="89"/>
      <c r="BE2161" s="89"/>
      <c r="BF2161" s="89"/>
      <c r="BG2161" s="89"/>
      <c r="BH2161" s="89"/>
      <c r="BI2161" s="89"/>
      <c r="BJ2161" s="89"/>
      <c r="BK2161" s="89"/>
      <c r="BL2161" s="89"/>
      <c r="BM2161" s="89"/>
      <c r="BN2161" s="89"/>
      <c r="BO2161" s="89"/>
      <c r="BP2161" s="89"/>
    </row>
    <row r="2162" spans="1:68" s="56" customFormat="1" ht="13.5" hidden="1">
      <c r="A2162" s="204" t="str">
        <f>+IFERROR(VALUE(MID(AB2162,4,4)),"")</f>
        <v/>
      </c>
      <c r="B2162" s="204">
        <f>VALUE(RIGHT(C2162,LEN(C2162)-2))</f>
        <v>563</v>
      </c>
      <c r="C2162" s="74" t="s">
        <v>7424</v>
      </c>
      <c r="D2162" s="75">
        <v>42663</v>
      </c>
      <c r="E2162" s="70" t="s">
        <v>332</v>
      </c>
      <c r="F2162" s="70" t="s">
        <v>332</v>
      </c>
      <c r="G2162" s="68"/>
      <c r="H2162" s="59"/>
      <c r="I2162" s="162" t="s">
        <v>7425</v>
      </c>
      <c r="J2162" s="162"/>
      <c r="K2162" s="68" t="s">
        <v>13</v>
      </c>
      <c r="L2162" s="69" t="s">
        <v>120</v>
      </c>
      <c r="M2162" s="71" t="s">
        <v>141</v>
      </c>
      <c r="N2162" s="69" t="e" vm="1">
        <v>#VALUE!</v>
      </c>
      <c r="O2162" s="164"/>
      <c r="P2162" s="72"/>
      <c r="Q2162" s="72"/>
      <c r="R2162" s="162"/>
      <c r="S2162" s="146"/>
      <c r="T2162" s="68" t="s">
        <v>155</v>
      </c>
      <c r="U2162" s="87"/>
      <c r="V2162" s="183">
        <v>42698</v>
      </c>
      <c r="W2162" s="73"/>
      <c r="X2162" s="73"/>
      <c r="Y2162" s="83"/>
      <c r="Z2162" s="183"/>
      <c r="AA2162" s="183"/>
      <c r="AB2162" s="223"/>
      <c r="AC2162" s="153"/>
      <c r="AD2162" s="331"/>
      <c r="AE2162" s="57"/>
      <c r="AF2162" s="88"/>
      <c r="AG2162" s="182"/>
      <c r="AH2162" s="86" t="str">
        <f>+IF(AE2162=$AJ$22,MONTH(T2162),"")</f>
        <v/>
      </c>
      <c r="AI2162" s="86" t="str">
        <f>+IF(AF2162=$AJ$22,MONTH(U2162),"")</f>
        <v/>
      </c>
      <c r="AJ2162" s="86" t="str">
        <f>+IF(AG2162=$AJ$22,MONTH(V2162),"")</f>
        <v/>
      </c>
      <c r="AK2162" s="86" t="str">
        <f>+IF(AG2162=$AK$22,MONTH(V2162),"")</f>
        <v/>
      </c>
      <c r="AL2162" s="86" t="str">
        <f>+IF(AG2162=$AL$22,MONTH(V2162),"")</f>
        <v/>
      </c>
      <c r="AM2162" s="86" t="str">
        <f>+IF($AG2162=$AM$22,MONTH($D2162),"")</f>
        <v/>
      </c>
      <c r="AN2162" s="89" t="str">
        <f>+IF($AG2162=AN$22,MONTH($D2162),"")</f>
        <v/>
      </c>
      <c r="AO2162" s="184" t="str">
        <f>+IF($AG2162=AO$22,MONTH($D2162),"")</f>
        <v/>
      </c>
      <c r="AP2162" s="184" t="str">
        <f>+IF($AG2162=AP$22,MONTH($D2162),"")</f>
        <v/>
      </c>
      <c r="AQ2162" s="184" t="str">
        <f>+IF($AG2162=AQ$22,MONTH($D2162),"")</f>
        <v/>
      </c>
      <c r="AR2162" s="184" t="str">
        <f>+IF($AG2162=AR$22,MONTH($D2162),"")</f>
        <v/>
      </c>
      <c r="AS2162" s="184" t="str">
        <f>+IF($AG2162=AS$22,MONTH($D2162),"")</f>
        <v/>
      </c>
      <c r="AT2162" s="86" t="str">
        <f>+IF($AG2162=AT$22,MONTH($D2162),"")</f>
        <v/>
      </c>
      <c r="AU2162" s="86" t="str">
        <f>+IF($AG2162=AU$22,MONTH($D2162),"")</f>
        <v/>
      </c>
      <c r="AV2162" s="86" t="str">
        <f>+IF($AG2162=AV$22,MONTH($D2162),"")</f>
        <v/>
      </c>
      <c r="AW2162" s="86" t="str">
        <f>+IF($AG2162=AW$22,MONTH($D2162),"")</f>
        <v/>
      </c>
      <c r="AX2162" s="86" t="str">
        <f>+IF($AG2162=AX$22,MONTH($D2162),"")</f>
        <v/>
      </c>
      <c r="AY2162" s="89"/>
      <c r="AZ2162" s="89"/>
      <c r="BA2162" s="89"/>
      <c r="BB2162" s="89"/>
      <c r="BC2162" s="89"/>
      <c r="BD2162" s="89"/>
      <c r="BE2162" s="89"/>
      <c r="BF2162" s="89"/>
      <c r="BG2162" s="89"/>
      <c r="BH2162" s="89"/>
      <c r="BI2162" s="89"/>
      <c r="BJ2162" s="89"/>
      <c r="BK2162" s="89"/>
      <c r="BL2162" s="89"/>
      <c r="BM2162" s="89"/>
      <c r="BN2162" s="89"/>
      <c r="BO2162" s="89"/>
      <c r="BP2162" s="89"/>
    </row>
    <row r="2163" spans="1:68" s="56" customFormat="1" ht="27" hidden="1">
      <c r="A2163" s="204">
        <f>+IFERROR(VALUE(MID(AB2163,4,4)),"")</f>
        <v>113</v>
      </c>
      <c r="B2163" s="204">
        <f>VALUE(RIGHT(C2163,LEN(C2163)-2))</f>
        <v>562</v>
      </c>
      <c r="C2163" s="74" t="s">
        <v>7426</v>
      </c>
      <c r="D2163" s="75">
        <v>42594</v>
      </c>
      <c r="E2163" s="70" t="s">
        <v>332</v>
      </c>
      <c r="F2163" s="70" t="s">
        <v>332</v>
      </c>
      <c r="G2163" s="68" t="s">
        <v>285</v>
      </c>
      <c r="H2163" s="59" t="s">
        <v>7401</v>
      </c>
      <c r="I2163" s="162" t="s">
        <v>7427</v>
      </c>
      <c r="J2163" s="162"/>
      <c r="K2163" s="68" t="s">
        <v>13</v>
      </c>
      <c r="L2163" s="69" t="s">
        <v>120</v>
      </c>
      <c r="M2163" s="71" t="s">
        <v>141</v>
      </c>
      <c r="N2163" s="69" t="e" vm="1">
        <v>#VALUE!</v>
      </c>
      <c r="O2163" s="164">
        <v>42594</v>
      </c>
      <c r="P2163" s="72" t="s">
        <v>402</v>
      </c>
      <c r="Q2163" s="72"/>
      <c r="R2163" s="162"/>
      <c r="S2163" s="146"/>
      <c r="T2163" s="68" t="s">
        <v>3</v>
      </c>
      <c r="U2163" s="87"/>
      <c r="V2163" s="183">
        <v>42599</v>
      </c>
      <c r="W2163" s="73">
        <v>960</v>
      </c>
      <c r="X2163" s="73">
        <f>1114*24600/1000000</f>
        <v>27.404399999999999</v>
      </c>
      <c r="Y2163" s="83">
        <f>IF(SUM(W2163:W2163)&gt;0,X2163/SUM(W2163:W2163)*1000000,"N/A")</f>
        <v>28546.25</v>
      </c>
      <c r="Z2163" s="183"/>
      <c r="AA2163" s="183"/>
      <c r="AB2163" s="223" t="s">
        <v>7428</v>
      </c>
      <c r="AC2163" s="153"/>
      <c r="AD2163" s="331"/>
      <c r="AE2163" s="57"/>
      <c r="AF2163" s="88"/>
      <c r="AG2163" s="182">
        <f>YEAR(D2163)</f>
        <v>2016</v>
      </c>
      <c r="AH2163" s="86" t="str">
        <f>+IF(AE2163=$AJ$22,MONTH(T2163),"")</f>
        <v/>
      </c>
      <c r="AI2163" s="86" t="str">
        <f>+IF(AF2163=$AJ$22,MONTH(U2163),"")</f>
        <v/>
      </c>
      <c r="AJ2163" s="86" t="str">
        <f>+IF(AG2163=$AJ$22,MONTH(V2163),"")</f>
        <v/>
      </c>
      <c r="AK2163" s="86" t="str">
        <f>+IF(AG2163=$AK$22,MONTH(V2163),"")</f>
        <v/>
      </c>
      <c r="AL2163" s="86" t="str">
        <f>+IF(AG2163=$AL$22,MONTH(V2163),"")</f>
        <v/>
      </c>
      <c r="AM2163" s="86" t="str">
        <f>+IF($AG2163=$AM$22,MONTH($D2163),"")</f>
        <v/>
      </c>
      <c r="AN2163" s="89" t="str">
        <f>+IF($AG2163=AN$22,MONTH($D2163),"")</f>
        <v/>
      </c>
      <c r="AO2163" s="86" t="str">
        <f>+IF($AG2163=AO$22,MONTH($D2163),"")</f>
        <v/>
      </c>
      <c r="AP2163" s="86" t="str">
        <f>+IF($AG2163=AP$22,MONTH($D2163),"")</f>
        <v/>
      </c>
      <c r="AQ2163" s="86" t="str">
        <f>+IF($AG2163=AQ$22,MONTH($D2163),"")</f>
        <v/>
      </c>
      <c r="AR2163" s="86">
        <f>+IF($AG2163=AR$22,MONTH($D2163),"")</f>
        <v>8</v>
      </c>
      <c r="AS2163" s="86" t="str">
        <f>+IF($AG2163=AS$22,MONTH($D2163),"")</f>
        <v/>
      </c>
      <c r="AT2163" s="86" t="str">
        <f>+IF($AG2163=AT$22,MONTH($D2163),"")</f>
        <v/>
      </c>
      <c r="AU2163" s="86" t="str">
        <f>+IF($AG2163=AU$22,MONTH($D2163),"")</f>
        <v/>
      </c>
      <c r="AV2163" s="86" t="str">
        <f>+IF($AG2163=AV$22,MONTH($D2163),"")</f>
        <v/>
      </c>
      <c r="AW2163" s="86" t="str">
        <f>+IF($AG2163=AW$22,MONTH($D2163),"")</f>
        <v/>
      </c>
      <c r="AX2163" s="86" t="str">
        <f>+IF($AG2163=AX$22,MONTH($D2163),"")</f>
        <v/>
      </c>
      <c r="AY2163" s="89"/>
      <c r="AZ2163" s="89"/>
      <c r="BA2163" s="89"/>
      <c r="BB2163" s="89"/>
      <c r="BC2163" s="89"/>
      <c r="BD2163" s="89"/>
      <c r="BE2163" s="89"/>
      <c r="BF2163" s="89"/>
      <c r="BG2163" s="89"/>
      <c r="BH2163" s="89"/>
      <c r="BI2163" s="89"/>
      <c r="BJ2163" s="89"/>
      <c r="BK2163" s="89"/>
      <c r="BL2163" s="89"/>
      <c r="BM2163" s="89"/>
      <c r="BN2163" s="89"/>
      <c r="BO2163" s="89"/>
      <c r="BP2163" s="89"/>
    </row>
    <row r="2164" spans="1:68" s="56" customFormat="1" ht="40.5" hidden="1">
      <c r="A2164" s="204" t="str">
        <f>+IFERROR(VALUE(MID(AB2164,4,4)),"")</f>
        <v/>
      </c>
      <c r="B2164" s="204">
        <f>VALUE(RIGHT(C2164,LEN(C2164)-2))</f>
        <v>561</v>
      </c>
      <c r="C2164" s="74" t="s">
        <v>7429</v>
      </c>
      <c r="D2164" s="75">
        <v>42591</v>
      </c>
      <c r="E2164" s="70" t="s">
        <v>394</v>
      </c>
      <c r="F2164" s="70" t="s">
        <v>394</v>
      </c>
      <c r="G2164" s="68" t="s">
        <v>7430</v>
      </c>
      <c r="H2164" s="59"/>
      <c r="I2164" s="162" t="s">
        <v>7431</v>
      </c>
      <c r="J2164" s="162"/>
      <c r="K2164" s="68" t="s">
        <v>31</v>
      </c>
      <c r="L2164" s="69" t="s">
        <v>120</v>
      </c>
      <c r="M2164" s="71" t="s">
        <v>141</v>
      </c>
      <c r="N2164" s="69" t="e" vm="1">
        <v>#VALUE!</v>
      </c>
      <c r="O2164" s="164"/>
      <c r="P2164" s="72"/>
      <c r="Q2164" s="72"/>
      <c r="R2164" s="162"/>
      <c r="S2164" s="146" t="s">
        <v>7432</v>
      </c>
      <c r="T2164" s="68" t="s">
        <v>155</v>
      </c>
      <c r="U2164" s="87"/>
      <c r="V2164" s="183">
        <v>42698</v>
      </c>
      <c r="W2164" s="73"/>
      <c r="X2164" s="73"/>
      <c r="Y2164" s="83"/>
      <c r="Z2164" s="183"/>
      <c r="AA2164" s="183"/>
      <c r="AB2164" s="223"/>
      <c r="AC2164" s="153"/>
      <c r="AD2164" s="331"/>
      <c r="AE2164" s="57"/>
      <c r="AF2164" s="88"/>
      <c r="AG2164" s="182"/>
      <c r="AH2164" s="86" t="str">
        <f>+IF(AE2164=$AJ$22,MONTH(T2164),"")</f>
        <v/>
      </c>
      <c r="AI2164" s="86" t="str">
        <f>+IF(AF2164=$AJ$22,MONTH(U2164),"")</f>
        <v/>
      </c>
      <c r="AJ2164" s="86" t="str">
        <f>+IF(AG2164=$AJ$22,MONTH(V2164),"")</f>
        <v/>
      </c>
      <c r="AK2164" s="86" t="str">
        <f>+IF(AG2164=$AK$22,MONTH(V2164),"")</f>
        <v/>
      </c>
      <c r="AL2164" s="86" t="str">
        <f>+IF(AG2164=$AL$22,MONTH(V2164),"")</f>
        <v/>
      </c>
      <c r="AM2164" s="86" t="str">
        <f>+IF($AG2164=$AM$22,MONTH($D2164),"")</f>
        <v/>
      </c>
      <c r="AN2164" s="89" t="str">
        <f>+IF($AG2164=AN$22,MONTH($D2164),"")</f>
        <v/>
      </c>
      <c r="AO2164" s="86" t="str">
        <f>+IF($AG2164=AO$22,MONTH($D2164),"")</f>
        <v/>
      </c>
      <c r="AP2164" s="86" t="str">
        <f>+IF($AG2164=AP$22,MONTH($D2164),"")</f>
        <v/>
      </c>
      <c r="AQ2164" s="86" t="str">
        <f>+IF($AG2164=AQ$22,MONTH($D2164),"")</f>
        <v/>
      </c>
      <c r="AR2164" s="86" t="str">
        <f>+IF($AG2164=AR$22,MONTH($D2164),"")</f>
        <v/>
      </c>
      <c r="AS2164" s="86" t="str">
        <f>+IF($AG2164=AS$22,MONTH($D2164),"")</f>
        <v/>
      </c>
      <c r="AT2164" s="86" t="str">
        <f>+IF($AG2164=AT$22,MONTH($D2164),"")</f>
        <v/>
      </c>
      <c r="AU2164" s="86" t="str">
        <f>+IF($AG2164=AU$22,MONTH($D2164),"")</f>
        <v/>
      </c>
      <c r="AV2164" s="86" t="str">
        <f>+IF($AG2164=AV$22,MONTH($D2164),"")</f>
        <v/>
      </c>
      <c r="AW2164" s="86" t="str">
        <f>+IF($AG2164=AW$22,MONTH($D2164),"")</f>
        <v/>
      </c>
      <c r="AX2164" s="86" t="str">
        <f>+IF($AG2164=AX$22,MONTH($D2164),"")</f>
        <v/>
      </c>
      <c r="AY2164" s="89"/>
      <c r="AZ2164" s="89"/>
      <c r="BA2164" s="89"/>
      <c r="BB2164" s="89"/>
      <c r="BC2164" s="89"/>
      <c r="BD2164" s="89"/>
      <c r="BE2164" s="89"/>
      <c r="BF2164" s="89"/>
      <c r="BG2164" s="89"/>
      <c r="BH2164" s="89"/>
      <c r="BI2164" s="89"/>
      <c r="BJ2164" s="89"/>
      <c r="BK2164" s="89"/>
      <c r="BL2164" s="89"/>
      <c r="BM2164" s="89"/>
      <c r="BN2164" s="89"/>
      <c r="BO2164" s="89"/>
      <c r="BP2164" s="89"/>
    </row>
    <row r="2165" spans="1:68" s="56" customFormat="1" ht="13.5" hidden="1">
      <c r="A2165" s="204" t="str">
        <f>+IFERROR(VALUE(MID(AB2165,4,4)),"")</f>
        <v/>
      </c>
      <c r="B2165" s="204">
        <f>VALUE(RIGHT(C2165,LEN(C2165)-2))</f>
        <v>560</v>
      </c>
      <c r="C2165" s="74" t="s">
        <v>7433</v>
      </c>
      <c r="D2165" s="75">
        <v>42590</v>
      </c>
      <c r="E2165" s="70" t="s">
        <v>106</v>
      </c>
      <c r="F2165" s="70" t="s">
        <v>106</v>
      </c>
      <c r="G2165" s="68"/>
      <c r="H2165" s="59"/>
      <c r="I2165" s="162" t="s">
        <v>7434</v>
      </c>
      <c r="J2165" s="162"/>
      <c r="K2165" s="68" t="s">
        <v>11</v>
      </c>
      <c r="L2165" s="69" t="s">
        <v>120</v>
      </c>
      <c r="M2165" s="71" t="s">
        <v>141</v>
      </c>
      <c r="N2165" s="69" t="e" vm="1">
        <v>#VALUE!</v>
      </c>
      <c r="O2165" s="164">
        <v>42590</v>
      </c>
      <c r="P2165" s="72" t="s">
        <v>1686</v>
      </c>
      <c r="Q2165" s="72"/>
      <c r="R2165" s="162"/>
      <c r="S2165" s="146"/>
      <c r="T2165" s="68" t="s">
        <v>165</v>
      </c>
      <c r="U2165" s="87"/>
      <c r="V2165" s="183">
        <v>42599</v>
      </c>
      <c r="W2165" s="73">
        <v>1252</v>
      </c>
      <c r="X2165" s="73">
        <f>1374.42*26169/1000000</f>
        <v>35.967196980000004</v>
      </c>
      <c r="Y2165" s="83">
        <f>IF(SUM(W2165:W2165)&gt;0,X2165/SUM(W2165:W2165)*1000000,"N/A")</f>
        <v>28727.793115015978</v>
      </c>
      <c r="Z2165" s="183"/>
      <c r="AA2165" s="183"/>
      <c r="AB2165" s="223"/>
      <c r="AC2165" s="153"/>
      <c r="AD2165" s="331"/>
      <c r="AE2165" s="57"/>
      <c r="AF2165" s="88"/>
      <c r="AG2165" s="182">
        <f>YEAR(D2165)</f>
        <v>2016</v>
      </c>
      <c r="AH2165" s="86" t="str">
        <f>+IF(AE2165=$AJ$22,MONTH(T2165),"")</f>
        <v/>
      </c>
      <c r="AI2165" s="86" t="str">
        <f>+IF(AF2165=$AJ$22,MONTH(U2165),"")</f>
        <v/>
      </c>
      <c r="AJ2165" s="86" t="str">
        <f>+IF(AG2165=$AJ$22,MONTH(V2165),"")</f>
        <v/>
      </c>
      <c r="AK2165" s="86" t="str">
        <f>+IF(AG2165=$AK$22,MONTH(V2165),"")</f>
        <v/>
      </c>
      <c r="AL2165" s="86" t="str">
        <f>+IF(AG2165=$AL$22,MONTH(V2165),"")</f>
        <v/>
      </c>
      <c r="AM2165" s="86" t="str">
        <f>+IF($AG2165=$AM$22,MONTH($D2165),"")</f>
        <v/>
      </c>
      <c r="AN2165" s="89" t="str">
        <f>+IF($AG2165=AN$22,MONTH($D2165),"")</f>
        <v/>
      </c>
      <c r="AO2165" s="86" t="str">
        <f>+IF($AG2165=AO$22,MONTH($D2165),"")</f>
        <v/>
      </c>
      <c r="AP2165" s="86" t="str">
        <f>+IF($AG2165=AP$22,MONTH($D2165),"")</f>
        <v/>
      </c>
      <c r="AQ2165" s="86" t="str">
        <f>+IF($AG2165=AQ$22,MONTH($D2165),"")</f>
        <v/>
      </c>
      <c r="AR2165" s="86">
        <f>+IF($AG2165=AR$22,MONTH($D2165),"")</f>
        <v>8</v>
      </c>
      <c r="AS2165" s="86" t="str">
        <f>+IF($AG2165=AS$22,MONTH($D2165),"")</f>
        <v/>
      </c>
      <c r="AT2165" s="86" t="str">
        <f>+IF($AG2165=AT$22,MONTH($D2165),"")</f>
        <v/>
      </c>
      <c r="AU2165" s="86" t="str">
        <f>+IF($AG2165=AU$22,MONTH($D2165),"")</f>
        <v/>
      </c>
      <c r="AV2165" s="86" t="str">
        <f>+IF($AG2165=AV$22,MONTH($D2165),"")</f>
        <v/>
      </c>
      <c r="AW2165" s="86" t="str">
        <f>+IF($AG2165=AW$22,MONTH($D2165),"")</f>
        <v/>
      </c>
      <c r="AX2165" s="86" t="str">
        <f>+IF($AG2165=AX$22,MONTH($D2165),"")</f>
        <v/>
      </c>
      <c r="AY2165" s="89"/>
      <c r="AZ2165" s="89"/>
      <c r="BA2165" s="89"/>
      <c r="BB2165" s="89"/>
      <c r="BC2165" s="89"/>
      <c r="BD2165" s="89"/>
      <c r="BE2165" s="89"/>
      <c r="BF2165" s="89"/>
      <c r="BG2165" s="89"/>
      <c r="BH2165" s="89"/>
      <c r="BI2165" s="89"/>
      <c r="BJ2165" s="89"/>
      <c r="BK2165" s="89"/>
      <c r="BL2165" s="89"/>
      <c r="BM2165" s="89"/>
      <c r="BN2165" s="89"/>
      <c r="BO2165" s="89"/>
      <c r="BP2165" s="89"/>
    </row>
    <row r="2166" spans="1:68" s="56" customFormat="1" ht="13.5" hidden="1">
      <c r="A2166" s="204" t="str">
        <f>+IFERROR(VALUE(MID(AB2166,4,4)),"")</f>
        <v/>
      </c>
      <c r="B2166" s="204">
        <f>VALUE(RIGHT(C2166,LEN(C2166)-2))</f>
        <v>559</v>
      </c>
      <c r="C2166" s="74" t="s">
        <v>7435</v>
      </c>
      <c r="D2166" s="75">
        <v>42694</v>
      </c>
      <c r="E2166" s="70"/>
      <c r="F2166" s="70"/>
      <c r="G2166" s="68"/>
      <c r="H2166" s="59"/>
      <c r="I2166" s="162" t="s">
        <v>7436</v>
      </c>
      <c r="J2166" s="162"/>
      <c r="K2166" s="68"/>
      <c r="L2166" s="69"/>
      <c r="M2166" s="71"/>
      <c r="N2166" s="69"/>
      <c r="O2166" s="164"/>
      <c r="P2166" s="72"/>
      <c r="Q2166" s="72"/>
      <c r="R2166" s="162"/>
      <c r="S2166" s="146"/>
      <c r="T2166" s="68" t="s">
        <v>155</v>
      </c>
      <c r="U2166" s="87"/>
      <c r="V2166" s="183">
        <v>42698</v>
      </c>
      <c r="W2166" s="73"/>
      <c r="X2166" s="73"/>
      <c r="Y2166" s="83"/>
      <c r="Z2166" s="183"/>
      <c r="AA2166" s="183"/>
      <c r="AB2166" s="223"/>
      <c r="AC2166" s="153"/>
      <c r="AD2166" s="331"/>
      <c r="AE2166" s="57"/>
      <c r="AF2166" s="88"/>
      <c r="AG2166" s="182"/>
      <c r="AH2166" s="86" t="str">
        <f>+IF(AE2166=$AJ$22,MONTH(T2166),"")</f>
        <v/>
      </c>
      <c r="AI2166" s="86" t="str">
        <f>+IF(AF2166=$AJ$22,MONTH(U2166),"")</f>
        <v/>
      </c>
      <c r="AJ2166" s="86" t="str">
        <f>+IF(AG2166=$AJ$22,MONTH(V2166),"")</f>
        <v/>
      </c>
      <c r="AK2166" s="86" t="str">
        <f>+IF(AG2166=$AK$22,MONTH(V2166),"")</f>
        <v/>
      </c>
      <c r="AL2166" s="86" t="str">
        <f>+IF(AG2166=$AL$22,MONTH(V2166),"")</f>
        <v/>
      </c>
      <c r="AM2166" s="86" t="str">
        <f>+IF($AG2166=$AM$22,MONTH($D2166),"")</f>
        <v/>
      </c>
      <c r="AN2166" s="89" t="str">
        <f>+IF($AG2166=AN$22,MONTH($D2166),"")</f>
        <v/>
      </c>
      <c r="AO2166" s="184" t="str">
        <f>+IF($AG2166=AO$22,MONTH($D2166),"")</f>
        <v/>
      </c>
      <c r="AP2166" s="184" t="str">
        <f>+IF($AG2166=AP$22,MONTH($D2166),"")</f>
        <v/>
      </c>
      <c r="AQ2166" s="184" t="str">
        <f>+IF($AG2166=AQ$22,MONTH($D2166),"")</f>
        <v/>
      </c>
      <c r="AR2166" s="184" t="str">
        <f>+IF($AG2166=AR$22,MONTH($D2166),"")</f>
        <v/>
      </c>
      <c r="AS2166" s="184" t="str">
        <f>+IF($AG2166=AS$22,MONTH($D2166),"")</f>
        <v/>
      </c>
      <c r="AT2166" s="86" t="str">
        <f>+IF($AG2166=AT$22,MONTH($D2166),"")</f>
        <v/>
      </c>
      <c r="AU2166" s="86" t="str">
        <f>+IF($AG2166=AU$22,MONTH($D2166),"")</f>
        <v/>
      </c>
      <c r="AV2166" s="86" t="str">
        <f>+IF($AG2166=AV$22,MONTH($D2166),"")</f>
        <v/>
      </c>
      <c r="AW2166" s="86" t="str">
        <f>+IF($AG2166=AW$22,MONTH($D2166),"")</f>
        <v/>
      </c>
      <c r="AX2166" s="86" t="str">
        <f>+IF($AG2166=AX$22,MONTH($D2166),"")</f>
        <v/>
      </c>
      <c r="AY2166" s="89"/>
      <c r="AZ2166" s="89"/>
      <c r="BA2166" s="89"/>
      <c r="BB2166" s="89"/>
      <c r="BC2166" s="89"/>
      <c r="BD2166" s="89"/>
      <c r="BE2166" s="89"/>
      <c r="BF2166" s="89"/>
      <c r="BG2166" s="89"/>
      <c r="BH2166" s="89"/>
      <c r="BI2166" s="89"/>
      <c r="BJ2166" s="89"/>
      <c r="BK2166" s="89"/>
      <c r="BL2166" s="89"/>
      <c r="BM2166" s="89"/>
      <c r="BN2166" s="89"/>
      <c r="BO2166" s="89"/>
      <c r="BP2166" s="89"/>
    </row>
    <row r="2167" spans="1:68" s="56" customFormat="1" ht="13.5" hidden="1">
      <c r="A2167" s="204" t="str">
        <f>+IFERROR(VALUE(MID(AB2167,4,4)),"")</f>
        <v/>
      </c>
      <c r="B2167" s="204">
        <f>VALUE(RIGHT(C2167,LEN(C2167)-2))</f>
        <v>558</v>
      </c>
      <c r="C2167" s="74" t="s">
        <v>7437</v>
      </c>
      <c r="D2167" s="75">
        <v>42585</v>
      </c>
      <c r="E2167" s="70" t="s">
        <v>1404</v>
      </c>
      <c r="F2167" s="70" t="s">
        <v>1404</v>
      </c>
      <c r="G2167" s="68"/>
      <c r="H2167" s="59"/>
      <c r="I2167" s="162" t="s">
        <v>7438</v>
      </c>
      <c r="J2167" s="162"/>
      <c r="K2167" s="68" t="s">
        <v>30</v>
      </c>
      <c r="L2167" s="69" t="s">
        <v>120</v>
      </c>
      <c r="M2167" s="71" t="s">
        <v>141</v>
      </c>
      <c r="N2167" s="69" t="e" vm="1">
        <v>#VALUE!</v>
      </c>
      <c r="O2167" s="164">
        <v>42618</v>
      </c>
      <c r="P2167" s="72" t="s">
        <v>5978</v>
      </c>
      <c r="Q2167" s="72"/>
      <c r="R2167" s="162"/>
      <c r="S2167" s="146"/>
      <c r="T2167" s="68" t="s">
        <v>165</v>
      </c>
      <c r="U2167" s="87"/>
      <c r="V2167" s="183">
        <v>42698</v>
      </c>
      <c r="W2167" s="73"/>
      <c r="X2167" s="73"/>
      <c r="Y2167" s="83"/>
      <c r="Z2167" s="183"/>
      <c r="AA2167" s="183"/>
      <c r="AB2167" s="223"/>
      <c r="AC2167" s="153"/>
      <c r="AD2167" s="331"/>
      <c r="AE2167" s="57"/>
      <c r="AF2167" s="88"/>
      <c r="AG2167" s="182"/>
      <c r="AH2167" s="86" t="str">
        <f>+IF(AE2167=$AJ$22,MONTH(T2167),"")</f>
        <v/>
      </c>
      <c r="AI2167" s="86" t="str">
        <f>+IF(AF2167=$AJ$22,MONTH(U2167),"")</f>
        <v/>
      </c>
      <c r="AJ2167" s="86" t="str">
        <f>+IF(AG2167=$AJ$22,MONTH(V2167),"")</f>
        <v/>
      </c>
      <c r="AK2167" s="86" t="str">
        <f>+IF(AG2167=$AK$22,MONTH(V2167),"")</f>
        <v/>
      </c>
      <c r="AL2167" s="86" t="str">
        <f>+IF(AG2167=$AL$22,MONTH(V2167),"")</f>
        <v/>
      </c>
      <c r="AM2167" s="86" t="str">
        <f>+IF($AG2167=$AM$22,MONTH($D2167),"")</f>
        <v/>
      </c>
      <c r="AN2167" s="89" t="str">
        <f>+IF($AG2167=AN$22,MONTH($D2167),"")</f>
        <v/>
      </c>
      <c r="AO2167" s="86" t="str">
        <f>+IF($AG2167=AO$22,MONTH($D2167),"")</f>
        <v/>
      </c>
      <c r="AP2167" s="86" t="str">
        <f>+IF($AG2167=AP$22,MONTH($D2167),"")</f>
        <v/>
      </c>
      <c r="AQ2167" s="86" t="str">
        <f>+IF($AG2167=AQ$22,MONTH($D2167),"")</f>
        <v/>
      </c>
      <c r="AR2167" s="86" t="str">
        <f>+IF($AG2167=AR$22,MONTH($D2167),"")</f>
        <v/>
      </c>
      <c r="AS2167" s="86" t="str">
        <f>+IF($AG2167=AS$22,MONTH($D2167),"")</f>
        <v/>
      </c>
      <c r="AT2167" s="86" t="str">
        <f>+IF($AG2167=AT$22,MONTH($D2167),"")</f>
        <v/>
      </c>
      <c r="AU2167" s="86" t="str">
        <f>+IF($AG2167=AU$22,MONTH($D2167),"")</f>
        <v/>
      </c>
      <c r="AV2167" s="86" t="str">
        <f>+IF($AG2167=AV$22,MONTH($D2167),"")</f>
        <v/>
      </c>
      <c r="AW2167" s="86" t="str">
        <f>+IF($AG2167=AW$22,MONTH($D2167),"")</f>
        <v/>
      </c>
      <c r="AX2167" s="86" t="str">
        <f>+IF($AG2167=AX$22,MONTH($D2167),"")</f>
        <v/>
      </c>
      <c r="AY2167" s="89"/>
      <c r="AZ2167" s="89"/>
      <c r="BA2167" s="89"/>
      <c r="BB2167" s="89"/>
      <c r="BC2167" s="89"/>
      <c r="BD2167" s="89"/>
      <c r="BE2167" s="89"/>
      <c r="BF2167" s="89"/>
      <c r="BG2167" s="89"/>
      <c r="BH2167" s="89"/>
      <c r="BI2167" s="89"/>
      <c r="BJ2167" s="89"/>
      <c r="BK2167" s="89"/>
      <c r="BL2167" s="89"/>
      <c r="BM2167" s="89"/>
      <c r="BN2167" s="89"/>
      <c r="BO2167" s="89"/>
      <c r="BP2167" s="89"/>
    </row>
    <row r="2168" spans="1:68" s="56" customFormat="1" ht="27" hidden="1">
      <c r="A2168" s="204">
        <f>+IFERROR(VALUE(MID(AB2168,4,4)),"")</f>
        <v>113</v>
      </c>
      <c r="B2168" s="204">
        <f>VALUE(RIGHT(C2168,LEN(C2168)-2))</f>
        <v>557</v>
      </c>
      <c r="C2168" s="74" t="s">
        <v>7439</v>
      </c>
      <c r="D2168" s="75">
        <v>42585</v>
      </c>
      <c r="E2168" s="70" t="s">
        <v>332</v>
      </c>
      <c r="F2168" s="70" t="s">
        <v>332</v>
      </c>
      <c r="G2168" s="68" t="s">
        <v>285</v>
      </c>
      <c r="H2168" s="59" t="s">
        <v>7401</v>
      </c>
      <c r="I2168" s="162" t="s">
        <v>7440</v>
      </c>
      <c r="J2168" s="162"/>
      <c r="K2168" s="68" t="s">
        <v>13</v>
      </c>
      <c r="L2168" s="69" t="s">
        <v>120</v>
      </c>
      <c r="M2168" s="71" t="s">
        <v>141</v>
      </c>
      <c r="N2168" s="69" t="e" vm="1">
        <v>#VALUE!</v>
      </c>
      <c r="O2168" s="164">
        <v>42585</v>
      </c>
      <c r="P2168" s="72" t="s">
        <v>402</v>
      </c>
      <c r="Q2168" s="72"/>
      <c r="R2168" s="162"/>
      <c r="S2168" s="146"/>
      <c r="T2168" s="68" t="s">
        <v>3</v>
      </c>
      <c r="U2168" s="87"/>
      <c r="V2168" s="183">
        <v>42599</v>
      </c>
      <c r="W2168" s="73">
        <v>645</v>
      </c>
      <c r="X2168" s="73">
        <f>795*24600/1000000</f>
        <v>19.556999999999999</v>
      </c>
      <c r="Y2168" s="83">
        <f>IF(SUM(W2168:W2168)&gt;0,X2168/SUM(W2168:W2168)*1000000,"N/A")</f>
        <v>30320.930232558138</v>
      </c>
      <c r="Z2168" s="183"/>
      <c r="AA2168" s="183"/>
      <c r="AB2168" s="223" t="s">
        <v>7441</v>
      </c>
      <c r="AC2168" s="153"/>
      <c r="AD2168" s="331"/>
      <c r="AE2168" s="57"/>
      <c r="AF2168" s="88"/>
      <c r="AG2168" s="182">
        <f>YEAR(D2168)</f>
        <v>2016</v>
      </c>
      <c r="AH2168" s="86" t="str">
        <f>+IF(AE2168=$AJ$22,MONTH(T2168),"")</f>
        <v/>
      </c>
      <c r="AI2168" s="86" t="str">
        <f>+IF(AF2168=$AJ$22,MONTH(U2168),"")</f>
        <v/>
      </c>
      <c r="AJ2168" s="86" t="str">
        <f>+IF(AG2168=$AJ$22,MONTH(V2168),"")</f>
        <v/>
      </c>
      <c r="AK2168" s="86" t="str">
        <f>+IF(AG2168=$AK$22,MONTH(V2168),"")</f>
        <v/>
      </c>
      <c r="AL2168" s="86" t="str">
        <f>+IF(AG2168=$AL$22,MONTH(V2168),"")</f>
        <v/>
      </c>
      <c r="AM2168" s="86" t="str">
        <f>+IF($AG2168=$AM$22,MONTH($D2168),"")</f>
        <v/>
      </c>
      <c r="AN2168" s="89" t="str">
        <f>+IF($AG2168=AN$22,MONTH($D2168),"")</f>
        <v/>
      </c>
      <c r="AO2168" s="86" t="str">
        <f>+IF($AG2168=AO$22,MONTH($D2168),"")</f>
        <v/>
      </c>
      <c r="AP2168" s="86" t="str">
        <f>+IF($AG2168=AP$22,MONTH($D2168),"")</f>
        <v/>
      </c>
      <c r="AQ2168" s="86" t="str">
        <f>+IF($AG2168=AQ$22,MONTH($D2168),"")</f>
        <v/>
      </c>
      <c r="AR2168" s="86">
        <f>+IF($AG2168=AR$22,MONTH($D2168),"")</f>
        <v>8</v>
      </c>
      <c r="AS2168" s="86" t="str">
        <f>+IF($AG2168=AS$22,MONTH($D2168),"")</f>
        <v/>
      </c>
      <c r="AT2168" s="86" t="str">
        <f>+IF($AG2168=AT$22,MONTH($D2168),"")</f>
        <v/>
      </c>
      <c r="AU2168" s="86" t="str">
        <f>+IF($AG2168=AU$22,MONTH($D2168),"")</f>
        <v/>
      </c>
      <c r="AV2168" s="86" t="str">
        <f>+IF($AG2168=AV$22,MONTH($D2168),"")</f>
        <v/>
      </c>
      <c r="AW2168" s="86" t="str">
        <f>+IF($AG2168=AW$22,MONTH($D2168),"")</f>
        <v/>
      </c>
      <c r="AX2168" s="86" t="str">
        <f>+IF($AG2168=AX$22,MONTH($D2168),"")</f>
        <v/>
      </c>
      <c r="AY2168" s="89"/>
      <c r="AZ2168" s="89"/>
      <c r="BA2168" s="89"/>
      <c r="BB2168" s="89"/>
      <c r="BC2168" s="89"/>
      <c r="BD2168" s="89"/>
      <c r="BE2168" s="89"/>
      <c r="BF2168" s="89"/>
      <c r="BG2168" s="89"/>
      <c r="BH2168" s="89"/>
      <c r="BI2168" s="89"/>
      <c r="BJ2168" s="89"/>
      <c r="BK2168" s="89"/>
      <c r="BL2168" s="89"/>
      <c r="BM2168" s="89"/>
      <c r="BN2168" s="89"/>
      <c r="BO2168" s="89"/>
      <c r="BP2168" s="89"/>
    </row>
    <row r="2169" spans="1:68" s="56" customFormat="1" ht="13.5" hidden="1">
      <c r="A2169" s="204">
        <f>+IFERROR(VALUE(MID(AB2169,4,4)),"")</f>
        <v>142</v>
      </c>
      <c r="B2169" s="204">
        <f>VALUE(RIGHT(C2169,LEN(C2169)-2))</f>
        <v>556</v>
      </c>
      <c r="C2169" s="74" t="s">
        <v>7442</v>
      </c>
      <c r="D2169" s="75">
        <v>42583</v>
      </c>
      <c r="E2169" s="70" t="s">
        <v>106</v>
      </c>
      <c r="F2169" s="70" t="s">
        <v>106</v>
      </c>
      <c r="G2169" s="68" t="s">
        <v>6744</v>
      </c>
      <c r="H2169" s="59"/>
      <c r="I2169" s="162" t="s">
        <v>7443</v>
      </c>
      <c r="J2169" s="162"/>
      <c r="K2169" s="68" t="s">
        <v>13</v>
      </c>
      <c r="L2169" s="69" t="s">
        <v>120</v>
      </c>
      <c r="M2169" s="71" t="s">
        <v>141</v>
      </c>
      <c r="N2169" s="69" t="e" vm="1">
        <v>#VALUE!</v>
      </c>
      <c r="O2169" s="164">
        <v>42583</v>
      </c>
      <c r="P2169" s="72" t="s">
        <v>7372</v>
      </c>
      <c r="Q2169" s="72"/>
      <c r="R2169" s="162"/>
      <c r="S2169" s="146"/>
      <c r="T2169" s="68" t="s">
        <v>3</v>
      </c>
      <c r="U2169" s="87"/>
      <c r="V2169" s="183">
        <v>42599</v>
      </c>
      <c r="W2169" s="73">
        <v>1295</v>
      </c>
      <c r="X2169" s="73">
        <f>1538.75*26145/1000000</f>
        <v>40.230618749999998</v>
      </c>
      <c r="Y2169" s="83">
        <f>IF(SUM(W2169:W2169)&gt;0,X2169/SUM(W2169:W2169)*1000000,"N/A")</f>
        <v>31066.114864864863</v>
      </c>
      <c r="Z2169" s="183"/>
      <c r="AA2169" s="183"/>
      <c r="AB2169" s="223" t="s">
        <v>7444</v>
      </c>
      <c r="AC2169" s="153"/>
      <c r="AD2169" s="331"/>
      <c r="AE2169" s="57"/>
      <c r="AF2169" s="88"/>
      <c r="AG2169" s="182">
        <f>YEAR(D2169)</f>
        <v>2016</v>
      </c>
      <c r="AH2169" s="86" t="str">
        <f>+IF(AE2169=$AJ$22,MONTH(T2169),"")</f>
        <v/>
      </c>
      <c r="AI2169" s="86" t="str">
        <f>+IF(AF2169=$AJ$22,MONTH(U2169),"")</f>
        <v/>
      </c>
      <c r="AJ2169" s="86" t="str">
        <f>+IF(AG2169=$AJ$22,MONTH(V2169),"")</f>
        <v/>
      </c>
      <c r="AK2169" s="86" t="str">
        <f>+IF(AG2169=$AK$22,MONTH(V2169),"")</f>
        <v/>
      </c>
      <c r="AL2169" s="86" t="str">
        <f>+IF(AG2169=$AL$22,MONTH(V2169),"")</f>
        <v/>
      </c>
      <c r="AM2169" s="86" t="str">
        <f>+IF($AG2169=$AM$22,MONTH($D2169),"")</f>
        <v/>
      </c>
      <c r="AN2169" s="89" t="str">
        <f>+IF($AG2169=AN$22,MONTH($D2169),"")</f>
        <v/>
      </c>
      <c r="AO2169" s="86" t="str">
        <f>+IF($AG2169=AO$22,MONTH($D2169),"")</f>
        <v/>
      </c>
      <c r="AP2169" s="86" t="str">
        <f>+IF($AG2169=AP$22,MONTH($D2169),"")</f>
        <v/>
      </c>
      <c r="AQ2169" s="86" t="str">
        <f>+IF($AG2169=AQ$22,MONTH($D2169),"")</f>
        <v/>
      </c>
      <c r="AR2169" s="86">
        <f>+IF($AG2169=AR$22,MONTH($D2169),"")</f>
        <v>8</v>
      </c>
      <c r="AS2169" s="86" t="str">
        <f>+IF($AG2169=AS$22,MONTH($D2169),"")</f>
        <v/>
      </c>
      <c r="AT2169" s="86" t="str">
        <f>+IF($AG2169=AT$22,MONTH($D2169),"")</f>
        <v/>
      </c>
      <c r="AU2169" s="86" t="str">
        <f>+IF($AG2169=AU$22,MONTH($D2169),"")</f>
        <v/>
      </c>
      <c r="AV2169" s="86" t="str">
        <f>+IF($AG2169=AV$22,MONTH($D2169),"")</f>
        <v/>
      </c>
      <c r="AW2169" s="86" t="str">
        <f>+IF($AG2169=AW$22,MONTH($D2169),"")</f>
        <v/>
      </c>
      <c r="AX2169" s="86" t="str">
        <f>+IF($AG2169=AX$22,MONTH($D2169),"")</f>
        <v/>
      </c>
      <c r="AY2169" s="89"/>
      <c r="AZ2169" s="89"/>
      <c r="BA2169" s="89"/>
      <c r="BB2169" s="89"/>
      <c r="BC2169" s="89"/>
      <c r="BD2169" s="89"/>
      <c r="BE2169" s="89"/>
      <c r="BF2169" s="89"/>
      <c r="BG2169" s="89"/>
      <c r="BH2169" s="89"/>
      <c r="BI2169" s="89"/>
      <c r="BJ2169" s="89"/>
      <c r="BK2169" s="89"/>
      <c r="BL2169" s="89"/>
      <c r="BM2169" s="89"/>
      <c r="BN2169" s="89"/>
      <c r="BO2169" s="89"/>
      <c r="BP2169" s="89"/>
    </row>
    <row r="2170" spans="1:68" s="56" customFormat="1" ht="27" hidden="1">
      <c r="A2170" s="204">
        <f>+IFERROR(VALUE(MID(AB2170,4,4)),"")</f>
        <v>113</v>
      </c>
      <c r="B2170" s="204">
        <f>VALUE(RIGHT(C2170,LEN(C2170)-2))</f>
        <v>555</v>
      </c>
      <c r="C2170" s="74" t="s">
        <v>7445</v>
      </c>
      <c r="D2170" s="75">
        <v>42583</v>
      </c>
      <c r="E2170" s="70" t="s">
        <v>332</v>
      </c>
      <c r="F2170" s="70" t="s">
        <v>332</v>
      </c>
      <c r="G2170" s="68" t="s">
        <v>285</v>
      </c>
      <c r="H2170" s="59" t="s">
        <v>7401</v>
      </c>
      <c r="I2170" s="162" t="s">
        <v>7446</v>
      </c>
      <c r="J2170" s="162"/>
      <c r="K2170" s="68" t="s">
        <v>44</v>
      </c>
      <c r="L2170" s="69" t="s">
        <v>120</v>
      </c>
      <c r="M2170" s="71" t="s">
        <v>141</v>
      </c>
      <c r="N2170" s="69" t="e" vm="1">
        <v>#VALUE!</v>
      </c>
      <c r="O2170" s="164">
        <v>42583</v>
      </c>
      <c r="P2170" s="72" t="s">
        <v>402</v>
      </c>
      <c r="Q2170" s="72"/>
      <c r="R2170" s="162"/>
      <c r="S2170" s="146"/>
      <c r="T2170" s="68" t="s">
        <v>3</v>
      </c>
      <c r="U2170" s="87"/>
      <c r="V2170" s="183">
        <v>42599</v>
      </c>
      <c r="W2170" s="73">
        <f>328+612</f>
        <v>940</v>
      </c>
      <c r="X2170" s="73">
        <f>(452+712)*24600/1000000</f>
        <v>28.634399999999999</v>
      </c>
      <c r="Y2170" s="83">
        <f>IF(SUM(W2170:W2170)&gt;0,X2170/SUM(W2170:W2170)*1000000,"N/A")</f>
        <v>30462.127659574468</v>
      </c>
      <c r="Z2170" s="183"/>
      <c r="AA2170" s="183"/>
      <c r="AB2170" s="223" t="s">
        <v>7447</v>
      </c>
      <c r="AC2170" s="153"/>
      <c r="AD2170" s="331"/>
      <c r="AE2170" s="57"/>
      <c r="AF2170" s="88"/>
      <c r="AG2170" s="182">
        <f>YEAR(D2170)</f>
        <v>2016</v>
      </c>
      <c r="AH2170" s="86" t="str">
        <f>+IF(AE2170=$AJ$22,MONTH(T2170),"")</f>
        <v/>
      </c>
      <c r="AI2170" s="86" t="str">
        <f>+IF(AF2170=$AJ$22,MONTH(U2170),"")</f>
        <v/>
      </c>
      <c r="AJ2170" s="86" t="str">
        <f>+IF(AG2170=$AJ$22,MONTH(V2170),"")</f>
        <v/>
      </c>
      <c r="AK2170" s="86" t="str">
        <f>+IF(AG2170=$AK$22,MONTH(V2170),"")</f>
        <v/>
      </c>
      <c r="AL2170" s="86" t="str">
        <f>+IF(AG2170=$AL$22,MONTH(V2170),"")</f>
        <v/>
      </c>
      <c r="AM2170" s="86" t="str">
        <f>+IF($AG2170=$AM$22,MONTH($D2170),"")</f>
        <v/>
      </c>
      <c r="AN2170" s="89" t="str">
        <f>+IF($AG2170=AN$22,MONTH($D2170),"")</f>
        <v/>
      </c>
      <c r="AO2170" s="86" t="str">
        <f>+IF($AG2170=AO$22,MONTH($D2170),"")</f>
        <v/>
      </c>
      <c r="AP2170" s="86" t="str">
        <f>+IF($AG2170=AP$22,MONTH($D2170),"")</f>
        <v/>
      </c>
      <c r="AQ2170" s="86" t="str">
        <f>+IF($AG2170=AQ$22,MONTH($D2170),"")</f>
        <v/>
      </c>
      <c r="AR2170" s="86">
        <f>+IF($AG2170=AR$22,MONTH($D2170),"")</f>
        <v>8</v>
      </c>
      <c r="AS2170" s="86" t="str">
        <f>+IF($AG2170=AS$22,MONTH($D2170),"")</f>
        <v/>
      </c>
      <c r="AT2170" s="86" t="str">
        <f>+IF($AG2170=AT$22,MONTH($D2170),"")</f>
        <v/>
      </c>
      <c r="AU2170" s="86" t="str">
        <f>+IF($AG2170=AU$22,MONTH($D2170),"")</f>
        <v/>
      </c>
      <c r="AV2170" s="86" t="str">
        <f>+IF($AG2170=AV$22,MONTH($D2170),"")</f>
        <v/>
      </c>
      <c r="AW2170" s="86" t="str">
        <f>+IF($AG2170=AW$22,MONTH($D2170),"")</f>
        <v/>
      </c>
      <c r="AX2170" s="86" t="str">
        <f>+IF($AG2170=AX$22,MONTH($D2170),"")</f>
        <v/>
      </c>
      <c r="AY2170" s="89"/>
      <c r="AZ2170" s="89"/>
      <c r="BA2170" s="89"/>
      <c r="BB2170" s="89"/>
      <c r="BC2170" s="89"/>
      <c r="BD2170" s="89"/>
      <c r="BE2170" s="89"/>
      <c r="BF2170" s="89"/>
      <c r="BG2170" s="89"/>
      <c r="BH2170" s="89"/>
      <c r="BI2170" s="89"/>
      <c r="BJ2170" s="89"/>
      <c r="BK2170" s="89"/>
      <c r="BL2170" s="89"/>
      <c r="BM2170" s="89"/>
      <c r="BN2170" s="89"/>
      <c r="BO2170" s="89"/>
      <c r="BP2170" s="89"/>
    </row>
    <row r="2171" spans="1:68" s="56" customFormat="1" ht="13.5" hidden="1">
      <c r="A2171" s="204">
        <f>+IFERROR(VALUE(MID(AB2171,4,4)),"")</f>
        <v>139</v>
      </c>
      <c r="B2171" s="204">
        <f>VALUE(RIGHT(C2171,LEN(C2171)-2))</f>
        <v>554</v>
      </c>
      <c r="C2171" s="74" t="s">
        <v>7448</v>
      </c>
      <c r="D2171" s="75">
        <v>42580</v>
      </c>
      <c r="E2171" s="70" t="s">
        <v>81</v>
      </c>
      <c r="F2171" s="70" t="s">
        <v>3351</v>
      </c>
      <c r="G2171" s="68" t="s">
        <v>6801</v>
      </c>
      <c r="H2171" s="59" t="s">
        <v>7331</v>
      </c>
      <c r="I2171" s="162" t="s">
        <v>7449</v>
      </c>
      <c r="J2171" s="162"/>
      <c r="K2171" s="68" t="s">
        <v>13</v>
      </c>
      <c r="L2171" s="69" t="s">
        <v>120</v>
      </c>
      <c r="M2171" s="71" t="s">
        <v>113</v>
      </c>
      <c r="N2171" s="69" t="e" vm="4">
        <v>#VALUE!</v>
      </c>
      <c r="O2171" s="164">
        <v>42580</v>
      </c>
      <c r="P2171" s="72" t="s">
        <v>402</v>
      </c>
      <c r="Q2171" s="72"/>
      <c r="R2171" s="162"/>
      <c r="S2171" s="146"/>
      <c r="T2171" s="68" t="s">
        <v>3</v>
      </c>
      <c r="U2171" s="87"/>
      <c r="V2171" s="183">
        <v>42599</v>
      </c>
      <c r="W2171" s="73">
        <v>320</v>
      </c>
      <c r="X2171" s="73">
        <f>19362*650/1000000</f>
        <v>12.5853</v>
      </c>
      <c r="Y2171" s="83">
        <f>IF(SUM(W2171:W2171)&gt;0,X2171/SUM(W2171:W2171)*1000000,"N/A")</f>
        <v>39329.0625</v>
      </c>
      <c r="Z2171" s="183"/>
      <c r="AA2171" s="183"/>
      <c r="AB2171" s="223" t="s">
        <v>7450</v>
      </c>
      <c r="AC2171" s="153"/>
      <c r="AD2171" s="331"/>
      <c r="AE2171" s="57"/>
      <c r="AF2171" s="88"/>
      <c r="AG2171" s="182">
        <f>YEAR(D2171)</f>
        <v>2016</v>
      </c>
      <c r="AH2171" s="86" t="str">
        <f>+IF(AE2171=$AJ$22,MONTH(T2171),"")</f>
        <v/>
      </c>
      <c r="AI2171" s="86" t="str">
        <f>+IF(AF2171=$AJ$22,MONTH(U2171),"")</f>
        <v/>
      </c>
      <c r="AJ2171" s="86" t="str">
        <f>+IF(AG2171=$AJ$22,MONTH(V2171),"")</f>
        <v/>
      </c>
      <c r="AK2171" s="86" t="str">
        <f>+IF(AG2171=$AK$22,MONTH(V2171),"")</f>
        <v/>
      </c>
      <c r="AL2171" s="86" t="str">
        <f>+IF(AG2171=$AL$22,MONTH(V2171),"")</f>
        <v/>
      </c>
      <c r="AM2171" s="86" t="str">
        <f>+IF($AG2171=$AM$22,MONTH($D2171),"")</f>
        <v/>
      </c>
      <c r="AN2171" s="89" t="str">
        <f>+IF($AG2171=AN$22,MONTH($D2171),"")</f>
        <v/>
      </c>
      <c r="AO2171" s="86" t="str">
        <f>+IF($AG2171=AO$22,MONTH($D2171),"")</f>
        <v/>
      </c>
      <c r="AP2171" s="86" t="str">
        <f>+IF($AG2171=AP$22,MONTH($D2171),"")</f>
        <v/>
      </c>
      <c r="AQ2171" s="86" t="str">
        <f>+IF($AG2171=AQ$22,MONTH($D2171),"")</f>
        <v/>
      </c>
      <c r="AR2171" s="86">
        <f>+IF($AG2171=AR$22,MONTH($D2171),"")</f>
        <v>7</v>
      </c>
      <c r="AS2171" s="86" t="str">
        <f>+IF($AG2171=AS$22,MONTH($D2171),"")</f>
        <v/>
      </c>
      <c r="AT2171" s="86" t="str">
        <f>+IF($AG2171=AT$22,MONTH($D2171),"")</f>
        <v/>
      </c>
      <c r="AU2171" s="86" t="str">
        <f>+IF($AG2171=AU$22,MONTH($D2171),"")</f>
        <v/>
      </c>
      <c r="AV2171" s="86" t="str">
        <f>+IF($AG2171=AV$22,MONTH($D2171),"")</f>
        <v/>
      </c>
      <c r="AW2171" s="86" t="str">
        <f>+IF($AG2171=AW$22,MONTH($D2171),"")</f>
        <v/>
      </c>
      <c r="AX2171" s="86" t="str">
        <f>+IF($AG2171=AX$22,MONTH($D2171),"")</f>
        <v/>
      </c>
      <c r="AY2171" s="89"/>
      <c r="AZ2171" s="89"/>
      <c r="BA2171" s="89"/>
      <c r="BB2171" s="89"/>
      <c r="BC2171" s="89"/>
      <c r="BD2171" s="89"/>
      <c r="BE2171" s="89"/>
      <c r="BF2171" s="89"/>
      <c r="BG2171" s="89"/>
      <c r="BH2171" s="89"/>
      <c r="BI2171" s="89"/>
      <c r="BJ2171" s="89"/>
      <c r="BK2171" s="89"/>
      <c r="BL2171" s="89"/>
      <c r="BM2171" s="89"/>
      <c r="BN2171" s="89"/>
      <c r="BO2171" s="89"/>
      <c r="BP2171" s="89"/>
    </row>
    <row r="2172" spans="1:68" s="56" customFormat="1" ht="27" hidden="1">
      <c r="A2172" s="204" t="str">
        <f>+IFERROR(VALUE(MID(AB2172,4,4)),"")</f>
        <v/>
      </c>
      <c r="B2172" s="204">
        <f>VALUE(RIGHT(C2172,LEN(C2172)-2))</f>
        <v>553</v>
      </c>
      <c r="C2172" s="74" t="s">
        <v>7451</v>
      </c>
      <c r="D2172" s="75">
        <v>42580</v>
      </c>
      <c r="E2172" s="70" t="s">
        <v>81</v>
      </c>
      <c r="F2172" s="70" t="s">
        <v>3351</v>
      </c>
      <c r="G2172" s="68" t="s">
        <v>6801</v>
      </c>
      <c r="H2172" s="59" t="s">
        <v>7331</v>
      </c>
      <c r="I2172" s="162" t="s">
        <v>7452</v>
      </c>
      <c r="J2172" s="162"/>
      <c r="K2172" s="68" t="s">
        <v>13</v>
      </c>
      <c r="L2172" s="69" t="s">
        <v>120</v>
      </c>
      <c r="M2172" s="71" t="s">
        <v>113</v>
      </c>
      <c r="N2172" s="69" t="e" vm="4">
        <v>#VALUE!</v>
      </c>
      <c r="O2172" s="164">
        <v>42580</v>
      </c>
      <c r="P2172" s="72" t="s">
        <v>402</v>
      </c>
      <c r="Q2172" s="72"/>
      <c r="R2172" s="162"/>
      <c r="S2172" s="146"/>
      <c r="T2172" s="68" t="s">
        <v>165</v>
      </c>
      <c r="U2172" s="87"/>
      <c r="V2172" s="183">
        <v>42599</v>
      </c>
      <c r="W2172" s="73">
        <v>322</v>
      </c>
      <c r="X2172" s="73">
        <f>19884*650/1000000</f>
        <v>12.9246</v>
      </c>
      <c r="Y2172" s="83">
        <f>IF(SUM(W2172:W2172)&gt;0,X2172/SUM(W2172:W2172)*1000000,"N/A")</f>
        <v>40138.509316770193</v>
      </c>
      <c r="Z2172" s="183"/>
      <c r="AA2172" s="183"/>
      <c r="AB2172" s="223"/>
      <c r="AC2172" s="153"/>
      <c r="AD2172" s="331"/>
      <c r="AE2172" s="57"/>
      <c r="AF2172" s="88"/>
      <c r="AG2172" s="182">
        <f>YEAR(D2172)</f>
        <v>2016</v>
      </c>
      <c r="AH2172" s="86" t="str">
        <f>+IF(AE2172=$AJ$22,MONTH(T2172),"")</f>
        <v/>
      </c>
      <c r="AI2172" s="86" t="str">
        <f>+IF(AF2172=$AJ$22,MONTH(U2172),"")</f>
        <v/>
      </c>
      <c r="AJ2172" s="86" t="str">
        <f>+IF(AG2172=$AJ$22,MONTH(V2172),"")</f>
        <v/>
      </c>
      <c r="AK2172" s="86" t="str">
        <f>+IF(AG2172=$AK$22,MONTH(V2172),"")</f>
        <v/>
      </c>
      <c r="AL2172" s="86" t="str">
        <f>+IF(AG2172=$AL$22,MONTH(V2172),"")</f>
        <v/>
      </c>
      <c r="AM2172" s="86" t="str">
        <f>+IF($AG2172=$AM$22,MONTH($D2172),"")</f>
        <v/>
      </c>
      <c r="AN2172" s="89" t="str">
        <f>+IF($AG2172=AN$22,MONTH($D2172),"")</f>
        <v/>
      </c>
      <c r="AO2172" s="86" t="str">
        <f>+IF($AG2172=AO$22,MONTH($D2172),"")</f>
        <v/>
      </c>
      <c r="AP2172" s="86" t="str">
        <f>+IF($AG2172=AP$22,MONTH($D2172),"")</f>
        <v/>
      </c>
      <c r="AQ2172" s="86" t="str">
        <f>+IF($AG2172=AQ$22,MONTH($D2172),"")</f>
        <v/>
      </c>
      <c r="AR2172" s="86">
        <f>+IF($AG2172=AR$22,MONTH($D2172),"")</f>
        <v>7</v>
      </c>
      <c r="AS2172" s="86" t="str">
        <f>+IF($AG2172=AS$22,MONTH($D2172),"")</f>
        <v/>
      </c>
      <c r="AT2172" s="86" t="str">
        <f>+IF($AG2172=AT$22,MONTH($D2172),"")</f>
        <v/>
      </c>
      <c r="AU2172" s="86" t="str">
        <f>+IF($AG2172=AU$22,MONTH($D2172),"")</f>
        <v/>
      </c>
      <c r="AV2172" s="86" t="str">
        <f>+IF($AG2172=AV$22,MONTH($D2172),"")</f>
        <v/>
      </c>
      <c r="AW2172" s="86" t="str">
        <f>+IF($AG2172=AW$22,MONTH($D2172),"")</f>
        <v/>
      </c>
      <c r="AX2172" s="86" t="str">
        <f>+IF($AG2172=AX$22,MONTH($D2172),"")</f>
        <v/>
      </c>
      <c r="AY2172" s="89"/>
      <c r="AZ2172" s="89"/>
      <c r="BA2172" s="89"/>
      <c r="BB2172" s="89"/>
      <c r="BC2172" s="89"/>
      <c r="BD2172" s="89"/>
      <c r="BE2172" s="89"/>
      <c r="BF2172" s="89"/>
      <c r="BG2172" s="89"/>
      <c r="BH2172" s="89"/>
      <c r="BI2172" s="89"/>
      <c r="BJ2172" s="89"/>
      <c r="BK2172" s="89"/>
      <c r="BL2172" s="89"/>
      <c r="BM2172" s="89"/>
      <c r="BN2172" s="89"/>
      <c r="BO2172" s="89"/>
      <c r="BP2172" s="89"/>
    </row>
    <row r="2173" spans="1:68" s="56" customFormat="1" ht="33" hidden="1" customHeight="1">
      <c r="A2173" s="204">
        <f>+IFERROR(VALUE(MID(AB2173,4,4)),"")</f>
        <v>113</v>
      </c>
      <c r="B2173" s="204">
        <f>VALUE(RIGHT(C2173,LEN(C2173)-2))</f>
        <v>552</v>
      </c>
      <c r="C2173" s="74" t="s">
        <v>7453</v>
      </c>
      <c r="D2173" s="75">
        <v>42577</v>
      </c>
      <c r="E2173" s="70" t="s">
        <v>332</v>
      </c>
      <c r="F2173" s="70" t="s">
        <v>332</v>
      </c>
      <c r="G2173" s="68" t="s">
        <v>285</v>
      </c>
      <c r="H2173" s="59"/>
      <c r="I2173" s="162" t="s">
        <v>7454</v>
      </c>
      <c r="J2173" s="162"/>
      <c r="K2173" s="68" t="s">
        <v>13</v>
      </c>
      <c r="L2173" s="69" t="s">
        <v>120</v>
      </c>
      <c r="M2173" s="71" t="s">
        <v>141</v>
      </c>
      <c r="N2173" s="69" t="e" vm="1">
        <v>#VALUE!</v>
      </c>
      <c r="O2173" s="164">
        <v>42577</v>
      </c>
      <c r="P2173" s="72" t="s">
        <v>7422</v>
      </c>
      <c r="Q2173" s="72"/>
      <c r="R2173" s="162"/>
      <c r="S2173" s="146"/>
      <c r="T2173" s="68" t="s">
        <v>3</v>
      </c>
      <c r="U2173" s="87"/>
      <c r="V2173" s="183">
        <v>42578</v>
      </c>
      <c r="W2173" s="73">
        <v>367</v>
      </c>
      <c r="X2173" s="73">
        <f>489*24600/1000000</f>
        <v>12.029400000000001</v>
      </c>
      <c r="Y2173" s="83">
        <f>IF(SUM(W2173:W2173)&gt;0,X2173/SUM(W2173:W2173)*1000000,"N/A")</f>
        <v>32777.65667574932</v>
      </c>
      <c r="Z2173" s="183"/>
      <c r="AA2173" s="183"/>
      <c r="AB2173" s="223" t="s">
        <v>7455</v>
      </c>
      <c r="AC2173" s="153"/>
      <c r="AD2173" s="331"/>
      <c r="AE2173" s="57"/>
      <c r="AF2173" s="88"/>
      <c r="AG2173" s="182">
        <f>YEAR(D2173)</f>
        <v>2016</v>
      </c>
      <c r="AH2173" s="86" t="str">
        <f>+IF(AE2173=$AJ$22,MONTH(T2173),"")</f>
        <v/>
      </c>
      <c r="AI2173" s="86" t="str">
        <f>+IF(AF2173=$AJ$22,MONTH(U2173),"")</f>
        <v/>
      </c>
      <c r="AJ2173" s="86" t="str">
        <f>+IF(AG2173=$AJ$22,MONTH(V2173),"")</f>
        <v/>
      </c>
      <c r="AK2173" s="86" t="str">
        <f>+IF(AG2173=$AK$22,MONTH(V2173),"")</f>
        <v/>
      </c>
      <c r="AL2173" s="86" t="str">
        <f>+IF(AG2173=$AL$22,MONTH(V2173),"")</f>
        <v/>
      </c>
      <c r="AM2173" s="86" t="str">
        <f>+IF($AG2173=$AM$22,MONTH($D2173),"")</f>
        <v/>
      </c>
      <c r="AN2173" s="89" t="str">
        <f>+IF($AG2173=AN$22,MONTH($D2173),"")</f>
        <v/>
      </c>
      <c r="AO2173" s="86" t="str">
        <f>+IF($AG2173=AO$22,MONTH($D2173),"")</f>
        <v/>
      </c>
      <c r="AP2173" s="86" t="str">
        <f>+IF($AG2173=AP$22,MONTH($D2173),"")</f>
        <v/>
      </c>
      <c r="AQ2173" s="86" t="str">
        <f>+IF($AG2173=AQ$22,MONTH($D2173),"")</f>
        <v/>
      </c>
      <c r="AR2173" s="86">
        <f>+IF($AG2173=AR$22,MONTH($D2173),"")</f>
        <v>7</v>
      </c>
      <c r="AS2173" s="86" t="str">
        <f>+IF($AG2173=AS$22,MONTH($D2173),"")</f>
        <v/>
      </c>
      <c r="AT2173" s="86" t="str">
        <f>+IF($AG2173=AT$22,MONTH($D2173),"")</f>
        <v/>
      </c>
      <c r="AU2173" s="86" t="str">
        <f>+IF($AG2173=AU$22,MONTH($D2173),"")</f>
        <v/>
      </c>
      <c r="AV2173" s="86" t="str">
        <f>+IF($AG2173=AV$22,MONTH($D2173),"")</f>
        <v/>
      </c>
      <c r="AW2173" s="86" t="str">
        <f>+IF($AG2173=AW$22,MONTH($D2173),"")</f>
        <v/>
      </c>
      <c r="AX2173" s="86" t="str">
        <f>+IF($AG2173=AX$22,MONTH($D2173),"")</f>
        <v/>
      </c>
      <c r="AY2173" s="89"/>
      <c r="AZ2173" s="89"/>
      <c r="BA2173" s="89"/>
      <c r="BB2173" s="89"/>
      <c r="BC2173" s="89"/>
      <c r="BD2173" s="89"/>
      <c r="BE2173" s="89"/>
      <c r="BF2173" s="89"/>
      <c r="BG2173" s="89"/>
      <c r="BH2173" s="89"/>
      <c r="BI2173" s="89"/>
      <c r="BJ2173" s="89"/>
      <c r="BK2173" s="89"/>
      <c r="BL2173" s="89"/>
      <c r="BM2173" s="89"/>
      <c r="BN2173" s="89"/>
      <c r="BO2173" s="89"/>
      <c r="BP2173" s="89"/>
    </row>
    <row r="2174" spans="1:68" s="56" customFormat="1" ht="13.5" hidden="1">
      <c r="A2174" s="204" t="str">
        <f>+IFERROR(VALUE(MID(AB2174,4,4)),"")</f>
        <v/>
      </c>
      <c r="B2174" s="204">
        <f>VALUE(RIGHT(C2174,LEN(C2174)-2))</f>
        <v>551</v>
      </c>
      <c r="C2174" s="74" t="s">
        <v>7456</v>
      </c>
      <c r="D2174" s="75">
        <v>42573</v>
      </c>
      <c r="E2174" s="70" t="s">
        <v>7457</v>
      </c>
      <c r="F2174" s="70" t="s">
        <v>7457</v>
      </c>
      <c r="G2174" s="68" t="s">
        <v>4943</v>
      </c>
      <c r="H2174" s="59" t="s">
        <v>7458</v>
      </c>
      <c r="I2174" s="162" t="s">
        <v>7459</v>
      </c>
      <c r="J2174" s="162"/>
      <c r="K2174" s="68" t="s">
        <v>30</v>
      </c>
      <c r="L2174" s="69" t="s">
        <v>120</v>
      </c>
      <c r="M2174" s="71" t="s">
        <v>141</v>
      </c>
      <c r="N2174" s="69" t="e" vm="1">
        <v>#VALUE!</v>
      </c>
      <c r="O2174" s="164">
        <v>42573</v>
      </c>
      <c r="P2174" s="72" t="s">
        <v>402</v>
      </c>
      <c r="Q2174" s="72"/>
      <c r="R2174" s="162"/>
      <c r="S2174" s="146"/>
      <c r="T2174" s="68" t="s">
        <v>165</v>
      </c>
      <c r="U2174" s="87"/>
      <c r="V2174" s="183">
        <v>42578</v>
      </c>
      <c r="W2174" s="73">
        <v>85</v>
      </c>
      <c r="X2174" s="73">
        <f>3477500/1000000</f>
        <v>3.4775</v>
      </c>
      <c r="Y2174" s="83">
        <f>IF(SUM(W2174:W2174)&gt;0,X2174/SUM(W2174:W2174)*1000000,"N/A")</f>
        <v>40911.764705882357</v>
      </c>
      <c r="Z2174" s="183"/>
      <c r="AA2174" s="183"/>
      <c r="AB2174" s="223"/>
      <c r="AC2174" s="153"/>
      <c r="AD2174" s="331"/>
      <c r="AE2174" s="57"/>
      <c r="AF2174" s="88"/>
      <c r="AG2174" s="182">
        <f>YEAR(D2174)</f>
        <v>2016</v>
      </c>
      <c r="AH2174" s="86" t="str">
        <f>+IF(AE2174=$AJ$22,MONTH(T2174),"")</f>
        <v/>
      </c>
      <c r="AI2174" s="86" t="str">
        <f>+IF(AF2174=$AJ$22,MONTH(U2174),"")</f>
        <v/>
      </c>
      <c r="AJ2174" s="86" t="str">
        <f>+IF(AG2174=$AJ$22,MONTH(V2174),"")</f>
        <v/>
      </c>
      <c r="AK2174" s="86" t="str">
        <f>+IF(AG2174=$AK$22,MONTH(V2174),"")</f>
        <v/>
      </c>
      <c r="AL2174" s="86" t="str">
        <f>+IF(AG2174=$AL$22,MONTH(V2174),"")</f>
        <v/>
      </c>
      <c r="AM2174" s="86" t="str">
        <f>+IF($AG2174=$AM$22,MONTH($D2174),"")</f>
        <v/>
      </c>
      <c r="AN2174" s="89" t="str">
        <f>+IF($AG2174=AN$22,MONTH($D2174),"")</f>
        <v/>
      </c>
      <c r="AO2174" s="86" t="str">
        <f>+IF($AG2174=AO$22,MONTH($D2174),"")</f>
        <v/>
      </c>
      <c r="AP2174" s="86" t="str">
        <f>+IF($AG2174=AP$22,MONTH($D2174),"")</f>
        <v/>
      </c>
      <c r="AQ2174" s="86" t="str">
        <f>+IF($AG2174=AQ$22,MONTH($D2174),"")</f>
        <v/>
      </c>
      <c r="AR2174" s="86">
        <f>+IF($AG2174=AR$22,MONTH($D2174),"")</f>
        <v>7</v>
      </c>
      <c r="AS2174" s="86" t="str">
        <f>+IF($AG2174=AS$22,MONTH($D2174),"")</f>
        <v/>
      </c>
      <c r="AT2174" s="86" t="str">
        <f>+IF($AG2174=AT$22,MONTH($D2174),"")</f>
        <v/>
      </c>
      <c r="AU2174" s="86" t="str">
        <f>+IF($AG2174=AU$22,MONTH($D2174),"")</f>
        <v/>
      </c>
      <c r="AV2174" s="86" t="str">
        <f>+IF($AG2174=AV$22,MONTH($D2174),"")</f>
        <v/>
      </c>
      <c r="AW2174" s="86" t="str">
        <f>+IF($AG2174=AW$22,MONTH($D2174),"")</f>
        <v/>
      </c>
      <c r="AX2174" s="86" t="str">
        <f>+IF($AG2174=AX$22,MONTH($D2174),"")</f>
        <v/>
      </c>
      <c r="AY2174" s="89"/>
      <c r="AZ2174" s="89"/>
      <c r="BA2174" s="89"/>
      <c r="BB2174" s="89"/>
      <c r="BC2174" s="89"/>
      <c r="BD2174" s="89"/>
      <c r="BE2174" s="89"/>
      <c r="BF2174" s="89"/>
      <c r="BG2174" s="89"/>
      <c r="BH2174" s="89"/>
      <c r="BI2174" s="89"/>
      <c r="BJ2174" s="89"/>
      <c r="BK2174" s="89"/>
      <c r="BL2174" s="89"/>
      <c r="BM2174" s="89"/>
      <c r="BN2174" s="89"/>
      <c r="BO2174" s="89"/>
      <c r="BP2174" s="89"/>
    </row>
    <row r="2175" spans="1:68" s="56" customFormat="1" ht="27" hidden="1">
      <c r="A2175" s="204" t="str">
        <f>+IFERROR(VALUE(MID(AB2175,4,4)),"")</f>
        <v/>
      </c>
      <c r="B2175" s="204">
        <f>VALUE(RIGHT(C2175,LEN(C2175)-2))</f>
        <v>550</v>
      </c>
      <c r="C2175" s="74" t="s">
        <v>7460</v>
      </c>
      <c r="D2175" s="75">
        <v>42520</v>
      </c>
      <c r="E2175" s="70" t="s">
        <v>53</v>
      </c>
      <c r="F2175" s="70" t="s">
        <v>209</v>
      </c>
      <c r="G2175" s="68"/>
      <c r="H2175" s="59"/>
      <c r="I2175" s="162" t="s">
        <v>7461</v>
      </c>
      <c r="J2175" s="162"/>
      <c r="K2175" s="68" t="s">
        <v>13</v>
      </c>
      <c r="L2175" s="69" t="s">
        <v>123</v>
      </c>
      <c r="M2175" s="71" t="s">
        <v>141</v>
      </c>
      <c r="N2175" s="69" t="e" vm="1">
        <v>#VALUE!</v>
      </c>
      <c r="O2175" s="164"/>
      <c r="P2175" s="72" t="s">
        <v>4567</v>
      </c>
      <c r="Q2175" s="72"/>
      <c r="R2175" s="162"/>
      <c r="S2175" s="146" t="s">
        <v>7462</v>
      </c>
      <c r="T2175" s="68" t="s">
        <v>165</v>
      </c>
      <c r="U2175" s="87"/>
      <c r="V2175" s="183">
        <v>42521</v>
      </c>
      <c r="W2175" s="73">
        <v>15251</v>
      </c>
      <c r="X2175" s="73">
        <v>429.9</v>
      </c>
      <c r="Y2175" s="83">
        <f>IF(SUM(W2175:W2175)&gt;0,X2175/SUM(W2175:W2175)*1000000,"N/A")</f>
        <v>28188.315520293752</v>
      </c>
      <c r="Z2175" s="183"/>
      <c r="AA2175" s="183"/>
      <c r="AB2175" s="223"/>
      <c r="AC2175" s="153"/>
      <c r="AD2175" s="331"/>
      <c r="AE2175" s="57"/>
      <c r="AF2175" s="88"/>
      <c r="AG2175" s="182">
        <f>YEAR(D2175)</f>
        <v>2016</v>
      </c>
      <c r="AH2175" s="86" t="str">
        <f>+IF(AE2175=$AJ$22,MONTH(T2175),"")</f>
        <v/>
      </c>
      <c r="AI2175" s="86" t="str">
        <f>+IF(AF2175=$AJ$22,MONTH(U2175),"")</f>
        <v/>
      </c>
      <c r="AJ2175" s="86" t="str">
        <f>+IF(AG2175=$AJ$22,MONTH(V2175),"")</f>
        <v/>
      </c>
      <c r="AK2175" s="86" t="str">
        <f>+IF(AG2175=$AK$22,MONTH(V2175),"")</f>
        <v/>
      </c>
      <c r="AL2175" s="86" t="str">
        <f>+IF(AG2175=$AL$22,MONTH(V2175),"")</f>
        <v/>
      </c>
      <c r="AM2175" s="86" t="str">
        <f>+IF($AG2175=$AM$22,MONTH($D2175),"")</f>
        <v/>
      </c>
      <c r="AN2175" s="89" t="str">
        <f>+IF($AG2175=AN$22,MONTH($D2175),"")</f>
        <v/>
      </c>
      <c r="AO2175" s="184" t="str">
        <f>+IF($AG2175=AO$22,MONTH($D2175),"")</f>
        <v/>
      </c>
      <c r="AP2175" s="184" t="str">
        <f>+IF($AG2175=AP$22,MONTH($D2175),"")</f>
        <v/>
      </c>
      <c r="AQ2175" s="184" t="str">
        <f>+IF($AG2175=AQ$22,MONTH($D2175),"")</f>
        <v/>
      </c>
      <c r="AR2175" s="184">
        <f>+IF($AG2175=AR$22,MONTH($D2175),"")</f>
        <v>5</v>
      </c>
      <c r="AS2175" s="184" t="str">
        <f>+IF($AG2175=AS$22,MONTH($D2175),"")</f>
        <v/>
      </c>
      <c r="AT2175" s="86" t="str">
        <f>+IF($AG2175=AT$22,MONTH($D2175),"")</f>
        <v/>
      </c>
      <c r="AU2175" s="86" t="str">
        <f>+IF($AG2175=AU$22,MONTH($D2175),"")</f>
        <v/>
      </c>
      <c r="AV2175" s="86" t="str">
        <f>+IF($AG2175=AV$22,MONTH($D2175),"")</f>
        <v/>
      </c>
      <c r="AW2175" s="86" t="str">
        <f>+IF($AG2175=AW$22,MONTH($D2175),"")</f>
        <v/>
      </c>
      <c r="AX2175" s="86" t="str">
        <f>+IF($AG2175=AX$22,MONTH($D2175),"")</f>
        <v/>
      </c>
      <c r="AY2175" s="89"/>
      <c r="AZ2175" s="89"/>
      <c r="BA2175" s="89"/>
      <c r="BB2175" s="89"/>
      <c r="BC2175" s="89"/>
      <c r="BD2175" s="89"/>
      <c r="BE2175" s="89"/>
      <c r="BF2175" s="89"/>
      <c r="BG2175" s="89"/>
      <c r="BH2175" s="89"/>
      <c r="BI2175" s="89"/>
      <c r="BJ2175" s="89"/>
      <c r="BK2175" s="89"/>
      <c r="BL2175" s="89"/>
      <c r="BM2175" s="89"/>
      <c r="BN2175" s="89"/>
      <c r="BO2175" s="89"/>
      <c r="BP2175" s="89"/>
    </row>
    <row r="2176" spans="1:68" s="56" customFormat="1" ht="27" hidden="1">
      <c r="A2176" s="204">
        <f>+IFERROR(VALUE(MID(AB2176,4,4)),"")</f>
        <v>113</v>
      </c>
      <c r="B2176" s="204">
        <f>VALUE(RIGHT(C2176,LEN(C2176)-2))</f>
        <v>549</v>
      </c>
      <c r="C2176" s="74" t="s">
        <v>7463</v>
      </c>
      <c r="D2176" s="75">
        <v>42566</v>
      </c>
      <c r="E2176" s="70" t="s">
        <v>332</v>
      </c>
      <c r="F2176" s="70" t="s">
        <v>332</v>
      </c>
      <c r="G2176" s="68" t="s">
        <v>285</v>
      </c>
      <c r="H2176" s="59" t="s">
        <v>7401</v>
      </c>
      <c r="I2176" s="162" t="s">
        <v>7464</v>
      </c>
      <c r="J2176" s="162"/>
      <c r="K2176" s="68" t="s">
        <v>13</v>
      </c>
      <c r="L2176" s="69" t="s">
        <v>120</v>
      </c>
      <c r="M2176" s="71" t="s">
        <v>141</v>
      </c>
      <c r="N2176" s="69" t="e" vm="1">
        <v>#VALUE!</v>
      </c>
      <c r="O2176" s="164">
        <v>42468</v>
      </c>
      <c r="P2176" s="72" t="s">
        <v>7465</v>
      </c>
      <c r="Q2176" s="72"/>
      <c r="R2176" s="162"/>
      <c r="S2176" s="146"/>
      <c r="T2176" s="68" t="s">
        <v>3</v>
      </c>
      <c r="U2176" s="87"/>
      <c r="V2176" s="183">
        <v>42570</v>
      </c>
      <c r="W2176" s="73">
        <v>978</v>
      </c>
      <c r="X2176" s="73">
        <f>1108*24600/1000000</f>
        <v>27.256799999999998</v>
      </c>
      <c r="Y2176" s="83">
        <f>IF(SUM(W2176:W2176)&gt;0,X2176/SUM(W2176:W2176)*1000000,"N/A")</f>
        <v>27869.938650306747</v>
      </c>
      <c r="Z2176" s="183"/>
      <c r="AA2176" s="183"/>
      <c r="AB2176" s="223" t="s">
        <v>7466</v>
      </c>
      <c r="AC2176" s="153"/>
      <c r="AD2176" s="331"/>
      <c r="AE2176" s="57"/>
      <c r="AF2176" s="88"/>
      <c r="AG2176" s="182">
        <f>YEAR(D2176)</f>
        <v>2016</v>
      </c>
      <c r="AH2176" s="86" t="str">
        <f>+IF(AE2176=$AJ$22,MONTH(T2176),"")</f>
        <v/>
      </c>
      <c r="AI2176" s="86" t="str">
        <f>+IF(AF2176=$AJ$22,MONTH(U2176),"")</f>
        <v/>
      </c>
      <c r="AJ2176" s="86" t="str">
        <f>+IF(AG2176=$AJ$22,MONTH(V2176),"")</f>
        <v/>
      </c>
      <c r="AK2176" s="86" t="str">
        <f>+IF(AG2176=$AK$22,MONTH(V2176),"")</f>
        <v/>
      </c>
      <c r="AL2176" s="86" t="str">
        <f>+IF(AG2176=$AL$22,MONTH(V2176),"")</f>
        <v/>
      </c>
      <c r="AM2176" s="86" t="str">
        <f>+IF($AG2176=$AM$22,MONTH($D2176),"")</f>
        <v/>
      </c>
      <c r="AN2176" s="89" t="str">
        <f>+IF($AG2176=AN$22,MONTH($D2176),"")</f>
        <v/>
      </c>
      <c r="AO2176" s="86" t="str">
        <f>+IF($AG2176=AO$22,MONTH($D2176),"")</f>
        <v/>
      </c>
      <c r="AP2176" s="86" t="str">
        <f>+IF($AG2176=AP$22,MONTH($D2176),"")</f>
        <v/>
      </c>
      <c r="AQ2176" s="86" t="str">
        <f>+IF($AG2176=AQ$22,MONTH($D2176),"")</f>
        <v/>
      </c>
      <c r="AR2176" s="86">
        <f>+IF($AG2176=AR$22,MONTH($D2176),"")</f>
        <v>7</v>
      </c>
      <c r="AS2176" s="86" t="str">
        <f>+IF($AG2176=AS$22,MONTH($D2176),"")</f>
        <v/>
      </c>
      <c r="AT2176" s="86" t="str">
        <f>+IF($AG2176=AT$22,MONTH($D2176),"")</f>
        <v/>
      </c>
      <c r="AU2176" s="86" t="str">
        <f>+IF($AG2176=AU$22,MONTH($D2176),"")</f>
        <v/>
      </c>
      <c r="AV2176" s="86" t="str">
        <f>+IF($AG2176=AV$22,MONTH($D2176),"")</f>
        <v/>
      </c>
      <c r="AW2176" s="86" t="str">
        <f>+IF($AG2176=AW$22,MONTH($D2176),"")</f>
        <v/>
      </c>
      <c r="AX2176" s="86" t="str">
        <f>+IF($AG2176=AX$22,MONTH($D2176),"")</f>
        <v/>
      </c>
      <c r="AY2176" s="89"/>
      <c r="AZ2176" s="89"/>
      <c r="BA2176" s="89"/>
      <c r="BB2176" s="89"/>
      <c r="BC2176" s="89"/>
      <c r="BD2176" s="89"/>
      <c r="BE2176" s="89"/>
      <c r="BF2176" s="89"/>
      <c r="BG2176" s="89"/>
      <c r="BH2176" s="89"/>
      <c r="BI2176" s="89"/>
      <c r="BJ2176" s="89"/>
      <c r="BK2176" s="89"/>
      <c r="BL2176" s="89"/>
      <c r="BM2176" s="89"/>
      <c r="BN2176" s="89"/>
      <c r="BO2176" s="89"/>
      <c r="BP2176" s="89"/>
    </row>
    <row r="2177" spans="1:68" s="56" customFormat="1" ht="27" hidden="1">
      <c r="A2177" s="204">
        <f>+IFERROR(VALUE(MID(AB2177,4,4)),"")</f>
        <v>113</v>
      </c>
      <c r="B2177" s="204">
        <f>VALUE(RIGHT(C2177,LEN(C2177)-2))</f>
        <v>548</v>
      </c>
      <c r="C2177" s="74" t="s">
        <v>7467</v>
      </c>
      <c r="D2177" s="75">
        <v>42468</v>
      </c>
      <c r="E2177" s="70" t="s">
        <v>332</v>
      </c>
      <c r="F2177" s="70" t="s">
        <v>332</v>
      </c>
      <c r="G2177" s="68" t="s">
        <v>285</v>
      </c>
      <c r="H2177" s="59" t="s">
        <v>7401</v>
      </c>
      <c r="I2177" s="162" t="s">
        <v>7468</v>
      </c>
      <c r="J2177" s="162"/>
      <c r="K2177" s="68" t="s">
        <v>13</v>
      </c>
      <c r="L2177" s="69" t="s">
        <v>120</v>
      </c>
      <c r="M2177" s="71" t="s">
        <v>141</v>
      </c>
      <c r="N2177" s="69" t="e" vm="1">
        <v>#VALUE!</v>
      </c>
      <c r="O2177" s="164">
        <v>42468</v>
      </c>
      <c r="P2177" s="72" t="s">
        <v>402</v>
      </c>
      <c r="Q2177" s="72"/>
      <c r="R2177" s="162"/>
      <c r="S2177" s="146"/>
      <c r="T2177" s="68" t="s">
        <v>3</v>
      </c>
      <c r="U2177" s="87"/>
      <c r="V2177" s="183">
        <v>42570</v>
      </c>
      <c r="W2177" s="73">
        <v>801</v>
      </c>
      <c r="X2177" s="73">
        <f>953*24600/1000000</f>
        <v>23.4438</v>
      </c>
      <c r="Y2177" s="83">
        <f>IF(SUM(W2177:W2177)&gt;0,X2177/SUM(W2177:W2177)*1000000,"N/A")</f>
        <v>29268.164794007491</v>
      </c>
      <c r="Z2177" s="183"/>
      <c r="AA2177" s="183"/>
      <c r="AB2177" s="223" t="s">
        <v>7469</v>
      </c>
      <c r="AC2177" s="153"/>
      <c r="AD2177" s="331"/>
      <c r="AE2177" s="57"/>
      <c r="AF2177" s="88"/>
      <c r="AG2177" s="182">
        <f>YEAR(D2177)</f>
        <v>2016</v>
      </c>
      <c r="AH2177" s="86" t="str">
        <f>+IF(AE2177=$AJ$22,MONTH(T2177),"")</f>
        <v/>
      </c>
      <c r="AI2177" s="86" t="str">
        <f>+IF(AF2177=$AJ$22,MONTH(U2177),"")</f>
        <v/>
      </c>
      <c r="AJ2177" s="86" t="str">
        <f>+IF(AG2177=$AJ$22,MONTH(V2177),"")</f>
        <v/>
      </c>
      <c r="AK2177" s="86" t="str">
        <f>+IF(AG2177=$AK$22,MONTH(V2177),"")</f>
        <v/>
      </c>
      <c r="AL2177" s="86" t="str">
        <f>+IF(AG2177=$AL$22,MONTH(V2177),"")</f>
        <v/>
      </c>
      <c r="AM2177" s="86" t="str">
        <f>+IF($AG2177=$AM$22,MONTH($D2177),"")</f>
        <v/>
      </c>
      <c r="AN2177" s="89" t="str">
        <f>+IF($AG2177=AN$22,MONTH($D2177),"")</f>
        <v/>
      </c>
      <c r="AO2177" s="86" t="str">
        <f>+IF($AG2177=AO$22,MONTH($D2177),"")</f>
        <v/>
      </c>
      <c r="AP2177" s="86" t="str">
        <f>+IF($AG2177=AP$22,MONTH($D2177),"")</f>
        <v/>
      </c>
      <c r="AQ2177" s="86" t="str">
        <f>+IF($AG2177=AQ$22,MONTH($D2177),"")</f>
        <v/>
      </c>
      <c r="AR2177" s="86">
        <f>+IF($AG2177=AR$22,MONTH($D2177),"")</f>
        <v>4</v>
      </c>
      <c r="AS2177" s="86" t="str">
        <f>+IF($AG2177=AS$22,MONTH($D2177),"")</f>
        <v/>
      </c>
      <c r="AT2177" s="86" t="str">
        <f>+IF($AG2177=AT$22,MONTH($D2177),"")</f>
        <v/>
      </c>
      <c r="AU2177" s="86" t="str">
        <f>+IF($AG2177=AU$22,MONTH($D2177),"")</f>
        <v/>
      </c>
      <c r="AV2177" s="86" t="str">
        <f>+IF($AG2177=AV$22,MONTH($D2177),"")</f>
        <v/>
      </c>
      <c r="AW2177" s="86" t="str">
        <f>+IF($AG2177=AW$22,MONTH($D2177),"")</f>
        <v/>
      </c>
      <c r="AX2177" s="86" t="str">
        <f>+IF($AG2177=AX$22,MONTH($D2177),"")</f>
        <v/>
      </c>
      <c r="AY2177" s="89"/>
      <c r="AZ2177" s="89"/>
      <c r="BA2177" s="89"/>
      <c r="BB2177" s="89"/>
      <c r="BC2177" s="89"/>
      <c r="BD2177" s="89"/>
      <c r="BE2177" s="89"/>
      <c r="BF2177" s="89"/>
      <c r="BG2177" s="89"/>
      <c r="BH2177" s="89"/>
      <c r="BI2177" s="89"/>
      <c r="BJ2177" s="89"/>
      <c r="BK2177" s="89"/>
      <c r="BL2177" s="89"/>
      <c r="BM2177" s="89"/>
      <c r="BN2177" s="89"/>
      <c r="BO2177" s="89"/>
      <c r="BP2177" s="89"/>
    </row>
    <row r="2178" spans="1:68" s="56" customFormat="1" ht="27" hidden="1">
      <c r="A2178" s="204">
        <f>+IFERROR(VALUE(MID(AB2178,4,4)),"")</f>
        <v>140</v>
      </c>
      <c r="B2178" s="204">
        <f>VALUE(RIGHT(C2178,LEN(C2178)-2))</f>
        <v>547</v>
      </c>
      <c r="C2178" s="74" t="s">
        <v>7470</v>
      </c>
      <c r="D2178" s="75">
        <v>42592</v>
      </c>
      <c r="E2178" s="70" t="s">
        <v>255</v>
      </c>
      <c r="F2178" s="70" t="s">
        <v>255</v>
      </c>
      <c r="G2178" s="68" t="s">
        <v>7471</v>
      </c>
      <c r="H2178" s="59" t="s">
        <v>7472</v>
      </c>
      <c r="I2178" s="162" t="s">
        <v>7473</v>
      </c>
      <c r="J2178" s="162"/>
      <c r="K2178" s="68" t="s">
        <v>11</v>
      </c>
      <c r="L2178" s="69" t="s">
        <v>120</v>
      </c>
      <c r="M2178" s="71" t="s">
        <v>141</v>
      </c>
      <c r="N2178" s="69" t="e" vm="1">
        <v>#VALUE!</v>
      </c>
      <c r="O2178" s="164">
        <v>42592</v>
      </c>
      <c r="P2178" s="72" t="s">
        <v>402</v>
      </c>
      <c r="Q2178" s="72"/>
      <c r="R2178" s="162"/>
      <c r="S2178" s="146"/>
      <c r="T2178" s="68" t="s">
        <v>3</v>
      </c>
      <c r="U2178" s="87"/>
      <c r="V2178" s="183">
        <v>42569</v>
      </c>
      <c r="W2178" s="73">
        <v>1330</v>
      </c>
      <c r="X2178" s="73">
        <f>2632*24600/1000000</f>
        <v>64.747200000000007</v>
      </c>
      <c r="Y2178" s="83">
        <f>IF(SUM(W2178:W2178)&gt;0,X2178/SUM(W2178:W2178)*1000000,"N/A")</f>
        <v>48682.1052631579</v>
      </c>
      <c r="Z2178" s="183"/>
      <c r="AA2178" s="183"/>
      <c r="AB2178" s="223" t="s">
        <v>7474</v>
      </c>
      <c r="AC2178" s="153"/>
      <c r="AD2178" s="331"/>
      <c r="AE2178" s="57"/>
      <c r="AF2178" s="88"/>
      <c r="AG2178" s="182">
        <f>YEAR(D2178)</f>
        <v>2016</v>
      </c>
      <c r="AH2178" s="86" t="str">
        <f>+IF(AE2178=$AJ$22,MONTH(T2178),"")</f>
        <v/>
      </c>
      <c r="AI2178" s="86" t="str">
        <f>+IF(AF2178=$AJ$22,MONTH(U2178),"")</f>
        <v/>
      </c>
      <c r="AJ2178" s="86" t="str">
        <f>+IF(AG2178=$AJ$22,MONTH(V2178),"")</f>
        <v/>
      </c>
      <c r="AK2178" s="86" t="str">
        <f>+IF(AG2178=$AK$22,MONTH(V2178),"")</f>
        <v/>
      </c>
      <c r="AL2178" s="86" t="str">
        <f>+IF(AG2178=$AL$22,MONTH(V2178),"")</f>
        <v/>
      </c>
      <c r="AM2178" s="86" t="str">
        <f>+IF($AG2178=$AM$22,MONTH($D2178),"")</f>
        <v/>
      </c>
      <c r="AN2178" s="89" t="str">
        <f>+IF($AG2178=AN$22,MONTH($D2178),"")</f>
        <v/>
      </c>
      <c r="AO2178" s="86" t="str">
        <f>+IF($AG2178=AO$22,MONTH($D2178),"")</f>
        <v/>
      </c>
      <c r="AP2178" s="86" t="str">
        <f>+IF($AG2178=AP$22,MONTH($D2178),"")</f>
        <v/>
      </c>
      <c r="AQ2178" s="86" t="str">
        <f>+IF($AG2178=AQ$22,MONTH($D2178),"")</f>
        <v/>
      </c>
      <c r="AR2178" s="86">
        <f>+IF($AG2178=AR$22,MONTH($D2178),"")</f>
        <v>8</v>
      </c>
      <c r="AS2178" s="86" t="str">
        <f>+IF($AG2178=AS$22,MONTH($D2178),"")</f>
        <v/>
      </c>
      <c r="AT2178" s="86" t="str">
        <f>+IF($AG2178=AT$22,MONTH($D2178),"")</f>
        <v/>
      </c>
      <c r="AU2178" s="86" t="str">
        <f>+IF($AG2178=AU$22,MONTH($D2178),"")</f>
        <v/>
      </c>
      <c r="AV2178" s="86" t="str">
        <f>+IF($AG2178=AV$22,MONTH($D2178),"")</f>
        <v/>
      </c>
      <c r="AW2178" s="86" t="str">
        <f>+IF($AG2178=AW$22,MONTH($D2178),"")</f>
        <v/>
      </c>
      <c r="AX2178" s="86" t="str">
        <f>+IF($AG2178=AX$22,MONTH($D2178),"")</f>
        <v/>
      </c>
      <c r="AY2178" s="89"/>
      <c r="AZ2178" s="89"/>
      <c r="BA2178" s="89"/>
      <c r="BB2178" s="89"/>
      <c r="BC2178" s="89"/>
      <c r="BD2178" s="89"/>
      <c r="BE2178" s="89"/>
      <c r="BF2178" s="89"/>
      <c r="BG2178" s="89"/>
      <c r="BH2178" s="89"/>
      <c r="BI2178" s="89"/>
      <c r="BJ2178" s="89"/>
      <c r="BK2178" s="89"/>
      <c r="BL2178" s="89"/>
      <c r="BM2178" s="89"/>
      <c r="BN2178" s="89"/>
      <c r="BO2178" s="89"/>
      <c r="BP2178" s="89"/>
    </row>
    <row r="2179" spans="1:68" s="56" customFormat="1" ht="13.5" hidden="1">
      <c r="A2179" s="204" t="str">
        <f>+IFERROR(VALUE(MID(AB2179,4,4)),"")</f>
        <v/>
      </c>
      <c r="B2179" s="204">
        <f>VALUE(RIGHT(C2179,LEN(C2179)-2))</f>
        <v>546</v>
      </c>
      <c r="C2179" s="74" t="s">
        <v>7475</v>
      </c>
      <c r="D2179" s="75">
        <v>42468</v>
      </c>
      <c r="E2179" s="70" t="s">
        <v>332</v>
      </c>
      <c r="F2179" s="70" t="s">
        <v>332</v>
      </c>
      <c r="G2179" s="68" t="s">
        <v>285</v>
      </c>
      <c r="H2179" s="59" t="s">
        <v>7401</v>
      </c>
      <c r="I2179" s="162" t="s">
        <v>7476</v>
      </c>
      <c r="J2179" s="162"/>
      <c r="K2179" s="68" t="s">
        <v>13</v>
      </c>
      <c r="L2179" s="69" t="s">
        <v>120</v>
      </c>
      <c r="M2179" s="71" t="s">
        <v>141</v>
      </c>
      <c r="N2179" s="69" t="e" vm="1">
        <v>#VALUE!</v>
      </c>
      <c r="O2179" s="164">
        <v>42468</v>
      </c>
      <c r="P2179" s="72" t="s">
        <v>402</v>
      </c>
      <c r="Q2179" s="72"/>
      <c r="R2179" s="162"/>
      <c r="S2179" s="146"/>
      <c r="T2179" s="68" t="s">
        <v>3</v>
      </c>
      <c r="U2179" s="87"/>
      <c r="V2179" s="183">
        <v>42570</v>
      </c>
      <c r="W2179" s="73">
        <v>37</v>
      </c>
      <c r="X2179" s="73">
        <f>62*24600/1000000</f>
        <v>1.5251999999999999</v>
      </c>
      <c r="Y2179" s="83">
        <f>IF(SUM(W2179:W2179)&gt;0,X2179/SUM(W2179:W2179)*1000000,"N/A")</f>
        <v>41221.621621621613</v>
      </c>
      <c r="Z2179" s="183"/>
      <c r="AA2179" s="183"/>
      <c r="AB2179" s="223"/>
      <c r="AC2179" s="153"/>
      <c r="AD2179" s="331"/>
      <c r="AE2179" s="57"/>
      <c r="AF2179" s="88"/>
      <c r="AG2179" s="182">
        <f>YEAR(D2179)</f>
        <v>2016</v>
      </c>
      <c r="AH2179" s="86" t="str">
        <f>+IF(AE2179=$AJ$22,MONTH(T2179),"")</f>
        <v/>
      </c>
      <c r="AI2179" s="86" t="str">
        <f>+IF(AF2179=$AJ$22,MONTH(U2179),"")</f>
        <v/>
      </c>
      <c r="AJ2179" s="86" t="str">
        <f>+IF(AG2179=$AJ$22,MONTH(V2179),"")</f>
        <v/>
      </c>
      <c r="AK2179" s="86" t="str">
        <f>+IF(AG2179=$AK$22,MONTH(V2179),"")</f>
        <v/>
      </c>
      <c r="AL2179" s="86" t="str">
        <f>+IF(AG2179=$AL$22,MONTH(V2179),"")</f>
        <v/>
      </c>
      <c r="AM2179" s="86" t="str">
        <f>+IF($AG2179=$AM$22,MONTH($D2179),"")</f>
        <v/>
      </c>
      <c r="AN2179" s="89" t="str">
        <f>+IF($AG2179=AN$22,MONTH($D2179),"")</f>
        <v/>
      </c>
      <c r="AO2179" s="86" t="str">
        <f>+IF($AG2179=AO$22,MONTH($D2179),"")</f>
        <v/>
      </c>
      <c r="AP2179" s="86" t="str">
        <f>+IF($AG2179=AP$22,MONTH($D2179),"")</f>
        <v/>
      </c>
      <c r="AQ2179" s="86" t="str">
        <f>+IF($AG2179=AQ$22,MONTH($D2179),"")</f>
        <v/>
      </c>
      <c r="AR2179" s="86">
        <f>+IF($AG2179=AR$22,MONTH($D2179),"")</f>
        <v>4</v>
      </c>
      <c r="AS2179" s="86" t="str">
        <f>+IF($AG2179=AS$22,MONTH($D2179),"")</f>
        <v/>
      </c>
      <c r="AT2179" s="86" t="str">
        <f>+IF($AG2179=AT$22,MONTH($D2179),"")</f>
        <v/>
      </c>
      <c r="AU2179" s="86" t="str">
        <f>+IF($AG2179=AU$22,MONTH($D2179),"")</f>
        <v/>
      </c>
      <c r="AV2179" s="86" t="str">
        <f>+IF($AG2179=AV$22,MONTH($D2179),"")</f>
        <v/>
      </c>
      <c r="AW2179" s="86" t="str">
        <f>+IF($AG2179=AW$22,MONTH($D2179),"")</f>
        <v/>
      </c>
      <c r="AX2179" s="86" t="str">
        <f>+IF($AG2179=AX$22,MONTH($D2179),"")</f>
        <v/>
      </c>
      <c r="AY2179" s="89"/>
      <c r="AZ2179" s="89"/>
      <c r="BA2179" s="89"/>
      <c r="BB2179" s="89"/>
      <c r="BC2179" s="89"/>
      <c r="BD2179" s="89"/>
      <c r="BE2179" s="89"/>
      <c r="BF2179" s="89"/>
      <c r="BG2179" s="89"/>
      <c r="BH2179" s="89"/>
      <c r="BI2179" s="89"/>
      <c r="BJ2179" s="89"/>
      <c r="BK2179" s="89"/>
      <c r="BL2179" s="89"/>
      <c r="BM2179" s="89"/>
      <c r="BN2179" s="89"/>
      <c r="BO2179" s="89"/>
      <c r="BP2179" s="89"/>
    </row>
    <row r="2180" spans="1:68" s="56" customFormat="1" ht="40.5" hidden="1">
      <c r="A2180" s="204" t="str">
        <f>+IFERROR(VALUE(MID(AB2180,4,4)),"")</f>
        <v/>
      </c>
      <c r="B2180" s="204">
        <f>VALUE(RIGHT(C2180,LEN(C2180)-2))</f>
        <v>545</v>
      </c>
      <c r="C2180" s="74" t="s">
        <v>7477</v>
      </c>
      <c r="D2180" s="75">
        <v>42555</v>
      </c>
      <c r="E2180" s="70" t="s">
        <v>69</v>
      </c>
      <c r="F2180" s="70" t="s">
        <v>69</v>
      </c>
      <c r="G2180" s="68" t="s">
        <v>4508</v>
      </c>
      <c r="H2180" s="59"/>
      <c r="I2180" s="162" t="s">
        <v>7478</v>
      </c>
      <c r="J2180" s="162"/>
      <c r="K2180" s="68" t="s">
        <v>13</v>
      </c>
      <c r="L2180" s="69" t="s">
        <v>120</v>
      </c>
      <c r="M2180" s="71" t="s">
        <v>141</v>
      </c>
      <c r="N2180" s="69" t="e" vm="1">
        <v>#VALUE!</v>
      </c>
      <c r="O2180" s="164">
        <v>42555</v>
      </c>
      <c r="P2180" s="72" t="s">
        <v>5018</v>
      </c>
      <c r="Q2180" s="72"/>
      <c r="R2180" s="162"/>
      <c r="S2180" s="146" t="s">
        <v>7479</v>
      </c>
      <c r="T2180" s="68" t="s">
        <v>165</v>
      </c>
      <c r="U2180" s="87">
        <v>0.1</v>
      </c>
      <c r="V2180" s="183">
        <v>42570</v>
      </c>
      <c r="W2180" s="73">
        <v>1171</v>
      </c>
      <c r="X2180" s="73">
        <f>69264*650/1000000</f>
        <v>45.021599999999999</v>
      </c>
      <c r="Y2180" s="83">
        <f>IF(SUM(W2180:W2180)&gt;0,X2180/SUM(W2180:W2180)*1000000,"N/A")</f>
        <v>38447.139197267294</v>
      </c>
      <c r="Z2180" s="183"/>
      <c r="AA2180" s="183"/>
      <c r="AB2180" s="223"/>
      <c r="AC2180" s="153"/>
      <c r="AD2180" s="331"/>
      <c r="AE2180" s="57"/>
      <c r="AF2180" s="88"/>
      <c r="AG2180" s="182">
        <f>YEAR(D2180)</f>
        <v>2016</v>
      </c>
      <c r="AH2180" s="86" t="str">
        <f>+IF(AE2180=$AJ$22,MONTH(T2180),"")</f>
        <v/>
      </c>
      <c r="AI2180" s="86" t="str">
        <f>+IF(AF2180=$AJ$22,MONTH(U2180),"")</f>
        <v/>
      </c>
      <c r="AJ2180" s="86" t="str">
        <f>+IF(AG2180=$AJ$22,MONTH(V2180),"")</f>
        <v/>
      </c>
      <c r="AK2180" s="86" t="str">
        <f>+IF(AG2180=$AK$22,MONTH(V2180),"")</f>
        <v/>
      </c>
      <c r="AL2180" s="86" t="str">
        <f>+IF(AG2180=$AL$22,MONTH(V2180),"")</f>
        <v/>
      </c>
      <c r="AM2180" s="86" t="str">
        <f>+IF($AG2180=$AM$22,MONTH($D2180),"")</f>
        <v/>
      </c>
      <c r="AN2180" s="89" t="str">
        <f>+IF($AG2180=AN$22,MONTH($D2180),"")</f>
        <v/>
      </c>
      <c r="AO2180" s="86" t="str">
        <f>+IF($AG2180=AO$22,MONTH($D2180),"")</f>
        <v/>
      </c>
      <c r="AP2180" s="86" t="str">
        <f>+IF($AG2180=AP$22,MONTH($D2180),"")</f>
        <v/>
      </c>
      <c r="AQ2180" s="86" t="str">
        <f>+IF($AG2180=AQ$22,MONTH($D2180),"")</f>
        <v/>
      </c>
      <c r="AR2180" s="86">
        <f>+IF($AG2180=AR$22,MONTH($D2180),"")</f>
        <v>7</v>
      </c>
      <c r="AS2180" s="86" t="str">
        <f>+IF($AG2180=AS$22,MONTH($D2180),"")</f>
        <v/>
      </c>
      <c r="AT2180" s="86" t="str">
        <f>+IF($AG2180=AT$22,MONTH($D2180),"")</f>
        <v/>
      </c>
      <c r="AU2180" s="86" t="str">
        <f>+IF($AG2180=AU$22,MONTH($D2180),"")</f>
        <v/>
      </c>
      <c r="AV2180" s="86" t="str">
        <f>+IF($AG2180=AV$22,MONTH($D2180),"")</f>
        <v/>
      </c>
      <c r="AW2180" s="86" t="str">
        <f>+IF($AG2180=AW$22,MONTH($D2180),"")</f>
        <v/>
      </c>
      <c r="AX2180" s="86" t="str">
        <f>+IF($AG2180=AX$22,MONTH($D2180),"")</f>
        <v/>
      </c>
      <c r="AY2180" s="89"/>
      <c r="AZ2180" s="89"/>
      <c r="BA2180" s="89"/>
      <c r="BB2180" s="89"/>
      <c r="BC2180" s="89"/>
      <c r="BD2180" s="89"/>
      <c r="BE2180" s="89"/>
      <c r="BF2180" s="89"/>
      <c r="BG2180" s="89"/>
      <c r="BH2180" s="89"/>
      <c r="BI2180" s="89"/>
      <c r="BJ2180" s="89"/>
      <c r="BK2180" s="89"/>
      <c r="BL2180" s="89"/>
      <c r="BM2180" s="89"/>
      <c r="BN2180" s="89"/>
      <c r="BO2180" s="89"/>
      <c r="BP2180" s="89"/>
    </row>
    <row r="2181" spans="1:68" s="52" customFormat="1" ht="27" hidden="1">
      <c r="A2181" s="204" t="str">
        <f>+IFERROR(VALUE(MID(AB2181,4,4)),"")</f>
        <v/>
      </c>
      <c r="B2181" s="204">
        <f>VALUE(RIGHT(C2181,LEN(C2181)-2))</f>
        <v>544</v>
      </c>
      <c r="C2181" s="219" t="s">
        <v>7480</v>
      </c>
      <c r="D2181" s="220">
        <v>42555</v>
      </c>
      <c r="E2181" s="181" t="s">
        <v>51</v>
      </c>
      <c r="F2181" s="181" t="s">
        <v>51</v>
      </c>
      <c r="G2181" s="68" t="s">
        <v>7006</v>
      </c>
      <c r="H2181" s="67" t="s">
        <v>7007</v>
      </c>
      <c r="I2181" s="163" t="s">
        <v>7481</v>
      </c>
      <c r="J2181" s="163"/>
      <c r="K2181" s="71" t="s">
        <v>30</v>
      </c>
      <c r="L2181" s="71" t="s">
        <v>120</v>
      </c>
      <c r="M2181" s="71" t="s">
        <v>141</v>
      </c>
      <c r="N2181" s="68" t="e" vm="1">
        <v>#VALUE!</v>
      </c>
      <c r="O2181" s="264">
        <v>42555</v>
      </c>
      <c r="P2181" s="221" t="s">
        <v>402</v>
      </c>
      <c r="Q2181" s="221"/>
      <c r="R2181" s="163"/>
      <c r="S2181" s="222"/>
      <c r="T2181" s="68" t="s">
        <v>165</v>
      </c>
      <c r="U2181" s="87"/>
      <c r="V2181" s="183">
        <v>42570</v>
      </c>
      <c r="W2181" s="223">
        <v>666</v>
      </c>
      <c r="X2181" s="223">
        <f>1100*24600/1000000</f>
        <v>27.06</v>
      </c>
      <c r="Y2181" s="73">
        <f>IF(SUM(W2181:W2181)&gt;0,X2181/SUM(W2181:W2181)*1000000,"N/A")</f>
        <v>40630.630630630629</v>
      </c>
      <c r="Z2181" s="270"/>
      <c r="AA2181" s="270"/>
      <c r="AB2181" s="223"/>
      <c r="AC2181" s="224"/>
      <c r="AD2181" s="336"/>
      <c r="AE2181" s="65"/>
      <c r="AF2181" s="225"/>
      <c r="AG2181" s="182">
        <f>YEAR(D2181)</f>
        <v>2016</v>
      </c>
      <c r="AH2181" s="86" t="str">
        <f>+IF(AE2181=$AJ$22,MONTH(T2181),"")</f>
        <v/>
      </c>
      <c r="AI2181" s="86" t="str">
        <f>+IF(AF2181=$AJ$22,MONTH(U2181),"")</f>
        <v/>
      </c>
      <c r="AJ2181" s="86" t="str">
        <f>+IF(AG2181=$AJ$22,MONTH(V2181),"")</f>
        <v/>
      </c>
      <c r="AK2181" s="86" t="str">
        <f>+IF(AG2181=$AK$22,MONTH(V2181),"")</f>
        <v/>
      </c>
      <c r="AL2181" s="86" t="str">
        <f>+IF(AG2181=$AL$22,MONTH(V2181),"")</f>
        <v/>
      </c>
      <c r="AM2181" s="86" t="str">
        <f>+IF($AG2181=$AM$22,MONTH($D2181),"")</f>
        <v/>
      </c>
      <c r="AN2181" s="89" t="str">
        <f>+IF($AG2181=AN$22,MONTH($D2181),"")</f>
        <v/>
      </c>
      <c r="AO2181" s="86" t="str">
        <f>+IF($AG2181=AO$22,MONTH($D2181),"")</f>
        <v/>
      </c>
      <c r="AP2181" s="86" t="str">
        <f>+IF($AG2181=AP$22,MONTH($D2181),"")</f>
        <v/>
      </c>
      <c r="AQ2181" s="86" t="str">
        <f>+IF($AG2181=AQ$22,MONTH($D2181),"")</f>
        <v/>
      </c>
      <c r="AR2181" s="86">
        <f>+IF($AG2181=AR$22,MONTH($D2181),"")</f>
        <v>7</v>
      </c>
      <c r="AS2181" s="86" t="str">
        <f>+IF($AG2181=AS$22,MONTH($D2181),"")</f>
        <v/>
      </c>
      <c r="AT2181" s="86" t="str">
        <f>+IF($AG2181=AT$22,MONTH($D2181),"")</f>
        <v/>
      </c>
      <c r="AU2181" s="86" t="str">
        <f>+IF($AG2181=AU$22,MONTH($D2181),"")</f>
        <v/>
      </c>
      <c r="AV2181" s="86" t="str">
        <f>+IF($AG2181=AV$22,MONTH($D2181),"")</f>
        <v/>
      </c>
      <c r="AW2181" s="86" t="str">
        <f>+IF($AG2181=AW$22,MONTH($D2181),"")</f>
        <v/>
      </c>
      <c r="AX2181" s="86" t="str">
        <f>+IF($AG2181=AX$22,MONTH($D2181),"")</f>
        <v/>
      </c>
      <c r="AY2181" s="89"/>
      <c r="AZ2181" s="89"/>
      <c r="BA2181" s="89"/>
      <c r="BB2181" s="89"/>
      <c r="BC2181" s="89"/>
      <c r="BD2181" s="89"/>
      <c r="BE2181" s="89"/>
      <c r="BF2181" s="89"/>
      <c r="BG2181" s="89"/>
      <c r="BH2181" s="89"/>
      <c r="BI2181" s="89"/>
      <c r="BJ2181" s="2"/>
      <c r="BK2181" s="2"/>
      <c r="BL2181" s="2"/>
      <c r="BM2181" s="2"/>
      <c r="BN2181" s="2"/>
      <c r="BO2181" s="2"/>
      <c r="BP2181" s="2"/>
    </row>
    <row r="2182" spans="1:68" s="56" customFormat="1" ht="40.5" hidden="1">
      <c r="A2182" s="204" t="str">
        <f>+IFERROR(VALUE(MID(AB2182,4,4)),"")</f>
        <v/>
      </c>
      <c r="B2182" s="204">
        <f>VALUE(RIGHT(C2182,LEN(C2182)-2))</f>
        <v>543</v>
      </c>
      <c r="C2182" s="74" t="s">
        <v>7482</v>
      </c>
      <c r="D2182" s="75">
        <v>42549</v>
      </c>
      <c r="E2182" s="70" t="s">
        <v>53</v>
      </c>
      <c r="F2182" s="70" t="s">
        <v>209</v>
      </c>
      <c r="G2182" s="68" t="s">
        <v>4508</v>
      </c>
      <c r="H2182" s="59"/>
      <c r="I2182" s="162" t="s">
        <v>7483</v>
      </c>
      <c r="J2182" s="162"/>
      <c r="K2182" s="68" t="s">
        <v>30</v>
      </c>
      <c r="L2182" s="69" t="s">
        <v>120</v>
      </c>
      <c r="M2182" s="71" t="s">
        <v>141</v>
      </c>
      <c r="N2182" s="69" t="e" vm="1">
        <v>#VALUE!</v>
      </c>
      <c r="O2182" s="164">
        <v>42549</v>
      </c>
      <c r="P2182" s="72" t="s">
        <v>4567</v>
      </c>
      <c r="Q2182" s="72"/>
      <c r="R2182" s="162"/>
      <c r="S2182" s="146" t="s">
        <v>7479</v>
      </c>
      <c r="T2182" s="68" t="s">
        <v>165</v>
      </c>
      <c r="U2182" s="87">
        <v>0.1</v>
      </c>
      <c r="V2182" s="183">
        <v>42551</v>
      </c>
      <c r="W2182" s="73">
        <v>181</v>
      </c>
      <c r="X2182" s="73">
        <f>441*25600/1000000</f>
        <v>11.2896</v>
      </c>
      <c r="Y2182" s="83">
        <f>IF(SUM(W2182:W2182)&gt;0,X2182/SUM(W2182:W2182)*1000000,"N/A")</f>
        <v>62373.480662983427</v>
      </c>
      <c r="Z2182" s="183"/>
      <c r="AA2182" s="183"/>
      <c r="AB2182" s="223"/>
      <c r="AC2182" s="153"/>
      <c r="AD2182" s="331"/>
      <c r="AE2182" s="57"/>
      <c r="AF2182" s="88"/>
      <c r="AG2182" s="182">
        <f>YEAR(D2182)</f>
        <v>2016</v>
      </c>
      <c r="AH2182" s="86" t="str">
        <f>+IF(AE2182=$AJ$22,MONTH(T2182),"")</f>
        <v/>
      </c>
      <c r="AI2182" s="86" t="str">
        <f>+IF(AF2182=$AJ$22,MONTH(U2182),"")</f>
        <v/>
      </c>
      <c r="AJ2182" s="86" t="str">
        <f>+IF(AG2182=$AJ$22,MONTH(V2182),"")</f>
        <v/>
      </c>
      <c r="AK2182" s="86" t="str">
        <f>+IF(AG2182=$AK$22,MONTH(V2182),"")</f>
        <v/>
      </c>
      <c r="AL2182" s="86" t="str">
        <f>+IF(AG2182=$AL$22,MONTH(V2182),"")</f>
        <v/>
      </c>
      <c r="AM2182" s="86" t="str">
        <f>+IF($AG2182=$AM$22,MONTH($D2182),"")</f>
        <v/>
      </c>
      <c r="AN2182" s="89" t="str">
        <f>+IF($AG2182=AN$22,MONTH($D2182),"")</f>
        <v/>
      </c>
      <c r="AO2182" s="86" t="str">
        <f>+IF($AG2182=AO$22,MONTH($D2182),"")</f>
        <v/>
      </c>
      <c r="AP2182" s="86" t="str">
        <f>+IF($AG2182=AP$22,MONTH($D2182),"")</f>
        <v/>
      </c>
      <c r="AQ2182" s="86" t="str">
        <f>+IF($AG2182=AQ$22,MONTH($D2182),"")</f>
        <v/>
      </c>
      <c r="AR2182" s="86">
        <f>+IF($AG2182=AR$22,MONTH($D2182),"")</f>
        <v>6</v>
      </c>
      <c r="AS2182" s="86" t="str">
        <f>+IF($AG2182=AS$22,MONTH($D2182),"")</f>
        <v/>
      </c>
      <c r="AT2182" s="86" t="str">
        <f>+IF($AG2182=AT$22,MONTH($D2182),"")</f>
        <v/>
      </c>
      <c r="AU2182" s="86" t="str">
        <f>+IF($AG2182=AU$22,MONTH($D2182),"")</f>
        <v/>
      </c>
      <c r="AV2182" s="86" t="str">
        <f>+IF($AG2182=AV$22,MONTH($D2182),"")</f>
        <v/>
      </c>
      <c r="AW2182" s="86" t="str">
        <f>+IF($AG2182=AW$22,MONTH($D2182),"")</f>
        <v/>
      </c>
      <c r="AX2182" s="86" t="str">
        <f>+IF($AG2182=AX$22,MONTH($D2182),"")</f>
        <v/>
      </c>
      <c r="AY2182" s="89"/>
      <c r="AZ2182" s="89"/>
      <c r="BA2182" s="89"/>
      <c r="BB2182" s="89"/>
      <c r="BC2182" s="89"/>
      <c r="BD2182" s="89"/>
      <c r="BE2182" s="89"/>
      <c r="BF2182" s="89"/>
      <c r="BG2182" s="89"/>
      <c r="BH2182" s="89"/>
      <c r="BI2182" s="89"/>
      <c r="BJ2182" s="89"/>
      <c r="BK2182" s="89"/>
      <c r="BL2182" s="89"/>
      <c r="BM2182" s="89"/>
      <c r="BN2182" s="89"/>
      <c r="BO2182" s="89"/>
      <c r="BP2182" s="89"/>
    </row>
    <row r="2183" spans="1:68" s="56" customFormat="1" ht="27" hidden="1">
      <c r="A2183" s="204">
        <f>+IFERROR(VALUE(MID(AB2183,4,4)),"")</f>
        <v>143</v>
      </c>
      <c r="B2183" s="204">
        <f>VALUE(RIGHT(C2183,LEN(C2183)-2))</f>
        <v>542</v>
      </c>
      <c r="C2183" s="74" t="s">
        <v>7484</v>
      </c>
      <c r="D2183" s="75">
        <v>42549</v>
      </c>
      <c r="E2183" s="70" t="s">
        <v>3790</v>
      </c>
      <c r="F2183" s="70" t="s">
        <v>3790</v>
      </c>
      <c r="G2183" s="68" t="s">
        <v>3791</v>
      </c>
      <c r="H2183" s="59" t="s">
        <v>3792</v>
      </c>
      <c r="I2183" s="162" t="s">
        <v>7485</v>
      </c>
      <c r="J2183" s="162"/>
      <c r="K2183" s="68" t="s">
        <v>12</v>
      </c>
      <c r="L2183" s="69" t="s">
        <v>123</v>
      </c>
      <c r="M2183" s="71" t="s">
        <v>141</v>
      </c>
      <c r="N2183" s="69" t="e" vm="1">
        <v>#VALUE!</v>
      </c>
      <c r="O2183" s="164">
        <v>42549</v>
      </c>
      <c r="P2183" s="72" t="s">
        <v>402</v>
      </c>
      <c r="Q2183" s="72"/>
      <c r="R2183" s="162"/>
      <c r="S2183" s="146"/>
      <c r="T2183" s="68" t="s">
        <v>3</v>
      </c>
      <c r="U2183" s="87"/>
      <c r="V2183" s="183">
        <v>42551</v>
      </c>
      <c r="W2183" s="73">
        <v>86</v>
      </c>
      <c r="X2183" s="73">
        <f>123*26500/1000000</f>
        <v>3.2595000000000001</v>
      </c>
      <c r="Y2183" s="83">
        <f>IF(SUM(W2183:W2183)&gt;0,X2183/SUM(W2183:W2183)*1000000,"N/A")</f>
        <v>37901.162790697679</v>
      </c>
      <c r="Z2183" s="183"/>
      <c r="AA2183" s="183"/>
      <c r="AB2183" s="223" t="s">
        <v>7486</v>
      </c>
      <c r="AC2183" s="153"/>
      <c r="AD2183" s="331"/>
      <c r="AE2183" s="57"/>
      <c r="AF2183" s="88"/>
      <c r="AG2183" s="182">
        <f>YEAR(D2183)</f>
        <v>2016</v>
      </c>
      <c r="AH2183" s="86" t="str">
        <f>+IF(AE2183=$AJ$22,MONTH(T2183),"")</f>
        <v/>
      </c>
      <c r="AI2183" s="86" t="str">
        <f>+IF(AF2183=$AJ$22,MONTH(U2183),"")</f>
        <v/>
      </c>
      <c r="AJ2183" s="86" t="str">
        <f>+IF(AG2183=$AJ$22,MONTH(V2183),"")</f>
        <v/>
      </c>
      <c r="AK2183" s="86" t="str">
        <f>+IF(AG2183=$AK$22,MONTH(V2183),"")</f>
        <v/>
      </c>
      <c r="AL2183" s="86" t="str">
        <f>+IF(AG2183=$AL$22,MONTH(V2183),"")</f>
        <v/>
      </c>
      <c r="AM2183" s="86" t="str">
        <f>+IF($AG2183=$AM$22,MONTH($D2183),"")</f>
        <v/>
      </c>
      <c r="AN2183" s="89" t="str">
        <f>+IF($AG2183=AN$22,MONTH($D2183),"")</f>
        <v/>
      </c>
      <c r="AO2183" s="86" t="str">
        <f>+IF($AG2183=AO$22,MONTH($D2183),"")</f>
        <v/>
      </c>
      <c r="AP2183" s="86" t="str">
        <f>+IF($AG2183=AP$22,MONTH($D2183),"")</f>
        <v/>
      </c>
      <c r="AQ2183" s="86" t="str">
        <f>+IF($AG2183=AQ$22,MONTH($D2183),"")</f>
        <v/>
      </c>
      <c r="AR2183" s="86">
        <f>+IF($AG2183=AR$22,MONTH($D2183),"")</f>
        <v>6</v>
      </c>
      <c r="AS2183" s="86" t="str">
        <f>+IF($AG2183=AS$22,MONTH($D2183),"")</f>
        <v/>
      </c>
      <c r="AT2183" s="86" t="str">
        <f>+IF($AG2183=AT$22,MONTH($D2183),"")</f>
        <v/>
      </c>
      <c r="AU2183" s="86" t="str">
        <f>+IF($AG2183=AU$22,MONTH($D2183),"")</f>
        <v/>
      </c>
      <c r="AV2183" s="86" t="str">
        <f>+IF($AG2183=AV$22,MONTH($D2183),"")</f>
        <v/>
      </c>
      <c r="AW2183" s="86" t="str">
        <f>+IF($AG2183=AW$22,MONTH($D2183),"")</f>
        <v/>
      </c>
      <c r="AX2183" s="86" t="str">
        <f>+IF($AG2183=AX$22,MONTH($D2183),"")</f>
        <v/>
      </c>
      <c r="AY2183" s="89"/>
      <c r="AZ2183" s="89"/>
      <c r="BA2183" s="89"/>
      <c r="BB2183" s="89"/>
      <c r="BC2183" s="89"/>
      <c r="BD2183" s="89"/>
      <c r="BE2183" s="89"/>
      <c r="BF2183" s="89"/>
      <c r="BG2183" s="89"/>
      <c r="BH2183" s="89"/>
      <c r="BI2183" s="89"/>
      <c r="BJ2183" s="89"/>
      <c r="BK2183" s="89"/>
      <c r="BL2183" s="89"/>
      <c r="BM2183" s="89"/>
      <c r="BN2183" s="89"/>
      <c r="BO2183" s="89"/>
      <c r="BP2183" s="89"/>
    </row>
    <row r="2184" spans="1:68" s="56" customFormat="1" ht="13.5" hidden="1">
      <c r="A2184" s="204">
        <f>+IFERROR(VALUE(MID(AB2184,4,4)),"")</f>
        <v>124</v>
      </c>
      <c r="B2184" s="204">
        <f>VALUE(RIGHT(C2184,LEN(C2184)-2))</f>
        <v>541</v>
      </c>
      <c r="C2184" s="74" t="s">
        <v>7487</v>
      </c>
      <c r="D2184" s="75">
        <v>42549</v>
      </c>
      <c r="E2184" s="70" t="s">
        <v>81</v>
      </c>
      <c r="F2184" s="70" t="s">
        <v>3351</v>
      </c>
      <c r="G2184" s="68" t="s">
        <v>7074</v>
      </c>
      <c r="H2184" s="59"/>
      <c r="I2184" s="162" t="s">
        <v>7488</v>
      </c>
      <c r="J2184" s="162"/>
      <c r="K2184" s="68" t="s">
        <v>31</v>
      </c>
      <c r="L2184" s="69" t="s">
        <v>120</v>
      </c>
      <c r="M2184" s="71" t="s">
        <v>113</v>
      </c>
      <c r="N2184" s="69" t="e" vm="4">
        <v>#VALUE!</v>
      </c>
      <c r="O2184" s="164">
        <v>42549</v>
      </c>
      <c r="P2184" s="72" t="s">
        <v>402</v>
      </c>
      <c r="Q2184" s="72"/>
      <c r="R2184" s="162"/>
      <c r="S2184" s="146"/>
      <c r="T2184" s="68" t="s">
        <v>3</v>
      </c>
      <c r="U2184" s="87"/>
      <c r="V2184" s="183">
        <v>42549</v>
      </c>
      <c r="W2184" s="73">
        <v>1260</v>
      </c>
      <c r="X2184" s="73">
        <f>99890*650/1000000</f>
        <v>64.9285</v>
      </c>
      <c r="Y2184" s="83">
        <f>IF(SUM(W2184:W2184)&gt;0,X2184/SUM(W2184:W2184)*1000000,"N/A")</f>
        <v>51530.555555555562</v>
      </c>
      <c r="Z2184" s="183"/>
      <c r="AA2184" s="183"/>
      <c r="AB2184" s="223" t="s">
        <v>7367</v>
      </c>
      <c r="AC2184" s="153"/>
      <c r="AD2184" s="331"/>
      <c r="AE2184" s="57"/>
      <c r="AF2184" s="88"/>
      <c r="AG2184" s="182">
        <f>YEAR(D2184)</f>
        <v>2016</v>
      </c>
      <c r="AH2184" s="86" t="str">
        <f>+IF(AE2184=$AJ$22,MONTH(T2184),"")</f>
        <v/>
      </c>
      <c r="AI2184" s="86" t="str">
        <f>+IF(AF2184=$AJ$22,MONTH(U2184),"")</f>
        <v/>
      </c>
      <c r="AJ2184" s="86" t="str">
        <f>+IF(AG2184=$AJ$22,MONTH(V2184),"")</f>
        <v/>
      </c>
      <c r="AK2184" s="86" t="str">
        <f>+IF(AG2184=$AK$22,MONTH(V2184),"")</f>
        <v/>
      </c>
      <c r="AL2184" s="86" t="str">
        <f>+IF(AG2184=$AL$22,MONTH(V2184),"")</f>
        <v/>
      </c>
      <c r="AM2184" s="86" t="str">
        <f>+IF($AG2184=$AM$22,MONTH($D2184),"")</f>
        <v/>
      </c>
      <c r="AN2184" s="89" t="str">
        <f>+IF($AG2184=AN$22,MONTH($D2184),"")</f>
        <v/>
      </c>
      <c r="AO2184" s="86" t="str">
        <f>+IF($AG2184=AO$22,MONTH($D2184),"")</f>
        <v/>
      </c>
      <c r="AP2184" s="86" t="str">
        <f>+IF($AG2184=AP$22,MONTH($D2184),"")</f>
        <v/>
      </c>
      <c r="AQ2184" s="86" t="str">
        <f>+IF($AG2184=AQ$22,MONTH($D2184),"")</f>
        <v/>
      </c>
      <c r="AR2184" s="86">
        <f>+IF($AG2184=AR$22,MONTH($D2184),"")</f>
        <v>6</v>
      </c>
      <c r="AS2184" s="86" t="str">
        <f>+IF($AG2184=AS$22,MONTH($D2184),"")</f>
        <v/>
      </c>
      <c r="AT2184" s="86" t="str">
        <f>+IF($AG2184=AT$22,MONTH($D2184),"")</f>
        <v/>
      </c>
      <c r="AU2184" s="86" t="str">
        <f>+IF($AG2184=AU$22,MONTH($D2184),"")</f>
        <v/>
      </c>
      <c r="AV2184" s="86" t="str">
        <f>+IF($AG2184=AV$22,MONTH($D2184),"")</f>
        <v/>
      </c>
      <c r="AW2184" s="86" t="str">
        <f>+IF($AG2184=AW$22,MONTH($D2184),"")</f>
        <v/>
      </c>
      <c r="AX2184" s="86" t="str">
        <f>+IF($AG2184=AX$22,MONTH($D2184),"")</f>
        <v/>
      </c>
      <c r="AY2184" s="89"/>
      <c r="AZ2184" s="89"/>
      <c r="BA2184" s="89"/>
      <c r="BB2184" s="89"/>
      <c r="BC2184" s="89"/>
      <c r="BD2184" s="89"/>
      <c r="BE2184" s="89"/>
      <c r="BF2184" s="89"/>
      <c r="BG2184" s="89"/>
      <c r="BH2184" s="89"/>
      <c r="BI2184" s="89"/>
      <c r="BJ2184" s="89"/>
      <c r="BK2184" s="89"/>
      <c r="BL2184" s="89"/>
      <c r="BM2184" s="89"/>
      <c r="BN2184" s="89"/>
      <c r="BO2184" s="89"/>
      <c r="BP2184" s="89"/>
    </row>
    <row r="2185" spans="1:68" s="56" customFormat="1" ht="27" hidden="1">
      <c r="A2185" s="204">
        <f>+IFERROR(VALUE(MID(AB2185,4,4)),"")</f>
        <v>113</v>
      </c>
      <c r="B2185" s="204">
        <f>VALUE(RIGHT(C2185,LEN(C2185)-2))</f>
        <v>540</v>
      </c>
      <c r="C2185" s="74" t="s">
        <v>7489</v>
      </c>
      <c r="D2185" s="75">
        <v>42551</v>
      </c>
      <c r="E2185" s="70" t="s">
        <v>332</v>
      </c>
      <c r="F2185" s="70" t="s">
        <v>332</v>
      </c>
      <c r="G2185" s="68" t="s">
        <v>285</v>
      </c>
      <c r="H2185" s="59" t="s">
        <v>7401</v>
      </c>
      <c r="I2185" s="162" t="s">
        <v>7490</v>
      </c>
      <c r="J2185" s="162"/>
      <c r="K2185" s="68" t="s">
        <v>13</v>
      </c>
      <c r="L2185" s="69" t="s">
        <v>120</v>
      </c>
      <c r="M2185" s="71" t="s">
        <v>141</v>
      </c>
      <c r="N2185" s="69" t="e" vm="1">
        <v>#VALUE!</v>
      </c>
      <c r="O2185" s="164">
        <v>42551</v>
      </c>
      <c r="P2185" s="72" t="s">
        <v>402</v>
      </c>
      <c r="Q2185" s="72"/>
      <c r="R2185" s="162"/>
      <c r="S2185" s="146"/>
      <c r="T2185" s="68" t="s">
        <v>3</v>
      </c>
      <c r="U2185" s="87"/>
      <c r="V2185" s="183">
        <v>42551</v>
      </c>
      <c r="W2185" s="73">
        <v>4339</v>
      </c>
      <c r="X2185" s="73">
        <f>5210*26500/1000000</f>
        <v>138.065</v>
      </c>
      <c r="Y2185" s="83">
        <f>IF(SUM(W2185:W2185)&gt;0,X2185/SUM(W2185:W2185)*1000000,"N/A")</f>
        <v>31819.543673657525</v>
      </c>
      <c r="Z2185" s="183"/>
      <c r="AA2185" s="183"/>
      <c r="AB2185" s="223" t="s">
        <v>7491</v>
      </c>
      <c r="AC2185" s="153"/>
      <c r="AD2185" s="331"/>
      <c r="AE2185" s="57"/>
      <c r="AF2185" s="88"/>
      <c r="AG2185" s="182">
        <f>YEAR(D2185)</f>
        <v>2016</v>
      </c>
      <c r="AH2185" s="86" t="str">
        <f>+IF(AE2185=$AJ$22,MONTH(T2185),"")</f>
        <v/>
      </c>
      <c r="AI2185" s="86" t="str">
        <f>+IF(AF2185=$AJ$22,MONTH(U2185),"")</f>
        <v/>
      </c>
      <c r="AJ2185" s="86" t="str">
        <f>+IF(AG2185=$AJ$22,MONTH(V2185),"")</f>
        <v/>
      </c>
      <c r="AK2185" s="86" t="str">
        <f>+IF(AG2185=$AK$22,MONTH(V2185),"")</f>
        <v/>
      </c>
      <c r="AL2185" s="86" t="str">
        <f>+IF(AG2185=$AL$22,MONTH(V2185),"")</f>
        <v/>
      </c>
      <c r="AM2185" s="86" t="str">
        <f>+IF($AG2185=$AM$22,MONTH($D2185),"")</f>
        <v/>
      </c>
      <c r="AN2185" s="89" t="str">
        <f>+IF($AG2185=AN$22,MONTH($D2185),"")</f>
        <v/>
      </c>
      <c r="AO2185" s="86" t="str">
        <f>+IF($AG2185=AO$22,MONTH($D2185),"")</f>
        <v/>
      </c>
      <c r="AP2185" s="86" t="str">
        <f>+IF($AG2185=AP$22,MONTH($D2185),"")</f>
        <v/>
      </c>
      <c r="AQ2185" s="86" t="str">
        <f>+IF($AG2185=AQ$22,MONTH($D2185),"")</f>
        <v/>
      </c>
      <c r="AR2185" s="86">
        <f>+IF($AG2185=AR$22,MONTH($D2185),"")</f>
        <v>6</v>
      </c>
      <c r="AS2185" s="86" t="str">
        <f>+IF($AG2185=AS$22,MONTH($D2185),"")</f>
        <v/>
      </c>
      <c r="AT2185" s="86" t="str">
        <f>+IF($AG2185=AT$22,MONTH($D2185),"")</f>
        <v/>
      </c>
      <c r="AU2185" s="86" t="str">
        <f>+IF($AG2185=AU$22,MONTH($D2185),"")</f>
        <v/>
      </c>
      <c r="AV2185" s="86" t="str">
        <f>+IF($AG2185=AV$22,MONTH($D2185),"")</f>
        <v/>
      </c>
      <c r="AW2185" s="86" t="str">
        <f>+IF($AG2185=AW$22,MONTH($D2185),"")</f>
        <v/>
      </c>
      <c r="AX2185" s="86" t="str">
        <f>+IF($AG2185=AX$22,MONTH($D2185),"")</f>
        <v/>
      </c>
      <c r="AY2185" s="89"/>
      <c r="AZ2185" s="89"/>
      <c r="BA2185" s="89"/>
      <c r="BB2185" s="89"/>
      <c r="BC2185" s="89"/>
      <c r="BD2185" s="89"/>
      <c r="BE2185" s="89"/>
      <c r="BF2185" s="89"/>
      <c r="BG2185" s="89"/>
      <c r="BH2185" s="89"/>
      <c r="BI2185" s="89"/>
      <c r="BJ2185" s="89"/>
      <c r="BK2185" s="89"/>
      <c r="BL2185" s="89"/>
      <c r="BM2185" s="89"/>
      <c r="BN2185" s="89"/>
      <c r="BO2185" s="89"/>
      <c r="BP2185" s="89"/>
    </row>
    <row r="2186" spans="1:68" s="56" customFormat="1" ht="13.5" hidden="1">
      <c r="A2186" s="204" t="str">
        <f>+IFERROR(VALUE(MID(AB2186,4,4)),"")</f>
        <v/>
      </c>
      <c r="B2186" s="204">
        <f>VALUE(RIGHT(C2186,LEN(C2186)-2))</f>
        <v>539</v>
      </c>
      <c r="C2186" s="74" t="s">
        <v>7492</v>
      </c>
      <c r="D2186" s="75">
        <v>42541</v>
      </c>
      <c r="E2186" s="70" t="s">
        <v>332</v>
      </c>
      <c r="F2186" s="70" t="s">
        <v>332</v>
      </c>
      <c r="G2186" s="68" t="s">
        <v>285</v>
      </c>
      <c r="H2186" s="59" t="s">
        <v>7401</v>
      </c>
      <c r="I2186" s="162" t="s">
        <v>7493</v>
      </c>
      <c r="J2186" s="162"/>
      <c r="K2186" s="68" t="s">
        <v>102</v>
      </c>
      <c r="L2186" s="69" t="s">
        <v>120</v>
      </c>
      <c r="M2186" s="71" t="s">
        <v>141</v>
      </c>
      <c r="N2186" s="69" t="e" vm="1">
        <v>#VALUE!</v>
      </c>
      <c r="O2186" s="164">
        <v>42543</v>
      </c>
      <c r="P2186" s="72" t="s">
        <v>402</v>
      </c>
      <c r="Q2186" s="72"/>
      <c r="R2186" s="162"/>
      <c r="S2186" s="146"/>
      <c r="T2186" s="68" t="s">
        <v>165</v>
      </c>
      <c r="U2186" s="87"/>
      <c r="V2186" s="183">
        <v>42541</v>
      </c>
      <c r="W2186" s="73">
        <v>542</v>
      </c>
      <c r="X2186" s="73">
        <f>631*24600/1000000</f>
        <v>15.522600000000001</v>
      </c>
      <c r="Y2186" s="83">
        <f>IF(SUM(W2186:W2186)&gt;0,X2186/SUM(W2186:W2186)*1000000,"N/A")</f>
        <v>28639.483394833951</v>
      </c>
      <c r="Z2186" s="183"/>
      <c r="AA2186" s="183"/>
      <c r="AB2186" s="223"/>
      <c r="AC2186" s="153"/>
      <c r="AD2186" s="331"/>
      <c r="AE2186" s="57"/>
      <c r="AF2186" s="88"/>
      <c r="AG2186" s="182">
        <f>YEAR(D2186)</f>
        <v>2016</v>
      </c>
      <c r="AH2186" s="86" t="str">
        <f>+IF(AE2186=$AJ$22,MONTH(T2186),"")</f>
        <v/>
      </c>
      <c r="AI2186" s="86" t="str">
        <f>+IF(AF2186=$AJ$22,MONTH(U2186),"")</f>
        <v/>
      </c>
      <c r="AJ2186" s="86" t="str">
        <f>+IF(AG2186=$AJ$22,MONTH(V2186),"")</f>
        <v/>
      </c>
      <c r="AK2186" s="86" t="str">
        <f>+IF(AG2186=$AK$22,MONTH(V2186),"")</f>
        <v/>
      </c>
      <c r="AL2186" s="86" t="str">
        <f>+IF(AG2186=$AL$22,MONTH(V2186),"")</f>
        <v/>
      </c>
      <c r="AM2186" s="86" t="str">
        <f>+IF($AG2186=$AM$22,MONTH($D2186),"")</f>
        <v/>
      </c>
      <c r="AN2186" s="89" t="str">
        <f>+IF($AG2186=AN$22,MONTH($D2186),"")</f>
        <v/>
      </c>
      <c r="AO2186" s="86" t="str">
        <f>+IF($AG2186=AO$22,MONTH($D2186),"")</f>
        <v/>
      </c>
      <c r="AP2186" s="86" t="str">
        <f>+IF($AG2186=AP$22,MONTH($D2186),"")</f>
        <v/>
      </c>
      <c r="AQ2186" s="86" t="str">
        <f>+IF($AG2186=AQ$22,MONTH($D2186),"")</f>
        <v/>
      </c>
      <c r="AR2186" s="86">
        <f>+IF($AG2186=AR$22,MONTH($D2186),"")</f>
        <v>6</v>
      </c>
      <c r="AS2186" s="86" t="str">
        <f>+IF($AG2186=AS$22,MONTH($D2186),"")</f>
        <v/>
      </c>
      <c r="AT2186" s="86" t="str">
        <f>+IF($AG2186=AT$22,MONTH($D2186),"")</f>
        <v/>
      </c>
      <c r="AU2186" s="86" t="str">
        <f>+IF($AG2186=AU$22,MONTH($D2186),"")</f>
        <v/>
      </c>
      <c r="AV2186" s="86" t="str">
        <f>+IF($AG2186=AV$22,MONTH($D2186),"")</f>
        <v/>
      </c>
      <c r="AW2186" s="86" t="str">
        <f>+IF($AG2186=AW$22,MONTH($D2186),"")</f>
        <v/>
      </c>
      <c r="AX2186" s="86" t="str">
        <f>+IF($AG2186=AX$22,MONTH($D2186),"")</f>
        <v/>
      </c>
      <c r="AY2186" s="89"/>
      <c r="AZ2186" s="89"/>
      <c r="BA2186" s="89"/>
      <c r="BB2186" s="89"/>
      <c r="BC2186" s="89"/>
      <c r="BD2186" s="89"/>
      <c r="BE2186" s="89"/>
      <c r="BF2186" s="89"/>
      <c r="BG2186" s="89"/>
      <c r="BH2186" s="89"/>
      <c r="BI2186" s="89"/>
      <c r="BJ2186" s="89"/>
      <c r="BK2186" s="89"/>
      <c r="BL2186" s="89"/>
      <c r="BM2186" s="89"/>
      <c r="BN2186" s="89"/>
      <c r="BO2186" s="89"/>
      <c r="BP2186" s="89"/>
    </row>
    <row r="2187" spans="1:68" s="56" customFormat="1" ht="53.25" hidden="1">
      <c r="A2187" s="204" t="str">
        <f>+IFERROR(VALUE(MID(AB2187,4,4)),"")</f>
        <v/>
      </c>
      <c r="B2187" s="204">
        <f>VALUE(RIGHT(C2187,LEN(C2187)-2))</f>
        <v>538</v>
      </c>
      <c r="C2187" s="74" t="s">
        <v>7494</v>
      </c>
      <c r="D2187" s="75">
        <v>42537</v>
      </c>
      <c r="E2187" s="70" t="s">
        <v>346</v>
      </c>
      <c r="F2187" s="70" t="s">
        <v>346</v>
      </c>
      <c r="G2187" s="68"/>
      <c r="H2187" s="59"/>
      <c r="I2187" s="162" t="s">
        <v>7495</v>
      </c>
      <c r="J2187" s="162"/>
      <c r="K2187" s="68" t="s">
        <v>27</v>
      </c>
      <c r="L2187" s="69" t="s">
        <v>123</v>
      </c>
      <c r="M2187" s="71" t="s">
        <v>141</v>
      </c>
      <c r="N2187" s="69" t="e" vm="1">
        <v>#VALUE!</v>
      </c>
      <c r="O2187" s="164">
        <v>42566</v>
      </c>
      <c r="P2187" s="72" t="s">
        <v>402</v>
      </c>
      <c r="Q2187" s="72"/>
      <c r="R2187" s="162"/>
      <c r="S2187" s="146" t="s">
        <v>7496</v>
      </c>
      <c r="T2187" s="68" t="s">
        <v>165</v>
      </c>
      <c r="U2187" s="87">
        <v>0.01</v>
      </c>
      <c r="V2187" s="183">
        <v>42537</v>
      </c>
      <c r="W2187" s="73">
        <f>2400+6017</f>
        <v>8417</v>
      </c>
      <c r="X2187" s="73">
        <f>(106309650+194338950)/1000000</f>
        <v>300.64859999999999</v>
      </c>
      <c r="Y2187" s="83">
        <f>IF(SUM(W2187:W2187)&gt;0,X2187/SUM(W2187:W2187)*1000000,"N/A")</f>
        <v>35719.211120351669</v>
      </c>
      <c r="Z2187" s="183"/>
      <c r="AA2187" s="183"/>
      <c r="AB2187" s="223"/>
      <c r="AC2187" s="153"/>
      <c r="AD2187" s="331"/>
      <c r="AE2187" s="57"/>
      <c r="AF2187" s="88"/>
      <c r="AG2187" s="182">
        <f>YEAR(D2187)</f>
        <v>2016</v>
      </c>
      <c r="AH2187" s="86" t="str">
        <f>+IF(AE2187=$AJ$22,MONTH(T2187),"")</f>
        <v/>
      </c>
      <c r="AI2187" s="86" t="str">
        <f>+IF(AF2187=$AJ$22,MONTH(U2187),"")</f>
        <v/>
      </c>
      <c r="AJ2187" s="86" t="str">
        <f>+IF(AG2187=$AJ$22,MONTH(V2187),"")</f>
        <v/>
      </c>
      <c r="AK2187" s="86" t="str">
        <f>+IF(AG2187=$AK$22,MONTH(V2187),"")</f>
        <v/>
      </c>
      <c r="AL2187" s="86" t="str">
        <f>+IF(AG2187=$AL$22,MONTH(V2187),"")</f>
        <v/>
      </c>
      <c r="AM2187" s="86" t="str">
        <f>+IF($AG2187=$AM$22,MONTH($D2187),"")</f>
        <v/>
      </c>
      <c r="AN2187" s="89" t="str">
        <f>+IF($AG2187=AN$22,MONTH($D2187),"")</f>
        <v/>
      </c>
      <c r="AO2187" s="86" t="str">
        <f>+IF($AG2187=AO$22,MONTH($D2187),"")</f>
        <v/>
      </c>
      <c r="AP2187" s="86" t="str">
        <f>+IF($AG2187=AP$22,MONTH($D2187),"")</f>
        <v/>
      </c>
      <c r="AQ2187" s="86" t="str">
        <f>+IF($AG2187=AQ$22,MONTH($D2187),"")</f>
        <v/>
      </c>
      <c r="AR2187" s="86">
        <f>+IF($AG2187=AR$22,MONTH($D2187),"")</f>
        <v>6</v>
      </c>
      <c r="AS2187" s="86" t="str">
        <f>+IF($AG2187=AS$22,MONTH($D2187),"")</f>
        <v/>
      </c>
      <c r="AT2187" s="86" t="str">
        <f>+IF($AG2187=AT$22,MONTH($D2187),"")</f>
        <v/>
      </c>
      <c r="AU2187" s="86" t="str">
        <f>+IF($AG2187=AU$22,MONTH($D2187),"")</f>
        <v/>
      </c>
      <c r="AV2187" s="86" t="str">
        <f>+IF($AG2187=AV$22,MONTH($D2187),"")</f>
        <v/>
      </c>
      <c r="AW2187" s="86" t="str">
        <f>+IF($AG2187=AW$22,MONTH($D2187),"")</f>
        <v/>
      </c>
      <c r="AX2187" s="86" t="str">
        <f>+IF($AG2187=AX$22,MONTH($D2187),"")</f>
        <v/>
      </c>
      <c r="AY2187" s="89"/>
      <c r="AZ2187" s="89"/>
      <c r="BA2187" s="89"/>
      <c r="BB2187" s="89"/>
      <c r="BC2187" s="89"/>
      <c r="BD2187" s="89"/>
      <c r="BE2187" s="89"/>
      <c r="BF2187" s="89"/>
      <c r="BG2187" s="89"/>
      <c r="BH2187" s="89"/>
      <c r="BI2187" s="89"/>
      <c r="BJ2187" s="89"/>
      <c r="BK2187" s="89"/>
      <c r="BL2187" s="89"/>
      <c r="BM2187" s="89"/>
      <c r="BN2187" s="89"/>
      <c r="BO2187" s="89"/>
      <c r="BP2187" s="89"/>
    </row>
    <row r="2188" spans="1:68" s="56" customFormat="1" ht="13.5" hidden="1">
      <c r="A2188" s="204">
        <f>+IFERROR(VALUE(MID(AB2188,4,4)),"")</f>
        <v>136</v>
      </c>
      <c r="B2188" s="204">
        <f>VALUE(RIGHT(C2188,LEN(C2188)-2))</f>
        <v>537</v>
      </c>
      <c r="C2188" s="74" t="s">
        <v>7497</v>
      </c>
      <c r="D2188" s="75">
        <v>42534</v>
      </c>
      <c r="E2188" s="70" t="s">
        <v>81</v>
      </c>
      <c r="F2188" s="70" t="s">
        <v>3351</v>
      </c>
      <c r="G2188" s="68" t="s">
        <v>7079</v>
      </c>
      <c r="H2188" s="59" t="s">
        <v>7080</v>
      </c>
      <c r="I2188" s="162" t="s">
        <v>7498</v>
      </c>
      <c r="J2188" s="162"/>
      <c r="K2188" s="68" t="s">
        <v>13</v>
      </c>
      <c r="L2188" s="69" t="s">
        <v>120</v>
      </c>
      <c r="M2188" s="71" t="s">
        <v>113</v>
      </c>
      <c r="N2188" s="69" t="e" vm="4">
        <v>#VALUE!</v>
      </c>
      <c r="O2188" s="164">
        <v>42534</v>
      </c>
      <c r="P2188" s="72" t="s">
        <v>402</v>
      </c>
      <c r="Q2188" s="72"/>
      <c r="R2188" s="162"/>
      <c r="S2188" s="146"/>
      <c r="T2188" s="68" t="s">
        <v>3</v>
      </c>
      <c r="U2188" s="87"/>
      <c r="V2188" s="183">
        <v>42534</v>
      </c>
      <c r="W2188" s="73">
        <v>328</v>
      </c>
      <c r="X2188" s="73">
        <f>19528*650/1000000</f>
        <v>12.693199999999999</v>
      </c>
      <c r="Y2188" s="83">
        <f>IF(SUM(W2188:W2188)&gt;0,X2188/SUM(W2188:W2188)*1000000,"N/A")</f>
        <v>38698.780487804877</v>
      </c>
      <c r="Z2188" s="183"/>
      <c r="AA2188" s="183"/>
      <c r="AB2188" s="223" t="s">
        <v>7499</v>
      </c>
      <c r="AC2188" s="153"/>
      <c r="AD2188" s="331"/>
      <c r="AE2188" s="57"/>
      <c r="AF2188" s="88"/>
      <c r="AG2188" s="182">
        <f>YEAR(D2188)</f>
        <v>2016</v>
      </c>
      <c r="AH2188" s="86" t="str">
        <f>+IF(AE2188=$AJ$22,MONTH(T2188),"")</f>
        <v/>
      </c>
      <c r="AI2188" s="86" t="str">
        <f>+IF(AF2188=$AJ$22,MONTH(U2188),"")</f>
        <v/>
      </c>
      <c r="AJ2188" s="86" t="str">
        <f>+IF(AG2188=$AJ$22,MONTH(V2188),"")</f>
        <v/>
      </c>
      <c r="AK2188" s="86" t="str">
        <f>+IF(AG2188=$AK$22,MONTH(V2188),"")</f>
        <v/>
      </c>
      <c r="AL2188" s="86" t="str">
        <f>+IF(AG2188=$AL$22,MONTH(V2188),"")</f>
        <v/>
      </c>
      <c r="AM2188" s="86" t="str">
        <f>+IF($AG2188=$AM$22,MONTH($D2188),"")</f>
        <v/>
      </c>
      <c r="AN2188" s="89" t="str">
        <f>+IF($AG2188=AN$22,MONTH($D2188),"")</f>
        <v/>
      </c>
      <c r="AO2188" s="86" t="str">
        <f>+IF($AG2188=AO$22,MONTH($D2188),"")</f>
        <v/>
      </c>
      <c r="AP2188" s="86" t="str">
        <f>+IF($AG2188=AP$22,MONTH($D2188),"")</f>
        <v/>
      </c>
      <c r="AQ2188" s="86" t="str">
        <f>+IF($AG2188=AQ$22,MONTH($D2188),"")</f>
        <v/>
      </c>
      <c r="AR2188" s="86">
        <f>+IF($AG2188=AR$22,MONTH($D2188),"")</f>
        <v>6</v>
      </c>
      <c r="AS2188" s="86" t="str">
        <f>+IF($AG2188=AS$22,MONTH($D2188),"")</f>
        <v/>
      </c>
      <c r="AT2188" s="86" t="str">
        <f>+IF($AG2188=AT$22,MONTH($D2188),"")</f>
        <v/>
      </c>
      <c r="AU2188" s="86" t="str">
        <f>+IF($AG2188=AU$22,MONTH($D2188),"")</f>
        <v/>
      </c>
      <c r="AV2188" s="86" t="str">
        <f>+IF($AG2188=AV$22,MONTH($D2188),"")</f>
        <v/>
      </c>
      <c r="AW2188" s="86" t="str">
        <f>+IF($AG2188=AW$22,MONTH($D2188),"")</f>
        <v/>
      </c>
      <c r="AX2188" s="86" t="str">
        <f>+IF($AG2188=AX$22,MONTH($D2188),"")</f>
        <v/>
      </c>
      <c r="AY2188" s="89"/>
      <c r="AZ2188" s="89"/>
      <c r="BA2188" s="89"/>
      <c r="BB2188" s="89"/>
      <c r="BC2188" s="89"/>
      <c r="BD2188" s="89"/>
      <c r="BE2188" s="89"/>
      <c r="BF2188" s="89"/>
      <c r="BG2188" s="89"/>
      <c r="BH2188" s="89"/>
      <c r="BI2188" s="89"/>
      <c r="BJ2188" s="89"/>
      <c r="BK2188" s="89"/>
      <c r="BL2188" s="89"/>
      <c r="BM2188" s="89"/>
      <c r="BN2188" s="89"/>
      <c r="BO2188" s="89"/>
      <c r="BP2188" s="89"/>
    </row>
    <row r="2189" spans="1:68" s="56" customFormat="1" ht="13.5" hidden="1">
      <c r="A2189" s="204" t="str">
        <f>+IFERROR(VALUE(MID(AB2189,4,4)),"")</f>
        <v/>
      </c>
      <c r="B2189" s="204">
        <f>VALUE(RIGHT(C2189,LEN(C2189)-2))</f>
        <v>536</v>
      </c>
      <c r="C2189" s="74" t="s">
        <v>7500</v>
      </c>
      <c r="D2189" s="75">
        <v>42528</v>
      </c>
      <c r="E2189" s="70" t="s">
        <v>685</v>
      </c>
      <c r="F2189" s="70" t="s">
        <v>685</v>
      </c>
      <c r="G2189" s="68" t="s">
        <v>4567</v>
      </c>
      <c r="H2189" s="59" t="s">
        <v>7501</v>
      </c>
      <c r="I2189" s="162" t="s">
        <v>7502</v>
      </c>
      <c r="J2189" s="162"/>
      <c r="K2189" s="68" t="s">
        <v>30</v>
      </c>
      <c r="L2189" s="69" t="s">
        <v>123</v>
      </c>
      <c r="M2189" s="71" t="s">
        <v>141</v>
      </c>
      <c r="N2189" s="69" t="e" vm="1">
        <v>#VALUE!</v>
      </c>
      <c r="O2189" s="164">
        <v>42528</v>
      </c>
      <c r="P2189" s="72" t="s">
        <v>402</v>
      </c>
      <c r="Q2189" s="72"/>
      <c r="R2189" s="162"/>
      <c r="S2189" s="146"/>
      <c r="T2189" s="68" t="s">
        <v>165</v>
      </c>
      <c r="U2189" s="87"/>
      <c r="V2189" s="183">
        <v>42886</v>
      </c>
      <c r="W2189" s="73">
        <v>200</v>
      </c>
      <c r="X2189" s="73">
        <f>272*26500/1000000</f>
        <v>7.2080000000000002</v>
      </c>
      <c r="Y2189" s="83">
        <f>IF(SUM(W2189:W2189)&gt;0,X2189/SUM(W2189:W2189)*1000000,"N/A")</f>
        <v>36040</v>
      </c>
      <c r="Z2189" s="183"/>
      <c r="AA2189" s="183"/>
      <c r="AB2189" s="223"/>
      <c r="AC2189" s="153"/>
      <c r="AD2189" s="331"/>
      <c r="AE2189" s="57"/>
      <c r="AF2189" s="88"/>
      <c r="AG2189" s="182">
        <f>YEAR(D2189)</f>
        <v>2016</v>
      </c>
      <c r="AH2189" s="86" t="str">
        <f>+IF(AE2189=$AJ$22,MONTH(T2189),"")</f>
        <v/>
      </c>
      <c r="AI2189" s="86" t="str">
        <f>+IF(AF2189=$AJ$22,MONTH(U2189),"")</f>
        <v/>
      </c>
      <c r="AJ2189" s="86" t="str">
        <f>+IF(AG2189=$AJ$22,MONTH(V2189),"")</f>
        <v/>
      </c>
      <c r="AK2189" s="86" t="str">
        <f>+IF(AG2189=$AK$22,MONTH(V2189),"")</f>
        <v/>
      </c>
      <c r="AL2189" s="86" t="str">
        <f>+IF(AG2189=$AL$22,MONTH(V2189),"")</f>
        <v/>
      </c>
      <c r="AM2189" s="86" t="str">
        <f>+IF($AG2189=$AM$22,MONTH($D2189),"")</f>
        <v/>
      </c>
      <c r="AN2189" s="89" t="str">
        <f>+IF($AG2189=AN$22,MONTH($D2189),"")</f>
        <v/>
      </c>
      <c r="AO2189" s="86" t="str">
        <f>+IF($AG2189=AO$22,MONTH($D2189),"")</f>
        <v/>
      </c>
      <c r="AP2189" s="86" t="str">
        <f>+IF($AG2189=AP$22,MONTH($D2189),"")</f>
        <v/>
      </c>
      <c r="AQ2189" s="86" t="str">
        <f>+IF($AG2189=AQ$22,MONTH($D2189),"")</f>
        <v/>
      </c>
      <c r="AR2189" s="86">
        <f>+IF($AG2189=AR$22,MONTH($D2189),"")</f>
        <v>6</v>
      </c>
      <c r="AS2189" s="86" t="str">
        <f>+IF($AG2189=AS$22,MONTH($D2189),"")</f>
        <v/>
      </c>
      <c r="AT2189" s="86" t="str">
        <f>+IF($AG2189=AT$22,MONTH($D2189),"")</f>
        <v/>
      </c>
      <c r="AU2189" s="86" t="str">
        <f>+IF($AG2189=AU$22,MONTH($D2189),"")</f>
        <v/>
      </c>
      <c r="AV2189" s="86" t="str">
        <f>+IF($AG2189=AV$22,MONTH($D2189),"")</f>
        <v/>
      </c>
      <c r="AW2189" s="86" t="str">
        <f>+IF($AG2189=AW$22,MONTH($D2189),"")</f>
        <v/>
      </c>
      <c r="AX2189" s="86" t="str">
        <f>+IF($AG2189=AX$22,MONTH($D2189),"")</f>
        <v/>
      </c>
      <c r="AY2189" s="89"/>
      <c r="AZ2189" s="89"/>
      <c r="BA2189" s="89"/>
      <c r="BB2189" s="89"/>
      <c r="BC2189" s="89"/>
      <c r="BD2189" s="89"/>
      <c r="BE2189" s="89"/>
      <c r="BF2189" s="89"/>
      <c r="BG2189" s="89"/>
      <c r="BH2189" s="89"/>
      <c r="BI2189" s="89"/>
      <c r="BJ2189" s="89"/>
      <c r="BK2189" s="89"/>
      <c r="BL2189" s="89"/>
      <c r="BM2189" s="89"/>
      <c r="BN2189" s="89"/>
      <c r="BO2189" s="89"/>
      <c r="BP2189" s="89"/>
    </row>
    <row r="2190" spans="1:68" s="56" customFormat="1" ht="40.5" hidden="1">
      <c r="A2190" s="204" t="str">
        <f>+IFERROR(VALUE(MID(AB2190,4,4)),"")</f>
        <v/>
      </c>
      <c r="B2190" s="204">
        <f>VALUE(RIGHT(C2190,LEN(C2190)-2))</f>
        <v>535</v>
      </c>
      <c r="C2190" s="74" t="s">
        <v>7503</v>
      </c>
      <c r="D2190" s="75">
        <v>42542</v>
      </c>
      <c r="E2190" s="70" t="s">
        <v>7504</v>
      </c>
      <c r="F2190" s="70" t="s">
        <v>7504</v>
      </c>
      <c r="G2190" s="68"/>
      <c r="H2190" s="59"/>
      <c r="I2190" s="162" t="s">
        <v>7505</v>
      </c>
      <c r="J2190" s="162"/>
      <c r="K2190" s="68" t="s">
        <v>13</v>
      </c>
      <c r="L2190" s="69" t="s">
        <v>123</v>
      </c>
      <c r="M2190" s="71" t="s">
        <v>141</v>
      </c>
      <c r="N2190" s="69" t="e" vm="1">
        <v>#VALUE!</v>
      </c>
      <c r="O2190" s="164">
        <v>42542</v>
      </c>
      <c r="P2190" s="72" t="s">
        <v>402</v>
      </c>
      <c r="Q2190" s="72"/>
      <c r="R2190" s="162"/>
      <c r="S2190" s="146"/>
      <c r="T2190" s="68" t="s">
        <v>165</v>
      </c>
      <c r="U2190" s="87"/>
      <c r="V2190" s="183">
        <v>42545</v>
      </c>
      <c r="W2190" s="73">
        <v>1693</v>
      </c>
      <c r="X2190" s="73">
        <f>1868*26036.46/1000000</f>
        <v>48.636107280000004</v>
      </c>
      <c r="Y2190" s="83">
        <f>IF(SUM(W2190:W2190)&gt;0,X2190/SUM(W2190:W2190)*1000000,"N/A")</f>
        <v>28727.765670407563</v>
      </c>
      <c r="Z2190" s="183"/>
      <c r="AA2190" s="183"/>
      <c r="AB2190" s="223"/>
      <c r="AC2190" s="153"/>
      <c r="AD2190" s="331"/>
      <c r="AE2190" s="57"/>
      <c r="AF2190" s="88"/>
      <c r="AG2190" s="182">
        <f>YEAR(D2190)</f>
        <v>2016</v>
      </c>
      <c r="AH2190" s="86" t="str">
        <f>+IF(AE2190=$AJ$22,MONTH(T2190),"")</f>
        <v/>
      </c>
      <c r="AI2190" s="86" t="str">
        <f>+IF(AF2190=$AJ$22,MONTH(U2190),"")</f>
        <v/>
      </c>
      <c r="AJ2190" s="86" t="str">
        <f>+IF(AG2190=$AJ$22,MONTH(V2190),"")</f>
        <v/>
      </c>
      <c r="AK2190" s="86" t="str">
        <f>+IF(AG2190=$AK$22,MONTH(V2190),"")</f>
        <v/>
      </c>
      <c r="AL2190" s="86" t="str">
        <f>+IF(AG2190=$AL$22,MONTH(V2190),"")</f>
        <v/>
      </c>
      <c r="AM2190" s="86" t="str">
        <f>+IF($AG2190=$AM$22,MONTH($D2190),"")</f>
        <v/>
      </c>
      <c r="AN2190" s="89" t="str">
        <f>+IF($AG2190=AN$22,MONTH($D2190),"")</f>
        <v/>
      </c>
      <c r="AO2190" s="86" t="str">
        <f>+IF($AG2190=AO$22,MONTH($D2190),"")</f>
        <v/>
      </c>
      <c r="AP2190" s="86" t="str">
        <f>+IF($AG2190=AP$22,MONTH($D2190),"")</f>
        <v/>
      </c>
      <c r="AQ2190" s="86" t="str">
        <f>+IF($AG2190=AQ$22,MONTH($D2190),"")</f>
        <v/>
      </c>
      <c r="AR2190" s="86">
        <f>+IF($AG2190=AR$22,MONTH($D2190),"")</f>
        <v>6</v>
      </c>
      <c r="AS2190" s="86" t="str">
        <f>+IF($AG2190=AS$22,MONTH($D2190),"")</f>
        <v/>
      </c>
      <c r="AT2190" s="86" t="str">
        <f>+IF($AG2190=AT$22,MONTH($D2190),"")</f>
        <v/>
      </c>
      <c r="AU2190" s="86" t="str">
        <f>+IF($AG2190=AU$22,MONTH($D2190),"")</f>
        <v/>
      </c>
      <c r="AV2190" s="86" t="str">
        <f>+IF($AG2190=AV$22,MONTH($D2190),"")</f>
        <v/>
      </c>
      <c r="AW2190" s="86" t="str">
        <f>+IF($AG2190=AW$22,MONTH($D2190),"")</f>
        <v/>
      </c>
      <c r="AX2190" s="86" t="str">
        <f>+IF($AG2190=AX$22,MONTH($D2190),"")</f>
        <v/>
      </c>
      <c r="AY2190" s="89"/>
      <c r="AZ2190" s="89"/>
      <c r="BA2190" s="89"/>
      <c r="BB2190" s="89"/>
      <c r="BC2190" s="89"/>
      <c r="BD2190" s="89"/>
      <c r="BE2190" s="89"/>
      <c r="BF2190" s="89"/>
      <c r="BG2190" s="89"/>
      <c r="BH2190" s="89"/>
      <c r="BI2190" s="89"/>
      <c r="BJ2190" s="89"/>
      <c r="BK2190" s="89"/>
      <c r="BL2190" s="89"/>
      <c r="BM2190" s="89"/>
      <c r="BN2190" s="89"/>
      <c r="BO2190" s="89"/>
      <c r="BP2190" s="89"/>
    </row>
    <row r="2191" spans="1:68" s="56" customFormat="1" ht="13.5" hidden="1">
      <c r="A2191" s="204" t="str">
        <f>+IFERROR(VALUE(MID(AB2191,4,4)),"")</f>
        <v/>
      </c>
      <c r="B2191" s="204">
        <f>VALUE(RIGHT(C2191,LEN(C2191)-2))</f>
        <v>534</v>
      </c>
      <c r="C2191" s="74" t="s">
        <v>7506</v>
      </c>
      <c r="D2191" s="75">
        <v>42520</v>
      </c>
      <c r="E2191" s="70" t="s">
        <v>106</v>
      </c>
      <c r="F2191" s="70" t="s">
        <v>106</v>
      </c>
      <c r="G2191" s="68"/>
      <c r="H2191" s="59"/>
      <c r="I2191" s="162" t="s">
        <v>7507</v>
      </c>
      <c r="J2191" s="162"/>
      <c r="K2191" s="68" t="s">
        <v>30</v>
      </c>
      <c r="L2191" s="69" t="s">
        <v>120</v>
      </c>
      <c r="M2191" s="71" t="s">
        <v>141</v>
      </c>
      <c r="N2191" s="69" t="e" vm="1">
        <v>#VALUE!</v>
      </c>
      <c r="O2191" s="164">
        <v>42520</v>
      </c>
      <c r="P2191" s="72" t="s">
        <v>7465</v>
      </c>
      <c r="Q2191" s="72"/>
      <c r="R2191" s="162"/>
      <c r="S2191" s="146"/>
      <c r="T2191" s="68" t="s">
        <v>165</v>
      </c>
      <c r="U2191" s="87"/>
      <c r="V2191" s="183">
        <v>42531</v>
      </c>
      <c r="W2191" s="73">
        <v>422</v>
      </c>
      <c r="X2191" s="73">
        <f>584*25600/1000000</f>
        <v>14.9504</v>
      </c>
      <c r="Y2191" s="83">
        <f>IF(SUM(W2191:W2191)&gt;0,X2191/SUM(W2191:W2191)*1000000,"N/A")</f>
        <v>35427.48815165877</v>
      </c>
      <c r="Z2191" s="183"/>
      <c r="AA2191" s="183"/>
      <c r="AB2191" s="223"/>
      <c r="AC2191" s="153"/>
      <c r="AD2191" s="331"/>
      <c r="AE2191" s="57"/>
      <c r="AF2191" s="88"/>
      <c r="AG2191" s="182">
        <f>YEAR(D2191)</f>
        <v>2016</v>
      </c>
      <c r="AH2191" s="86" t="str">
        <f>+IF(AE2191=$AJ$22,MONTH(T2191),"")</f>
        <v/>
      </c>
      <c r="AI2191" s="86" t="str">
        <f>+IF(AF2191=$AJ$22,MONTH(U2191),"")</f>
        <v/>
      </c>
      <c r="AJ2191" s="86" t="str">
        <f>+IF(AG2191=$AJ$22,MONTH(V2191),"")</f>
        <v/>
      </c>
      <c r="AK2191" s="86" t="str">
        <f>+IF(AG2191=$AK$22,MONTH(V2191),"")</f>
        <v/>
      </c>
      <c r="AL2191" s="86" t="str">
        <f>+IF(AG2191=$AL$22,MONTH(V2191),"")</f>
        <v/>
      </c>
      <c r="AM2191" s="86" t="str">
        <f>+IF($AG2191=$AM$22,MONTH($D2191),"")</f>
        <v/>
      </c>
      <c r="AN2191" s="89" t="str">
        <f>+IF($AG2191=AN$22,MONTH($D2191),"")</f>
        <v/>
      </c>
      <c r="AO2191" s="86" t="str">
        <f>+IF($AG2191=AO$22,MONTH($D2191),"")</f>
        <v/>
      </c>
      <c r="AP2191" s="86" t="str">
        <f>+IF($AG2191=AP$22,MONTH($D2191),"")</f>
        <v/>
      </c>
      <c r="AQ2191" s="86" t="str">
        <f>+IF($AG2191=AQ$22,MONTH($D2191),"")</f>
        <v/>
      </c>
      <c r="AR2191" s="86">
        <f>+IF($AG2191=AR$22,MONTH($D2191),"")</f>
        <v>5</v>
      </c>
      <c r="AS2191" s="86" t="str">
        <f>+IF($AG2191=AS$22,MONTH($D2191),"")</f>
        <v/>
      </c>
      <c r="AT2191" s="86" t="str">
        <f>+IF($AG2191=AT$22,MONTH($D2191),"")</f>
        <v/>
      </c>
      <c r="AU2191" s="86" t="str">
        <f>+IF($AG2191=AU$22,MONTH($D2191),"")</f>
        <v/>
      </c>
      <c r="AV2191" s="86" t="str">
        <f>+IF($AG2191=AV$22,MONTH($D2191),"")</f>
        <v/>
      </c>
      <c r="AW2191" s="86" t="str">
        <f>+IF($AG2191=AW$22,MONTH($D2191),"")</f>
        <v/>
      </c>
      <c r="AX2191" s="86" t="str">
        <f>+IF($AG2191=AX$22,MONTH($D2191),"")</f>
        <v/>
      </c>
      <c r="AY2191" s="89"/>
      <c r="AZ2191" s="89"/>
      <c r="BA2191" s="89"/>
      <c r="BB2191" s="89"/>
      <c r="BC2191" s="89"/>
      <c r="BD2191" s="89"/>
      <c r="BE2191" s="89"/>
      <c r="BF2191" s="89"/>
      <c r="BG2191" s="89"/>
      <c r="BH2191" s="89"/>
      <c r="BI2191" s="89"/>
      <c r="BJ2191" s="89"/>
      <c r="BK2191" s="89"/>
      <c r="BL2191" s="89"/>
      <c r="BM2191" s="89"/>
      <c r="BN2191" s="89"/>
      <c r="BO2191" s="89"/>
      <c r="BP2191" s="89"/>
    </row>
    <row r="2192" spans="1:68" s="56" customFormat="1" ht="13.5" hidden="1">
      <c r="A2192" s="204" t="str">
        <f>+IFERROR(VALUE(MID(AB2192,4,4)),"")</f>
        <v/>
      </c>
      <c r="B2192" s="204">
        <f>VALUE(RIGHT(C2192,LEN(C2192)-2))</f>
        <v>533</v>
      </c>
      <c r="C2192" s="74" t="s">
        <v>7508</v>
      </c>
      <c r="D2192" s="75">
        <v>42539</v>
      </c>
      <c r="E2192" s="70"/>
      <c r="F2192" s="70"/>
      <c r="G2192" s="68"/>
      <c r="H2192" s="59"/>
      <c r="I2192" s="162" t="s">
        <v>7509</v>
      </c>
      <c r="J2192" s="162"/>
      <c r="K2192" s="68"/>
      <c r="L2192" s="69"/>
      <c r="M2192" s="71"/>
      <c r="N2192" s="69"/>
      <c r="O2192" s="164"/>
      <c r="P2192" s="72"/>
      <c r="Q2192" s="72"/>
      <c r="R2192" s="162"/>
      <c r="S2192" s="146"/>
      <c r="T2192" s="68" t="s">
        <v>155</v>
      </c>
      <c r="U2192" s="87"/>
      <c r="V2192" s="183">
        <v>42545</v>
      </c>
      <c r="W2192" s="73"/>
      <c r="X2192" s="73"/>
      <c r="Y2192" s="83"/>
      <c r="Z2192" s="183"/>
      <c r="AA2192" s="183"/>
      <c r="AB2192" s="223"/>
      <c r="AC2192" s="153"/>
      <c r="AD2192" s="331"/>
      <c r="AE2192" s="57"/>
      <c r="AF2192" s="88"/>
      <c r="AG2192" s="182">
        <f>YEAR(D2192)</f>
        <v>2016</v>
      </c>
      <c r="AH2192" s="86" t="str">
        <f>+IF(AE2192=$AJ$22,MONTH(T2192),"")</f>
        <v/>
      </c>
      <c r="AI2192" s="86" t="str">
        <f>+IF(AF2192=$AJ$22,MONTH(U2192),"")</f>
        <v/>
      </c>
      <c r="AJ2192" s="86" t="str">
        <f>+IF(AG2192=$AJ$22,MONTH(V2192),"")</f>
        <v/>
      </c>
      <c r="AK2192" s="86" t="str">
        <f>+IF(AG2192=$AK$22,MONTH(V2192),"")</f>
        <v/>
      </c>
      <c r="AL2192" s="86" t="str">
        <f>+IF(AG2192=$AL$22,MONTH(V2192),"")</f>
        <v/>
      </c>
      <c r="AM2192" s="86" t="str">
        <f>+IF(AG2192=$AM$22,MONTH(D2192),"")</f>
        <v/>
      </c>
      <c r="AN2192" s="86" t="str">
        <f>+IF(AL2192=$AM$22,MONTH(E2192),"")</f>
        <v/>
      </c>
      <c r="AO2192" s="184" t="str">
        <f>+IF(AM2192=$AM$22,MONTH(F2192),"")</f>
        <v/>
      </c>
      <c r="AP2192" s="184" t="str">
        <f>+IF(AN2192=$AM$22,MONTH(G2192),"")</f>
        <v/>
      </c>
      <c r="AQ2192" s="184" t="str">
        <f>+IF(AO2192=$AM$22,MONTH(H2192),"")</f>
        <v/>
      </c>
      <c r="AR2192" s="184" t="str">
        <f>+IF(AP2192=$AM$22,MONTH(I2192),"")</f>
        <v/>
      </c>
      <c r="AS2192" s="184" t="str">
        <f>+IF(AQ2192=$AM$22,MONTH(K2192),"")</f>
        <v/>
      </c>
      <c r="AT2192" s="86" t="str">
        <f>+IF(AR2192=$AM$22,MONTH(L2192),"")</f>
        <v/>
      </c>
      <c r="AU2192" s="86" t="str">
        <f>+IF(AS2192=$AM$22,MONTH(M2192),"")</f>
        <v/>
      </c>
      <c r="AV2192" s="86" t="str">
        <f>+IF(AT2192=$AM$22,MONTH(N2192),"")</f>
        <v/>
      </c>
      <c r="AW2192" s="86" t="str">
        <f>+IF($AG2192=AW$22,MONTH($D2192),"")</f>
        <v/>
      </c>
      <c r="AX2192" s="86" t="str">
        <f>+IF($AG2192=AX$22,MONTH($D2192),"")</f>
        <v/>
      </c>
      <c r="AY2192" s="89"/>
      <c r="AZ2192" s="89"/>
      <c r="BA2192" s="89"/>
      <c r="BB2192" s="89"/>
      <c r="BC2192" s="89"/>
      <c r="BD2192" s="89"/>
      <c r="BE2192" s="89"/>
      <c r="BF2192" s="89"/>
      <c r="BG2192" s="89"/>
      <c r="BH2192" s="89"/>
      <c r="BI2192" s="89"/>
      <c r="BJ2192" s="89"/>
      <c r="BK2192" s="89"/>
      <c r="BL2192" s="89"/>
      <c r="BM2192" s="89"/>
      <c r="BN2192" s="89"/>
      <c r="BO2192" s="89"/>
      <c r="BP2192" s="89"/>
    </row>
    <row r="2193" spans="1:68" s="56" customFormat="1" ht="13.5" hidden="1">
      <c r="A2193" s="204">
        <f>+IFERROR(VALUE(MID(AB2193,4,4)),"")</f>
        <v>124</v>
      </c>
      <c r="B2193" s="204">
        <f>VALUE(RIGHT(C2193,LEN(C2193)-2))</f>
        <v>532</v>
      </c>
      <c r="C2193" s="74" t="s">
        <v>7510</v>
      </c>
      <c r="D2193" s="75">
        <v>42509</v>
      </c>
      <c r="E2193" s="70" t="s">
        <v>81</v>
      </c>
      <c r="F2193" s="70" t="s">
        <v>3351</v>
      </c>
      <c r="G2193" s="68" t="s">
        <v>7074</v>
      </c>
      <c r="H2193" s="59" t="s">
        <v>7075</v>
      </c>
      <c r="I2193" s="162" t="s">
        <v>7511</v>
      </c>
      <c r="J2193" s="162"/>
      <c r="K2193" s="68" t="s">
        <v>31</v>
      </c>
      <c r="L2193" s="69" t="s">
        <v>120</v>
      </c>
      <c r="M2193" s="71" t="s">
        <v>113</v>
      </c>
      <c r="N2193" s="69" t="e" vm="4">
        <v>#VALUE!</v>
      </c>
      <c r="O2193" s="164">
        <v>42509</v>
      </c>
      <c r="P2193" s="72" t="s">
        <v>402</v>
      </c>
      <c r="Q2193" s="72"/>
      <c r="R2193" s="162"/>
      <c r="S2193" s="146"/>
      <c r="T2193" s="68" t="s">
        <v>3</v>
      </c>
      <c r="U2193" s="87"/>
      <c r="V2193" s="183">
        <v>42509</v>
      </c>
      <c r="W2193" s="73">
        <v>755</v>
      </c>
      <c r="X2193" s="73">
        <f>59710*650/1000000</f>
        <v>38.811500000000002</v>
      </c>
      <c r="Y2193" s="83">
        <f>IF(SUM(W2193:W2193)&gt;0,X2193/SUM(W2193:W2193)*1000000,"N/A")</f>
        <v>51405.960264900663</v>
      </c>
      <c r="Z2193" s="183"/>
      <c r="AA2193" s="183"/>
      <c r="AB2193" s="223" t="s">
        <v>7367</v>
      </c>
      <c r="AC2193" s="153"/>
      <c r="AD2193" s="331"/>
      <c r="AE2193" s="57"/>
      <c r="AF2193" s="88"/>
      <c r="AG2193" s="182">
        <f>YEAR(D2193)</f>
        <v>2016</v>
      </c>
      <c r="AH2193" s="86" t="str">
        <f>+IF(AE2193=$AJ$22,MONTH(T2193),"")</f>
        <v/>
      </c>
      <c r="AI2193" s="86" t="str">
        <f>+IF(AF2193=$AJ$22,MONTH(U2193),"")</f>
        <v/>
      </c>
      <c r="AJ2193" s="86" t="str">
        <f>+IF(AG2193=$AJ$22,MONTH(V2193),"")</f>
        <v/>
      </c>
      <c r="AK2193" s="86" t="str">
        <f>+IF(AG2193=$AK$22,MONTH(V2193),"")</f>
        <v/>
      </c>
      <c r="AL2193" s="86" t="str">
        <f>+IF(AG2193=$AL$22,MONTH(V2193),"")</f>
        <v/>
      </c>
      <c r="AM2193" s="86" t="str">
        <f>+IF($AG2193=$AM$22,MONTH($D2193),"")</f>
        <v/>
      </c>
      <c r="AN2193" s="89" t="str">
        <f>+IF($AG2193=AN$22,MONTH($D2193),"")</f>
        <v/>
      </c>
      <c r="AO2193" s="86" t="str">
        <f>+IF($AG2193=AO$22,MONTH($D2193),"")</f>
        <v/>
      </c>
      <c r="AP2193" s="86" t="str">
        <f>+IF($AG2193=AP$22,MONTH($D2193),"")</f>
        <v/>
      </c>
      <c r="AQ2193" s="86" t="str">
        <f>+IF($AG2193=AQ$22,MONTH($D2193),"")</f>
        <v/>
      </c>
      <c r="AR2193" s="86">
        <f>+IF($AG2193=AR$22,MONTH($D2193),"")</f>
        <v>5</v>
      </c>
      <c r="AS2193" s="86" t="str">
        <f>+IF($AG2193=AS$22,MONTH($D2193),"")</f>
        <v/>
      </c>
      <c r="AT2193" s="86" t="str">
        <f>+IF($AG2193=AT$22,MONTH($D2193),"")</f>
        <v/>
      </c>
      <c r="AU2193" s="86" t="str">
        <f>+IF($AG2193=AU$22,MONTH($D2193),"")</f>
        <v/>
      </c>
      <c r="AV2193" s="86" t="str">
        <f>+IF($AG2193=AV$22,MONTH($D2193),"")</f>
        <v/>
      </c>
      <c r="AW2193" s="86" t="str">
        <f>+IF($AG2193=AW$22,MONTH($D2193),"")</f>
        <v/>
      </c>
      <c r="AX2193" s="86" t="str">
        <f>+IF($AG2193=AX$22,MONTH($D2193),"")</f>
        <v/>
      </c>
      <c r="AY2193" s="89"/>
      <c r="AZ2193" s="89"/>
      <c r="BA2193" s="89"/>
      <c r="BB2193" s="89"/>
      <c r="BC2193" s="89"/>
      <c r="BD2193" s="89"/>
      <c r="BE2193" s="89"/>
      <c r="BF2193" s="89"/>
      <c r="BG2193" s="89"/>
      <c r="BH2193" s="89"/>
      <c r="BI2193" s="89"/>
      <c r="BJ2193" s="89"/>
      <c r="BK2193" s="89"/>
      <c r="BL2193" s="89"/>
      <c r="BM2193" s="89"/>
      <c r="BN2193" s="89"/>
      <c r="BO2193" s="89"/>
      <c r="BP2193" s="89"/>
    </row>
    <row r="2194" spans="1:68" s="56" customFormat="1" ht="13.5" hidden="1">
      <c r="A2194" s="204">
        <f>+IFERROR(VALUE(MID(AB2194,4,4)),"")</f>
        <v>137</v>
      </c>
      <c r="B2194" s="204">
        <f>VALUE(RIGHT(C2194,LEN(C2194)-2))</f>
        <v>531</v>
      </c>
      <c r="C2194" s="74" t="s">
        <v>7512</v>
      </c>
      <c r="D2194" s="75">
        <v>42503</v>
      </c>
      <c r="E2194" s="70" t="s">
        <v>106</v>
      </c>
      <c r="F2194" s="70" t="s">
        <v>106</v>
      </c>
      <c r="G2194" s="68" t="s">
        <v>7513</v>
      </c>
      <c r="H2194" s="59" t="s">
        <v>7514</v>
      </c>
      <c r="I2194" s="162" t="s">
        <v>7515</v>
      </c>
      <c r="J2194" s="162"/>
      <c r="K2194" s="68" t="s">
        <v>12</v>
      </c>
      <c r="L2194" s="69" t="s">
        <v>123</v>
      </c>
      <c r="M2194" s="71" t="s">
        <v>141</v>
      </c>
      <c r="N2194" s="69" t="e" vm="1">
        <v>#VALUE!</v>
      </c>
      <c r="O2194" s="164">
        <v>42503</v>
      </c>
      <c r="P2194" s="72" t="s">
        <v>7418</v>
      </c>
      <c r="Q2194" s="72"/>
      <c r="R2194" s="162"/>
      <c r="S2194" s="146"/>
      <c r="T2194" s="68" t="s">
        <v>3</v>
      </c>
      <c r="U2194" s="87"/>
      <c r="V2194" s="183">
        <v>42509</v>
      </c>
      <c r="W2194" s="73">
        <v>305</v>
      </c>
      <c r="X2194" s="73">
        <f>19683*650/1000000</f>
        <v>12.793950000000001</v>
      </c>
      <c r="Y2194" s="83">
        <f>IF(SUM(W2194:W2194)&gt;0,X2194/SUM(W2194:W2194)*1000000,"N/A")</f>
        <v>41947.37704918033</v>
      </c>
      <c r="Z2194" s="183"/>
      <c r="AA2194" s="183"/>
      <c r="AB2194" s="223" t="s">
        <v>7516</v>
      </c>
      <c r="AC2194" s="153"/>
      <c r="AD2194" s="331"/>
      <c r="AE2194" s="57"/>
      <c r="AF2194" s="88"/>
      <c r="AG2194" s="182">
        <f>YEAR(D2194)</f>
        <v>2016</v>
      </c>
      <c r="AH2194" s="86" t="str">
        <f>+IF(AE2194=$AJ$22,MONTH(T2194),"")</f>
        <v/>
      </c>
      <c r="AI2194" s="86" t="str">
        <f>+IF(AF2194=$AJ$22,MONTH(U2194),"")</f>
        <v/>
      </c>
      <c r="AJ2194" s="86" t="str">
        <f>+IF(AG2194=$AJ$22,MONTH(V2194),"")</f>
        <v/>
      </c>
      <c r="AK2194" s="86" t="str">
        <f>+IF(AG2194=$AK$22,MONTH(V2194),"")</f>
        <v/>
      </c>
      <c r="AL2194" s="86" t="str">
        <f>+IF(AG2194=$AL$22,MONTH(V2194),"")</f>
        <v/>
      </c>
      <c r="AM2194" s="86" t="str">
        <f>+IF($AG2194=$AM$22,MONTH($D2194),"")</f>
        <v/>
      </c>
      <c r="AN2194" s="89" t="str">
        <f>+IF($AG2194=AN$22,MONTH($D2194),"")</f>
        <v/>
      </c>
      <c r="AO2194" s="86" t="str">
        <f>+IF($AG2194=AO$22,MONTH($D2194),"")</f>
        <v/>
      </c>
      <c r="AP2194" s="86" t="str">
        <f>+IF($AG2194=AP$22,MONTH($D2194),"")</f>
        <v/>
      </c>
      <c r="AQ2194" s="86" t="str">
        <f>+IF($AG2194=AQ$22,MONTH($D2194),"")</f>
        <v/>
      </c>
      <c r="AR2194" s="86">
        <f>+IF($AG2194=AR$22,MONTH($D2194),"")</f>
        <v>5</v>
      </c>
      <c r="AS2194" s="86" t="str">
        <f>+IF($AG2194=AS$22,MONTH($D2194),"")</f>
        <v/>
      </c>
      <c r="AT2194" s="86" t="str">
        <f>+IF($AG2194=AT$22,MONTH($D2194),"")</f>
        <v/>
      </c>
      <c r="AU2194" s="86" t="str">
        <f>+IF($AG2194=AU$22,MONTH($D2194),"")</f>
        <v/>
      </c>
      <c r="AV2194" s="86" t="str">
        <f>+IF($AG2194=AV$22,MONTH($D2194),"")</f>
        <v/>
      </c>
      <c r="AW2194" s="86" t="str">
        <f>+IF($AG2194=AW$22,MONTH($D2194),"")</f>
        <v/>
      </c>
      <c r="AX2194" s="86" t="str">
        <f>+IF($AG2194=AX$22,MONTH($D2194),"")</f>
        <v/>
      </c>
      <c r="AY2194" s="89"/>
      <c r="AZ2194" s="89"/>
      <c r="BA2194" s="89"/>
      <c r="BB2194" s="89"/>
      <c r="BC2194" s="89"/>
      <c r="BD2194" s="89"/>
      <c r="BE2194" s="89"/>
      <c r="BF2194" s="89"/>
      <c r="BG2194" s="89"/>
      <c r="BH2194" s="89"/>
      <c r="BI2194" s="89"/>
      <c r="BJ2194" s="89"/>
      <c r="BK2194" s="89"/>
      <c r="BL2194" s="89"/>
      <c r="BM2194" s="89"/>
      <c r="BN2194" s="89"/>
      <c r="BO2194" s="89"/>
      <c r="BP2194" s="89"/>
    </row>
    <row r="2195" spans="1:68" s="56" customFormat="1" ht="13.5" hidden="1">
      <c r="A2195" s="204" t="str">
        <f>+IFERROR(VALUE(MID(AB2195,4,4)),"")</f>
        <v/>
      </c>
      <c r="B2195" s="204">
        <f>VALUE(RIGHT(C2195,LEN(C2195)-2))</f>
        <v>530</v>
      </c>
      <c r="C2195" s="74" t="s">
        <v>7517</v>
      </c>
      <c r="D2195" s="75">
        <v>42509</v>
      </c>
      <c r="E2195" s="70" t="s">
        <v>332</v>
      </c>
      <c r="F2195" s="70" t="s">
        <v>332</v>
      </c>
      <c r="G2195" s="68" t="s">
        <v>285</v>
      </c>
      <c r="H2195" s="59" t="s">
        <v>7401</v>
      </c>
      <c r="I2195" s="162" t="s">
        <v>7518</v>
      </c>
      <c r="J2195" s="162"/>
      <c r="K2195" s="68" t="s">
        <v>30</v>
      </c>
      <c r="L2195" s="69" t="s">
        <v>120</v>
      </c>
      <c r="M2195" s="71" t="s">
        <v>141</v>
      </c>
      <c r="N2195" s="69" t="e" vm="1">
        <v>#VALUE!</v>
      </c>
      <c r="O2195" s="164">
        <v>42509</v>
      </c>
      <c r="P2195" s="72" t="s">
        <v>402</v>
      </c>
      <c r="Q2195" s="72"/>
      <c r="R2195" s="162"/>
      <c r="S2195" s="146"/>
      <c r="T2195" s="68" t="s">
        <v>165</v>
      </c>
      <c r="U2195" s="87"/>
      <c r="V2195" s="183">
        <v>42509</v>
      </c>
      <c r="W2195" s="73">
        <v>130</v>
      </c>
      <c r="X2195" s="73">
        <f>172*25900/1000000</f>
        <v>4.4547999999999996</v>
      </c>
      <c r="Y2195" s="83">
        <f>IF(SUM(W2195:W2195)&gt;0,X2195/SUM(W2195:W2195)*1000000,"N/A")</f>
        <v>34267.692307692305</v>
      </c>
      <c r="Z2195" s="183"/>
      <c r="AA2195" s="183"/>
      <c r="AB2195" s="223"/>
      <c r="AC2195" s="153"/>
      <c r="AD2195" s="331"/>
      <c r="AE2195" s="57"/>
      <c r="AF2195" s="88"/>
      <c r="AG2195" s="182">
        <f>YEAR(D2195)</f>
        <v>2016</v>
      </c>
      <c r="AH2195" s="86" t="str">
        <f>+IF(AE2195=$AJ$22,MONTH(T2195),"")</f>
        <v/>
      </c>
      <c r="AI2195" s="86" t="str">
        <f>+IF(AF2195=$AJ$22,MONTH(U2195),"")</f>
        <v/>
      </c>
      <c r="AJ2195" s="86" t="str">
        <f>+IF(AG2195=$AJ$22,MONTH(V2195),"")</f>
        <v/>
      </c>
      <c r="AK2195" s="86" t="str">
        <f>+IF(AG2195=$AK$22,MONTH(V2195),"")</f>
        <v/>
      </c>
      <c r="AL2195" s="86" t="str">
        <f>+IF(AG2195=$AL$22,MONTH(V2195),"")</f>
        <v/>
      </c>
      <c r="AM2195" s="86" t="str">
        <f>+IF($AG2195=$AM$22,MONTH($D2195),"")</f>
        <v/>
      </c>
      <c r="AN2195" s="89" t="str">
        <f>+IF($AG2195=AN$22,MONTH($D2195),"")</f>
        <v/>
      </c>
      <c r="AO2195" s="86" t="str">
        <f>+IF($AG2195=AO$22,MONTH($D2195),"")</f>
        <v/>
      </c>
      <c r="AP2195" s="86" t="str">
        <f>+IF($AG2195=AP$22,MONTH($D2195),"")</f>
        <v/>
      </c>
      <c r="AQ2195" s="86" t="str">
        <f>+IF($AG2195=AQ$22,MONTH($D2195),"")</f>
        <v/>
      </c>
      <c r="AR2195" s="86">
        <f>+IF($AG2195=AR$22,MONTH($D2195),"")</f>
        <v>5</v>
      </c>
      <c r="AS2195" s="86" t="str">
        <f>+IF($AG2195=AS$22,MONTH($D2195),"")</f>
        <v/>
      </c>
      <c r="AT2195" s="86" t="str">
        <f>+IF($AG2195=AT$22,MONTH($D2195),"")</f>
        <v/>
      </c>
      <c r="AU2195" s="86" t="str">
        <f>+IF($AG2195=AU$22,MONTH($D2195),"")</f>
        <v/>
      </c>
      <c r="AV2195" s="86" t="str">
        <f>+IF($AG2195=AV$22,MONTH($D2195),"")</f>
        <v/>
      </c>
      <c r="AW2195" s="86" t="str">
        <f>+IF($AG2195=AW$22,MONTH($D2195),"")</f>
        <v/>
      </c>
      <c r="AX2195" s="86" t="str">
        <f>+IF($AG2195=AX$22,MONTH($D2195),"")</f>
        <v/>
      </c>
      <c r="AY2195" s="89"/>
      <c r="AZ2195" s="89"/>
      <c r="BA2195" s="89"/>
      <c r="BB2195" s="89"/>
      <c r="BC2195" s="89"/>
      <c r="BD2195" s="89"/>
      <c r="BE2195" s="89"/>
      <c r="BF2195" s="89"/>
      <c r="BG2195" s="89"/>
      <c r="BH2195" s="89"/>
      <c r="BI2195" s="89"/>
      <c r="BJ2195" s="89"/>
      <c r="BK2195" s="89"/>
      <c r="BL2195" s="89"/>
      <c r="BM2195" s="89"/>
      <c r="BN2195" s="89"/>
      <c r="BO2195" s="89"/>
      <c r="BP2195" s="89"/>
    </row>
    <row r="2196" spans="1:68" s="56" customFormat="1" ht="27" hidden="1">
      <c r="A2196" s="204">
        <f>+IFERROR(VALUE(MID(AB2196,4,4)),"")</f>
        <v>135</v>
      </c>
      <c r="B2196" s="204">
        <f>VALUE(RIGHT(C2196,LEN(C2196)-2))</f>
        <v>529</v>
      </c>
      <c r="C2196" s="74" t="s">
        <v>7519</v>
      </c>
      <c r="D2196" s="84">
        <v>42489</v>
      </c>
      <c r="E2196" s="70" t="s">
        <v>47</v>
      </c>
      <c r="F2196" s="70" t="s">
        <v>7520</v>
      </c>
      <c r="G2196" s="68" t="s">
        <v>7521</v>
      </c>
      <c r="H2196" s="59"/>
      <c r="I2196" s="162" t="s">
        <v>7522</v>
      </c>
      <c r="J2196" s="162"/>
      <c r="K2196" s="68" t="s">
        <v>48</v>
      </c>
      <c r="L2196" s="69" t="s">
        <v>120</v>
      </c>
      <c r="M2196" s="71" t="s">
        <v>141</v>
      </c>
      <c r="N2196" s="69" t="e" vm="1">
        <v>#VALUE!</v>
      </c>
      <c r="O2196" s="164">
        <v>42492</v>
      </c>
      <c r="P2196" s="72" t="s">
        <v>4567</v>
      </c>
      <c r="Q2196" s="72"/>
      <c r="R2196" s="162"/>
      <c r="S2196" s="146"/>
      <c r="T2196" s="68" t="s">
        <v>3</v>
      </c>
      <c r="U2196" s="87"/>
      <c r="V2196" s="183">
        <v>42494</v>
      </c>
      <c r="W2196" s="73">
        <v>150</v>
      </c>
      <c r="X2196" s="73">
        <f>200*25900/1000000</f>
        <v>5.18</v>
      </c>
      <c r="Y2196" s="83">
        <f>IF(SUM(W2196:W2196)&gt;0,X2196/SUM(W2196:W2196)*1000000,"N/A")</f>
        <v>34533.333333333336</v>
      </c>
      <c r="Z2196" s="183"/>
      <c r="AA2196" s="183"/>
      <c r="AB2196" s="223" t="s">
        <v>7523</v>
      </c>
      <c r="AC2196" s="153"/>
      <c r="AD2196" s="331"/>
      <c r="AE2196" s="57"/>
      <c r="AF2196" s="88"/>
      <c r="AG2196" s="182">
        <f>YEAR(D2196)</f>
        <v>2016</v>
      </c>
      <c r="AH2196" s="86" t="str">
        <f>+IF(AE2196=$AJ$22,MONTH(T2196),"")</f>
        <v/>
      </c>
      <c r="AI2196" s="86" t="str">
        <f>+IF(AF2196=$AJ$22,MONTH(U2196),"")</f>
        <v/>
      </c>
      <c r="AJ2196" s="86" t="str">
        <f>+IF(AG2196=$AJ$22,MONTH(V2196),"")</f>
        <v/>
      </c>
      <c r="AK2196" s="86" t="str">
        <f>+IF(AG2196=$AK$22,MONTH(V2196),"")</f>
        <v/>
      </c>
      <c r="AL2196" s="86" t="str">
        <f>+IF(AG2196=$AL$22,MONTH(V2196),"")</f>
        <v/>
      </c>
      <c r="AM2196" s="86" t="str">
        <f>+IF($AG2196=$AM$22,MONTH($D2196),"")</f>
        <v/>
      </c>
      <c r="AN2196" s="89" t="str">
        <f>+IF($AG2196=AN$22,MONTH($D2196),"")</f>
        <v/>
      </c>
      <c r="AO2196" s="86" t="str">
        <f>+IF($AG2196=AO$22,MONTH($D2196),"")</f>
        <v/>
      </c>
      <c r="AP2196" s="86" t="str">
        <f>+IF($AG2196=AP$22,MONTH($D2196),"")</f>
        <v/>
      </c>
      <c r="AQ2196" s="86" t="str">
        <f>+IF($AG2196=AQ$22,MONTH($D2196),"")</f>
        <v/>
      </c>
      <c r="AR2196" s="86">
        <f>+IF($AG2196=AR$22,MONTH($D2196),"")</f>
        <v>4</v>
      </c>
      <c r="AS2196" s="86" t="str">
        <f>+IF($AG2196=AS$22,MONTH($D2196),"")</f>
        <v/>
      </c>
      <c r="AT2196" s="86" t="str">
        <f>+IF($AG2196=AT$22,MONTH($D2196),"")</f>
        <v/>
      </c>
      <c r="AU2196" s="86" t="str">
        <f>+IF($AG2196=AU$22,MONTH($D2196),"")</f>
        <v/>
      </c>
      <c r="AV2196" s="86" t="str">
        <f>+IF($AG2196=AV$22,MONTH($D2196),"")</f>
        <v/>
      </c>
      <c r="AW2196" s="86" t="str">
        <f>+IF($AG2196=AW$22,MONTH($D2196),"")</f>
        <v/>
      </c>
      <c r="AX2196" s="86" t="str">
        <f>+IF($AG2196=AX$22,MONTH($D2196),"")</f>
        <v/>
      </c>
      <c r="AY2196" s="89"/>
      <c r="AZ2196" s="89"/>
      <c r="BA2196" s="89"/>
      <c r="BB2196" s="89"/>
      <c r="BC2196" s="89"/>
      <c r="BD2196" s="89"/>
      <c r="BE2196" s="89"/>
      <c r="BF2196" s="89"/>
      <c r="BG2196" s="89"/>
      <c r="BH2196" s="89"/>
      <c r="BI2196" s="89"/>
      <c r="BJ2196" s="89"/>
      <c r="BK2196" s="89"/>
      <c r="BL2196" s="89"/>
      <c r="BM2196" s="89"/>
      <c r="BN2196" s="89"/>
      <c r="BO2196" s="89"/>
      <c r="BP2196" s="89"/>
    </row>
    <row r="2197" spans="1:68" s="56" customFormat="1" ht="27" hidden="1">
      <c r="A2197" s="204" t="str">
        <f>+IFERROR(VALUE(MID(AB2197,4,4)),"")</f>
        <v/>
      </c>
      <c r="B2197" s="204">
        <f>VALUE(RIGHT(C2197,LEN(C2197)-2))</f>
        <v>528</v>
      </c>
      <c r="C2197" s="74" t="s">
        <v>7524</v>
      </c>
      <c r="D2197" s="75">
        <v>42488</v>
      </c>
      <c r="E2197" s="70" t="s">
        <v>69</v>
      </c>
      <c r="F2197" s="70" t="s">
        <v>394</v>
      </c>
      <c r="G2197" s="68" t="s">
        <v>4508</v>
      </c>
      <c r="H2197" s="59"/>
      <c r="I2197" s="162" t="s">
        <v>7525</v>
      </c>
      <c r="J2197" s="162"/>
      <c r="K2197" s="68" t="s">
        <v>13</v>
      </c>
      <c r="L2197" s="69" t="s">
        <v>120</v>
      </c>
      <c r="M2197" s="71" t="s">
        <v>141</v>
      </c>
      <c r="N2197" s="69" t="e" vm="1">
        <v>#VALUE!</v>
      </c>
      <c r="O2197" s="164">
        <v>42494</v>
      </c>
      <c r="P2197" s="72" t="s">
        <v>402</v>
      </c>
      <c r="Q2197" s="72"/>
      <c r="R2197" s="162"/>
      <c r="S2197" s="146"/>
      <c r="T2197" s="68" t="s">
        <v>165</v>
      </c>
      <c r="U2197" s="87">
        <v>0.1</v>
      </c>
      <c r="V2197" s="183">
        <v>42886</v>
      </c>
      <c r="W2197" s="73">
        <v>2106</v>
      </c>
      <c r="X2197" s="73">
        <f>100340*650/1000000</f>
        <v>65.221000000000004</v>
      </c>
      <c r="Y2197" s="83">
        <f>IF(SUM(W2197:W2197)&gt;0,X2197/SUM(W2197:W2197)*1000000,"N/A")</f>
        <v>30969.13580246914</v>
      </c>
      <c r="Z2197" s="183"/>
      <c r="AA2197" s="183"/>
      <c r="AB2197" s="223"/>
      <c r="AC2197" s="153"/>
      <c r="AD2197" s="331"/>
      <c r="AE2197" s="57"/>
      <c r="AF2197" s="88"/>
      <c r="AG2197" s="182">
        <f>YEAR(D2197)</f>
        <v>2016</v>
      </c>
      <c r="AH2197" s="86" t="str">
        <f>+IF(AE2197=$AJ$22,MONTH(T2197),"")</f>
        <v/>
      </c>
      <c r="AI2197" s="86" t="str">
        <f>+IF(AF2197=$AJ$22,MONTH(U2197),"")</f>
        <v/>
      </c>
      <c r="AJ2197" s="86" t="str">
        <f>+IF(AG2197=$AJ$22,MONTH(V2197),"")</f>
        <v/>
      </c>
      <c r="AK2197" s="86" t="str">
        <f>+IF(AG2197=$AK$22,MONTH(V2197),"")</f>
        <v/>
      </c>
      <c r="AL2197" s="86" t="str">
        <f>+IF(AG2197=$AL$22,MONTH(V2197),"")</f>
        <v/>
      </c>
      <c r="AM2197" s="86" t="str">
        <f>+IF($AG2197=$AM$22,MONTH($D2197),"")</f>
        <v/>
      </c>
      <c r="AN2197" s="89" t="str">
        <f>+IF($AG2197=AN$22,MONTH($D2197),"")</f>
        <v/>
      </c>
      <c r="AO2197" s="86" t="str">
        <f>+IF($AG2197=AO$22,MONTH($D2197),"")</f>
        <v/>
      </c>
      <c r="AP2197" s="86" t="str">
        <f>+IF($AG2197=AP$22,MONTH($D2197),"")</f>
        <v/>
      </c>
      <c r="AQ2197" s="86" t="str">
        <f>+IF($AG2197=AQ$22,MONTH($D2197),"")</f>
        <v/>
      </c>
      <c r="AR2197" s="86">
        <f>+IF($AG2197=AR$22,MONTH($D2197),"")</f>
        <v>4</v>
      </c>
      <c r="AS2197" s="86" t="str">
        <f>+IF($AG2197=AS$22,MONTH($D2197),"")</f>
        <v/>
      </c>
      <c r="AT2197" s="86" t="str">
        <f>+IF($AG2197=AT$22,MONTH($D2197),"")</f>
        <v/>
      </c>
      <c r="AU2197" s="86" t="str">
        <f>+IF($AG2197=AU$22,MONTH($D2197),"")</f>
        <v/>
      </c>
      <c r="AV2197" s="86" t="str">
        <f>+IF($AG2197=AV$22,MONTH($D2197),"")</f>
        <v/>
      </c>
      <c r="AW2197" s="86" t="str">
        <f>+IF($AG2197=AW$22,MONTH($D2197),"")</f>
        <v/>
      </c>
      <c r="AX2197" s="86" t="str">
        <f>+IF($AG2197=AX$22,MONTH($D2197),"")</f>
        <v/>
      </c>
      <c r="AY2197" s="89"/>
      <c r="AZ2197" s="89"/>
      <c r="BA2197" s="89"/>
      <c r="BB2197" s="89"/>
      <c r="BC2197" s="89"/>
      <c r="BD2197" s="89"/>
      <c r="BE2197" s="89"/>
      <c r="BF2197" s="89"/>
      <c r="BG2197" s="89"/>
      <c r="BH2197" s="89"/>
      <c r="BI2197" s="89"/>
      <c r="BJ2197" s="89"/>
      <c r="BK2197" s="89"/>
      <c r="BL2197" s="89"/>
      <c r="BM2197" s="89"/>
      <c r="BN2197" s="89"/>
      <c r="BO2197" s="89"/>
      <c r="BP2197" s="89"/>
    </row>
    <row r="2198" spans="1:68" s="52" customFormat="1" ht="27" hidden="1">
      <c r="A2198" s="204">
        <f>+IFERROR(VALUE(MID(AB2198,4,4)),"")</f>
        <v>134</v>
      </c>
      <c r="B2198" s="204">
        <f>VALUE(RIGHT(C2198,LEN(C2198)-2))</f>
        <v>527</v>
      </c>
      <c r="C2198" s="219" t="s">
        <v>7526</v>
      </c>
      <c r="D2198" s="220">
        <v>42486</v>
      </c>
      <c r="E2198" s="181" t="s">
        <v>37</v>
      </c>
      <c r="F2198" s="181" t="s">
        <v>37</v>
      </c>
      <c r="G2198" s="68" t="s">
        <v>7344</v>
      </c>
      <c r="H2198" s="67" t="s">
        <v>7527</v>
      </c>
      <c r="I2198" s="163" t="s">
        <v>7528</v>
      </c>
      <c r="J2198" s="163"/>
      <c r="K2198" s="71" t="s">
        <v>11</v>
      </c>
      <c r="L2198" s="71" t="s">
        <v>120</v>
      </c>
      <c r="M2198" s="71" t="s">
        <v>141</v>
      </c>
      <c r="N2198" s="68" t="e" vm="1">
        <v>#VALUE!</v>
      </c>
      <c r="O2198" s="264">
        <v>42487</v>
      </c>
      <c r="P2198" s="221" t="s">
        <v>402</v>
      </c>
      <c r="Q2198" s="221"/>
      <c r="R2198" s="163"/>
      <c r="S2198" s="222"/>
      <c r="T2198" s="68" t="s">
        <v>3</v>
      </c>
      <c r="U2198" s="87"/>
      <c r="V2198" s="183">
        <v>42494</v>
      </c>
      <c r="W2198" s="223">
        <v>50</v>
      </c>
      <c r="X2198" s="223">
        <v>1</v>
      </c>
      <c r="Y2198" s="73">
        <f>IF(SUM(W2198:W2198)&gt;0,X2198/SUM(W2198:W2198)*1000000,"N/A")</f>
        <v>20000</v>
      </c>
      <c r="Z2198" s="270"/>
      <c r="AA2198" s="270"/>
      <c r="AB2198" s="223" t="s">
        <v>7529</v>
      </c>
      <c r="AC2198" s="224"/>
      <c r="AD2198" s="336"/>
      <c r="AE2198" s="65"/>
      <c r="AF2198" s="225"/>
      <c r="AG2198" s="182">
        <f>YEAR(D2198)</f>
        <v>2016</v>
      </c>
      <c r="AH2198" s="86" t="str">
        <f>+IF(AE2198=$AJ$22,MONTH(T2198),"")</f>
        <v/>
      </c>
      <c r="AI2198" s="86" t="str">
        <f>+IF(AF2198=$AJ$22,MONTH(U2198),"")</f>
        <v/>
      </c>
      <c r="AJ2198" s="86" t="str">
        <f>+IF(AG2198=$AJ$22,MONTH(V2198),"")</f>
        <v/>
      </c>
      <c r="AK2198" s="86" t="str">
        <f>+IF(AG2198=$AK$22,MONTH(V2198),"")</f>
        <v/>
      </c>
      <c r="AL2198" s="86" t="str">
        <f>+IF(AG2198=$AL$22,MONTH(V2198),"")</f>
        <v/>
      </c>
      <c r="AM2198" s="86" t="str">
        <f>+IF($AG2198=$AM$22,MONTH($D2198),"")</f>
        <v/>
      </c>
      <c r="AN2198" s="89" t="str">
        <f>+IF($AG2198=AN$22,MONTH($D2198),"")</f>
        <v/>
      </c>
      <c r="AO2198" s="86" t="str">
        <f>+IF($AG2198=AO$22,MONTH($D2198),"")</f>
        <v/>
      </c>
      <c r="AP2198" s="86" t="str">
        <f>+IF($AG2198=AP$22,MONTH($D2198),"")</f>
        <v/>
      </c>
      <c r="AQ2198" s="86" t="str">
        <f>+IF($AG2198=AQ$22,MONTH($D2198),"")</f>
        <v/>
      </c>
      <c r="AR2198" s="86">
        <f>+IF($AG2198=AR$22,MONTH($D2198),"")</f>
        <v>4</v>
      </c>
      <c r="AS2198" s="86" t="str">
        <f>+IF($AG2198=AS$22,MONTH($D2198),"")</f>
        <v/>
      </c>
      <c r="AT2198" s="86" t="str">
        <f>+IF($AG2198=AT$22,MONTH($D2198),"")</f>
        <v/>
      </c>
      <c r="AU2198" s="86" t="str">
        <f>+IF($AG2198=AU$22,MONTH($D2198),"")</f>
        <v/>
      </c>
      <c r="AV2198" s="86" t="str">
        <f>+IF($AG2198=AV$22,MONTH($D2198),"")</f>
        <v/>
      </c>
      <c r="AW2198" s="86" t="str">
        <f>+IF($AG2198=AW$22,MONTH($D2198),"")</f>
        <v/>
      </c>
      <c r="AX2198" s="86" t="str">
        <f>+IF($AG2198=AX$22,MONTH($D2198),"")</f>
        <v/>
      </c>
      <c r="AY2198" s="89"/>
      <c r="AZ2198" s="89"/>
      <c r="BA2198" s="89"/>
      <c r="BB2198" s="89"/>
      <c r="BC2198" s="89"/>
      <c r="BD2198" s="89"/>
      <c r="BE2198" s="89"/>
      <c r="BF2198" s="89"/>
      <c r="BG2198" s="89"/>
      <c r="BH2198" s="89"/>
      <c r="BI2198" s="89"/>
      <c r="BJ2198" s="2"/>
      <c r="BK2198" s="2"/>
      <c r="BL2198" s="2"/>
      <c r="BM2198" s="2"/>
      <c r="BN2198" s="2"/>
      <c r="BO2198" s="2"/>
      <c r="BP2198" s="2"/>
    </row>
    <row r="2199" spans="1:68" s="56" customFormat="1" ht="27" hidden="1">
      <c r="A2199" s="204" t="str">
        <f>+IFERROR(VALUE(MID(AB2199,4,4)),"")</f>
        <v/>
      </c>
      <c r="B2199" s="204">
        <f>VALUE(RIGHT(C2199,LEN(C2199)-2))</f>
        <v>526</v>
      </c>
      <c r="C2199" s="74" t="s">
        <v>7530</v>
      </c>
      <c r="D2199" s="84">
        <v>42483</v>
      </c>
      <c r="E2199" s="70" t="s">
        <v>53</v>
      </c>
      <c r="F2199" s="70" t="s">
        <v>2436</v>
      </c>
      <c r="G2199" s="68" t="s">
        <v>7531</v>
      </c>
      <c r="H2199" s="59" t="s">
        <v>7532</v>
      </c>
      <c r="I2199" s="162" t="s">
        <v>7533</v>
      </c>
      <c r="J2199" s="162"/>
      <c r="K2199" s="68" t="s">
        <v>90</v>
      </c>
      <c r="L2199" s="69" t="s">
        <v>123</v>
      </c>
      <c r="M2199" s="71" t="s">
        <v>141</v>
      </c>
      <c r="N2199" s="69" t="e" vm="1">
        <v>#VALUE!</v>
      </c>
      <c r="O2199" s="164">
        <v>42485</v>
      </c>
      <c r="P2199" s="72" t="s">
        <v>402</v>
      </c>
      <c r="Q2199" s="72"/>
      <c r="R2199" s="162"/>
      <c r="S2199" s="146"/>
      <c r="T2199" s="68" t="s">
        <v>165</v>
      </c>
      <c r="U2199" s="87"/>
      <c r="V2199" s="183">
        <v>42494</v>
      </c>
      <c r="W2199" s="73">
        <v>160</v>
      </c>
      <c r="X2199" s="73">
        <f>330*25900/1000000</f>
        <v>8.5470000000000006</v>
      </c>
      <c r="Y2199" s="83">
        <f>IF(SUM(W2199:W2199)&gt;0,X2199/SUM(W2199:W2199)*1000000,"N/A")</f>
        <v>53418.75</v>
      </c>
      <c r="Z2199" s="183"/>
      <c r="AA2199" s="183"/>
      <c r="AB2199" s="223"/>
      <c r="AC2199" s="153"/>
      <c r="AD2199" s="331"/>
      <c r="AE2199" s="57"/>
      <c r="AF2199" s="88"/>
      <c r="AG2199" s="182">
        <f>YEAR(D2199)</f>
        <v>2016</v>
      </c>
      <c r="AH2199" s="86" t="str">
        <f>+IF(AE2199=$AJ$22,MONTH(T2199),"")</f>
        <v/>
      </c>
      <c r="AI2199" s="86" t="str">
        <f>+IF(AF2199=$AJ$22,MONTH(U2199),"")</f>
        <v/>
      </c>
      <c r="AJ2199" s="86" t="str">
        <f>+IF(AG2199=$AJ$22,MONTH(V2199),"")</f>
        <v/>
      </c>
      <c r="AK2199" s="86" t="str">
        <f>+IF(AG2199=$AK$22,MONTH(V2199),"")</f>
        <v/>
      </c>
      <c r="AL2199" s="86" t="str">
        <f>+IF(AG2199=$AL$22,MONTH(V2199),"")</f>
        <v/>
      </c>
      <c r="AM2199" s="86" t="str">
        <f>+IF($AG2199=$AM$22,MONTH($D2199),"")</f>
        <v/>
      </c>
      <c r="AN2199" s="89" t="str">
        <f>+IF($AG2199=AN$22,MONTH($D2199),"")</f>
        <v/>
      </c>
      <c r="AO2199" s="86" t="str">
        <f>+IF($AG2199=AO$22,MONTH($D2199),"")</f>
        <v/>
      </c>
      <c r="AP2199" s="86" t="str">
        <f>+IF($AG2199=AP$22,MONTH($D2199),"")</f>
        <v/>
      </c>
      <c r="AQ2199" s="86" t="str">
        <f>+IF($AG2199=AQ$22,MONTH($D2199),"")</f>
        <v/>
      </c>
      <c r="AR2199" s="86">
        <f>+IF($AG2199=AR$22,MONTH($D2199),"")</f>
        <v>4</v>
      </c>
      <c r="AS2199" s="86" t="str">
        <f>+IF($AG2199=AS$22,MONTH($D2199),"")</f>
        <v/>
      </c>
      <c r="AT2199" s="86" t="str">
        <f>+IF($AG2199=AT$22,MONTH($D2199),"")</f>
        <v/>
      </c>
      <c r="AU2199" s="86" t="str">
        <f>+IF($AG2199=AU$22,MONTH($D2199),"")</f>
        <v/>
      </c>
      <c r="AV2199" s="86" t="str">
        <f>+IF($AG2199=AV$22,MONTH($D2199),"")</f>
        <v/>
      </c>
      <c r="AW2199" s="86" t="str">
        <f>+IF($AG2199=AW$22,MONTH($D2199),"")</f>
        <v/>
      </c>
      <c r="AX2199" s="86" t="str">
        <f>+IF($AG2199=AX$22,MONTH($D2199),"")</f>
        <v/>
      </c>
      <c r="AY2199" s="89"/>
      <c r="AZ2199" s="89"/>
      <c r="BA2199" s="89"/>
      <c r="BB2199" s="89"/>
      <c r="BC2199" s="89"/>
      <c r="BD2199" s="89"/>
      <c r="BE2199" s="89"/>
      <c r="BF2199" s="89"/>
      <c r="BG2199" s="89"/>
      <c r="BH2199" s="89"/>
      <c r="BI2199" s="89"/>
      <c r="BJ2199" s="89"/>
      <c r="BK2199" s="89"/>
      <c r="BL2199" s="89"/>
      <c r="BM2199" s="89"/>
      <c r="BN2199" s="89"/>
      <c r="BO2199" s="89"/>
      <c r="BP2199" s="89"/>
    </row>
    <row r="2200" spans="1:68" s="56" customFormat="1" ht="27" hidden="1">
      <c r="A2200" s="204">
        <f>+IFERROR(VALUE(MID(AB2200,4,4)),"")</f>
        <v>113</v>
      </c>
      <c r="B2200" s="204">
        <f>VALUE(RIGHT(C2200,LEN(C2200)-2))</f>
        <v>525</v>
      </c>
      <c r="C2200" s="74" t="s">
        <v>7534</v>
      </c>
      <c r="D2200" s="75">
        <v>42480</v>
      </c>
      <c r="E2200" s="70" t="s">
        <v>332</v>
      </c>
      <c r="F2200" s="70" t="s">
        <v>332</v>
      </c>
      <c r="G2200" s="68" t="s">
        <v>285</v>
      </c>
      <c r="H2200" s="59" t="s">
        <v>7401</v>
      </c>
      <c r="I2200" s="162" t="s">
        <v>7535</v>
      </c>
      <c r="J2200" s="162"/>
      <c r="K2200" s="68" t="s">
        <v>13</v>
      </c>
      <c r="L2200" s="69" t="s">
        <v>120</v>
      </c>
      <c r="M2200" s="71" t="s">
        <v>141</v>
      </c>
      <c r="N2200" s="69" t="e" vm="1">
        <v>#VALUE!</v>
      </c>
      <c r="O2200" s="164">
        <v>42421</v>
      </c>
      <c r="P2200" s="72" t="s">
        <v>402</v>
      </c>
      <c r="Q2200" s="72"/>
      <c r="R2200" s="162"/>
      <c r="S2200" s="146"/>
      <c r="T2200" s="68" t="s">
        <v>3</v>
      </c>
      <c r="U2200" s="87"/>
      <c r="V2200" s="183">
        <v>42480</v>
      </c>
      <c r="W2200" s="73">
        <v>180</v>
      </c>
      <c r="X2200" s="73">
        <v>7</v>
      </c>
      <c r="Y2200" s="83">
        <f>IF(SUM(W2200:W2200)&gt;0,X2200/SUM(W2200:W2200)*1000000,"N/A")</f>
        <v>38888.888888888891</v>
      </c>
      <c r="Z2200" s="183"/>
      <c r="AA2200" s="183"/>
      <c r="AB2200" s="223" t="s">
        <v>7536</v>
      </c>
      <c r="AC2200" s="153"/>
      <c r="AD2200" s="331"/>
      <c r="AE2200" s="57"/>
      <c r="AF2200" s="88"/>
      <c r="AG2200" s="182">
        <f>YEAR(D2200)</f>
        <v>2016</v>
      </c>
      <c r="AH2200" s="86" t="str">
        <f>+IF(AE2200=$AJ$22,MONTH(T2200),"")</f>
        <v/>
      </c>
      <c r="AI2200" s="86" t="str">
        <f>+IF(AF2200=$AJ$22,MONTH(U2200),"")</f>
        <v/>
      </c>
      <c r="AJ2200" s="86" t="str">
        <f>+IF(AG2200=$AJ$22,MONTH(V2200),"")</f>
        <v/>
      </c>
      <c r="AK2200" s="86" t="str">
        <f>+IF(AG2200=$AK$22,MONTH(V2200),"")</f>
        <v/>
      </c>
      <c r="AL2200" s="86" t="str">
        <f>+IF(AG2200=$AL$22,MONTH(V2200),"")</f>
        <v/>
      </c>
      <c r="AM2200" s="86" t="str">
        <f>+IF($AG2200=$AM$22,MONTH($D2200),"")</f>
        <v/>
      </c>
      <c r="AN2200" s="89" t="str">
        <f>+IF($AG2200=AN$22,MONTH($D2200),"")</f>
        <v/>
      </c>
      <c r="AO2200" s="86" t="str">
        <f>+IF($AG2200=AO$22,MONTH($D2200),"")</f>
        <v/>
      </c>
      <c r="AP2200" s="86" t="str">
        <f>+IF($AG2200=AP$22,MONTH($D2200),"")</f>
        <v/>
      </c>
      <c r="AQ2200" s="86" t="str">
        <f>+IF($AG2200=AQ$22,MONTH($D2200),"")</f>
        <v/>
      </c>
      <c r="AR2200" s="86">
        <f>+IF($AG2200=AR$22,MONTH($D2200),"")</f>
        <v>4</v>
      </c>
      <c r="AS2200" s="86" t="str">
        <f>+IF($AG2200=AS$22,MONTH($D2200),"")</f>
        <v/>
      </c>
      <c r="AT2200" s="86" t="str">
        <f>+IF($AG2200=AT$22,MONTH($D2200),"")</f>
        <v/>
      </c>
      <c r="AU2200" s="86" t="str">
        <f>+IF($AG2200=AU$22,MONTH($D2200),"")</f>
        <v/>
      </c>
      <c r="AV2200" s="86" t="str">
        <f>+IF($AG2200=AV$22,MONTH($D2200),"")</f>
        <v/>
      </c>
      <c r="AW2200" s="86" t="str">
        <f>+IF($AG2200=AW$22,MONTH($D2200),"")</f>
        <v/>
      </c>
      <c r="AX2200" s="86" t="str">
        <f>+IF($AG2200=AX$22,MONTH($D2200),"")</f>
        <v/>
      </c>
      <c r="AY2200" s="89"/>
      <c r="AZ2200" s="89"/>
      <c r="BA2200" s="89"/>
      <c r="BB2200" s="89"/>
      <c r="BC2200" s="89"/>
      <c r="BD2200" s="89"/>
      <c r="BE2200" s="89"/>
      <c r="BF2200" s="89"/>
      <c r="BG2200" s="89"/>
      <c r="BH2200" s="89"/>
      <c r="BI2200" s="89"/>
      <c r="BJ2200" s="89"/>
      <c r="BK2200" s="89"/>
      <c r="BL2200" s="89"/>
      <c r="BM2200" s="89"/>
      <c r="BN2200" s="89"/>
      <c r="BO2200" s="89"/>
      <c r="BP2200" s="89"/>
    </row>
    <row r="2201" spans="1:68" s="56" customFormat="1" ht="40.5" hidden="1">
      <c r="A2201" s="204" t="str">
        <f>+IFERROR(VALUE(MID(AB2201,4,4)),"")</f>
        <v/>
      </c>
      <c r="B2201" s="204">
        <f>VALUE(RIGHT(C2201,LEN(C2201)-2))</f>
        <v>524</v>
      </c>
      <c r="C2201" s="74" t="s">
        <v>7537</v>
      </c>
      <c r="D2201" s="75">
        <v>42468</v>
      </c>
      <c r="E2201" s="70" t="s">
        <v>69</v>
      </c>
      <c r="F2201" s="70" t="s">
        <v>685</v>
      </c>
      <c r="G2201" s="68" t="s">
        <v>4508</v>
      </c>
      <c r="H2201" s="59"/>
      <c r="I2201" s="162" t="s">
        <v>7538</v>
      </c>
      <c r="J2201" s="162"/>
      <c r="K2201" s="68" t="s">
        <v>30</v>
      </c>
      <c r="L2201" s="69" t="s">
        <v>120</v>
      </c>
      <c r="M2201" s="71" t="s">
        <v>141</v>
      </c>
      <c r="N2201" s="69" t="e" vm="1">
        <v>#VALUE!</v>
      </c>
      <c r="O2201" s="164">
        <v>42468</v>
      </c>
      <c r="P2201" s="72" t="s">
        <v>402</v>
      </c>
      <c r="Q2201" s="72"/>
      <c r="R2201" s="162"/>
      <c r="S2201" s="146" t="s">
        <v>7479</v>
      </c>
      <c r="T2201" s="68" t="s">
        <v>165</v>
      </c>
      <c r="U2201" s="87"/>
      <c r="V2201" s="183">
        <v>42886</v>
      </c>
      <c r="W2201" s="73">
        <v>533</v>
      </c>
      <c r="X2201" s="73">
        <f>750*25800/1000000</f>
        <v>19.350000000000001</v>
      </c>
      <c r="Y2201" s="83">
        <f>IF(SUM(W2201:W2201)&gt;0,X2201/SUM(W2201:W2201)*1000000,"N/A")</f>
        <v>36303.93996247655</v>
      </c>
      <c r="Z2201" s="183"/>
      <c r="AA2201" s="183"/>
      <c r="AB2201" s="223"/>
      <c r="AC2201" s="153"/>
      <c r="AD2201" s="331"/>
      <c r="AE2201" s="57"/>
      <c r="AF2201" s="88"/>
      <c r="AG2201" s="182">
        <f>YEAR(D2201)</f>
        <v>2016</v>
      </c>
      <c r="AH2201" s="86" t="str">
        <f>+IF(AE2201=$AJ$22,MONTH(T2201),"")</f>
        <v/>
      </c>
      <c r="AI2201" s="86" t="str">
        <f>+IF(AF2201=$AJ$22,MONTH(U2201),"")</f>
        <v/>
      </c>
      <c r="AJ2201" s="86" t="str">
        <f>+IF(AG2201=$AJ$22,MONTH(V2201),"")</f>
        <v/>
      </c>
      <c r="AK2201" s="86" t="str">
        <f>+IF(AG2201=$AK$22,MONTH(V2201),"")</f>
        <v/>
      </c>
      <c r="AL2201" s="86" t="str">
        <f>+IF(AG2201=$AL$22,MONTH(V2201),"")</f>
        <v/>
      </c>
      <c r="AM2201" s="86" t="str">
        <f>+IF($AG2201=$AM$22,MONTH($D2201),"")</f>
        <v/>
      </c>
      <c r="AN2201" s="89" t="str">
        <f>+IF($AG2201=AN$22,MONTH($D2201),"")</f>
        <v/>
      </c>
      <c r="AO2201" s="86" t="str">
        <f>+IF($AG2201=AO$22,MONTH($D2201),"")</f>
        <v/>
      </c>
      <c r="AP2201" s="86" t="str">
        <f>+IF($AG2201=AP$22,MONTH($D2201),"")</f>
        <v/>
      </c>
      <c r="AQ2201" s="86" t="str">
        <f>+IF($AG2201=AQ$22,MONTH($D2201),"")</f>
        <v/>
      </c>
      <c r="AR2201" s="86">
        <f>+IF($AG2201=AR$22,MONTH($D2201),"")</f>
        <v>4</v>
      </c>
      <c r="AS2201" s="86" t="str">
        <f>+IF($AG2201=AS$22,MONTH($D2201),"")</f>
        <v/>
      </c>
      <c r="AT2201" s="86" t="str">
        <f>+IF($AG2201=AT$22,MONTH($D2201),"")</f>
        <v/>
      </c>
      <c r="AU2201" s="86" t="str">
        <f>+IF($AG2201=AU$22,MONTH($D2201),"")</f>
        <v/>
      </c>
      <c r="AV2201" s="86" t="str">
        <f>+IF($AG2201=AV$22,MONTH($D2201),"")</f>
        <v/>
      </c>
      <c r="AW2201" s="86" t="str">
        <f>+IF($AG2201=AW$22,MONTH($D2201),"")</f>
        <v/>
      </c>
      <c r="AX2201" s="86" t="str">
        <f>+IF($AG2201=AX$22,MONTH($D2201),"")</f>
        <v/>
      </c>
      <c r="AY2201" s="89"/>
      <c r="AZ2201" s="89"/>
      <c r="BA2201" s="89"/>
      <c r="BB2201" s="89"/>
      <c r="BC2201" s="89"/>
      <c r="BD2201" s="89"/>
      <c r="BE2201" s="89"/>
      <c r="BF2201" s="89"/>
      <c r="BG2201" s="89"/>
      <c r="BH2201" s="89"/>
      <c r="BI2201" s="89"/>
      <c r="BJ2201" s="89"/>
      <c r="BK2201" s="89"/>
      <c r="BL2201" s="89"/>
      <c r="BM2201" s="89"/>
      <c r="BN2201" s="89"/>
      <c r="BO2201" s="89"/>
      <c r="BP2201" s="89"/>
    </row>
    <row r="2202" spans="1:68" s="52" customFormat="1" ht="27" hidden="1">
      <c r="A2202" s="204" t="str">
        <f>+IFERROR(VALUE(MID(AB2202,4,4)),"")</f>
        <v/>
      </c>
      <c r="B2202" s="204">
        <f>VALUE(RIGHT(C2202,LEN(C2202)-2))</f>
        <v>523</v>
      </c>
      <c r="C2202" s="219" t="s">
        <v>7539</v>
      </c>
      <c r="D2202" s="220">
        <v>42466</v>
      </c>
      <c r="E2202" s="181" t="s">
        <v>97</v>
      </c>
      <c r="F2202" s="181" t="s">
        <v>7540</v>
      </c>
      <c r="G2202" s="68" t="s">
        <v>6831</v>
      </c>
      <c r="H2202" s="67" t="s">
        <v>7541</v>
      </c>
      <c r="I2202" s="163" t="s">
        <v>7542</v>
      </c>
      <c r="J2202" s="163"/>
      <c r="K2202" s="71" t="s">
        <v>13</v>
      </c>
      <c r="L2202" s="71" t="s">
        <v>123</v>
      </c>
      <c r="M2202" s="71" t="s">
        <v>141</v>
      </c>
      <c r="N2202" s="68" t="e" vm="1">
        <v>#VALUE!</v>
      </c>
      <c r="O2202" s="264">
        <v>42467</v>
      </c>
      <c r="P2202" s="221" t="s">
        <v>402</v>
      </c>
      <c r="Q2202" s="221"/>
      <c r="R2202" s="163"/>
      <c r="S2202" s="222"/>
      <c r="T2202" s="68" t="s">
        <v>165</v>
      </c>
      <c r="U2202" s="87"/>
      <c r="V2202" s="183">
        <v>42480</v>
      </c>
      <c r="W2202" s="223">
        <v>4057</v>
      </c>
      <c r="X2202" s="223">
        <f>4525*25800/1000000</f>
        <v>116.745</v>
      </c>
      <c r="Y2202" s="73">
        <f>IF(SUM(W2202:W2202)&gt;0,X2202/SUM(W2202:W2202)*1000000,"N/A")</f>
        <v>28776.189302440227</v>
      </c>
      <c r="Z2202" s="270"/>
      <c r="AA2202" s="270"/>
      <c r="AB2202" s="223"/>
      <c r="AC2202" s="224"/>
      <c r="AD2202" s="336"/>
      <c r="AE2202" s="65"/>
      <c r="AF2202" s="225"/>
      <c r="AG2202" s="182">
        <f>YEAR(D2202)</f>
        <v>2016</v>
      </c>
      <c r="AH2202" s="86" t="str">
        <f>+IF(AE2202=$AJ$22,MONTH(T2202),"")</f>
        <v/>
      </c>
      <c r="AI2202" s="86" t="str">
        <f>+IF(AF2202=$AJ$22,MONTH(U2202),"")</f>
        <v/>
      </c>
      <c r="AJ2202" s="86" t="str">
        <f>+IF(AG2202=$AJ$22,MONTH(V2202),"")</f>
        <v/>
      </c>
      <c r="AK2202" s="86" t="str">
        <f>+IF(AG2202=$AK$22,MONTH(V2202),"")</f>
        <v/>
      </c>
      <c r="AL2202" s="86" t="str">
        <f>+IF(AG2202=$AL$22,MONTH(V2202),"")</f>
        <v/>
      </c>
      <c r="AM2202" s="86" t="str">
        <f>+IF($AG2202=$AM$22,MONTH($D2202),"")</f>
        <v/>
      </c>
      <c r="AN2202" s="89" t="str">
        <f>+IF($AG2202=AN$22,MONTH($D2202),"")</f>
        <v/>
      </c>
      <c r="AO2202" s="86" t="str">
        <f>+IF($AG2202=AO$22,MONTH($D2202),"")</f>
        <v/>
      </c>
      <c r="AP2202" s="86" t="str">
        <f>+IF($AG2202=AP$22,MONTH($D2202),"")</f>
        <v/>
      </c>
      <c r="AQ2202" s="86" t="str">
        <f>+IF($AG2202=AQ$22,MONTH($D2202),"")</f>
        <v/>
      </c>
      <c r="AR2202" s="86">
        <f>+IF($AG2202=AR$22,MONTH($D2202),"")</f>
        <v>4</v>
      </c>
      <c r="AS2202" s="86" t="str">
        <f>+IF($AG2202=AS$22,MONTH($D2202),"")</f>
        <v/>
      </c>
      <c r="AT2202" s="86" t="str">
        <f>+IF($AG2202=AT$22,MONTH($D2202),"")</f>
        <v/>
      </c>
      <c r="AU2202" s="86" t="str">
        <f>+IF($AG2202=AU$22,MONTH($D2202),"")</f>
        <v/>
      </c>
      <c r="AV2202" s="86" t="str">
        <f>+IF($AG2202=AV$22,MONTH($D2202),"")</f>
        <v/>
      </c>
      <c r="AW2202" s="86" t="str">
        <f>+IF($AG2202=AW$22,MONTH($D2202),"")</f>
        <v/>
      </c>
      <c r="AX2202" s="86" t="str">
        <f>+IF($AG2202=AX$22,MONTH($D2202),"")</f>
        <v/>
      </c>
      <c r="AY2202" s="89"/>
      <c r="AZ2202" s="89"/>
      <c r="BA2202" s="89"/>
      <c r="BB2202" s="89"/>
      <c r="BC2202" s="89"/>
      <c r="BD2202" s="89"/>
      <c r="BE2202" s="89"/>
      <c r="BF2202" s="89"/>
      <c r="BG2202" s="89"/>
      <c r="BH2202" s="89"/>
      <c r="BI2202" s="89"/>
      <c r="BJ2202" s="2"/>
      <c r="BK2202" s="2"/>
      <c r="BL2202" s="2"/>
      <c r="BM2202" s="2"/>
      <c r="BN2202" s="2"/>
      <c r="BO2202" s="2"/>
      <c r="BP2202" s="2"/>
    </row>
    <row r="2203" spans="1:68" s="56" customFormat="1" ht="27" hidden="1">
      <c r="A2203" s="204" t="str">
        <f>+IFERROR(VALUE(MID(AB2203,4,4)),"")</f>
        <v/>
      </c>
      <c r="B2203" s="204">
        <f>VALUE(RIGHT(C2203,LEN(C2203)-2))</f>
        <v>522</v>
      </c>
      <c r="C2203" s="74" t="s">
        <v>7543</v>
      </c>
      <c r="D2203" s="75">
        <v>42443</v>
      </c>
      <c r="E2203" s="70" t="s">
        <v>106</v>
      </c>
      <c r="F2203" s="70" t="s">
        <v>106</v>
      </c>
      <c r="G2203" s="68" t="s">
        <v>7544</v>
      </c>
      <c r="H2203" s="59" t="s">
        <v>7545</v>
      </c>
      <c r="I2203" s="162" t="s">
        <v>7546</v>
      </c>
      <c r="J2203" s="162"/>
      <c r="K2203" s="68" t="s">
        <v>11</v>
      </c>
      <c r="L2203" s="69" t="s">
        <v>123</v>
      </c>
      <c r="M2203" s="71" t="s">
        <v>141</v>
      </c>
      <c r="N2203" s="69" t="e" vm="1">
        <v>#VALUE!</v>
      </c>
      <c r="O2203" s="164">
        <v>42460</v>
      </c>
      <c r="P2203" s="72" t="s">
        <v>7465</v>
      </c>
      <c r="Q2203" s="72"/>
      <c r="R2203" s="162"/>
      <c r="S2203" s="146"/>
      <c r="T2203" s="68" t="s">
        <v>165</v>
      </c>
      <c r="U2203" s="87"/>
      <c r="V2203" s="183">
        <v>42480</v>
      </c>
      <c r="W2203" s="73">
        <v>1319</v>
      </c>
      <c r="X2203" s="73">
        <f>1487*25800/1000000</f>
        <v>38.364600000000003</v>
      </c>
      <c r="Y2203" s="83">
        <f>IF(SUM(W2203:W2203)&gt;0,X2203/SUM(W2203:W2203)*1000000,"N/A")</f>
        <v>29086.125852918878</v>
      </c>
      <c r="Z2203" s="183"/>
      <c r="AA2203" s="183"/>
      <c r="AB2203" s="223"/>
      <c r="AC2203" s="153"/>
      <c r="AD2203" s="331"/>
      <c r="AE2203" s="57"/>
      <c r="AF2203" s="88"/>
      <c r="AG2203" s="182">
        <f>YEAR(D2203)</f>
        <v>2016</v>
      </c>
      <c r="AH2203" s="86" t="str">
        <f>+IF(AE2203=$AJ$22,MONTH(T2203),"")</f>
        <v/>
      </c>
      <c r="AI2203" s="86" t="str">
        <f>+IF(AF2203=$AJ$22,MONTH(U2203),"")</f>
        <v/>
      </c>
      <c r="AJ2203" s="86" t="str">
        <f>+IF(AG2203=$AJ$22,MONTH(V2203),"")</f>
        <v/>
      </c>
      <c r="AK2203" s="86" t="str">
        <f>+IF(AG2203=$AK$22,MONTH(V2203),"")</f>
        <v/>
      </c>
      <c r="AL2203" s="86" t="str">
        <f>+IF(AG2203=$AL$22,MONTH(V2203),"")</f>
        <v/>
      </c>
      <c r="AM2203" s="86" t="str">
        <f>+IF($AG2203=$AM$22,MONTH($D2203),"")</f>
        <v/>
      </c>
      <c r="AN2203" s="89" t="str">
        <f>+IF($AG2203=AN$22,MONTH($D2203),"")</f>
        <v/>
      </c>
      <c r="AO2203" s="86" t="str">
        <f>+IF($AG2203=AO$22,MONTH($D2203),"")</f>
        <v/>
      </c>
      <c r="AP2203" s="86" t="str">
        <f>+IF($AG2203=AP$22,MONTH($D2203),"")</f>
        <v/>
      </c>
      <c r="AQ2203" s="86" t="str">
        <f>+IF($AG2203=AQ$22,MONTH($D2203),"")</f>
        <v/>
      </c>
      <c r="AR2203" s="86">
        <f>+IF($AG2203=AR$22,MONTH($D2203),"")</f>
        <v>3</v>
      </c>
      <c r="AS2203" s="86" t="str">
        <f>+IF($AG2203=AS$22,MONTH($D2203),"")</f>
        <v/>
      </c>
      <c r="AT2203" s="86" t="str">
        <f>+IF($AG2203=AT$22,MONTH($D2203),"")</f>
        <v/>
      </c>
      <c r="AU2203" s="86" t="str">
        <f>+IF($AG2203=AU$22,MONTH($D2203),"")</f>
        <v/>
      </c>
      <c r="AV2203" s="86" t="str">
        <f>+IF($AG2203=AV$22,MONTH($D2203),"")</f>
        <v/>
      </c>
      <c r="AW2203" s="86" t="str">
        <f>+IF($AG2203=AW$22,MONTH($D2203),"")</f>
        <v/>
      </c>
      <c r="AX2203" s="86" t="str">
        <f>+IF($AG2203=AX$22,MONTH($D2203),"")</f>
        <v/>
      </c>
      <c r="AY2203" s="89"/>
      <c r="AZ2203" s="89"/>
      <c r="BA2203" s="89"/>
      <c r="BB2203" s="89"/>
      <c r="BC2203" s="89"/>
      <c r="BD2203" s="89"/>
      <c r="BE2203" s="89"/>
      <c r="BF2203" s="89"/>
      <c r="BG2203" s="89"/>
      <c r="BH2203" s="89"/>
      <c r="BI2203" s="89"/>
      <c r="BJ2203" s="89"/>
      <c r="BK2203" s="89"/>
      <c r="BL2203" s="89"/>
      <c r="BM2203" s="89"/>
      <c r="BN2203" s="89"/>
      <c r="BO2203" s="89"/>
      <c r="BP2203" s="89"/>
    </row>
    <row r="2204" spans="1:68" s="56" customFormat="1" ht="27" hidden="1">
      <c r="A2204" s="204" t="str">
        <f>+IFERROR(VALUE(MID(AB2204,4,4)),"")</f>
        <v/>
      </c>
      <c r="B2204" s="204">
        <f>VALUE(RIGHT(C2204,LEN(C2204)-2))</f>
        <v>521</v>
      </c>
      <c r="C2204" s="74" t="s">
        <v>7547</v>
      </c>
      <c r="D2204" s="75">
        <v>42446</v>
      </c>
      <c r="E2204" s="70" t="s">
        <v>106</v>
      </c>
      <c r="F2204" s="70" t="s">
        <v>106</v>
      </c>
      <c r="G2204" s="68" t="s">
        <v>7544</v>
      </c>
      <c r="H2204" s="59" t="s">
        <v>7545</v>
      </c>
      <c r="I2204" s="162" t="s">
        <v>7548</v>
      </c>
      <c r="J2204" s="162"/>
      <c r="K2204" s="68" t="s">
        <v>13</v>
      </c>
      <c r="L2204" s="69" t="s">
        <v>123</v>
      </c>
      <c r="M2204" s="71" t="s">
        <v>141</v>
      </c>
      <c r="N2204" s="69" t="e" vm="1">
        <v>#VALUE!</v>
      </c>
      <c r="O2204" s="164">
        <v>42446</v>
      </c>
      <c r="P2204" s="72" t="s">
        <v>402</v>
      </c>
      <c r="Q2204" s="72"/>
      <c r="R2204" s="162"/>
      <c r="S2204" s="146"/>
      <c r="T2204" s="68" t="s">
        <v>165</v>
      </c>
      <c r="U2204" s="87"/>
      <c r="V2204" s="183">
        <v>42480</v>
      </c>
      <c r="W2204" s="73">
        <v>588</v>
      </c>
      <c r="X2204" s="73">
        <f>593*24600/1000000</f>
        <v>14.5878</v>
      </c>
      <c r="Y2204" s="83">
        <f>IF(SUM(W2204:W2204)&gt;0,X2204/SUM(W2204:W2204)*1000000,"N/A")</f>
        <v>24809.183673469386</v>
      </c>
      <c r="Z2204" s="183"/>
      <c r="AA2204" s="183"/>
      <c r="AB2204" s="223"/>
      <c r="AC2204" s="153"/>
      <c r="AD2204" s="331"/>
      <c r="AE2204" s="57"/>
      <c r="AF2204" s="88"/>
      <c r="AG2204" s="182">
        <f>YEAR(D2204)</f>
        <v>2016</v>
      </c>
      <c r="AH2204" s="86" t="str">
        <f>+IF(AE2204=$AJ$22,MONTH(T2204),"")</f>
        <v/>
      </c>
      <c r="AI2204" s="86" t="str">
        <f>+IF(AF2204=$AJ$22,MONTH(U2204),"")</f>
        <v/>
      </c>
      <c r="AJ2204" s="86" t="str">
        <f>+IF(AG2204=$AJ$22,MONTH(V2204),"")</f>
        <v/>
      </c>
      <c r="AK2204" s="86" t="str">
        <f>+IF(AG2204=$AK$22,MONTH(V2204),"")</f>
        <v/>
      </c>
      <c r="AL2204" s="86" t="str">
        <f>+IF(AG2204=$AL$22,MONTH(V2204),"")</f>
        <v/>
      </c>
      <c r="AM2204" s="86" t="str">
        <f>+IF($AG2204=$AM$22,MONTH($D2204),"")</f>
        <v/>
      </c>
      <c r="AN2204" s="89" t="str">
        <f>+IF($AG2204=AN$22,MONTH($D2204),"")</f>
        <v/>
      </c>
      <c r="AO2204" s="86" t="str">
        <f>+IF($AG2204=AO$22,MONTH($D2204),"")</f>
        <v/>
      </c>
      <c r="AP2204" s="86" t="str">
        <f>+IF($AG2204=AP$22,MONTH($D2204),"")</f>
        <v/>
      </c>
      <c r="AQ2204" s="86" t="str">
        <f>+IF($AG2204=AQ$22,MONTH($D2204),"")</f>
        <v/>
      </c>
      <c r="AR2204" s="86">
        <f>+IF($AG2204=AR$22,MONTH($D2204),"")</f>
        <v>3</v>
      </c>
      <c r="AS2204" s="86" t="str">
        <f>+IF($AG2204=AS$22,MONTH($D2204),"")</f>
        <v/>
      </c>
      <c r="AT2204" s="86" t="str">
        <f>+IF($AG2204=AT$22,MONTH($D2204),"")</f>
        <v/>
      </c>
      <c r="AU2204" s="86" t="str">
        <f>+IF($AG2204=AU$22,MONTH($D2204),"")</f>
        <v/>
      </c>
      <c r="AV2204" s="86" t="str">
        <f>+IF($AG2204=AV$22,MONTH($D2204),"")</f>
        <v/>
      </c>
      <c r="AW2204" s="86" t="str">
        <f>+IF($AG2204=AW$22,MONTH($D2204),"")</f>
        <v/>
      </c>
      <c r="AX2204" s="86" t="str">
        <f>+IF($AG2204=AX$22,MONTH($D2204),"")</f>
        <v/>
      </c>
      <c r="AY2204" s="89"/>
      <c r="AZ2204" s="89"/>
      <c r="BA2204" s="89"/>
      <c r="BB2204" s="89"/>
      <c r="BC2204" s="89"/>
      <c r="BD2204" s="89"/>
      <c r="BE2204" s="89"/>
      <c r="BF2204" s="89"/>
      <c r="BG2204" s="89"/>
      <c r="BH2204" s="89"/>
      <c r="BI2204" s="89"/>
      <c r="BJ2204" s="89"/>
      <c r="BK2204" s="89"/>
      <c r="BL2204" s="89"/>
      <c r="BM2204" s="89"/>
      <c r="BN2204" s="89"/>
      <c r="BO2204" s="89"/>
      <c r="BP2204" s="89"/>
    </row>
    <row r="2205" spans="1:68" s="56" customFormat="1" ht="27" hidden="1">
      <c r="A2205" s="204" t="str">
        <f>+IFERROR(VALUE(MID(AB2205,4,4)),"")</f>
        <v/>
      </c>
      <c r="B2205" s="204">
        <f>VALUE(RIGHT(C2205,LEN(C2205)-2))</f>
        <v>520</v>
      </c>
      <c r="C2205" s="74" t="s">
        <v>7549</v>
      </c>
      <c r="D2205" s="75">
        <v>42430</v>
      </c>
      <c r="E2205" s="70" t="s">
        <v>106</v>
      </c>
      <c r="F2205" s="70" t="s">
        <v>106</v>
      </c>
      <c r="G2205" s="68" t="s">
        <v>7544</v>
      </c>
      <c r="H2205" s="59" t="s">
        <v>7545</v>
      </c>
      <c r="I2205" s="162" t="s">
        <v>7550</v>
      </c>
      <c r="J2205" s="162"/>
      <c r="K2205" s="68" t="s">
        <v>12</v>
      </c>
      <c r="L2205" s="69" t="s">
        <v>123</v>
      </c>
      <c r="M2205" s="71" t="s">
        <v>141</v>
      </c>
      <c r="N2205" s="69" t="e" vm="1">
        <v>#VALUE!</v>
      </c>
      <c r="O2205" s="164">
        <v>42430</v>
      </c>
      <c r="P2205" s="72" t="s">
        <v>402</v>
      </c>
      <c r="Q2205" s="72"/>
      <c r="R2205" s="162"/>
      <c r="S2205" s="146"/>
      <c r="T2205" s="68" t="s">
        <v>165</v>
      </c>
      <c r="U2205" s="87"/>
      <c r="V2205" s="183">
        <v>42480</v>
      </c>
      <c r="W2205" s="73">
        <v>160</v>
      </c>
      <c r="X2205" s="73">
        <f>185*24600/1000000</f>
        <v>4.5510000000000002</v>
      </c>
      <c r="Y2205" s="83">
        <f>IF(SUM(W2205:W2205)&gt;0,X2205/SUM(W2205:W2205)*1000000,"N/A")</f>
        <v>28443.75</v>
      </c>
      <c r="Z2205" s="183"/>
      <c r="AA2205" s="183"/>
      <c r="AB2205" s="223"/>
      <c r="AC2205" s="153"/>
      <c r="AD2205" s="331"/>
      <c r="AE2205" s="57"/>
      <c r="AF2205" s="88"/>
      <c r="AG2205" s="182">
        <f>YEAR(D2205)</f>
        <v>2016</v>
      </c>
      <c r="AH2205" s="86" t="str">
        <f>+IF(AE2205=$AJ$22,MONTH(T2205),"")</f>
        <v/>
      </c>
      <c r="AI2205" s="86" t="str">
        <f>+IF(AF2205=$AJ$22,MONTH(U2205),"")</f>
        <v/>
      </c>
      <c r="AJ2205" s="86" t="str">
        <f>+IF(AG2205=$AJ$22,MONTH(V2205),"")</f>
        <v/>
      </c>
      <c r="AK2205" s="86" t="str">
        <f>+IF(AG2205=$AK$22,MONTH(V2205),"")</f>
        <v/>
      </c>
      <c r="AL2205" s="86" t="str">
        <f>+IF(AG2205=$AL$22,MONTH(V2205),"")</f>
        <v/>
      </c>
      <c r="AM2205" s="86" t="str">
        <f>+IF($AG2205=$AM$22,MONTH($D2205),"")</f>
        <v/>
      </c>
      <c r="AN2205" s="89" t="str">
        <f>+IF($AG2205=AN$22,MONTH($D2205),"")</f>
        <v/>
      </c>
      <c r="AO2205" s="86" t="str">
        <f>+IF($AG2205=AO$22,MONTH($D2205),"")</f>
        <v/>
      </c>
      <c r="AP2205" s="86" t="str">
        <f>+IF($AG2205=AP$22,MONTH($D2205),"")</f>
        <v/>
      </c>
      <c r="AQ2205" s="86" t="str">
        <f>+IF($AG2205=AQ$22,MONTH($D2205),"")</f>
        <v/>
      </c>
      <c r="AR2205" s="86">
        <f>+IF($AG2205=AR$22,MONTH($D2205),"")</f>
        <v>3</v>
      </c>
      <c r="AS2205" s="86" t="str">
        <f>+IF($AG2205=AS$22,MONTH($D2205),"")</f>
        <v/>
      </c>
      <c r="AT2205" s="86" t="str">
        <f>+IF($AG2205=AT$22,MONTH($D2205),"")</f>
        <v/>
      </c>
      <c r="AU2205" s="86" t="str">
        <f>+IF($AG2205=AU$22,MONTH($D2205),"")</f>
        <v/>
      </c>
      <c r="AV2205" s="86" t="str">
        <f>+IF($AG2205=AV$22,MONTH($D2205),"")</f>
        <v/>
      </c>
      <c r="AW2205" s="86" t="str">
        <f>+IF($AG2205=AW$22,MONTH($D2205),"")</f>
        <v/>
      </c>
      <c r="AX2205" s="86" t="str">
        <f>+IF($AG2205=AX$22,MONTH($D2205),"")</f>
        <v/>
      </c>
      <c r="AY2205" s="89"/>
      <c r="AZ2205" s="89"/>
      <c r="BA2205" s="89"/>
      <c r="BB2205" s="89"/>
      <c r="BC2205" s="89"/>
      <c r="BD2205" s="89"/>
      <c r="BE2205" s="89"/>
      <c r="BF2205" s="89"/>
      <c r="BG2205" s="89"/>
      <c r="BH2205" s="89"/>
      <c r="BI2205" s="89"/>
      <c r="BJ2205" s="89"/>
      <c r="BK2205" s="89"/>
      <c r="BL2205" s="89"/>
      <c r="BM2205" s="89"/>
      <c r="BN2205" s="89"/>
      <c r="BO2205" s="89"/>
      <c r="BP2205" s="89"/>
    </row>
    <row r="2206" spans="1:68" s="56" customFormat="1" ht="27" hidden="1">
      <c r="A2206" s="204" t="str">
        <f>+IFERROR(VALUE(MID(AB2206,4,4)),"")</f>
        <v/>
      </c>
      <c r="B2206" s="204">
        <f>VALUE(RIGHT(C2206,LEN(C2206)-2))</f>
        <v>519</v>
      </c>
      <c r="C2206" s="74" t="s">
        <v>7551</v>
      </c>
      <c r="D2206" s="75">
        <v>42423</v>
      </c>
      <c r="E2206" s="70" t="s">
        <v>81</v>
      </c>
      <c r="F2206" s="70" t="s">
        <v>3351</v>
      </c>
      <c r="G2206" s="68" t="s">
        <v>7552</v>
      </c>
      <c r="H2206" s="59" t="s">
        <v>7553</v>
      </c>
      <c r="I2206" s="162" t="s">
        <v>7554</v>
      </c>
      <c r="J2206" s="162"/>
      <c r="K2206" s="68" t="s">
        <v>13</v>
      </c>
      <c r="L2206" s="69" t="s">
        <v>120</v>
      </c>
      <c r="M2206" s="71" t="s">
        <v>113</v>
      </c>
      <c r="N2206" s="69" t="e" vm="4">
        <v>#VALUE!</v>
      </c>
      <c r="O2206" s="164">
        <v>42423</v>
      </c>
      <c r="P2206" s="72" t="s">
        <v>402</v>
      </c>
      <c r="Q2206" s="72"/>
      <c r="R2206" s="162"/>
      <c r="S2206" s="146"/>
      <c r="T2206" s="68" t="s">
        <v>165</v>
      </c>
      <c r="U2206" s="87"/>
      <c r="V2206" s="183">
        <v>42480</v>
      </c>
      <c r="W2206" s="73">
        <v>475</v>
      </c>
      <c r="X2206" s="73">
        <f>24995*700/1000000</f>
        <v>17.496500000000001</v>
      </c>
      <c r="Y2206" s="83">
        <f>IF(SUM(W2206:W2206)&gt;0,X2206/SUM(W2206:W2206)*1000000,"N/A")</f>
        <v>36834.736842105267</v>
      </c>
      <c r="Z2206" s="183"/>
      <c r="AA2206" s="183"/>
      <c r="AB2206" s="223"/>
      <c r="AC2206" s="153"/>
      <c r="AD2206" s="331"/>
      <c r="AE2206" s="57"/>
      <c r="AF2206" s="88"/>
      <c r="AG2206" s="182">
        <f>YEAR(D2206)</f>
        <v>2016</v>
      </c>
      <c r="AH2206" s="86" t="str">
        <f>+IF(AE2206=$AJ$22,MONTH(T2206),"")</f>
        <v/>
      </c>
      <c r="AI2206" s="86" t="str">
        <f>+IF(AF2206=$AJ$22,MONTH(U2206),"")</f>
        <v/>
      </c>
      <c r="AJ2206" s="86" t="str">
        <f>+IF(AG2206=$AJ$22,MONTH(V2206),"")</f>
        <v/>
      </c>
      <c r="AK2206" s="86" t="str">
        <f>+IF(AG2206=$AK$22,MONTH(V2206),"")</f>
        <v/>
      </c>
      <c r="AL2206" s="86" t="str">
        <f>+IF(AG2206=$AL$22,MONTH(V2206),"")</f>
        <v/>
      </c>
      <c r="AM2206" s="86" t="str">
        <f>+IF($AG2206=$AM$22,MONTH($D2206),"")</f>
        <v/>
      </c>
      <c r="AN2206" s="89" t="str">
        <f>+IF($AG2206=AN$22,MONTH($D2206),"")</f>
        <v/>
      </c>
      <c r="AO2206" s="86" t="str">
        <f>+IF($AG2206=AO$22,MONTH($D2206),"")</f>
        <v/>
      </c>
      <c r="AP2206" s="86" t="str">
        <f>+IF($AG2206=AP$22,MONTH($D2206),"")</f>
        <v/>
      </c>
      <c r="AQ2206" s="86" t="str">
        <f>+IF($AG2206=AQ$22,MONTH($D2206),"")</f>
        <v/>
      </c>
      <c r="AR2206" s="86">
        <f>+IF($AG2206=AR$22,MONTH($D2206),"")</f>
        <v>2</v>
      </c>
      <c r="AS2206" s="86" t="str">
        <f>+IF($AG2206=AS$22,MONTH($D2206),"")</f>
        <v/>
      </c>
      <c r="AT2206" s="86" t="str">
        <f>+IF($AG2206=AT$22,MONTH($D2206),"")</f>
        <v/>
      </c>
      <c r="AU2206" s="86" t="str">
        <f>+IF($AG2206=AU$22,MONTH($D2206),"")</f>
        <v/>
      </c>
      <c r="AV2206" s="86" t="str">
        <f>+IF($AG2206=AV$22,MONTH($D2206),"")</f>
        <v/>
      </c>
      <c r="AW2206" s="86" t="str">
        <f>+IF($AG2206=AW$22,MONTH($D2206),"")</f>
        <v/>
      </c>
      <c r="AX2206" s="86" t="str">
        <f>+IF($AG2206=AX$22,MONTH($D2206),"")</f>
        <v/>
      </c>
      <c r="AY2206" s="89"/>
      <c r="AZ2206" s="89"/>
      <c r="BA2206" s="89"/>
      <c r="BB2206" s="89"/>
      <c r="BC2206" s="89"/>
      <c r="BD2206" s="89"/>
      <c r="BE2206" s="89"/>
      <c r="BF2206" s="89"/>
      <c r="BG2206" s="89"/>
      <c r="BH2206" s="89"/>
      <c r="BI2206" s="89"/>
      <c r="BJ2206" s="89"/>
      <c r="BK2206" s="89"/>
      <c r="BL2206" s="89"/>
      <c r="BM2206" s="89"/>
      <c r="BN2206" s="89"/>
      <c r="BO2206" s="89"/>
      <c r="BP2206" s="89"/>
    </row>
    <row r="2207" spans="1:68" s="56" customFormat="1" ht="27" hidden="1">
      <c r="A2207" s="204" t="str">
        <f>+IFERROR(VALUE(MID(AB2207,4,4)),"")</f>
        <v/>
      </c>
      <c r="B2207" s="204">
        <f>VALUE(RIGHT(C2207,LEN(C2207)-2))</f>
        <v>518</v>
      </c>
      <c r="C2207" s="74" t="s">
        <v>7555</v>
      </c>
      <c r="D2207" s="75">
        <v>42423</v>
      </c>
      <c r="E2207" s="70" t="s">
        <v>81</v>
      </c>
      <c r="F2207" s="70" t="s">
        <v>3351</v>
      </c>
      <c r="G2207" s="68" t="s">
        <v>7079</v>
      </c>
      <c r="H2207" s="59" t="s">
        <v>7556</v>
      </c>
      <c r="I2207" s="162" t="s">
        <v>7557</v>
      </c>
      <c r="J2207" s="162"/>
      <c r="K2207" s="68" t="s">
        <v>31</v>
      </c>
      <c r="L2207" s="69" t="s">
        <v>120</v>
      </c>
      <c r="M2207" s="71" t="s">
        <v>113</v>
      </c>
      <c r="N2207" s="69" t="e" vm="4">
        <v>#VALUE!</v>
      </c>
      <c r="O2207" s="164">
        <v>42430</v>
      </c>
      <c r="P2207" s="72" t="s">
        <v>402</v>
      </c>
      <c r="Q2207" s="72"/>
      <c r="R2207" s="162"/>
      <c r="S2207" s="146"/>
      <c r="T2207" s="68" t="s">
        <v>3</v>
      </c>
      <c r="U2207" s="87"/>
      <c r="V2207" s="183">
        <v>42480</v>
      </c>
      <c r="W2207" s="73">
        <v>429</v>
      </c>
      <c r="X2207" s="73">
        <f>33788*650/1000000</f>
        <v>21.962199999999999</v>
      </c>
      <c r="Y2207" s="83">
        <f>IF(SUM(W2207:W2207)&gt;0,X2207/SUM(W2207:W2207)*1000000,"N/A")</f>
        <v>51193.939393939392</v>
      </c>
      <c r="Z2207" s="183"/>
      <c r="AA2207" s="183"/>
      <c r="AB2207" s="223"/>
      <c r="AC2207" s="153"/>
      <c r="AD2207" s="331"/>
      <c r="AE2207" s="57"/>
      <c r="AF2207" s="88"/>
      <c r="AG2207" s="182">
        <f>YEAR(D2207)</f>
        <v>2016</v>
      </c>
      <c r="AH2207" s="86" t="str">
        <f>+IF(AE2207=$AJ$22,MONTH(T2207),"")</f>
        <v/>
      </c>
      <c r="AI2207" s="86" t="str">
        <f>+IF(AF2207=$AJ$22,MONTH(U2207),"")</f>
        <v/>
      </c>
      <c r="AJ2207" s="86" t="str">
        <f>+IF(AG2207=$AJ$22,MONTH(V2207),"")</f>
        <v/>
      </c>
      <c r="AK2207" s="86" t="str">
        <f>+IF(AG2207=$AK$22,MONTH(V2207),"")</f>
        <v/>
      </c>
      <c r="AL2207" s="86" t="str">
        <f>+IF(AG2207=$AL$22,MONTH(V2207),"")</f>
        <v/>
      </c>
      <c r="AM2207" s="86" t="str">
        <f>+IF($AG2207=$AM$22,MONTH($D2207),"")</f>
        <v/>
      </c>
      <c r="AN2207" s="89" t="str">
        <f>+IF($AG2207=AN$22,MONTH($D2207),"")</f>
        <v/>
      </c>
      <c r="AO2207" s="86" t="str">
        <f>+IF($AG2207=AO$22,MONTH($D2207),"")</f>
        <v/>
      </c>
      <c r="AP2207" s="86" t="str">
        <f>+IF($AG2207=AP$22,MONTH($D2207),"")</f>
        <v/>
      </c>
      <c r="AQ2207" s="86" t="str">
        <f>+IF($AG2207=AQ$22,MONTH($D2207),"")</f>
        <v/>
      </c>
      <c r="AR2207" s="86">
        <f>+IF($AG2207=AR$22,MONTH($D2207),"")</f>
        <v>2</v>
      </c>
      <c r="AS2207" s="86" t="str">
        <f>+IF($AG2207=AS$22,MONTH($D2207),"")</f>
        <v/>
      </c>
      <c r="AT2207" s="86" t="str">
        <f>+IF($AG2207=AT$22,MONTH($D2207),"")</f>
        <v/>
      </c>
      <c r="AU2207" s="86" t="str">
        <f>+IF($AG2207=AU$22,MONTH($D2207),"")</f>
        <v/>
      </c>
      <c r="AV2207" s="86" t="str">
        <f>+IF($AG2207=AV$22,MONTH($D2207),"")</f>
        <v/>
      </c>
      <c r="AW2207" s="86" t="str">
        <f>+IF($AG2207=AW$22,MONTH($D2207),"")</f>
        <v/>
      </c>
      <c r="AX2207" s="86" t="str">
        <f>+IF($AG2207=AX$22,MONTH($D2207),"")</f>
        <v/>
      </c>
      <c r="AY2207" s="89"/>
      <c r="AZ2207" s="89"/>
      <c r="BA2207" s="89"/>
      <c r="BB2207" s="89"/>
      <c r="BC2207" s="89"/>
      <c r="BD2207" s="89"/>
      <c r="BE2207" s="89"/>
      <c r="BF2207" s="89"/>
      <c r="BG2207" s="89"/>
      <c r="BH2207" s="89"/>
      <c r="BI2207" s="89"/>
      <c r="BJ2207" s="89"/>
      <c r="BK2207" s="89"/>
      <c r="BL2207" s="89"/>
      <c r="BM2207" s="89"/>
      <c r="BN2207" s="89"/>
      <c r="BO2207" s="89"/>
      <c r="BP2207" s="89"/>
    </row>
    <row r="2208" spans="1:68" s="56" customFormat="1" ht="40.5" hidden="1">
      <c r="A2208" s="204" t="str">
        <f>+IFERROR(VALUE(MID(AB2208,4,4)),"")</f>
        <v/>
      </c>
      <c r="B2208" s="204">
        <f>VALUE(RIGHT(C2208,LEN(C2208)-2))</f>
        <v>517</v>
      </c>
      <c r="C2208" s="74" t="s">
        <v>7558</v>
      </c>
      <c r="D2208" s="75">
        <v>42417</v>
      </c>
      <c r="E2208" s="70" t="s">
        <v>394</v>
      </c>
      <c r="F2208" s="70" t="s">
        <v>394</v>
      </c>
      <c r="G2208" s="68" t="s">
        <v>7559</v>
      </c>
      <c r="H2208" s="59" t="s">
        <v>7560</v>
      </c>
      <c r="I2208" s="162" t="s">
        <v>7561</v>
      </c>
      <c r="J2208" s="162"/>
      <c r="K2208" s="68" t="s">
        <v>13</v>
      </c>
      <c r="L2208" s="69" t="s">
        <v>120</v>
      </c>
      <c r="M2208" s="71" t="s">
        <v>141</v>
      </c>
      <c r="N2208" s="69" t="e" vm="1">
        <v>#VALUE!</v>
      </c>
      <c r="O2208" s="164">
        <v>42423</v>
      </c>
      <c r="P2208" s="72" t="s">
        <v>402</v>
      </c>
      <c r="Q2208" s="72"/>
      <c r="R2208" s="162"/>
      <c r="S2208" s="146" t="s">
        <v>7479</v>
      </c>
      <c r="T2208" s="68" t="s">
        <v>165</v>
      </c>
      <c r="U2208" s="87">
        <v>0.01</v>
      </c>
      <c r="V2208" s="183">
        <v>42480</v>
      </c>
      <c r="W2208" s="73">
        <v>4987</v>
      </c>
      <c r="X2208" s="73">
        <f>5899*25700/1000000</f>
        <v>151.60429999999999</v>
      </c>
      <c r="Y2208" s="83">
        <f>IF(SUM(W2208:W2208)&gt;0,X2208/SUM(W2208:W2208)*1000000,"N/A")</f>
        <v>30399.899739322238</v>
      </c>
      <c r="Z2208" s="183"/>
      <c r="AA2208" s="183"/>
      <c r="AB2208" s="223"/>
      <c r="AC2208" s="153"/>
      <c r="AD2208" s="331"/>
      <c r="AE2208" s="57"/>
      <c r="AF2208" s="88"/>
      <c r="AG2208" s="182">
        <f>YEAR(D2208)</f>
        <v>2016</v>
      </c>
      <c r="AH2208" s="86" t="str">
        <f>+IF(AE2208=$AJ$22,MONTH(T2208),"")</f>
        <v/>
      </c>
      <c r="AI2208" s="86" t="str">
        <f>+IF(AF2208=$AJ$22,MONTH(U2208),"")</f>
        <v/>
      </c>
      <c r="AJ2208" s="86" t="str">
        <f>+IF(AG2208=$AJ$22,MONTH(V2208),"")</f>
        <v/>
      </c>
      <c r="AK2208" s="86" t="str">
        <f>+IF(AG2208=$AK$22,MONTH(V2208),"")</f>
        <v/>
      </c>
      <c r="AL2208" s="86" t="str">
        <f>+IF(AG2208=$AL$22,MONTH(V2208),"")</f>
        <v/>
      </c>
      <c r="AM2208" s="86" t="str">
        <f>+IF($AG2208=$AM$22,MONTH($D2208),"")</f>
        <v/>
      </c>
      <c r="AN2208" s="89" t="str">
        <f>+IF($AG2208=AN$22,MONTH($D2208),"")</f>
        <v/>
      </c>
      <c r="AO2208" s="86" t="str">
        <f>+IF($AG2208=AO$22,MONTH($D2208),"")</f>
        <v/>
      </c>
      <c r="AP2208" s="86" t="str">
        <f>+IF($AG2208=AP$22,MONTH($D2208),"")</f>
        <v/>
      </c>
      <c r="AQ2208" s="86" t="str">
        <f>+IF($AG2208=AQ$22,MONTH($D2208),"")</f>
        <v/>
      </c>
      <c r="AR2208" s="86">
        <f>+IF($AG2208=AR$22,MONTH($D2208),"")</f>
        <v>2</v>
      </c>
      <c r="AS2208" s="86" t="str">
        <f>+IF($AG2208=AS$22,MONTH($D2208),"")</f>
        <v/>
      </c>
      <c r="AT2208" s="86" t="str">
        <f>+IF($AG2208=AT$22,MONTH($D2208),"")</f>
        <v/>
      </c>
      <c r="AU2208" s="86" t="str">
        <f>+IF($AG2208=AU$22,MONTH($D2208),"")</f>
        <v/>
      </c>
      <c r="AV2208" s="86" t="str">
        <f>+IF($AG2208=AV$22,MONTH($D2208),"")</f>
        <v/>
      </c>
      <c r="AW2208" s="86" t="str">
        <f>+IF(AU2208=$AM$22,MONTH(O2208),"")</f>
        <v/>
      </c>
      <c r="AX2208" s="86" t="str">
        <f>+IF(AV2208=$AM$22,MONTH(P2208),"")</f>
        <v/>
      </c>
      <c r="AY2208" s="182"/>
      <c r="AZ2208" s="2"/>
      <c r="BA2208" s="2"/>
      <c r="BB2208" s="2">
        <v>80</v>
      </c>
      <c r="BC2208" s="2"/>
      <c r="BD2208" s="2"/>
      <c r="BE2208" s="2"/>
      <c r="BF2208" s="2"/>
      <c r="BG2208" s="2"/>
      <c r="BH2208" s="2"/>
      <c r="BI2208" s="2"/>
      <c r="BJ2208" s="89"/>
      <c r="BK2208" s="89"/>
      <c r="BL2208" s="89"/>
      <c r="BM2208" s="89"/>
      <c r="BN2208" s="89"/>
      <c r="BO2208" s="89"/>
      <c r="BP2208" s="89"/>
    </row>
    <row r="2209" spans="1:68" s="56" customFormat="1" ht="27" hidden="1">
      <c r="A2209" s="204">
        <f>+IFERROR(VALUE(MID(AB2209,4,4)),"")</f>
        <v>113</v>
      </c>
      <c r="B2209" s="204">
        <f>VALUE(RIGHT(C2209,LEN(C2209)-2))</f>
        <v>516</v>
      </c>
      <c r="C2209" s="74" t="s">
        <v>7562</v>
      </c>
      <c r="D2209" s="75">
        <v>42412</v>
      </c>
      <c r="E2209" s="70" t="s">
        <v>332</v>
      </c>
      <c r="F2209" s="70" t="s">
        <v>332</v>
      </c>
      <c r="G2209" s="68" t="s">
        <v>285</v>
      </c>
      <c r="H2209" s="59" t="s">
        <v>7401</v>
      </c>
      <c r="I2209" s="162" t="s">
        <v>7563</v>
      </c>
      <c r="J2209" s="162"/>
      <c r="K2209" s="68" t="s">
        <v>13</v>
      </c>
      <c r="L2209" s="69" t="s">
        <v>120</v>
      </c>
      <c r="M2209" s="71" t="s">
        <v>141</v>
      </c>
      <c r="N2209" s="69" t="e" vm="1">
        <v>#VALUE!</v>
      </c>
      <c r="O2209" s="164">
        <v>42416</v>
      </c>
      <c r="P2209" s="72" t="s">
        <v>4567</v>
      </c>
      <c r="Q2209" s="72"/>
      <c r="R2209" s="162"/>
      <c r="S2209" s="146"/>
      <c r="T2209" s="68" t="s">
        <v>3</v>
      </c>
      <c r="U2209" s="87"/>
      <c r="V2209" s="183">
        <v>42480</v>
      </c>
      <c r="W2209" s="73">
        <v>358</v>
      </c>
      <c r="X2209" s="73">
        <f>25600*455/1000000</f>
        <v>11.648</v>
      </c>
      <c r="Y2209" s="83">
        <f>IF(SUM(W2209:W2209)&gt;0,X2209/SUM(W2209:W2209)*1000000,"N/A")</f>
        <v>32536.312849162008</v>
      </c>
      <c r="Z2209" s="183"/>
      <c r="AA2209" s="183"/>
      <c r="AB2209" s="223" t="s">
        <v>7564</v>
      </c>
      <c r="AC2209" s="153"/>
      <c r="AD2209" s="331"/>
      <c r="AE2209" s="57"/>
      <c r="AF2209" s="88"/>
      <c r="AG2209" s="182">
        <f>YEAR(D2209)</f>
        <v>2016</v>
      </c>
      <c r="AH2209" s="86" t="str">
        <f>+IF(AE2209=$AJ$22,MONTH(T2209),"")</f>
        <v/>
      </c>
      <c r="AI2209" s="86" t="str">
        <f>+IF(AF2209=$AJ$22,MONTH(U2209),"")</f>
        <v/>
      </c>
      <c r="AJ2209" s="86" t="str">
        <f>+IF(AG2209=$AJ$22,MONTH(V2209),"")</f>
        <v/>
      </c>
      <c r="AK2209" s="86" t="str">
        <f>+IF(AG2209=$AK$22,MONTH(V2209),"")</f>
        <v/>
      </c>
      <c r="AL2209" s="86" t="str">
        <f>+IF(AG2209=$AL$22,MONTH(V2209),"")</f>
        <v/>
      </c>
      <c r="AM2209" s="86" t="str">
        <f>+IF($AG2209=$AM$22,MONTH($D2209),"")</f>
        <v/>
      </c>
      <c r="AN2209" s="89" t="str">
        <f>+IF($AG2209=AN$22,MONTH($D2209),"")</f>
        <v/>
      </c>
      <c r="AO2209" s="86" t="str">
        <f>+IF($AG2209=AO$22,MONTH($D2209),"")</f>
        <v/>
      </c>
      <c r="AP2209" s="86" t="str">
        <f>+IF($AG2209=AP$22,MONTH($D2209),"")</f>
        <v/>
      </c>
      <c r="AQ2209" s="86" t="str">
        <f>+IF($AG2209=AQ$22,MONTH($D2209),"")</f>
        <v/>
      </c>
      <c r="AR2209" s="86">
        <f>+IF($AG2209=AR$22,MONTH($D2209),"")</f>
        <v>2</v>
      </c>
      <c r="AS2209" s="86" t="str">
        <f>+IF($AG2209=AS$22,MONTH($D2209),"")</f>
        <v/>
      </c>
      <c r="AT2209" s="86" t="str">
        <f>+IF($AG2209=AT$22,MONTH($D2209),"")</f>
        <v/>
      </c>
      <c r="AU2209" s="86" t="str">
        <f>+IF($AG2209=AU$22,MONTH($D2209),"")</f>
        <v/>
      </c>
      <c r="AV2209" s="86" t="str">
        <f>+IF($AG2209=AV$22,MONTH($D2209),"")</f>
        <v/>
      </c>
      <c r="AW2209" s="86" t="str">
        <f>+IF($AG2209=AW$22,MONTH($D2209),"")</f>
        <v/>
      </c>
      <c r="AX2209" s="86" t="str">
        <f>+IF($AG2209=AX$22,MONTH($D2209),"")</f>
        <v/>
      </c>
      <c r="AY2209" s="89"/>
      <c r="AZ2209" s="89"/>
      <c r="BA2209" s="89"/>
      <c r="BB2209" s="89"/>
      <c r="BC2209" s="89"/>
      <c r="BD2209" s="89"/>
      <c r="BE2209" s="89"/>
      <c r="BF2209" s="89"/>
      <c r="BG2209" s="89"/>
      <c r="BH2209" s="89"/>
      <c r="BI2209" s="89"/>
      <c r="BJ2209" s="89"/>
      <c r="BK2209" s="89"/>
      <c r="BL2209" s="89"/>
      <c r="BM2209" s="89"/>
      <c r="BN2209" s="89"/>
      <c r="BO2209" s="89"/>
      <c r="BP2209" s="89"/>
    </row>
    <row r="2210" spans="1:68" s="56" customFormat="1" ht="27" hidden="1">
      <c r="A2210" s="204">
        <f>+IFERROR(VALUE(MID(AB2210,4,4)),"")</f>
        <v>113</v>
      </c>
      <c r="B2210" s="204">
        <f>VALUE(RIGHT(C2210,LEN(C2210)-2))</f>
        <v>515</v>
      </c>
      <c r="C2210" s="74" t="s">
        <v>7565</v>
      </c>
      <c r="D2210" s="75">
        <v>42412</v>
      </c>
      <c r="E2210" s="70" t="s">
        <v>332</v>
      </c>
      <c r="F2210" s="70" t="s">
        <v>332</v>
      </c>
      <c r="G2210" s="68" t="s">
        <v>285</v>
      </c>
      <c r="H2210" s="59" t="s">
        <v>7401</v>
      </c>
      <c r="I2210" s="162" t="s">
        <v>7566</v>
      </c>
      <c r="J2210" s="162"/>
      <c r="K2210" s="68" t="s">
        <v>13</v>
      </c>
      <c r="L2210" s="69" t="s">
        <v>120</v>
      </c>
      <c r="M2210" s="71" t="s">
        <v>141</v>
      </c>
      <c r="N2210" s="69" t="e" vm="1">
        <v>#VALUE!</v>
      </c>
      <c r="O2210" s="164">
        <v>42416</v>
      </c>
      <c r="P2210" s="72" t="s">
        <v>4567</v>
      </c>
      <c r="Q2210" s="72"/>
      <c r="R2210" s="162"/>
      <c r="S2210" s="146"/>
      <c r="T2210" s="68" t="s">
        <v>3</v>
      </c>
      <c r="U2210" s="87"/>
      <c r="V2210" s="183">
        <v>42480</v>
      </c>
      <c r="W2210" s="73">
        <v>1386</v>
      </c>
      <c r="X2210" s="73">
        <f>25600*1712/1000000</f>
        <v>43.827199999999998</v>
      </c>
      <c r="Y2210" s="83">
        <f>IF(SUM(W2210:W2210)&gt;0,X2210/SUM(W2210:W2210)*1000000,"N/A")</f>
        <v>31621.356421356417</v>
      </c>
      <c r="Z2210" s="183"/>
      <c r="AA2210" s="183"/>
      <c r="AB2210" s="223" t="s">
        <v>7567</v>
      </c>
      <c r="AC2210" s="153"/>
      <c r="AD2210" s="331"/>
      <c r="AE2210" s="57"/>
      <c r="AF2210" s="88"/>
      <c r="AG2210" s="182">
        <f>YEAR(D2210)</f>
        <v>2016</v>
      </c>
      <c r="AH2210" s="86" t="str">
        <f>+IF(AE2210=$AJ$22,MONTH(T2210),"")</f>
        <v/>
      </c>
      <c r="AI2210" s="86" t="str">
        <f>+IF(AF2210=$AJ$22,MONTH(U2210),"")</f>
        <v/>
      </c>
      <c r="AJ2210" s="86" t="str">
        <f>+IF(AG2210=$AJ$22,MONTH(V2210),"")</f>
        <v/>
      </c>
      <c r="AK2210" s="86" t="str">
        <f>+IF(AG2210=$AK$22,MONTH(V2210),"")</f>
        <v/>
      </c>
      <c r="AL2210" s="86" t="str">
        <f>+IF(AG2210=$AL$22,MONTH(V2210),"")</f>
        <v/>
      </c>
      <c r="AM2210" s="86" t="str">
        <f>+IF($AG2210=$AM$22,MONTH($D2210),"")</f>
        <v/>
      </c>
      <c r="AN2210" s="89" t="str">
        <f>+IF($AG2210=AN$22,MONTH($D2210),"")</f>
        <v/>
      </c>
      <c r="AO2210" s="86" t="str">
        <f>+IF($AG2210=AO$22,MONTH($D2210),"")</f>
        <v/>
      </c>
      <c r="AP2210" s="86" t="str">
        <f>+IF($AG2210=AP$22,MONTH($D2210),"")</f>
        <v/>
      </c>
      <c r="AQ2210" s="86" t="str">
        <f>+IF($AG2210=AQ$22,MONTH($D2210),"")</f>
        <v/>
      </c>
      <c r="AR2210" s="86">
        <f>+IF($AG2210=AR$22,MONTH($D2210),"")</f>
        <v>2</v>
      </c>
      <c r="AS2210" s="86" t="str">
        <f>+IF($AG2210=AS$22,MONTH($D2210),"")</f>
        <v/>
      </c>
      <c r="AT2210" s="86" t="str">
        <f>+IF($AG2210=AT$22,MONTH($D2210),"")</f>
        <v/>
      </c>
      <c r="AU2210" s="86" t="str">
        <f>+IF($AG2210=AU$22,MONTH($D2210),"")</f>
        <v/>
      </c>
      <c r="AV2210" s="86" t="str">
        <f>+IF($AG2210=AV$22,MONTH($D2210),"")</f>
        <v/>
      </c>
      <c r="AW2210" s="86" t="str">
        <f>+IF($AG2210=AW$22,MONTH($D2210),"")</f>
        <v/>
      </c>
      <c r="AX2210" s="86" t="str">
        <f>+IF($AG2210=AX$22,MONTH($D2210),"")</f>
        <v/>
      </c>
      <c r="AY2210" s="89"/>
      <c r="AZ2210" s="89"/>
      <c r="BA2210" s="89"/>
      <c r="BB2210" s="89"/>
      <c r="BC2210" s="89"/>
      <c r="BD2210" s="89"/>
      <c r="BE2210" s="89"/>
      <c r="BF2210" s="89"/>
      <c r="BG2210" s="89"/>
      <c r="BH2210" s="89"/>
      <c r="BI2210" s="89"/>
      <c r="BJ2210" s="89"/>
      <c r="BK2210" s="89"/>
      <c r="BL2210" s="89"/>
      <c r="BM2210" s="89"/>
      <c r="BN2210" s="89"/>
      <c r="BO2210" s="89"/>
      <c r="BP2210" s="89"/>
    </row>
    <row r="2211" spans="1:68" s="52" customFormat="1" ht="27" hidden="1">
      <c r="A2211" s="204">
        <f>+IFERROR(VALUE(MID(AB2211,4,4)),"")</f>
        <v>113</v>
      </c>
      <c r="B2211" s="204">
        <f>VALUE(RIGHT(C2211,LEN(C2211)-2))</f>
        <v>514</v>
      </c>
      <c r="C2211" s="219" t="s">
        <v>7568</v>
      </c>
      <c r="D2211" s="220">
        <v>42412</v>
      </c>
      <c r="E2211" s="181" t="s">
        <v>332</v>
      </c>
      <c r="F2211" s="70" t="s">
        <v>332</v>
      </c>
      <c r="G2211" s="68" t="s">
        <v>285</v>
      </c>
      <c r="H2211" s="67" t="s">
        <v>7401</v>
      </c>
      <c r="I2211" s="163" t="s">
        <v>7569</v>
      </c>
      <c r="J2211" s="163"/>
      <c r="K2211" s="71" t="s">
        <v>13</v>
      </c>
      <c r="L2211" s="71" t="s">
        <v>120</v>
      </c>
      <c r="M2211" s="71" t="s">
        <v>141</v>
      </c>
      <c r="N2211" s="68" t="e" vm="1">
        <v>#VALUE!</v>
      </c>
      <c r="O2211" s="264">
        <v>42416</v>
      </c>
      <c r="P2211" s="221" t="s">
        <v>4567</v>
      </c>
      <c r="Q2211" s="221"/>
      <c r="R2211" s="163"/>
      <c r="S2211" s="222" t="s">
        <v>7570</v>
      </c>
      <c r="T2211" s="68" t="s">
        <v>3</v>
      </c>
      <c r="U2211" s="87"/>
      <c r="V2211" s="183">
        <v>42480</v>
      </c>
      <c r="W2211" s="223">
        <v>399</v>
      </c>
      <c r="X2211" s="223">
        <f>25600*513/1000000</f>
        <v>13.1328</v>
      </c>
      <c r="Y2211" s="73">
        <f>IF(SUM(W2211:W2211)&gt;0,X2211/SUM(W2211:W2211)*1000000,"N/A")</f>
        <v>32914.285714285717</v>
      </c>
      <c r="Z2211" s="270"/>
      <c r="AA2211" s="270"/>
      <c r="AB2211" s="223" t="s">
        <v>7571</v>
      </c>
      <c r="AC2211" s="224"/>
      <c r="AD2211" s="336"/>
      <c r="AE2211" s="65"/>
      <c r="AF2211" s="225"/>
      <c r="AG2211" s="182">
        <f>YEAR(D2211)</f>
        <v>2016</v>
      </c>
      <c r="AH2211" s="86" t="str">
        <f>+IF(AE2211=$AJ$22,MONTH(T2211),"")</f>
        <v/>
      </c>
      <c r="AI2211" s="86" t="str">
        <f>+IF(AF2211=$AJ$22,MONTH(U2211),"")</f>
        <v/>
      </c>
      <c r="AJ2211" s="86" t="str">
        <f>+IF(AG2211=$AJ$22,MONTH(V2211),"")</f>
        <v/>
      </c>
      <c r="AK2211" s="86" t="str">
        <f>+IF(AG2211=$AK$22,MONTH(V2211),"")</f>
        <v/>
      </c>
      <c r="AL2211" s="86" t="str">
        <f>+IF(AG2211=$AL$22,MONTH(V2211),"")</f>
        <v/>
      </c>
      <c r="AM2211" s="86" t="str">
        <f>+IF($AG2211=$AM$22,MONTH($D2211),"")</f>
        <v/>
      </c>
      <c r="AN2211" s="89" t="str">
        <f>+IF($AG2211=AN$22,MONTH($D2211),"")</f>
        <v/>
      </c>
      <c r="AO2211" s="86" t="str">
        <f>+IF($AG2211=AO$22,MONTH($D2211),"")</f>
        <v/>
      </c>
      <c r="AP2211" s="86" t="str">
        <f>+IF($AG2211=AP$22,MONTH($D2211),"")</f>
        <v/>
      </c>
      <c r="AQ2211" s="86" t="str">
        <f>+IF($AG2211=AQ$22,MONTH($D2211),"")</f>
        <v/>
      </c>
      <c r="AR2211" s="86">
        <f>+IF($AG2211=AR$22,MONTH($D2211),"")</f>
        <v>2</v>
      </c>
      <c r="AS2211" s="86" t="str">
        <f>+IF($AG2211=AS$22,MONTH($D2211),"")</f>
        <v/>
      </c>
      <c r="AT2211" s="86" t="str">
        <f>+IF($AG2211=AT$22,MONTH($D2211),"")</f>
        <v/>
      </c>
      <c r="AU2211" s="86" t="str">
        <f>+IF($AG2211=AU$22,MONTH($D2211),"")</f>
        <v/>
      </c>
      <c r="AV2211" s="86" t="str">
        <f>+IF($AG2211=AV$22,MONTH($D2211),"")</f>
        <v/>
      </c>
      <c r="AW2211" s="86" t="str">
        <f>+IF($AG2211=AW$22,MONTH($D2211),"")</f>
        <v/>
      </c>
      <c r="AX2211" s="86" t="str">
        <f>+IF($AG2211=AX$22,MONTH($D2211),"")</f>
        <v/>
      </c>
      <c r="AY2211" s="89"/>
      <c r="AZ2211" s="89"/>
      <c r="BA2211" s="89"/>
      <c r="BB2211" s="89"/>
      <c r="BC2211" s="89"/>
      <c r="BD2211" s="89"/>
      <c r="BE2211" s="89"/>
      <c r="BF2211" s="89"/>
      <c r="BG2211" s="89"/>
      <c r="BH2211" s="89"/>
      <c r="BI2211" s="89"/>
      <c r="BJ2211" s="2"/>
      <c r="BK2211" s="2"/>
      <c r="BL2211" s="2"/>
      <c r="BM2211" s="2"/>
      <c r="BN2211" s="2"/>
      <c r="BO2211" s="2"/>
      <c r="BP2211" s="2"/>
    </row>
    <row r="2212" spans="1:68" s="56" customFormat="1" ht="13.5" hidden="1">
      <c r="A2212" s="204" t="str">
        <f>+IFERROR(VALUE(MID(AB2212,4,4)),"")</f>
        <v/>
      </c>
      <c r="B2212" s="204">
        <f>VALUE(RIGHT(C2212,LEN(C2212)-2))</f>
        <v>513</v>
      </c>
      <c r="C2212" s="74" t="s">
        <v>7572</v>
      </c>
      <c r="D2212" s="75">
        <v>42408</v>
      </c>
      <c r="E2212" s="70" t="s">
        <v>332</v>
      </c>
      <c r="F2212" s="70" t="s">
        <v>332</v>
      </c>
      <c r="G2212" s="68" t="s">
        <v>285</v>
      </c>
      <c r="H2212" s="59" t="s">
        <v>7401</v>
      </c>
      <c r="I2212" s="162" t="s">
        <v>7573</v>
      </c>
      <c r="J2212" s="162"/>
      <c r="K2212" s="68" t="s">
        <v>13</v>
      </c>
      <c r="L2212" s="69" t="s">
        <v>120</v>
      </c>
      <c r="M2212" s="71" t="s">
        <v>141</v>
      </c>
      <c r="N2212" s="69" t="e" vm="1">
        <v>#VALUE!</v>
      </c>
      <c r="O2212" s="164"/>
      <c r="P2212" s="72" t="s">
        <v>4567</v>
      </c>
      <c r="Q2212" s="72"/>
      <c r="R2212" s="162"/>
      <c r="S2212" s="146" t="s">
        <v>7296</v>
      </c>
      <c r="T2212" s="68" t="s">
        <v>155</v>
      </c>
      <c r="U2212" s="87"/>
      <c r="V2212" s="183">
        <v>42480</v>
      </c>
      <c r="W2212" s="73"/>
      <c r="X2212" s="73"/>
      <c r="Y2212" s="83"/>
      <c r="Z2212" s="183"/>
      <c r="AA2212" s="183"/>
      <c r="AB2212" s="223"/>
      <c r="AC2212" s="153"/>
      <c r="AD2212" s="331"/>
      <c r="AE2212" s="57"/>
      <c r="AF2212" s="88"/>
      <c r="AG2212" s="182">
        <f>YEAR(D2212)</f>
        <v>2016</v>
      </c>
      <c r="AH2212" s="86" t="str">
        <f>+IF(AE2212=$AJ$22,MONTH(T2212),"")</f>
        <v/>
      </c>
      <c r="AI2212" s="86" t="str">
        <f>+IF(AF2212=$AJ$22,MONTH(U2212),"")</f>
        <v/>
      </c>
      <c r="AJ2212" s="86" t="str">
        <f>+IF(AG2212=$AJ$22,MONTH(V2212),"")</f>
        <v/>
      </c>
      <c r="AK2212" s="86" t="str">
        <f>+IF(AG2212=$AK$22,MONTH(V2212),"")</f>
        <v/>
      </c>
      <c r="AL2212" s="86" t="str">
        <f>+IF(AG2212=$AL$22,MONTH(V2212),"")</f>
        <v/>
      </c>
      <c r="AM2212" s="86" t="str">
        <f>+IF($AG2212=$AM$22,MONTH($D2212),"")</f>
        <v/>
      </c>
      <c r="AN2212" s="89" t="str">
        <f>+IF($AG2212=AN$22,MONTH($D2212),"")</f>
        <v/>
      </c>
      <c r="AO2212" s="86" t="str">
        <f>+IF($AG2212=AO$22,MONTH($D2212),"")</f>
        <v/>
      </c>
      <c r="AP2212" s="86" t="str">
        <f>+IF($AG2212=AP$22,MONTH($D2212),"")</f>
        <v/>
      </c>
      <c r="AQ2212" s="86" t="str">
        <f>+IF($AG2212=AQ$22,MONTH($D2212),"")</f>
        <v/>
      </c>
      <c r="AR2212" s="86">
        <f>+IF($AG2212=AR$22,MONTH($D2212),"")</f>
        <v>2</v>
      </c>
      <c r="AS2212" s="86" t="str">
        <f>+IF($AG2212=AS$22,MONTH($D2212),"")</f>
        <v/>
      </c>
      <c r="AT2212" s="86" t="str">
        <f>+IF($AG2212=AT$22,MONTH($D2212),"")</f>
        <v/>
      </c>
      <c r="AU2212" s="86" t="str">
        <f>+IF($AG2212=AU$22,MONTH($D2212),"")</f>
        <v/>
      </c>
      <c r="AV2212" s="86" t="str">
        <f>+IF($AG2212=AV$22,MONTH($D2212),"")</f>
        <v/>
      </c>
      <c r="AW2212" s="86" t="str">
        <f>+IF($AG2212=AW$22,MONTH($D2212),"")</f>
        <v/>
      </c>
      <c r="AX2212" s="86" t="str">
        <f>+IF($AG2212=AX$22,MONTH($D2212),"")</f>
        <v/>
      </c>
      <c r="AY2212" s="89"/>
      <c r="AZ2212" s="89"/>
      <c r="BA2212" s="89"/>
      <c r="BB2212" s="89"/>
      <c r="BC2212" s="89"/>
      <c r="BD2212" s="89"/>
      <c r="BE2212" s="89"/>
      <c r="BF2212" s="89"/>
      <c r="BG2212" s="89"/>
      <c r="BH2212" s="89"/>
      <c r="BI2212" s="89"/>
      <c r="BJ2212" s="89"/>
      <c r="BK2212" s="89"/>
      <c r="BL2212" s="89"/>
      <c r="BM2212" s="89"/>
      <c r="BN2212" s="89"/>
      <c r="BO2212" s="89"/>
      <c r="BP2212" s="89"/>
    </row>
    <row r="2213" spans="1:68" s="56" customFormat="1" ht="27" hidden="1">
      <c r="A2213" s="204">
        <f>+IFERROR(VALUE(MID(AB2213,4,4)),"")</f>
        <v>113</v>
      </c>
      <c r="B2213" s="204">
        <f>VALUE(RIGHT(C2213,LEN(C2213)-2))</f>
        <v>512</v>
      </c>
      <c r="C2213" s="74" t="s">
        <v>7574</v>
      </c>
      <c r="D2213" s="75">
        <v>42405</v>
      </c>
      <c r="E2213" s="70" t="s">
        <v>332</v>
      </c>
      <c r="F2213" s="70" t="s">
        <v>332</v>
      </c>
      <c r="G2213" s="68" t="s">
        <v>285</v>
      </c>
      <c r="H2213" s="59" t="s">
        <v>7401</v>
      </c>
      <c r="I2213" s="162" t="s">
        <v>7575</v>
      </c>
      <c r="J2213" s="162"/>
      <c r="K2213" s="68" t="s">
        <v>12</v>
      </c>
      <c r="L2213" s="69" t="s">
        <v>120</v>
      </c>
      <c r="M2213" s="71" t="s">
        <v>141</v>
      </c>
      <c r="N2213" s="69" t="e" vm="1">
        <v>#VALUE!</v>
      </c>
      <c r="O2213" s="164">
        <v>42405</v>
      </c>
      <c r="P2213" s="72" t="s">
        <v>402</v>
      </c>
      <c r="Q2213" s="72"/>
      <c r="R2213" s="162"/>
      <c r="S2213" s="146"/>
      <c r="T2213" s="68" t="s">
        <v>3</v>
      </c>
      <c r="U2213" s="87"/>
      <c r="V2213" s="183">
        <v>42410</v>
      </c>
      <c r="W2213" s="73">
        <v>547</v>
      </c>
      <c r="X2213" s="73">
        <f>24600*770/1000000</f>
        <v>18.942</v>
      </c>
      <c r="Y2213" s="83">
        <f>IF(SUM(W2213:W2213)&gt;0,X2213/SUM(W2213:W2213)*1000000,"N/A")</f>
        <v>34628.884826325411</v>
      </c>
      <c r="Z2213" s="183"/>
      <c r="AA2213" s="183"/>
      <c r="AB2213" s="223" t="s">
        <v>7576</v>
      </c>
      <c r="AC2213" s="153"/>
      <c r="AD2213" s="331"/>
      <c r="AE2213" s="57"/>
      <c r="AF2213" s="88"/>
      <c r="AG2213" s="182">
        <f>YEAR(D2213)</f>
        <v>2016</v>
      </c>
      <c r="AH2213" s="86" t="str">
        <f>+IF(AE2213=$AJ$22,MONTH(T2213),"")</f>
        <v/>
      </c>
      <c r="AI2213" s="86" t="str">
        <f>+IF(AF2213=$AJ$22,MONTH(U2213),"")</f>
        <v/>
      </c>
      <c r="AJ2213" s="86" t="str">
        <f>+IF(AG2213=$AJ$22,MONTH(V2213),"")</f>
        <v/>
      </c>
      <c r="AK2213" s="86" t="str">
        <f>+IF(AG2213=$AK$22,MONTH(V2213),"")</f>
        <v/>
      </c>
      <c r="AL2213" s="86" t="str">
        <f>+IF(AG2213=$AL$22,MONTH(V2213),"")</f>
        <v/>
      </c>
      <c r="AM2213" s="86" t="str">
        <f>+IF($AG2213=$AM$22,MONTH($D2213),"")</f>
        <v/>
      </c>
      <c r="AN2213" s="89" t="str">
        <f>+IF($AG2213=AN$22,MONTH($D2213),"")</f>
        <v/>
      </c>
      <c r="AO2213" s="86" t="str">
        <f>+IF($AG2213=AO$22,MONTH($D2213),"")</f>
        <v/>
      </c>
      <c r="AP2213" s="86" t="str">
        <f>+IF($AG2213=AP$22,MONTH($D2213),"")</f>
        <v/>
      </c>
      <c r="AQ2213" s="86" t="str">
        <f>+IF($AG2213=AQ$22,MONTH($D2213),"")</f>
        <v/>
      </c>
      <c r="AR2213" s="86">
        <f>+IF($AG2213=AR$22,MONTH($D2213),"")</f>
        <v>2</v>
      </c>
      <c r="AS2213" s="86" t="str">
        <f>+IF($AG2213=AS$22,MONTH($D2213),"")</f>
        <v/>
      </c>
      <c r="AT2213" s="86" t="str">
        <f>+IF($AG2213=AT$22,MONTH($D2213),"")</f>
        <v/>
      </c>
      <c r="AU2213" s="86" t="str">
        <f>+IF($AG2213=AU$22,MONTH($D2213),"")</f>
        <v/>
      </c>
      <c r="AV2213" s="86" t="str">
        <f>+IF($AG2213=AV$22,MONTH($D2213),"")</f>
        <v/>
      </c>
      <c r="AW2213" s="86" t="str">
        <f>+IF($AG2213=AW$22,MONTH($D2213),"")</f>
        <v/>
      </c>
      <c r="AX2213" s="86" t="str">
        <f>+IF($AG2213=AX$22,MONTH($D2213),"")</f>
        <v/>
      </c>
      <c r="AY2213" s="89"/>
      <c r="AZ2213" s="89"/>
      <c r="BA2213" s="89"/>
      <c r="BB2213" s="89"/>
      <c r="BC2213" s="89"/>
      <c r="BD2213" s="89"/>
      <c r="BE2213" s="89"/>
      <c r="BF2213" s="89"/>
      <c r="BG2213" s="89"/>
      <c r="BH2213" s="89"/>
      <c r="BI2213" s="89"/>
      <c r="BJ2213" s="89"/>
      <c r="BK2213" s="89"/>
      <c r="BL2213" s="89"/>
      <c r="BM2213" s="89"/>
      <c r="BN2213" s="89"/>
      <c r="BO2213" s="89"/>
      <c r="BP2213" s="89"/>
    </row>
    <row r="2214" spans="1:68" s="56" customFormat="1" ht="27" hidden="1">
      <c r="A2214" s="204">
        <f>+IFERROR(VALUE(MID(AB2214,4,4)),"")</f>
        <v>130</v>
      </c>
      <c r="B2214" s="204">
        <f>VALUE(RIGHT(C2214,LEN(C2214)-2))</f>
        <v>511</v>
      </c>
      <c r="C2214" s="74" t="s">
        <v>7577</v>
      </c>
      <c r="D2214" s="75">
        <v>42404</v>
      </c>
      <c r="E2214" s="70" t="s">
        <v>7520</v>
      </c>
      <c r="F2214" s="70" t="s">
        <v>7520</v>
      </c>
      <c r="G2214" s="68" t="s">
        <v>7521</v>
      </c>
      <c r="H2214" s="59" t="s">
        <v>7578</v>
      </c>
      <c r="I2214" s="162" t="s">
        <v>7579</v>
      </c>
      <c r="J2214" s="162"/>
      <c r="K2214" s="68" t="s">
        <v>12</v>
      </c>
      <c r="L2214" s="69" t="s">
        <v>120</v>
      </c>
      <c r="M2214" s="71" t="s">
        <v>141</v>
      </c>
      <c r="N2214" s="69" t="e" vm="1">
        <v>#VALUE!</v>
      </c>
      <c r="O2214" s="164">
        <v>42404</v>
      </c>
      <c r="P2214" s="72" t="s">
        <v>402</v>
      </c>
      <c r="Q2214" s="72"/>
      <c r="R2214" s="162"/>
      <c r="S2214" s="146"/>
      <c r="T2214" s="68" t="s">
        <v>3</v>
      </c>
      <c r="U2214" s="87"/>
      <c r="V2214" s="183">
        <v>42405</v>
      </c>
      <c r="W2214" s="73">
        <v>125</v>
      </c>
      <c r="X2214" s="73">
        <f>265*24600/1000000</f>
        <v>6.5190000000000001</v>
      </c>
      <c r="Y2214" s="83">
        <f>IF(SUM(W2214:W2214)&gt;0,X2214/SUM(W2214:W2214)*1000000,"N/A")</f>
        <v>52152.000000000007</v>
      </c>
      <c r="Z2214" s="183"/>
      <c r="AA2214" s="183"/>
      <c r="AB2214" s="223" t="s">
        <v>7580</v>
      </c>
      <c r="AC2214" s="153"/>
      <c r="AD2214" s="331"/>
      <c r="AE2214" s="57"/>
      <c r="AF2214" s="88"/>
      <c r="AG2214" s="182">
        <f>YEAR(D2214)</f>
        <v>2016</v>
      </c>
      <c r="AH2214" s="86" t="str">
        <f>+IF(AE2214=$AJ$22,MONTH(T2214),"")</f>
        <v/>
      </c>
      <c r="AI2214" s="86" t="str">
        <f>+IF(AF2214=$AJ$22,MONTH(U2214),"")</f>
        <v/>
      </c>
      <c r="AJ2214" s="86" t="str">
        <f>+IF(AG2214=$AJ$22,MONTH(V2214),"")</f>
        <v/>
      </c>
      <c r="AK2214" s="86" t="str">
        <f>+IF(AG2214=$AK$22,MONTH(V2214),"")</f>
        <v/>
      </c>
      <c r="AL2214" s="86" t="str">
        <f>+IF(AG2214=$AL$22,MONTH(V2214),"")</f>
        <v/>
      </c>
      <c r="AM2214" s="86" t="str">
        <f>+IF($AG2214=$AM$22,MONTH($D2214),"")</f>
        <v/>
      </c>
      <c r="AN2214" s="89" t="str">
        <f>+IF($AG2214=AN$22,MONTH($D2214),"")</f>
        <v/>
      </c>
      <c r="AO2214" s="86" t="str">
        <f>+IF($AG2214=AO$22,MONTH($D2214),"")</f>
        <v/>
      </c>
      <c r="AP2214" s="86" t="str">
        <f>+IF($AG2214=AP$22,MONTH($D2214),"")</f>
        <v/>
      </c>
      <c r="AQ2214" s="86" t="str">
        <f>+IF($AG2214=AQ$22,MONTH($D2214),"")</f>
        <v/>
      </c>
      <c r="AR2214" s="86">
        <f>+IF($AG2214=AR$22,MONTH($D2214),"")</f>
        <v>2</v>
      </c>
      <c r="AS2214" s="86" t="str">
        <f>+IF($AG2214=AS$22,MONTH($D2214),"")</f>
        <v/>
      </c>
      <c r="AT2214" s="86" t="str">
        <f>+IF($AG2214=AT$22,MONTH($D2214),"")</f>
        <v/>
      </c>
      <c r="AU2214" s="86" t="str">
        <f>+IF($AG2214=AU$22,MONTH($D2214),"")</f>
        <v/>
      </c>
      <c r="AV2214" s="86" t="str">
        <f>+IF($AG2214=AV$22,MONTH($D2214),"")</f>
        <v/>
      </c>
      <c r="AW2214" s="86" t="str">
        <f>+IF($AG2214=AW$22,MONTH($D2214),"")</f>
        <v/>
      </c>
      <c r="AX2214" s="86" t="str">
        <f>+IF($AG2214=AX$22,MONTH($D2214),"")</f>
        <v/>
      </c>
      <c r="AY2214" s="89"/>
      <c r="AZ2214" s="89"/>
      <c r="BA2214" s="89"/>
      <c r="BB2214" s="89"/>
      <c r="BC2214" s="89"/>
      <c r="BD2214" s="89"/>
      <c r="BE2214" s="89"/>
      <c r="BF2214" s="89"/>
      <c r="BG2214" s="89"/>
      <c r="BH2214" s="89"/>
      <c r="BI2214" s="89"/>
      <c r="BJ2214" s="89"/>
      <c r="BK2214" s="89"/>
      <c r="BL2214" s="89"/>
      <c r="BM2214" s="89"/>
      <c r="BN2214" s="89"/>
      <c r="BO2214" s="89"/>
      <c r="BP2214" s="89"/>
    </row>
    <row r="2215" spans="1:68" s="56" customFormat="1" ht="13.5" hidden="1">
      <c r="A2215" s="204" t="str">
        <f>+IFERROR(VALUE(MID(AB2215,4,4)),"")</f>
        <v/>
      </c>
      <c r="B2215" s="204">
        <f>VALUE(RIGHT(C2215,LEN(C2215)-2))</f>
        <v>510</v>
      </c>
      <c r="C2215" s="74" t="s">
        <v>7581</v>
      </c>
      <c r="D2215" s="75">
        <v>42408</v>
      </c>
      <c r="E2215" s="70" t="s">
        <v>633</v>
      </c>
      <c r="F2215" s="70" t="s">
        <v>633</v>
      </c>
      <c r="G2215" s="68"/>
      <c r="H2215" s="59"/>
      <c r="I2215" s="162" t="s">
        <v>7582</v>
      </c>
      <c r="J2215" s="162"/>
      <c r="K2215" s="68" t="s">
        <v>13</v>
      </c>
      <c r="L2215" s="69" t="s">
        <v>123</v>
      </c>
      <c r="M2215" s="71" t="s">
        <v>141</v>
      </c>
      <c r="N2215" s="69" t="e" vm="1">
        <v>#VALUE!</v>
      </c>
      <c r="O2215" s="164">
        <v>42408</v>
      </c>
      <c r="P2215" s="72" t="s">
        <v>7465</v>
      </c>
      <c r="Q2215" s="72"/>
      <c r="R2215" s="162"/>
      <c r="S2215" s="146"/>
      <c r="T2215" s="68" t="s">
        <v>165</v>
      </c>
      <c r="U2215" s="87"/>
      <c r="V2215" s="183">
        <v>42410</v>
      </c>
      <c r="W2215" s="73">
        <v>1979</v>
      </c>
      <c r="X2215" s="73">
        <f>2410*24600/1000000</f>
        <v>59.286000000000001</v>
      </c>
      <c r="Y2215" s="83">
        <f>IF(SUM(W2215:W2215)&gt;0,X2215/SUM(W2215:W2215)*1000000,"N/A")</f>
        <v>29957.554320363819</v>
      </c>
      <c r="Z2215" s="183"/>
      <c r="AA2215" s="183"/>
      <c r="AB2215" s="223"/>
      <c r="AC2215" s="153"/>
      <c r="AD2215" s="331"/>
      <c r="AE2215" s="57"/>
      <c r="AF2215" s="88"/>
      <c r="AG2215" s="182">
        <f>YEAR(D2215)</f>
        <v>2016</v>
      </c>
      <c r="AH2215" s="86" t="str">
        <f>+IF(AE2215=$AJ$22,MONTH(T2215),"")</f>
        <v/>
      </c>
      <c r="AI2215" s="86" t="str">
        <f>+IF(AF2215=$AJ$22,MONTH(U2215),"")</f>
        <v/>
      </c>
      <c r="AJ2215" s="86" t="str">
        <f>+IF(AG2215=$AJ$22,MONTH(V2215),"")</f>
        <v/>
      </c>
      <c r="AK2215" s="86" t="str">
        <f>+IF(AG2215=$AK$22,MONTH(V2215),"")</f>
        <v/>
      </c>
      <c r="AL2215" s="86" t="str">
        <f>+IF(AG2215=$AL$22,MONTH(V2215),"")</f>
        <v/>
      </c>
      <c r="AM2215" s="86" t="str">
        <f>+IF($AG2215=$AM$22,MONTH($D2215),"")</f>
        <v/>
      </c>
      <c r="AN2215" s="89" t="str">
        <f>+IF($AG2215=AN$22,MONTH($D2215),"")</f>
        <v/>
      </c>
      <c r="AO2215" s="86" t="str">
        <f>+IF($AG2215=AO$22,MONTH($D2215),"")</f>
        <v/>
      </c>
      <c r="AP2215" s="86" t="str">
        <f>+IF($AG2215=AP$22,MONTH($D2215),"")</f>
        <v/>
      </c>
      <c r="AQ2215" s="86" t="str">
        <f>+IF($AG2215=AQ$22,MONTH($D2215),"")</f>
        <v/>
      </c>
      <c r="AR2215" s="86">
        <f>+IF($AG2215=AR$22,MONTH($D2215),"")</f>
        <v>2</v>
      </c>
      <c r="AS2215" s="86" t="str">
        <f>+IF($AG2215=AS$22,MONTH($D2215),"")</f>
        <v/>
      </c>
      <c r="AT2215" s="86" t="str">
        <f>+IF($AG2215=AT$22,MONTH($D2215),"")</f>
        <v/>
      </c>
      <c r="AU2215" s="86" t="str">
        <f>+IF($AG2215=AU$22,MONTH($D2215),"")</f>
        <v/>
      </c>
      <c r="AV2215" s="86" t="str">
        <f>+IF($AG2215=AV$22,MONTH($D2215),"")</f>
        <v/>
      </c>
      <c r="AW2215" s="86" t="str">
        <f>+IF($AG2215=AW$22,MONTH($D2215),"")</f>
        <v/>
      </c>
      <c r="AX2215" s="86" t="str">
        <f>+IF($AG2215=AX$22,MONTH($D2215),"")</f>
        <v/>
      </c>
      <c r="AY2215" s="89"/>
      <c r="AZ2215" s="89"/>
      <c r="BA2215" s="89"/>
      <c r="BB2215" s="89"/>
      <c r="BC2215" s="89"/>
      <c r="BD2215" s="89"/>
      <c r="BE2215" s="89"/>
      <c r="BF2215" s="89"/>
      <c r="BG2215" s="89"/>
      <c r="BH2215" s="89"/>
      <c r="BI2215" s="89"/>
      <c r="BJ2215" s="89"/>
      <c r="BK2215" s="89"/>
      <c r="BL2215" s="89"/>
      <c r="BM2215" s="89"/>
      <c r="BN2215" s="89"/>
      <c r="BO2215" s="89"/>
      <c r="BP2215" s="89"/>
    </row>
    <row r="2216" spans="1:68" s="56" customFormat="1" ht="27" hidden="1">
      <c r="A2216" s="204">
        <f>+IFERROR(VALUE(MID(AB2216,4,4)),"")</f>
        <v>113</v>
      </c>
      <c r="B2216" s="204">
        <f>VALUE(RIGHT(C2216,LEN(C2216)-2))</f>
        <v>509</v>
      </c>
      <c r="C2216" s="74" t="s">
        <v>7583</v>
      </c>
      <c r="D2216" s="75">
        <v>42395</v>
      </c>
      <c r="E2216" s="70" t="s">
        <v>332</v>
      </c>
      <c r="F2216" s="70" t="s">
        <v>332</v>
      </c>
      <c r="G2216" s="68" t="s">
        <v>285</v>
      </c>
      <c r="H2216" s="59" t="s">
        <v>7401</v>
      </c>
      <c r="I2216" s="162" t="s">
        <v>7584</v>
      </c>
      <c r="J2216" s="162"/>
      <c r="K2216" s="68" t="s">
        <v>13</v>
      </c>
      <c r="L2216" s="69" t="s">
        <v>120</v>
      </c>
      <c r="M2216" s="71" t="s">
        <v>141</v>
      </c>
      <c r="N2216" s="69" t="e" vm="1">
        <v>#VALUE!</v>
      </c>
      <c r="O2216" s="164">
        <v>42395</v>
      </c>
      <c r="P2216" s="72" t="s">
        <v>4567</v>
      </c>
      <c r="Q2216" s="72"/>
      <c r="R2216" s="162"/>
      <c r="S2216" s="146"/>
      <c r="T2216" s="68" t="s">
        <v>3</v>
      </c>
      <c r="U2216" s="87"/>
      <c r="V2216" s="183" t="s">
        <v>7585</v>
      </c>
      <c r="W2216" s="73">
        <v>246</v>
      </c>
      <c r="X2216" s="73">
        <f>341*24600/1000000</f>
        <v>8.3886000000000003</v>
      </c>
      <c r="Y2216" s="83">
        <f>IF(SUM(W2216:W2216)&gt;0,X2216/SUM(W2216:W2216)*1000000,"N/A")</f>
        <v>34100</v>
      </c>
      <c r="Z2216" s="183"/>
      <c r="AA2216" s="183"/>
      <c r="AB2216" s="223" t="s">
        <v>7586</v>
      </c>
      <c r="AC2216" s="153"/>
      <c r="AD2216" s="331"/>
      <c r="AE2216" s="57"/>
      <c r="AF2216" s="88"/>
      <c r="AG2216" s="182">
        <f>YEAR(D2216)</f>
        <v>2016</v>
      </c>
      <c r="AH2216" s="86" t="str">
        <f>+IF(AE2216=$AJ$22,MONTH(T2216),"")</f>
        <v/>
      </c>
      <c r="AI2216" s="86" t="str">
        <f>+IF(AF2216=$AJ$22,MONTH(U2216),"")</f>
        <v/>
      </c>
      <c r="AJ2216" s="86" t="str">
        <f>+IF(AG2216=$AJ$22,MONTH(V2216),"")</f>
        <v/>
      </c>
      <c r="AK2216" s="86" t="str">
        <f>+IF(AG2216=$AK$22,MONTH(V2216),"")</f>
        <v/>
      </c>
      <c r="AL2216" s="86" t="str">
        <f>+IF(AG2216=$AL$22,MONTH(V2216),"")</f>
        <v/>
      </c>
      <c r="AM2216" s="86" t="str">
        <f>+IF($AG2216=$AM$22,MONTH($D2216),"")</f>
        <v/>
      </c>
      <c r="AN2216" s="89" t="str">
        <f>+IF($AG2216=AN$22,MONTH($D2216),"")</f>
        <v/>
      </c>
      <c r="AO2216" s="86" t="str">
        <f>+IF($AG2216=AO$22,MONTH($D2216),"")</f>
        <v/>
      </c>
      <c r="AP2216" s="86" t="str">
        <f>+IF($AG2216=AP$22,MONTH($D2216),"")</f>
        <v/>
      </c>
      <c r="AQ2216" s="86" t="str">
        <f>+IF($AG2216=AQ$22,MONTH($D2216),"")</f>
        <v/>
      </c>
      <c r="AR2216" s="86">
        <f>+IF($AG2216=AR$22,MONTH($D2216),"")</f>
        <v>1</v>
      </c>
      <c r="AS2216" s="86" t="str">
        <f>+IF($AG2216=AS$22,MONTH($D2216),"")</f>
        <v/>
      </c>
      <c r="AT2216" s="86" t="str">
        <f>+IF($AG2216=AT$22,MONTH($D2216),"")</f>
        <v/>
      </c>
      <c r="AU2216" s="86" t="str">
        <f>+IF($AG2216=AU$22,MONTH($D2216),"")</f>
        <v/>
      </c>
      <c r="AV2216" s="86" t="str">
        <f>+IF($AG2216=AV$22,MONTH($D2216),"")</f>
        <v/>
      </c>
      <c r="AW2216" s="86" t="str">
        <f>+IF($AG2216=AW$22,MONTH($D2216),"")</f>
        <v/>
      </c>
      <c r="AX2216" s="86" t="str">
        <f>+IF($AG2216=AX$22,MONTH($D2216),"")</f>
        <v/>
      </c>
      <c r="AY2216" s="89"/>
      <c r="AZ2216" s="89"/>
      <c r="BA2216" s="89"/>
      <c r="BB2216" s="89"/>
      <c r="BC2216" s="89"/>
      <c r="BD2216" s="89"/>
      <c r="BE2216" s="89"/>
      <c r="BF2216" s="89"/>
      <c r="BG2216" s="89"/>
      <c r="BH2216" s="89"/>
      <c r="BI2216" s="89"/>
      <c r="BJ2216" s="89"/>
      <c r="BK2216" s="89"/>
      <c r="BL2216" s="89"/>
      <c r="BM2216" s="89"/>
      <c r="BN2216" s="89"/>
      <c r="BO2216" s="89"/>
      <c r="BP2216" s="89"/>
    </row>
    <row r="2217" spans="1:68" s="56" customFormat="1" ht="27" hidden="1">
      <c r="A2217" s="204" t="str">
        <f>+IFERROR(VALUE(MID(AB2217,4,4)),"")</f>
        <v/>
      </c>
      <c r="B2217" s="204">
        <f>VALUE(RIGHT(C2217,LEN(C2217)-2))</f>
        <v>508</v>
      </c>
      <c r="C2217" s="74" t="s">
        <v>7587</v>
      </c>
      <c r="D2217" s="75">
        <v>42394</v>
      </c>
      <c r="E2217" s="70"/>
      <c r="F2217" s="70"/>
      <c r="G2217" s="68"/>
      <c r="H2217" s="59"/>
      <c r="I2217" s="162" t="s">
        <v>7588</v>
      </c>
      <c r="J2217" s="162"/>
      <c r="K2217" s="68"/>
      <c r="L2217" s="69"/>
      <c r="M2217" s="71"/>
      <c r="N2217" s="69"/>
      <c r="O2217" s="164"/>
      <c r="P2217" s="72"/>
      <c r="Q2217" s="72"/>
      <c r="R2217" s="162"/>
      <c r="S2217" s="146" t="s">
        <v>7589</v>
      </c>
      <c r="T2217" s="68" t="s">
        <v>155</v>
      </c>
      <c r="U2217" s="87"/>
      <c r="V2217" s="183"/>
      <c r="W2217" s="73"/>
      <c r="X2217" s="73"/>
      <c r="Y2217" s="83"/>
      <c r="Z2217" s="183"/>
      <c r="AA2217" s="183"/>
      <c r="AB2217" s="223"/>
      <c r="AC2217" s="153"/>
      <c r="AD2217" s="331"/>
      <c r="AE2217" s="57"/>
      <c r="AF2217" s="88"/>
      <c r="AG2217" s="182">
        <f>YEAR(D2217)</f>
        <v>2016</v>
      </c>
      <c r="AH2217" s="86" t="str">
        <f>+IF(AE2217=$AJ$22,MONTH(T2217),"")</f>
        <v/>
      </c>
      <c r="AI2217" s="86" t="str">
        <f>+IF(AF2217=$AJ$22,MONTH(U2217),"")</f>
        <v/>
      </c>
      <c r="AJ2217" s="86" t="str">
        <f>+IF(AG2217=$AJ$22,MONTH(V2217),"")</f>
        <v/>
      </c>
      <c r="AK2217" s="86" t="str">
        <f>+IF(AG2217=$AK$22,MONTH(V2217),"")</f>
        <v/>
      </c>
      <c r="AL2217" s="86" t="str">
        <f>+IF(AG2217=$AL$22,MONTH(V2217),"")</f>
        <v/>
      </c>
      <c r="AM2217" s="86" t="str">
        <f>+IF($AG2217=$AM$22,MONTH($D2217),"")</f>
        <v/>
      </c>
      <c r="AN2217" s="89" t="str">
        <f>+IF($AG2217=AN$22,MONTH($D2217),"")</f>
        <v/>
      </c>
      <c r="AO2217" s="86" t="str">
        <f>+IF($AG2217=AO$22,MONTH($D2217),"")</f>
        <v/>
      </c>
      <c r="AP2217" s="86" t="str">
        <f>+IF($AG2217=AP$22,MONTH($D2217),"")</f>
        <v/>
      </c>
      <c r="AQ2217" s="86" t="str">
        <f>+IF($AG2217=AQ$22,MONTH($D2217),"")</f>
        <v/>
      </c>
      <c r="AR2217" s="86">
        <f>+IF($AG2217=AR$22,MONTH($D2217),"")</f>
        <v>1</v>
      </c>
      <c r="AS2217" s="86" t="str">
        <f>+IF($AG2217=AS$22,MONTH($D2217),"")</f>
        <v/>
      </c>
      <c r="AT2217" s="86" t="str">
        <f>+IF($AG2217=AT$22,MONTH($D2217),"")</f>
        <v/>
      </c>
      <c r="AU2217" s="86" t="str">
        <f>+IF($AG2217=AU$22,MONTH($D2217),"")</f>
        <v/>
      </c>
      <c r="AV2217" s="86" t="str">
        <f>+IF($AG2217=AV$22,MONTH($D2217),"")</f>
        <v/>
      </c>
      <c r="AW2217" s="86" t="str">
        <f>+IF($AG2217=AW$22,MONTH($D2217),"")</f>
        <v/>
      </c>
      <c r="AX2217" s="86" t="str">
        <f>+IF($AG2217=AX$22,MONTH($D2217),"")</f>
        <v/>
      </c>
      <c r="AY2217" s="89"/>
      <c r="AZ2217" s="89"/>
      <c r="BA2217" s="89"/>
      <c r="BB2217" s="89"/>
      <c r="BC2217" s="89"/>
      <c r="BD2217" s="89"/>
      <c r="BE2217" s="89"/>
      <c r="BF2217" s="89"/>
      <c r="BG2217" s="89"/>
      <c r="BH2217" s="89"/>
      <c r="BI2217" s="89"/>
      <c r="BJ2217" s="89"/>
      <c r="BK2217" s="89"/>
      <c r="BL2217" s="89"/>
      <c r="BM2217" s="89"/>
      <c r="BN2217" s="89"/>
      <c r="BO2217" s="89"/>
      <c r="BP2217" s="89"/>
    </row>
    <row r="2218" spans="1:68" s="56" customFormat="1" ht="40.5" hidden="1">
      <c r="A2218" s="204" t="str">
        <f>+IFERROR(VALUE(MID(AB2218,4,4)),"")</f>
        <v/>
      </c>
      <c r="B2218" s="204">
        <f>VALUE(RIGHT(C2218,LEN(C2218)-2))</f>
        <v>507</v>
      </c>
      <c r="C2218" s="74" t="s">
        <v>7590</v>
      </c>
      <c r="D2218" s="75">
        <v>42394</v>
      </c>
      <c r="E2218" s="70" t="s">
        <v>2678</v>
      </c>
      <c r="F2218" s="70" t="s">
        <v>2678</v>
      </c>
      <c r="G2218" s="68" t="s">
        <v>7591</v>
      </c>
      <c r="H2218" s="59" t="s">
        <v>7592</v>
      </c>
      <c r="I2218" s="162" t="s">
        <v>7593</v>
      </c>
      <c r="J2218" s="162"/>
      <c r="K2218" s="68"/>
      <c r="L2218" s="69" t="s">
        <v>120</v>
      </c>
      <c r="M2218" s="71" t="s">
        <v>113</v>
      </c>
      <c r="N2218" s="69" t="e" vm="2">
        <v>#VALUE!</v>
      </c>
      <c r="O2218" s="164"/>
      <c r="P2218" s="72" t="s">
        <v>402</v>
      </c>
      <c r="Q2218" s="72"/>
      <c r="R2218" s="162"/>
      <c r="S2218" s="146" t="s">
        <v>7594</v>
      </c>
      <c r="T2218" s="68" t="s">
        <v>155</v>
      </c>
      <c r="U2218" s="87"/>
      <c r="V2218" s="183">
        <v>42416</v>
      </c>
      <c r="W2218" s="73"/>
      <c r="X2218" s="73"/>
      <c r="Y2218" s="83"/>
      <c r="Z2218" s="183"/>
      <c r="AA2218" s="183"/>
      <c r="AB2218" s="223"/>
      <c r="AC2218" s="153"/>
      <c r="AD2218" s="331"/>
      <c r="AE2218" s="57"/>
      <c r="AF2218" s="88"/>
      <c r="AG2218" s="182">
        <f>YEAR(D2218)</f>
        <v>2016</v>
      </c>
      <c r="AH2218" s="86" t="str">
        <f>+IF(AE2218=$AJ$22,MONTH(T2218),"")</f>
        <v/>
      </c>
      <c r="AI2218" s="86" t="str">
        <f>+IF(AF2218=$AJ$22,MONTH(U2218),"")</f>
        <v/>
      </c>
      <c r="AJ2218" s="86" t="str">
        <f>+IF(AG2218=$AJ$22,MONTH(V2218),"")</f>
        <v/>
      </c>
      <c r="AK2218" s="86" t="str">
        <f>+IF(AG2218=$AK$22,MONTH(V2218),"")</f>
        <v/>
      </c>
      <c r="AL2218" s="86" t="str">
        <f>+IF(AG2218=$AL$22,MONTH(V2218),"")</f>
        <v/>
      </c>
      <c r="AM2218" s="86" t="str">
        <f>+IF($AG2218=$AM$22,MONTH($D2218),"")</f>
        <v/>
      </c>
      <c r="AN2218" s="89" t="str">
        <f>+IF($AG2218=AN$22,MONTH($D2218),"")</f>
        <v/>
      </c>
      <c r="AO2218" s="86" t="str">
        <f>+IF($AG2218=AO$22,MONTH($D2218),"")</f>
        <v/>
      </c>
      <c r="AP2218" s="86" t="str">
        <f>+IF($AG2218=AP$22,MONTH($D2218),"")</f>
        <v/>
      </c>
      <c r="AQ2218" s="86" t="str">
        <f>+IF($AG2218=AQ$22,MONTH($D2218),"")</f>
        <v/>
      </c>
      <c r="AR2218" s="86">
        <f>+IF($AG2218=AR$22,MONTH($D2218),"")</f>
        <v>1</v>
      </c>
      <c r="AS2218" s="86" t="str">
        <f>+IF($AG2218=AS$22,MONTH($D2218),"")</f>
        <v/>
      </c>
      <c r="AT2218" s="86" t="str">
        <f>+IF($AG2218=AT$22,MONTH($D2218),"")</f>
        <v/>
      </c>
      <c r="AU2218" s="86" t="str">
        <f>+IF($AG2218=AU$22,MONTH($D2218),"")</f>
        <v/>
      </c>
      <c r="AV2218" s="86" t="str">
        <f>+IF($AG2218=AV$22,MONTH($D2218),"")</f>
        <v/>
      </c>
      <c r="AW2218" s="86" t="str">
        <f>+IF($AG2218=AW$22,MONTH($D2218),"")</f>
        <v/>
      </c>
      <c r="AX2218" s="86" t="str">
        <f>+IF($AG2218=AX$22,MONTH($D2218),"")</f>
        <v/>
      </c>
      <c r="AY2218" s="89"/>
      <c r="AZ2218" s="89"/>
      <c r="BA2218" s="89"/>
      <c r="BB2218" s="89"/>
      <c r="BC2218" s="89"/>
      <c r="BD2218" s="89"/>
      <c r="BE2218" s="89"/>
      <c r="BF2218" s="89"/>
      <c r="BG2218" s="89"/>
      <c r="BH2218" s="89"/>
      <c r="BI2218" s="89"/>
      <c r="BJ2218" s="89"/>
      <c r="BK2218" s="89"/>
      <c r="BL2218" s="89"/>
      <c r="BM2218" s="89"/>
      <c r="BN2218" s="89"/>
      <c r="BO2218" s="89"/>
      <c r="BP2218" s="89"/>
    </row>
    <row r="2219" spans="1:68" s="56" customFormat="1" ht="27" hidden="1">
      <c r="A2219" s="204" t="str">
        <f>+IFERROR(VALUE(MID(AB2219,4,4)),"")</f>
        <v/>
      </c>
      <c r="B2219" s="204">
        <f>VALUE(RIGHT(C2219,LEN(C2219)-2))</f>
        <v>506</v>
      </c>
      <c r="C2219" s="74" t="s">
        <v>7595</v>
      </c>
      <c r="D2219" s="75">
        <v>42394</v>
      </c>
      <c r="E2219" s="70" t="s">
        <v>7520</v>
      </c>
      <c r="F2219" s="70" t="s">
        <v>7596</v>
      </c>
      <c r="G2219" s="68" t="s">
        <v>7597</v>
      </c>
      <c r="H2219" s="59"/>
      <c r="I2219" s="162" t="s">
        <v>7598</v>
      </c>
      <c r="J2219" s="162"/>
      <c r="K2219" s="68" t="s">
        <v>29</v>
      </c>
      <c r="L2219" s="69" t="s">
        <v>123</v>
      </c>
      <c r="M2219" s="71" t="s">
        <v>141</v>
      </c>
      <c r="N2219" s="69" t="e" vm="1">
        <v>#VALUE!</v>
      </c>
      <c r="O2219" s="164"/>
      <c r="P2219" s="72"/>
      <c r="Q2219" s="72"/>
      <c r="R2219" s="162"/>
      <c r="S2219" s="146" t="s">
        <v>7599</v>
      </c>
      <c r="T2219" s="68" t="s">
        <v>155</v>
      </c>
      <c r="U2219" s="87"/>
      <c r="V2219" s="183">
        <v>42416</v>
      </c>
      <c r="W2219" s="73"/>
      <c r="X2219" s="73"/>
      <c r="Y2219" s="83"/>
      <c r="Z2219" s="183"/>
      <c r="AA2219" s="183"/>
      <c r="AB2219" s="223"/>
      <c r="AC2219" s="153"/>
      <c r="AD2219" s="331"/>
      <c r="AE2219" s="57"/>
      <c r="AF2219" s="88"/>
      <c r="AG2219" s="182">
        <f>YEAR(D2219)</f>
        <v>2016</v>
      </c>
      <c r="AH2219" s="86" t="str">
        <f>+IF(AE2219=$AJ$22,MONTH(T2219),"")</f>
        <v/>
      </c>
      <c r="AI2219" s="86" t="str">
        <f>+IF(AF2219=$AJ$22,MONTH(U2219),"")</f>
        <v/>
      </c>
      <c r="AJ2219" s="86" t="str">
        <f>+IF(AG2219=$AJ$22,MONTH(V2219),"")</f>
        <v/>
      </c>
      <c r="AK2219" s="86" t="str">
        <f>+IF(AG2219=$AK$22,MONTH(V2219),"")</f>
        <v/>
      </c>
      <c r="AL2219" s="86" t="str">
        <f>+IF(AG2219=$AL$22,MONTH(V2219),"")</f>
        <v/>
      </c>
      <c r="AM2219" s="86" t="str">
        <f>+IF($AG2219=$AM$22,MONTH($D2219),"")</f>
        <v/>
      </c>
      <c r="AN2219" s="89" t="str">
        <f>+IF($AG2219=AN$22,MONTH($D2219),"")</f>
        <v/>
      </c>
      <c r="AO2219" s="86" t="str">
        <f>+IF($AG2219=AO$22,MONTH($D2219),"")</f>
        <v/>
      </c>
      <c r="AP2219" s="86" t="str">
        <f>+IF($AG2219=AP$22,MONTH($D2219),"")</f>
        <v/>
      </c>
      <c r="AQ2219" s="86" t="str">
        <f>+IF($AG2219=AQ$22,MONTH($D2219),"")</f>
        <v/>
      </c>
      <c r="AR2219" s="86">
        <f>+IF($AG2219=AR$22,MONTH($D2219),"")</f>
        <v>1</v>
      </c>
      <c r="AS2219" s="86" t="str">
        <f>+IF($AG2219=AS$22,MONTH($D2219),"")</f>
        <v/>
      </c>
      <c r="AT2219" s="86" t="str">
        <f>+IF($AG2219=AT$22,MONTH($D2219),"")</f>
        <v/>
      </c>
      <c r="AU2219" s="86" t="str">
        <f>+IF($AG2219=AU$22,MONTH($D2219),"")</f>
        <v/>
      </c>
      <c r="AV2219" s="86" t="str">
        <f>+IF($AG2219=AV$22,MONTH($D2219),"")</f>
        <v/>
      </c>
      <c r="AW2219" s="86" t="str">
        <f>+IF($AG2219=AW$22,MONTH($D2219),"")</f>
        <v/>
      </c>
      <c r="AX2219" s="86" t="str">
        <f>+IF($AG2219=AX$22,MONTH($D2219),"")</f>
        <v/>
      </c>
      <c r="AY2219" s="89"/>
      <c r="AZ2219" s="89"/>
      <c r="BA2219" s="89"/>
      <c r="BB2219" s="89"/>
      <c r="BC2219" s="89"/>
      <c r="BD2219" s="89"/>
      <c r="BE2219" s="89"/>
      <c r="BF2219" s="89"/>
      <c r="BG2219" s="89"/>
      <c r="BH2219" s="89"/>
      <c r="BI2219" s="89"/>
      <c r="BJ2219" s="89"/>
      <c r="BK2219" s="89"/>
      <c r="BL2219" s="89"/>
      <c r="BM2219" s="89"/>
      <c r="BN2219" s="89"/>
      <c r="BO2219" s="89"/>
      <c r="BP2219" s="89"/>
    </row>
    <row r="2220" spans="1:68" s="56" customFormat="1" ht="53.25" hidden="1">
      <c r="A2220" s="204">
        <f>+IFERROR(VALUE(MID(AB2220,4,4)),"")</f>
        <v>131</v>
      </c>
      <c r="B2220" s="204">
        <f>VALUE(RIGHT(C2220,LEN(C2220)-2))</f>
        <v>505</v>
      </c>
      <c r="C2220" s="74" t="s">
        <v>7600</v>
      </c>
      <c r="D2220" s="75">
        <v>42394</v>
      </c>
      <c r="E2220" s="70" t="s">
        <v>79</v>
      </c>
      <c r="F2220" s="70" t="s">
        <v>252</v>
      </c>
      <c r="G2220" s="68" t="s">
        <v>7601</v>
      </c>
      <c r="H2220" s="59" t="s">
        <v>7602</v>
      </c>
      <c r="I2220" s="162" t="s">
        <v>7603</v>
      </c>
      <c r="J2220" s="162"/>
      <c r="K2220" s="68" t="s">
        <v>13</v>
      </c>
      <c r="L2220" s="69" t="s">
        <v>123</v>
      </c>
      <c r="M2220" s="71" t="s">
        <v>141</v>
      </c>
      <c r="N2220" s="69" t="e" vm="1">
        <v>#VALUE!</v>
      </c>
      <c r="O2220" s="164">
        <v>42405</v>
      </c>
      <c r="P2220" s="72" t="s">
        <v>402</v>
      </c>
      <c r="Q2220" s="72"/>
      <c r="R2220" s="162"/>
      <c r="S2220" s="146" t="s">
        <v>2253</v>
      </c>
      <c r="T2220" s="68" t="s">
        <v>3</v>
      </c>
      <c r="U2220" s="87"/>
      <c r="V2220" s="183">
        <v>42416</v>
      </c>
      <c r="W2220" s="73">
        <f>1122+1229+405+230+135</f>
        <v>3121</v>
      </c>
      <c r="X2220" s="73">
        <f>5358*25600/1000000</f>
        <v>137.16480000000001</v>
      </c>
      <c r="Y2220" s="83">
        <f>IF(SUM(W2220:W2220)&gt;0,X2220/SUM(W2220:W2220)*1000000,"N/A")</f>
        <v>43948.990708106379</v>
      </c>
      <c r="Z2220" s="183"/>
      <c r="AA2220" s="183"/>
      <c r="AB2220" s="223" t="s">
        <v>7604</v>
      </c>
      <c r="AC2220" s="153"/>
      <c r="AD2220" s="331"/>
      <c r="AE2220" s="57"/>
      <c r="AF2220" s="88"/>
      <c r="AG2220" s="182">
        <f>YEAR(D2220)</f>
        <v>2016</v>
      </c>
      <c r="AH2220" s="86" t="str">
        <f>+IF(AE2220=$AJ$22,MONTH(T2220),"")</f>
        <v/>
      </c>
      <c r="AI2220" s="86" t="str">
        <f>+IF(AF2220=$AJ$22,MONTH(U2220),"")</f>
        <v/>
      </c>
      <c r="AJ2220" s="86" t="str">
        <f>+IF(AG2220=$AJ$22,MONTH(V2220),"")</f>
        <v/>
      </c>
      <c r="AK2220" s="86" t="str">
        <f>+IF(AG2220=$AK$22,MONTH(V2220),"")</f>
        <v/>
      </c>
      <c r="AL2220" s="86" t="str">
        <f>+IF(AG2220=$AL$22,MONTH(V2220),"")</f>
        <v/>
      </c>
      <c r="AM2220" s="86" t="str">
        <f>+IF($AG2220=$AM$22,MONTH($D2220),"")</f>
        <v/>
      </c>
      <c r="AN2220" s="89" t="str">
        <f>+IF($AG2220=AN$22,MONTH($D2220),"")</f>
        <v/>
      </c>
      <c r="AO2220" s="86" t="str">
        <f>+IF($AG2220=AO$22,MONTH($D2220),"")</f>
        <v/>
      </c>
      <c r="AP2220" s="86" t="str">
        <f>+IF($AG2220=AP$22,MONTH($D2220),"")</f>
        <v/>
      </c>
      <c r="AQ2220" s="86" t="str">
        <f>+IF($AG2220=AQ$22,MONTH($D2220),"")</f>
        <v/>
      </c>
      <c r="AR2220" s="86">
        <f>+IF($AG2220=AR$22,MONTH($D2220),"")</f>
        <v>1</v>
      </c>
      <c r="AS2220" s="86" t="str">
        <f>+IF($AG2220=AS$22,MONTH($D2220),"")</f>
        <v/>
      </c>
      <c r="AT2220" s="86" t="str">
        <f>+IF($AG2220=AT$22,MONTH($D2220),"")</f>
        <v/>
      </c>
      <c r="AU2220" s="86" t="str">
        <f>+IF($AG2220=AU$22,MONTH($D2220),"")</f>
        <v/>
      </c>
      <c r="AV2220" s="86" t="str">
        <f>+IF($AG2220=AV$22,MONTH($D2220),"")</f>
        <v/>
      </c>
      <c r="AW2220" s="86" t="str">
        <f>+IF($AG2220=AW$22,MONTH($D2220),"")</f>
        <v/>
      </c>
      <c r="AX2220" s="86" t="str">
        <f>+IF($AG2220=AX$22,MONTH($D2220),"")</f>
        <v/>
      </c>
      <c r="AY2220" s="89"/>
      <c r="AZ2220" s="89"/>
      <c r="BA2220" s="89"/>
      <c r="BB2220" s="89"/>
      <c r="BC2220" s="89"/>
      <c r="BD2220" s="89"/>
      <c r="BE2220" s="89"/>
      <c r="BF2220" s="89"/>
      <c r="BG2220" s="89"/>
      <c r="BH2220" s="89"/>
      <c r="BI2220" s="89"/>
      <c r="BJ2220" s="89"/>
      <c r="BK2220" s="89"/>
      <c r="BL2220" s="89"/>
      <c r="BM2220" s="89"/>
      <c r="BN2220" s="89"/>
      <c r="BO2220" s="89"/>
      <c r="BP2220" s="89"/>
    </row>
    <row r="2221" spans="1:68" s="56" customFormat="1" ht="53.25" hidden="1">
      <c r="A2221" s="204" t="str">
        <f>+IFERROR(VALUE(MID(AB2221,4,4)),"")</f>
        <v/>
      </c>
      <c r="B2221" s="204">
        <f>VALUE(RIGHT(C2221,LEN(C2221)-2))</f>
        <v>504</v>
      </c>
      <c r="C2221" s="74" t="s">
        <v>7605</v>
      </c>
      <c r="D2221" s="75">
        <v>42388</v>
      </c>
      <c r="E2221" s="70" t="s">
        <v>53</v>
      </c>
      <c r="F2221" s="70" t="s">
        <v>1379</v>
      </c>
      <c r="G2221" s="68" t="s">
        <v>210</v>
      </c>
      <c r="H2221" s="59" t="s">
        <v>7606</v>
      </c>
      <c r="I2221" s="162" t="s">
        <v>7607</v>
      </c>
      <c r="J2221" s="162"/>
      <c r="K2221" s="68" t="s">
        <v>13</v>
      </c>
      <c r="L2221" s="69" t="s">
        <v>123</v>
      </c>
      <c r="M2221" s="71" t="s">
        <v>141</v>
      </c>
      <c r="N2221" s="69" t="e" vm="1">
        <v>#VALUE!</v>
      </c>
      <c r="O2221" s="164">
        <v>42422</v>
      </c>
      <c r="P2221" s="72"/>
      <c r="Q2221" s="72"/>
      <c r="R2221" s="162"/>
      <c r="S2221" s="146" t="s">
        <v>7608</v>
      </c>
      <c r="T2221" s="68" t="s">
        <v>165</v>
      </c>
      <c r="U2221" s="87"/>
      <c r="V2221" s="183">
        <v>42416</v>
      </c>
      <c r="W2221" s="73">
        <v>4112</v>
      </c>
      <c r="X2221" s="73">
        <v>138.56755899999999</v>
      </c>
      <c r="Y2221" s="83">
        <f>IF(SUM(W2221:W2221)&gt;0,X2221/SUM(W2221:W2221)*1000000,"N/A")</f>
        <v>33698.336332684819</v>
      </c>
      <c r="Z2221" s="183"/>
      <c r="AA2221" s="183"/>
      <c r="AB2221" s="223"/>
      <c r="AC2221" s="153"/>
      <c r="AD2221" s="331"/>
      <c r="AE2221" s="57"/>
      <c r="AF2221" s="88"/>
      <c r="AG2221" s="182">
        <f>YEAR(D2221)</f>
        <v>2016</v>
      </c>
      <c r="AH2221" s="86" t="str">
        <f>+IF(AE2221=$AJ$22,MONTH(T2221),"")</f>
        <v/>
      </c>
      <c r="AI2221" s="86" t="str">
        <f>+IF(AF2221=$AJ$22,MONTH(U2221),"")</f>
        <v/>
      </c>
      <c r="AJ2221" s="86" t="str">
        <f>+IF(AG2221=$AJ$22,MONTH(V2221),"")</f>
        <v/>
      </c>
      <c r="AK2221" s="86" t="str">
        <f>+IF(AG2221=$AK$22,MONTH(V2221),"")</f>
        <v/>
      </c>
      <c r="AL2221" s="86" t="str">
        <f>+IF(AG2221=$AL$22,MONTH(V2221),"")</f>
        <v/>
      </c>
      <c r="AM2221" s="86" t="str">
        <f>+IF($AG2221=$AM$22,MONTH($D2221),"")</f>
        <v/>
      </c>
      <c r="AN2221" s="89" t="str">
        <f>+IF($AG2221=AN$22,MONTH($D2221),"")</f>
        <v/>
      </c>
      <c r="AO2221" s="86" t="str">
        <f>+IF($AG2221=AO$22,MONTH($D2221),"")</f>
        <v/>
      </c>
      <c r="AP2221" s="86" t="str">
        <f>+IF($AG2221=AP$22,MONTH($D2221),"")</f>
        <v/>
      </c>
      <c r="AQ2221" s="86" t="str">
        <f>+IF($AG2221=AQ$22,MONTH($D2221),"")</f>
        <v/>
      </c>
      <c r="AR2221" s="86">
        <f>+IF($AG2221=AR$22,MONTH($D2221),"")</f>
        <v>1</v>
      </c>
      <c r="AS2221" s="86" t="str">
        <f>+IF($AG2221=AS$22,MONTH($D2221),"")</f>
        <v/>
      </c>
      <c r="AT2221" s="86" t="str">
        <f>+IF($AG2221=AT$22,MONTH($D2221),"")</f>
        <v/>
      </c>
      <c r="AU2221" s="86" t="str">
        <f>+IF($AG2221=AU$22,MONTH($D2221),"")</f>
        <v/>
      </c>
      <c r="AV2221" s="86" t="str">
        <f>+IF($AG2221=AV$22,MONTH($D2221),"")</f>
        <v/>
      </c>
      <c r="AW2221" s="86" t="str">
        <f>+IF($AG2221=AW$22,MONTH($D2221),"")</f>
        <v/>
      </c>
      <c r="AX2221" s="86" t="str">
        <f>+IF($AG2221=AX$22,MONTH($D2221),"")</f>
        <v/>
      </c>
      <c r="AY2221" s="89"/>
      <c r="AZ2221" s="89"/>
      <c r="BA2221" s="89"/>
      <c r="BB2221" s="89"/>
      <c r="BC2221" s="89"/>
      <c r="BD2221" s="89"/>
      <c r="BE2221" s="89"/>
      <c r="BF2221" s="89"/>
      <c r="BG2221" s="89"/>
      <c r="BH2221" s="89"/>
      <c r="BI2221" s="89"/>
      <c r="BJ2221" s="89"/>
      <c r="BK2221" s="89"/>
      <c r="BL2221" s="89"/>
      <c r="BM2221" s="89"/>
      <c r="BN2221" s="89"/>
      <c r="BO2221" s="89"/>
      <c r="BP2221" s="89"/>
    </row>
    <row r="2222" spans="1:68" s="56" customFormat="1" ht="27" hidden="1">
      <c r="A2222" s="204" t="str">
        <f>+IFERROR(VALUE(MID(AB2222,4,4)),"")</f>
        <v/>
      </c>
      <c r="B2222" s="204">
        <f>VALUE(RIGHT(C2222,LEN(C2222)-2))</f>
        <v>503</v>
      </c>
      <c r="C2222" s="74" t="s">
        <v>7609</v>
      </c>
      <c r="D2222" s="75">
        <v>42387</v>
      </c>
      <c r="E2222" s="70" t="s">
        <v>7610</v>
      </c>
      <c r="F2222" s="70" t="s">
        <v>5382</v>
      </c>
      <c r="G2222" s="68" t="s">
        <v>7611</v>
      </c>
      <c r="H2222" s="59"/>
      <c r="I2222" s="162" t="s">
        <v>7612</v>
      </c>
      <c r="J2222" s="162"/>
      <c r="K2222" s="68"/>
      <c r="L2222" s="69" t="s">
        <v>123</v>
      </c>
      <c r="M2222" s="71" t="s">
        <v>141</v>
      </c>
      <c r="N2222" s="69" t="e" vm="1">
        <v>#VALUE!</v>
      </c>
      <c r="O2222" s="164">
        <v>42387</v>
      </c>
      <c r="P2222" s="72" t="s">
        <v>402</v>
      </c>
      <c r="Q2222" s="72"/>
      <c r="R2222" s="162"/>
      <c r="S2222" s="146"/>
      <c r="T2222" s="68" t="s">
        <v>165</v>
      </c>
      <c r="U2222" s="87"/>
      <c r="V2222" s="183">
        <v>42390</v>
      </c>
      <c r="W2222" s="73">
        <v>206</v>
      </c>
      <c r="X2222" s="73">
        <f>384*25600/1000000</f>
        <v>9.8303999999999991</v>
      </c>
      <c r="Y2222" s="83">
        <f>IF(SUM(W2222:W2222)&gt;0,X2222/SUM(W2222:W2222)*1000000,"N/A")</f>
        <v>47720.388349514556</v>
      </c>
      <c r="Z2222" s="183"/>
      <c r="AA2222" s="183"/>
      <c r="AB2222" s="223"/>
      <c r="AC2222" s="153"/>
      <c r="AD2222" s="331"/>
      <c r="AE2222" s="57"/>
      <c r="AF2222" s="88"/>
      <c r="AG2222" s="182">
        <f>YEAR(D2222)</f>
        <v>2016</v>
      </c>
      <c r="AH2222" s="86" t="str">
        <f>+IF(AE2222=$AJ$22,MONTH(T2222),"")</f>
        <v/>
      </c>
      <c r="AI2222" s="86" t="str">
        <f>+IF(AF2222=$AJ$22,MONTH(U2222),"")</f>
        <v/>
      </c>
      <c r="AJ2222" s="86" t="str">
        <f>+IF(AG2222=$AJ$22,MONTH(V2222),"")</f>
        <v/>
      </c>
      <c r="AK2222" s="86" t="str">
        <f>+IF(AG2222=$AK$22,MONTH(V2222),"")</f>
        <v/>
      </c>
      <c r="AL2222" s="86" t="str">
        <f>+IF(AG2222=$AL$22,MONTH(V2222),"")</f>
        <v/>
      </c>
      <c r="AM2222" s="86" t="str">
        <f>+IF($AG2222=$AM$22,MONTH($D2222),"")</f>
        <v/>
      </c>
      <c r="AN2222" s="89" t="str">
        <f>+IF($AG2222=AN$22,MONTH($D2222),"")</f>
        <v/>
      </c>
      <c r="AO2222" s="86" t="str">
        <f>+IF($AG2222=AO$22,MONTH($D2222),"")</f>
        <v/>
      </c>
      <c r="AP2222" s="86" t="str">
        <f>+IF($AG2222=AP$22,MONTH($D2222),"")</f>
        <v/>
      </c>
      <c r="AQ2222" s="86" t="str">
        <f>+IF($AG2222=AQ$22,MONTH($D2222),"")</f>
        <v/>
      </c>
      <c r="AR2222" s="86">
        <f>+IF($AG2222=AR$22,MONTH($D2222),"")</f>
        <v>1</v>
      </c>
      <c r="AS2222" s="86" t="str">
        <f>+IF($AG2222=AS$22,MONTH($D2222),"")</f>
        <v/>
      </c>
      <c r="AT2222" s="86" t="str">
        <f>+IF($AG2222=AT$22,MONTH($D2222),"")</f>
        <v/>
      </c>
      <c r="AU2222" s="86" t="str">
        <f>+IF($AG2222=AU$22,MONTH($D2222),"")</f>
        <v/>
      </c>
      <c r="AV2222" s="86" t="str">
        <f>+IF($AG2222=AV$22,MONTH($D2222),"")</f>
        <v/>
      </c>
      <c r="AW2222" s="86" t="str">
        <f>+IF($AG2222=AW$22,MONTH($D2222),"")</f>
        <v/>
      </c>
      <c r="AX2222" s="86" t="str">
        <f>+IF($AG2222=AX$22,MONTH($D2222),"")</f>
        <v/>
      </c>
      <c r="AY2222" s="89"/>
      <c r="AZ2222" s="89"/>
      <c r="BA2222" s="89"/>
      <c r="BB2222" s="89"/>
      <c r="BC2222" s="89"/>
      <c r="BD2222" s="89"/>
      <c r="BE2222" s="89"/>
      <c r="BF2222" s="89"/>
      <c r="BG2222" s="89"/>
      <c r="BH2222" s="89"/>
      <c r="BI2222" s="89"/>
      <c r="BJ2222" s="89"/>
      <c r="BK2222" s="89"/>
      <c r="BL2222" s="89"/>
      <c r="BM2222" s="89"/>
      <c r="BN2222" s="89"/>
      <c r="BO2222" s="89"/>
      <c r="BP2222" s="89"/>
    </row>
    <row r="2223" spans="1:68" s="56" customFormat="1" ht="27" hidden="1">
      <c r="A2223" s="204" t="str">
        <f>+IFERROR(VALUE(MID(AB2223,4,4)),"")</f>
        <v/>
      </c>
      <c r="B2223" s="204">
        <f>VALUE(RIGHT(C2223,LEN(C2223)-2))</f>
        <v>502</v>
      </c>
      <c r="C2223" s="74" t="s">
        <v>7613</v>
      </c>
      <c r="D2223" s="75">
        <v>42383</v>
      </c>
      <c r="E2223" s="70" t="s">
        <v>6419</v>
      </c>
      <c r="F2223" s="70"/>
      <c r="G2223" s="68" t="s">
        <v>7614</v>
      </c>
      <c r="H2223" s="59" t="s">
        <v>7615</v>
      </c>
      <c r="I2223" s="162" t="s">
        <v>7616</v>
      </c>
      <c r="J2223" s="162"/>
      <c r="K2223" s="68"/>
      <c r="L2223" s="69" t="s">
        <v>120</v>
      </c>
      <c r="M2223" s="71" t="s">
        <v>141</v>
      </c>
      <c r="N2223" s="69" t="e" vm="1">
        <v>#VALUE!</v>
      </c>
      <c r="O2223" s="164">
        <v>42384</v>
      </c>
      <c r="P2223" s="72" t="s">
        <v>402</v>
      </c>
      <c r="Q2223" s="72"/>
      <c r="R2223" s="162"/>
      <c r="S2223" s="146" t="s">
        <v>7296</v>
      </c>
      <c r="T2223" s="68" t="s">
        <v>155</v>
      </c>
      <c r="U2223" s="87"/>
      <c r="V2223" s="183">
        <v>42396</v>
      </c>
      <c r="W2223" s="73">
        <v>300</v>
      </c>
      <c r="X2223" s="73">
        <f>510*25600/1000000</f>
        <v>13.055999999999999</v>
      </c>
      <c r="Y2223" s="83">
        <f>IF(SUM(W2223:W2223)&gt;0,X2223/SUM(W2223:W2223)*1000000,"N/A")</f>
        <v>43519.999999999993</v>
      </c>
      <c r="Z2223" s="183"/>
      <c r="AA2223" s="183"/>
      <c r="AB2223" s="223"/>
      <c r="AC2223" s="153"/>
      <c r="AD2223" s="331"/>
      <c r="AE2223" s="57"/>
      <c r="AF2223" s="88"/>
      <c r="AG2223" s="182">
        <f>YEAR(D2223)</f>
        <v>2016</v>
      </c>
      <c r="AH2223" s="86" t="str">
        <f>+IF(AE2223=$AJ$22,MONTH(T2223),"")</f>
        <v/>
      </c>
      <c r="AI2223" s="86" t="str">
        <f>+IF(AF2223=$AJ$22,MONTH(U2223),"")</f>
        <v/>
      </c>
      <c r="AJ2223" s="86" t="str">
        <f>+IF(AG2223=$AJ$22,MONTH(V2223),"")</f>
        <v/>
      </c>
      <c r="AK2223" s="86" t="str">
        <f>+IF(AG2223=$AK$22,MONTH(V2223),"")</f>
        <v/>
      </c>
      <c r="AL2223" s="86" t="str">
        <f>+IF(AG2223=$AL$22,MONTH(V2223),"")</f>
        <v/>
      </c>
      <c r="AM2223" s="86" t="str">
        <f>+IF($AG2223=$AM$22,MONTH($D2223),"")</f>
        <v/>
      </c>
      <c r="AN2223" s="89" t="str">
        <f>+IF($AG2223=AN$22,MONTH($D2223),"")</f>
        <v/>
      </c>
      <c r="AO2223" s="86" t="str">
        <f>+IF($AG2223=AO$22,MONTH($D2223),"")</f>
        <v/>
      </c>
      <c r="AP2223" s="86" t="str">
        <f>+IF($AG2223=AP$22,MONTH($D2223),"")</f>
        <v/>
      </c>
      <c r="AQ2223" s="86" t="str">
        <f>+IF($AG2223=AQ$22,MONTH($D2223),"")</f>
        <v/>
      </c>
      <c r="AR2223" s="86">
        <f>+IF($AG2223=AR$22,MONTH($D2223),"")</f>
        <v>1</v>
      </c>
      <c r="AS2223" s="86" t="str">
        <f>+IF($AG2223=AS$22,MONTH($D2223),"")</f>
        <v/>
      </c>
      <c r="AT2223" s="86" t="str">
        <f>+IF($AG2223=AT$22,MONTH($D2223),"")</f>
        <v/>
      </c>
      <c r="AU2223" s="86" t="str">
        <f>+IF($AG2223=AU$22,MONTH($D2223),"")</f>
        <v/>
      </c>
      <c r="AV2223" s="86" t="str">
        <f>+IF($AG2223=AV$22,MONTH($D2223),"")</f>
        <v/>
      </c>
      <c r="AW2223" s="86" t="str">
        <f>+IF($AG2223=AW$22,MONTH($D2223),"")</f>
        <v/>
      </c>
      <c r="AX2223" s="86" t="str">
        <f>+IF($AG2223=AX$22,MONTH($D2223),"")</f>
        <v/>
      </c>
      <c r="AY2223" s="89"/>
      <c r="AZ2223" s="89"/>
      <c r="BA2223" s="89"/>
      <c r="BB2223" s="89"/>
      <c r="BC2223" s="89"/>
      <c r="BD2223" s="89"/>
      <c r="BE2223" s="89"/>
      <c r="BF2223" s="89"/>
      <c r="BG2223" s="89"/>
      <c r="BH2223" s="89"/>
      <c r="BI2223" s="89"/>
      <c r="BJ2223" s="89"/>
      <c r="BK2223" s="89"/>
      <c r="BL2223" s="89"/>
      <c r="BM2223" s="89"/>
      <c r="BN2223" s="89"/>
      <c r="BO2223" s="89"/>
      <c r="BP2223" s="89"/>
    </row>
    <row r="2224" spans="1:68" s="56" customFormat="1" ht="40.5" hidden="1">
      <c r="A2224" s="204" t="str">
        <f>+IFERROR(VALUE(MID(AB2224,4,4)),"")</f>
        <v/>
      </c>
      <c r="B2224" s="204">
        <f>VALUE(RIGHT(C2224,LEN(C2224)-2))</f>
        <v>501</v>
      </c>
      <c r="C2224" s="74" t="s">
        <v>7617</v>
      </c>
      <c r="D2224" s="75">
        <v>42382</v>
      </c>
      <c r="E2224" s="70" t="s">
        <v>6483</v>
      </c>
      <c r="F2224" s="70" t="s">
        <v>6483</v>
      </c>
      <c r="G2224" s="68" t="s">
        <v>7618</v>
      </c>
      <c r="H2224" s="59" t="s">
        <v>7619</v>
      </c>
      <c r="I2224" s="162" t="s">
        <v>7620</v>
      </c>
      <c r="J2224" s="162"/>
      <c r="K2224" s="68" t="s">
        <v>12</v>
      </c>
      <c r="L2224" s="69" t="s">
        <v>120</v>
      </c>
      <c r="M2224" s="71" t="s">
        <v>141</v>
      </c>
      <c r="N2224" s="69" t="e" vm="1">
        <v>#VALUE!</v>
      </c>
      <c r="O2224" s="164">
        <v>42387</v>
      </c>
      <c r="P2224" s="72" t="s">
        <v>7621</v>
      </c>
      <c r="Q2224" s="72"/>
      <c r="R2224" s="162"/>
      <c r="S2224" s="146" t="s">
        <v>7622</v>
      </c>
      <c r="T2224" s="68" t="s">
        <v>155</v>
      </c>
      <c r="U2224" s="87"/>
      <c r="V2224" s="183">
        <v>42396</v>
      </c>
      <c r="W2224" s="73">
        <v>741</v>
      </c>
      <c r="X2224" s="73">
        <f>1375*25600/1000000</f>
        <v>35.200000000000003</v>
      </c>
      <c r="Y2224" s="83">
        <f>IF(SUM(W2224:W2224)&gt;0,X2224/SUM(W2224:W2224)*1000000,"N/A")</f>
        <v>47503.373819163295</v>
      </c>
      <c r="Z2224" s="183"/>
      <c r="AA2224" s="183"/>
      <c r="AB2224" s="223"/>
      <c r="AC2224" s="153"/>
      <c r="AD2224" s="331"/>
      <c r="AE2224" s="57"/>
      <c r="AF2224" s="88"/>
      <c r="AG2224" s="182">
        <f>YEAR(D2224)</f>
        <v>2016</v>
      </c>
      <c r="AH2224" s="86" t="str">
        <f>+IF(AE2224=$AJ$22,MONTH(T2224),"")</f>
        <v/>
      </c>
      <c r="AI2224" s="86" t="str">
        <f>+IF(AF2224=$AJ$22,MONTH(U2224),"")</f>
        <v/>
      </c>
      <c r="AJ2224" s="86" t="str">
        <f>+IF(AG2224=$AJ$22,MONTH(V2224),"")</f>
        <v/>
      </c>
      <c r="AK2224" s="86" t="str">
        <f>+IF(AG2224=$AK$22,MONTH(V2224),"")</f>
        <v/>
      </c>
      <c r="AL2224" s="86" t="str">
        <f>+IF(AG2224=$AL$22,MONTH(V2224),"")</f>
        <v/>
      </c>
      <c r="AM2224" s="86" t="str">
        <f>+IF($AG2224=$AM$22,MONTH($D2224),"")</f>
        <v/>
      </c>
      <c r="AN2224" s="89" t="str">
        <f>+IF($AG2224=AN$22,MONTH($D2224),"")</f>
        <v/>
      </c>
      <c r="AO2224" s="86" t="str">
        <f>+IF($AG2224=AO$22,MONTH($D2224),"")</f>
        <v/>
      </c>
      <c r="AP2224" s="86" t="str">
        <f>+IF($AG2224=AP$22,MONTH($D2224),"")</f>
        <v/>
      </c>
      <c r="AQ2224" s="86" t="str">
        <f>+IF($AG2224=AQ$22,MONTH($D2224),"")</f>
        <v/>
      </c>
      <c r="AR2224" s="86">
        <f>+IF($AG2224=AR$22,MONTH($D2224),"")</f>
        <v>1</v>
      </c>
      <c r="AS2224" s="86" t="str">
        <f>+IF($AG2224=AS$22,MONTH($D2224),"")</f>
        <v/>
      </c>
      <c r="AT2224" s="86" t="str">
        <f>+IF($AG2224=AT$22,MONTH($D2224),"")</f>
        <v/>
      </c>
      <c r="AU2224" s="86" t="str">
        <f>+IF($AG2224=AU$22,MONTH($D2224),"")</f>
        <v/>
      </c>
      <c r="AV2224" s="86" t="str">
        <f>+IF($AG2224=AV$22,MONTH($D2224),"")</f>
        <v/>
      </c>
      <c r="AW2224" s="86" t="str">
        <f>+IF($AG2224=AW$22,MONTH($D2224),"")</f>
        <v/>
      </c>
      <c r="AX2224" s="86" t="str">
        <f>+IF($AG2224=AX$22,MONTH($D2224),"")</f>
        <v/>
      </c>
      <c r="AY2224" s="182"/>
      <c r="AZ2224" s="2"/>
      <c r="BA2224" s="2"/>
      <c r="BB2224" s="2">
        <v>200</v>
      </c>
      <c r="BC2224" s="2"/>
      <c r="BD2224" s="2"/>
      <c r="BE2224" s="2"/>
      <c r="BF2224" s="2"/>
      <c r="BG2224" s="2"/>
      <c r="BH2224" s="2"/>
      <c r="BI2224" s="2"/>
      <c r="BJ2224" s="89"/>
      <c r="BK2224" s="89"/>
      <c r="BL2224" s="89"/>
      <c r="BM2224" s="89"/>
      <c r="BN2224" s="89"/>
      <c r="BO2224" s="89"/>
      <c r="BP2224" s="89"/>
    </row>
    <row r="2225" spans="1:68" s="56" customFormat="1" ht="27" hidden="1">
      <c r="A2225" s="204" t="str">
        <f>+IFERROR(VALUE(MID(AB2225,4,4)),"")</f>
        <v/>
      </c>
      <c r="B2225" s="204">
        <f>VALUE(RIGHT(C2225,LEN(C2225)-2))</f>
        <v>500</v>
      </c>
      <c r="C2225" s="74" t="s">
        <v>7623</v>
      </c>
      <c r="D2225" s="75">
        <v>42376</v>
      </c>
      <c r="E2225" s="70" t="s">
        <v>106</v>
      </c>
      <c r="F2225" s="70" t="s">
        <v>106</v>
      </c>
      <c r="G2225" s="68" t="s">
        <v>5655</v>
      </c>
      <c r="H2225" s="59" t="s">
        <v>7624</v>
      </c>
      <c r="I2225" s="162" t="s">
        <v>7625</v>
      </c>
      <c r="J2225" s="162"/>
      <c r="K2225" s="68" t="s">
        <v>11</v>
      </c>
      <c r="L2225" s="69" t="s">
        <v>123</v>
      </c>
      <c r="M2225" s="71" t="s">
        <v>141</v>
      </c>
      <c r="N2225" s="69" t="e" vm="1">
        <v>#VALUE!</v>
      </c>
      <c r="O2225" s="164">
        <v>42396</v>
      </c>
      <c r="P2225" s="72" t="s">
        <v>4567</v>
      </c>
      <c r="Q2225" s="72"/>
      <c r="R2225" s="162"/>
      <c r="S2225" s="146"/>
      <c r="T2225" s="68" t="s">
        <v>165</v>
      </c>
      <c r="U2225" s="87"/>
      <c r="V2225" s="183">
        <v>42423</v>
      </c>
      <c r="W2225" s="73">
        <v>5413</v>
      </c>
      <c r="X2225" s="73">
        <f>24600*5700.1/1000000</f>
        <v>140.22246000000001</v>
      </c>
      <c r="Y2225" s="83">
        <f>IF(SUM(W2225:W2225)&gt;0,X2225/SUM(W2225:W2225)*1000000,"N/A")</f>
        <v>25904.758913726215</v>
      </c>
      <c r="Z2225" s="183"/>
      <c r="AA2225" s="183"/>
      <c r="AB2225" s="223"/>
      <c r="AC2225" s="153"/>
      <c r="AD2225" s="331"/>
      <c r="AE2225" s="57"/>
      <c r="AF2225" s="88"/>
      <c r="AG2225" s="182">
        <f>YEAR(D2225)</f>
        <v>2016</v>
      </c>
      <c r="AH2225" s="86" t="str">
        <f>+IF(AE2225=$AJ$22,MONTH(T2225),"")</f>
        <v/>
      </c>
      <c r="AI2225" s="86" t="str">
        <f>+IF(AF2225=$AJ$22,MONTH(U2225),"")</f>
        <v/>
      </c>
      <c r="AJ2225" s="86" t="str">
        <f>+IF(AG2225=$AJ$22,MONTH(V2225),"")</f>
        <v/>
      </c>
      <c r="AK2225" s="86" t="str">
        <f>+IF(AG2225=$AK$22,MONTH(V2225),"")</f>
        <v/>
      </c>
      <c r="AL2225" s="86" t="str">
        <f>+IF(AG2225=$AL$22,MONTH(V2225),"")</f>
        <v/>
      </c>
      <c r="AM2225" s="86" t="str">
        <f>+IF($AG2225=$AM$22,MONTH($D2225),"")</f>
        <v/>
      </c>
      <c r="AN2225" s="89" t="str">
        <f>+IF($AG2225=AN$22,MONTH($D2225),"")</f>
        <v/>
      </c>
      <c r="AO2225" s="86" t="str">
        <f>+IF($AG2225=AO$22,MONTH($D2225),"")</f>
        <v/>
      </c>
      <c r="AP2225" s="86" t="str">
        <f>+IF($AG2225=AP$22,MONTH($D2225),"")</f>
        <v/>
      </c>
      <c r="AQ2225" s="86" t="str">
        <f>+IF($AG2225=AQ$22,MONTH($D2225),"")</f>
        <v/>
      </c>
      <c r="AR2225" s="86">
        <f>+IF($AG2225=AR$22,MONTH($D2225),"")</f>
        <v>1</v>
      </c>
      <c r="AS2225" s="86" t="str">
        <f>+IF($AG2225=AS$22,MONTH($D2225),"")</f>
        <v/>
      </c>
      <c r="AT2225" s="86" t="str">
        <f>+IF($AG2225=AT$22,MONTH($D2225),"")</f>
        <v/>
      </c>
      <c r="AU2225" s="86" t="str">
        <f>+IF($AG2225=AU$22,MONTH($D2225),"")</f>
        <v/>
      </c>
      <c r="AV2225" s="86" t="str">
        <f>+IF($AG2225=AV$22,MONTH($D2225),"")</f>
        <v/>
      </c>
      <c r="AW2225" s="86" t="str">
        <f>+IF($AG2225=AW$22,MONTH($D2225),"")</f>
        <v/>
      </c>
      <c r="AX2225" s="86" t="str">
        <f>+IF($AG2225=AX$22,MONTH($D2225),"")</f>
        <v/>
      </c>
      <c r="AY2225" s="89"/>
      <c r="AZ2225" s="89"/>
      <c r="BA2225" s="89"/>
      <c r="BB2225" s="89"/>
      <c r="BC2225" s="89"/>
      <c r="BD2225" s="89"/>
      <c r="BE2225" s="89"/>
      <c r="BF2225" s="89"/>
      <c r="BG2225" s="89"/>
      <c r="BH2225" s="89"/>
      <c r="BI2225" s="89"/>
      <c r="BJ2225" s="89"/>
      <c r="BK2225" s="89"/>
      <c r="BL2225" s="89"/>
      <c r="BM2225" s="89"/>
      <c r="BN2225" s="89"/>
      <c r="BO2225" s="89"/>
      <c r="BP2225" s="89"/>
    </row>
    <row r="2226" spans="1:68" s="56" customFormat="1" ht="27" hidden="1">
      <c r="A2226" s="204" t="str">
        <f>+IFERROR(VALUE(MID(AB2226,4,4)),"")</f>
        <v/>
      </c>
      <c r="B2226" s="204">
        <f>VALUE(RIGHT(C2226,LEN(C2226)-2))</f>
        <v>499</v>
      </c>
      <c r="C2226" s="74" t="s">
        <v>7626</v>
      </c>
      <c r="D2226" s="75">
        <v>42376</v>
      </c>
      <c r="E2226" s="70" t="s">
        <v>106</v>
      </c>
      <c r="F2226" s="70" t="s">
        <v>106</v>
      </c>
      <c r="G2226" s="68" t="s">
        <v>5655</v>
      </c>
      <c r="H2226" s="59" t="s">
        <v>7624</v>
      </c>
      <c r="I2226" s="162" t="s">
        <v>7627</v>
      </c>
      <c r="J2226" s="162"/>
      <c r="K2226" s="68" t="s">
        <v>13</v>
      </c>
      <c r="L2226" s="69" t="s">
        <v>123</v>
      </c>
      <c r="M2226" s="71" t="s">
        <v>141</v>
      </c>
      <c r="N2226" s="69" t="e" vm="1">
        <v>#VALUE!</v>
      </c>
      <c r="O2226" s="164">
        <v>42396</v>
      </c>
      <c r="P2226" s="72" t="s">
        <v>5018</v>
      </c>
      <c r="Q2226" s="72"/>
      <c r="R2226" s="162"/>
      <c r="S2226" s="146"/>
      <c r="T2226" s="68" t="s">
        <v>165</v>
      </c>
      <c r="U2226" s="87"/>
      <c r="V2226" s="183">
        <v>42423</v>
      </c>
      <c r="W2226" s="73">
        <v>8279</v>
      </c>
      <c r="X2226" s="73">
        <f>24600*6623.84/1000000</f>
        <v>162.94646399999999</v>
      </c>
      <c r="Y2226" s="83">
        <f>IF(SUM(W2226:W2226)&gt;0,X2226/SUM(W2226:W2226)*1000000,"N/A")</f>
        <v>19681.901678946731</v>
      </c>
      <c r="Z2226" s="183"/>
      <c r="AA2226" s="183"/>
      <c r="AB2226" s="223"/>
      <c r="AC2226" s="153"/>
      <c r="AD2226" s="331"/>
      <c r="AE2226" s="57"/>
      <c r="AF2226" s="88"/>
      <c r="AG2226" s="182">
        <f>YEAR(D2226)</f>
        <v>2016</v>
      </c>
      <c r="AH2226" s="86" t="str">
        <f>+IF(AE2226=$AJ$22,MONTH(T2226),"")</f>
        <v/>
      </c>
      <c r="AI2226" s="86" t="str">
        <f>+IF(AF2226=$AJ$22,MONTH(U2226),"")</f>
        <v/>
      </c>
      <c r="AJ2226" s="86" t="str">
        <f>+IF(AG2226=$AJ$22,MONTH(V2226),"")</f>
        <v/>
      </c>
      <c r="AK2226" s="86" t="str">
        <f>+IF(AG2226=$AK$22,MONTH(V2226),"")</f>
        <v/>
      </c>
      <c r="AL2226" s="86" t="str">
        <f>+IF(AG2226=$AL$22,MONTH(V2226),"")</f>
        <v/>
      </c>
      <c r="AM2226" s="86" t="str">
        <f>+IF($AG2226=$AM$22,MONTH($D2226),"")</f>
        <v/>
      </c>
      <c r="AN2226" s="89" t="str">
        <f>+IF($AG2226=AN$22,MONTH($D2226),"")</f>
        <v/>
      </c>
      <c r="AO2226" s="86" t="str">
        <f>+IF($AG2226=AO$22,MONTH($D2226),"")</f>
        <v/>
      </c>
      <c r="AP2226" s="86" t="str">
        <f>+IF($AG2226=AP$22,MONTH($D2226),"")</f>
        <v/>
      </c>
      <c r="AQ2226" s="86" t="str">
        <f>+IF($AG2226=AQ$22,MONTH($D2226),"")</f>
        <v/>
      </c>
      <c r="AR2226" s="86">
        <f>+IF($AG2226=AR$22,MONTH($D2226),"")</f>
        <v>1</v>
      </c>
      <c r="AS2226" s="86" t="str">
        <f>+IF($AG2226=AS$22,MONTH($D2226),"")</f>
        <v/>
      </c>
      <c r="AT2226" s="86" t="str">
        <f>+IF($AG2226=AT$22,MONTH($D2226),"")</f>
        <v/>
      </c>
      <c r="AU2226" s="86" t="str">
        <f>+IF($AG2226=AU$22,MONTH($D2226),"")</f>
        <v/>
      </c>
      <c r="AV2226" s="86" t="str">
        <f>+IF($AG2226=AV$22,MONTH($D2226),"")</f>
        <v/>
      </c>
      <c r="AW2226" s="86" t="str">
        <f>+IF($AG2226=AW$22,MONTH($D2226),"")</f>
        <v/>
      </c>
      <c r="AX2226" s="86" t="str">
        <f>+IF($AG2226=AX$22,MONTH($D2226),"")</f>
        <v/>
      </c>
      <c r="AY2226" s="89"/>
      <c r="AZ2226" s="89"/>
      <c r="BA2226" s="89"/>
      <c r="BB2226" s="89"/>
      <c r="BC2226" s="89"/>
      <c r="BD2226" s="89"/>
      <c r="BE2226" s="89"/>
      <c r="BF2226" s="89"/>
      <c r="BG2226" s="89"/>
      <c r="BH2226" s="89"/>
      <c r="BI2226" s="89"/>
      <c r="BJ2226" s="89"/>
      <c r="BK2226" s="89"/>
      <c r="BL2226" s="89"/>
      <c r="BM2226" s="89"/>
      <c r="BN2226" s="89"/>
      <c r="BO2226" s="89"/>
      <c r="BP2226" s="89"/>
    </row>
    <row r="2227" spans="1:68" s="56" customFormat="1" ht="13.5" hidden="1">
      <c r="A2227" s="204">
        <f>+IFERROR(VALUE(MID(AB2227,4,4)),"")</f>
        <v>133</v>
      </c>
      <c r="B2227" s="204">
        <f>VALUE(RIGHT(C2227,LEN(C2227)-2))</f>
        <v>498</v>
      </c>
      <c r="C2227" s="74" t="s">
        <v>7628</v>
      </c>
      <c r="D2227" s="75">
        <v>42375</v>
      </c>
      <c r="E2227" s="70" t="s">
        <v>106</v>
      </c>
      <c r="F2227" s="70" t="s">
        <v>106</v>
      </c>
      <c r="G2227" s="68" t="s">
        <v>5655</v>
      </c>
      <c r="H2227" s="59" t="s">
        <v>7624</v>
      </c>
      <c r="I2227" s="162" t="s">
        <v>7629</v>
      </c>
      <c r="J2227" s="162"/>
      <c r="K2227" s="68" t="s">
        <v>13</v>
      </c>
      <c r="L2227" s="69" t="s">
        <v>123</v>
      </c>
      <c r="M2227" s="71" t="s">
        <v>141</v>
      </c>
      <c r="N2227" s="69" t="e" vm="1">
        <v>#VALUE!</v>
      </c>
      <c r="O2227" s="164">
        <v>42415</v>
      </c>
      <c r="P2227" s="72" t="s">
        <v>7465</v>
      </c>
      <c r="Q2227" s="72" t="s">
        <v>316</v>
      </c>
      <c r="R2227" s="162"/>
      <c r="S2227" s="146"/>
      <c r="T2227" s="68" t="s">
        <v>3</v>
      </c>
      <c r="U2227" s="87"/>
      <c r="V2227" s="183">
        <v>42481</v>
      </c>
      <c r="W2227" s="73">
        <v>22995</v>
      </c>
      <c r="X2227" s="73">
        <f>24191.83*25800/1000000</f>
        <v>624.14921400000003</v>
      </c>
      <c r="Y2227" s="83">
        <f>IF(SUM(W2227:W2227)&gt;0,X2227/SUM(W2227:W2227)*1000000,"N/A")</f>
        <v>27142.822961513371</v>
      </c>
      <c r="Z2227" s="183"/>
      <c r="AA2227" s="183"/>
      <c r="AB2227" s="223" t="s">
        <v>7630</v>
      </c>
      <c r="AC2227" s="153"/>
      <c r="AD2227" s="331"/>
      <c r="AE2227" s="57"/>
      <c r="AF2227" s="88"/>
      <c r="AG2227" s="182">
        <f>YEAR(D2227)</f>
        <v>2016</v>
      </c>
      <c r="AH2227" s="86" t="str">
        <f>+IF(AE2227=$AJ$22,MONTH(T2227),"")</f>
        <v/>
      </c>
      <c r="AI2227" s="86" t="str">
        <f>+IF(AF2227=$AJ$22,MONTH(U2227),"")</f>
        <v/>
      </c>
      <c r="AJ2227" s="86" t="str">
        <f>+IF(AG2227=$AJ$22,MONTH(V2227),"")</f>
        <v/>
      </c>
      <c r="AK2227" s="86" t="str">
        <f>+IF(AG2227=$AK$22,MONTH(V2227),"")</f>
        <v/>
      </c>
      <c r="AL2227" s="86" t="str">
        <f>+IF(AG2227=$AL$22,MONTH(V2227),"")</f>
        <v/>
      </c>
      <c r="AM2227" s="86" t="str">
        <f>+IF($AG2227=$AM$22,MONTH($D2227),"")</f>
        <v/>
      </c>
      <c r="AN2227" s="89" t="str">
        <f>+IF($AG2227=AN$22,MONTH($D2227),"")</f>
        <v/>
      </c>
      <c r="AO2227" s="86" t="str">
        <f>+IF($AG2227=AO$22,MONTH($D2227),"")</f>
        <v/>
      </c>
      <c r="AP2227" s="86" t="str">
        <f>+IF($AG2227=AP$22,MONTH($D2227),"")</f>
        <v/>
      </c>
      <c r="AQ2227" s="86" t="str">
        <f>+IF($AG2227=AQ$22,MONTH($D2227),"")</f>
        <v/>
      </c>
      <c r="AR2227" s="86">
        <f>+IF($AG2227=AR$22,MONTH($D2227),"")</f>
        <v>1</v>
      </c>
      <c r="AS2227" s="86" t="str">
        <f>+IF($AG2227=AS$22,MONTH($D2227),"")</f>
        <v/>
      </c>
      <c r="AT2227" s="86" t="str">
        <f>+IF($AG2227=AT$22,MONTH($D2227),"")</f>
        <v/>
      </c>
      <c r="AU2227" s="86" t="str">
        <f>+IF($AG2227=AU$22,MONTH($D2227),"")</f>
        <v/>
      </c>
      <c r="AV2227" s="86" t="str">
        <f>+IF($AG2227=AV$22,MONTH($D2227),"")</f>
        <v/>
      </c>
      <c r="AW2227" s="86" t="str">
        <f>+IF($AG2227=AW$22,MONTH($D2227),"")</f>
        <v/>
      </c>
      <c r="AX2227" s="86" t="str">
        <f>+IF($AG2227=AX$22,MONTH($D2227),"")</f>
        <v/>
      </c>
      <c r="AY2227" s="89"/>
      <c r="AZ2227" s="89"/>
      <c r="BA2227" s="89"/>
      <c r="BB2227" s="89"/>
      <c r="BC2227" s="89"/>
      <c r="BD2227" s="89"/>
      <c r="BE2227" s="89"/>
      <c r="BF2227" s="89"/>
      <c r="BG2227" s="89"/>
      <c r="BH2227" s="89"/>
      <c r="BI2227" s="89"/>
      <c r="BJ2227" s="89"/>
      <c r="BK2227" s="89"/>
      <c r="BL2227" s="89"/>
      <c r="BM2227" s="89"/>
      <c r="BN2227" s="89"/>
      <c r="BO2227" s="89"/>
      <c r="BP2227" s="89"/>
    </row>
    <row r="2228" spans="1:68" s="52" customFormat="1" ht="13.5" hidden="1">
      <c r="A2228" s="204">
        <f>+IFERROR(VALUE(MID(AB2228,4,4)),"")</f>
        <v>129</v>
      </c>
      <c r="B2228" s="204">
        <f>VALUE(RIGHT(C2228,LEN(C2228)-2))</f>
        <v>497</v>
      </c>
      <c r="C2228" s="219" t="s">
        <v>7631</v>
      </c>
      <c r="D2228" s="220">
        <v>42375</v>
      </c>
      <c r="E2228" s="181" t="s">
        <v>106</v>
      </c>
      <c r="F2228" s="181" t="s">
        <v>106</v>
      </c>
      <c r="G2228" s="68" t="s">
        <v>5655</v>
      </c>
      <c r="H2228" s="67" t="s">
        <v>7624</v>
      </c>
      <c r="I2228" s="163" t="s">
        <v>7632</v>
      </c>
      <c r="J2228" s="163"/>
      <c r="K2228" s="71" t="s">
        <v>45</v>
      </c>
      <c r="L2228" s="71" t="s">
        <v>123</v>
      </c>
      <c r="M2228" s="71" t="s">
        <v>141</v>
      </c>
      <c r="N2228" s="68" t="e" vm="1">
        <v>#VALUE!</v>
      </c>
      <c r="O2228" s="264">
        <v>42381</v>
      </c>
      <c r="P2228" s="221" t="s">
        <v>7465</v>
      </c>
      <c r="Q2228" s="221"/>
      <c r="R2228" s="163"/>
      <c r="S2228" s="222"/>
      <c r="T2228" s="68" t="s">
        <v>3</v>
      </c>
      <c r="U2228" s="87"/>
      <c r="V2228" s="183">
        <v>42382</v>
      </c>
      <c r="W2228" s="223">
        <f>1049+1260</f>
        <v>2309</v>
      </c>
      <c r="X2228" s="223">
        <f>3081*25700/1000000</f>
        <v>79.181700000000006</v>
      </c>
      <c r="Y2228" s="73">
        <f>IF(SUM(W2228:W2228)&gt;0,X2228/SUM(W2228:W2228)*1000000,"N/A")</f>
        <v>34292.637505413601</v>
      </c>
      <c r="Z2228" s="270"/>
      <c r="AA2228" s="270"/>
      <c r="AB2228" s="223" t="s">
        <v>7633</v>
      </c>
      <c r="AC2228" s="224"/>
      <c r="AD2228" s="336"/>
      <c r="AE2228" s="65"/>
      <c r="AF2228" s="225"/>
      <c r="AG2228" s="182">
        <f>YEAR(D2228)</f>
        <v>2016</v>
      </c>
      <c r="AH2228" s="86" t="str">
        <f>+IF(AE2228=$AJ$22,MONTH(T2228),"")</f>
        <v/>
      </c>
      <c r="AI2228" s="86" t="str">
        <f>+IF(AF2228=$AJ$22,MONTH(U2228),"")</f>
        <v/>
      </c>
      <c r="AJ2228" s="86" t="str">
        <f>+IF(AG2228=$AJ$22,MONTH(V2228),"")</f>
        <v/>
      </c>
      <c r="AK2228" s="86" t="str">
        <f>+IF(AG2228=$AK$22,MONTH(V2228),"")</f>
        <v/>
      </c>
      <c r="AL2228" s="86" t="str">
        <f>+IF(AG2228=$AL$22,MONTH(V2228),"")</f>
        <v/>
      </c>
      <c r="AM2228" s="86" t="str">
        <f>+IF($AG2228=$AM$22,MONTH($D2228),"")</f>
        <v/>
      </c>
      <c r="AN2228" s="89" t="str">
        <f>+IF($AG2228=AN$22,MONTH($D2228),"")</f>
        <v/>
      </c>
      <c r="AO2228" s="86" t="str">
        <f>+IF($AG2228=AO$22,MONTH($D2228),"")</f>
        <v/>
      </c>
      <c r="AP2228" s="86" t="str">
        <f>+IF($AG2228=AP$22,MONTH($D2228),"")</f>
        <v/>
      </c>
      <c r="AQ2228" s="86" t="str">
        <f>+IF($AG2228=AQ$22,MONTH($D2228),"")</f>
        <v/>
      </c>
      <c r="AR2228" s="86">
        <f>+IF($AG2228=AR$22,MONTH($D2228),"")</f>
        <v>1</v>
      </c>
      <c r="AS2228" s="86" t="str">
        <f>+IF($AG2228=AS$22,MONTH($D2228),"")</f>
        <v/>
      </c>
      <c r="AT2228" s="86" t="str">
        <f>+IF($AG2228=AT$22,MONTH($D2228),"")</f>
        <v/>
      </c>
      <c r="AU2228" s="86" t="str">
        <f>+IF($AG2228=AU$22,MONTH($D2228),"")</f>
        <v/>
      </c>
      <c r="AV2228" s="86" t="str">
        <f>+IF($AG2228=AV$22,MONTH($D2228),"")</f>
        <v/>
      </c>
      <c r="AW2228" s="86" t="str">
        <f>+IF($AG2228=AW$22,MONTH($D2228),"")</f>
        <v/>
      </c>
      <c r="AX2228" s="86" t="str">
        <f>+IF($AG2228=AX$22,MONTH($D2228),"")</f>
        <v/>
      </c>
      <c r="AY2228" s="89"/>
      <c r="AZ2228" s="89"/>
      <c r="BA2228" s="89"/>
      <c r="BB2228" s="89"/>
      <c r="BC2228" s="89"/>
      <c r="BD2228" s="89"/>
      <c r="BE2228" s="89"/>
      <c r="BF2228" s="89"/>
      <c r="BG2228" s="89"/>
      <c r="BH2228" s="89"/>
      <c r="BI2228" s="89"/>
      <c r="BJ2228" s="2"/>
      <c r="BK2228" s="2"/>
      <c r="BL2228" s="2"/>
      <c r="BM2228" s="2"/>
      <c r="BN2228" s="2"/>
      <c r="BO2228" s="2"/>
      <c r="BP2228" s="2"/>
    </row>
    <row r="2229" spans="1:68" s="56" customFormat="1" ht="27" hidden="1">
      <c r="A2229" s="204" t="str">
        <f>+IFERROR(VALUE(MID(AB2229,4,4)),"")</f>
        <v/>
      </c>
      <c r="B2229" s="204">
        <f>VALUE(RIGHT(C2229,LEN(C2229)-2))</f>
        <v>496</v>
      </c>
      <c r="C2229" s="74" t="s">
        <v>7634</v>
      </c>
      <c r="D2229" s="75">
        <v>42373</v>
      </c>
      <c r="E2229" s="70" t="s">
        <v>7610</v>
      </c>
      <c r="F2229" s="70" t="s">
        <v>7610</v>
      </c>
      <c r="G2229" s="68" t="s">
        <v>7069</v>
      </c>
      <c r="H2229" s="59" t="s">
        <v>7635</v>
      </c>
      <c r="I2229" s="162" t="s">
        <v>7636</v>
      </c>
      <c r="J2229" s="162"/>
      <c r="K2229" s="68" t="s">
        <v>11</v>
      </c>
      <c r="L2229" s="69" t="s">
        <v>120</v>
      </c>
      <c r="M2229" s="71" t="s">
        <v>141</v>
      </c>
      <c r="N2229" s="69" t="e" vm="1">
        <v>#VALUE!</v>
      </c>
      <c r="O2229" s="164">
        <v>42412</v>
      </c>
      <c r="P2229" s="72" t="s">
        <v>4567</v>
      </c>
      <c r="Q2229" s="72"/>
      <c r="R2229" s="162"/>
      <c r="S2229" s="146"/>
      <c r="T2229" s="68" t="s">
        <v>165</v>
      </c>
      <c r="U2229" s="87"/>
      <c r="V2229" s="183">
        <v>42382</v>
      </c>
      <c r="W2229" s="73">
        <v>2694</v>
      </c>
      <c r="X2229" s="73">
        <f>2457*25700/1000000</f>
        <v>63.1449</v>
      </c>
      <c r="Y2229" s="83">
        <f>IF(SUM(W2229:W2229)&gt;0,X2229/SUM(W2229:W2229)*1000000,"N/A")</f>
        <v>23439.086859688196</v>
      </c>
      <c r="Z2229" s="183"/>
      <c r="AA2229" s="183"/>
      <c r="AB2229" s="223"/>
      <c r="AC2229" s="153"/>
      <c r="AD2229" s="331"/>
      <c r="AE2229" s="57"/>
      <c r="AF2229" s="88"/>
      <c r="AG2229" s="182">
        <f>YEAR(D2229)</f>
        <v>2016</v>
      </c>
      <c r="AH2229" s="86" t="str">
        <f>+IF(AE2229=$AJ$22,MONTH(T2229),"")</f>
        <v/>
      </c>
      <c r="AI2229" s="86" t="str">
        <f>+IF(AF2229=$AJ$22,MONTH(U2229),"")</f>
        <v/>
      </c>
      <c r="AJ2229" s="86" t="str">
        <f>+IF(AG2229=$AJ$22,MONTH(V2229),"")</f>
        <v/>
      </c>
      <c r="AK2229" s="86" t="str">
        <f>+IF(AG2229=$AK$22,MONTH(V2229),"")</f>
        <v/>
      </c>
      <c r="AL2229" s="86" t="str">
        <f>+IF(AG2229=$AL$22,MONTH(V2229),"")</f>
        <v/>
      </c>
      <c r="AM2229" s="86" t="str">
        <f>+IF($AG2229=$AM$22,MONTH($D2229),"")</f>
        <v/>
      </c>
      <c r="AN2229" s="89" t="str">
        <f>+IF($AG2229=AN$22,MONTH($D2229),"")</f>
        <v/>
      </c>
      <c r="AO2229" s="86" t="str">
        <f>+IF($AG2229=AO$22,MONTH($D2229),"")</f>
        <v/>
      </c>
      <c r="AP2229" s="86" t="str">
        <f>+IF($AG2229=AP$22,MONTH($D2229),"")</f>
        <v/>
      </c>
      <c r="AQ2229" s="86" t="str">
        <f>+IF($AG2229=AQ$22,MONTH($D2229),"")</f>
        <v/>
      </c>
      <c r="AR2229" s="86">
        <f>+IF($AG2229=AR$22,MONTH($D2229),"")</f>
        <v>1</v>
      </c>
      <c r="AS2229" s="86" t="str">
        <f>+IF($AG2229=AS$22,MONTH($D2229),"")</f>
        <v/>
      </c>
      <c r="AT2229" s="86" t="str">
        <f>+IF($AG2229=AT$22,MONTH($D2229),"")</f>
        <v/>
      </c>
      <c r="AU2229" s="86" t="str">
        <f>+IF($AG2229=AU$22,MONTH($D2229),"")</f>
        <v/>
      </c>
      <c r="AV2229" s="86" t="str">
        <f>+IF($AG2229=AV$22,MONTH($D2229),"")</f>
        <v/>
      </c>
      <c r="AW2229" s="86" t="str">
        <f>+IF($AG2229=AW$22,MONTH($D2229),"")</f>
        <v/>
      </c>
      <c r="AX2229" s="86" t="str">
        <f>+IF($AG2229=AX$22,MONTH($D2229),"")</f>
        <v/>
      </c>
      <c r="AY2229" s="89"/>
      <c r="AZ2229" s="89"/>
      <c r="BA2229" s="89"/>
      <c r="BB2229" s="89"/>
      <c r="BC2229" s="89"/>
      <c r="BD2229" s="89"/>
      <c r="BE2229" s="89"/>
      <c r="BF2229" s="89"/>
      <c r="BG2229" s="89"/>
      <c r="BH2229" s="89"/>
      <c r="BI2229" s="89"/>
      <c r="BJ2229" s="89"/>
      <c r="BK2229" s="89"/>
      <c r="BL2229" s="89"/>
      <c r="BM2229" s="89"/>
      <c r="BN2229" s="89"/>
      <c r="BO2229" s="89"/>
      <c r="BP2229" s="89"/>
    </row>
    <row r="2230" spans="1:68" s="56" customFormat="1" ht="27" hidden="1">
      <c r="A2230" s="204" t="str">
        <f>+IFERROR(VALUE(MID(AB2230,4,4)),"")</f>
        <v/>
      </c>
      <c r="B2230" s="204">
        <f>VALUE(RIGHT(C2230,LEN(C2230)-2))</f>
        <v>495</v>
      </c>
      <c r="C2230" s="74" t="s">
        <v>7637</v>
      </c>
      <c r="D2230" s="75">
        <v>42366</v>
      </c>
      <c r="E2230" s="70" t="s">
        <v>51</v>
      </c>
      <c r="F2230" s="70" t="s">
        <v>51</v>
      </c>
      <c r="G2230" s="68" t="s">
        <v>640</v>
      </c>
      <c r="H2230" s="59" t="s">
        <v>7638</v>
      </c>
      <c r="I2230" s="162" t="s">
        <v>7639</v>
      </c>
      <c r="J2230" s="162"/>
      <c r="K2230" s="68" t="s">
        <v>113</v>
      </c>
      <c r="L2230" s="69" t="s">
        <v>120</v>
      </c>
      <c r="M2230" s="71" t="s">
        <v>141</v>
      </c>
      <c r="N2230" s="69" t="e" vm="1">
        <v>#VALUE!</v>
      </c>
      <c r="O2230" s="164">
        <v>42377</v>
      </c>
      <c r="P2230" s="72" t="s">
        <v>4567</v>
      </c>
      <c r="Q2230" s="72"/>
      <c r="R2230" s="162"/>
      <c r="S2230" s="146"/>
      <c r="T2230" s="68" t="s">
        <v>165</v>
      </c>
      <c r="U2230" s="87"/>
      <c r="V2230" s="183">
        <v>42388</v>
      </c>
      <c r="W2230" s="73">
        <v>500</v>
      </c>
      <c r="X2230" s="73">
        <f>1012*25600/1000000</f>
        <v>25.9072</v>
      </c>
      <c r="Y2230" s="83">
        <f>IF(SUM(W2230:W2230)&gt;0,X2230/SUM(W2230:W2230)*1000000,"N/A")</f>
        <v>51814.399999999994</v>
      </c>
      <c r="Z2230" s="183"/>
      <c r="AA2230" s="183"/>
      <c r="AB2230" s="223"/>
      <c r="AC2230" s="153"/>
      <c r="AD2230" s="331"/>
      <c r="AE2230" s="57"/>
      <c r="AF2230" s="88"/>
      <c r="AG2230" s="182">
        <f>YEAR(D2230)</f>
        <v>2015</v>
      </c>
      <c r="AH2230" s="86" t="str">
        <f>+IF(AE2230=$AJ$22,MONTH(T2230),"")</f>
        <v/>
      </c>
      <c r="AI2230" s="86" t="str">
        <f>+IF(AF2230=$AJ$22,MONTH(U2230),"")</f>
        <v/>
      </c>
      <c r="AJ2230" s="86" t="str">
        <f>+IF(AG2230=$AJ$22,MONTH(V2230),"")</f>
        <v/>
      </c>
      <c r="AK2230" s="86" t="str">
        <f>+IF(AG2230=$AK$22,MONTH(V2230),"")</f>
        <v/>
      </c>
      <c r="AL2230" s="86" t="str">
        <f>+IF(AG2230=$AL$22,MONTH(V2230),"")</f>
        <v/>
      </c>
      <c r="AM2230" s="86" t="str">
        <f>+IF($AG2230=$AM$22,MONTH($D2230),"")</f>
        <v/>
      </c>
      <c r="AN2230" s="89" t="str">
        <f>+IF($AG2230=AN$22,MONTH($D2230),"")</f>
        <v/>
      </c>
      <c r="AO2230" s="86" t="str">
        <f>+IF($AG2230=AO$22,MONTH($D2230),"")</f>
        <v/>
      </c>
      <c r="AP2230" s="86" t="str">
        <f>+IF($AG2230=AP$22,MONTH($D2230),"")</f>
        <v/>
      </c>
      <c r="AQ2230" s="86" t="str">
        <f>+IF($AG2230=AQ$22,MONTH($D2230),"")</f>
        <v/>
      </c>
      <c r="AR2230" s="86" t="str">
        <f>+IF($AG2230=AR$22,MONTH($D2230),"")</f>
        <v/>
      </c>
      <c r="AS2230" s="86">
        <f>+IF($AG2230=AS$22,MONTH($D2230),"")</f>
        <v>12</v>
      </c>
      <c r="AT2230" s="86" t="str">
        <f>+IF($AG2230=AT$22,MONTH($D2230),"")</f>
        <v/>
      </c>
      <c r="AU2230" s="86" t="str">
        <f>+IF($AG2230=AU$22,MONTH($D2230),"")</f>
        <v/>
      </c>
      <c r="AV2230" s="86" t="str">
        <f>+IF($AG2230=AV$22,MONTH($D2230),"")</f>
        <v/>
      </c>
      <c r="AW2230" s="86" t="str">
        <f>+IF($AG2230=AW$22,MONTH($D2230),"")</f>
        <v/>
      </c>
      <c r="AX2230" s="86" t="str">
        <f>+IF($AG2230=AX$22,MONTH($D2230),"")</f>
        <v/>
      </c>
      <c r="AY2230" s="89"/>
      <c r="AZ2230" s="89"/>
      <c r="BA2230" s="89"/>
      <c r="BB2230" s="89"/>
      <c r="BC2230" s="89"/>
      <c r="BD2230" s="89"/>
      <c r="BE2230" s="89"/>
      <c r="BF2230" s="89"/>
      <c r="BG2230" s="89"/>
      <c r="BH2230" s="89"/>
      <c r="BI2230" s="89"/>
      <c r="BJ2230" s="89"/>
      <c r="BK2230" s="89"/>
      <c r="BL2230" s="89"/>
      <c r="BM2230" s="89"/>
      <c r="BN2230" s="89"/>
      <c r="BO2230" s="89"/>
      <c r="BP2230" s="89"/>
    </row>
    <row r="2231" spans="1:68" s="56" customFormat="1" ht="13.5" hidden="1">
      <c r="A2231" s="204" t="str">
        <f>+IFERROR(VALUE(MID(AB2231,4,4)),"")</f>
        <v/>
      </c>
      <c r="B2231" s="204">
        <f>VALUE(RIGHT(C2231,LEN(C2231)-2))</f>
        <v>494</v>
      </c>
      <c r="C2231" s="74" t="s">
        <v>7640</v>
      </c>
      <c r="D2231" s="75">
        <v>42362</v>
      </c>
      <c r="E2231" s="70" t="s">
        <v>7641</v>
      </c>
      <c r="F2231" s="70" t="s">
        <v>7641</v>
      </c>
      <c r="G2231" s="68"/>
      <c r="H2231" s="59"/>
      <c r="I2231" s="162" t="s">
        <v>7642</v>
      </c>
      <c r="J2231" s="162"/>
      <c r="K2231" s="68"/>
      <c r="L2231" s="69" t="s">
        <v>120</v>
      </c>
      <c r="M2231" s="71" t="s">
        <v>141</v>
      </c>
      <c r="N2231" s="69" t="e" vm="1">
        <v>#VALUE!</v>
      </c>
      <c r="O2231" s="164">
        <v>42376</v>
      </c>
      <c r="P2231" s="72" t="s">
        <v>4567</v>
      </c>
      <c r="Q2231" s="72"/>
      <c r="R2231" s="162"/>
      <c r="S2231" s="146"/>
      <c r="T2231" s="68" t="s">
        <v>155</v>
      </c>
      <c r="U2231" s="87"/>
      <c r="V2231" s="183">
        <v>42481</v>
      </c>
      <c r="W2231" s="73"/>
      <c r="X2231" s="73"/>
      <c r="Y2231" s="83"/>
      <c r="Z2231" s="183"/>
      <c r="AA2231" s="183"/>
      <c r="AB2231" s="223"/>
      <c r="AC2231" s="153"/>
      <c r="AD2231" s="331"/>
      <c r="AE2231" s="57"/>
      <c r="AF2231" s="88"/>
      <c r="AG2231" s="182">
        <f>YEAR(D2231)</f>
        <v>2015</v>
      </c>
      <c r="AH2231" s="86" t="str">
        <f>+IF(AE2231=$AJ$22,MONTH(T2231),"")</f>
        <v/>
      </c>
      <c r="AI2231" s="86" t="str">
        <f>+IF(AF2231=$AJ$22,MONTH(U2231),"")</f>
        <v/>
      </c>
      <c r="AJ2231" s="86" t="str">
        <f>+IF(AG2231=$AJ$22,MONTH(V2231),"")</f>
        <v/>
      </c>
      <c r="AK2231" s="86" t="str">
        <f>+IF(AG2231=$AK$22,MONTH(V2231),"")</f>
        <v/>
      </c>
      <c r="AL2231" s="86" t="str">
        <f>+IF(AG2231=$AL$22,MONTH(V2231),"")</f>
        <v/>
      </c>
      <c r="AM2231" s="86" t="str">
        <f>+IF($AG2231=$AM$22,MONTH($D2231),"")</f>
        <v/>
      </c>
      <c r="AN2231" s="89" t="str">
        <f>+IF($AG2231=AN$22,MONTH($D2231),"")</f>
        <v/>
      </c>
      <c r="AO2231" s="86" t="str">
        <f>+IF($AG2231=AO$22,MONTH($D2231),"")</f>
        <v/>
      </c>
      <c r="AP2231" s="86" t="str">
        <f>+IF($AG2231=AP$22,MONTH($D2231),"")</f>
        <v/>
      </c>
      <c r="AQ2231" s="86" t="str">
        <f>+IF($AG2231=AQ$22,MONTH($D2231),"")</f>
        <v/>
      </c>
      <c r="AR2231" s="86" t="str">
        <f>+IF($AG2231=AR$22,MONTH($D2231),"")</f>
        <v/>
      </c>
      <c r="AS2231" s="86">
        <f>+IF($AG2231=AS$22,MONTH($D2231),"")</f>
        <v>12</v>
      </c>
      <c r="AT2231" s="86" t="str">
        <f>+IF($AG2231=AT$22,MONTH($D2231),"")</f>
        <v/>
      </c>
      <c r="AU2231" s="86" t="str">
        <f>+IF($AG2231=AU$22,MONTH($D2231),"")</f>
        <v/>
      </c>
      <c r="AV2231" s="86" t="str">
        <f>+IF($AG2231=AV$22,MONTH($D2231),"")</f>
        <v/>
      </c>
      <c r="AW2231" s="86" t="str">
        <f>+IF($AG2231=AW$22,MONTH($D2231),"")</f>
        <v/>
      </c>
      <c r="AX2231" s="86" t="str">
        <f>+IF($AG2231=AX$22,MONTH($D2231),"")</f>
        <v/>
      </c>
      <c r="AY2231" s="182"/>
      <c r="AZ2231" s="2"/>
      <c r="BA2231" s="2"/>
      <c r="BB2231" s="2"/>
      <c r="BC2231" s="2"/>
      <c r="BD2231" s="2"/>
      <c r="BE2231" s="2"/>
      <c r="BF2231" s="2"/>
      <c r="BG2231" s="2"/>
      <c r="BH2231" s="2"/>
      <c r="BI2231" s="2"/>
      <c r="BJ2231" s="89"/>
      <c r="BK2231" s="89"/>
      <c r="BL2231" s="89"/>
      <c r="BM2231" s="89"/>
      <c r="BN2231" s="89"/>
      <c r="BO2231" s="89"/>
      <c r="BP2231" s="89"/>
    </row>
    <row r="2232" spans="1:68" s="56" customFormat="1" ht="53.25" hidden="1">
      <c r="A2232" s="204" t="str">
        <f>+IFERROR(VALUE(MID(AB2232,4,4)),"")</f>
        <v/>
      </c>
      <c r="B2232" s="204">
        <f>VALUE(RIGHT(C2232,LEN(C2232)-2))</f>
        <v>493</v>
      </c>
      <c r="C2232" s="74" t="s">
        <v>7643</v>
      </c>
      <c r="D2232" s="75">
        <v>42362</v>
      </c>
      <c r="E2232" s="70" t="s">
        <v>332</v>
      </c>
      <c r="F2232" s="70" t="s">
        <v>332</v>
      </c>
      <c r="G2232" s="68" t="s">
        <v>285</v>
      </c>
      <c r="H2232" s="59"/>
      <c r="I2232" s="162" t="s">
        <v>7644</v>
      </c>
      <c r="J2232" s="162"/>
      <c r="K2232" s="68" t="s">
        <v>13</v>
      </c>
      <c r="L2232" s="69" t="s">
        <v>120</v>
      </c>
      <c r="M2232" s="71" t="s">
        <v>141</v>
      </c>
      <c r="N2232" s="69" t="e" vm="1">
        <v>#VALUE!</v>
      </c>
      <c r="O2232" s="164">
        <v>42373</v>
      </c>
      <c r="P2232" s="72" t="s">
        <v>402</v>
      </c>
      <c r="Q2232" s="72"/>
      <c r="R2232" s="162"/>
      <c r="S2232" s="146" t="s">
        <v>7645</v>
      </c>
      <c r="T2232" s="68" t="s">
        <v>165</v>
      </c>
      <c r="U2232" s="87"/>
      <c r="V2232" s="183">
        <v>42481</v>
      </c>
      <c r="W2232" s="73">
        <v>1087</v>
      </c>
      <c r="X2232" s="73">
        <f>1559*24600/1000000</f>
        <v>38.351399999999998</v>
      </c>
      <c r="Y2232" s="83">
        <f>IF(SUM(W2232:W2232)&gt;0,X2232/SUM(W2232:W2232)*1000000,"N/A")</f>
        <v>35281.876724931004</v>
      </c>
      <c r="Z2232" s="183"/>
      <c r="AA2232" s="183"/>
      <c r="AB2232" s="223"/>
      <c r="AC2232" s="153"/>
      <c r="AD2232" s="331"/>
      <c r="AE2232" s="57"/>
      <c r="AF2232" s="88"/>
      <c r="AG2232" s="182">
        <f>YEAR(D2232)</f>
        <v>2015</v>
      </c>
      <c r="AH2232" s="86" t="str">
        <f>+IF(AE2232=$AJ$22,MONTH(T2232),"")</f>
        <v/>
      </c>
      <c r="AI2232" s="86" t="str">
        <f>+IF(AF2232=$AJ$22,MONTH(U2232),"")</f>
        <v/>
      </c>
      <c r="AJ2232" s="86" t="str">
        <f>+IF(AG2232=$AJ$22,MONTH(V2232),"")</f>
        <v/>
      </c>
      <c r="AK2232" s="86" t="str">
        <f>+IF(AG2232=$AK$22,MONTH(V2232),"")</f>
        <v/>
      </c>
      <c r="AL2232" s="86" t="str">
        <f>+IF(AG2232=$AL$22,MONTH(V2232),"")</f>
        <v/>
      </c>
      <c r="AM2232" s="86" t="str">
        <f>+IF($AG2232=$AM$22,MONTH($D2232),"")</f>
        <v/>
      </c>
      <c r="AN2232" s="89" t="str">
        <f>+IF($AG2232=AN$22,MONTH($D2232),"")</f>
        <v/>
      </c>
      <c r="AO2232" s="86" t="str">
        <f>+IF($AG2232=AO$22,MONTH($D2232),"")</f>
        <v/>
      </c>
      <c r="AP2232" s="86" t="str">
        <f>+IF($AG2232=AP$22,MONTH($D2232),"")</f>
        <v/>
      </c>
      <c r="AQ2232" s="86" t="str">
        <f>+IF($AG2232=AQ$22,MONTH($D2232),"")</f>
        <v/>
      </c>
      <c r="AR2232" s="86" t="str">
        <f>+IF($AG2232=AR$22,MONTH($D2232),"")</f>
        <v/>
      </c>
      <c r="AS2232" s="86">
        <f>+IF($AG2232=AS$22,MONTH($D2232),"")</f>
        <v>12</v>
      </c>
      <c r="AT2232" s="86" t="str">
        <f>+IF($AG2232=AT$22,MONTH($D2232),"")</f>
        <v/>
      </c>
      <c r="AU2232" s="86" t="str">
        <f>+IF($AG2232=AU$22,MONTH($D2232),"")</f>
        <v/>
      </c>
      <c r="AV2232" s="86" t="str">
        <f>+IF($AG2232=AV$22,MONTH($D2232),"")</f>
        <v/>
      </c>
      <c r="AW2232" s="86" t="str">
        <f>+IF($AG2232=AW$22,MONTH($D2232),"")</f>
        <v/>
      </c>
      <c r="AX2232" s="86" t="str">
        <f>+IF($AG2232=AX$22,MONTH($D2232),"")</f>
        <v/>
      </c>
      <c r="AY2232" s="89"/>
      <c r="AZ2232" s="89"/>
      <c r="BA2232" s="89"/>
      <c r="BB2232" s="89"/>
      <c r="BC2232" s="89"/>
      <c r="BD2232" s="89"/>
      <c r="BE2232" s="89"/>
      <c r="BF2232" s="89"/>
      <c r="BG2232" s="89"/>
      <c r="BH2232" s="89"/>
      <c r="BI2232" s="89"/>
      <c r="BJ2232" s="89"/>
      <c r="BK2232" s="89"/>
      <c r="BL2232" s="89"/>
      <c r="BM2232" s="89"/>
      <c r="BN2232" s="89"/>
      <c r="BO2232" s="89"/>
      <c r="BP2232" s="89"/>
    </row>
    <row r="2233" spans="1:68" s="56" customFormat="1" ht="27.75" hidden="1" customHeight="1">
      <c r="A2233" s="204" t="str">
        <f>+IFERROR(VALUE(MID(AB2233,4,4)),"")</f>
        <v/>
      </c>
      <c r="B2233" s="204">
        <f>VALUE(RIGHT(C2233,LEN(C2233)-2))</f>
        <v>492</v>
      </c>
      <c r="C2233" s="74" t="s">
        <v>7646</v>
      </c>
      <c r="D2233" s="75">
        <v>42362</v>
      </c>
      <c r="E2233" s="70" t="s">
        <v>332</v>
      </c>
      <c r="F2233" s="70" t="s">
        <v>332</v>
      </c>
      <c r="G2233" s="68" t="s">
        <v>285</v>
      </c>
      <c r="H2233" s="59"/>
      <c r="I2233" s="162" t="s">
        <v>7647</v>
      </c>
      <c r="J2233" s="162"/>
      <c r="K2233" s="68" t="s">
        <v>13</v>
      </c>
      <c r="L2233" s="69" t="s">
        <v>120</v>
      </c>
      <c r="M2233" s="71" t="s">
        <v>141</v>
      </c>
      <c r="N2233" s="69" t="e" vm="1">
        <v>#VALUE!</v>
      </c>
      <c r="O2233" s="164">
        <v>42377</v>
      </c>
      <c r="P2233" s="72" t="s">
        <v>7465</v>
      </c>
      <c r="Q2233" s="72"/>
      <c r="R2233" s="162"/>
      <c r="S2233" s="146" t="s">
        <v>7648</v>
      </c>
      <c r="T2233" s="68" t="s">
        <v>165</v>
      </c>
      <c r="U2233" s="87"/>
      <c r="V2233" s="183">
        <v>42377</v>
      </c>
      <c r="W2233" s="73">
        <v>653</v>
      </c>
      <c r="X2233" s="73">
        <f>904*25600/1000000</f>
        <v>23.142399999999999</v>
      </c>
      <c r="Y2233" s="83">
        <f>IF(SUM(W2233:W2233)&gt;0,X2233/SUM(W2233:W2233)*1000000,"N/A")</f>
        <v>35440.122511485446</v>
      </c>
      <c r="Z2233" s="183"/>
      <c r="AA2233" s="183"/>
      <c r="AB2233" s="223"/>
      <c r="AC2233" s="153"/>
      <c r="AD2233" s="331"/>
      <c r="AE2233" s="57"/>
      <c r="AF2233" s="88"/>
      <c r="AG2233" s="182">
        <f>YEAR(D2233)</f>
        <v>2015</v>
      </c>
      <c r="AH2233" s="86" t="str">
        <f>+IF(AE2233=$AJ$22,MONTH(T2233),"")</f>
        <v/>
      </c>
      <c r="AI2233" s="86" t="str">
        <f>+IF(AF2233=$AJ$22,MONTH(U2233),"")</f>
        <v/>
      </c>
      <c r="AJ2233" s="86" t="str">
        <f>+IF(AG2233=$AJ$22,MONTH(V2233),"")</f>
        <v/>
      </c>
      <c r="AK2233" s="86" t="str">
        <f>+IF(AG2233=$AK$22,MONTH(V2233),"")</f>
        <v/>
      </c>
      <c r="AL2233" s="86" t="str">
        <f>+IF(AG2233=$AL$22,MONTH(V2233),"")</f>
        <v/>
      </c>
      <c r="AM2233" s="86" t="str">
        <f>+IF($AG2233=$AM$22,MONTH($D2233),"")</f>
        <v/>
      </c>
      <c r="AN2233" s="89" t="str">
        <f>+IF($AG2233=AN$22,MONTH($D2233),"")</f>
        <v/>
      </c>
      <c r="AO2233" s="86" t="str">
        <f>+IF($AG2233=AO$22,MONTH($D2233),"")</f>
        <v/>
      </c>
      <c r="AP2233" s="86" t="str">
        <f>+IF($AG2233=AP$22,MONTH($D2233),"")</f>
        <v/>
      </c>
      <c r="AQ2233" s="86" t="str">
        <f>+IF($AG2233=AQ$22,MONTH($D2233),"")</f>
        <v/>
      </c>
      <c r="AR2233" s="86" t="str">
        <f>+IF($AG2233=AR$22,MONTH($D2233),"")</f>
        <v/>
      </c>
      <c r="AS2233" s="86">
        <f>+IF($AG2233=AS$22,MONTH($D2233),"")</f>
        <v>12</v>
      </c>
      <c r="AT2233" s="86" t="str">
        <f>+IF($AG2233=AT$22,MONTH($D2233),"")</f>
        <v/>
      </c>
      <c r="AU2233" s="86" t="str">
        <f>+IF($AG2233=AU$22,MONTH($D2233),"")</f>
        <v/>
      </c>
      <c r="AV2233" s="86" t="str">
        <f>+IF($AG2233=AV$22,MONTH($D2233),"")</f>
        <v/>
      </c>
      <c r="AW2233" s="86" t="str">
        <f>+IF($AG2233=AW$22,MONTH($D2233),"")</f>
        <v/>
      </c>
      <c r="AX2233" s="86" t="str">
        <f>+IF($AG2233=AX$22,MONTH($D2233),"")</f>
        <v/>
      </c>
      <c r="AY2233" s="89"/>
      <c r="AZ2233" s="89"/>
      <c r="BA2233" s="89"/>
      <c r="BB2233" s="89"/>
      <c r="BC2233" s="89"/>
      <c r="BD2233" s="89"/>
      <c r="BE2233" s="89"/>
      <c r="BF2233" s="89"/>
      <c r="BG2233" s="89"/>
      <c r="BH2233" s="89"/>
      <c r="BI2233" s="89"/>
      <c r="BJ2233" s="89"/>
      <c r="BK2233" s="89"/>
      <c r="BL2233" s="89"/>
      <c r="BM2233" s="89"/>
      <c r="BN2233" s="89"/>
      <c r="BO2233" s="89"/>
      <c r="BP2233" s="89"/>
    </row>
    <row r="2234" spans="1:68" s="56" customFormat="1" ht="13.5" hidden="1">
      <c r="A2234" s="204" t="str">
        <f>+IFERROR(VALUE(MID(AB2234,4,4)),"")</f>
        <v/>
      </c>
      <c r="B2234" s="204">
        <f>VALUE(RIGHT(C2234,LEN(C2234)-2))</f>
        <v>491</v>
      </c>
      <c r="C2234" s="74" t="s">
        <v>7649</v>
      </c>
      <c r="D2234" s="75">
        <v>42362</v>
      </c>
      <c r="E2234" s="70" t="s">
        <v>332</v>
      </c>
      <c r="F2234" s="70" t="s">
        <v>332</v>
      </c>
      <c r="G2234" s="68" t="s">
        <v>285</v>
      </c>
      <c r="H2234" s="59"/>
      <c r="I2234" s="162" t="s">
        <v>7650</v>
      </c>
      <c r="J2234" s="162"/>
      <c r="K2234" s="68" t="s">
        <v>13</v>
      </c>
      <c r="L2234" s="69" t="s">
        <v>120</v>
      </c>
      <c r="M2234" s="71" t="s">
        <v>141</v>
      </c>
      <c r="N2234" s="69" t="e" vm="1">
        <v>#VALUE!</v>
      </c>
      <c r="O2234" s="164">
        <v>42377</v>
      </c>
      <c r="P2234" s="72" t="s">
        <v>7372</v>
      </c>
      <c r="Q2234" s="72"/>
      <c r="R2234" s="162"/>
      <c r="S2234" s="146" t="s">
        <v>7648</v>
      </c>
      <c r="T2234" s="68" t="s">
        <v>165</v>
      </c>
      <c r="U2234" s="87"/>
      <c r="V2234" s="183">
        <v>42377</v>
      </c>
      <c r="W2234" s="73">
        <v>484</v>
      </c>
      <c r="X2234" s="73">
        <f>660*25600/1000000</f>
        <v>16.896000000000001</v>
      </c>
      <c r="Y2234" s="83">
        <f>IF(SUM(W2234:W2234)&gt;0,X2234/SUM(W2234:W2234)*1000000,"N/A")</f>
        <v>34909.090909090912</v>
      </c>
      <c r="Z2234" s="183"/>
      <c r="AA2234" s="183"/>
      <c r="AB2234" s="223"/>
      <c r="AC2234" s="153"/>
      <c r="AD2234" s="331"/>
      <c r="AE2234" s="57"/>
      <c r="AF2234" s="88"/>
      <c r="AG2234" s="182">
        <f>YEAR(D2234)</f>
        <v>2015</v>
      </c>
      <c r="AH2234" s="86" t="str">
        <f>+IF(AE2234=$AJ$22,MONTH(T2234),"")</f>
        <v/>
      </c>
      <c r="AI2234" s="86" t="str">
        <f>+IF(AF2234=$AJ$22,MONTH(U2234),"")</f>
        <v/>
      </c>
      <c r="AJ2234" s="86" t="str">
        <f>+IF(AG2234=$AJ$22,MONTH(V2234),"")</f>
        <v/>
      </c>
      <c r="AK2234" s="86" t="str">
        <f>+IF(AG2234=$AK$22,MONTH(V2234),"")</f>
        <v/>
      </c>
      <c r="AL2234" s="86" t="str">
        <f>+IF(AG2234=$AL$22,MONTH(V2234),"")</f>
        <v/>
      </c>
      <c r="AM2234" s="86" t="str">
        <f>+IF($AG2234=$AM$22,MONTH($D2234),"")</f>
        <v/>
      </c>
      <c r="AN2234" s="89" t="str">
        <f>+IF($AG2234=AN$22,MONTH($D2234),"")</f>
        <v/>
      </c>
      <c r="AO2234" s="86" t="str">
        <f>+IF($AG2234=AO$22,MONTH($D2234),"")</f>
        <v/>
      </c>
      <c r="AP2234" s="86" t="str">
        <f>+IF($AG2234=AP$22,MONTH($D2234),"")</f>
        <v/>
      </c>
      <c r="AQ2234" s="86" t="str">
        <f>+IF($AG2234=AQ$22,MONTH($D2234),"")</f>
        <v/>
      </c>
      <c r="AR2234" s="86" t="str">
        <f>+IF($AG2234=AR$22,MONTH($D2234),"")</f>
        <v/>
      </c>
      <c r="AS2234" s="86">
        <f>+IF($AG2234=AS$22,MONTH($D2234),"")</f>
        <v>12</v>
      </c>
      <c r="AT2234" s="86" t="str">
        <f>+IF($AG2234=AT$22,MONTH($D2234),"")</f>
        <v/>
      </c>
      <c r="AU2234" s="86" t="str">
        <f>+IF($AG2234=AU$22,MONTH($D2234),"")</f>
        <v/>
      </c>
      <c r="AV2234" s="86" t="str">
        <f>+IF($AG2234=AV$22,MONTH($D2234),"")</f>
        <v/>
      </c>
      <c r="AW2234" s="86" t="str">
        <f>+IF($AG2234=AW$22,MONTH($D2234),"")</f>
        <v/>
      </c>
      <c r="AX2234" s="86" t="str">
        <f>+IF($AG2234=AX$22,MONTH($D2234),"")</f>
        <v/>
      </c>
      <c r="AY2234" s="89"/>
      <c r="AZ2234" s="89"/>
      <c r="BA2234" s="89"/>
      <c r="BB2234" s="89"/>
      <c r="BC2234" s="89"/>
      <c r="BD2234" s="89"/>
      <c r="BE2234" s="89"/>
      <c r="BF2234" s="89"/>
      <c r="BG2234" s="89"/>
      <c r="BH2234" s="89"/>
      <c r="BI2234" s="89"/>
      <c r="BJ2234" s="89"/>
      <c r="BK2234" s="89"/>
      <c r="BL2234" s="89"/>
      <c r="BM2234" s="89"/>
      <c r="BN2234" s="89"/>
      <c r="BO2234" s="89"/>
      <c r="BP2234" s="89"/>
    </row>
    <row r="2235" spans="1:68" s="56" customFormat="1" ht="27" hidden="1">
      <c r="A2235" s="204">
        <f>+IFERROR(VALUE(MID(AB2235,4,4)),"")</f>
        <v>113</v>
      </c>
      <c r="B2235" s="204">
        <f>VALUE(RIGHT(C2235,LEN(C2235)-2))</f>
        <v>490</v>
      </c>
      <c r="C2235" s="74" t="s">
        <v>7651</v>
      </c>
      <c r="D2235" s="75">
        <v>42361</v>
      </c>
      <c r="E2235" s="70" t="s">
        <v>332</v>
      </c>
      <c r="F2235" s="70" t="s">
        <v>332</v>
      </c>
      <c r="G2235" s="68" t="s">
        <v>285</v>
      </c>
      <c r="H2235" s="59"/>
      <c r="I2235" s="162" t="s">
        <v>7652</v>
      </c>
      <c r="J2235" s="162"/>
      <c r="K2235" s="68" t="s">
        <v>13</v>
      </c>
      <c r="L2235" s="69" t="s">
        <v>120</v>
      </c>
      <c r="M2235" s="71" t="s">
        <v>141</v>
      </c>
      <c r="N2235" s="69" t="e" vm="1">
        <v>#VALUE!</v>
      </c>
      <c r="O2235" s="164">
        <v>42373</v>
      </c>
      <c r="P2235" s="72" t="s">
        <v>402</v>
      </c>
      <c r="Q2235" s="72"/>
      <c r="R2235" s="162"/>
      <c r="S2235" s="146" t="s">
        <v>7653</v>
      </c>
      <c r="T2235" s="68" t="s">
        <v>3</v>
      </c>
      <c r="U2235" s="87"/>
      <c r="V2235" s="183">
        <v>42366</v>
      </c>
      <c r="W2235" s="73">
        <v>330</v>
      </c>
      <c r="X2235" s="73">
        <f>447*25600/1000000</f>
        <v>11.443199999999999</v>
      </c>
      <c r="Y2235" s="83">
        <f>IF(SUM(W2235:W2235)&gt;0,X2235/SUM(W2235:W2235)*1000000,"N/A")</f>
        <v>34676.36363636364</v>
      </c>
      <c r="Z2235" s="183"/>
      <c r="AA2235" s="183"/>
      <c r="AB2235" s="223" t="s">
        <v>7654</v>
      </c>
      <c r="AC2235" s="153"/>
      <c r="AD2235" s="331"/>
      <c r="AE2235" s="57"/>
      <c r="AF2235" s="88"/>
      <c r="AG2235" s="182">
        <f>YEAR(D2235)</f>
        <v>2015</v>
      </c>
      <c r="AH2235" s="86" t="str">
        <f>+IF(AE2235=$AJ$22,MONTH(T2235),"")</f>
        <v/>
      </c>
      <c r="AI2235" s="86" t="str">
        <f>+IF(AF2235=$AJ$22,MONTH(U2235),"")</f>
        <v/>
      </c>
      <c r="AJ2235" s="86" t="str">
        <f>+IF(AG2235=$AJ$22,MONTH(V2235),"")</f>
        <v/>
      </c>
      <c r="AK2235" s="86" t="str">
        <f>+IF(AG2235=$AK$22,MONTH(V2235),"")</f>
        <v/>
      </c>
      <c r="AL2235" s="86" t="str">
        <f>+IF(AG2235=$AL$22,MONTH(V2235),"")</f>
        <v/>
      </c>
      <c r="AM2235" s="86" t="str">
        <f>+IF($AG2235=$AM$22,MONTH($D2235),"")</f>
        <v/>
      </c>
      <c r="AN2235" s="89" t="str">
        <f>+IF($AG2235=AN$22,MONTH($D2235),"")</f>
        <v/>
      </c>
      <c r="AO2235" s="86" t="str">
        <f>+IF($AG2235=AO$22,MONTH($D2235),"")</f>
        <v/>
      </c>
      <c r="AP2235" s="86" t="str">
        <f>+IF($AG2235=AP$22,MONTH($D2235),"")</f>
        <v/>
      </c>
      <c r="AQ2235" s="86" t="str">
        <f>+IF($AG2235=AQ$22,MONTH($D2235),"")</f>
        <v/>
      </c>
      <c r="AR2235" s="86" t="str">
        <f>+IF($AG2235=AR$22,MONTH($D2235),"")</f>
        <v/>
      </c>
      <c r="AS2235" s="86">
        <f>+IF($AG2235=AS$22,MONTH($D2235),"")</f>
        <v>12</v>
      </c>
      <c r="AT2235" s="86" t="str">
        <f>+IF($AG2235=AT$22,MONTH($D2235),"")</f>
        <v/>
      </c>
      <c r="AU2235" s="86" t="str">
        <f>+IF($AG2235=AU$22,MONTH($D2235),"")</f>
        <v/>
      </c>
      <c r="AV2235" s="86" t="str">
        <f>+IF($AG2235=AV$22,MONTH($D2235),"")</f>
        <v/>
      </c>
      <c r="AW2235" s="86" t="str">
        <f>+IF($AG2235=AW$22,MONTH($D2235),"")</f>
        <v/>
      </c>
      <c r="AX2235" s="86" t="str">
        <f>+IF($AG2235=AX$22,MONTH($D2235),"")</f>
        <v/>
      </c>
      <c r="AY2235" s="182"/>
      <c r="AZ2235" s="2"/>
      <c r="BA2235" s="2"/>
      <c r="BB2235" s="2"/>
      <c r="BC2235" s="2"/>
      <c r="BD2235" s="2"/>
      <c r="BE2235" s="2"/>
      <c r="BF2235" s="2"/>
      <c r="BG2235" s="2"/>
      <c r="BH2235" s="2"/>
      <c r="BI2235" s="2"/>
      <c r="BJ2235" s="89"/>
      <c r="BK2235" s="89"/>
      <c r="BL2235" s="89"/>
      <c r="BM2235" s="89"/>
      <c r="BN2235" s="89"/>
      <c r="BO2235" s="89"/>
      <c r="BP2235" s="89"/>
    </row>
    <row r="2236" spans="1:68" s="56" customFormat="1" ht="27" hidden="1">
      <c r="A2236" s="204" t="str">
        <f>+IFERROR(VALUE(MID(AB2236,4,4)),"")</f>
        <v/>
      </c>
      <c r="B2236" s="204">
        <f>VALUE(RIGHT(C2236,LEN(C2236)-2))</f>
        <v>489</v>
      </c>
      <c r="C2236" s="74" t="s">
        <v>7655</v>
      </c>
      <c r="D2236" s="75">
        <v>42360</v>
      </c>
      <c r="E2236" s="70" t="s">
        <v>69</v>
      </c>
      <c r="F2236" s="70" t="s">
        <v>69</v>
      </c>
      <c r="G2236" s="68" t="s">
        <v>4508</v>
      </c>
      <c r="H2236" s="59"/>
      <c r="I2236" s="162" t="s">
        <v>7656</v>
      </c>
      <c r="J2236" s="162"/>
      <c r="K2236" s="68"/>
      <c r="L2236" s="69" t="s">
        <v>120</v>
      </c>
      <c r="M2236" s="71" t="s">
        <v>141</v>
      </c>
      <c r="N2236" s="69" t="e" vm="1">
        <v>#VALUE!</v>
      </c>
      <c r="O2236" s="164"/>
      <c r="P2236" s="72" t="s">
        <v>4567</v>
      </c>
      <c r="Q2236" s="72"/>
      <c r="R2236" s="162"/>
      <c r="S2236" s="146" t="s">
        <v>7657</v>
      </c>
      <c r="T2236" s="68" t="s">
        <v>155</v>
      </c>
      <c r="U2236" s="87"/>
      <c r="V2236" s="183">
        <v>42481</v>
      </c>
      <c r="W2236" s="73"/>
      <c r="X2236" s="73"/>
      <c r="Y2236" s="83"/>
      <c r="Z2236" s="183"/>
      <c r="AA2236" s="183"/>
      <c r="AB2236" s="223"/>
      <c r="AC2236" s="153"/>
      <c r="AD2236" s="331"/>
      <c r="AE2236" s="57"/>
      <c r="AF2236" s="88"/>
      <c r="AG2236" s="182">
        <f>YEAR(D2236)</f>
        <v>2015</v>
      </c>
      <c r="AH2236" s="86" t="str">
        <f>+IF(AE2236=$AJ$22,MONTH(T2236),"")</f>
        <v/>
      </c>
      <c r="AI2236" s="86" t="str">
        <f>+IF(AF2236=$AJ$22,MONTH(U2236),"")</f>
        <v/>
      </c>
      <c r="AJ2236" s="86" t="str">
        <f>+IF(AG2236=$AJ$22,MONTH(V2236),"")</f>
        <v/>
      </c>
      <c r="AK2236" s="86" t="str">
        <f>+IF(AG2236=$AK$22,MONTH(V2236),"")</f>
        <v/>
      </c>
      <c r="AL2236" s="86" t="str">
        <f>+IF(AG2236=$AL$22,MONTH(V2236),"")</f>
        <v/>
      </c>
      <c r="AM2236" s="86" t="str">
        <f>+IF($AG2236=$AM$22,MONTH($D2236),"")</f>
        <v/>
      </c>
      <c r="AN2236" s="89" t="str">
        <f>+IF($AG2236=AN$22,MONTH($D2236),"")</f>
        <v/>
      </c>
      <c r="AO2236" s="86" t="str">
        <f>+IF($AG2236=AO$22,MONTH($D2236),"")</f>
        <v/>
      </c>
      <c r="AP2236" s="86" t="str">
        <f>+IF($AG2236=AP$22,MONTH($D2236),"")</f>
        <v/>
      </c>
      <c r="AQ2236" s="86" t="str">
        <f>+IF($AG2236=AQ$22,MONTH($D2236),"")</f>
        <v/>
      </c>
      <c r="AR2236" s="86" t="str">
        <f>+IF($AG2236=AR$22,MONTH($D2236),"")</f>
        <v/>
      </c>
      <c r="AS2236" s="86">
        <f>+IF($AG2236=AS$22,MONTH($D2236),"")</f>
        <v>12</v>
      </c>
      <c r="AT2236" s="86" t="str">
        <f>+IF($AG2236=AT$22,MONTH($D2236),"")</f>
        <v/>
      </c>
      <c r="AU2236" s="86" t="str">
        <f>+IF($AG2236=AU$22,MONTH($D2236),"")</f>
        <v/>
      </c>
      <c r="AV2236" s="86" t="str">
        <f>+IF($AG2236=AV$22,MONTH($D2236),"")</f>
        <v/>
      </c>
      <c r="AW2236" s="86" t="str">
        <f>+IF($AG2236=AW$22,MONTH($D2236),"")</f>
        <v/>
      </c>
      <c r="AX2236" s="86" t="str">
        <f>+IF($AG2236=AX$22,MONTH($D2236),"")</f>
        <v/>
      </c>
      <c r="AY2236" s="89"/>
      <c r="AZ2236" s="89"/>
      <c r="BA2236" s="89"/>
      <c r="BB2236" s="89"/>
      <c r="BC2236" s="89"/>
      <c r="BD2236" s="89"/>
      <c r="BE2236" s="89"/>
      <c r="BF2236" s="89"/>
      <c r="BG2236" s="89"/>
      <c r="BH2236" s="89"/>
      <c r="BI2236" s="89"/>
      <c r="BJ2236" s="89"/>
      <c r="BK2236" s="89"/>
      <c r="BL2236" s="89"/>
      <c r="BM2236" s="89"/>
      <c r="BN2236" s="89"/>
      <c r="BO2236" s="89"/>
      <c r="BP2236" s="89"/>
    </row>
    <row r="2237" spans="1:68" s="56" customFormat="1" ht="13.5" hidden="1">
      <c r="A2237" s="204" t="str">
        <f>+IFERROR(VALUE(MID(AB2237,4,4)),"")</f>
        <v/>
      </c>
      <c r="B2237" s="204">
        <f>VALUE(RIGHT(C2237,LEN(C2237)-2))</f>
        <v>488</v>
      </c>
      <c r="C2237" s="74" t="s">
        <v>7658</v>
      </c>
      <c r="D2237" s="75">
        <v>42347</v>
      </c>
      <c r="E2237" s="70" t="s">
        <v>7659</v>
      </c>
      <c r="F2237" s="70" t="s">
        <v>1379</v>
      </c>
      <c r="G2237" s="68"/>
      <c r="H2237" s="59"/>
      <c r="I2237" s="162" t="s">
        <v>7660</v>
      </c>
      <c r="J2237" s="162"/>
      <c r="K2237" s="68" t="s">
        <v>13</v>
      </c>
      <c r="L2237" s="69" t="s">
        <v>123</v>
      </c>
      <c r="M2237" s="71" t="s">
        <v>141</v>
      </c>
      <c r="N2237" s="69" t="e" vm="1">
        <v>#VALUE!</v>
      </c>
      <c r="O2237" s="164">
        <v>42356</v>
      </c>
      <c r="P2237" s="72" t="s">
        <v>7465</v>
      </c>
      <c r="Q2237" s="72"/>
      <c r="R2237" s="162"/>
      <c r="S2237" s="146"/>
      <c r="T2237" s="68" t="s">
        <v>165</v>
      </c>
      <c r="U2237" s="87"/>
      <c r="V2237" s="183">
        <v>42366</v>
      </c>
      <c r="W2237" s="73">
        <v>1056</v>
      </c>
      <c r="X2237" s="73">
        <f>1601*25500/1000000</f>
        <v>40.825499999999998</v>
      </c>
      <c r="Y2237" s="83">
        <f>IF(SUM(W2237:W2237)&gt;0,X2237/SUM(W2237:W2237)*1000000,"N/A")</f>
        <v>38660.51136363636</v>
      </c>
      <c r="Z2237" s="183"/>
      <c r="AA2237" s="183"/>
      <c r="AB2237" s="223"/>
      <c r="AC2237" s="153"/>
      <c r="AD2237" s="331"/>
      <c r="AE2237" s="57"/>
      <c r="AF2237" s="88"/>
      <c r="AG2237" s="182">
        <f>YEAR(D2237)</f>
        <v>2015</v>
      </c>
      <c r="AH2237" s="86" t="str">
        <f>+IF(AE2237=$AJ$22,MONTH(T2237),"")</f>
        <v/>
      </c>
      <c r="AI2237" s="86" t="str">
        <f>+IF(AF2237=$AJ$22,MONTH(U2237),"")</f>
        <v/>
      </c>
      <c r="AJ2237" s="86" t="str">
        <f>+IF(AG2237=$AJ$22,MONTH(V2237),"")</f>
        <v/>
      </c>
      <c r="AK2237" s="86" t="str">
        <f>+IF(AG2237=$AK$22,MONTH(V2237),"")</f>
        <v/>
      </c>
      <c r="AL2237" s="86" t="str">
        <f>+IF(AG2237=$AL$22,MONTH(V2237),"")</f>
        <v/>
      </c>
      <c r="AM2237" s="86" t="str">
        <f>+IF($AG2237=$AM$22,MONTH($D2237),"")</f>
        <v/>
      </c>
      <c r="AN2237" s="89" t="str">
        <f>+IF($AG2237=AN$22,MONTH($D2237),"")</f>
        <v/>
      </c>
      <c r="AO2237" s="86" t="str">
        <f>+IF($AG2237=AO$22,MONTH($D2237),"")</f>
        <v/>
      </c>
      <c r="AP2237" s="86" t="str">
        <f>+IF($AG2237=AP$22,MONTH($D2237),"")</f>
        <v/>
      </c>
      <c r="AQ2237" s="86" t="str">
        <f>+IF($AG2237=AQ$22,MONTH($D2237),"")</f>
        <v/>
      </c>
      <c r="AR2237" s="86" t="str">
        <f>+IF($AG2237=AR$22,MONTH($D2237),"")</f>
        <v/>
      </c>
      <c r="AS2237" s="86">
        <f>+IF($AG2237=AS$22,MONTH($D2237),"")</f>
        <v>12</v>
      </c>
      <c r="AT2237" s="86" t="str">
        <f>+IF($AG2237=AT$22,MONTH($D2237),"")</f>
        <v/>
      </c>
      <c r="AU2237" s="86" t="str">
        <f>+IF($AG2237=AU$22,MONTH($D2237),"")</f>
        <v/>
      </c>
      <c r="AV2237" s="86" t="str">
        <f>+IF($AG2237=AV$22,MONTH($D2237),"")</f>
        <v/>
      </c>
      <c r="AW2237" s="86" t="str">
        <f>+IF($AG2237=AW$22,MONTH($D2237),"")</f>
        <v/>
      </c>
      <c r="AX2237" s="86" t="str">
        <f>+IF($AG2237=AX$22,MONTH($D2237),"")</f>
        <v/>
      </c>
      <c r="AY2237" s="89"/>
      <c r="AZ2237" s="89"/>
      <c r="BA2237" s="89"/>
      <c r="BB2237" s="89"/>
      <c r="BC2237" s="89"/>
      <c r="BD2237" s="89"/>
      <c r="BE2237" s="89"/>
      <c r="BF2237" s="89"/>
      <c r="BG2237" s="89"/>
      <c r="BH2237" s="89"/>
      <c r="BI2237" s="89"/>
      <c r="BJ2237" s="89"/>
      <c r="BK2237" s="89"/>
      <c r="BL2237" s="89"/>
      <c r="BM2237" s="89"/>
      <c r="BN2237" s="89"/>
      <c r="BO2237" s="89"/>
      <c r="BP2237" s="89"/>
    </row>
    <row r="2238" spans="1:68" s="56" customFormat="1" ht="27" hidden="1">
      <c r="A2238" s="204" t="str">
        <f>+IFERROR(VALUE(MID(AB2238,4,4)),"")</f>
        <v/>
      </c>
      <c r="B2238" s="204">
        <f>VALUE(RIGHT(C2238,LEN(C2238)-2))</f>
        <v>487</v>
      </c>
      <c r="C2238" s="74" t="s">
        <v>7661</v>
      </c>
      <c r="D2238" s="75">
        <v>42348</v>
      </c>
      <c r="E2238" s="70" t="s">
        <v>81</v>
      </c>
      <c r="F2238" s="70" t="s">
        <v>3351</v>
      </c>
      <c r="G2238" s="68" t="s">
        <v>7079</v>
      </c>
      <c r="H2238" s="59" t="s">
        <v>7556</v>
      </c>
      <c r="I2238" s="162" t="s">
        <v>7662</v>
      </c>
      <c r="J2238" s="162"/>
      <c r="K2238" s="68"/>
      <c r="L2238" s="69" t="s">
        <v>120</v>
      </c>
      <c r="M2238" s="71" t="s">
        <v>113</v>
      </c>
      <c r="N2238" s="69" t="e" vm="4">
        <v>#VALUE!</v>
      </c>
      <c r="O2238" s="164">
        <v>42348</v>
      </c>
      <c r="P2238" s="72" t="s">
        <v>402</v>
      </c>
      <c r="Q2238" s="72"/>
      <c r="R2238" s="162"/>
      <c r="S2238" s="146"/>
      <c r="T2238" s="68" t="s">
        <v>165</v>
      </c>
      <c r="U2238" s="87"/>
      <c r="V2238" s="183">
        <v>42348</v>
      </c>
      <c r="W2238" s="73">
        <v>77</v>
      </c>
      <c r="X2238" s="73">
        <f>10000*650/1000000</f>
        <v>6.5</v>
      </c>
      <c r="Y2238" s="83">
        <f>IF(SUM(W2238:W2238)&gt;0,X2238/SUM(W2238:W2238)*1000000,"N/A")</f>
        <v>84415.58441558441</v>
      </c>
      <c r="Z2238" s="183"/>
      <c r="AA2238" s="183"/>
      <c r="AB2238" s="223"/>
      <c r="AC2238" s="153"/>
      <c r="AD2238" s="331"/>
      <c r="AE2238" s="57"/>
      <c r="AF2238" s="88"/>
      <c r="AG2238" s="182">
        <f>YEAR(D2238)</f>
        <v>2015</v>
      </c>
      <c r="AH2238" s="86" t="str">
        <f>+IF(AE2238=$AJ$22,MONTH(T2238),"")</f>
        <v/>
      </c>
      <c r="AI2238" s="86" t="str">
        <f>+IF(AF2238=$AJ$22,MONTH(U2238),"")</f>
        <v/>
      </c>
      <c r="AJ2238" s="86" t="str">
        <f>+IF(AG2238=$AJ$22,MONTH(V2238),"")</f>
        <v/>
      </c>
      <c r="AK2238" s="86" t="str">
        <f>+IF(AG2238=$AK$22,MONTH(V2238),"")</f>
        <v/>
      </c>
      <c r="AL2238" s="86" t="str">
        <f>+IF(AG2238=$AL$22,MONTH(V2238),"")</f>
        <v/>
      </c>
      <c r="AM2238" s="86" t="str">
        <f>+IF($AG2238=$AM$22,MONTH($D2238),"")</f>
        <v/>
      </c>
      <c r="AN2238" s="89" t="str">
        <f>+IF($AG2238=AN$22,MONTH($D2238),"")</f>
        <v/>
      </c>
      <c r="AO2238" s="86" t="str">
        <f>+IF($AG2238=AO$22,MONTH($D2238),"")</f>
        <v/>
      </c>
      <c r="AP2238" s="86" t="str">
        <f>+IF($AG2238=AP$22,MONTH($D2238),"")</f>
        <v/>
      </c>
      <c r="AQ2238" s="86" t="str">
        <f>+IF($AG2238=AQ$22,MONTH($D2238),"")</f>
        <v/>
      </c>
      <c r="AR2238" s="86" t="str">
        <f>+IF($AG2238=AR$22,MONTH($D2238),"")</f>
        <v/>
      </c>
      <c r="AS2238" s="86">
        <f>+IF($AG2238=AS$22,MONTH($D2238),"")</f>
        <v>12</v>
      </c>
      <c r="AT2238" s="86" t="str">
        <f>+IF($AG2238=AT$22,MONTH($D2238),"")</f>
        <v/>
      </c>
      <c r="AU2238" s="86" t="str">
        <f>+IF($AG2238=AU$22,MONTH($D2238),"")</f>
        <v/>
      </c>
      <c r="AV2238" s="86" t="str">
        <f>+IF($AG2238=AV$22,MONTH($D2238),"")</f>
        <v/>
      </c>
      <c r="AW2238" s="86" t="str">
        <f>+IF($AG2238=AW$22,MONTH($D2238),"")</f>
        <v/>
      </c>
      <c r="AX2238" s="86" t="str">
        <f>+IF($AG2238=AX$22,MONTH($D2238),"")</f>
        <v/>
      </c>
      <c r="AY2238" s="89"/>
      <c r="AZ2238" s="89"/>
      <c r="BA2238" s="89"/>
      <c r="BB2238" s="89"/>
      <c r="BC2238" s="89"/>
      <c r="BD2238" s="89"/>
      <c r="BE2238" s="89"/>
      <c r="BF2238" s="89"/>
      <c r="BG2238" s="89"/>
      <c r="BH2238" s="89"/>
      <c r="BI2238" s="89"/>
      <c r="BJ2238" s="89"/>
      <c r="BK2238" s="89"/>
      <c r="BL2238" s="89"/>
      <c r="BM2238" s="89"/>
      <c r="BN2238" s="89"/>
      <c r="BO2238" s="89"/>
      <c r="BP2238" s="89"/>
    </row>
    <row r="2239" spans="1:68" s="56" customFormat="1" ht="27" hidden="1">
      <c r="A2239" s="204">
        <f>+IFERROR(VALUE(MID(AB2239,4,4)),"")</f>
        <v>124</v>
      </c>
      <c r="B2239" s="204">
        <f>VALUE(RIGHT(C2239,LEN(C2239)-2))</f>
        <v>486</v>
      </c>
      <c r="C2239" s="74" t="s">
        <v>7663</v>
      </c>
      <c r="D2239" s="75">
        <v>42347</v>
      </c>
      <c r="E2239" s="70" t="s">
        <v>81</v>
      </c>
      <c r="F2239" s="70" t="s">
        <v>3351</v>
      </c>
      <c r="G2239" s="68" t="s">
        <v>7079</v>
      </c>
      <c r="H2239" s="59" t="s">
        <v>7556</v>
      </c>
      <c r="I2239" s="162" t="s">
        <v>7557</v>
      </c>
      <c r="J2239" s="162"/>
      <c r="K2239" s="68" t="s">
        <v>31</v>
      </c>
      <c r="L2239" s="69" t="s">
        <v>120</v>
      </c>
      <c r="M2239" s="71" t="s">
        <v>113</v>
      </c>
      <c r="N2239" s="69" t="e" vm="4">
        <v>#VALUE!</v>
      </c>
      <c r="O2239" s="164">
        <v>42347</v>
      </c>
      <c r="P2239" s="72" t="s">
        <v>402</v>
      </c>
      <c r="Q2239" s="72"/>
      <c r="R2239" s="162"/>
      <c r="S2239" s="146"/>
      <c r="T2239" s="68" t="s">
        <v>3</v>
      </c>
      <c r="U2239" s="87"/>
      <c r="V2239" s="183">
        <v>42348</v>
      </c>
      <c r="W2239" s="73">
        <v>744</v>
      </c>
      <c r="X2239" s="73">
        <f>67320*650/1000000</f>
        <v>43.758000000000003</v>
      </c>
      <c r="Y2239" s="83">
        <f>IF(SUM(W2239:W2239)&gt;0,X2239/SUM(W2239:W2239)*1000000,"N/A")</f>
        <v>58814.516129032265</v>
      </c>
      <c r="Z2239" s="183"/>
      <c r="AA2239" s="183"/>
      <c r="AB2239" s="223" t="s">
        <v>7367</v>
      </c>
      <c r="AC2239" s="153"/>
      <c r="AD2239" s="331"/>
      <c r="AE2239" s="57"/>
      <c r="AF2239" s="88"/>
      <c r="AG2239" s="182">
        <f>YEAR(D2239)</f>
        <v>2015</v>
      </c>
      <c r="AH2239" s="86" t="str">
        <f>+IF(AE2239=$AJ$22,MONTH(T2239),"")</f>
        <v/>
      </c>
      <c r="AI2239" s="86" t="str">
        <f>+IF(AF2239=$AJ$22,MONTH(U2239),"")</f>
        <v/>
      </c>
      <c r="AJ2239" s="86" t="str">
        <f>+IF(AG2239=$AJ$22,MONTH(V2239),"")</f>
        <v/>
      </c>
      <c r="AK2239" s="86" t="str">
        <f>+IF(AG2239=$AK$22,MONTH(V2239),"")</f>
        <v/>
      </c>
      <c r="AL2239" s="86" t="str">
        <f>+IF(AG2239=$AL$22,MONTH(V2239),"")</f>
        <v/>
      </c>
      <c r="AM2239" s="86" t="str">
        <f>+IF($AG2239=$AM$22,MONTH($D2239),"")</f>
        <v/>
      </c>
      <c r="AN2239" s="89" t="str">
        <f>+IF($AG2239=AN$22,MONTH($D2239),"")</f>
        <v/>
      </c>
      <c r="AO2239" s="86" t="str">
        <f>+IF($AG2239=AO$22,MONTH($D2239),"")</f>
        <v/>
      </c>
      <c r="AP2239" s="86" t="str">
        <f>+IF($AG2239=AP$22,MONTH($D2239),"")</f>
        <v/>
      </c>
      <c r="AQ2239" s="86" t="str">
        <f>+IF($AG2239=AQ$22,MONTH($D2239),"")</f>
        <v/>
      </c>
      <c r="AR2239" s="86" t="str">
        <f>+IF($AG2239=AR$22,MONTH($D2239),"")</f>
        <v/>
      </c>
      <c r="AS2239" s="86">
        <f>+IF($AG2239=AS$22,MONTH($D2239),"")</f>
        <v>12</v>
      </c>
      <c r="AT2239" s="86" t="str">
        <f>+IF($AG2239=AT$22,MONTH($D2239),"")</f>
        <v/>
      </c>
      <c r="AU2239" s="86" t="str">
        <f>+IF($AG2239=AU$22,MONTH($D2239),"")</f>
        <v/>
      </c>
      <c r="AV2239" s="86" t="str">
        <f>+IF($AG2239=AV$22,MONTH($D2239),"")</f>
        <v/>
      </c>
      <c r="AW2239" s="86" t="str">
        <f>+IF($AG2239=AW$22,MONTH($D2239),"")</f>
        <v/>
      </c>
      <c r="AX2239" s="86" t="str">
        <f>+IF($AG2239=AX$22,MONTH($D2239),"")</f>
        <v/>
      </c>
      <c r="AY2239" s="89"/>
      <c r="AZ2239" s="89"/>
      <c r="BA2239" s="89"/>
      <c r="BB2239" s="89"/>
      <c r="BC2239" s="89"/>
      <c r="BD2239" s="89"/>
      <c r="BE2239" s="89"/>
      <c r="BF2239" s="89"/>
      <c r="BG2239" s="89"/>
      <c r="BH2239" s="89"/>
      <c r="BI2239" s="89"/>
      <c r="BJ2239" s="89"/>
      <c r="BK2239" s="89"/>
      <c r="BL2239" s="89"/>
      <c r="BM2239" s="89"/>
      <c r="BN2239" s="89"/>
      <c r="BO2239" s="89"/>
      <c r="BP2239" s="89"/>
    </row>
    <row r="2240" spans="1:68" s="56" customFormat="1" ht="27" hidden="1">
      <c r="A2240" s="204">
        <f>+IFERROR(VALUE(MID(AB2240,4,4)),"")</f>
        <v>113</v>
      </c>
      <c r="B2240" s="204">
        <f>VALUE(RIGHT(C2240,LEN(C2240)-2))</f>
        <v>485</v>
      </c>
      <c r="C2240" s="74" t="s">
        <v>7664</v>
      </c>
      <c r="D2240" s="75">
        <v>42347</v>
      </c>
      <c r="E2240" s="70" t="s">
        <v>332</v>
      </c>
      <c r="F2240" s="70" t="s">
        <v>332</v>
      </c>
      <c r="G2240" s="68" t="s">
        <v>285</v>
      </c>
      <c r="H2240" s="59" t="s">
        <v>7401</v>
      </c>
      <c r="I2240" s="162" t="s">
        <v>7665</v>
      </c>
      <c r="J2240" s="162"/>
      <c r="K2240" s="68" t="s">
        <v>13</v>
      </c>
      <c r="L2240" s="69" t="s">
        <v>120</v>
      </c>
      <c r="M2240" s="71" t="s">
        <v>141</v>
      </c>
      <c r="N2240" s="69" t="e" vm="1">
        <v>#VALUE!</v>
      </c>
      <c r="O2240" s="164">
        <v>42347</v>
      </c>
      <c r="P2240" s="72" t="s">
        <v>7465</v>
      </c>
      <c r="Q2240" s="72"/>
      <c r="R2240" s="162"/>
      <c r="S2240" s="146"/>
      <c r="T2240" s="68" t="s">
        <v>3</v>
      </c>
      <c r="U2240" s="87"/>
      <c r="V2240" s="183">
        <v>42348</v>
      </c>
      <c r="W2240" s="73">
        <v>350</v>
      </c>
      <c r="X2240" s="73">
        <f>448*24600/1000000</f>
        <v>11.020799999999999</v>
      </c>
      <c r="Y2240" s="83">
        <f>IF(SUM(W2240:W2240)&gt;0,X2240/SUM(W2240:W2240)*1000000,"N/A")</f>
        <v>31487.999999999996</v>
      </c>
      <c r="Z2240" s="183"/>
      <c r="AA2240" s="183"/>
      <c r="AB2240" s="223" t="s">
        <v>7666</v>
      </c>
      <c r="AC2240" s="153"/>
      <c r="AD2240" s="331"/>
      <c r="AE2240" s="57"/>
      <c r="AF2240" s="88"/>
      <c r="AG2240" s="182">
        <f>YEAR(D2240)</f>
        <v>2015</v>
      </c>
      <c r="AH2240" s="86" t="str">
        <f>+IF(AE2240=$AJ$22,MONTH(T2240),"")</f>
        <v/>
      </c>
      <c r="AI2240" s="86" t="str">
        <f>+IF(AF2240=$AJ$22,MONTH(U2240),"")</f>
        <v/>
      </c>
      <c r="AJ2240" s="86" t="str">
        <f>+IF(AG2240=$AJ$22,MONTH(V2240),"")</f>
        <v/>
      </c>
      <c r="AK2240" s="86" t="str">
        <f>+IF(AG2240=$AK$22,MONTH(V2240),"")</f>
        <v/>
      </c>
      <c r="AL2240" s="86" t="str">
        <f>+IF(AG2240=$AL$22,MONTH(V2240),"")</f>
        <v/>
      </c>
      <c r="AM2240" s="86" t="str">
        <f>+IF($AG2240=$AM$22,MONTH($D2240),"")</f>
        <v/>
      </c>
      <c r="AN2240" s="89" t="str">
        <f>+IF($AG2240=AN$22,MONTH($D2240),"")</f>
        <v/>
      </c>
      <c r="AO2240" s="86" t="str">
        <f>+IF($AG2240=AO$22,MONTH($D2240),"")</f>
        <v/>
      </c>
      <c r="AP2240" s="86" t="str">
        <f>+IF($AG2240=AP$22,MONTH($D2240),"")</f>
        <v/>
      </c>
      <c r="AQ2240" s="86" t="str">
        <f>+IF($AG2240=AQ$22,MONTH($D2240),"")</f>
        <v/>
      </c>
      <c r="AR2240" s="86" t="str">
        <f>+IF($AG2240=AR$22,MONTH($D2240),"")</f>
        <v/>
      </c>
      <c r="AS2240" s="86">
        <f>+IF($AG2240=AS$22,MONTH($D2240),"")</f>
        <v>12</v>
      </c>
      <c r="AT2240" s="86" t="str">
        <f>+IF($AG2240=AT$22,MONTH($D2240),"")</f>
        <v/>
      </c>
      <c r="AU2240" s="86" t="str">
        <f>+IF($AG2240=AU$22,MONTH($D2240),"")</f>
        <v/>
      </c>
      <c r="AV2240" s="86" t="str">
        <f>+IF($AG2240=AV$22,MONTH($D2240),"")</f>
        <v/>
      </c>
      <c r="AW2240" s="86" t="str">
        <f>+IF($AG2240=AW$22,MONTH($D2240),"")</f>
        <v/>
      </c>
      <c r="AX2240" s="86" t="str">
        <f>+IF($AG2240=AX$22,MONTH($D2240),"")</f>
        <v/>
      </c>
      <c r="AY2240" s="89"/>
      <c r="AZ2240" s="89"/>
      <c r="BA2240" s="89"/>
      <c r="BB2240" s="89"/>
      <c r="BC2240" s="89"/>
      <c r="BD2240" s="89"/>
      <c r="BE2240" s="89"/>
      <c r="BF2240" s="89"/>
      <c r="BG2240" s="89"/>
      <c r="BH2240" s="89"/>
      <c r="BI2240" s="89"/>
      <c r="BJ2240" s="89"/>
      <c r="BK2240" s="89"/>
      <c r="BL2240" s="89"/>
      <c r="BM2240" s="89"/>
      <c r="BN2240" s="89"/>
      <c r="BO2240" s="89"/>
      <c r="BP2240" s="89"/>
    </row>
    <row r="2241" spans="1:68" s="56" customFormat="1" ht="27" hidden="1">
      <c r="A2241" s="204" t="str">
        <f>+IFERROR(VALUE(MID(AB2241,4,4)),"")</f>
        <v/>
      </c>
      <c r="B2241" s="204">
        <f>VALUE(RIGHT(C2241,LEN(C2241)-2))</f>
        <v>484</v>
      </c>
      <c r="C2241" s="74" t="s">
        <v>7667</v>
      </c>
      <c r="D2241" s="75">
        <v>42345</v>
      </c>
      <c r="E2241" s="70" t="s">
        <v>2349</v>
      </c>
      <c r="F2241" s="70" t="s">
        <v>66</v>
      </c>
      <c r="G2241" s="68" t="s">
        <v>7668</v>
      </c>
      <c r="H2241" s="59" t="s">
        <v>7669</v>
      </c>
      <c r="I2241" s="162" t="s">
        <v>7670</v>
      </c>
      <c r="J2241" s="162"/>
      <c r="K2241" s="68" t="s">
        <v>14</v>
      </c>
      <c r="L2241" s="69" t="s">
        <v>120</v>
      </c>
      <c r="M2241" s="71" t="s">
        <v>141</v>
      </c>
      <c r="N2241" s="69" t="e" vm="1">
        <v>#VALUE!</v>
      </c>
      <c r="O2241" s="164">
        <v>42345</v>
      </c>
      <c r="P2241" s="72" t="s">
        <v>7465</v>
      </c>
      <c r="Q2241" s="72"/>
      <c r="R2241" s="162"/>
      <c r="S2241" s="146"/>
      <c r="T2241" s="68" t="s">
        <v>165</v>
      </c>
      <c r="U2241" s="87">
        <v>0.05</v>
      </c>
      <c r="V2241" s="183">
        <v>42348</v>
      </c>
      <c r="W2241" s="73">
        <v>2908</v>
      </c>
      <c r="X2241" s="73">
        <f>5460*24600/1000000</f>
        <v>134.316</v>
      </c>
      <c r="Y2241" s="83">
        <f>IF(SUM(W2241:W2241)&gt;0,X2241/SUM(W2241:W2241)*1000000,"N/A")</f>
        <v>46188.445667125176</v>
      </c>
      <c r="Z2241" s="183"/>
      <c r="AA2241" s="183"/>
      <c r="AB2241" s="223"/>
      <c r="AC2241" s="153"/>
      <c r="AD2241" s="331"/>
      <c r="AE2241" s="57"/>
      <c r="AF2241" s="88"/>
      <c r="AG2241" s="182">
        <f>YEAR(D2241)</f>
        <v>2015</v>
      </c>
      <c r="AH2241" s="86" t="str">
        <f>+IF(AE2241=$AJ$22,MONTH(T2241),"")</f>
        <v/>
      </c>
      <c r="AI2241" s="86" t="str">
        <f>+IF(AF2241=$AJ$22,MONTH(U2241),"")</f>
        <v/>
      </c>
      <c r="AJ2241" s="86" t="str">
        <f>+IF(AG2241=$AJ$22,MONTH(V2241),"")</f>
        <v/>
      </c>
      <c r="AK2241" s="86" t="str">
        <f>+IF(AG2241=$AK$22,MONTH(V2241),"")</f>
        <v/>
      </c>
      <c r="AL2241" s="86" t="str">
        <f>+IF(AG2241=$AL$22,MONTH(V2241),"")</f>
        <v/>
      </c>
      <c r="AM2241" s="86" t="str">
        <f>+IF($AG2241=$AM$22,MONTH($D2241),"")</f>
        <v/>
      </c>
      <c r="AN2241" s="89" t="str">
        <f>+IF($AG2241=AN$22,MONTH($D2241),"")</f>
        <v/>
      </c>
      <c r="AO2241" s="86" t="str">
        <f>+IF($AG2241=AO$22,MONTH($D2241),"")</f>
        <v/>
      </c>
      <c r="AP2241" s="86" t="str">
        <f>+IF($AG2241=AP$22,MONTH($D2241),"")</f>
        <v/>
      </c>
      <c r="AQ2241" s="86" t="str">
        <f>+IF($AG2241=AQ$22,MONTH($D2241),"")</f>
        <v/>
      </c>
      <c r="AR2241" s="86" t="str">
        <f>+IF($AG2241=AR$22,MONTH($D2241),"")</f>
        <v/>
      </c>
      <c r="AS2241" s="86">
        <f>+IF($AG2241=AS$22,MONTH($D2241),"")</f>
        <v>12</v>
      </c>
      <c r="AT2241" s="86" t="str">
        <f>+IF($AG2241=AT$22,MONTH($D2241),"")</f>
        <v/>
      </c>
      <c r="AU2241" s="86" t="str">
        <f>+IF($AG2241=AU$22,MONTH($D2241),"")</f>
        <v/>
      </c>
      <c r="AV2241" s="86" t="str">
        <f>+IF($AG2241=AV$22,MONTH($D2241),"")</f>
        <v/>
      </c>
      <c r="AW2241" s="86" t="str">
        <f>+IF($AG2241=AW$22,MONTH($D2241),"")</f>
        <v/>
      </c>
      <c r="AX2241" s="86" t="str">
        <f>+IF($AG2241=AX$22,MONTH($D2241),"")</f>
        <v/>
      </c>
      <c r="AY2241" s="89"/>
      <c r="AZ2241" s="89"/>
      <c r="BA2241" s="89"/>
      <c r="BB2241" s="89"/>
      <c r="BC2241" s="89"/>
      <c r="BD2241" s="89"/>
      <c r="BE2241" s="89"/>
      <c r="BF2241" s="89"/>
      <c r="BG2241" s="89"/>
      <c r="BH2241" s="89"/>
      <c r="BI2241" s="89"/>
      <c r="BJ2241" s="89"/>
      <c r="BK2241" s="89"/>
      <c r="BL2241" s="89"/>
      <c r="BM2241" s="89"/>
      <c r="BN2241" s="89"/>
      <c r="BO2241" s="89"/>
      <c r="BP2241" s="89"/>
    </row>
    <row r="2242" spans="1:68" s="56" customFormat="1" ht="27" hidden="1">
      <c r="A2242" s="204" t="str">
        <f>+IFERROR(VALUE(MID(AB2242,4,4)),"")</f>
        <v/>
      </c>
      <c r="B2242" s="204">
        <f>VALUE(RIGHT(C2242,LEN(C2242)-2))</f>
        <v>483</v>
      </c>
      <c r="C2242" s="74" t="s">
        <v>7671</v>
      </c>
      <c r="D2242" s="75">
        <v>42339</v>
      </c>
      <c r="E2242" s="70" t="s">
        <v>106</v>
      </c>
      <c r="F2242" s="70" t="s">
        <v>106</v>
      </c>
      <c r="G2242" s="68" t="s">
        <v>5655</v>
      </c>
      <c r="H2242" s="59" t="s">
        <v>7624</v>
      </c>
      <c r="I2242" s="162" t="s">
        <v>7672</v>
      </c>
      <c r="J2242" s="162"/>
      <c r="K2242" s="68" t="s">
        <v>13</v>
      </c>
      <c r="L2242" s="69" t="s">
        <v>123</v>
      </c>
      <c r="M2242" s="71" t="s">
        <v>141</v>
      </c>
      <c r="N2242" s="69" t="e" vm="1">
        <v>#VALUE!</v>
      </c>
      <c r="O2242" s="164">
        <v>42359</v>
      </c>
      <c r="P2242" s="72" t="s">
        <v>4567</v>
      </c>
      <c r="Q2242" s="72"/>
      <c r="R2242" s="162"/>
      <c r="S2242" s="146"/>
      <c r="T2242" s="68" t="s">
        <v>165</v>
      </c>
      <c r="U2242" s="87"/>
      <c r="V2242" s="183">
        <v>42508</v>
      </c>
      <c r="W2242" s="73">
        <v>1582</v>
      </c>
      <c r="X2242" s="73">
        <f>2598*25500/1000000</f>
        <v>66.248999999999995</v>
      </c>
      <c r="Y2242" s="83">
        <f>IF(SUM(W2242:W2242)&gt;0,X2242/SUM(W2242:W2242)*1000000,"N/A")</f>
        <v>41876.738305941843</v>
      </c>
      <c r="Z2242" s="183"/>
      <c r="AA2242" s="183"/>
      <c r="AB2242" s="223"/>
      <c r="AC2242" s="153"/>
      <c r="AD2242" s="331"/>
      <c r="AE2242" s="57"/>
      <c r="AF2242" s="88"/>
      <c r="AG2242" s="182">
        <f>YEAR(D2242)</f>
        <v>2015</v>
      </c>
      <c r="AH2242" s="86" t="str">
        <f>+IF(AE2242=$AJ$22,MONTH(T2242),"")</f>
        <v/>
      </c>
      <c r="AI2242" s="86" t="str">
        <f>+IF(AF2242=$AJ$22,MONTH(U2242),"")</f>
        <v/>
      </c>
      <c r="AJ2242" s="86" t="str">
        <f>+IF(AG2242=$AJ$22,MONTH(V2242),"")</f>
        <v/>
      </c>
      <c r="AK2242" s="86" t="str">
        <f>+IF(AG2242=$AK$22,MONTH(V2242),"")</f>
        <v/>
      </c>
      <c r="AL2242" s="86" t="str">
        <f>+IF(AG2242=$AL$22,MONTH(V2242),"")</f>
        <v/>
      </c>
      <c r="AM2242" s="86" t="str">
        <f>+IF($AG2242=$AM$22,MONTH($D2242),"")</f>
        <v/>
      </c>
      <c r="AN2242" s="89" t="str">
        <f>+IF($AG2242=AN$22,MONTH($D2242),"")</f>
        <v/>
      </c>
      <c r="AO2242" s="86" t="str">
        <f>+IF($AG2242=AO$22,MONTH($D2242),"")</f>
        <v/>
      </c>
      <c r="AP2242" s="86" t="str">
        <f>+IF($AG2242=AP$22,MONTH($D2242),"")</f>
        <v/>
      </c>
      <c r="AQ2242" s="86" t="str">
        <f>+IF($AG2242=AQ$22,MONTH($D2242),"")</f>
        <v/>
      </c>
      <c r="AR2242" s="86" t="str">
        <f>+IF($AG2242=AR$22,MONTH($D2242),"")</f>
        <v/>
      </c>
      <c r="AS2242" s="86">
        <f>+IF($AG2242=AS$22,MONTH($D2242),"")</f>
        <v>12</v>
      </c>
      <c r="AT2242" s="86" t="str">
        <f>+IF($AG2242=AT$22,MONTH($D2242),"")</f>
        <v/>
      </c>
      <c r="AU2242" s="86" t="str">
        <f>+IF($AG2242=AU$22,MONTH($D2242),"")</f>
        <v/>
      </c>
      <c r="AV2242" s="86" t="str">
        <f>+IF($AG2242=AV$22,MONTH($D2242),"")</f>
        <v/>
      </c>
      <c r="AW2242" s="86" t="str">
        <f>+IF($AG2242=AW$22,MONTH($D2242),"")</f>
        <v/>
      </c>
      <c r="AX2242" s="86" t="str">
        <f>+IF($AG2242=AX$22,MONTH($D2242),"")</f>
        <v/>
      </c>
      <c r="AY2242" s="89"/>
      <c r="AZ2242" s="89"/>
      <c r="BA2242" s="89"/>
      <c r="BB2242" s="89"/>
      <c r="BC2242" s="89"/>
      <c r="BD2242" s="89"/>
      <c r="BE2242" s="89"/>
      <c r="BF2242" s="89"/>
      <c r="BG2242" s="89"/>
      <c r="BH2242" s="89"/>
      <c r="BI2242" s="89"/>
      <c r="BJ2242" s="89"/>
      <c r="BK2242" s="89"/>
      <c r="BL2242" s="89"/>
      <c r="BM2242" s="89"/>
      <c r="BN2242" s="89"/>
      <c r="BO2242" s="89"/>
      <c r="BP2242" s="89"/>
    </row>
    <row r="2243" spans="1:68" s="56" customFormat="1" ht="27" hidden="1">
      <c r="A2243" s="204" t="str">
        <f>+IFERROR(VALUE(MID(AB2243,4,4)),"")</f>
        <v/>
      </c>
      <c r="B2243" s="204">
        <f>VALUE(RIGHT(C2243,LEN(C2243)-2))</f>
        <v>482</v>
      </c>
      <c r="C2243" s="74" t="s">
        <v>7673</v>
      </c>
      <c r="D2243" s="75">
        <v>42339</v>
      </c>
      <c r="E2243" s="70" t="s">
        <v>106</v>
      </c>
      <c r="F2243" s="70" t="s">
        <v>106</v>
      </c>
      <c r="G2243" s="68" t="s">
        <v>5655</v>
      </c>
      <c r="H2243" s="59" t="s">
        <v>7624</v>
      </c>
      <c r="I2243" s="162" t="s">
        <v>7674</v>
      </c>
      <c r="J2243" s="162"/>
      <c r="K2243" s="68" t="s">
        <v>12</v>
      </c>
      <c r="L2243" s="69" t="s">
        <v>123</v>
      </c>
      <c r="M2243" s="71" t="s">
        <v>141</v>
      </c>
      <c r="N2243" s="69" t="e" vm="1">
        <v>#VALUE!</v>
      </c>
      <c r="O2243" s="164">
        <v>42366</v>
      </c>
      <c r="P2243" s="72" t="s">
        <v>7372</v>
      </c>
      <c r="Q2243" s="72"/>
      <c r="R2243" s="162"/>
      <c r="S2243" s="146"/>
      <c r="T2243" s="68" t="s">
        <v>165</v>
      </c>
      <c r="U2243" s="87"/>
      <c r="V2243" s="183">
        <v>42366</v>
      </c>
      <c r="W2243" s="73">
        <v>1769</v>
      </c>
      <c r="X2243" s="73">
        <f>2243.75*25600/1000000</f>
        <v>57.44</v>
      </c>
      <c r="Y2243" s="83">
        <f>IF(SUM(W2243:W2243)&gt;0,X2243/SUM(W2243:W2243)*1000000,"N/A")</f>
        <v>32470.322215941203</v>
      </c>
      <c r="Z2243" s="183"/>
      <c r="AA2243" s="183"/>
      <c r="AB2243" s="223"/>
      <c r="AC2243" s="153"/>
      <c r="AD2243" s="331"/>
      <c r="AE2243" s="57"/>
      <c r="AF2243" s="88"/>
      <c r="AG2243" s="182">
        <f>YEAR(D2243)</f>
        <v>2015</v>
      </c>
      <c r="AH2243" s="86" t="str">
        <f>+IF(AE2243=$AJ$22,MONTH(T2243),"")</f>
        <v/>
      </c>
      <c r="AI2243" s="86" t="str">
        <f>+IF(AF2243=$AJ$22,MONTH(U2243),"")</f>
        <v/>
      </c>
      <c r="AJ2243" s="86" t="str">
        <f>+IF(AG2243=$AJ$22,MONTH(V2243),"")</f>
        <v/>
      </c>
      <c r="AK2243" s="86" t="str">
        <f>+IF(AG2243=$AK$22,MONTH(V2243),"")</f>
        <v/>
      </c>
      <c r="AL2243" s="86" t="str">
        <f>+IF(AG2243=$AL$22,MONTH(V2243),"")</f>
        <v/>
      </c>
      <c r="AM2243" s="86" t="str">
        <f>+IF($AG2243=$AM$22,MONTH($D2243),"")</f>
        <v/>
      </c>
      <c r="AN2243" s="89" t="str">
        <f>+IF($AG2243=AN$22,MONTH($D2243),"")</f>
        <v/>
      </c>
      <c r="AO2243" s="86" t="str">
        <f>+IF($AG2243=AO$22,MONTH($D2243),"")</f>
        <v/>
      </c>
      <c r="AP2243" s="86" t="str">
        <f>+IF($AG2243=AP$22,MONTH($D2243),"")</f>
        <v/>
      </c>
      <c r="AQ2243" s="86" t="str">
        <f>+IF($AG2243=AQ$22,MONTH($D2243),"")</f>
        <v/>
      </c>
      <c r="AR2243" s="86" t="str">
        <f>+IF($AG2243=AR$22,MONTH($D2243),"")</f>
        <v/>
      </c>
      <c r="AS2243" s="86">
        <f>+IF($AG2243=AS$22,MONTH($D2243),"")</f>
        <v>12</v>
      </c>
      <c r="AT2243" s="86" t="str">
        <f>+IF($AG2243=AT$22,MONTH($D2243),"")</f>
        <v/>
      </c>
      <c r="AU2243" s="86" t="str">
        <f>+IF($AG2243=AU$22,MONTH($D2243),"")</f>
        <v/>
      </c>
      <c r="AV2243" s="86" t="str">
        <f>+IF($AG2243=AV$22,MONTH($D2243),"")</f>
        <v/>
      </c>
      <c r="AW2243" s="86" t="str">
        <f>+IF($AG2243=AW$22,MONTH($D2243),"")</f>
        <v/>
      </c>
      <c r="AX2243" s="86" t="str">
        <f>+IF($AG2243=AX$22,MONTH($D2243),"")</f>
        <v/>
      </c>
      <c r="AY2243" s="89"/>
      <c r="AZ2243" s="89"/>
      <c r="BA2243" s="89"/>
      <c r="BB2243" s="89"/>
      <c r="BC2243" s="89"/>
      <c r="BD2243" s="89"/>
      <c r="BE2243" s="89"/>
      <c r="BF2243" s="89"/>
      <c r="BG2243" s="89"/>
      <c r="BH2243" s="89"/>
      <c r="BI2243" s="89"/>
      <c r="BJ2243" s="89"/>
      <c r="BK2243" s="89"/>
      <c r="BL2243" s="89"/>
      <c r="BM2243" s="89"/>
      <c r="BN2243" s="89"/>
      <c r="BO2243" s="89"/>
      <c r="BP2243" s="89"/>
    </row>
    <row r="2244" spans="1:68" s="56" customFormat="1" ht="13.5" hidden="1">
      <c r="A2244" s="204" t="str">
        <f>+IFERROR(VALUE(MID(AB2244,4,4)),"")</f>
        <v/>
      </c>
      <c r="B2244" s="204">
        <f>VALUE(RIGHT(C2244,LEN(C2244)-2))</f>
        <v>481</v>
      </c>
      <c r="C2244" s="74" t="s">
        <v>7675</v>
      </c>
      <c r="D2244" s="75">
        <v>42359</v>
      </c>
      <c r="E2244" s="70" t="s">
        <v>61</v>
      </c>
      <c r="F2244" s="70" t="s">
        <v>4114</v>
      </c>
      <c r="G2244" s="68"/>
      <c r="H2244" s="59"/>
      <c r="I2244" s="162" t="s">
        <v>7676</v>
      </c>
      <c r="J2244" s="162"/>
      <c r="K2244" s="68" t="s">
        <v>13</v>
      </c>
      <c r="L2244" s="69" t="s">
        <v>123</v>
      </c>
      <c r="M2244" s="71" t="s">
        <v>141</v>
      </c>
      <c r="N2244" s="69" t="e" vm="1">
        <v>#VALUE!</v>
      </c>
      <c r="O2244" s="164">
        <v>42359</v>
      </c>
      <c r="P2244" s="72" t="s">
        <v>4567</v>
      </c>
      <c r="Q2244" s="72"/>
      <c r="R2244" s="162"/>
      <c r="S2244" s="146" t="s">
        <v>7296</v>
      </c>
      <c r="T2244" s="68" t="s">
        <v>155</v>
      </c>
      <c r="U2244" s="87"/>
      <c r="V2244" s="183">
        <v>42481</v>
      </c>
      <c r="W2244" s="73"/>
      <c r="X2244" s="73"/>
      <c r="Y2244" s="83"/>
      <c r="Z2244" s="183"/>
      <c r="AA2244" s="183"/>
      <c r="AB2244" s="223"/>
      <c r="AC2244" s="153"/>
      <c r="AD2244" s="331"/>
      <c r="AE2244" s="57"/>
      <c r="AF2244" s="88"/>
      <c r="AG2244" s="182">
        <f>YEAR(D2244)</f>
        <v>2015</v>
      </c>
      <c r="AH2244" s="86" t="str">
        <f>+IF(AE2244=$AJ$22,MONTH(T2244),"")</f>
        <v/>
      </c>
      <c r="AI2244" s="86" t="str">
        <f>+IF(AF2244=$AJ$22,MONTH(U2244),"")</f>
        <v/>
      </c>
      <c r="AJ2244" s="86" t="str">
        <f>+IF(AG2244=$AJ$22,MONTH(V2244),"")</f>
        <v/>
      </c>
      <c r="AK2244" s="86" t="str">
        <f>+IF(AG2244=$AK$22,MONTH(V2244),"")</f>
        <v/>
      </c>
      <c r="AL2244" s="86" t="str">
        <f>+IF(AG2244=$AL$22,MONTH(V2244),"")</f>
        <v/>
      </c>
      <c r="AM2244" s="86" t="str">
        <f>+IF($AG2244=$AM$22,MONTH($D2244),"")</f>
        <v/>
      </c>
      <c r="AN2244" s="89" t="str">
        <f>+IF($AG2244=AN$22,MONTH($D2244),"")</f>
        <v/>
      </c>
      <c r="AO2244" s="86" t="str">
        <f>+IF($AG2244=AO$22,MONTH($D2244),"")</f>
        <v/>
      </c>
      <c r="AP2244" s="86" t="str">
        <f>+IF($AG2244=AP$22,MONTH($D2244),"")</f>
        <v/>
      </c>
      <c r="AQ2244" s="86" t="str">
        <f>+IF($AG2244=AQ$22,MONTH($D2244),"")</f>
        <v/>
      </c>
      <c r="AR2244" s="86" t="str">
        <f>+IF($AG2244=AR$22,MONTH($D2244),"")</f>
        <v/>
      </c>
      <c r="AS2244" s="86">
        <f>+IF($AG2244=AS$22,MONTH($D2244),"")</f>
        <v>12</v>
      </c>
      <c r="AT2244" s="86" t="str">
        <f>+IF($AG2244=AT$22,MONTH($D2244),"")</f>
        <v/>
      </c>
      <c r="AU2244" s="86" t="str">
        <f>+IF($AG2244=AU$22,MONTH($D2244),"")</f>
        <v/>
      </c>
      <c r="AV2244" s="86" t="str">
        <f>+IF($AG2244=AV$22,MONTH($D2244),"")</f>
        <v/>
      </c>
      <c r="AW2244" s="86" t="str">
        <f>+IF($AG2244=AW$22,MONTH($D2244),"")</f>
        <v/>
      </c>
      <c r="AX2244" s="86" t="str">
        <f>+IF($AG2244=AX$22,MONTH($D2244),"")</f>
        <v/>
      </c>
      <c r="AY2244" s="89"/>
      <c r="AZ2244" s="89"/>
      <c r="BA2244" s="89"/>
      <c r="BB2244" s="89"/>
      <c r="BC2244" s="89"/>
      <c r="BD2244" s="89"/>
      <c r="BE2244" s="89"/>
      <c r="BF2244" s="89"/>
      <c r="BG2244" s="89"/>
      <c r="BH2244" s="89"/>
      <c r="BI2244" s="89"/>
      <c r="BJ2244" s="89"/>
      <c r="BK2244" s="89"/>
      <c r="BL2244" s="89"/>
      <c r="BM2244" s="89"/>
      <c r="BN2244" s="89"/>
      <c r="BO2244" s="89"/>
      <c r="BP2244" s="89"/>
    </row>
    <row r="2245" spans="1:68" s="56" customFormat="1" ht="27" hidden="1">
      <c r="A2245" s="204" t="str">
        <f>+IFERROR(VALUE(MID(AB2245,4,4)),"")</f>
        <v/>
      </c>
      <c r="B2245" s="204">
        <f>VALUE(RIGHT(C2245,LEN(C2245)-2))</f>
        <v>480</v>
      </c>
      <c r="C2245" s="74" t="s">
        <v>7677</v>
      </c>
      <c r="D2245" s="75">
        <v>42333</v>
      </c>
      <c r="E2245" s="70" t="s">
        <v>2349</v>
      </c>
      <c r="F2245" s="70" t="s">
        <v>66</v>
      </c>
      <c r="G2245" s="68" t="s">
        <v>7668</v>
      </c>
      <c r="H2245" s="59" t="s">
        <v>7669</v>
      </c>
      <c r="I2245" s="162" t="s">
        <v>7678</v>
      </c>
      <c r="J2245" s="162"/>
      <c r="K2245" s="68" t="s">
        <v>31</v>
      </c>
      <c r="L2245" s="69" t="s">
        <v>120</v>
      </c>
      <c r="M2245" s="71" t="s">
        <v>141</v>
      </c>
      <c r="N2245" s="69" t="e" vm="1">
        <v>#VALUE!</v>
      </c>
      <c r="O2245" s="164">
        <v>42333</v>
      </c>
      <c r="P2245" s="72" t="s">
        <v>7465</v>
      </c>
      <c r="Q2245" s="72"/>
      <c r="R2245" s="162"/>
      <c r="S2245" s="146"/>
      <c r="T2245" s="68" t="s">
        <v>165</v>
      </c>
      <c r="U2245" s="87"/>
      <c r="V2245" s="183">
        <v>42348</v>
      </c>
      <c r="W2245" s="73">
        <v>10890</v>
      </c>
      <c r="X2245" s="73">
        <f>825585*640/1000000</f>
        <v>528.37440000000004</v>
      </c>
      <c r="Y2245" s="83">
        <f>IF(SUM(W2245:W2245)&gt;0,X2245/SUM(W2245:W2245)*1000000,"N/A")</f>
        <v>48519.228650137746</v>
      </c>
      <c r="Z2245" s="183"/>
      <c r="AA2245" s="183"/>
      <c r="AB2245" s="223"/>
      <c r="AC2245" s="153"/>
      <c r="AD2245" s="331"/>
      <c r="AE2245" s="57"/>
      <c r="AF2245" s="88"/>
      <c r="AG2245" s="182">
        <f>YEAR(D2245)</f>
        <v>2015</v>
      </c>
      <c r="AH2245" s="86" t="str">
        <f>+IF(AE2245=$AJ$22,MONTH(T2245),"")</f>
        <v/>
      </c>
      <c r="AI2245" s="86" t="str">
        <f>+IF(AF2245=$AJ$22,MONTH(U2245),"")</f>
        <v/>
      </c>
      <c r="AJ2245" s="86" t="str">
        <f>+IF(AG2245=$AJ$22,MONTH(V2245),"")</f>
        <v/>
      </c>
      <c r="AK2245" s="86" t="str">
        <f>+IF(AG2245=$AK$22,MONTH(V2245),"")</f>
        <v/>
      </c>
      <c r="AL2245" s="86" t="str">
        <f>+IF(AG2245=$AL$22,MONTH(V2245),"")</f>
        <v/>
      </c>
      <c r="AM2245" s="86" t="str">
        <f>+IF($AG2245=$AM$22,MONTH($D2245),"")</f>
        <v/>
      </c>
      <c r="AN2245" s="89" t="str">
        <f>+IF($AG2245=AN$22,MONTH($D2245),"")</f>
        <v/>
      </c>
      <c r="AO2245" s="86" t="str">
        <f>+IF($AG2245=AO$22,MONTH($D2245),"")</f>
        <v/>
      </c>
      <c r="AP2245" s="86" t="str">
        <f>+IF($AG2245=AP$22,MONTH($D2245),"")</f>
        <v/>
      </c>
      <c r="AQ2245" s="86" t="str">
        <f>+IF($AG2245=AQ$22,MONTH($D2245),"")</f>
        <v/>
      </c>
      <c r="AR2245" s="86" t="str">
        <f>+IF($AG2245=AR$22,MONTH($D2245),"")</f>
        <v/>
      </c>
      <c r="AS2245" s="86">
        <f>+IF($AG2245=AS$22,MONTH($D2245),"")</f>
        <v>11</v>
      </c>
      <c r="AT2245" s="86" t="str">
        <f>+IF($AG2245=AT$22,MONTH($D2245),"")</f>
        <v/>
      </c>
      <c r="AU2245" s="86" t="str">
        <f>+IF($AG2245=AU$22,MONTH($D2245),"")</f>
        <v/>
      </c>
      <c r="AV2245" s="86" t="str">
        <f>+IF($AG2245=AV$22,MONTH($D2245),"")</f>
        <v/>
      </c>
      <c r="AW2245" s="86" t="str">
        <f>+IF($AG2245=AW$22,MONTH($D2245),"")</f>
        <v/>
      </c>
      <c r="AX2245" s="86" t="str">
        <f>+IF($AG2245=AX$22,MONTH($D2245),"")</f>
        <v/>
      </c>
      <c r="AY2245" s="89"/>
      <c r="AZ2245" s="89"/>
      <c r="BA2245" s="89"/>
      <c r="BB2245" s="89"/>
      <c r="BC2245" s="89"/>
      <c r="BD2245" s="89"/>
      <c r="BE2245" s="89"/>
      <c r="BF2245" s="89"/>
      <c r="BG2245" s="89"/>
      <c r="BH2245" s="89"/>
      <c r="BI2245" s="89"/>
      <c r="BJ2245" s="89"/>
      <c r="BK2245" s="89"/>
      <c r="BL2245" s="89"/>
      <c r="BM2245" s="89"/>
      <c r="BN2245" s="89"/>
      <c r="BO2245" s="89"/>
      <c r="BP2245" s="89"/>
    </row>
    <row r="2246" spans="1:68" s="56" customFormat="1" ht="27" hidden="1">
      <c r="A2246" s="204" t="str">
        <f>+IFERROR(VALUE(MID(AB2246,4,4)),"")</f>
        <v/>
      </c>
      <c r="B2246" s="204">
        <f>VALUE(RIGHT(C2246,LEN(C2246)-2))</f>
        <v>479</v>
      </c>
      <c r="C2246" s="74" t="s">
        <v>7679</v>
      </c>
      <c r="D2246" s="75">
        <v>42333</v>
      </c>
      <c r="E2246" s="70" t="s">
        <v>7680</v>
      </c>
      <c r="F2246" s="70" t="s">
        <v>7680</v>
      </c>
      <c r="G2246" s="68" t="s">
        <v>740</v>
      </c>
      <c r="H2246" s="59" t="s">
        <v>741</v>
      </c>
      <c r="I2246" s="162" t="s">
        <v>7681</v>
      </c>
      <c r="J2246" s="162"/>
      <c r="K2246" s="68" t="s">
        <v>27</v>
      </c>
      <c r="L2246" s="69" t="s">
        <v>120</v>
      </c>
      <c r="M2246" s="71" t="s">
        <v>141</v>
      </c>
      <c r="N2246" s="69" t="e" vm="1">
        <v>#VALUE!</v>
      </c>
      <c r="O2246" s="164">
        <v>42333</v>
      </c>
      <c r="P2246" s="72" t="s">
        <v>4567</v>
      </c>
      <c r="Q2246" s="72"/>
      <c r="R2246" s="162"/>
      <c r="S2246" s="146"/>
      <c r="T2246" s="68" t="s">
        <v>165</v>
      </c>
      <c r="U2246" s="87"/>
      <c r="V2246" s="183">
        <v>42348</v>
      </c>
      <c r="W2246" s="73">
        <v>629</v>
      </c>
      <c r="X2246" s="73">
        <f>1053*24600/1000000</f>
        <v>25.9038</v>
      </c>
      <c r="Y2246" s="83">
        <f>IF(SUM(W2246:W2246)&gt;0,X2246/SUM(W2246:W2246)*1000000,"N/A")</f>
        <v>41182.511923688391</v>
      </c>
      <c r="Z2246" s="183"/>
      <c r="AA2246" s="183"/>
      <c r="AB2246" s="223"/>
      <c r="AC2246" s="153"/>
      <c r="AD2246" s="331"/>
      <c r="AE2246" s="57"/>
      <c r="AF2246" s="88"/>
      <c r="AG2246" s="182">
        <f>YEAR(D2246)</f>
        <v>2015</v>
      </c>
      <c r="AH2246" s="86" t="str">
        <f>+IF(AE2246=$AJ$22,MONTH(T2246),"")</f>
        <v/>
      </c>
      <c r="AI2246" s="86" t="str">
        <f>+IF(AF2246=$AJ$22,MONTH(U2246),"")</f>
        <v/>
      </c>
      <c r="AJ2246" s="86" t="str">
        <f>+IF(AG2246=$AJ$22,MONTH(V2246),"")</f>
        <v/>
      </c>
      <c r="AK2246" s="86" t="str">
        <f>+IF(AG2246=$AK$22,MONTH(V2246),"")</f>
        <v/>
      </c>
      <c r="AL2246" s="86" t="str">
        <f>+IF(AG2246=$AL$22,MONTH(V2246),"")</f>
        <v/>
      </c>
      <c r="AM2246" s="86" t="str">
        <f>+IF($AG2246=$AM$22,MONTH($D2246),"")</f>
        <v/>
      </c>
      <c r="AN2246" s="89" t="str">
        <f>+IF($AG2246=AN$22,MONTH($D2246),"")</f>
        <v/>
      </c>
      <c r="AO2246" s="86" t="str">
        <f>+IF($AG2246=AO$22,MONTH($D2246),"")</f>
        <v/>
      </c>
      <c r="AP2246" s="86" t="str">
        <f>+IF($AG2246=AP$22,MONTH($D2246),"")</f>
        <v/>
      </c>
      <c r="AQ2246" s="86" t="str">
        <f>+IF($AG2246=AQ$22,MONTH($D2246),"")</f>
        <v/>
      </c>
      <c r="AR2246" s="86" t="str">
        <f>+IF($AG2246=AR$22,MONTH($D2246),"")</f>
        <v/>
      </c>
      <c r="AS2246" s="86">
        <f>+IF($AG2246=AS$22,MONTH($D2246),"")</f>
        <v>11</v>
      </c>
      <c r="AT2246" s="86" t="str">
        <f>+IF($AG2246=AT$22,MONTH($D2246),"")</f>
        <v/>
      </c>
      <c r="AU2246" s="86" t="str">
        <f>+IF($AG2246=AU$22,MONTH($D2246),"")</f>
        <v/>
      </c>
      <c r="AV2246" s="86" t="str">
        <f>+IF($AG2246=AV$22,MONTH($D2246),"")</f>
        <v/>
      </c>
      <c r="AW2246" s="86" t="str">
        <f>+IF($AG2246=AW$22,MONTH($D2246),"")</f>
        <v/>
      </c>
      <c r="AX2246" s="86" t="str">
        <f>+IF($AG2246=AX$22,MONTH($D2246),"")</f>
        <v/>
      </c>
      <c r="AY2246" s="89"/>
      <c r="AZ2246" s="89"/>
      <c r="BA2246" s="89"/>
      <c r="BB2246" s="89"/>
      <c r="BC2246" s="89"/>
      <c r="BD2246" s="89"/>
      <c r="BE2246" s="89"/>
      <c r="BF2246" s="89"/>
      <c r="BG2246" s="89"/>
      <c r="BH2246" s="89"/>
      <c r="BI2246" s="89"/>
      <c r="BJ2246" s="89"/>
      <c r="BK2246" s="89"/>
      <c r="BL2246" s="89"/>
      <c r="BM2246" s="89"/>
      <c r="BN2246" s="89"/>
      <c r="BO2246" s="89"/>
      <c r="BP2246" s="89"/>
    </row>
    <row r="2247" spans="1:68" s="56" customFormat="1" ht="27" hidden="1">
      <c r="A2247" s="204" t="str">
        <f>+IFERROR(VALUE(MID(AB2247,4,4)),"")</f>
        <v/>
      </c>
      <c r="B2247" s="204">
        <f>VALUE(RIGHT(C2247,LEN(C2247)-2))</f>
        <v>478</v>
      </c>
      <c r="C2247" s="74" t="s">
        <v>7682</v>
      </c>
      <c r="D2247" s="75">
        <v>42333</v>
      </c>
      <c r="E2247" s="70" t="s">
        <v>81</v>
      </c>
      <c r="F2247" s="70" t="s">
        <v>3351</v>
      </c>
      <c r="G2247" s="68" t="s">
        <v>7079</v>
      </c>
      <c r="H2247" s="59" t="s">
        <v>7556</v>
      </c>
      <c r="I2247" s="162" t="s">
        <v>7683</v>
      </c>
      <c r="J2247" s="162"/>
      <c r="K2247" s="68" t="s">
        <v>30</v>
      </c>
      <c r="L2247" s="69" t="s">
        <v>120</v>
      </c>
      <c r="M2247" s="71" t="s">
        <v>113</v>
      </c>
      <c r="N2247" s="69" t="e" vm="4">
        <v>#VALUE!</v>
      </c>
      <c r="O2247" s="164">
        <v>42333</v>
      </c>
      <c r="P2247" s="72" t="s">
        <v>402</v>
      </c>
      <c r="Q2247" s="72"/>
      <c r="R2247" s="162"/>
      <c r="S2247" s="146"/>
      <c r="T2247" s="68" t="s">
        <v>165</v>
      </c>
      <c r="U2247" s="87"/>
      <c r="V2247" s="183">
        <v>42348</v>
      </c>
      <c r="W2247" s="73">
        <v>153</v>
      </c>
      <c r="X2247" s="73">
        <f>10000*650/1000000</f>
        <v>6.5</v>
      </c>
      <c r="Y2247" s="83">
        <f>IF(SUM(W2247:W2247)&gt;0,X2247/SUM(W2247:W2247)*1000000,"N/A")</f>
        <v>42483.660130718956</v>
      </c>
      <c r="Z2247" s="183"/>
      <c r="AA2247" s="183"/>
      <c r="AB2247" s="223"/>
      <c r="AC2247" s="153"/>
      <c r="AD2247" s="331"/>
      <c r="AE2247" s="57"/>
      <c r="AF2247" s="88"/>
      <c r="AG2247" s="182">
        <f>YEAR(D2247)</f>
        <v>2015</v>
      </c>
      <c r="AH2247" s="86" t="str">
        <f>+IF(AE2247=$AJ$22,MONTH(T2247),"")</f>
        <v/>
      </c>
      <c r="AI2247" s="86" t="str">
        <f>+IF(AF2247=$AJ$22,MONTH(U2247),"")</f>
        <v/>
      </c>
      <c r="AJ2247" s="86" t="str">
        <f>+IF(AG2247=$AJ$22,MONTH(V2247),"")</f>
        <v/>
      </c>
      <c r="AK2247" s="86" t="str">
        <f>+IF(AG2247=$AK$22,MONTH(V2247),"")</f>
        <v/>
      </c>
      <c r="AL2247" s="86" t="str">
        <f>+IF(AG2247=$AL$22,MONTH(V2247),"")</f>
        <v/>
      </c>
      <c r="AM2247" s="86" t="str">
        <f>+IF($AG2247=$AM$22,MONTH($D2247),"")</f>
        <v/>
      </c>
      <c r="AN2247" s="89" t="str">
        <f>+IF($AG2247=AN$22,MONTH($D2247),"")</f>
        <v/>
      </c>
      <c r="AO2247" s="86" t="str">
        <f>+IF($AG2247=AO$22,MONTH($D2247),"")</f>
        <v/>
      </c>
      <c r="AP2247" s="86" t="str">
        <f>+IF($AG2247=AP$22,MONTH($D2247),"")</f>
        <v/>
      </c>
      <c r="AQ2247" s="86" t="str">
        <f>+IF($AG2247=AQ$22,MONTH($D2247),"")</f>
        <v/>
      </c>
      <c r="AR2247" s="86" t="str">
        <f>+IF($AG2247=AR$22,MONTH($D2247),"")</f>
        <v/>
      </c>
      <c r="AS2247" s="86">
        <f>+IF($AG2247=AS$22,MONTH($D2247),"")</f>
        <v>11</v>
      </c>
      <c r="AT2247" s="86" t="str">
        <f>+IF($AG2247=AT$22,MONTH($D2247),"")</f>
        <v/>
      </c>
      <c r="AU2247" s="86" t="str">
        <f>+IF($AG2247=AU$22,MONTH($D2247),"")</f>
        <v/>
      </c>
      <c r="AV2247" s="86" t="str">
        <f>+IF($AG2247=AV$22,MONTH($D2247),"")</f>
        <v/>
      </c>
      <c r="AW2247" s="86" t="str">
        <f>+IF($AG2247=AW$22,MONTH($D2247),"")</f>
        <v/>
      </c>
      <c r="AX2247" s="86" t="str">
        <f>+IF($AG2247=AX$22,MONTH($D2247),"")</f>
        <v/>
      </c>
      <c r="AY2247" s="89"/>
      <c r="AZ2247" s="89"/>
      <c r="BA2247" s="89"/>
      <c r="BB2247" s="89"/>
      <c r="BC2247" s="89"/>
      <c r="BD2247" s="89"/>
      <c r="BE2247" s="89"/>
      <c r="BF2247" s="89"/>
      <c r="BG2247" s="89"/>
      <c r="BH2247" s="89"/>
      <c r="BI2247" s="89"/>
      <c r="BJ2247" s="89"/>
      <c r="BK2247" s="89"/>
      <c r="BL2247" s="89"/>
      <c r="BM2247" s="89"/>
      <c r="BN2247" s="89"/>
      <c r="BO2247" s="89"/>
      <c r="BP2247" s="89"/>
    </row>
    <row r="2248" spans="1:68" s="56" customFormat="1" ht="27" hidden="1">
      <c r="A2248" s="204" t="str">
        <f>+IFERROR(VALUE(MID(AB2248,4,4)),"")</f>
        <v/>
      </c>
      <c r="B2248" s="204">
        <f>VALUE(RIGHT(C2248,LEN(C2248)-2))</f>
        <v>477</v>
      </c>
      <c r="C2248" s="74" t="s">
        <v>7684</v>
      </c>
      <c r="D2248" s="75">
        <v>42331</v>
      </c>
      <c r="E2248" s="70" t="s">
        <v>49</v>
      </c>
      <c r="F2248" s="70" t="s">
        <v>7685</v>
      </c>
      <c r="G2248" s="68" t="s">
        <v>7521</v>
      </c>
      <c r="H2248" s="59"/>
      <c r="I2248" s="162" t="s">
        <v>7686</v>
      </c>
      <c r="J2248" s="162"/>
      <c r="K2248" s="68" t="s">
        <v>11</v>
      </c>
      <c r="L2248" s="69" t="s">
        <v>123</v>
      </c>
      <c r="M2248" s="71" t="s">
        <v>141</v>
      </c>
      <c r="N2248" s="69" t="e" vm="1">
        <v>#VALUE!</v>
      </c>
      <c r="O2248" s="164">
        <v>42338</v>
      </c>
      <c r="P2248" s="72" t="s">
        <v>7465</v>
      </c>
      <c r="Q2248" s="72"/>
      <c r="R2248" s="162"/>
      <c r="S2248" s="146" t="s">
        <v>7296</v>
      </c>
      <c r="T2248" s="68" t="s">
        <v>155</v>
      </c>
      <c r="U2248" s="87"/>
      <c r="V2248" s="183">
        <v>42331</v>
      </c>
      <c r="W2248" s="73"/>
      <c r="X2248" s="73"/>
      <c r="Y2248" s="83"/>
      <c r="Z2248" s="183"/>
      <c r="AA2248" s="183"/>
      <c r="AB2248" s="223"/>
      <c r="AC2248" s="153"/>
      <c r="AD2248" s="331"/>
      <c r="AE2248" s="57"/>
      <c r="AF2248" s="88"/>
      <c r="AG2248" s="182">
        <f>YEAR(D2248)</f>
        <v>2015</v>
      </c>
      <c r="AH2248" s="86" t="str">
        <f>+IF(AE2248=$AJ$22,MONTH(T2248),"")</f>
        <v/>
      </c>
      <c r="AI2248" s="86" t="str">
        <f>+IF(AF2248=$AJ$22,MONTH(U2248),"")</f>
        <v/>
      </c>
      <c r="AJ2248" s="86" t="str">
        <f>+IF(AG2248=$AJ$22,MONTH(V2248),"")</f>
        <v/>
      </c>
      <c r="AK2248" s="86" t="str">
        <f>+IF(AG2248=$AK$22,MONTH(V2248),"")</f>
        <v/>
      </c>
      <c r="AL2248" s="86" t="str">
        <f>+IF(AG2248=$AL$22,MONTH(V2248),"")</f>
        <v/>
      </c>
      <c r="AM2248" s="86" t="str">
        <f>+IF($AG2248=$AM$22,MONTH($D2248),"")</f>
        <v/>
      </c>
      <c r="AN2248" s="89" t="str">
        <f>+IF($AG2248=AN$22,MONTH($D2248),"")</f>
        <v/>
      </c>
      <c r="AO2248" s="86" t="str">
        <f>+IF($AG2248=AO$22,MONTH($D2248),"")</f>
        <v/>
      </c>
      <c r="AP2248" s="86" t="str">
        <f>+IF($AG2248=AP$22,MONTH($D2248),"")</f>
        <v/>
      </c>
      <c r="AQ2248" s="86" t="str">
        <f>+IF($AG2248=AQ$22,MONTH($D2248),"")</f>
        <v/>
      </c>
      <c r="AR2248" s="86" t="str">
        <f>+IF($AG2248=AR$22,MONTH($D2248),"")</f>
        <v/>
      </c>
      <c r="AS2248" s="86">
        <f>+IF($AG2248=AS$22,MONTH($D2248),"")</f>
        <v>11</v>
      </c>
      <c r="AT2248" s="86" t="str">
        <f>+IF($AG2248=AT$22,MONTH($D2248),"")</f>
        <v/>
      </c>
      <c r="AU2248" s="86" t="str">
        <f>+IF($AG2248=AU$22,MONTH($D2248),"")</f>
        <v/>
      </c>
      <c r="AV2248" s="86" t="str">
        <f>+IF($AG2248=AV$22,MONTH($D2248),"")</f>
        <v/>
      </c>
      <c r="AW2248" s="86" t="str">
        <f>+IF($AG2248=AW$22,MONTH($D2248),"")</f>
        <v/>
      </c>
      <c r="AX2248" s="86" t="str">
        <f>+IF($AG2248=AX$22,MONTH($D2248),"")</f>
        <v/>
      </c>
      <c r="AY2248" s="89"/>
      <c r="AZ2248" s="89"/>
      <c r="BA2248" s="89"/>
      <c r="BB2248" s="89"/>
      <c r="BC2248" s="89"/>
      <c r="BD2248" s="89"/>
      <c r="BE2248" s="89"/>
      <c r="BF2248" s="89"/>
      <c r="BG2248" s="89"/>
      <c r="BH2248" s="89"/>
      <c r="BI2248" s="89"/>
      <c r="BJ2248" s="89"/>
      <c r="BK2248" s="89"/>
      <c r="BL2248" s="89"/>
      <c r="BM2248" s="89"/>
      <c r="BN2248" s="89"/>
      <c r="BO2248" s="89"/>
      <c r="BP2248" s="89"/>
    </row>
    <row r="2249" spans="1:68" s="56" customFormat="1" ht="27" hidden="1">
      <c r="A2249" s="204" t="str">
        <f>+IFERROR(VALUE(MID(AB2249,4,4)),"")</f>
        <v/>
      </c>
      <c r="B2249" s="204">
        <f>VALUE(RIGHT(C2249,LEN(C2249)-2))</f>
        <v>476</v>
      </c>
      <c r="C2249" s="74" t="s">
        <v>7687</v>
      </c>
      <c r="D2249" s="75">
        <v>42331</v>
      </c>
      <c r="E2249" s="70" t="s">
        <v>106</v>
      </c>
      <c r="F2249" s="70" t="s">
        <v>106</v>
      </c>
      <c r="G2249" s="68" t="s">
        <v>5655</v>
      </c>
      <c r="H2249" s="59" t="s">
        <v>7624</v>
      </c>
      <c r="I2249" s="162" t="s">
        <v>7688</v>
      </c>
      <c r="J2249" s="162"/>
      <c r="K2249" s="68" t="s">
        <v>13</v>
      </c>
      <c r="L2249" s="69" t="s">
        <v>123</v>
      </c>
      <c r="M2249" s="71" t="s">
        <v>141</v>
      </c>
      <c r="N2249" s="69" t="e" vm="1">
        <v>#VALUE!</v>
      </c>
      <c r="O2249" s="164">
        <v>42339</v>
      </c>
      <c r="P2249" s="72" t="s">
        <v>7689</v>
      </c>
      <c r="Q2249" s="72"/>
      <c r="R2249" s="162"/>
      <c r="S2249" s="146"/>
      <c r="T2249" s="68" t="s">
        <v>165</v>
      </c>
      <c r="U2249" s="87"/>
      <c r="V2249" s="183">
        <v>42366</v>
      </c>
      <c r="W2249" s="73">
        <v>605</v>
      </c>
      <c r="X2249" s="73">
        <f>914.48*24600/1000000</f>
        <v>22.496207999999999</v>
      </c>
      <c r="Y2249" s="83">
        <f>IF(SUM(W2249:W2249)&gt;0,X2249/SUM(W2249:W2249)*1000000,"N/A")</f>
        <v>37183.814876033051</v>
      </c>
      <c r="Z2249" s="183"/>
      <c r="AA2249" s="183"/>
      <c r="AB2249" s="223"/>
      <c r="AC2249" s="153"/>
      <c r="AD2249" s="331"/>
      <c r="AE2249" s="57"/>
      <c r="AF2249" s="88"/>
      <c r="AG2249" s="182">
        <f>YEAR(D2249)</f>
        <v>2015</v>
      </c>
      <c r="AH2249" s="86" t="str">
        <f>+IF(AE2249=$AJ$22,MONTH(T2249),"")</f>
        <v/>
      </c>
      <c r="AI2249" s="86" t="str">
        <f>+IF(AF2249=$AJ$22,MONTH(U2249),"")</f>
        <v/>
      </c>
      <c r="AJ2249" s="86" t="str">
        <f>+IF(AG2249=$AJ$22,MONTH(V2249),"")</f>
        <v/>
      </c>
      <c r="AK2249" s="86" t="str">
        <f>+IF(AG2249=$AK$22,MONTH(V2249),"")</f>
        <v/>
      </c>
      <c r="AL2249" s="86" t="str">
        <f>+IF(AG2249=$AL$22,MONTH(V2249),"")</f>
        <v/>
      </c>
      <c r="AM2249" s="86" t="str">
        <f>+IF($AG2249=$AM$22,MONTH($D2249),"")</f>
        <v/>
      </c>
      <c r="AN2249" s="89" t="str">
        <f>+IF($AG2249=AN$22,MONTH($D2249),"")</f>
        <v/>
      </c>
      <c r="AO2249" s="86" t="str">
        <f>+IF($AG2249=AO$22,MONTH($D2249),"")</f>
        <v/>
      </c>
      <c r="AP2249" s="86" t="str">
        <f>+IF($AG2249=AP$22,MONTH($D2249),"")</f>
        <v/>
      </c>
      <c r="AQ2249" s="86" t="str">
        <f>+IF($AG2249=AQ$22,MONTH($D2249),"")</f>
        <v/>
      </c>
      <c r="AR2249" s="86" t="str">
        <f>+IF($AG2249=AR$22,MONTH($D2249),"")</f>
        <v/>
      </c>
      <c r="AS2249" s="86">
        <f>+IF($AG2249=AS$22,MONTH($D2249),"")</f>
        <v>11</v>
      </c>
      <c r="AT2249" s="86" t="str">
        <f>+IF($AG2249=AT$22,MONTH($D2249),"")</f>
        <v/>
      </c>
      <c r="AU2249" s="86" t="str">
        <f>+IF($AG2249=AU$22,MONTH($D2249),"")</f>
        <v/>
      </c>
      <c r="AV2249" s="86" t="str">
        <f>+IF($AG2249=AV$22,MONTH($D2249),"")</f>
        <v/>
      </c>
      <c r="AW2249" s="86" t="str">
        <f>+IF($AG2249=AW$22,MONTH($D2249),"")</f>
        <v/>
      </c>
      <c r="AX2249" s="86" t="str">
        <f>+IF($AG2249=AX$22,MONTH($D2249),"")</f>
        <v/>
      </c>
      <c r="AY2249" s="89"/>
      <c r="AZ2249" s="89"/>
      <c r="BA2249" s="89"/>
      <c r="BB2249" s="89"/>
      <c r="BC2249" s="89"/>
      <c r="BD2249" s="89"/>
      <c r="BE2249" s="89"/>
      <c r="BF2249" s="89"/>
      <c r="BG2249" s="89"/>
      <c r="BH2249" s="89"/>
      <c r="BI2249" s="89"/>
      <c r="BJ2249" s="89"/>
      <c r="BK2249" s="89"/>
      <c r="BL2249" s="89"/>
      <c r="BM2249" s="89"/>
      <c r="BN2249" s="89"/>
      <c r="BO2249" s="89"/>
      <c r="BP2249" s="89"/>
    </row>
    <row r="2250" spans="1:68" s="56" customFormat="1" ht="27" hidden="1">
      <c r="A2250" s="204">
        <f>+IFERROR(VALUE(MID(AB2250,4,4)),"")</f>
        <v>113</v>
      </c>
      <c r="B2250" s="204">
        <f>VALUE(RIGHT(C2250,LEN(C2250)-2))</f>
        <v>475</v>
      </c>
      <c r="C2250" s="74" t="s">
        <v>7690</v>
      </c>
      <c r="D2250" s="75">
        <v>42323</v>
      </c>
      <c r="E2250" s="70" t="s">
        <v>332</v>
      </c>
      <c r="F2250" s="70" t="s">
        <v>332</v>
      </c>
      <c r="G2250" s="68" t="s">
        <v>285</v>
      </c>
      <c r="H2250" s="59" t="s">
        <v>7401</v>
      </c>
      <c r="I2250" s="162" t="s">
        <v>7691</v>
      </c>
      <c r="J2250" s="162"/>
      <c r="K2250" s="68" t="s">
        <v>13</v>
      </c>
      <c r="L2250" s="69" t="s">
        <v>120</v>
      </c>
      <c r="M2250" s="71" t="s">
        <v>141</v>
      </c>
      <c r="N2250" s="69" t="e" vm="1">
        <v>#VALUE!</v>
      </c>
      <c r="O2250" s="164">
        <v>42334</v>
      </c>
      <c r="P2250" s="72" t="s">
        <v>7372</v>
      </c>
      <c r="Q2250" s="72"/>
      <c r="R2250" s="162"/>
      <c r="S2250" s="146" t="s">
        <v>7692</v>
      </c>
      <c r="T2250" s="68" t="s">
        <v>3</v>
      </c>
      <c r="U2250" s="87"/>
      <c r="V2250" s="183">
        <v>42331</v>
      </c>
      <c r="W2250" s="73">
        <v>463</v>
      </c>
      <c r="X2250" s="73">
        <f>652*24600/1000000</f>
        <v>16.039200000000001</v>
      </c>
      <c r="Y2250" s="83">
        <f>IF(SUM(W2250:W2250)&gt;0,X2250/SUM(W2250:W2250)*1000000,"N/A")</f>
        <v>34641.900647948161</v>
      </c>
      <c r="Z2250" s="183"/>
      <c r="AA2250" s="183"/>
      <c r="AB2250" s="223" t="s">
        <v>7693</v>
      </c>
      <c r="AC2250" s="153"/>
      <c r="AD2250" s="331"/>
      <c r="AE2250" s="57"/>
      <c r="AF2250" s="88"/>
      <c r="AG2250" s="182">
        <f>YEAR(D2250)</f>
        <v>2015</v>
      </c>
      <c r="AH2250" s="86" t="str">
        <f>+IF(AE2250=$AJ$22,MONTH(T2250),"")</f>
        <v/>
      </c>
      <c r="AI2250" s="86" t="str">
        <f>+IF(AF2250=$AJ$22,MONTH(U2250),"")</f>
        <v/>
      </c>
      <c r="AJ2250" s="86" t="str">
        <f>+IF(AG2250=$AJ$22,MONTH(V2250),"")</f>
        <v/>
      </c>
      <c r="AK2250" s="86" t="str">
        <f>+IF(AG2250=$AK$22,MONTH(V2250),"")</f>
        <v/>
      </c>
      <c r="AL2250" s="86" t="str">
        <f>+IF(AG2250=$AL$22,MONTH(V2250),"")</f>
        <v/>
      </c>
      <c r="AM2250" s="86" t="str">
        <f>+IF($AG2250=$AM$22,MONTH($D2250),"")</f>
        <v/>
      </c>
      <c r="AN2250" s="89" t="str">
        <f>+IF($AG2250=AN$22,MONTH($D2250),"")</f>
        <v/>
      </c>
      <c r="AO2250" s="86" t="str">
        <f>+IF($AG2250=AO$22,MONTH($D2250),"")</f>
        <v/>
      </c>
      <c r="AP2250" s="86" t="str">
        <f>+IF($AG2250=AP$22,MONTH($D2250),"")</f>
        <v/>
      </c>
      <c r="AQ2250" s="86" t="str">
        <f>+IF($AG2250=AQ$22,MONTH($D2250),"")</f>
        <v/>
      </c>
      <c r="AR2250" s="86" t="str">
        <f>+IF($AG2250=AR$22,MONTH($D2250),"")</f>
        <v/>
      </c>
      <c r="AS2250" s="86">
        <f>+IF($AG2250=AS$22,MONTH($D2250),"")</f>
        <v>11</v>
      </c>
      <c r="AT2250" s="86" t="str">
        <f>+IF($AG2250=AT$22,MONTH($D2250),"")</f>
        <v/>
      </c>
      <c r="AU2250" s="86" t="str">
        <f>+IF($AG2250=AU$22,MONTH($D2250),"")</f>
        <v/>
      </c>
      <c r="AV2250" s="86" t="str">
        <f>+IF($AG2250=AV$22,MONTH($D2250),"")</f>
        <v/>
      </c>
      <c r="AW2250" s="86" t="str">
        <f>+IF($AG2250=AW$22,MONTH($D2250),"")</f>
        <v/>
      </c>
      <c r="AX2250" s="86" t="str">
        <f>+IF($AG2250=AX$22,MONTH($D2250),"")</f>
        <v/>
      </c>
      <c r="AY2250" s="182"/>
      <c r="AZ2250" s="2"/>
      <c r="BA2250" s="2"/>
      <c r="BB2250" s="2"/>
      <c r="BC2250" s="2"/>
      <c r="BD2250" s="2"/>
      <c r="BE2250" s="2"/>
      <c r="BF2250" s="2"/>
      <c r="BG2250" s="2"/>
      <c r="BH2250" s="2"/>
      <c r="BI2250" s="2"/>
      <c r="BJ2250" s="89"/>
      <c r="BK2250" s="89"/>
      <c r="BL2250" s="89"/>
      <c r="BM2250" s="89"/>
      <c r="BN2250" s="89"/>
      <c r="BO2250" s="89"/>
      <c r="BP2250" s="89"/>
    </row>
    <row r="2251" spans="1:68" s="56" customFormat="1" ht="27" hidden="1">
      <c r="A2251" s="204">
        <f>+IFERROR(VALUE(MID(AB2251,4,4)),"")</f>
        <v>127</v>
      </c>
      <c r="B2251" s="204">
        <f>VALUE(RIGHT(C2251,LEN(C2251)-2))</f>
        <v>474</v>
      </c>
      <c r="C2251" s="74" t="s">
        <v>7694</v>
      </c>
      <c r="D2251" s="75">
        <v>42324</v>
      </c>
      <c r="E2251" s="70" t="s">
        <v>51</v>
      </c>
      <c r="F2251" s="70" t="s">
        <v>51</v>
      </c>
      <c r="G2251" s="68" t="s">
        <v>7006</v>
      </c>
      <c r="H2251" s="59" t="s">
        <v>7007</v>
      </c>
      <c r="I2251" s="162" t="s">
        <v>7695</v>
      </c>
      <c r="J2251" s="162"/>
      <c r="K2251" s="68" t="s">
        <v>30</v>
      </c>
      <c r="L2251" s="69" t="s">
        <v>120</v>
      </c>
      <c r="M2251" s="71" t="s">
        <v>141</v>
      </c>
      <c r="N2251" s="69" t="e" vm="1">
        <v>#VALUE!</v>
      </c>
      <c r="O2251" s="164">
        <v>42324</v>
      </c>
      <c r="P2251" s="72" t="s">
        <v>402</v>
      </c>
      <c r="Q2251" s="72" t="s">
        <v>229</v>
      </c>
      <c r="R2251" s="162"/>
      <c r="S2251" s="146"/>
      <c r="T2251" s="68" t="s">
        <v>3</v>
      </c>
      <c r="U2251" s="87"/>
      <c r="V2251" s="183">
        <v>42326</v>
      </c>
      <c r="W2251" s="73">
        <v>663</v>
      </c>
      <c r="X2251" s="73">
        <f>1214*24600/1000000</f>
        <v>29.8644</v>
      </c>
      <c r="Y2251" s="83">
        <f>IF(SUM(W2251:W2251)&gt;0,X2251/SUM(W2251:W2251)*1000000,"N/A")</f>
        <v>45044.343891402714</v>
      </c>
      <c r="Z2251" s="183"/>
      <c r="AA2251" s="183"/>
      <c r="AB2251" s="223" t="s">
        <v>7696</v>
      </c>
      <c r="AC2251" s="153"/>
      <c r="AD2251" s="331"/>
      <c r="AE2251" s="57"/>
      <c r="AF2251" s="88"/>
      <c r="AG2251" s="182">
        <f>YEAR(D2251)</f>
        <v>2015</v>
      </c>
      <c r="AH2251" s="86" t="str">
        <f>+IF(AE2251=$AJ$22,MONTH(T2251),"")</f>
        <v/>
      </c>
      <c r="AI2251" s="86" t="str">
        <f>+IF(AF2251=$AJ$22,MONTH(U2251),"")</f>
        <v/>
      </c>
      <c r="AJ2251" s="86" t="str">
        <f>+IF(AG2251=$AJ$22,MONTH(V2251),"")</f>
        <v/>
      </c>
      <c r="AK2251" s="86" t="str">
        <f>+IF(AG2251=$AK$22,MONTH(V2251),"")</f>
        <v/>
      </c>
      <c r="AL2251" s="86" t="str">
        <f>+IF(AG2251=$AL$22,MONTH(V2251),"")</f>
        <v/>
      </c>
      <c r="AM2251" s="86" t="str">
        <f>+IF($AG2251=$AM$22,MONTH($D2251),"")</f>
        <v/>
      </c>
      <c r="AN2251" s="89" t="str">
        <f>+IF($AG2251=AN$22,MONTH($D2251),"")</f>
        <v/>
      </c>
      <c r="AO2251" s="86" t="str">
        <f>+IF($AG2251=AO$22,MONTH($D2251),"")</f>
        <v/>
      </c>
      <c r="AP2251" s="86" t="str">
        <f>+IF($AG2251=AP$22,MONTH($D2251),"")</f>
        <v/>
      </c>
      <c r="AQ2251" s="86" t="str">
        <f>+IF($AG2251=AQ$22,MONTH($D2251),"")</f>
        <v/>
      </c>
      <c r="AR2251" s="86" t="str">
        <f>+IF($AG2251=AR$22,MONTH($D2251),"")</f>
        <v/>
      </c>
      <c r="AS2251" s="86">
        <f>+IF($AG2251=AS$22,MONTH($D2251),"")</f>
        <v>11</v>
      </c>
      <c r="AT2251" s="86" t="str">
        <f>+IF($AG2251=AT$22,MONTH($D2251),"")</f>
        <v/>
      </c>
      <c r="AU2251" s="86" t="str">
        <f>+IF($AG2251=AU$22,MONTH($D2251),"")</f>
        <v/>
      </c>
      <c r="AV2251" s="86" t="str">
        <f>+IF($AG2251=AV$22,MONTH($D2251),"")</f>
        <v/>
      </c>
      <c r="AW2251" s="86" t="str">
        <f>+IF($AG2251=AW$22,MONTH($D2251),"")</f>
        <v/>
      </c>
      <c r="AX2251" s="86" t="str">
        <f>+IF($AG2251=AX$22,MONTH($D2251),"")</f>
        <v/>
      </c>
      <c r="AY2251" s="89"/>
      <c r="AZ2251" s="89"/>
      <c r="BA2251" s="89"/>
      <c r="BB2251" s="89"/>
      <c r="BC2251" s="89"/>
      <c r="BD2251" s="89"/>
      <c r="BE2251" s="89"/>
      <c r="BF2251" s="89"/>
      <c r="BG2251" s="89"/>
      <c r="BH2251" s="89"/>
      <c r="BI2251" s="89"/>
      <c r="BJ2251" s="89"/>
      <c r="BK2251" s="89"/>
      <c r="BL2251" s="89"/>
      <c r="BM2251" s="89"/>
      <c r="BN2251" s="89"/>
      <c r="BO2251" s="89"/>
      <c r="BP2251" s="89"/>
    </row>
    <row r="2252" spans="1:68" s="56" customFormat="1" ht="40.5" hidden="1">
      <c r="A2252" s="204" t="str">
        <f>+IFERROR(VALUE(MID(AB2252,4,4)),"")</f>
        <v/>
      </c>
      <c r="B2252" s="204">
        <f>VALUE(RIGHT(C2252,LEN(C2252)-2))</f>
        <v>473</v>
      </c>
      <c r="C2252" s="74" t="s">
        <v>7697</v>
      </c>
      <c r="D2252" s="75">
        <v>42320</v>
      </c>
      <c r="E2252" s="70" t="s">
        <v>7698</v>
      </c>
      <c r="F2252" s="70" t="s">
        <v>7699</v>
      </c>
      <c r="G2252" s="68" t="s">
        <v>7700</v>
      </c>
      <c r="H2252" s="59" t="s">
        <v>7701</v>
      </c>
      <c r="I2252" s="162" t="s">
        <v>7702</v>
      </c>
      <c r="J2252" s="162"/>
      <c r="K2252" s="68" t="s">
        <v>31</v>
      </c>
      <c r="L2252" s="69" t="s">
        <v>120</v>
      </c>
      <c r="M2252" s="71" t="s">
        <v>113</v>
      </c>
      <c r="N2252" s="69" t="e" vm="4">
        <v>#VALUE!</v>
      </c>
      <c r="O2252" s="164">
        <v>42320</v>
      </c>
      <c r="P2252" s="72" t="s">
        <v>7465</v>
      </c>
      <c r="Q2252" s="72"/>
      <c r="R2252" s="162"/>
      <c r="S2252" s="146"/>
      <c r="T2252" s="68" t="s">
        <v>165</v>
      </c>
      <c r="U2252" s="87"/>
      <c r="V2252" s="183">
        <v>42320</v>
      </c>
      <c r="W2252" s="73">
        <v>144</v>
      </c>
      <c r="X2252" s="73">
        <f>9680*500/1000000</f>
        <v>4.84</v>
      </c>
      <c r="Y2252" s="83">
        <f>IF(SUM(W2252:W2252)&gt;0,X2252/SUM(W2252:W2252)*1000000,"N/A")</f>
        <v>33611.111111111109</v>
      </c>
      <c r="Z2252" s="183"/>
      <c r="AA2252" s="183"/>
      <c r="AB2252" s="223"/>
      <c r="AC2252" s="153"/>
      <c r="AD2252" s="331"/>
      <c r="AE2252" s="57"/>
      <c r="AF2252" s="88"/>
      <c r="AG2252" s="182">
        <f>YEAR(D2252)</f>
        <v>2015</v>
      </c>
      <c r="AH2252" s="86" t="str">
        <f>+IF(AE2252=$AJ$22,MONTH(T2252),"")</f>
        <v/>
      </c>
      <c r="AI2252" s="86" t="str">
        <f>+IF(AF2252=$AJ$22,MONTH(U2252),"")</f>
        <v/>
      </c>
      <c r="AJ2252" s="86" t="str">
        <f>+IF(AG2252=$AJ$22,MONTH(V2252),"")</f>
        <v/>
      </c>
      <c r="AK2252" s="86" t="str">
        <f>+IF(AG2252=$AK$22,MONTH(V2252),"")</f>
        <v/>
      </c>
      <c r="AL2252" s="86" t="str">
        <f>+IF(AG2252=$AL$22,MONTH(V2252),"")</f>
        <v/>
      </c>
      <c r="AM2252" s="86" t="str">
        <f>+IF($AG2252=$AM$22,MONTH($D2252),"")</f>
        <v/>
      </c>
      <c r="AN2252" s="89" t="str">
        <f>+IF($AG2252=AN$22,MONTH($D2252),"")</f>
        <v/>
      </c>
      <c r="AO2252" s="86" t="str">
        <f>+IF($AG2252=AO$22,MONTH($D2252),"")</f>
        <v/>
      </c>
      <c r="AP2252" s="86" t="str">
        <f>+IF($AG2252=AP$22,MONTH($D2252),"")</f>
        <v/>
      </c>
      <c r="AQ2252" s="86" t="str">
        <f>+IF($AG2252=AQ$22,MONTH($D2252),"")</f>
        <v/>
      </c>
      <c r="AR2252" s="86" t="str">
        <f>+IF($AG2252=AR$22,MONTH($D2252),"")</f>
        <v/>
      </c>
      <c r="AS2252" s="86">
        <f>+IF($AG2252=AS$22,MONTH($D2252),"")</f>
        <v>11</v>
      </c>
      <c r="AT2252" s="86" t="str">
        <f>+IF($AG2252=AT$22,MONTH($D2252),"")</f>
        <v/>
      </c>
      <c r="AU2252" s="86" t="str">
        <f>+IF($AG2252=AU$22,MONTH($D2252),"")</f>
        <v/>
      </c>
      <c r="AV2252" s="86" t="str">
        <f>+IF($AG2252=AV$22,MONTH($D2252),"")</f>
        <v/>
      </c>
      <c r="AW2252" s="86" t="str">
        <f>+IF($AG2252=AW$22,MONTH($D2252),"")</f>
        <v/>
      </c>
      <c r="AX2252" s="86" t="str">
        <f>+IF($AG2252=AX$22,MONTH($D2252),"")</f>
        <v/>
      </c>
      <c r="AY2252" s="89"/>
      <c r="AZ2252" s="89"/>
      <c r="BA2252" s="89"/>
      <c r="BB2252" s="89"/>
      <c r="BC2252" s="89"/>
      <c r="BD2252" s="89"/>
      <c r="BE2252" s="89"/>
      <c r="BF2252" s="89"/>
      <c r="BG2252" s="89"/>
      <c r="BH2252" s="89"/>
      <c r="BI2252" s="89"/>
      <c r="BJ2252" s="89"/>
      <c r="BK2252" s="89"/>
      <c r="BL2252" s="89"/>
      <c r="BM2252" s="89"/>
      <c r="BN2252" s="89"/>
      <c r="BO2252" s="89"/>
      <c r="BP2252" s="89"/>
    </row>
    <row r="2253" spans="1:68" s="56" customFormat="1" ht="13.5" hidden="1">
      <c r="A2253" s="204" t="str">
        <f>+IFERROR(VALUE(MID(AB2253,4,4)),"")</f>
        <v/>
      </c>
      <c r="B2253" s="204">
        <f>VALUE(RIGHT(C2253,LEN(C2253)-2))</f>
        <v>472</v>
      </c>
      <c r="C2253" s="74" t="s">
        <v>7703</v>
      </c>
      <c r="D2253" s="75">
        <v>42319</v>
      </c>
      <c r="E2253" s="70" t="s">
        <v>7704</v>
      </c>
      <c r="F2253" s="70" t="s">
        <v>7705</v>
      </c>
      <c r="G2253" s="68" t="s">
        <v>7706</v>
      </c>
      <c r="H2253" s="59"/>
      <c r="I2253" s="162" t="s">
        <v>7707</v>
      </c>
      <c r="J2253" s="162"/>
      <c r="K2253" s="68" t="s">
        <v>11</v>
      </c>
      <c r="L2253" s="69" t="s">
        <v>120</v>
      </c>
      <c r="M2253" s="71" t="s">
        <v>141</v>
      </c>
      <c r="N2253" s="69" t="e" vm="1">
        <v>#VALUE!</v>
      </c>
      <c r="O2253" s="164">
        <v>42335</v>
      </c>
      <c r="P2253" s="72" t="s">
        <v>228</v>
      </c>
      <c r="Q2253" s="72"/>
      <c r="R2253" s="162"/>
      <c r="S2253" s="146" t="s">
        <v>7708</v>
      </c>
      <c r="T2253" s="68" t="s">
        <v>165</v>
      </c>
      <c r="U2253" s="87">
        <v>0.01</v>
      </c>
      <c r="V2253" s="183">
        <v>42886</v>
      </c>
      <c r="W2253" s="73">
        <v>3755</v>
      </c>
      <c r="X2253" s="73">
        <f>5544*24600/1000000</f>
        <v>136.38239999999999</v>
      </c>
      <c r="Y2253" s="83">
        <f>IF(SUM(W2253:W2253)&gt;0,X2253/SUM(W2253:W2253)*1000000,"N/A")</f>
        <v>36320.213049267644</v>
      </c>
      <c r="Z2253" s="183"/>
      <c r="AA2253" s="183"/>
      <c r="AB2253" s="223"/>
      <c r="AC2253" s="153"/>
      <c r="AD2253" s="331"/>
      <c r="AE2253" s="57"/>
      <c r="AF2253" s="88"/>
      <c r="AG2253" s="182">
        <f>YEAR(D2253)</f>
        <v>2015</v>
      </c>
      <c r="AH2253" s="86" t="str">
        <f>+IF(AE2253=$AJ$22,MONTH(T2253),"")</f>
        <v/>
      </c>
      <c r="AI2253" s="86" t="str">
        <f>+IF(AF2253=$AJ$22,MONTH(U2253),"")</f>
        <v/>
      </c>
      <c r="AJ2253" s="86" t="str">
        <f>+IF(AG2253=$AJ$22,MONTH(V2253),"")</f>
        <v/>
      </c>
      <c r="AK2253" s="86" t="str">
        <f>+IF(AG2253=$AK$22,MONTH(V2253),"")</f>
        <v/>
      </c>
      <c r="AL2253" s="86" t="str">
        <f>+IF(AG2253=$AL$22,MONTH(V2253),"")</f>
        <v/>
      </c>
      <c r="AM2253" s="86" t="str">
        <f>+IF($AG2253=$AM$22,MONTH($D2253),"")</f>
        <v/>
      </c>
      <c r="AN2253" s="89" t="str">
        <f>+IF($AG2253=AN$22,MONTH($D2253),"")</f>
        <v/>
      </c>
      <c r="AO2253" s="86" t="str">
        <f>+IF($AG2253=AO$22,MONTH($D2253),"")</f>
        <v/>
      </c>
      <c r="AP2253" s="86" t="str">
        <f>+IF($AG2253=AP$22,MONTH($D2253),"")</f>
        <v/>
      </c>
      <c r="AQ2253" s="86" t="str">
        <f>+IF($AG2253=AQ$22,MONTH($D2253),"")</f>
        <v/>
      </c>
      <c r="AR2253" s="86" t="str">
        <f>+IF($AG2253=AR$22,MONTH($D2253),"")</f>
        <v/>
      </c>
      <c r="AS2253" s="86">
        <f>+IF($AG2253=AS$22,MONTH($D2253),"")</f>
        <v>11</v>
      </c>
      <c r="AT2253" s="86" t="str">
        <f>+IF($AG2253=AT$22,MONTH($D2253),"")</f>
        <v/>
      </c>
      <c r="AU2253" s="86" t="str">
        <f>+IF($AG2253=AU$22,MONTH($D2253),"")</f>
        <v/>
      </c>
      <c r="AV2253" s="86" t="str">
        <f>+IF($AG2253=AV$22,MONTH($D2253),"")</f>
        <v/>
      </c>
      <c r="AW2253" s="86" t="str">
        <f>+IF($AG2253=AW$22,MONTH($D2253),"")</f>
        <v/>
      </c>
      <c r="AX2253" s="86" t="str">
        <f>+IF($AG2253=AX$22,MONTH($D2253),"")</f>
        <v/>
      </c>
      <c r="AY2253" s="89"/>
      <c r="AZ2253" s="89"/>
      <c r="BA2253" s="89"/>
      <c r="BB2253" s="89"/>
      <c r="BC2253" s="89"/>
      <c r="BD2253" s="89"/>
      <c r="BE2253" s="89"/>
      <c r="BF2253" s="89"/>
      <c r="BG2253" s="89"/>
      <c r="BH2253" s="89"/>
      <c r="BI2253" s="89"/>
      <c r="BJ2253" s="89"/>
      <c r="BK2253" s="89"/>
      <c r="BL2253" s="89"/>
      <c r="BM2253" s="89"/>
      <c r="BN2253" s="89"/>
      <c r="BO2253" s="89"/>
      <c r="BP2253" s="89"/>
    </row>
    <row r="2254" spans="1:68" s="56" customFormat="1" ht="13.5" hidden="1">
      <c r="A2254" s="204" t="str">
        <f>+IFERROR(VALUE(MID(AB2254,4,4)),"")</f>
        <v/>
      </c>
      <c r="B2254" s="204">
        <f>VALUE(RIGHT(C2254,LEN(C2254)-2))</f>
        <v>471</v>
      </c>
      <c r="C2254" s="74" t="s">
        <v>7709</v>
      </c>
      <c r="D2254" s="75">
        <v>42332</v>
      </c>
      <c r="E2254" s="70" t="s">
        <v>332</v>
      </c>
      <c r="F2254" s="70" t="s">
        <v>332</v>
      </c>
      <c r="G2254" s="68" t="s">
        <v>285</v>
      </c>
      <c r="H2254" s="59"/>
      <c r="I2254" s="162" t="s">
        <v>7710</v>
      </c>
      <c r="J2254" s="162"/>
      <c r="K2254" s="68" t="s">
        <v>13</v>
      </c>
      <c r="L2254" s="69" t="s">
        <v>120</v>
      </c>
      <c r="M2254" s="71" t="s">
        <v>141</v>
      </c>
      <c r="N2254" s="69" t="e" vm="1">
        <v>#VALUE!</v>
      </c>
      <c r="O2254" s="164">
        <v>42332</v>
      </c>
      <c r="P2254" s="72" t="s">
        <v>4567</v>
      </c>
      <c r="Q2254" s="72"/>
      <c r="R2254" s="162"/>
      <c r="S2254" s="146"/>
      <c r="T2254" s="68" t="s">
        <v>165</v>
      </c>
      <c r="U2254" s="87"/>
      <c r="V2254" s="183">
        <v>42481</v>
      </c>
      <c r="W2254" s="73">
        <v>1013</v>
      </c>
      <c r="X2254" s="73">
        <f>1162*24600/1000000</f>
        <v>28.5852</v>
      </c>
      <c r="Y2254" s="83">
        <f>IF(SUM(W2254:W2254)&gt;0,X2254/SUM(W2254:W2254)*1000000,"N/A")</f>
        <v>28218.361303060217</v>
      </c>
      <c r="Z2254" s="183"/>
      <c r="AA2254" s="183"/>
      <c r="AB2254" s="223"/>
      <c r="AC2254" s="153"/>
      <c r="AD2254" s="331"/>
      <c r="AE2254" s="57"/>
      <c r="AF2254" s="88"/>
      <c r="AG2254" s="182">
        <f>YEAR(D2254)</f>
        <v>2015</v>
      </c>
      <c r="AH2254" s="86" t="str">
        <f>+IF(AE2254=$AJ$22,MONTH(T2254),"")</f>
        <v/>
      </c>
      <c r="AI2254" s="86" t="str">
        <f>+IF(AF2254=$AJ$22,MONTH(U2254),"")</f>
        <v/>
      </c>
      <c r="AJ2254" s="86" t="str">
        <f>+IF(AG2254=$AJ$22,MONTH(V2254),"")</f>
        <v/>
      </c>
      <c r="AK2254" s="86" t="str">
        <f>+IF(AG2254=$AK$22,MONTH(V2254),"")</f>
        <v/>
      </c>
      <c r="AL2254" s="86" t="str">
        <f>+IF(AG2254=$AL$22,MONTH(V2254),"")</f>
        <v/>
      </c>
      <c r="AM2254" s="86" t="str">
        <f>+IF($AG2254=$AM$22,MONTH($D2254),"")</f>
        <v/>
      </c>
      <c r="AN2254" s="89" t="str">
        <f>+IF($AG2254=AN$22,MONTH($D2254),"")</f>
        <v/>
      </c>
      <c r="AO2254" s="86" t="str">
        <f>+IF($AG2254=AO$22,MONTH($D2254),"")</f>
        <v/>
      </c>
      <c r="AP2254" s="86" t="str">
        <f>+IF($AG2254=AP$22,MONTH($D2254),"")</f>
        <v/>
      </c>
      <c r="AQ2254" s="86" t="str">
        <f>+IF($AG2254=AQ$22,MONTH($D2254),"")</f>
        <v/>
      </c>
      <c r="AR2254" s="86" t="str">
        <f>+IF($AG2254=AR$22,MONTH($D2254),"")</f>
        <v/>
      </c>
      <c r="AS2254" s="86">
        <f>+IF($AG2254=AS$22,MONTH($D2254),"")</f>
        <v>11</v>
      </c>
      <c r="AT2254" s="86" t="str">
        <f>+IF($AG2254=AT$22,MONTH($D2254),"")</f>
        <v/>
      </c>
      <c r="AU2254" s="86" t="str">
        <f>+IF($AG2254=AU$22,MONTH($D2254),"")</f>
        <v/>
      </c>
      <c r="AV2254" s="86" t="str">
        <f>+IF($AG2254=AV$22,MONTH($D2254),"")</f>
        <v/>
      </c>
      <c r="AW2254" s="86" t="str">
        <f>+IF($AG2254=AW$22,MONTH($D2254),"")</f>
        <v/>
      </c>
      <c r="AX2254" s="86" t="str">
        <f>+IF($AG2254=AX$22,MONTH($D2254),"")</f>
        <v/>
      </c>
      <c r="AY2254" s="89"/>
      <c r="AZ2254" s="89"/>
      <c r="BA2254" s="89"/>
      <c r="BB2254" s="89"/>
      <c r="BC2254" s="89"/>
      <c r="BD2254" s="89"/>
      <c r="BE2254" s="89"/>
      <c r="BF2254" s="89"/>
      <c r="BG2254" s="89"/>
      <c r="BH2254" s="89"/>
      <c r="BI2254" s="89"/>
      <c r="BJ2254" s="89"/>
      <c r="BK2254" s="89"/>
      <c r="BL2254" s="89"/>
      <c r="BM2254" s="89"/>
      <c r="BN2254" s="89"/>
      <c r="BO2254" s="89"/>
      <c r="BP2254" s="89"/>
    </row>
    <row r="2255" spans="1:68" s="56" customFormat="1" ht="27" hidden="1">
      <c r="A2255" s="204" t="str">
        <f>+IFERROR(VALUE(MID(AB2255,4,4)),"")</f>
        <v/>
      </c>
      <c r="B2255" s="204">
        <f>VALUE(RIGHT(C2255,LEN(C2255)-2))</f>
        <v>470</v>
      </c>
      <c r="C2255" s="74" t="s">
        <v>7711</v>
      </c>
      <c r="D2255" s="75">
        <v>42318</v>
      </c>
      <c r="E2255" s="70" t="s">
        <v>332</v>
      </c>
      <c r="F2255" s="70" t="s">
        <v>332</v>
      </c>
      <c r="G2255" s="68" t="s">
        <v>285</v>
      </c>
      <c r="H2255" s="59" t="s">
        <v>7401</v>
      </c>
      <c r="I2255" s="162" t="s">
        <v>7712</v>
      </c>
      <c r="J2255" s="162"/>
      <c r="K2255" s="68" t="s">
        <v>13</v>
      </c>
      <c r="L2255" s="69" t="s">
        <v>120</v>
      </c>
      <c r="M2255" s="71" t="s">
        <v>141</v>
      </c>
      <c r="N2255" s="69" t="e" vm="1">
        <v>#VALUE!</v>
      </c>
      <c r="O2255" s="164">
        <v>42318</v>
      </c>
      <c r="P2255" s="72" t="s">
        <v>4567</v>
      </c>
      <c r="Q2255" s="72"/>
      <c r="R2255" s="162"/>
      <c r="S2255" s="146" t="s">
        <v>7713</v>
      </c>
      <c r="T2255" s="68" t="s">
        <v>165</v>
      </c>
      <c r="U2255" s="87"/>
      <c r="V2255" s="183">
        <v>42318</v>
      </c>
      <c r="W2255" s="73">
        <v>1714</v>
      </c>
      <c r="X2255" s="73">
        <f>2220*24600/1000000</f>
        <v>54.612000000000002</v>
      </c>
      <c r="Y2255" s="83">
        <f>IF(SUM(W2255:W2255)&gt;0,X2255/SUM(W2255:W2255)*1000000,"N/A")</f>
        <v>31862.310385064178</v>
      </c>
      <c r="Z2255" s="183"/>
      <c r="AA2255" s="183"/>
      <c r="AB2255" s="223"/>
      <c r="AC2255" s="153"/>
      <c r="AD2255" s="331"/>
      <c r="AE2255" s="57"/>
      <c r="AF2255" s="88"/>
      <c r="AG2255" s="182">
        <f>YEAR(D2255)</f>
        <v>2015</v>
      </c>
      <c r="AH2255" s="86" t="str">
        <f>+IF(AE2255=$AJ$22,MONTH(T2255),"")</f>
        <v/>
      </c>
      <c r="AI2255" s="86" t="str">
        <f>+IF(AF2255=$AJ$22,MONTH(U2255),"")</f>
        <v/>
      </c>
      <c r="AJ2255" s="86" t="str">
        <f>+IF(AG2255=$AJ$22,MONTH(V2255),"")</f>
        <v/>
      </c>
      <c r="AK2255" s="86" t="str">
        <f>+IF(AG2255=$AK$22,MONTH(V2255),"")</f>
        <v/>
      </c>
      <c r="AL2255" s="86" t="str">
        <f>+IF(AG2255=$AL$22,MONTH(V2255),"")</f>
        <v/>
      </c>
      <c r="AM2255" s="86" t="str">
        <f>+IF($AG2255=$AM$22,MONTH($D2255),"")</f>
        <v/>
      </c>
      <c r="AN2255" s="89" t="str">
        <f>+IF($AG2255=AN$22,MONTH($D2255),"")</f>
        <v/>
      </c>
      <c r="AO2255" s="86" t="str">
        <f>+IF($AG2255=AO$22,MONTH($D2255),"")</f>
        <v/>
      </c>
      <c r="AP2255" s="86" t="str">
        <f>+IF($AG2255=AP$22,MONTH($D2255),"")</f>
        <v/>
      </c>
      <c r="AQ2255" s="86" t="str">
        <f>+IF($AG2255=AQ$22,MONTH($D2255),"")</f>
        <v/>
      </c>
      <c r="AR2255" s="86" t="str">
        <f>+IF($AG2255=AR$22,MONTH($D2255),"")</f>
        <v/>
      </c>
      <c r="AS2255" s="86">
        <f>+IF($AG2255=AS$22,MONTH($D2255),"")</f>
        <v>11</v>
      </c>
      <c r="AT2255" s="86" t="str">
        <f>+IF($AG2255=AT$22,MONTH($D2255),"")</f>
        <v/>
      </c>
      <c r="AU2255" s="86" t="str">
        <f>+IF($AG2255=AU$22,MONTH($D2255),"")</f>
        <v/>
      </c>
      <c r="AV2255" s="86" t="str">
        <f>+IF($AG2255=AV$22,MONTH($D2255),"")</f>
        <v/>
      </c>
      <c r="AW2255" s="86" t="str">
        <f>+IF($AG2255=AW$22,MONTH($D2255),"")</f>
        <v/>
      </c>
      <c r="AX2255" s="86" t="str">
        <f>+IF($AG2255=AX$22,MONTH($D2255),"")</f>
        <v/>
      </c>
      <c r="AY2255" s="89"/>
      <c r="AZ2255" s="89"/>
      <c r="BA2255" s="89"/>
      <c r="BB2255" s="89"/>
      <c r="BC2255" s="89"/>
      <c r="BD2255" s="89"/>
      <c r="BE2255" s="89"/>
      <c r="BF2255" s="89"/>
      <c r="BG2255" s="89"/>
      <c r="BH2255" s="89"/>
      <c r="BI2255" s="89"/>
      <c r="BJ2255" s="89"/>
      <c r="BK2255" s="89"/>
      <c r="BL2255" s="89"/>
      <c r="BM2255" s="89"/>
      <c r="BN2255" s="89"/>
      <c r="BO2255" s="89"/>
      <c r="BP2255" s="89"/>
    </row>
    <row r="2256" spans="1:68" s="56" customFormat="1" ht="13.5" hidden="1">
      <c r="A2256" s="204" t="str">
        <f>+IFERROR(VALUE(MID(AB2256,4,4)),"")</f>
        <v/>
      </c>
      <c r="B2256" s="204">
        <f>VALUE(RIGHT(C2256,LEN(C2256)-2))</f>
        <v>469</v>
      </c>
      <c r="C2256" s="74" t="s">
        <v>7714</v>
      </c>
      <c r="D2256" s="75">
        <v>42339</v>
      </c>
      <c r="E2256" s="70" t="s">
        <v>97</v>
      </c>
      <c r="F2256" s="70" t="s">
        <v>630</v>
      </c>
      <c r="G2256" s="68" t="s">
        <v>1781</v>
      </c>
      <c r="H2256" s="59"/>
      <c r="I2256" s="162" t="s">
        <v>7715</v>
      </c>
      <c r="J2256" s="162"/>
      <c r="K2256" s="68" t="s">
        <v>13</v>
      </c>
      <c r="L2256" s="69" t="s">
        <v>123</v>
      </c>
      <c r="M2256" s="71" t="s">
        <v>141</v>
      </c>
      <c r="N2256" s="69" t="e" vm="1">
        <v>#VALUE!</v>
      </c>
      <c r="O2256" s="164">
        <v>42332</v>
      </c>
      <c r="P2256" s="72" t="s">
        <v>4567</v>
      </c>
      <c r="Q2256" s="72"/>
      <c r="R2256" s="162"/>
      <c r="S2256" s="146"/>
      <c r="T2256" s="68" t="s">
        <v>165</v>
      </c>
      <c r="U2256" s="87"/>
      <c r="V2256" s="183">
        <v>42354</v>
      </c>
      <c r="W2256" s="73">
        <v>5606</v>
      </c>
      <c r="X2256" s="73">
        <f>138620000/1000000</f>
        <v>138.62</v>
      </c>
      <c r="Y2256" s="83">
        <f>IF(SUM(W2256:W2256)&gt;0,X2256/SUM(W2256:W2256)*1000000,"N/A")</f>
        <v>24727.078130574384</v>
      </c>
      <c r="Z2256" s="183"/>
      <c r="AA2256" s="183"/>
      <c r="AB2256" s="223"/>
      <c r="AC2256" s="153"/>
      <c r="AD2256" s="331"/>
      <c r="AE2256" s="57"/>
      <c r="AF2256" s="88"/>
      <c r="AG2256" s="182">
        <f>YEAR(D2256)</f>
        <v>2015</v>
      </c>
      <c r="AH2256" s="86" t="str">
        <f>+IF(AE2256=$AJ$22,MONTH(T2256),"")</f>
        <v/>
      </c>
      <c r="AI2256" s="86" t="str">
        <f>+IF(AF2256=$AJ$22,MONTH(U2256),"")</f>
        <v/>
      </c>
      <c r="AJ2256" s="86" t="str">
        <f>+IF(AG2256=$AJ$22,MONTH(V2256),"")</f>
        <v/>
      </c>
      <c r="AK2256" s="86" t="str">
        <f>+IF(AG2256=$AK$22,MONTH(V2256),"")</f>
        <v/>
      </c>
      <c r="AL2256" s="86" t="str">
        <f>+IF(AG2256=$AL$22,MONTH(V2256),"")</f>
        <v/>
      </c>
      <c r="AM2256" s="86" t="str">
        <f>+IF($AG2256=$AM$22,MONTH($D2256),"")</f>
        <v/>
      </c>
      <c r="AN2256" s="89" t="str">
        <f>+IF($AG2256=AN$22,MONTH($D2256),"")</f>
        <v/>
      </c>
      <c r="AO2256" s="86" t="str">
        <f>+IF($AG2256=AO$22,MONTH($D2256),"")</f>
        <v/>
      </c>
      <c r="AP2256" s="86" t="str">
        <f>+IF($AG2256=AP$22,MONTH($D2256),"")</f>
        <v/>
      </c>
      <c r="AQ2256" s="86" t="str">
        <f>+IF($AG2256=AQ$22,MONTH($D2256),"")</f>
        <v/>
      </c>
      <c r="AR2256" s="86" t="str">
        <f>+IF($AG2256=AR$22,MONTH($D2256),"")</f>
        <v/>
      </c>
      <c r="AS2256" s="86">
        <f>+IF($AG2256=AS$22,MONTH($D2256),"")</f>
        <v>12</v>
      </c>
      <c r="AT2256" s="86" t="str">
        <f>+IF($AG2256=AT$22,MONTH($D2256),"")</f>
        <v/>
      </c>
      <c r="AU2256" s="86" t="str">
        <f>+IF($AG2256=AU$22,MONTH($D2256),"")</f>
        <v/>
      </c>
      <c r="AV2256" s="86" t="str">
        <f>+IF($AG2256=AV$22,MONTH($D2256),"")</f>
        <v/>
      </c>
      <c r="AW2256" s="86" t="str">
        <f>+IF($AG2256=AW$22,MONTH($D2256),"")</f>
        <v/>
      </c>
      <c r="AX2256" s="86" t="str">
        <f>+IF($AG2256=AX$22,MONTH($D2256),"")</f>
        <v/>
      </c>
      <c r="AY2256" s="89"/>
      <c r="AZ2256" s="89"/>
      <c r="BA2256" s="89"/>
      <c r="BB2256" s="89"/>
      <c r="BC2256" s="89"/>
      <c r="BD2256" s="89"/>
      <c r="BE2256" s="89"/>
      <c r="BF2256" s="89"/>
      <c r="BG2256" s="89"/>
      <c r="BH2256" s="89"/>
      <c r="BI2256" s="89"/>
      <c r="BJ2256" s="89"/>
      <c r="BK2256" s="89"/>
      <c r="BL2256" s="89"/>
      <c r="BM2256" s="89"/>
      <c r="BN2256" s="89"/>
      <c r="BO2256" s="89"/>
      <c r="BP2256" s="89"/>
    </row>
    <row r="2257" spans="1:68" s="56" customFormat="1" ht="27" hidden="1">
      <c r="A2257" s="204">
        <f>+IFERROR(VALUE(MID(AB2257,4,4)),"")</f>
        <v>113</v>
      </c>
      <c r="B2257" s="204">
        <f>VALUE(RIGHT(C2257,LEN(C2257)-2))</f>
        <v>468</v>
      </c>
      <c r="C2257" s="74" t="s">
        <v>7716</v>
      </c>
      <c r="D2257" s="75">
        <v>42307</v>
      </c>
      <c r="E2257" s="70" t="s">
        <v>332</v>
      </c>
      <c r="F2257" s="70" t="s">
        <v>332</v>
      </c>
      <c r="G2257" s="68" t="s">
        <v>285</v>
      </c>
      <c r="H2257" s="59" t="s">
        <v>7401</v>
      </c>
      <c r="I2257" s="162" t="s">
        <v>7717</v>
      </c>
      <c r="J2257" s="162"/>
      <c r="K2257" s="68" t="s">
        <v>13</v>
      </c>
      <c r="L2257" s="69" t="s">
        <v>120</v>
      </c>
      <c r="M2257" s="71" t="s">
        <v>141</v>
      </c>
      <c r="N2257" s="69" t="e" vm="1">
        <v>#VALUE!</v>
      </c>
      <c r="O2257" s="164">
        <v>42317</v>
      </c>
      <c r="P2257" s="72" t="s">
        <v>7465</v>
      </c>
      <c r="Q2257" s="72"/>
      <c r="R2257" s="162"/>
      <c r="S2257" s="146"/>
      <c r="T2257" s="68" t="s">
        <v>3</v>
      </c>
      <c r="U2257" s="87"/>
      <c r="V2257" s="183">
        <v>42318</v>
      </c>
      <c r="W2257" s="73">
        <v>2759</v>
      </c>
      <c r="X2257" s="73">
        <f>3938*24600/1000000</f>
        <v>96.874799999999993</v>
      </c>
      <c r="Y2257" s="83">
        <f>IF(SUM(W2257:W2257)&gt;0,X2257/SUM(W2257:W2257)*1000000,"N/A")</f>
        <v>35112.287060529176</v>
      </c>
      <c r="Z2257" s="183"/>
      <c r="AA2257" s="183"/>
      <c r="AB2257" s="223" t="s">
        <v>7718</v>
      </c>
      <c r="AC2257" s="153"/>
      <c r="AD2257" s="331"/>
      <c r="AE2257" s="57"/>
      <c r="AF2257" s="88"/>
      <c r="AG2257" s="182">
        <f>YEAR(D2257)</f>
        <v>2015</v>
      </c>
      <c r="AH2257" s="86" t="str">
        <f>+IF(AE2257=$AJ$22,MONTH(T2257),"")</f>
        <v/>
      </c>
      <c r="AI2257" s="86" t="str">
        <f>+IF(AF2257=$AJ$22,MONTH(U2257),"")</f>
        <v/>
      </c>
      <c r="AJ2257" s="86" t="str">
        <f>+IF(AG2257=$AJ$22,MONTH(V2257),"")</f>
        <v/>
      </c>
      <c r="AK2257" s="86" t="str">
        <f>+IF(AG2257=$AK$22,MONTH(V2257),"")</f>
        <v/>
      </c>
      <c r="AL2257" s="86" t="str">
        <f>+IF(AG2257=$AL$22,MONTH(V2257),"")</f>
        <v/>
      </c>
      <c r="AM2257" s="86" t="str">
        <f>+IF($AG2257=$AM$22,MONTH($D2257),"")</f>
        <v/>
      </c>
      <c r="AN2257" s="89" t="str">
        <f>+IF($AG2257=AN$22,MONTH($D2257),"")</f>
        <v/>
      </c>
      <c r="AO2257" s="86" t="str">
        <f>+IF($AG2257=AO$22,MONTH($D2257),"")</f>
        <v/>
      </c>
      <c r="AP2257" s="86" t="str">
        <f>+IF($AG2257=AP$22,MONTH($D2257),"")</f>
        <v/>
      </c>
      <c r="AQ2257" s="86" t="str">
        <f>+IF($AG2257=AQ$22,MONTH($D2257),"")</f>
        <v/>
      </c>
      <c r="AR2257" s="86" t="str">
        <f>+IF($AG2257=AR$22,MONTH($D2257),"")</f>
        <v/>
      </c>
      <c r="AS2257" s="86">
        <f>+IF($AG2257=AS$22,MONTH($D2257),"")</f>
        <v>10</v>
      </c>
      <c r="AT2257" s="86" t="str">
        <f>+IF($AG2257=AT$22,MONTH($D2257),"")</f>
        <v/>
      </c>
      <c r="AU2257" s="86" t="str">
        <f>+IF($AG2257=AU$22,MONTH($D2257),"")</f>
        <v/>
      </c>
      <c r="AV2257" s="86" t="str">
        <f>+IF($AG2257=AV$22,MONTH($D2257),"")</f>
        <v/>
      </c>
      <c r="AW2257" s="86" t="str">
        <f>+IF($AG2257=AW$22,MONTH($D2257),"")</f>
        <v/>
      </c>
      <c r="AX2257" s="86" t="str">
        <f>+IF($AG2257=AX$22,MONTH($D2257),"")</f>
        <v/>
      </c>
      <c r="AY2257" s="89"/>
      <c r="AZ2257" s="89"/>
      <c r="BA2257" s="89"/>
      <c r="BB2257" s="89"/>
      <c r="BC2257" s="89"/>
      <c r="BD2257" s="89"/>
      <c r="BE2257" s="89"/>
      <c r="BF2257" s="89"/>
      <c r="BG2257" s="89"/>
      <c r="BH2257" s="89"/>
      <c r="BI2257" s="89"/>
      <c r="BJ2257" s="89"/>
      <c r="BK2257" s="89"/>
      <c r="BL2257" s="89"/>
      <c r="BM2257" s="89"/>
      <c r="BN2257" s="89"/>
      <c r="BO2257" s="89"/>
      <c r="BP2257" s="89"/>
    </row>
    <row r="2258" spans="1:68" s="56" customFormat="1" ht="13.5" hidden="1">
      <c r="A2258" s="204" t="str">
        <f>+IFERROR(VALUE(MID(AB2258,4,4)),"")</f>
        <v/>
      </c>
      <c r="B2258" s="204">
        <f>VALUE(RIGHT(C2258,LEN(C2258)-2))</f>
        <v>467</v>
      </c>
      <c r="C2258" s="74" t="s">
        <v>7719</v>
      </c>
      <c r="D2258" s="75">
        <v>42306</v>
      </c>
      <c r="E2258" s="70" t="s">
        <v>7720</v>
      </c>
      <c r="F2258" s="70" t="s">
        <v>7720</v>
      </c>
      <c r="G2258" s="68" t="s">
        <v>7721</v>
      </c>
      <c r="H2258" s="59"/>
      <c r="I2258" s="162" t="s">
        <v>7722</v>
      </c>
      <c r="J2258" s="162"/>
      <c r="K2258" s="68" t="s">
        <v>30</v>
      </c>
      <c r="L2258" s="69" t="s">
        <v>120</v>
      </c>
      <c r="M2258" s="71" t="s">
        <v>141</v>
      </c>
      <c r="N2258" s="69" t="e" vm="1">
        <v>#VALUE!</v>
      </c>
      <c r="O2258" s="164">
        <v>42306</v>
      </c>
      <c r="P2258" s="72" t="s">
        <v>402</v>
      </c>
      <c r="Q2258" s="72"/>
      <c r="R2258" s="162"/>
      <c r="S2258" s="146" t="s">
        <v>7708</v>
      </c>
      <c r="T2258" s="68" t="s">
        <v>165</v>
      </c>
      <c r="U2258" s="87"/>
      <c r="V2258" s="183">
        <v>42314</v>
      </c>
      <c r="W2258" s="73">
        <v>155</v>
      </c>
      <c r="X2258" s="73">
        <f>215*24600/1000000</f>
        <v>5.2889999999999997</v>
      </c>
      <c r="Y2258" s="83">
        <f>IF(SUM(W2258:W2258)&gt;0,X2258/SUM(W2258:W2258)*1000000,"N/A")</f>
        <v>34122.580645161288</v>
      </c>
      <c r="Z2258" s="183"/>
      <c r="AA2258" s="183"/>
      <c r="AB2258" s="223"/>
      <c r="AC2258" s="153"/>
      <c r="AD2258" s="331"/>
      <c r="AE2258" s="57"/>
      <c r="AF2258" s="88"/>
      <c r="AG2258" s="182">
        <f>YEAR(D2258)</f>
        <v>2015</v>
      </c>
      <c r="AH2258" s="86" t="str">
        <f>+IF(AE2258=$AJ$22,MONTH(T2258),"")</f>
        <v/>
      </c>
      <c r="AI2258" s="86" t="str">
        <f>+IF(AF2258=$AJ$22,MONTH(U2258),"")</f>
        <v/>
      </c>
      <c r="AJ2258" s="86" t="str">
        <f>+IF(AG2258=$AJ$22,MONTH(V2258),"")</f>
        <v/>
      </c>
      <c r="AK2258" s="86" t="str">
        <f>+IF(AG2258=$AK$22,MONTH(V2258),"")</f>
        <v/>
      </c>
      <c r="AL2258" s="86" t="str">
        <f>+IF(AG2258=$AL$22,MONTH(V2258),"")</f>
        <v/>
      </c>
      <c r="AM2258" s="86" t="str">
        <f>+IF($AG2258=$AM$22,MONTH($D2258),"")</f>
        <v/>
      </c>
      <c r="AN2258" s="89" t="str">
        <f>+IF($AG2258=AN$22,MONTH($D2258),"")</f>
        <v/>
      </c>
      <c r="AO2258" s="86" t="str">
        <f>+IF($AG2258=AO$22,MONTH($D2258),"")</f>
        <v/>
      </c>
      <c r="AP2258" s="86" t="str">
        <f>+IF($AG2258=AP$22,MONTH($D2258),"")</f>
        <v/>
      </c>
      <c r="AQ2258" s="86" t="str">
        <f>+IF($AG2258=AQ$22,MONTH($D2258),"")</f>
        <v/>
      </c>
      <c r="AR2258" s="86" t="str">
        <f>+IF($AG2258=AR$22,MONTH($D2258),"")</f>
        <v/>
      </c>
      <c r="AS2258" s="86">
        <f>+IF($AG2258=AS$22,MONTH($D2258),"")</f>
        <v>10</v>
      </c>
      <c r="AT2258" s="86" t="str">
        <f>+IF($AG2258=AT$22,MONTH($D2258),"")</f>
        <v/>
      </c>
      <c r="AU2258" s="86" t="str">
        <f>+IF($AG2258=AU$22,MONTH($D2258),"")</f>
        <v/>
      </c>
      <c r="AV2258" s="86" t="str">
        <f>+IF($AG2258=AV$22,MONTH($D2258),"")</f>
        <v/>
      </c>
      <c r="AW2258" s="86" t="str">
        <f>+IF($AG2258=AW$22,MONTH($D2258),"")</f>
        <v/>
      </c>
      <c r="AX2258" s="86" t="str">
        <f>+IF($AG2258=AX$22,MONTH($D2258),"")</f>
        <v/>
      </c>
      <c r="AY2258" s="89"/>
      <c r="AZ2258" s="89"/>
      <c r="BA2258" s="89"/>
      <c r="BB2258" s="89"/>
      <c r="BC2258" s="89"/>
      <c r="BD2258" s="89"/>
      <c r="BE2258" s="89"/>
      <c r="BF2258" s="89"/>
      <c r="BG2258" s="89"/>
      <c r="BH2258" s="89"/>
      <c r="BI2258" s="89"/>
      <c r="BJ2258" s="89"/>
      <c r="BK2258" s="89"/>
      <c r="BL2258" s="89"/>
      <c r="BM2258" s="89"/>
      <c r="BN2258" s="89"/>
      <c r="BO2258" s="89"/>
      <c r="BP2258" s="89"/>
    </row>
    <row r="2259" spans="1:68" s="56" customFormat="1" ht="27" hidden="1">
      <c r="A2259" s="204">
        <f>+IFERROR(VALUE(MID(AB2259,4,4)),"")</f>
        <v>113</v>
      </c>
      <c r="B2259" s="204">
        <f>VALUE(RIGHT(C2259,LEN(C2259)-2))</f>
        <v>466</v>
      </c>
      <c r="C2259" s="74" t="s">
        <v>7723</v>
      </c>
      <c r="D2259" s="75">
        <v>42290</v>
      </c>
      <c r="E2259" s="70" t="s">
        <v>332</v>
      </c>
      <c r="F2259" s="70" t="s">
        <v>332</v>
      </c>
      <c r="G2259" s="68" t="s">
        <v>285</v>
      </c>
      <c r="H2259" s="59" t="s">
        <v>7401</v>
      </c>
      <c r="I2259" s="162" t="s">
        <v>7724</v>
      </c>
      <c r="J2259" s="162"/>
      <c r="K2259" s="68" t="s">
        <v>13</v>
      </c>
      <c r="L2259" s="69" t="s">
        <v>120</v>
      </c>
      <c r="M2259" s="71" t="s">
        <v>141</v>
      </c>
      <c r="N2259" s="69" t="e" vm="1">
        <v>#VALUE!</v>
      </c>
      <c r="O2259" s="164"/>
      <c r="P2259" s="72" t="s">
        <v>402</v>
      </c>
      <c r="Q2259" s="72"/>
      <c r="R2259" s="162"/>
      <c r="S2259" s="146"/>
      <c r="T2259" s="68" t="s">
        <v>3</v>
      </c>
      <c r="U2259" s="87"/>
      <c r="V2259" s="183">
        <v>42304</v>
      </c>
      <c r="W2259" s="73">
        <v>110</v>
      </c>
      <c r="X2259" s="73">
        <f>190*24600/1000000</f>
        <v>4.6740000000000004</v>
      </c>
      <c r="Y2259" s="83">
        <f>IF(SUM(W2259:W2259)&gt;0,X2259/SUM(W2259:W2259)*1000000,"N/A")</f>
        <v>42490.909090909096</v>
      </c>
      <c r="Z2259" s="183"/>
      <c r="AA2259" s="183"/>
      <c r="AB2259" s="223" t="s">
        <v>7725</v>
      </c>
      <c r="AC2259" s="153"/>
      <c r="AD2259" s="331"/>
      <c r="AE2259" s="57"/>
      <c r="AF2259" s="88"/>
      <c r="AG2259" s="182">
        <f>YEAR(D2259)</f>
        <v>2015</v>
      </c>
      <c r="AH2259" s="86" t="str">
        <f>+IF(AE2259=$AJ$22,MONTH(T2259),"")</f>
        <v/>
      </c>
      <c r="AI2259" s="86" t="str">
        <f>+IF(AF2259=$AJ$22,MONTH(U2259),"")</f>
        <v/>
      </c>
      <c r="AJ2259" s="86" t="str">
        <f>+IF(AG2259=$AJ$22,MONTH(V2259),"")</f>
        <v/>
      </c>
      <c r="AK2259" s="86" t="str">
        <f>+IF(AG2259=$AK$22,MONTH(V2259),"")</f>
        <v/>
      </c>
      <c r="AL2259" s="86" t="str">
        <f>+IF(AG2259=$AL$22,MONTH(V2259),"")</f>
        <v/>
      </c>
      <c r="AM2259" s="86" t="str">
        <f>+IF($AG2259=$AM$22,MONTH($D2259),"")</f>
        <v/>
      </c>
      <c r="AN2259" s="89" t="str">
        <f>+IF($AG2259=AN$22,MONTH($D2259),"")</f>
        <v/>
      </c>
      <c r="AO2259" s="86" t="str">
        <f>+IF($AG2259=AO$22,MONTH($D2259),"")</f>
        <v/>
      </c>
      <c r="AP2259" s="86" t="str">
        <f>+IF($AG2259=AP$22,MONTH($D2259),"")</f>
        <v/>
      </c>
      <c r="AQ2259" s="86" t="str">
        <f>+IF($AG2259=AQ$22,MONTH($D2259),"")</f>
        <v/>
      </c>
      <c r="AR2259" s="86" t="str">
        <f>+IF($AG2259=AR$22,MONTH($D2259),"")</f>
        <v/>
      </c>
      <c r="AS2259" s="86">
        <f>+IF($AG2259=AS$22,MONTH($D2259),"")</f>
        <v>10</v>
      </c>
      <c r="AT2259" s="86" t="str">
        <f>+IF($AG2259=AT$22,MONTH($D2259),"")</f>
        <v/>
      </c>
      <c r="AU2259" s="86" t="str">
        <f>+IF($AG2259=AU$22,MONTH($D2259),"")</f>
        <v/>
      </c>
      <c r="AV2259" s="86" t="str">
        <f>+IF($AG2259=AV$22,MONTH($D2259),"")</f>
        <v/>
      </c>
      <c r="AW2259" s="86" t="str">
        <f>+IF($AG2259=AW$22,MONTH($D2259),"")</f>
        <v/>
      </c>
      <c r="AX2259" s="86" t="str">
        <f>+IF($AG2259=AX$22,MONTH($D2259),"")</f>
        <v/>
      </c>
      <c r="AY2259" s="89"/>
      <c r="AZ2259" s="89"/>
      <c r="BA2259" s="89"/>
      <c r="BB2259" s="89"/>
      <c r="BC2259" s="89"/>
      <c r="BD2259" s="89"/>
      <c r="BE2259" s="89"/>
      <c r="BF2259" s="89"/>
      <c r="BG2259" s="89"/>
      <c r="BH2259" s="89"/>
      <c r="BI2259" s="89"/>
      <c r="BJ2259" s="89"/>
      <c r="BK2259" s="89"/>
      <c r="BL2259" s="89"/>
      <c r="BM2259" s="89"/>
      <c r="BN2259" s="89"/>
      <c r="BO2259" s="89"/>
      <c r="BP2259" s="89"/>
    </row>
    <row r="2260" spans="1:68" s="56" customFormat="1" ht="27" hidden="1">
      <c r="A2260" s="204" t="str">
        <f>+IFERROR(VALUE(MID(AB2260,4,4)),"")</f>
        <v/>
      </c>
      <c r="B2260" s="204">
        <f>VALUE(RIGHT(C2260,LEN(C2260)-2))</f>
        <v>465</v>
      </c>
      <c r="C2260" s="74" t="s">
        <v>7726</v>
      </c>
      <c r="D2260" s="75">
        <v>42298</v>
      </c>
      <c r="E2260" s="70" t="s">
        <v>81</v>
      </c>
      <c r="F2260" s="70" t="s">
        <v>3351</v>
      </c>
      <c r="G2260" s="68" t="s">
        <v>7079</v>
      </c>
      <c r="H2260" s="59" t="s">
        <v>7556</v>
      </c>
      <c r="I2260" s="162" t="s">
        <v>7727</v>
      </c>
      <c r="J2260" s="162"/>
      <c r="K2260" s="68" t="s">
        <v>11</v>
      </c>
      <c r="L2260" s="69" t="s">
        <v>120</v>
      </c>
      <c r="M2260" s="71" t="s">
        <v>113</v>
      </c>
      <c r="N2260" s="69" t="e" vm="4">
        <v>#VALUE!</v>
      </c>
      <c r="O2260" s="164">
        <v>42298</v>
      </c>
      <c r="P2260" s="72" t="s">
        <v>402</v>
      </c>
      <c r="Q2260" s="72"/>
      <c r="R2260" s="162"/>
      <c r="S2260" s="146"/>
      <c r="T2260" s="68" t="s">
        <v>165</v>
      </c>
      <c r="U2260" s="87"/>
      <c r="V2260" s="183">
        <v>42293</v>
      </c>
      <c r="W2260" s="73">
        <v>1336</v>
      </c>
      <c r="X2260" s="73">
        <f>92490*650/1000000</f>
        <v>60.118499999999997</v>
      </c>
      <c r="Y2260" s="83">
        <f>IF(SUM(W2260:W2260)&gt;0,X2260/SUM(W2260:W2260)*1000000,"N/A")</f>
        <v>44998.877245508978</v>
      </c>
      <c r="Z2260" s="183"/>
      <c r="AA2260" s="183"/>
      <c r="AB2260" s="223"/>
      <c r="AC2260" s="153"/>
      <c r="AD2260" s="331"/>
      <c r="AE2260" s="57"/>
      <c r="AF2260" s="88"/>
      <c r="AG2260" s="182">
        <f>YEAR(D2260)</f>
        <v>2015</v>
      </c>
      <c r="AH2260" s="86" t="str">
        <f>+IF(AE2260=$AJ$22,MONTH(T2260),"")</f>
        <v/>
      </c>
      <c r="AI2260" s="86" t="str">
        <f>+IF(AF2260=$AJ$22,MONTH(U2260),"")</f>
        <v/>
      </c>
      <c r="AJ2260" s="86" t="str">
        <f>+IF(AG2260=$AJ$22,MONTH(V2260),"")</f>
        <v/>
      </c>
      <c r="AK2260" s="86" t="str">
        <f>+IF(AG2260=$AK$22,MONTH(V2260),"")</f>
        <v/>
      </c>
      <c r="AL2260" s="86" t="str">
        <f>+IF(AG2260=$AL$22,MONTH(V2260),"")</f>
        <v/>
      </c>
      <c r="AM2260" s="86" t="str">
        <f>+IF($AG2260=$AM$22,MONTH($D2260),"")</f>
        <v/>
      </c>
      <c r="AN2260" s="89" t="str">
        <f>+IF($AG2260=AN$22,MONTH($D2260),"")</f>
        <v/>
      </c>
      <c r="AO2260" s="86" t="str">
        <f>+IF($AG2260=AO$22,MONTH($D2260),"")</f>
        <v/>
      </c>
      <c r="AP2260" s="86" t="str">
        <f>+IF($AG2260=AP$22,MONTH($D2260),"")</f>
        <v/>
      </c>
      <c r="AQ2260" s="86" t="str">
        <f>+IF($AG2260=AQ$22,MONTH($D2260),"")</f>
        <v/>
      </c>
      <c r="AR2260" s="86" t="str">
        <f>+IF($AG2260=AR$22,MONTH($D2260),"")</f>
        <v/>
      </c>
      <c r="AS2260" s="86">
        <f>+IF($AG2260=AS$22,MONTH($D2260),"")</f>
        <v>10</v>
      </c>
      <c r="AT2260" s="86" t="str">
        <f>+IF($AG2260=AT$22,MONTH($D2260),"")</f>
        <v/>
      </c>
      <c r="AU2260" s="86" t="str">
        <f>+IF($AG2260=AU$22,MONTH($D2260),"")</f>
        <v/>
      </c>
      <c r="AV2260" s="86" t="str">
        <f>+IF($AG2260=AV$22,MONTH($D2260),"")</f>
        <v/>
      </c>
      <c r="AW2260" s="86" t="str">
        <f>+IF($AG2260=AW$22,MONTH($D2260),"")</f>
        <v/>
      </c>
      <c r="AX2260" s="86" t="str">
        <f>+IF($AG2260=AX$22,MONTH($D2260),"")</f>
        <v/>
      </c>
      <c r="AY2260" s="89"/>
      <c r="AZ2260" s="89"/>
      <c r="BA2260" s="89"/>
      <c r="BB2260" s="89"/>
      <c r="BC2260" s="89"/>
      <c r="BD2260" s="89"/>
      <c r="BE2260" s="89"/>
      <c r="BF2260" s="89"/>
      <c r="BG2260" s="89"/>
      <c r="BH2260" s="89"/>
      <c r="BI2260" s="89"/>
      <c r="BJ2260" s="89"/>
      <c r="BK2260" s="89"/>
      <c r="BL2260" s="89"/>
      <c r="BM2260" s="89"/>
      <c r="BN2260" s="89"/>
      <c r="BO2260" s="89"/>
      <c r="BP2260" s="89"/>
    </row>
    <row r="2261" spans="1:68" s="56" customFormat="1" ht="13.5" hidden="1">
      <c r="A2261" s="204" t="str">
        <f>+IFERROR(VALUE(MID(AB2261,4,4)),"")</f>
        <v/>
      </c>
      <c r="B2261" s="204">
        <f>VALUE(RIGHT(C2261,LEN(C2261)-2))</f>
        <v>464</v>
      </c>
      <c r="C2261" s="74" t="s">
        <v>7728</v>
      </c>
      <c r="D2261" s="75">
        <v>42296</v>
      </c>
      <c r="E2261" s="70" t="s">
        <v>34</v>
      </c>
      <c r="F2261" s="70" t="s">
        <v>34</v>
      </c>
      <c r="G2261" s="68" t="s">
        <v>7729</v>
      </c>
      <c r="H2261" s="59"/>
      <c r="I2261" s="162" t="s">
        <v>7730</v>
      </c>
      <c r="J2261" s="162"/>
      <c r="K2261" s="68"/>
      <c r="L2261" s="69" t="s">
        <v>120</v>
      </c>
      <c r="M2261" s="71" t="s">
        <v>141</v>
      </c>
      <c r="N2261" s="69" t="e" vm="1">
        <v>#VALUE!</v>
      </c>
      <c r="O2261" s="164">
        <v>42332</v>
      </c>
      <c r="P2261" s="72" t="s">
        <v>4567</v>
      </c>
      <c r="Q2261" s="72"/>
      <c r="R2261" s="162"/>
      <c r="S2261" s="146" t="s">
        <v>7731</v>
      </c>
      <c r="T2261" s="68" t="s">
        <v>165</v>
      </c>
      <c r="U2261" s="87"/>
      <c r="V2261" s="183">
        <v>42332</v>
      </c>
      <c r="W2261" s="73">
        <v>332</v>
      </c>
      <c r="X2261" s="73">
        <f>531*24600/1000000</f>
        <v>13.0626</v>
      </c>
      <c r="Y2261" s="83">
        <f>IF(SUM(W2261:W2261)&gt;0,X2261/SUM(W2261:W2261)*1000000,"N/A")</f>
        <v>39345.180722891564</v>
      </c>
      <c r="Z2261" s="183"/>
      <c r="AA2261" s="183"/>
      <c r="AB2261" s="223"/>
      <c r="AC2261" s="153"/>
      <c r="AD2261" s="331"/>
      <c r="AE2261" s="57"/>
      <c r="AF2261" s="88"/>
      <c r="AG2261" s="182">
        <f>YEAR(D2261)</f>
        <v>2015</v>
      </c>
      <c r="AH2261" s="86" t="str">
        <f>+IF(AE2261=$AJ$22,MONTH(T2261),"")</f>
        <v/>
      </c>
      <c r="AI2261" s="86" t="str">
        <f>+IF(AF2261=$AJ$22,MONTH(U2261),"")</f>
        <v/>
      </c>
      <c r="AJ2261" s="86" t="str">
        <f>+IF(AG2261=$AJ$22,MONTH(V2261),"")</f>
        <v/>
      </c>
      <c r="AK2261" s="86" t="str">
        <f>+IF(AG2261=$AK$22,MONTH(V2261),"")</f>
        <v/>
      </c>
      <c r="AL2261" s="86" t="str">
        <f>+IF(AG2261=$AL$22,MONTH(V2261),"")</f>
        <v/>
      </c>
      <c r="AM2261" s="86" t="str">
        <f>+IF($AG2261=$AM$22,MONTH($D2261),"")</f>
        <v/>
      </c>
      <c r="AN2261" s="89" t="str">
        <f>+IF($AG2261=AN$22,MONTH($D2261),"")</f>
        <v/>
      </c>
      <c r="AO2261" s="86" t="str">
        <f>+IF($AG2261=AO$22,MONTH($D2261),"")</f>
        <v/>
      </c>
      <c r="AP2261" s="86" t="str">
        <f>+IF($AG2261=AP$22,MONTH($D2261),"")</f>
        <v/>
      </c>
      <c r="AQ2261" s="86" t="str">
        <f>+IF($AG2261=AQ$22,MONTH($D2261),"")</f>
        <v/>
      </c>
      <c r="AR2261" s="86" t="str">
        <f>+IF($AG2261=AR$22,MONTH($D2261),"")</f>
        <v/>
      </c>
      <c r="AS2261" s="86">
        <f>+IF($AG2261=AS$22,MONTH($D2261),"")</f>
        <v>10</v>
      </c>
      <c r="AT2261" s="86" t="str">
        <f>+IF($AG2261=AT$22,MONTH($D2261),"")</f>
        <v/>
      </c>
      <c r="AU2261" s="86" t="str">
        <f>+IF($AG2261=AU$22,MONTH($D2261),"")</f>
        <v/>
      </c>
      <c r="AV2261" s="86" t="str">
        <f>+IF($AG2261=AV$22,MONTH($D2261),"")</f>
        <v/>
      </c>
      <c r="AW2261" s="86" t="str">
        <f>+IF($AG2261=AW$22,MONTH($D2261),"")</f>
        <v/>
      </c>
      <c r="AX2261" s="86" t="str">
        <f>+IF($AG2261=AX$22,MONTH($D2261),"")</f>
        <v/>
      </c>
      <c r="AY2261" s="89"/>
      <c r="AZ2261" s="89"/>
      <c r="BA2261" s="89"/>
      <c r="BB2261" s="89"/>
      <c r="BC2261" s="89"/>
      <c r="BD2261" s="89"/>
      <c r="BE2261" s="89"/>
      <c r="BF2261" s="89"/>
      <c r="BG2261" s="89"/>
      <c r="BH2261" s="89"/>
      <c r="BI2261" s="89"/>
      <c r="BJ2261" s="89"/>
      <c r="BK2261" s="89"/>
      <c r="BL2261" s="89"/>
      <c r="BM2261" s="89"/>
      <c r="BN2261" s="89"/>
      <c r="BO2261" s="89"/>
      <c r="BP2261" s="89"/>
    </row>
    <row r="2262" spans="1:68" s="56" customFormat="1" ht="27" hidden="1">
      <c r="A2262" s="204" t="str">
        <f>+IFERROR(VALUE(MID(AB2262,4,4)),"")</f>
        <v/>
      </c>
      <c r="B2262" s="204">
        <f>VALUE(RIGHT(C2262,LEN(C2262)-2))</f>
        <v>463</v>
      </c>
      <c r="C2262" s="74" t="s">
        <v>7732</v>
      </c>
      <c r="D2262" s="75">
        <v>42293</v>
      </c>
      <c r="E2262" s="70" t="s">
        <v>223</v>
      </c>
      <c r="F2262" s="70" t="s">
        <v>223</v>
      </c>
      <c r="G2262" s="68" t="s">
        <v>7733</v>
      </c>
      <c r="H2262" s="59" t="s">
        <v>7388</v>
      </c>
      <c r="I2262" s="162" t="s">
        <v>7734</v>
      </c>
      <c r="J2262" s="162"/>
      <c r="K2262" s="68"/>
      <c r="L2262" s="69" t="s">
        <v>120</v>
      </c>
      <c r="M2262" s="71" t="s">
        <v>141</v>
      </c>
      <c r="N2262" s="69" t="e" vm="1">
        <v>#VALUE!</v>
      </c>
      <c r="O2262" s="164">
        <v>42293</v>
      </c>
      <c r="P2262" s="72" t="s">
        <v>402</v>
      </c>
      <c r="Q2262" s="72"/>
      <c r="R2262" s="162"/>
      <c r="S2262" s="146" t="s">
        <v>7735</v>
      </c>
      <c r="T2262" s="68" t="s">
        <v>165</v>
      </c>
      <c r="U2262" s="87"/>
      <c r="V2262" s="183">
        <v>42293</v>
      </c>
      <c r="W2262" s="73">
        <v>24000</v>
      </c>
      <c r="X2262" s="73">
        <f>24500*31104/1000000</f>
        <v>762.048</v>
      </c>
      <c r="Y2262" s="83">
        <f>IF(SUM(W2262:W2262)&gt;0,X2262/SUM(W2262:W2262)*1000000,"N/A")</f>
        <v>31752.000000000004</v>
      </c>
      <c r="Z2262" s="183"/>
      <c r="AA2262" s="183"/>
      <c r="AB2262" s="223"/>
      <c r="AC2262" s="153"/>
      <c r="AD2262" s="331"/>
      <c r="AE2262" s="57"/>
      <c r="AF2262" s="88"/>
      <c r="AG2262" s="182">
        <f>YEAR(D2262)</f>
        <v>2015</v>
      </c>
      <c r="AH2262" s="86" t="str">
        <f>+IF(AE2262=$AJ$22,MONTH(T2262),"")</f>
        <v/>
      </c>
      <c r="AI2262" s="86" t="str">
        <f>+IF(AF2262=$AJ$22,MONTH(U2262),"")</f>
        <v/>
      </c>
      <c r="AJ2262" s="86" t="str">
        <f>+IF(AG2262=$AJ$22,MONTH(V2262),"")</f>
        <v/>
      </c>
      <c r="AK2262" s="86" t="str">
        <f>+IF(AG2262=$AK$22,MONTH(V2262),"")</f>
        <v/>
      </c>
      <c r="AL2262" s="86" t="str">
        <f>+IF(AG2262=$AL$22,MONTH(V2262),"")</f>
        <v/>
      </c>
      <c r="AM2262" s="86" t="str">
        <f>+IF($AG2262=$AM$22,MONTH($D2262),"")</f>
        <v/>
      </c>
      <c r="AN2262" s="89" t="str">
        <f>+IF($AG2262=AN$22,MONTH($D2262),"")</f>
        <v/>
      </c>
      <c r="AO2262" s="86" t="str">
        <f>+IF($AG2262=AO$22,MONTH($D2262),"")</f>
        <v/>
      </c>
      <c r="AP2262" s="86" t="str">
        <f>+IF($AG2262=AP$22,MONTH($D2262),"")</f>
        <v/>
      </c>
      <c r="AQ2262" s="86" t="str">
        <f>+IF($AG2262=AQ$22,MONTH($D2262),"")</f>
        <v/>
      </c>
      <c r="AR2262" s="86" t="str">
        <f>+IF($AG2262=AR$22,MONTH($D2262),"")</f>
        <v/>
      </c>
      <c r="AS2262" s="86">
        <f>+IF($AG2262=AS$22,MONTH($D2262),"")</f>
        <v>10</v>
      </c>
      <c r="AT2262" s="86" t="str">
        <f>+IF($AG2262=AT$22,MONTH($D2262),"")</f>
        <v/>
      </c>
      <c r="AU2262" s="86" t="str">
        <f>+IF($AG2262=AU$22,MONTH($D2262),"")</f>
        <v/>
      </c>
      <c r="AV2262" s="86" t="str">
        <f>+IF($AG2262=AV$22,MONTH($D2262),"")</f>
        <v/>
      </c>
      <c r="AW2262" s="86" t="str">
        <f>+IF($AG2262=AW$22,MONTH($D2262),"")</f>
        <v/>
      </c>
      <c r="AX2262" s="86" t="str">
        <f>+IF($AG2262=AX$22,MONTH($D2262),"")</f>
        <v/>
      </c>
      <c r="AY2262" s="89"/>
      <c r="AZ2262" s="89"/>
      <c r="BA2262" s="89"/>
      <c r="BB2262" s="89"/>
      <c r="BC2262" s="89"/>
      <c r="BD2262" s="89"/>
      <c r="BE2262" s="89"/>
      <c r="BF2262" s="89"/>
      <c r="BG2262" s="89"/>
      <c r="BH2262" s="89"/>
      <c r="BI2262" s="89"/>
      <c r="BJ2262" s="89"/>
      <c r="BK2262" s="89"/>
      <c r="BL2262" s="89"/>
      <c r="BM2262" s="89"/>
      <c r="BN2262" s="89"/>
      <c r="BO2262" s="89"/>
      <c r="BP2262" s="89"/>
    </row>
    <row r="2263" spans="1:68" s="56" customFormat="1" ht="13.5" hidden="1">
      <c r="A2263" s="204" t="str">
        <f>+IFERROR(VALUE(MID(AB2263,4,4)),"")</f>
        <v/>
      </c>
      <c r="B2263" s="204">
        <f>VALUE(RIGHT(C2263,LEN(C2263)-2))</f>
        <v>462</v>
      </c>
      <c r="C2263" s="74" t="s">
        <v>7736</v>
      </c>
      <c r="D2263" s="75">
        <v>42286</v>
      </c>
      <c r="E2263" s="70" t="s">
        <v>332</v>
      </c>
      <c r="F2263" s="181" t="s">
        <v>332</v>
      </c>
      <c r="G2263" s="68" t="s">
        <v>7117</v>
      </c>
      <c r="H2263" s="59"/>
      <c r="I2263" s="162" t="s">
        <v>7737</v>
      </c>
      <c r="J2263" s="162"/>
      <c r="K2263" s="68" t="s">
        <v>30</v>
      </c>
      <c r="L2263" s="69" t="s">
        <v>120</v>
      </c>
      <c r="M2263" s="71" t="s">
        <v>141</v>
      </c>
      <c r="N2263" s="69" t="e" vm="1">
        <v>#VALUE!</v>
      </c>
      <c r="O2263" s="164">
        <v>42286</v>
      </c>
      <c r="P2263" s="72" t="s">
        <v>402</v>
      </c>
      <c r="Q2263" s="72"/>
      <c r="R2263" s="162"/>
      <c r="S2263" s="146"/>
      <c r="T2263" s="68" t="s">
        <v>165</v>
      </c>
      <c r="U2263" s="87"/>
      <c r="V2263" s="183">
        <v>42290</v>
      </c>
      <c r="W2263" s="73">
        <v>135</v>
      </c>
      <c r="X2263" s="73">
        <f>24600*248/1000000</f>
        <v>6.1007999999999996</v>
      </c>
      <c r="Y2263" s="83">
        <f>IF(SUM(W2263:W2263)&gt;0,X2263/SUM(W2263:W2263)*1000000,"N/A")</f>
        <v>45191.111111111102</v>
      </c>
      <c r="Z2263" s="183"/>
      <c r="AA2263" s="183"/>
      <c r="AB2263" s="223"/>
      <c r="AC2263" s="153"/>
      <c r="AD2263" s="331"/>
      <c r="AE2263" s="57"/>
      <c r="AF2263" s="88"/>
      <c r="AG2263" s="182">
        <f>YEAR(D2263)</f>
        <v>2015</v>
      </c>
      <c r="AH2263" s="86" t="str">
        <f>+IF(AE2263=$AJ$22,MONTH(T2263),"")</f>
        <v/>
      </c>
      <c r="AI2263" s="86" t="str">
        <f>+IF(AF2263=$AJ$22,MONTH(U2263),"")</f>
        <v/>
      </c>
      <c r="AJ2263" s="86" t="str">
        <f>+IF(AG2263=$AJ$22,MONTH(V2263),"")</f>
        <v/>
      </c>
      <c r="AK2263" s="86" t="str">
        <f>+IF(AG2263=$AK$22,MONTH(V2263),"")</f>
        <v/>
      </c>
      <c r="AL2263" s="86" t="str">
        <f>+IF(AG2263=$AL$22,MONTH(V2263),"")</f>
        <v/>
      </c>
      <c r="AM2263" s="86" t="str">
        <f>+IF($AG2263=$AM$22,MONTH($D2263),"")</f>
        <v/>
      </c>
      <c r="AN2263" s="89" t="str">
        <f>+IF($AG2263=AN$22,MONTH($D2263),"")</f>
        <v/>
      </c>
      <c r="AO2263" s="86" t="str">
        <f>+IF($AG2263=AO$22,MONTH($D2263),"")</f>
        <v/>
      </c>
      <c r="AP2263" s="86" t="str">
        <f>+IF($AG2263=AP$22,MONTH($D2263),"")</f>
        <v/>
      </c>
      <c r="AQ2263" s="86" t="str">
        <f>+IF($AG2263=AQ$22,MONTH($D2263),"")</f>
        <v/>
      </c>
      <c r="AR2263" s="86" t="str">
        <f>+IF($AG2263=AR$22,MONTH($D2263),"")</f>
        <v/>
      </c>
      <c r="AS2263" s="86">
        <f>+IF($AG2263=AS$22,MONTH($D2263),"")</f>
        <v>10</v>
      </c>
      <c r="AT2263" s="86" t="str">
        <f>+IF($AG2263=AT$22,MONTH($D2263),"")</f>
        <v/>
      </c>
      <c r="AU2263" s="86" t="str">
        <f>+IF($AG2263=AU$22,MONTH($D2263),"")</f>
        <v/>
      </c>
      <c r="AV2263" s="86" t="str">
        <f>+IF($AG2263=AV$22,MONTH($D2263),"")</f>
        <v/>
      </c>
      <c r="AW2263" s="86" t="str">
        <f>+IF($AG2263=AW$22,MONTH($D2263),"")</f>
        <v/>
      </c>
      <c r="AX2263" s="86" t="str">
        <f>+IF($AG2263=AX$22,MONTH($D2263),"")</f>
        <v/>
      </c>
      <c r="AY2263" s="89"/>
      <c r="AZ2263" s="89"/>
      <c r="BA2263" s="89"/>
      <c r="BB2263" s="89"/>
      <c r="BC2263" s="89"/>
      <c r="BD2263" s="89"/>
      <c r="BE2263" s="89"/>
      <c r="BF2263" s="89"/>
      <c r="BG2263" s="89"/>
      <c r="BH2263" s="89"/>
      <c r="BI2263" s="89"/>
      <c r="BJ2263" s="89"/>
      <c r="BK2263" s="89"/>
      <c r="BL2263" s="89"/>
      <c r="BM2263" s="89"/>
      <c r="BN2263" s="89"/>
      <c r="BO2263" s="89"/>
      <c r="BP2263" s="89"/>
    </row>
    <row r="2264" spans="1:68" s="56" customFormat="1" ht="27" hidden="1">
      <c r="A2264" s="204" t="str">
        <f>+IFERROR(VALUE(MID(AB2264,4,4)),"")</f>
        <v/>
      </c>
      <c r="B2264" s="204">
        <f>VALUE(RIGHT(C2264,LEN(C2264)-2))</f>
        <v>461</v>
      </c>
      <c r="C2264" s="74" t="s">
        <v>7738</v>
      </c>
      <c r="D2264" s="75">
        <v>42286</v>
      </c>
      <c r="E2264" s="70" t="s">
        <v>7739</v>
      </c>
      <c r="F2264" s="70" t="s">
        <v>7739</v>
      </c>
      <c r="G2264" s="68" t="s">
        <v>7740</v>
      </c>
      <c r="H2264" s="59" t="s">
        <v>7741</v>
      </c>
      <c r="I2264" s="162" t="s">
        <v>7742</v>
      </c>
      <c r="J2264" s="162"/>
      <c r="K2264" s="68" t="s">
        <v>90</v>
      </c>
      <c r="L2264" s="69" t="s">
        <v>120</v>
      </c>
      <c r="M2264" s="71" t="s">
        <v>141</v>
      </c>
      <c r="N2264" s="69" t="e" vm="1">
        <v>#VALUE!</v>
      </c>
      <c r="O2264" s="164"/>
      <c r="P2264" s="72" t="s">
        <v>7465</v>
      </c>
      <c r="Q2264" s="72"/>
      <c r="R2264" s="162"/>
      <c r="S2264" s="146"/>
      <c r="T2264" s="68" t="s">
        <v>165</v>
      </c>
      <c r="U2264" s="87">
        <v>0</v>
      </c>
      <c r="V2264" s="183">
        <v>42290</v>
      </c>
      <c r="W2264" s="73">
        <v>390</v>
      </c>
      <c r="X2264" s="73">
        <f>653*24600/1000000</f>
        <v>16.063800000000001</v>
      </c>
      <c r="Y2264" s="83">
        <f>IF(SUM(W2264:W2264)&gt;0,X2264/SUM(W2264:W2264)*1000000,"N/A")</f>
        <v>41189.230769230773</v>
      </c>
      <c r="Z2264" s="183"/>
      <c r="AA2264" s="183"/>
      <c r="AB2264" s="223"/>
      <c r="AC2264" s="153"/>
      <c r="AD2264" s="331"/>
      <c r="AE2264" s="57"/>
      <c r="AF2264" s="88"/>
      <c r="AG2264" s="182">
        <f>YEAR(D2264)</f>
        <v>2015</v>
      </c>
      <c r="AH2264" s="86" t="str">
        <f>+IF(AE2264=$AJ$22,MONTH(T2264),"")</f>
        <v/>
      </c>
      <c r="AI2264" s="86" t="str">
        <f>+IF(AF2264=$AJ$22,MONTH(U2264),"")</f>
        <v/>
      </c>
      <c r="AJ2264" s="86" t="str">
        <f>+IF(AG2264=$AJ$22,MONTH(V2264),"")</f>
        <v/>
      </c>
      <c r="AK2264" s="86" t="str">
        <f>+IF(AG2264=$AK$22,MONTH(V2264),"")</f>
        <v/>
      </c>
      <c r="AL2264" s="86" t="str">
        <f>+IF(AG2264=$AL$22,MONTH(V2264),"")</f>
        <v/>
      </c>
      <c r="AM2264" s="86" t="str">
        <f>+IF($AG2264=$AM$22,MONTH($D2264),"")</f>
        <v/>
      </c>
      <c r="AN2264" s="89" t="str">
        <f>+IF($AG2264=AN$22,MONTH($D2264),"")</f>
        <v/>
      </c>
      <c r="AO2264" s="86" t="str">
        <f>+IF($AG2264=AO$22,MONTH($D2264),"")</f>
        <v/>
      </c>
      <c r="AP2264" s="86" t="str">
        <f>+IF($AG2264=AP$22,MONTH($D2264),"")</f>
        <v/>
      </c>
      <c r="AQ2264" s="86" t="str">
        <f>+IF($AG2264=AQ$22,MONTH($D2264),"")</f>
        <v/>
      </c>
      <c r="AR2264" s="86" t="str">
        <f>+IF($AG2264=AR$22,MONTH($D2264),"")</f>
        <v/>
      </c>
      <c r="AS2264" s="86">
        <f>+IF($AG2264=AS$22,MONTH($D2264),"")</f>
        <v>10</v>
      </c>
      <c r="AT2264" s="86" t="str">
        <f>+IF($AG2264=AT$22,MONTH($D2264),"")</f>
        <v/>
      </c>
      <c r="AU2264" s="86" t="str">
        <f>+IF($AG2264=AU$22,MONTH($D2264),"")</f>
        <v/>
      </c>
      <c r="AV2264" s="86" t="str">
        <f>+IF($AG2264=AV$22,MONTH($D2264),"")</f>
        <v/>
      </c>
      <c r="AW2264" s="86" t="str">
        <f>+IF($AG2264=AW$22,MONTH($D2264),"")</f>
        <v/>
      </c>
      <c r="AX2264" s="86" t="str">
        <f>+IF($AG2264=AX$22,MONTH($D2264),"")</f>
        <v/>
      </c>
      <c r="AY2264" s="89"/>
      <c r="AZ2264" s="89"/>
      <c r="BA2264" s="89"/>
      <c r="BB2264" s="89"/>
      <c r="BC2264" s="89"/>
      <c r="BD2264" s="89"/>
      <c r="BE2264" s="89"/>
      <c r="BF2264" s="89"/>
      <c r="BG2264" s="89"/>
      <c r="BH2264" s="89"/>
      <c r="BI2264" s="89"/>
      <c r="BJ2264" s="89"/>
      <c r="BK2264" s="89"/>
      <c r="BL2264" s="89"/>
      <c r="BM2264" s="89"/>
      <c r="BN2264" s="89"/>
      <c r="BO2264" s="89"/>
      <c r="BP2264" s="89"/>
    </row>
    <row r="2265" spans="1:68" s="56" customFormat="1" ht="27" hidden="1">
      <c r="A2265" s="204">
        <f>+IFERROR(VALUE(MID(AB2265,4,4)),"")</f>
        <v>113</v>
      </c>
      <c r="B2265" s="204">
        <f>VALUE(RIGHT(C2265,LEN(C2265)-2))</f>
        <v>460</v>
      </c>
      <c r="C2265" s="74" t="s">
        <v>7743</v>
      </c>
      <c r="D2265" s="75">
        <v>42290</v>
      </c>
      <c r="E2265" s="70" t="s">
        <v>332</v>
      </c>
      <c r="F2265" s="70" t="s">
        <v>332</v>
      </c>
      <c r="G2265" s="68" t="s">
        <v>285</v>
      </c>
      <c r="H2265" s="59" t="s">
        <v>7401</v>
      </c>
      <c r="I2265" s="162" t="s">
        <v>7744</v>
      </c>
      <c r="J2265" s="162"/>
      <c r="K2265" s="68" t="s">
        <v>31</v>
      </c>
      <c r="L2265" s="69" t="s">
        <v>120</v>
      </c>
      <c r="M2265" s="71" t="s">
        <v>141</v>
      </c>
      <c r="N2265" s="69" t="e" vm="1">
        <v>#VALUE!</v>
      </c>
      <c r="O2265" s="164">
        <v>42290</v>
      </c>
      <c r="P2265" s="72" t="s">
        <v>402</v>
      </c>
      <c r="Q2265" s="72"/>
      <c r="R2265" s="162"/>
      <c r="S2265" s="146" t="s">
        <v>7745</v>
      </c>
      <c r="T2265" s="68" t="s">
        <v>3</v>
      </c>
      <c r="U2265" s="87"/>
      <c r="V2265" s="183">
        <v>42290</v>
      </c>
      <c r="W2265" s="73">
        <v>894</v>
      </c>
      <c r="X2265" s="73">
        <f>24600*1118/1000000</f>
        <v>27.502800000000001</v>
      </c>
      <c r="Y2265" s="83">
        <f>IF(SUM(W2265:W2265)&gt;0,X2265/SUM(W2265:W2265)*1000000,"N/A")</f>
        <v>30763.758389261748</v>
      </c>
      <c r="Z2265" s="183"/>
      <c r="AA2265" s="183"/>
      <c r="AB2265" s="223" t="s">
        <v>7746</v>
      </c>
      <c r="AC2265" s="153"/>
      <c r="AD2265" s="331"/>
      <c r="AE2265" s="57"/>
      <c r="AF2265" s="88"/>
      <c r="AG2265" s="182">
        <f>YEAR(D2265)</f>
        <v>2015</v>
      </c>
      <c r="AH2265" s="86" t="str">
        <f>+IF(AE2265=$AJ$22,MONTH(T2265),"")</f>
        <v/>
      </c>
      <c r="AI2265" s="86" t="str">
        <f>+IF(AF2265=$AJ$22,MONTH(U2265),"")</f>
        <v/>
      </c>
      <c r="AJ2265" s="86" t="str">
        <f>+IF(AG2265=$AJ$22,MONTH(V2265),"")</f>
        <v/>
      </c>
      <c r="AK2265" s="86" t="str">
        <f>+IF(AG2265=$AK$22,MONTH(V2265),"")</f>
        <v/>
      </c>
      <c r="AL2265" s="86" t="str">
        <f>+IF(AG2265=$AL$22,MONTH(V2265),"")</f>
        <v/>
      </c>
      <c r="AM2265" s="86" t="str">
        <f>+IF($AG2265=$AM$22,MONTH($D2265),"")</f>
        <v/>
      </c>
      <c r="AN2265" s="89" t="str">
        <f>+IF($AG2265=AN$22,MONTH($D2265),"")</f>
        <v/>
      </c>
      <c r="AO2265" s="86" t="str">
        <f>+IF($AG2265=AO$22,MONTH($D2265),"")</f>
        <v/>
      </c>
      <c r="AP2265" s="86" t="str">
        <f>+IF($AG2265=AP$22,MONTH($D2265),"")</f>
        <v/>
      </c>
      <c r="AQ2265" s="86" t="str">
        <f>+IF($AG2265=AQ$22,MONTH($D2265),"")</f>
        <v/>
      </c>
      <c r="AR2265" s="86" t="str">
        <f>+IF($AG2265=AR$22,MONTH($D2265),"")</f>
        <v/>
      </c>
      <c r="AS2265" s="86">
        <f>+IF($AG2265=AS$22,MONTH($D2265),"")</f>
        <v>10</v>
      </c>
      <c r="AT2265" s="86" t="str">
        <f>+IF($AG2265=AT$22,MONTH($D2265),"")</f>
        <v/>
      </c>
      <c r="AU2265" s="86" t="str">
        <f>+IF($AG2265=AU$22,MONTH($D2265),"")</f>
        <v/>
      </c>
      <c r="AV2265" s="86" t="str">
        <f>+IF($AG2265=AV$22,MONTH($D2265),"")</f>
        <v/>
      </c>
      <c r="AW2265" s="86" t="str">
        <f>+IF($AG2265=AW$22,MONTH($D2265),"")</f>
        <v/>
      </c>
      <c r="AX2265" s="86" t="str">
        <f>+IF($AG2265=AX$22,MONTH($D2265),"")</f>
        <v/>
      </c>
      <c r="AY2265" s="89"/>
      <c r="AZ2265" s="89"/>
      <c r="BA2265" s="89"/>
      <c r="BB2265" s="89"/>
      <c r="BC2265" s="89"/>
      <c r="BD2265" s="89"/>
      <c r="BE2265" s="89"/>
      <c r="BF2265" s="89"/>
      <c r="BG2265" s="89"/>
      <c r="BH2265" s="89"/>
      <c r="BI2265" s="89"/>
      <c r="BJ2265" s="89"/>
      <c r="BK2265" s="89"/>
      <c r="BL2265" s="89"/>
      <c r="BM2265" s="89"/>
      <c r="BN2265" s="89"/>
      <c r="BO2265" s="89"/>
      <c r="BP2265" s="89"/>
    </row>
    <row r="2266" spans="1:68" s="56" customFormat="1" ht="13.5" hidden="1">
      <c r="A2266" s="204" t="str">
        <f>+IFERROR(VALUE(MID(AB2266,4,4)),"")</f>
        <v/>
      </c>
      <c r="B2266" s="204">
        <f>VALUE(RIGHT(C2266,LEN(C2266)-2))</f>
        <v>459</v>
      </c>
      <c r="C2266" s="74" t="s">
        <v>7747</v>
      </c>
      <c r="D2266" s="75">
        <v>42290</v>
      </c>
      <c r="E2266" s="70" t="s">
        <v>332</v>
      </c>
      <c r="F2266" s="70" t="s">
        <v>332</v>
      </c>
      <c r="G2266" s="68" t="s">
        <v>285</v>
      </c>
      <c r="H2266" s="59" t="s">
        <v>7401</v>
      </c>
      <c r="I2266" s="162" t="s">
        <v>7748</v>
      </c>
      <c r="J2266" s="162"/>
      <c r="K2266" s="68" t="s">
        <v>30</v>
      </c>
      <c r="L2266" s="69" t="s">
        <v>120</v>
      </c>
      <c r="M2266" s="71" t="s">
        <v>141</v>
      </c>
      <c r="N2266" s="69" t="e" vm="1">
        <v>#VALUE!</v>
      </c>
      <c r="O2266" s="164">
        <v>42290</v>
      </c>
      <c r="P2266" s="72" t="s">
        <v>402</v>
      </c>
      <c r="Q2266" s="72"/>
      <c r="R2266" s="162"/>
      <c r="S2266" s="146"/>
      <c r="T2266" s="68" t="s">
        <v>3</v>
      </c>
      <c r="U2266" s="87"/>
      <c r="V2266" s="183">
        <v>42290</v>
      </c>
      <c r="W2266" s="73">
        <v>84</v>
      </c>
      <c r="X2266" s="73">
        <f>122*24600/1000000</f>
        <v>3.0011999999999999</v>
      </c>
      <c r="Y2266" s="83">
        <f>IF(SUM(W2266:W2266)&gt;0,X2266/SUM(W2266:W2266)*1000000,"N/A")</f>
        <v>35728.571428571428</v>
      </c>
      <c r="Z2266" s="183"/>
      <c r="AA2266" s="183"/>
      <c r="AB2266" s="223"/>
      <c r="AC2266" s="153"/>
      <c r="AD2266" s="331"/>
      <c r="AE2266" s="57"/>
      <c r="AF2266" s="88"/>
      <c r="AG2266" s="182">
        <f>YEAR(D2266)</f>
        <v>2015</v>
      </c>
      <c r="AH2266" s="86" t="str">
        <f>+IF(AE2266=$AJ$22,MONTH(T2266),"")</f>
        <v/>
      </c>
      <c r="AI2266" s="86" t="str">
        <f>+IF(AF2266=$AJ$22,MONTH(U2266),"")</f>
        <v/>
      </c>
      <c r="AJ2266" s="86" t="str">
        <f>+IF(AG2266=$AJ$22,MONTH(V2266),"")</f>
        <v/>
      </c>
      <c r="AK2266" s="86" t="str">
        <f>+IF(AG2266=$AK$22,MONTH(V2266),"")</f>
        <v/>
      </c>
      <c r="AL2266" s="86" t="str">
        <f>+IF(AG2266=$AL$22,MONTH(V2266),"")</f>
        <v/>
      </c>
      <c r="AM2266" s="86" t="str">
        <f>+IF($AG2266=$AM$22,MONTH($D2266),"")</f>
        <v/>
      </c>
      <c r="AN2266" s="89" t="str">
        <f>+IF($AG2266=AN$22,MONTH($D2266),"")</f>
        <v/>
      </c>
      <c r="AO2266" s="86" t="str">
        <f>+IF($AG2266=AO$22,MONTH($D2266),"")</f>
        <v/>
      </c>
      <c r="AP2266" s="86" t="str">
        <f>+IF($AG2266=AP$22,MONTH($D2266),"")</f>
        <v/>
      </c>
      <c r="AQ2266" s="86" t="str">
        <f>+IF($AG2266=AQ$22,MONTH($D2266),"")</f>
        <v/>
      </c>
      <c r="AR2266" s="86" t="str">
        <f>+IF($AG2266=AR$22,MONTH($D2266),"")</f>
        <v/>
      </c>
      <c r="AS2266" s="86">
        <f>+IF($AG2266=AS$22,MONTH($D2266),"")</f>
        <v>10</v>
      </c>
      <c r="AT2266" s="86" t="str">
        <f>+IF($AG2266=AT$22,MONTH($D2266),"")</f>
        <v/>
      </c>
      <c r="AU2266" s="86" t="str">
        <f>+IF($AG2266=AU$22,MONTH($D2266),"")</f>
        <v/>
      </c>
      <c r="AV2266" s="86" t="str">
        <f>+IF($AG2266=AV$22,MONTH($D2266),"")</f>
        <v/>
      </c>
      <c r="AW2266" s="86" t="str">
        <f>+IF($AG2266=AW$22,MONTH($D2266),"")</f>
        <v/>
      </c>
      <c r="AX2266" s="86" t="str">
        <f>+IF($AG2266=AX$22,MONTH($D2266),"")</f>
        <v/>
      </c>
      <c r="AY2266" s="89"/>
      <c r="AZ2266" s="89"/>
      <c r="BA2266" s="89"/>
      <c r="BB2266" s="89"/>
      <c r="BC2266" s="89"/>
      <c r="BD2266" s="89"/>
      <c r="BE2266" s="89"/>
      <c r="BF2266" s="89"/>
      <c r="BG2266" s="89"/>
      <c r="BH2266" s="89"/>
      <c r="BI2266" s="89"/>
      <c r="BJ2266" s="89"/>
      <c r="BK2266" s="89"/>
      <c r="BL2266" s="89"/>
      <c r="BM2266" s="89"/>
      <c r="BN2266" s="89"/>
      <c r="BO2266" s="89"/>
      <c r="BP2266" s="89"/>
    </row>
    <row r="2267" spans="1:68" s="56" customFormat="1" ht="27" hidden="1">
      <c r="A2267" s="204">
        <f>+IFERROR(VALUE(MID(AB2267,4,4)),"")</f>
        <v>113</v>
      </c>
      <c r="B2267" s="204">
        <f>VALUE(RIGHT(C2267,LEN(C2267)-2))</f>
        <v>458</v>
      </c>
      <c r="C2267" s="74" t="s">
        <v>7749</v>
      </c>
      <c r="D2267" s="75">
        <v>42290</v>
      </c>
      <c r="E2267" s="70" t="s">
        <v>332</v>
      </c>
      <c r="F2267" s="70" t="s">
        <v>332</v>
      </c>
      <c r="G2267" s="68" t="s">
        <v>285</v>
      </c>
      <c r="H2267" s="59" t="s">
        <v>7401</v>
      </c>
      <c r="I2267" s="162" t="s">
        <v>7750</v>
      </c>
      <c r="J2267" s="162"/>
      <c r="K2267" s="68" t="s">
        <v>30</v>
      </c>
      <c r="L2267" s="69" t="s">
        <v>120</v>
      </c>
      <c r="M2267" s="71" t="s">
        <v>141</v>
      </c>
      <c r="N2267" s="69" t="e" vm="1">
        <v>#VALUE!</v>
      </c>
      <c r="O2267" s="164">
        <v>42290</v>
      </c>
      <c r="P2267" s="72" t="s">
        <v>402</v>
      </c>
      <c r="Q2267" s="72"/>
      <c r="R2267" s="162"/>
      <c r="S2267" s="146"/>
      <c r="T2267" s="68" t="s">
        <v>3</v>
      </c>
      <c r="U2267" s="87"/>
      <c r="V2267" s="183">
        <v>42290</v>
      </c>
      <c r="W2267" s="73">
        <v>110</v>
      </c>
      <c r="X2267" s="73">
        <f>24600*165/1000000</f>
        <v>4.0590000000000002</v>
      </c>
      <c r="Y2267" s="83">
        <f>IF(SUM(W2267:W2267)&gt;0,X2267/SUM(W2267:W2267)*1000000,"N/A")</f>
        <v>36900</v>
      </c>
      <c r="Z2267" s="183"/>
      <c r="AA2267" s="183"/>
      <c r="AB2267" s="223" t="s">
        <v>7751</v>
      </c>
      <c r="AC2267" s="153"/>
      <c r="AD2267" s="331"/>
      <c r="AE2267" s="57"/>
      <c r="AF2267" s="88"/>
      <c r="AG2267" s="182">
        <f>YEAR(D2267)</f>
        <v>2015</v>
      </c>
      <c r="AH2267" s="86" t="str">
        <f>+IF(AE2267=$AJ$22,MONTH(T2267),"")</f>
        <v/>
      </c>
      <c r="AI2267" s="86" t="str">
        <f>+IF(AF2267=$AJ$22,MONTH(U2267),"")</f>
        <v/>
      </c>
      <c r="AJ2267" s="86" t="str">
        <f>+IF(AG2267=$AJ$22,MONTH(V2267),"")</f>
        <v/>
      </c>
      <c r="AK2267" s="86" t="str">
        <f>+IF(AG2267=$AK$22,MONTH(V2267),"")</f>
        <v/>
      </c>
      <c r="AL2267" s="86" t="str">
        <f>+IF(AG2267=$AL$22,MONTH(V2267),"")</f>
        <v/>
      </c>
      <c r="AM2267" s="86" t="str">
        <f>+IF($AG2267=$AM$22,MONTH($D2267),"")</f>
        <v/>
      </c>
      <c r="AN2267" s="89" t="str">
        <f>+IF($AG2267=AN$22,MONTH($D2267),"")</f>
        <v/>
      </c>
      <c r="AO2267" s="86" t="str">
        <f>+IF($AG2267=AO$22,MONTH($D2267),"")</f>
        <v/>
      </c>
      <c r="AP2267" s="86" t="str">
        <f>+IF($AG2267=AP$22,MONTH($D2267),"")</f>
        <v/>
      </c>
      <c r="AQ2267" s="86" t="str">
        <f>+IF($AG2267=AQ$22,MONTH($D2267),"")</f>
        <v/>
      </c>
      <c r="AR2267" s="86" t="str">
        <f>+IF($AG2267=AR$22,MONTH($D2267),"")</f>
        <v/>
      </c>
      <c r="AS2267" s="86">
        <f>+IF($AG2267=AS$22,MONTH($D2267),"")</f>
        <v>10</v>
      </c>
      <c r="AT2267" s="86" t="str">
        <f>+IF($AG2267=AT$22,MONTH($D2267),"")</f>
        <v/>
      </c>
      <c r="AU2267" s="86" t="str">
        <f>+IF($AG2267=AU$22,MONTH($D2267),"")</f>
        <v/>
      </c>
      <c r="AV2267" s="86" t="str">
        <f>+IF($AG2267=AV$22,MONTH($D2267),"")</f>
        <v/>
      </c>
      <c r="AW2267" s="86" t="str">
        <f>+IF($AG2267=AW$22,MONTH($D2267),"")</f>
        <v/>
      </c>
      <c r="AX2267" s="86" t="str">
        <f>+IF($AG2267=AX$22,MONTH($D2267),"")</f>
        <v/>
      </c>
      <c r="AY2267" s="89"/>
      <c r="AZ2267" s="89"/>
      <c r="BA2267" s="89"/>
      <c r="BB2267" s="89"/>
      <c r="BC2267" s="89"/>
      <c r="BD2267" s="89"/>
      <c r="BE2267" s="89"/>
      <c r="BF2267" s="89"/>
      <c r="BG2267" s="89"/>
      <c r="BH2267" s="89"/>
      <c r="BI2267" s="89"/>
      <c r="BJ2267" s="89"/>
      <c r="BK2267" s="89"/>
      <c r="BL2267" s="89"/>
      <c r="BM2267" s="89"/>
      <c r="BN2267" s="89"/>
      <c r="BO2267" s="89"/>
      <c r="BP2267" s="89"/>
    </row>
    <row r="2268" spans="1:68" s="56" customFormat="1" ht="40.5" hidden="1">
      <c r="A2268" s="204" t="str">
        <f>+IFERROR(VALUE(MID(AB2268,4,4)),"")</f>
        <v/>
      </c>
      <c r="B2268" s="204">
        <f>VALUE(RIGHT(C2268,LEN(C2268)-2))</f>
        <v>457</v>
      </c>
      <c r="C2268" s="74" t="s">
        <v>7752</v>
      </c>
      <c r="D2268" s="75">
        <v>42282</v>
      </c>
      <c r="E2268" s="70" t="s">
        <v>7753</v>
      </c>
      <c r="F2268" s="70" t="s">
        <v>7753</v>
      </c>
      <c r="G2268" s="68" t="s">
        <v>7754</v>
      </c>
      <c r="H2268" s="59" t="s">
        <v>7755</v>
      </c>
      <c r="I2268" s="162" t="s">
        <v>7756</v>
      </c>
      <c r="J2268" s="162"/>
      <c r="K2268" s="68" t="s">
        <v>30</v>
      </c>
      <c r="L2268" s="69" t="s">
        <v>123</v>
      </c>
      <c r="M2268" s="71" t="s">
        <v>141</v>
      </c>
      <c r="N2268" s="69" t="e" vm="1">
        <v>#VALUE!</v>
      </c>
      <c r="O2268" s="164">
        <v>42282</v>
      </c>
      <c r="P2268" s="72" t="s">
        <v>7465</v>
      </c>
      <c r="Q2268" s="72"/>
      <c r="R2268" s="162"/>
      <c r="S2268" s="146" t="s">
        <v>7757</v>
      </c>
      <c r="T2268" s="68" t="s">
        <v>165</v>
      </c>
      <c r="U2268" s="87"/>
      <c r="V2268" s="183">
        <v>42481</v>
      </c>
      <c r="W2268" s="73">
        <v>224</v>
      </c>
      <c r="X2268" s="73">
        <f>383*24600/1000000</f>
        <v>9.4217999999999993</v>
      </c>
      <c r="Y2268" s="83">
        <f>IF(SUM(W2268:W2268)&gt;0,X2268/SUM(W2268:W2268)*1000000,"N/A")</f>
        <v>42061.607142857138</v>
      </c>
      <c r="Z2268" s="183"/>
      <c r="AA2268" s="183"/>
      <c r="AB2268" s="223"/>
      <c r="AC2268" s="153"/>
      <c r="AD2268" s="331"/>
      <c r="AE2268" s="57"/>
      <c r="AF2268" s="88"/>
      <c r="AG2268" s="182">
        <f>YEAR(D2268)</f>
        <v>2015</v>
      </c>
      <c r="AH2268" s="86" t="str">
        <f>+IF(AE2268=$AJ$22,MONTH(T2268),"")</f>
        <v/>
      </c>
      <c r="AI2268" s="86" t="str">
        <f>+IF(AF2268=$AJ$22,MONTH(U2268),"")</f>
        <v/>
      </c>
      <c r="AJ2268" s="86" t="str">
        <f>+IF(AG2268=$AJ$22,MONTH(V2268),"")</f>
        <v/>
      </c>
      <c r="AK2268" s="86" t="str">
        <f>+IF(AG2268=$AK$22,MONTH(V2268),"")</f>
        <v/>
      </c>
      <c r="AL2268" s="86" t="str">
        <f>+IF(AG2268=$AL$22,MONTH(V2268),"")</f>
        <v/>
      </c>
      <c r="AM2268" s="86" t="str">
        <f>+IF($AG2268=$AM$22,MONTH($D2268),"")</f>
        <v/>
      </c>
      <c r="AN2268" s="89" t="str">
        <f>+IF($AG2268=AN$22,MONTH($D2268),"")</f>
        <v/>
      </c>
      <c r="AO2268" s="86" t="str">
        <f>+IF($AG2268=AO$22,MONTH($D2268),"")</f>
        <v/>
      </c>
      <c r="AP2268" s="86" t="str">
        <f>+IF($AG2268=AP$22,MONTH($D2268),"")</f>
        <v/>
      </c>
      <c r="AQ2268" s="86" t="str">
        <f>+IF($AG2268=AQ$22,MONTH($D2268),"")</f>
        <v/>
      </c>
      <c r="AR2268" s="86" t="str">
        <f>+IF($AG2268=AR$22,MONTH($D2268),"")</f>
        <v/>
      </c>
      <c r="AS2268" s="86">
        <f>+IF($AG2268=AS$22,MONTH($D2268),"")</f>
        <v>10</v>
      </c>
      <c r="AT2268" s="86" t="str">
        <f>+IF($AG2268=AT$22,MONTH($D2268),"")</f>
        <v/>
      </c>
      <c r="AU2268" s="86" t="str">
        <f>+IF($AG2268=AU$22,MONTH($D2268),"")</f>
        <v/>
      </c>
      <c r="AV2268" s="86" t="str">
        <f>+IF($AG2268=AV$22,MONTH($D2268),"")</f>
        <v/>
      </c>
      <c r="AW2268" s="86" t="str">
        <f>+IF($AG2268=AW$22,MONTH($D2268),"")</f>
        <v/>
      </c>
      <c r="AX2268" s="86" t="str">
        <f>+IF($AG2268=AX$22,MONTH($D2268),"")</f>
        <v/>
      </c>
      <c r="AY2268" s="89"/>
      <c r="AZ2268" s="89"/>
      <c r="BA2268" s="89"/>
      <c r="BB2268" s="89"/>
      <c r="BC2268" s="89"/>
      <c r="BD2268" s="89"/>
      <c r="BE2268" s="89"/>
      <c r="BF2268" s="89"/>
      <c r="BG2268" s="89"/>
      <c r="BH2268" s="89"/>
      <c r="BI2268" s="89"/>
      <c r="BJ2268" s="89"/>
      <c r="BK2268" s="89"/>
      <c r="BL2268" s="89"/>
      <c r="BM2268" s="89"/>
      <c r="BN2268" s="89"/>
      <c r="BO2268" s="89"/>
      <c r="BP2268" s="89"/>
    </row>
    <row r="2269" spans="1:68" s="56" customFormat="1" ht="27" hidden="1">
      <c r="A2269" s="204" t="str">
        <f>+IFERROR(VALUE(MID(AB2269,4,4)),"")</f>
        <v/>
      </c>
      <c r="B2269" s="204">
        <f>VALUE(RIGHT(C2269,LEN(C2269)-2))</f>
        <v>456</v>
      </c>
      <c r="C2269" s="74" t="s">
        <v>7758</v>
      </c>
      <c r="D2269" s="75">
        <v>42276</v>
      </c>
      <c r="E2269" s="70" t="s">
        <v>97</v>
      </c>
      <c r="F2269" s="70" t="s">
        <v>97</v>
      </c>
      <c r="G2269" s="68" t="s">
        <v>6831</v>
      </c>
      <c r="H2269" s="59" t="s">
        <v>7541</v>
      </c>
      <c r="I2269" s="162" t="s">
        <v>7759</v>
      </c>
      <c r="J2269" s="162"/>
      <c r="K2269" s="68"/>
      <c r="L2269" s="69" t="s">
        <v>120</v>
      </c>
      <c r="M2269" s="71" t="s">
        <v>141</v>
      </c>
      <c r="N2269" s="69" t="e" vm="1">
        <v>#VALUE!</v>
      </c>
      <c r="O2269" s="164">
        <v>42276</v>
      </c>
      <c r="P2269" s="72" t="s">
        <v>4567</v>
      </c>
      <c r="Q2269" s="72"/>
      <c r="R2269" s="162"/>
      <c r="S2269" s="146" t="s">
        <v>7708</v>
      </c>
      <c r="T2269" s="68" t="s">
        <v>165</v>
      </c>
      <c r="U2269" s="87"/>
      <c r="V2269" s="183">
        <v>42284</v>
      </c>
      <c r="W2269" s="73">
        <v>180</v>
      </c>
      <c r="X2269" s="73">
        <f>38.3*24600/1000000</f>
        <v>0.94217999999999991</v>
      </c>
      <c r="Y2269" s="83">
        <f>IF(SUM(W2269:W2269)&gt;0,X2269/SUM(W2269:W2269)*1000000,"N/A")</f>
        <v>5234.333333333333</v>
      </c>
      <c r="Z2269" s="183"/>
      <c r="AA2269" s="183"/>
      <c r="AB2269" s="223"/>
      <c r="AC2269" s="153"/>
      <c r="AD2269" s="331"/>
      <c r="AE2269" s="57"/>
      <c r="AF2269" s="88"/>
      <c r="AG2269" s="182">
        <f>YEAR(D2269)</f>
        <v>2015</v>
      </c>
      <c r="AH2269" s="86" t="str">
        <f>+IF(AE2269=$AJ$22,MONTH(T2269),"")</f>
        <v/>
      </c>
      <c r="AI2269" s="86" t="str">
        <f>+IF(AF2269=$AJ$22,MONTH(U2269),"")</f>
        <v/>
      </c>
      <c r="AJ2269" s="86" t="str">
        <f>+IF(AG2269=$AJ$22,MONTH(V2269),"")</f>
        <v/>
      </c>
      <c r="AK2269" s="86" t="str">
        <f>+IF(AG2269=$AK$22,MONTH(V2269),"")</f>
        <v/>
      </c>
      <c r="AL2269" s="86" t="str">
        <f>+IF(AG2269=$AL$22,MONTH(V2269),"")</f>
        <v/>
      </c>
      <c r="AM2269" s="86" t="str">
        <f>+IF($AG2269=$AM$22,MONTH($D2269),"")</f>
        <v/>
      </c>
      <c r="AN2269" s="89" t="str">
        <f>+IF($AG2269=AN$22,MONTH($D2269),"")</f>
        <v/>
      </c>
      <c r="AO2269" s="86" t="str">
        <f>+IF($AG2269=AO$22,MONTH($D2269),"")</f>
        <v/>
      </c>
      <c r="AP2269" s="86" t="str">
        <f>+IF($AG2269=AP$22,MONTH($D2269),"")</f>
        <v/>
      </c>
      <c r="AQ2269" s="86" t="str">
        <f>+IF($AG2269=AQ$22,MONTH($D2269),"")</f>
        <v/>
      </c>
      <c r="AR2269" s="86" t="str">
        <f>+IF($AG2269=AR$22,MONTH($D2269),"")</f>
        <v/>
      </c>
      <c r="AS2269" s="86">
        <f>+IF($AG2269=AS$22,MONTH($D2269),"")</f>
        <v>9</v>
      </c>
      <c r="AT2269" s="86" t="str">
        <f>+IF($AG2269=AT$22,MONTH($D2269),"")</f>
        <v/>
      </c>
      <c r="AU2269" s="86" t="str">
        <f>+IF($AG2269=AU$22,MONTH($D2269),"")</f>
        <v/>
      </c>
      <c r="AV2269" s="86" t="str">
        <f>+IF($AG2269=AV$22,MONTH($D2269),"")</f>
        <v/>
      </c>
      <c r="AW2269" s="86" t="str">
        <f>+IF($AG2269=AW$22,MONTH($D2269),"")</f>
        <v/>
      </c>
      <c r="AX2269" s="86" t="str">
        <f>+IF($AG2269=AX$22,MONTH($D2269),"")</f>
        <v/>
      </c>
      <c r="AY2269" s="89"/>
      <c r="AZ2269" s="89"/>
      <c r="BA2269" s="89"/>
      <c r="BB2269" s="89"/>
      <c r="BC2269" s="89"/>
      <c r="BD2269" s="89"/>
      <c r="BE2269" s="89"/>
      <c r="BF2269" s="89"/>
      <c r="BG2269" s="89"/>
      <c r="BH2269" s="89"/>
      <c r="BI2269" s="89"/>
      <c r="BJ2269" s="89"/>
      <c r="BK2269" s="89"/>
      <c r="BL2269" s="89"/>
      <c r="BM2269" s="89"/>
      <c r="BN2269" s="89"/>
      <c r="BO2269" s="89"/>
      <c r="BP2269" s="89"/>
    </row>
    <row r="2270" spans="1:68" s="56" customFormat="1" ht="13.5" hidden="1">
      <c r="A2270" s="204" t="str">
        <f>+IFERROR(VALUE(MID(AB2270,4,4)),"")</f>
        <v/>
      </c>
      <c r="B2270" s="204">
        <f>VALUE(RIGHT(C2270,LEN(C2270)-2))</f>
        <v>455</v>
      </c>
      <c r="C2270" s="74" t="s">
        <v>7760</v>
      </c>
      <c r="D2270" s="75">
        <v>42276</v>
      </c>
      <c r="E2270" s="70" t="s">
        <v>332</v>
      </c>
      <c r="F2270" s="70" t="s">
        <v>332</v>
      </c>
      <c r="G2270" s="68" t="s">
        <v>7281</v>
      </c>
      <c r="H2270" s="59" t="s">
        <v>7282</v>
      </c>
      <c r="I2270" s="162" t="s">
        <v>7761</v>
      </c>
      <c r="J2270" s="162"/>
      <c r="K2270" s="68" t="s">
        <v>13</v>
      </c>
      <c r="L2270" s="69" t="s">
        <v>120</v>
      </c>
      <c r="M2270" s="71" t="s">
        <v>141</v>
      </c>
      <c r="N2270" s="69" t="e" vm="1">
        <v>#VALUE!</v>
      </c>
      <c r="O2270" s="164">
        <v>42276</v>
      </c>
      <c r="P2270" s="72" t="s">
        <v>4567</v>
      </c>
      <c r="Q2270" s="72"/>
      <c r="R2270" s="162"/>
      <c r="S2270" s="146"/>
      <c r="T2270" s="68" t="s">
        <v>3</v>
      </c>
      <c r="U2270" s="87"/>
      <c r="V2270" s="183">
        <v>42282</v>
      </c>
      <c r="W2270" s="73">
        <v>180</v>
      </c>
      <c r="X2270" s="73">
        <f>267*26500/1000000</f>
        <v>7.0754999999999999</v>
      </c>
      <c r="Y2270" s="73">
        <f>IF(SUM(W2270:W2270)&gt;0,X2270/SUM(W2270:W2270)*1000000,"N/A")</f>
        <v>39308.333333333336</v>
      </c>
      <c r="Z2270" s="183"/>
      <c r="AA2270" s="183"/>
      <c r="AB2270" s="223"/>
      <c r="AC2270" s="153"/>
      <c r="AD2270" s="331"/>
      <c r="AE2270" s="57"/>
      <c r="AF2270" s="88"/>
      <c r="AG2270" s="182">
        <f>YEAR(D2270)</f>
        <v>2015</v>
      </c>
      <c r="AH2270" s="86" t="str">
        <f>+IF(AE2270=$AJ$22,MONTH(T2270),"")</f>
        <v/>
      </c>
      <c r="AI2270" s="86" t="str">
        <f>+IF(AF2270=$AJ$22,MONTH(U2270),"")</f>
        <v/>
      </c>
      <c r="AJ2270" s="86" t="str">
        <f>+IF(AG2270=$AJ$22,MONTH(V2270),"")</f>
        <v/>
      </c>
      <c r="AK2270" s="86" t="str">
        <f>+IF(AG2270=$AK$22,MONTH(V2270),"")</f>
        <v/>
      </c>
      <c r="AL2270" s="86" t="str">
        <f>+IF(AG2270=$AL$22,MONTH(V2270),"")</f>
        <v/>
      </c>
      <c r="AM2270" s="86" t="str">
        <f>+IF($AG2270=$AM$22,MONTH($D2270),"")</f>
        <v/>
      </c>
      <c r="AN2270" s="89" t="str">
        <f>+IF($AG2270=AN$22,MONTH($D2270),"")</f>
        <v/>
      </c>
      <c r="AO2270" s="86" t="str">
        <f>+IF($AG2270=AO$22,MONTH($D2270),"")</f>
        <v/>
      </c>
      <c r="AP2270" s="86" t="str">
        <f>+IF($AG2270=AP$22,MONTH($D2270),"")</f>
        <v/>
      </c>
      <c r="AQ2270" s="86" t="str">
        <f>+IF($AG2270=AQ$22,MONTH($D2270),"")</f>
        <v/>
      </c>
      <c r="AR2270" s="86" t="str">
        <f>+IF($AG2270=AR$22,MONTH($D2270),"")</f>
        <v/>
      </c>
      <c r="AS2270" s="86">
        <f>+IF($AG2270=AS$22,MONTH($D2270),"")</f>
        <v>9</v>
      </c>
      <c r="AT2270" s="86" t="str">
        <f>+IF($AG2270=AT$22,MONTH($D2270),"")</f>
        <v/>
      </c>
      <c r="AU2270" s="86" t="str">
        <f>+IF($AG2270=AU$22,MONTH($D2270),"")</f>
        <v/>
      </c>
      <c r="AV2270" s="86" t="str">
        <f>+IF($AG2270=AV$22,MONTH($D2270),"")</f>
        <v/>
      </c>
      <c r="AW2270" s="86" t="str">
        <f>+IF($AG2270=AW$22,MONTH($D2270),"")</f>
        <v/>
      </c>
      <c r="AX2270" s="86" t="str">
        <f>+IF($AG2270=AX$22,MONTH($D2270),"")</f>
        <v/>
      </c>
      <c r="AY2270" s="89"/>
      <c r="AZ2270" s="89"/>
      <c r="BA2270" s="89"/>
      <c r="BB2270" s="89"/>
      <c r="BC2270" s="89"/>
      <c r="BD2270" s="89"/>
      <c r="BE2270" s="89"/>
      <c r="BF2270" s="89"/>
      <c r="BG2270" s="89"/>
      <c r="BH2270" s="89"/>
      <c r="BI2270" s="89"/>
      <c r="BJ2270" s="89"/>
      <c r="BK2270" s="89"/>
      <c r="BL2270" s="89"/>
      <c r="BM2270" s="89"/>
      <c r="BN2270" s="89"/>
      <c r="BO2270" s="89"/>
      <c r="BP2270" s="89"/>
    </row>
    <row r="2271" spans="1:68" s="56" customFormat="1" ht="13.5" hidden="1">
      <c r="A2271" s="204" t="str">
        <f>+IFERROR(VALUE(MID(AB2271,4,4)),"")</f>
        <v/>
      </c>
      <c r="B2271" s="204">
        <f>VALUE(RIGHT(C2271,LEN(C2271)-2))</f>
        <v>454</v>
      </c>
      <c r="C2271" s="74" t="s">
        <v>7762</v>
      </c>
      <c r="D2271" s="75">
        <v>42272</v>
      </c>
      <c r="E2271" s="70" t="s">
        <v>34</v>
      </c>
      <c r="F2271" s="70" t="s">
        <v>34</v>
      </c>
      <c r="G2271" s="68" t="s">
        <v>7729</v>
      </c>
      <c r="H2271" s="59"/>
      <c r="I2271" s="162" t="s">
        <v>7763</v>
      </c>
      <c r="J2271" s="162"/>
      <c r="K2271" s="68"/>
      <c r="L2271" s="69" t="s">
        <v>120</v>
      </c>
      <c r="M2271" s="71" t="s">
        <v>141</v>
      </c>
      <c r="N2271" s="69" t="e" vm="1">
        <v>#VALUE!</v>
      </c>
      <c r="O2271" s="164">
        <v>42272</v>
      </c>
      <c r="P2271" s="72" t="s">
        <v>402</v>
      </c>
      <c r="Q2271" s="72"/>
      <c r="R2271" s="162"/>
      <c r="S2271" s="146"/>
      <c r="T2271" s="68" t="s">
        <v>3</v>
      </c>
      <c r="U2271" s="87"/>
      <c r="V2271" s="183">
        <v>42284</v>
      </c>
      <c r="W2271" s="73">
        <v>95</v>
      </c>
      <c r="X2271" s="73">
        <f>2275000/1000000</f>
        <v>2.2749999999999999</v>
      </c>
      <c r="Y2271" s="83">
        <f>IF(SUM(W2271:W2271)&gt;0,X2271/SUM(W2271:W2271)*1000000,"N/A")</f>
        <v>23947.36842105263</v>
      </c>
      <c r="Z2271" s="183"/>
      <c r="AA2271" s="183"/>
      <c r="AB2271" s="223"/>
      <c r="AC2271" s="153"/>
      <c r="AD2271" s="331"/>
      <c r="AE2271" s="57"/>
      <c r="AF2271" s="88"/>
      <c r="AG2271" s="182">
        <f>YEAR(D2271)</f>
        <v>2015</v>
      </c>
      <c r="AH2271" s="86" t="str">
        <f>+IF(AE2271=$AJ$22,MONTH(T2271),"")</f>
        <v/>
      </c>
      <c r="AI2271" s="86" t="str">
        <f>+IF(AF2271=$AJ$22,MONTH(U2271),"")</f>
        <v/>
      </c>
      <c r="AJ2271" s="86" t="str">
        <f>+IF(AG2271=$AJ$22,MONTH(V2271),"")</f>
        <v/>
      </c>
      <c r="AK2271" s="86" t="str">
        <f>+IF(AG2271=$AK$22,MONTH(V2271),"")</f>
        <v/>
      </c>
      <c r="AL2271" s="86" t="str">
        <f>+IF(AG2271=$AL$22,MONTH(V2271),"")</f>
        <v/>
      </c>
      <c r="AM2271" s="86" t="str">
        <f>+IF($AG2271=$AM$22,MONTH($D2271),"")</f>
        <v/>
      </c>
      <c r="AN2271" s="89" t="str">
        <f>+IF($AG2271=AN$22,MONTH($D2271),"")</f>
        <v/>
      </c>
      <c r="AO2271" s="86" t="str">
        <f>+IF($AG2271=AO$22,MONTH($D2271),"")</f>
        <v/>
      </c>
      <c r="AP2271" s="86" t="str">
        <f>+IF($AG2271=AP$22,MONTH($D2271),"")</f>
        <v/>
      </c>
      <c r="AQ2271" s="86" t="str">
        <f>+IF($AG2271=AQ$22,MONTH($D2271),"")</f>
        <v/>
      </c>
      <c r="AR2271" s="86" t="str">
        <f>+IF($AG2271=AR$22,MONTH($D2271),"")</f>
        <v/>
      </c>
      <c r="AS2271" s="86">
        <f>+IF($AG2271=AS$22,MONTH($D2271),"")</f>
        <v>9</v>
      </c>
      <c r="AT2271" s="86" t="str">
        <f>+IF($AG2271=AT$22,MONTH($D2271),"")</f>
        <v/>
      </c>
      <c r="AU2271" s="86" t="str">
        <f>+IF($AG2271=AU$22,MONTH($D2271),"")</f>
        <v/>
      </c>
      <c r="AV2271" s="86" t="str">
        <f>+IF($AG2271=AV$22,MONTH($D2271),"")</f>
        <v/>
      </c>
      <c r="AW2271" s="86" t="str">
        <f>+IF($AG2271=AW$22,MONTH($D2271),"")</f>
        <v/>
      </c>
      <c r="AX2271" s="86" t="str">
        <f>+IF($AG2271=AX$22,MONTH($D2271),"")</f>
        <v/>
      </c>
      <c r="AY2271" s="89"/>
      <c r="AZ2271" s="89"/>
      <c r="BA2271" s="89"/>
      <c r="BB2271" s="89"/>
      <c r="BC2271" s="89"/>
      <c r="BD2271" s="89"/>
      <c r="BE2271" s="89"/>
      <c r="BF2271" s="89"/>
      <c r="BG2271" s="89"/>
      <c r="BH2271" s="89"/>
      <c r="BI2271" s="89"/>
      <c r="BJ2271" s="89"/>
      <c r="BK2271" s="89"/>
      <c r="BL2271" s="89"/>
      <c r="BM2271" s="89"/>
      <c r="BN2271" s="89"/>
      <c r="BO2271" s="89"/>
      <c r="BP2271" s="89"/>
    </row>
    <row r="2272" spans="1:68" s="56" customFormat="1" ht="13.5" hidden="1">
      <c r="A2272" s="204" t="str">
        <f>+IFERROR(VALUE(MID(AB2272,4,4)),"")</f>
        <v/>
      </c>
      <c r="B2272" s="204">
        <f>VALUE(RIGHT(C2272,LEN(C2272)-2))</f>
        <v>453</v>
      </c>
      <c r="C2272" s="74" t="s">
        <v>7764</v>
      </c>
      <c r="D2272" s="75">
        <v>42272</v>
      </c>
      <c r="E2272" s="70" t="s">
        <v>92</v>
      </c>
      <c r="F2272" s="70" t="s">
        <v>7765</v>
      </c>
      <c r="G2272" s="68" t="s">
        <v>7766</v>
      </c>
      <c r="H2272" s="59"/>
      <c r="I2272" s="162" t="s">
        <v>7767</v>
      </c>
      <c r="J2272" s="162"/>
      <c r="K2272" s="68" t="s">
        <v>30</v>
      </c>
      <c r="L2272" s="69" t="s">
        <v>120</v>
      </c>
      <c r="M2272" s="71" t="s">
        <v>141</v>
      </c>
      <c r="N2272" s="69" t="e" vm="1">
        <v>#VALUE!</v>
      </c>
      <c r="O2272" s="164">
        <v>42272</v>
      </c>
      <c r="P2272" s="72" t="s">
        <v>402</v>
      </c>
      <c r="Q2272" s="72"/>
      <c r="R2272" s="162"/>
      <c r="S2272" s="146"/>
      <c r="T2272" s="68" t="s">
        <v>3</v>
      </c>
      <c r="U2272" s="87"/>
      <c r="V2272" s="183">
        <v>42282</v>
      </c>
      <c r="W2272" s="73">
        <v>126</v>
      </c>
      <c r="X2272" s="73">
        <f>12000*650/1000000</f>
        <v>7.8</v>
      </c>
      <c r="Y2272" s="83">
        <f>IF(SUM(W2272:W2272)&gt;0,X2272/SUM(W2272:W2272)*1000000,"N/A")</f>
        <v>61904.761904761901</v>
      </c>
      <c r="Z2272" s="183"/>
      <c r="AA2272" s="183"/>
      <c r="AB2272" s="223"/>
      <c r="AC2272" s="153"/>
      <c r="AD2272" s="331"/>
      <c r="AE2272" s="57"/>
      <c r="AF2272" s="88"/>
      <c r="AG2272" s="182">
        <f>YEAR(D2272)</f>
        <v>2015</v>
      </c>
      <c r="AH2272" s="86" t="str">
        <f>+IF(AE2272=$AJ$22,MONTH(T2272),"")</f>
        <v/>
      </c>
      <c r="AI2272" s="86" t="str">
        <f>+IF(AF2272=$AJ$22,MONTH(U2272),"")</f>
        <v/>
      </c>
      <c r="AJ2272" s="86" t="str">
        <f>+IF(AG2272=$AJ$22,MONTH(V2272),"")</f>
        <v/>
      </c>
      <c r="AK2272" s="86" t="str">
        <f>+IF(AG2272=$AK$22,MONTH(V2272),"")</f>
        <v/>
      </c>
      <c r="AL2272" s="86" t="str">
        <f>+IF(AG2272=$AL$22,MONTH(V2272),"")</f>
        <v/>
      </c>
      <c r="AM2272" s="86" t="str">
        <f>+IF($AG2272=$AM$22,MONTH($D2272),"")</f>
        <v/>
      </c>
      <c r="AN2272" s="89" t="str">
        <f>+IF($AG2272=AN$22,MONTH($D2272),"")</f>
        <v/>
      </c>
      <c r="AO2272" s="86" t="str">
        <f>+IF($AG2272=AO$22,MONTH($D2272),"")</f>
        <v/>
      </c>
      <c r="AP2272" s="86" t="str">
        <f>+IF($AG2272=AP$22,MONTH($D2272),"")</f>
        <v/>
      </c>
      <c r="AQ2272" s="86" t="str">
        <f>+IF($AG2272=AQ$22,MONTH($D2272),"")</f>
        <v/>
      </c>
      <c r="AR2272" s="86" t="str">
        <f>+IF($AG2272=AR$22,MONTH($D2272),"")</f>
        <v/>
      </c>
      <c r="AS2272" s="86">
        <f>+IF($AG2272=AS$22,MONTH($D2272),"")</f>
        <v>9</v>
      </c>
      <c r="AT2272" s="86" t="str">
        <f>+IF($AG2272=AT$22,MONTH($D2272),"")</f>
        <v/>
      </c>
      <c r="AU2272" s="86" t="str">
        <f>+IF($AG2272=AU$22,MONTH($D2272),"")</f>
        <v/>
      </c>
      <c r="AV2272" s="86" t="str">
        <f>+IF($AG2272=AV$22,MONTH($D2272),"")</f>
        <v/>
      </c>
      <c r="AW2272" s="86" t="str">
        <f>+IF($AG2272=AW$22,MONTH($D2272),"")</f>
        <v/>
      </c>
      <c r="AX2272" s="86" t="str">
        <f>+IF($AG2272=AX$22,MONTH($D2272),"")</f>
        <v/>
      </c>
      <c r="AY2272" s="89"/>
      <c r="AZ2272" s="89"/>
      <c r="BA2272" s="89"/>
      <c r="BB2272" s="89"/>
      <c r="BC2272" s="89"/>
      <c r="BD2272" s="89"/>
      <c r="BE2272" s="89"/>
      <c r="BF2272" s="89"/>
      <c r="BG2272" s="89"/>
      <c r="BH2272" s="89"/>
      <c r="BI2272" s="89"/>
      <c r="BJ2272" s="89"/>
      <c r="BK2272" s="89"/>
      <c r="BL2272" s="89"/>
      <c r="BM2272" s="89"/>
      <c r="BN2272" s="89"/>
      <c r="BO2272" s="89"/>
      <c r="BP2272" s="89"/>
    </row>
    <row r="2273" spans="1:68" s="56" customFormat="1" ht="27" hidden="1">
      <c r="A2273" s="204" t="str">
        <f>+IFERROR(VALUE(MID(AB2273,4,4)),"")</f>
        <v/>
      </c>
      <c r="B2273" s="204">
        <f>VALUE(RIGHT(C2273,LEN(C2273)-2))</f>
        <v>452</v>
      </c>
      <c r="C2273" s="74" t="s">
        <v>7768</v>
      </c>
      <c r="D2273" s="75">
        <v>42257</v>
      </c>
      <c r="E2273" s="70" t="s">
        <v>7769</v>
      </c>
      <c r="F2273" s="70" t="s">
        <v>209</v>
      </c>
      <c r="G2273" s="68" t="s">
        <v>7770</v>
      </c>
      <c r="H2273" s="59"/>
      <c r="I2273" s="162" t="s">
        <v>7771</v>
      </c>
      <c r="J2273" s="162"/>
      <c r="K2273" s="68" t="s">
        <v>13</v>
      </c>
      <c r="L2273" s="69" t="s">
        <v>123</v>
      </c>
      <c r="M2273" s="71" t="s">
        <v>141</v>
      </c>
      <c r="N2273" s="69" t="e" vm="1">
        <v>#VALUE!</v>
      </c>
      <c r="O2273" s="164">
        <v>42269</v>
      </c>
      <c r="P2273" s="72" t="s">
        <v>7772</v>
      </c>
      <c r="Q2273" s="72"/>
      <c r="R2273" s="162"/>
      <c r="S2273" s="146" t="s">
        <v>7773</v>
      </c>
      <c r="T2273" s="68" t="s">
        <v>165</v>
      </c>
      <c r="U2273" s="87"/>
      <c r="V2273" s="183">
        <v>42270</v>
      </c>
      <c r="W2273" s="73">
        <v>730</v>
      </c>
      <c r="X2273" s="73">
        <f>25416159/1000000</f>
        <v>25.416159</v>
      </c>
      <c r="Y2273" s="83">
        <f>IF(SUM(W2273:W2273)&gt;0,X2273/SUM(W2273:W2273)*1000000,"N/A")</f>
        <v>34816.656164383567</v>
      </c>
      <c r="Z2273" s="183"/>
      <c r="AA2273" s="183"/>
      <c r="AB2273" s="223"/>
      <c r="AC2273" s="153"/>
      <c r="AD2273" s="331"/>
      <c r="AE2273" s="57"/>
      <c r="AF2273" s="88"/>
      <c r="AG2273" s="182">
        <f>YEAR(D2273)</f>
        <v>2015</v>
      </c>
      <c r="AH2273" s="86" t="str">
        <f>+IF(AE2273=$AJ$22,MONTH(T2273),"")</f>
        <v/>
      </c>
      <c r="AI2273" s="86" t="str">
        <f>+IF(AF2273=$AJ$22,MONTH(U2273),"")</f>
        <v/>
      </c>
      <c r="AJ2273" s="86" t="str">
        <f>+IF(AG2273=$AJ$22,MONTH(V2273),"")</f>
        <v/>
      </c>
      <c r="AK2273" s="86" t="str">
        <f>+IF(AG2273=$AK$22,MONTH(V2273),"")</f>
        <v/>
      </c>
      <c r="AL2273" s="86" t="str">
        <f>+IF(AG2273=$AL$22,MONTH(V2273),"")</f>
        <v/>
      </c>
      <c r="AM2273" s="86" t="str">
        <f>+IF($AG2273=$AM$22,MONTH($D2273),"")</f>
        <v/>
      </c>
      <c r="AN2273" s="89" t="str">
        <f>+IF($AG2273=AN$22,MONTH($D2273),"")</f>
        <v/>
      </c>
      <c r="AO2273" s="86" t="str">
        <f>+IF($AG2273=AO$22,MONTH($D2273),"")</f>
        <v/>
      </c>
      <c r="AP2273" s="86" t="str">
        <f>+IF($AG2273=AP$22,MONTH($D2273),"")</f>
        <v/>
      </c>
      <c r="AQ2273" s="86" t="str">
        <f>+IF($AG2273=AQ$22,MONTH($D2273),"")</f>
        <v/>
      </c>
      <c r="AR2273" s="86" t="str">
        <f>+IF($AG2273=AR$22,MONTH($D2273),"")</f>
        <v/>
      </c>
      <c r="AS2273" s="86">
        <f>+IF($AG2273=AS$22,MONTH($D2273),"")</f>
        <v>9</v>
      </c>
      <c r="AT2273" s="86" t="str">
        <f>+IF($AG2273=AT$22,MONTH($D2273),"")</f>
        <v/>
      </c>
      <c r="AU2273" s="86" t="str">
        <f>+IF($AG2273=AU$22,MONTH($D2273),"")</f>
        <v/>
      </c>
      <c r="AV2273" s="86" t="str">
        <f>+IF($AG2273=AV$22,MONTH($D2273),"")</f>
        <v/>
      </c>
      <c r="AW2273" s="86" t="str">
        <f>+IF($AG2273=AW$22,MONTH($D2273),"")</f>
        <v/>
      </c>
      <c r="AX2273" s="86" t="str">
        <f>+IF($AG2273=AX$22,MONTH($D2273),"")</f>
        <v/>
      </c>
      <c r="AY2273" s="89"/>
      <c r="AZ2273" s="89"/>
      <c r="BA2273" s="89"/>
      <c r="BB2273" s="89"/>
      <c r="BC2273" s="89"/>
      <c r="BD2273" s="89"/>
      <c r="BE2273" s="89"/>
      <c r="BF2273" s="89"/>
      <c r="BG2273" s="89"/>
      <c r="BH2273" s="89"/>
      <c r="BI2273" s="89"/>
      <c r="BJ2273" s="89"/>
      <c r="BK2273" s="89"/>
      <c r="BL2273" s="89"/>
      <c r="BM2273" s="89"/>
      <c r="BN2273" s="89"/>
      <c r="BO2273" s="89"/>
      <c r="BP2273" s="89"/>
    </row>
    <row r="2274" spans="1:68" s="56" customFormat="1" ht="40.5" hidden="1">
      <c r="A2274" s="204" t="str">
        <f>+IFERROR(VALUE(MID(AB2274,4,4)),"")</f>
        <v/>
      </c>
      <c r="B2274" s="204">
        <f>VALUE(RIGHT(C2274,LEN(C2274)-2))</f>
        <v>451</v>
      </c>
      <c r="C2274" s="74" t="s">
        <v>7774</v>
      </c>
      <c r="D2274" s="75">
        <v>42257</v>
      </c>
      <c r="E2274" s="70" t="s">
        <v>1321</v>
      </c>
      <c r="F2274" s="70" t="s">
        <v>7775</v>
      </c>
      <c r="G2274" s="68" t="s">
        <v>7776</v>
      </c>
      <c r="H2274" s="59"/>
      <c r="I2274" s="162" t="s">
        <v>7777</v>
      </c>
      <c r="J2274" s="162"/>
      <c r="K2274" s="68" t="s">
        <v>30</v>
      </c>
      <c r="L2274" s="69" t="s">
        <v>123</v>
      </c>
      <c r="M2274" s="71" t="s">
        <v>141</v>
      </c>
      <c r="N2274" s="69" t="e" vm="1">
        <v>#VALUE!</v>
      </c>
      <c r="O2274" s="164">
        <v>42263</v>
      </c>
      <c r="P2274" s="72" t="s">
        <v>402</v>
      </c>
      <c r="Q2274" s="72"/>
      <c r="R2274" s="162"/>
      <c r="S2274" s="146"/>
      <c r="T2274" s="68" t="s">
        <v>165</v>
      </c>
      <c r="U2274" s="87"/>
      <c r="V2274" s="183">
        <v>42258</v>
      </c>
      <c r="W2274" s="73">
        <v>500</v>
      </c>
      <c r="X2274" s="73">
        <f>844*24600/1000000</f>
        <v>20.7624</v>
      </c>
      <c r="Y2274" s="83">
        <f>IF(SUM(W2274:W2274)&gt;0,X2274/SUM(W2274:W2274)*1000000,"N/A")</f>
        <v>41524.800000000003</v>
      </c>
      <c r="Z2274" s="183"/>
      <c r="AA2274" s="183"/>
      <c r="AB2274" s="223"/>
      <c r="AC2274" s="153"/>
      <c r="AD2274" s="331"/>
      <c r="AE2274" s="57"/>
      <c r="AF2274" s="88"/>
      <c r="AG2274" s="182">
        <f>YEAR(D2274)</f>
        <v>2015</v>
      </c>
      <c r="AH2274" s="86" t="str">
        <f>+IF(AE2274=$AJ$22,MONTH(T2274),"")</f>
        <v/>
      </c>
      <c r="AI2274" s="86" t="str">
        <f>+IF(AF2274=$AJ$22,MONTH(U2274),"")</f>
        <v/>
      </c>
      <c r="AJ2274" s="86" t="str">
        <f>+IF(AG2274=$AJ$22,MONTH(V2274),"")</f>
        <v/>
      </c>
      <c r="AK2274" s="86" t="str">
        <f>+IF(AG2274=$AK$22,MONTH(V2274),"")</f>
        <v/>
      </c>
      <c r="AL2274" s="86" t="str">
        <f>+IF(AG2274=$AL$22,MONTH(V2274),"")</f>
        <v/>
      </c>
      <c r="AM2274" s="86" t="str">
        <f>+IF($AG2274=$AM$22,MONTH($D2274),"")</f>
        <v/>
      </c>
      <c r="AN2274" s="89" t="str">
        <f>+IF($AG2274=AN$22,MONTH($D2274),"")</f>
        <v/>
      </c>
      <c r="AO2274" s="86" t="str">
        <f>+IF($AG2274=AO$22,MONTH($D2274),"")</f>
        <v/>
      </c>
      <c r="AP2274" s="86" t="str">
        <f>+IF($AG2274=AP$22,MONTH($D2274),"")</f>
        <v/>
      </c>
      <c r="AQ2274" s="86" t="str">
        <f>+IF($AG2274=AQ$22,MONTH($D2274),"")</f>
        <v/>
      </c>
      <c r="AR2274" s="86" t="str">
        <f>+IF($AG2274=AR$22,MONTH($D2274),"")</f>
        <v/>
      </c>
      <c r="AS2274" s="86">
        <f>+IF($AG2274=AS$22,MONTH($D2274),"")</f>
        <v>9</v>
      </c>
      <c r="AT2274" s="86" t="str">
        <f>+IF($AG2274=AT$22,MONTH($D2274),"")</f>
        <v/>
      </c>
      <c r="AU2274" s="86" t="str">
        <f>+IF($AG2274=AU$22,MONTH($D2274),"")</f>
        <v/>
      </c>
      <c r="AV2274" s="86" t="str">
        <f>+IF($AG2274=AV$22,MONTH($D2274),"")</f>
        <v/>
      </c>
      <c r="AW2274" s="86" t="str">
        <f>+IF($AG2274=AW$22,MONTH($D2274),"")</f>
        <v/>
      </c>
      <c r="AX2274" s="86" t="str">
        <f>+IF($AG2274=AX$22,MONTH($D2274),"")</f>
        <v/>
      </c>
      <c r="AY2274" s="89"/>
      <c r="AZ2274" s="89"/>
      <c r="BA2274" s="89"/>
      <c r="BB2274" s="89"/>
      <c r="BC2274" s="89"/>
      <c r="BD2274" s="89"/>
      <c r="BE2274" s="89"/>
      <c r="BF2274" s="89"/>
      <c r="BG2274" s="89"/>
      <c r="BH2274" s="89"/>
      <c r="BI2274" s="89"/>
      <c r="BJ2274" s="89"/>
      <c r="BK2274" s="89"/>
      <c r="BL2274" s="89"/>
      <c r="BM2274" s="89"/>
      <c r="BN2274" s="89"/>
      <c r="BO2274" s="89"/>
      <c r="BP2274" s="89"/>
    </row>
    <row r="2275" spans="1:68" s="56" customFormat="1" ht="40.5" hidden="1">
      <c r="A2275" s="204" t="str">
        <f>+IFERROR(VALUE(MID(AB2275,4,4)),"")</f>
        <v/>
      </c>
      <c r="B2275" s="204">
        <f>VALUE(RIGHT(C2275,LEN(C2275)-2))</f>
        <v>450</v>
      </c>
      <c r="C2275" s="74" t="s">
        <v>7778</v>
      </c>
      <c r="D2275" s="75">
        <v>42243</v>
      </c>
      <c r="E2275" s="70" t="s">
        <v>69</v>
      </c>
      <c r="F2275" s="70" t="s">
        <v>848</v>
      </c>
      <c r="G2275" s="68" t="s">
        <v>4508</v>
      </c>
      <c r="H2275" s="59"/>
      <c r="I2275" s="162" t="s">
        <v>7779</v>
      </c>
      <c r="J2275" s="162"/>
      <c r="K2275" s="68" t="s">
        <v>13</v>
      </c>
      <c r="L2275" s="69" t="s">
        <v>123</v>
      </c>
      <c r="M2275" s="71" t="s">
        <v>141</v>
      </c>
      <c r="N2275" s="69" t="e" vm="1">
        <v>#VALUE!</v>
      </c>
      <c r="O2275" s="164">
        <v>42243</v>
      </c>
      <c r="P2275" s="72" t="s">
        <v>4567</v>
      </c>
      <c r="Q2275" s="72"/>
      <c r="R2275" s="162"/>
      <c r="S2275" s="146" t="s">
        <v>7479</v>
      </c>
      <c r="T2275" s="68" t="s">
        <v>165</v>
      </c>
      <c r="U2275" s="87">
        <v>0.01</v>
      </c>
      <c r="V2275" s="183">
        <v>42886</v>
      </c>
      <c r="W2275" s="73">
        <v>1281</v>
      </c>
      <c r="X2275" s="73">
        <f>1963*24600/1000000</f>
        <v>48.2898</v>
      </c>
      <c r="Y2275" s="83">
        <f>IF(SUM(W2275:W2275)&gt;0,X2275/SUM(W2275:W2275)*1000000,"N/A")</f>
        <v>37696.95550351288</v>
      </c>
      <c r="Z2275" s="183"/>
      <c r="AA2275" s="183"/>
      <c r="AB2275" s="223"/>
      <c r="AC2275" s="153"/>
      <c r="AD2275" s="331"/>
      <c r="AE2275" s="57"/>
      <c r="AF2275" s="88"/>
      <c r="AG2275" s="182">
        <f>YEAR(D2275)</f>
        <v>2015</v>
      </c>
      <c r="AH2275" s="86" t="str">
        <f>+IF(AE2275=$AJ$22,MONTH(T2275),"")</f>
        <v/>
      </c>
      <c r="AI2275" s="86" t="str">
        <f>+IF(AF2275=$AJ$22,MONTH(U2275),"")</f>
        <v/>
      </c>
      <c r="AJ2275" s="86" t="str">
        <f>+IF(AG2275=$AJ$22,MONTH(V2275),"")</f>
        <v/>
      </c>
      <c r="AK2275" s="86" t="str">
        <f>+IF(AG2275=$AK$22,MONTH(V2275),"")</f>
        <v/>
      </c>
      <c r="AL2275" s="86" t="str">
        <f>+IF(AG2275=$AL$22,MONTH(V2275),"")</f>
        <v/>
      </c>
      <c r="AM2275" s="86" t="str">
        <f>+IF($AG2275=$AM$22,MONTH($D2275),"")</f>
        <v/>
      </c>
      <c r="AN2275" s="89" t="str">
        <f>+IF($AG2275=AN$22,MONTH($D2275),"")</f>
        <v/>
      </c>
      <c r="AO2275" s="86" t="str">
        <f>+IF($AG2275=AO$22,MONTH($D2275),"")</f>
        <v/>
      </c>
      <c r="AP2275" s="86" t="str">
        <f>+IF($AG2275=AP$22,MONTH($D2275),"")</f>
        <v/>
      </c>
      <c r="AQ2275" s="86" t="str">
        <f>+IF($AG2275=AQ$22,MONTH($D2275),"")</f>
        <v/>
      </c>
      <c r="AR2275" s="86" t="str">
        <f>+IF($AG2275=AR$22,MONTH($D2275),"")</f>
        <v/>
      </c>
      <c r="AS2275" s="86">
        <f>+IF($AG2275=AS$22,MONTH($D2275),"")</f>
        <v>8</v>
      </c>
      <c r="AT2275" s="86" t="str">
        <f>+IF($AG2275=AT$22,MONTH($D2275),"")</f>
        <v/>
      </c>
      <c r="AU2275" s="86" t="str">
        <f>+IF($AG2275=AU$22,MONTH($D2275),"")</f>
        <v/>
      </c>
      <c r="AV2275" s="86" t="str">
        <f>+IF($AG2275=AV$22,MONTH($D2275),"")</f>
        <v/>
      </c>
      <c r="AW2275" s="86" t="str">
        <f>+IF($AG2275=AW$22,MONTH($D2275),"")</f>
        <v/>
      </c>
      <c r="AX2275" s="86" t="str">
        <f>+IF($AG2275=AX$22,MONTH($D2275),"")</f>
        <v/>
      </c>
      <c r="AY2275" s="89"/>
      <c r="AZ2275" s="89"/>
      <c r="BA2275" s="89"/>
      <c r="BB2275" s="89"/>
      <c r="BC2275" s="89"/>
      <c r="BD2275" s="89"/>
      <c r="BE2275" s="89"/>
      <c r="BF2275" s="89"/>
      <c r="BG2275" s="89"/>
      <c r="BH2275" s="89"/>
      <c r="BI2275" s="89"/>
      <c r="BJ2275" s="89"/>
      <c r="BK2275" s="89"/>
      <c r="BL2275" s="89"/>
      <c r="BM2275" s="89"/>
      <c r="BN2275" s="89"/>
      <c r="BO2275" s="89"/>
      <c r="BP2275" s="89"/>
    </row>
    <row r="2276" spans="1:68" s="56" customFormat="1" ht="13.5" hidden="1">
      <c r="A2276" s="204">
        <f>+IFERROR(VALUE(MID(AB2276,4,4)),"")</f>
        <v>120</v>
      </c>
      <c r="B2276" s="204">
        <f>VALUE(RIGHT(C2276,LEN(C2276)-2))</f>
        <v>449</v>
      </c>
      <c r="C2276" s="74" t="s">
        <v>7780</v>
      </c>
      <c r="D2276" s="75">
        <v>42243</v>
      </c>
      <c r="E2276" s="70" t="s">
        <v>61</v>
      </c>
      <c r="F2276" s="70"/>
      <c r="G2276" s="68"/>
      <c r="H2276" s="59"/>
      <c r="I2276" s="162" t="s">
        <v>7781</v>
      </c>
      <c r="J2276" s="162"/>
      <c r="K2276" s="68"/>
      <c r="L2276" s="69" t="s">
        <v>120</v>
      </c>
      <c r="M2276" s="71" t="s">
        <v>141</v>
      </c>
      <c r="N2276" s="69" t="e" vm="1">
        <v>#VALUE!</v>
      </c>
      <c r="O2276" s="164">
        <v>42243</v>
      </c>
      <c r="P2276" s="72" t="s">
        <v>402</v>
      </c>
      <c r="Q2276" s="72"/>
      <c r="R2276" s="162"/>
      <c r="S2276" s="146"/>
      <c r="T2276" s="68" t="s">
        <v>3</v>
      </c>
      <c r="U2276" s="87"/>
      <c r="V2276" s="183"/>
      <c r="W2276" s="73">
        <v>20</v>
      </c>
      <c r="X2276" s="73">
        <v>0.75</v>
      </c>
      <c r="Y2276" s="83">
        <f>IF(SUM(W2276:W2276)&gt;0,X2276/SUM(W2276:W2276)*1000000,"N/A")</f>
        <v>37500</v>
      </c>
      <c r="Z2276" s="183"/>
      <c r="AA2276" s="183"/>
      <c r="AB2276" s="223" t="s">
        <v>7782</v>
      </c>
      <c r="AC2276" s="153"/>
      <c r="AD2276" s="331"/>
      <c r="AE2276" s="57"/>
      <c r="AF2276" s="88"/>
      <c r="AG2276" s="182">
        <f>YEAR(D2276)</f>
        <v>2015</v>
      </c>
      <c r="AH2276" s="86" t="str">
        <f>+IF(AE2276=$AJ$22,MONTH(T2276),"")</f>
        <v/>
      </c>
      <c r="AI2276" s="86" t="str">
        <f>+IF(AF2276=$AJ$22,MONTH(U2276),"")</f>
        <v/>
      </c>
      <c r="AJ2276" s="86" t="str">
        <f>+IF(AG2276=$AJ$22,MONTH(V2276),"")</f>
        <v/>
      </c>
      <c r="AK2276" s="86" t="str">
        <f>+IF(AG2276=$AK$22,MONTH(V2276),"")</f>
        <v/>
      </c>
      <c r="AL2276" s="86" t="str">
        <f>+IF(AG2276=$AL$22,MONTH(V2276),"")</f>
        <v/>
      </c>
      <c r="AM2276" s="86" t="str">
        <f>+IF($AG2276=$AM$22,MONTH($D2276),"")</f>
        <v/>
      </c>
      <c r="AN2276" s="89" t="str">
        <f>+IF($AG2276=AN$22,MONTH($D2276),"")</f>
        <v/>
      </c>
      <c r="AO2276" s="86" t="str">
        <f>+IF($AG2276=AO$22,MONTH($D2276),"")</f>
        <v/>
      </c>
      <c r="AP2276" s="86" t="str">
        <f>+IF($AG2276=AP$22,MONTH($D2276),"")</f>
        <v/>
      </c>
      <c r="AQ2276" s="86" t="str">
        <f>+IF($AG2276=AQ$22,MONTH($D2276),"")</f>
        <v/>
      </c>
      <c r="AR2276" s="86" t="str">
        <f>+IF($AG2276=AR$22,MONTH($D2276),"")</f>
        <v/>
      </c>
      <c r="AS2276" s="86">
        <f>+IF($AG2276=AS$22,MONTH($D2276),"")</f>
        <v>8</v>
      </c>
      <c r="AT2276" s="86" t="str">
        <f>+IF($AG2276=AT$22,MONTH($D2276),"")</f>
        <v/>
      </c>
      <c r="AU2276" s="86" t="str">
        <f>+IF($AG2276=AU$22,MONTH($D2276),"")</f>
        <v/>
      </c>
      <c r="AV2276" s="86" t="str">
        <f>+IF($AG2276=AV$22,MONTH($D2276),"")</f>
        <v/>
      </c>
      <c r="AW2276" s="86" t="str">
        <f>+IF($AG2276=AW$22,MONTH($D2276),"")</f>
        <v/>
      </c>
      <c r="AX2276" s="86" t="str">
        <f>+IF($AG2276=AX$22,MONTH($D2276),"")</f>
        <v/>
      </c>
      <c r="AY2276" s="89"/>
      <c r="AZ2276" s="89"/>
      <c r="BA2276" s="89"/>
      <c r="BB2276" s="89"/>
      <c r="BC2276" s="89"/>
      <c r="BD2276" s="89"/>
      <c r="BE2276" s="89"/>
      <c r="BF2276" s="89"/>
      <c r="BG2276" s="89"/>
      <c r="BH2276" s="89"/>
      <c r="BI2276" s="89"/>
      <c r="BJ2276" s="89"/>
      <c r="BK2276" s="89"/>
      <c r="BL2276" s="89"/>
      <c r="BM2276" s="89"/>
      <c r="BN2276" s="89"/>
      <c r="BO2276" s="89"/>
      <c r="BP2276" s="89"/>
    </row>
    <row r="2277" spans="1:68" s="56" customFormat="1" ht="13.5" hidden="1">
      <c r="A2277" s="204" t="str">
        <f>+IFERROR(VALUE(MID(AB2277,4,4)),"")</f>
        <v/>
      </c>
      <c r="B2277" s="204">
        <f>VALUE(RIGHT(C2277,LEN(C2277)-2))</f>
        <v>448</v>
      </c>
      <c r="C2277" s="74" t="s">
        <v>7783</v>
      </c>
      <c r="D2277" s="75">
        <v>42235</v>
      </c>
      <c r="E2277" s="70" t="s">
        <v>7784</v>
      </c>
      <c r="F2277" s="70" t="s">
        <v>7785</v>
      </c>
      <c r="G2277" s="68"/>
      <c r="H2277" s="59"/>
      <c r="I2277" s="162" t="s">
        <v>7786</v>
      </c>
      <c r="J2277" s="162"/>
      <c r="K2277" s="68" t="s">
        <v>13</v>
      </c>
      <c r="L2277" s="69" t="s">
        <v>120</v>
      </c>
      <c r="M2277" s="71" t="s">
        <v>141</v>
      </c>
      <c r="N2277" s="69" t="e" vm="1">
        <v>#VALUE!</v>
      </c>
      <c r="O2277" s="164">
        <v>42240</v>
      </c>
      <c r="P2277" s="72" t="s">
        <v>4567</v>
      </c>
      <c r="Q2277" s="72"/>
      <c r="R2277" s="162"/>
      <c r="S2277" s="146" t="s">
        <v>7296</v>
      </c>
      <c r="T2277" s="68" t="s">
        <v>155</v>
      </c>
      <c r="U2277" s="87"/>
      <c r="V2277" s="183">
        <v>42240</v>
      </c>
      <c r="W2277" s="73"/>
      <c r="X2277" s="73"/>
      <c r="Y2277" s="83"/>
      <c r="Z2277" s="183"/>
      <c r="AA2277" s="183"/>
      <c r="AB2277" s="223"/>
      <c r="AC2277" s="153"/>
      <c r="AD2277" s="331"/>
      <c r="AE2277" s="57"/>
      <c r="AF2277" s="88"/>
      <c r="AG2277" s="182">
        <f>YEAR(D2277)</f>
        <v>2015</v>
      </c>
      <c r="AH2277" s="86" t="str">
        <f>+IF(AE2277=$AJ$22,MONTH(T2277),"")</f>
        <v/>
      </c>
      <c r="AI2277" s="86" t="str">
        <f>+IF(AF2277=$AJ$22,MONTH(U2277),"")</f>
        <v/>
      </c>
      <c r="AJ2277" s="86" t="str">
        <f>+IF(AG2277=$AJ$22,MONTH(V2277),"")</f>
        <v/>
      </c>
      <c r="AK2277" s="86" t="str">
        <f>+IF(AG2277=$AK$22,MONTH(V2277),"")</f>
        <v/>
      </c>
      <c r="AL2277" s="86" t="str">
        <f>+IF(AG2277=$AL$22,MONTH(V2277),"")</f>
        <v/>
      </c>
      <c r="AM2277" s="86" t="str">
        <f>+IF($AG2277=$AM$22,MONTH($D2277),"")</f>
        <v/>
      </c>
      <c r="AN2277" s="89" t="str">
        <f>+IF($AG2277=AN$22,MONTH($D2277),"")</f>
        <v/>
      </c>
      <c r="AO2277" s="86" t="str">
        <f>+IF($AG2277=AO$22,MONTH($D2277),"")</f>
        <v/>
      </c>
      <c r="AP2277" s="86" t="str">
        <f>+IF($AG2277=AP$22,MONTH($D2277),"")</f>
        <v/>
      </c>
      <c r="AQ2277" s="86" t="str">
        <f>+IF($AG2277=AQ$22,MONTH($D2277),"")</f>
        <v/>
      </c>
      <c r="AR2277" s="86" t="str">
        <f>+IF($AG2277=AR$22,MONTH($D2277),"")</f>
        <v/>
      </c>
      <c r="AS2277" s="86">
        <f>+IF($AG2277=AS$22,MONTH($D2277),"")</f>
        <v>8</v>
      </c>
      <c r="AT2277" s="86" t="str">
        <f>+IF($AG2277=AT$22,MONTH($D2277),"")</f>
        <v/>
      </c>
      <c r="AU2277" s="86" t="str">
        <f>+IF($AG2277=AU$22,MONTH($D2277),"")</f>
        <v/>
      </c>
      <c r="AV2277" s="86" t="str">
        <f>+IF($AG2277=AV$22,MONTH($D2277),"")</f>
        <v/>
      </c>
      <c r="AW2277" s="86" t="str">
        <f>+IF($AG2277=AW$22,MONTH($D2277),"")</f>
        <v/>
      </c>
      <c r="AX2277" s="86" t="str">
        <f>+IF($AG2277=AX$22,MONTH($D2277),"")</f>
        <v/>
      </c>
      <c r="AY2277" s="89"/>
      <c r="AZ2277" s="89"/>
      <c r="BA2277" s="89"/>
      <c r="BB2277" s="89"/>
      <c r="BC2277" s="89"/>
      <c r="BD2277" s="89"/>
      <c r="BE2277" s="89"/>
      <c r="BF2277" s="89"/>
      <c r="BG2277" s="89"/>
      <c r="BH2277" s="89"/>
      <c r="BI2277" s="89"/>
      <c r="BJ2277" s="89"/>
      <c r="BK2277" s="89"/>
      <c r="BL2277" s="89"/>
      <c r="BM2277" s="89"/>
      <c r="BN2277" s="89"/>
      <c r="BO2277" s="89"/>
      <c r="BP2277" s="89"/>
    </row>
    <row r="2278" spans="1:68" s="56" customFormat="1" ht="27" hidden="1">
      <c r="A2278" s="204" t="str">
        <f>+IFERROR(VALUE(MID(AB2278,4,4)),"")</f>
        <v/>
      </c>
      <c r="B2278" s="204">
        <f>VALUE(RIGHT(C2278,LEN(C2278)-2))</f>
        <v>447</v>
      </c>
      <c r="C2278" s="74" t="s">
        <v>7787</v>
      </c>
      <c r="D2278" s="75">
        <v>42234</v>
      </c>
      <c r="E2278" s="70" t="s">
        <v>7788</v>
      </c>
      <c r="F2278" s="70" t="s">
        <v>7785</v>
      </c>
      <c r="G2278" s="68"/>
      <c r="H2278" s="59"/>
      <c r="I2278" s="162" t="s">
        <v>7789</v>
      </c>
      <c r="J2278" s="162"/>
      <c r="K2278" s="68" t="s">
        <v>11</v>
      </c>
      <c r="L2278" s="69" t="s">
        <v>123</v>
      </c>
      <c r="M2278" s="71" t="s">
        <v>113</v>
      </c>
      <c r="N2278" s="69" t="e" vm="2">
        <v>#VALUE!</v>
      </c>
      <c r="O2278" s="164">
        <v>42243</v>
      </c>
      <c r="P2278" s="72" t="s">
        <v>402</v>
      </c>
      <c r="Q2278" s="72"/>
      <c r="R2278" s="162"/>
      <c r="S2278" s="146"/>
      <c r="T2278" s="68" t="s">
        <v>165</v>
      </c>
      <c r="U2278" s="87"/>
      <c r="V2278" s="183">
        <v>42247</v>
      </c>
      <c r="W2278" s="73">
        <v>1405</v>
      </c>
      <c r="X2278" s="73">
        <f>200910*192/1000000</f>
        <v>38.574719999999999</v>
      </c>
      <c r="Y2278" s="83">
        <f>IF(SUM(W2278:W2278)&gt;0,X2278/SUM(W2278:W2278)*1000000,"N/A")</f>
        <v>27455.316725978646</v>
      </c>
      <c r="Z2278" s="183"/>
      <c r="AA2278" s="183"/>
      <c r="AB2278" s="223"/>
      <c r="AC2278" s="153"/>
      <c r="AD2278" s="331"/>
      <c r="AE2278" s="57"/>
      <c r="AF2278" s="88"/>
      <c r="AG2278" s="182">
        <f>YEAR(D2278)</f>
        <v>2015</v>
      </c>
      <c r="AH2278" s="86" t="str">
        <f>+IF(AE2278=$AJ$22,MONTH(T2278),"")</f>
        <v/>
      </c>
      <c r="AI2278" s="86" t="str">
        <f>+IF(AF2278=$AJ$22,MONTH(U2278),"")</f>
        <v/>
      </c>
      <c r="AJ2278" s="86" t="str">
        <f>+IF(AG2278=$AJ$22,MONTH(V2278),"")</f>
        <v/>
      </c>
      <c r="AK2278" s="86" t="str">
        <f>+IF(AG2278=$AK$22,MONTH(V2278),"")</f>
        <v/>
      </c>
      <c r="AL2278" s="86" t="str">
        <f>+IF(AG2278=$AL$22,MONTH(V2278),"")</f>
        <v/>
      </c>
      <c r="AM2278" s="86" t="str">
        <f>+IF($AG2278=$AM$22,MONTH($D2278),"")</f>
        <v/>
      </c>
      <c r="AN2278" s="89" t="str">
        <f>+IF($AG2278=AN$22,MONTH($D2278),"")</f>
        <v/>
      </c>
      <c r="AO2278" s="86" t="str">
        <f>+IF($AG2278=AO$22,MONTH($D2278),"")</f>
        <v/>
      </c>
      <c r="AP2278" s="86" t="str">
        <f>+IF($AG2278=AP$22,MONTH($D2278),"")</f>
        <v/>
      </c>
      <c r="AQ2278" s="86" t="str">
        <f>+IF($AG2278=AQ$22,MONTH($D2278),"")</f>
        <v/>
      </c>
      <c r="AR2278" s="86" t="str">
        <f>+IF($AG2278=AR$22,MONTH($D2278),"")</f>
        <v/>
      </c>
      <c r="AS2278" s="86">
        <f>+IF($AG2278=AS$22,MONTH($D2278),"")</f>
        <v>8</v>
      </c>
      <c r="AT2278" s="86" t="str">
        <f>+IF($AG2278=AT$22,MONTH($D2278),"")</f>
        <v/>
      </c>
      <c r="AU2278" s="86" t="str">
        <f>+IF($AG2278=AU$22,MONTH($D2278),"")</f>
        <v/>
      </c>
      <c r="AV2278" s="86" t="str">
        <f>+IF($AG2278=AV$22,MONTH($D2278),"")</f>
        <v/>
      </c>
      <c r="AW2278" s="86" t="str">
        <f>+IF($AG2278=AW$22,MONTH($D2278),"")</f>
        <v/>
      </c>
      <c r="AX2278" s="86" t="str">
        <f>+IF($AG2278=AX$22,MONTH($D2278),"")</f>
        <v/>
      </c>
      <c r="AY2278" s="89"/>
      <c r="AZ2278" s="89"/>
      <c r="BA2278" s="89"/>
      <c r="BB2278" s="89"/>
      <c r="BC2278" s="89"/>
      <c r="BD2278" s="89"/>
      <c r="BE2278" s="89"/>
      <c r="BF2278" s="89"/>
      <c r="BG2278" s="89"/>
      <c r="BH2278" s="89"/>
      <c r="BI2278" s="89"/>
      <c r="BJ2278" s="89"/>
      <c r="BK2278" s="89"/>
      <c r="BL2278" s="89"/>
      <c r="BM2278" s="89"/>
      <c r="BN2278" s="89"/>
      <c r="BO2278" s="89"/>
      <c r="BP2278" s="89"/>
    </row>
    <row r="2279" spans="1:68" s="56" customFormat="1" ht="13.5" hidden="1">
      <c r="A2279" s="204" t="str">
        <f>+IFERROR(VALUE(MID(AB2279,4,4)),"")</f>
        <v/>
      </c>
      <c r="B2279" s="204">
        <f>VALUE(RIGHT(C2279,LEN(C2279)-2))</f>
        <v>446</v>
      </c>
      <c r="C2279" s="74" t="s">
        <v>7790</v>
      </c>
      <c r="D2279" s="75">
        <v>42234</v>
      </c>
      <c r="E2279" s="70" t="s">
        <v>7791</v>
      </c>
      <c r="F2279" s="70" t="s">
        <v>2678</v>
      </c>
      <c r="G2279" s="68"/>
      <c r="H2279" s="59"/>
      <c r="I2279" s="162" t="s">
        <v>7792</v>
      </c>
      <c r="J2279" s="162"/>
      <c r="K2279" s="68" t="s">
        <v>11</v>
      </c>
      <c r="L2279" s="69" t="s">
        <v>123</v>
      </c>
      <c r="M2279" s="71" t="s">
        <v>113</v>
      </c>
      <c r="N2279" s="69" t="e" vm="2">
        <v>#VALUE!</v>
      </c>
      <c r="O2279" s="164">
        <v>42243</v>
      </c>
      <c r="P2279" s="72" t="s">
        <v>402</v>
      </c>
      <c r="Q2279" s="72"/>
      <c r="R2279" s="162"/>
      <c r="S2279" s="146"/>
      <c r="T2279" s="68" t="s">
        <v>165</v>
      </c>
      <c r="U2279" s="87"/>
      <c r="V2279" s="183">
        <v>42247</v>
      </c>
      <c r="W2279" s="73">
        <v>2193</v>
      </c>
      <c r="X2279" s="73">
        <f>310584*192/1000000</f>
        <v>59.632128000000002</v>
      </c>
      <c r="Y2279" s="83">
        <f>IF(SUM(W2279:W2279)&gt;0,X2279/SUM(W2279:W2279)*1000000,"N/A")</f>
        <v>27192.032831737346</v>
      </c>
      <c r="Z2279" s="183"/>
      <c r="AA2279" s="183"/>
      <c r="AB2279" s="223"/>
      <c r="AC2279" s="153"/>
      <c r="AD2279" s="331"/>
      <c r="AE2279" s="57"/>
      <c r="AF2279" s="88"/>
      <c r="AG2279" s="182">
        <f>YEAR(D2279)</f>
        <v>2015</v>
      </c>
      <c r="AH2279" s="86" t="str">
        <f>+IF(AE2279=$AJ$22,MONTH(T2279),"")</f>
        <v/>
      </c>
      <c r="AI2279" s="86" t="str">
        <f>+IF(AF2279=$AJ$22,MONTH(U2279),"")</f>
        <v/>
      </c>
      <c r="AJ2279" s="86" t="str">
        <f>+IF(AG2279=$AJ$22,MONTH(V2279),"")</f>
        <v/>
      </c>
      <c r="AK2279" s="86" t="str">
        <f>+IF(AG2279=$AK$22,MONTH(V2279),"")</f>
        <v/>
      </c>
      <c r="AL2279" s="86" t="str">
        <f>+IF(AG2279=$AL$22,MONTH(V2279),"")</f>
        <v/>
      </c>
      <c r="AM2279" s="86" t="str">
        <f>+IF($AG2279=$AM$22,MONTH($D2279),"")</f>
        <v/>
      </c>
      <c r="AN2279" s="89" t="str">
        <f>+IF($AG2279=AN$22,MONTH($D2279),"")</f>
        <v/>
      </c>
      <c r="AO2279" s="86" t="str">
        <f>+IF($AG2279=AO$22,MONTH($D2279),"")</f>
        <v/>
      </c>
      <c r="AP2279" s="86" t="str">
        <f>+IF($AG2279=AP$22,MONTH($D2279),"")</f>
        <v/>
      </c>
      <c r="AQ2279" s="86" t="str">
        <f>+IF($AG2279=AQ$22,MONTH($D2279),"")</f>
        <v/>
      </c>
      <c r="AR2279" s="86" t="str">
        <f>+IF($AG2279=AR$22,MONTH($D2279),"")</f>
        <v/>
      </c>
      <c r="AS2279" s="86">
        <f>+IF($AG2279=AS$22,MONTH($D2279),"")</f>
        <v>8</v>
      </c>
      <c r="AT2279" s="86" t="str">
        <f>+IF($AG2279=AT$22,MONTH($D2279),"")</f>
        <v/>
      </c>
      <c r="AU2279" s="86" t="str">
        <f>+IF($AG2279=AU$22,MONTH($D2279),"")</f>
        <v/>
      </c>
      <c r="AV2279" s="86" t="str">
        <f>+IF($AG2279=AV$22,MONTH($D2279),"")</f>
        <v/>
      </c>
      <c r="AW2279" s="86" t="str">
        <f>+IF($AG2279=AW$22,MONTH($D2279),"")</f>
        <v/>
      </c>
      <c r="AX2279" s="86" t="str">
        <f>+IF($AG2279=AX$22,MONTH($D2279),"")</f>
        <v/>
      </c>
      <c r="AY2279" s="89"/>
      <c r="AZ2279" s="89"/>
      <c r="BA2279" s="89"/>
      <c r="BB2279" s="89"/>
      <c r="BC2279" s="89"/>
      <c r="BD2279" s="89"/>
      <c r="BE2279" s="89"/>
      <c r="BF2279" s="89"/>
      <c r="BG2279" s="89"/>
      <c r="BH2279" s="89"/>
      <c r="BI2279" s="89"/>
      <c r="BJ2279" s="89"/>
      <c r="BK2279" s="89"/>
      <c r="BL2279" s="89"/>
      <c r="BM2279" s="89"/>
      <c r="BN2279" s="89"/>
      <c r="BO2279" s="89"/>
      <c r="BP2279" s="89"/>
    </row>
    <row r="2280" spans="1:68" s="56" customFormat="1" ht="13.5" hidden="1">
      <c r="A2280" s="204" t="str">
        <f>+IFERROR(VALUE(MID(AB2280,4,4)),"")</f>
        <v/>
      </c>
      <c r="B2280" s="204">
        <f>VALUE(RIGHT(C2280,LEN(C2280)-2))</f>
        <v>445</v>
      </c>
      <c r="C2280" s="74" t="s">
        <v>7793</v>
      </c>
      <c r="D2280" s="75">
        <v>42234</v>
      </c>
      <c r="E2280" s="70" t="s">
        <v>5893</v>
      </c>
      <c r="F2280" s="70" t="s">
        <v>2678</v>
      </c>
      <c r="G2280" s="68"/>
      <c r="H2280" s="59"/>
      <c r="I2280" s="162" t="s">
        <v>7794</v>
      </c>
      <c r="J2280" s="162"/>
      <c r="K2280" s="68" t="s">
        <v>11</v>
      </c>
      <c r="L2280" s="69" t="s">
        <v>123</v>
      </c>
      <c r="M2280" s="71" t="s">
        <v>113</v>
      </c>
      <c r="N2280" s="69" t="e" vm="2">
        <v>#VALUE!</v>
      </c>
      <c r="O2280" s="164">
        <v>42243</v>
      </c>
      <c r="P2280" s="72" t="s">
        <v>402</v>
      </c>
      <c r="Q2280" s="72"/>
      <c r="R2280" s="162"/>
      <c r="S2280" s="146"/>
      <c r="T2280" s="68" t="s">
        <v>3</v>
      </c>
      <c r="U2280" s="87"/>
      <c r="V2280" s="183">
        <v>42247</v>
      </c>
      <c r="W2280" s="73">
        <v>998</v>
      </c>
      <c r="X2280" s="73">
        <f>120400*192/1000000</f>
        <v>23.116800000000001</v>
      </c>
      <c r="Y2280" s="83">
        <f>IF(SUM(W2280:W2280)&gt;0,X2280/SUM(W2280:W2280)*1000000,"N/A")</f>
        <v>23163.126252505012</v>
      </c>
      <c r="Z2280" s="183"/>
      <c r="AA2280" s="183"/>
      <c r="AB2280" s="223"/>
      <c r="AC2280" s="153"/>
      <c r="AD2280" s="331"/>
      <c r="AE2280" s="57"/>
      <c r="AF2280" s="88"/>
      <c r="AG2280" s="182">
        <f>YEAR(D2280)</f>
        <v>2015</v>
      </c>
      <c r="AH2280" s="86" t="str">
        <f>+IF(AE2280=$AJ$22,MONTH(T2280),"")</f>
        <v/>
      </c>
      <c r="AI2280" s="86" t="str">
        <f>+IF(AF2280=$AJ$22,MONTH(U2280),"")</f>
        <v/>
      </c>
      <c r="AJ2280" s="86" t="str">
        <f>+IF(AG2280=$AJ$22,MONTH(V2280),"")</f>
        <v/>
      </c>
      <c r="AK2280" s="86" t="str">
        <f>+IF(AG2280=$AK$22,MONTH(V2280),"")</f>
        <v/>
      </c>
      <c r="AL2280" s="86" t="str">
        <f>+IF(AG2280=$AL$22,MONTH(V2280),"")</f>
        <v/>
      </c>
      <c r="AM2280" s="86" t="str">
        <f>+IF($AG2280=$AM$22,MONTH($D2280),"")</f>
        <v/>
      </c>
      <c r="AN2280" s="89" t="str">
        <f>+IF($AG2280=AN$22,MONTH($D2280),"")</f>
        <v/>
      </c>
      <c r="AO2280" s="86" t="str">
        <f>+IF($AG2280=AO$22,MONTH($D2280),"")</f>
        <v/>
      </c>
      <c r="AP2280" s="86" t="str">
        <f>+IF($AG2280=AP$22,MONTH($D2280),"")</f>
        <v/>
      </c>
      <c r="AQ2280" s="86" t="str">
        <f>+IF($AG2280=AQ$22,MONTH($D2280),"")</f>
        <v/>
      </c>
      <c r="AR2280" s="86" t="str">
        <f>+IF($AG2280=AR$22,MONTH($D2280),"")</f>
        <v/>
      </c>
      <c r="AS2280" s="86">
        <f>+IF($AG2280=AS$22,MONTH($D2280),"")</f>
        <v>8</v>
      </c>
      <c r="AT2280" s="86" t="str">
        <f>+IF($AG2280=AT$22,MONTH($D2280),"")</f>
        <v/>
      </c>
      <c r="AU2280" s="86" t="str">
        <f>+IF($AG2280=AU$22,MONTH($D2280),"")</f>
        <v/>
      </c>
      <c r="AV2280" s="86" t="str">
        <f>+IF($AG2280=AV$22,MONTH($D2280),"")</f>
        <v/>
      </c>
      <c r="AW2280" s="140" t="str">
        <f>+IF($AG2280=AW$22,MONTH($D2280),"")</f>
        <v/>
      </c>
      <c r="AX2280" s="86" t="str">
        <f>+IF($AG2280=AX$22,MONTH($D2280),"")</f>
        <v/>
      </c>
      <c r="AY2280" s="259"/>
      <c r="AZ2280" s="259"/>
      <c r="BA2280" s="259"/>
      <c r="BB2280" s="259"/>
      <c r="BC2280" s="259"/>
      <c r="BD2280" s="259"/>
      <c r="BE2280" s="259"/>
      <c r="BF2280" s="259"/>
      <c r="BG2280" s="259"/>
      <c r="BH2280" s="259"/>
      <c r="BI2280" s="259"/>
      <c r="BJ2280" s="89"/>
      <c r="BK2280" s="89"/>
      <c r="BL2280" s="89"/>
      <c r="BM2280" s="89"/>
      <c r="BN2280" s="89"/>
      <c r="BO2280" s="89"/>
      <c r="BP2280" s="89"/>
    </row>
    <row r="2281" spans="1:68" s="56" customFormat="1" ht="27" hidden="1">
      <c r="A2281" s="204" t="str">
        <f>+IFERROR(VALUE(MID(AB2281,4,4)),"")</f>
        <v/>
      </c>
      <c r="B2281" s="204">
        <f>VALUE(RIGHT(C2281,LEN(C2281)-2))</f>
        <v>444</v>
      </c>
      <c r="C2281" s="74" t="s">
        <v>7795</v>
      </c>
      <c r="D2281" s="75">
        <v>42233</v>
      </c>
      <c r="E2281" s="70" t="s">
        <v>332</v>
      </c>
      <c r="F2281" s="70" t="s">
        <v>332</v>
      </c>
      <c r="G2281" s="68" t="s">
        <v>285</v>
      </c>
      <c r="H2281" s="59" t="s">
        <v>7401</v>
      </c>
      <c r="I2281" s="162" t="s">
        <v>7796</v>
      </c>
      <c r="J2281" s="162"/>
      <c r="K2281" s="68" t="s">
        <v>13</v>
      </c>
      <c r="L2281" s="69" t="s">
        <v>120</v>
      </c>
      <c r="M2281" s="71" t="s">
        <v>141</v>
      </c>
      <c r="N2281" s="69" t="e" vm="1">
        <v>#VALUE!</v>
      </c>
      <c r="O2281" s="164"/>
      <c r="P2281" s="72" t="s">
        <v>402</v>
      </c>
      <c r="Q2281" s="72"/>
      <c r="R2281" s="162"/>
      <c r="S2281" s="146"/>
      <c r="T2281" s="68" t="s">
        <v>3</v>
      </c>
      <c r="U2281" s="87"/>
      <c r="V2281" s="183">
        <v>42233</v>
      </c>
      <c r="W2281" s="73">
        <v>1553</v>
      </c>
      <c r="X2281" s="73">
        <f>2399*24600/1000000</f>
        <v>59.0154</v>
      </c>
      <c r="Y2281" s="83">
        <f>IF(SUM(W2281:W2281)&gt;0,X2281/SUM(W2281:W2281)*1000000,"N/A")</f>
        <v>38000.901481004505</v>
      </c>
      <c r="Z2281" s="183"/>
      <c r="AA2281" s="183"/>
      <c r="AB2281" s="223"/>
      <c r="AC2281" s="153"/>
      <c r="AD2281" s="331"/>
      <c r="AE2281" s="57"/>
      <c r="AF2281" s="88"/>
      <c r="AG2281" s="182">
        <f>YEAR(D2281)</f>
        <v>2015</v>
      </c>
      <c r="AH2281" s="86" t="str">
        <f>+IF(AE2281=$AJ$22,MONTH(T2281),"")</f>
        <v/>
      </c>
      <c r="AI2281" s="86" t="str">
        <f>+IF(AF2281=$AJ$22,MONTH(U2281),"")</f>
        <v/>
      </c>
      <c r="AJ2281" s="86" t="str">
        <f>+IF(AG2281=$AJ$22,MONTH(V2281),"")</f>
        <v/>
      </c>
      <c r="AK2281" s="86" t="str">
        <f>+IF(AG2281=$AK$22,MONTH(V2281),"")</f>
        <v/>
      </c>
      <c r="AL2281" s="86" t="str">
        <f>+IF(AG2281=$AL$22,MONTH(V2281),"")</f>
        <v/>
      </c>
      <c r="AM2281" s="86" t="str">
        <f>+IF($AG2281=$AM$22,MONTH($D2281),"")</f>
        <v/>
      </c>
      <c r="AN2281" s="89" t="str">
        <f>+IF($AG2281=AN$22,MONTH($D2281),"")</f>
        <v/>
      </c>
      <c r="AO2281" s="86" t="str">
        <f>+IF($AG2281=AO$22,MONTH($D2281),"")</f>
        <v/>
      </c>
      <c r="AP2281" s="86" t="str">
        <f>+IF($AG2281=AP$22,MONTH($D2281),"")</f>
        <v/>
      </c>
      <c r="AQ2281" s="86" t="str">
        <f>+IF($AG2281=AQ$22,MONTH($D2281),"")</f>
        <v/>
      </c>
      <c r="AR2281" s="86" t="str">
        <f>+IF($AG2281=AR$22,MONTH($D2281),"")</f>
        <v/>
      </c>
      <c r="AS2281" s="86">
        <f>+IF($AG2281=AS$22,MONTH($D2281),"")</f>
        <v>8</v>
      </c>
      <c r="AT2281" s="86" t="str">
        <f>+IF($AG2281=AT$22,MONTH($D2281),"")</f>
        <v/>
      </c>
      <c r="AU2281" s="86" t="str">
        <f>+IF($AG2281=AU$22,MONTH($D2281),"")</f>
        <v/>
      </c>
      <c r="AV2281" s="86" t="str">
        <f>+IF($AG2281=AV$22,MONTH($D2281),"")</f>
        <v/>
      </c>
      <c r="AW2281" s="86" t="str">
        <f>+IF($AG2281=AW$22,MONTH($D2281),"")</f>
        <v/>
      </c>
      <c r="AX2281" s="86" t="str">
        <f>+IF($AG2281=AX$22,MONTH($D2281),"")</f>
        <v/>
      </c>
      <c r="AY2281" s="89"/>
      <c r="AZ2281" s="89"/>
      <c r="BA2281" s="89"/>
      <c r="BB2281" s="89"/>
      <c r="BC2281" s="89"/>
      <c r="BD2281" s="89"/>
      <c r="BE2281" s="89"/>
      <c r="BF2281" s="89"/>
      <c r="BG2281" s="89"/>
      <c r="BH2281" s="89"/>
      <c r="BI2281" s="89"/>
      <c r="BJ2281" s="89"/>
      <c r="BK2281" s="89"/>
      <c r="BL2281" s="89"/>
      <c r="BM2281" s="89"/>
      <c r="BN2281" s="89"/>
      <c r="BO2281" s="89"/>
      <c r="BP2281" s="89"/>
    </row>
    <row r="2282" spans="1:68" s="56" customFormat="1" ht="13.5" hidden="1">
      <c r="A2282" s="204" t="str">
        <f>+IFERROR(VALUE(MID(AB2282,4,4)),"")</f>
        <v/>
      </c>
      <c r="B2282" s="204">
        <f>VALUE(RIGHT(C2282,LEN(C2282)-2))</f>
        <v>443</v>
      </c>
      <c r="C2282" s="74" t="s">
        <v>7797</v>
      </c>
      <c r="D2282" s="75">
        <v>42261</v>
      </c>
      <c r="E2282" s="70" t="s">
        <v>106</v>
      </c>
      <c r="F2282" s="70" t="s">
        <v>106</v>
      </c>
      <c r="G2282" s="68"/>
      <c r="H2282" s="59"/>
      <c r="I2282" s="162" t="s">
        <v>7798</v>
      </c>
      <c r="J2282" s="162"/>
      <c r="K2282" s="68" t="s">
        <v>11</v>
      </c>
      <c r="L2282" s="69" t="s">
        <v>123</v>
      </c>
      <c r="M2282" s="71" t="s">
        <v>141</v>
      </c>
      <c r="N2282" s="69" t="e" vm="1">
        <v>#VALUE!</v>
      </c>
      <c r="O2282" s="164">
        <v>42261</v>
      </c>
      <c r="P2282" s="72" t="s">
        <v>402</v>
      </c>
      <c r="Q2282" s="72"/>
      <c r="R2282" s="162"/>
      <c r="S2282" s="146" t="s">
        <v>7799</v>
      </c>
      <c r="T2282" s="68" t="s">
        <v>165</v>
      </c>
      <c r="U2282" s="87"/>
      <c r="V2282" s="183">
        <v>42366</v>
      </c>
      <c r="W2282" s="73">
        <v>7115</v>
      </c>
      <c r="X2282" s="73">
        <f>9509*24600/1000000</f>
        <v>233.92140000000001</v>
      </c>
      <c r="Y2282" s="83">
        <f>IF(SUM(W2282:W2282)&gt;0,X2282/SUM(W2282:W2282)*1000000,"N/A")</f>
        <v>32877.217146872805</v>
      </c>
      <c r="Z2282" s="183"/>
      <c r="AA2282" s="183"/>
      <c r="AB2282" s="223"/>
      <c r="AC2282" s="153"/>
      <c r="AD2282" s="331"/>
      <c r="AE2282" s="57"/>
      <c r="AF2282" s="88"/>
      <c r="AG2282" s="182">
        <f>YEAR(D2282)</f>
        <v>2015</v>
      </c>
      <c r="AH2282" s="86" t="str">
        <f>+IF(AE2282=$AJ$22,MONTH(T2282),"")</f>
        <v/>
      </c>
      <c r="AI2282" s="86" t="str">
        <f>+IF(AF2282=$AJ$22,MONTH(U2282),"")</f>
        <v/>
      </c>
      <c r="AJ2282" s="86" t="str">
        <f>+IF(AG2282=$AJ$22,MONTH(V2282),"")</f>
        <v/>
      </c>
      <c r="AK2282" s="86" t="str">
        <f>+IF(AG2282=$AK$22,MONTH(V2282),"")</f>
        <v/>
      </c>
      <c r="AL2282" s="86" t="str">
        <f>+IF(AG2282=$AL$22,MONTH(V2282),"")</f>
        <v/>
      </c>
      <c r="AM2282" s="86" t="str">
        <f>+IF($AG2282=$AM$22,MONTH($D2282),"")</f>
        <v/>
      </c>
      <c r="AN2282" s="89" t="str">
        <f>+IF($AG2282=AN$22,MONTH($D2282),"")</f>
        <v/>
      </c>
      <c r="AO2282" s="86" t="str">
        <f>+IF($AG2282=AO$22,MONTH($D2282),"")</f>
        <v/>
      </c>
      <c r="AP2282" s="86" t="str">
        <f>+IF($AG2282=AP$22,MONTH($D2282),"")</f>
        <v/>
      </c>
      <c r="AQ2282" s="86" t="str">
        <f>+IF($AG2282=AQ$22,MONTH($D2282),"")</f>
        <v/>
      </c>
      <c r="AR2282" s="86" t="str">
        <f>+IF($AG2282=AR$22,MONTH($D2282),"")</f>
        <v/>
      </c>
      <c r="AS2282" s="86">
        <f>+IF($AG2282=AS$22,MONTH($D2282),"")</f>
        <v>9</v>
      </c>
      <c r="AT2282" s="86" t="str">
        <f>+IF($AG2282=AT$22,MONTH($D2282),"")</f>
        <v/>
      </c>
      <c r="AU2282" s="86" t="str">
        <f>+IF($AG2282=AU$22,MONTH($D2282),"")</f>
        <v/>
      </c>
      <c r="AV2282" s="86" t="str">
        <f>+IF($AG2282=AV$22,MONTH($D2282),"")</f>
        <v/>
      </c>
      <c r="AW2282" s="140" t="str">
        <f>+IF($AG2282=AW$22,MONTH($D2282),"")</f>
        <v/>
      </c>
      <c r="AX2282" s="86" t="str">
        <f>+IF($AG2282=AX$22,MONTH($D2282),"")</f>
        <v/>
      </c>
      <c r="AY2282" s="259"/>
      <c r="AZ2282" s="259"/>
      <c r="BA2282" s="259"/>
      <c r="BB2282" s="259"/>
      <c r="BC2282" s="259"/>
      <c r="BD2282" s="259"/>
      <c r="BE2282" s="259"/>
      <c r="BF2282" s="259"/>
      <c r="BG2282" s="259"/>
      <c r="BH2282" s="259"/>
      <c r="BI2282" s="259"/>
      <c r="BJ2282" s="89"/>
      <c r="BK2282" s="89"/>
      <c r="BL2282" s="89"/>
      <c r="BM2282" s="89"/>
      <c r="BN2282" s="89"/>
      <c r="BO2282" s="89"/>
      <c r="BP2282" s="89"/>
    </row>
    <row r="2283" spans="1:68" s="56" customFormat="1" ht="27" hidden="1">
      <c r="A2283" s="204" t="str">
        <f>+IFERROR(VALUE(MID(AB2283,4,4)),"")</f>
        <v/>
      </c>
      <c r="B2283" s="204">
        <f>VALUE(RIGHT(C2283,LEN(C2283)-2))</f>
        <v>442</v>
      </c>
      <c r="C2283" s="74" t="s">
        <v>7800</v>
      </c>
      <c r="D2283" s="75">
        <v>42222</v>
      </c>
      <c r="E2283" s="70" t="s">
        <v>332</v>
      </c>
      <c r="F2283" s="70" t="s">
        <v>332</v>
      </c>
      <c r="G2283" s="68" t="s">
        <v>285</v>
      </c>
      <c r="H2283" s="59" t="s">
        <v>7401</v>
      </c>
      <c r="I2283" s="162" t="s">
        <v>7801</v>
      </c>
      <c r="J2283" s="162"/>
      <c r="K2283" s="68"/>
      <c r="L2283" s="69" t="s">
        <v>120</v>
      </c>
      <c r="M2283" s="71" t="s">
        <v>141</v>
      </c>
      <c r="N2283" s="69" t="e" vm="1">
        <v>#VALUE!</v>
      </c>
      <c r="O2283" s="164">
        <v>42222</v>
      </c>
      <c r="P2283" s="72" t="s">
        <v>402</v>
      </c>
      <c r="Q2283" s="72"/>
      <c r="R2283" s="162"/>
      <c r="S2283" s="146" t="s">
        <v>7802</v>
      </c>
      <c r="T2283" s="68" t="s">
        <v>165</v>
      </c>
      <c r="U2283" s="87"/>
      <c r="V2283" s="183">
        <v>42233</v>
      </c>
      <c r="W2283" s="73">
        <v>1087</v>
      </c>
      <c r="X2283" s="73">
        <f>1559*24600/1000000</f>
        <v>38.351399999999998</v>
      </c>
      <c r="Y2283" s="83">
        <f>IF(SUM(W2283:W2283)&gt;0,X2283/SUM(W2283:W2283)*1000000,"N/A")</f>
        <v>35281.876724931004</v>
      </c>
      <c r="Z2283" s="183"/>
      <c r="AA2283" s="183"/>
      <c r="AB2283" s="223"/>
      <c r="AC2283" s="153"/>
      <c r="AD2283" s="331"/>
      <c r="AE2283" s="57"/>
      <c r="AF2283" s="88"/>
      <c r="AG2283" s="182">
        <f>YEAR(D2283)</f>
        <v>2015</v>
      </c>
      <c r="AH2283" s="86" t="str">
        <f>+IF(AE2283=$AJ$22,MONTH(T2283),"")</f>
        <v/>
      </c>
      <c r="AI2283" s="86" t="str">
        <f>+IF(AF2283=$AJ$22,MONTH(U2283),"")</f>
        <v/>
      </c>
      <c r="AJ2283" s="86" t="str">
        <f>+IF(AG2283=$AJ$22,MONTH(V2283),"")</f>
        <v/>
      </c>
      <c r="AK2283" s="86" t="str">
        <f>+IF(AG2283=$AK$22,MONTH(V2283),"")</f>
        <v/>
      </c>
      <c r="AL2283" s="86" t="str">
        <f>+IF(AG2283=$AL$22,MONTH(V2283),"")</f>
        <v/>
      </c>
      <c r="AM2283" s="86" t="str">
        <f>+IF($AG2283=$AM$22,MONTH($D2283),"")</f>
        <v/>
      </c>
      <c r="AN2283" s="89" t="str">
        <f>+IF($AG2283=AN$22,MONTH($D2283),"")</f>
        <v/>
      </c>
      <c r="AO2283" s="86" t="str">
        <f>+IF($AG2283=AO$22,MONTH($D2283),"")</f>
        <v/>
      </c>
      <c r="AP2283" s="86" t="str">
        <f>+IF($AG2283=AP$22,MONTH($D2283),"")</f>
        <v/>
      </c>
      <c r="AQ2283" s="86" t="str">
        <f>+IF($AG2283=AQ$22,MONTH($D2283),"")</f>
        <v/>
      </c>
      <c r="AR2283" s="86" t="str">
        <f>+IF($AG2283=AR$22,MONTH($D2283),"")</f>
        <v/>
      </c>
      <c r="AS2283" s="86">
        <f>+IF($AG2283=AS$22,MONTH($D2283),"")</f>
        <v>8</v>
      </c>
      <c r="AT2283" s="86" t="str">
        <f>+IF($AG2283=AT$22,MONTH($D2283),"")</f>
        <v/>
      </c>
      <c r="AU2283" s="86" t="str">
        <f>+IF($AG2283=AU$22,MONTH($D2283),"")</f>
        <v/>
      </c>
      <c r="AV2283" s="86" t="str">
        <f>+IF($AG2283=AV$22,MONTH($D2283),"")</f>
        <v/>
      </c>
      <c r="AW2283" s="140" t="str">
        <f>+IF($AG2283=AW$22,MONTH($D2283),"")</f>
        <v/>
      </c>
      <c r="AX2283" s="86" t="str">
        <f>+IF($AG2283=AX$22,MONTH($D2283),"")</f>
        <v/>
      </c>
      <c r="AY2283" s="259"/>
      <c r="AZ2283" s="259"/>
      <c r="BA2283" s="259"/>
      <c r="BB2283" s="259"/>
      <c r="BC2283" s="259"/>
      <c r="BD2283" s="259"/>
      <c r="BE2283" s="259"/>
      <c r="BF2283" s="259"/>
      <c r="BG2283" s="259"/>
      <c r="BH2283" s="259"/>
      <c r="BI2283" s="259"/>
      <c r="BJ2283" s="89"/>
      <c r="BK2283" s="89"/>
      <c r="BL2283" s="89"/>
      <c r="BM2283" s="89"/>
      <c r="BN2283" s="89"/>
      <c r="BO2283" s="89"/>
      <c r="BP2283" s="89"/>
    </row>
    <row r="2284" spans="1:68" s="56" customFormat="1" ht="13.5" hidden="1">
      <c r="A2284" s="204" t="str">
        <f>+IFERROR(VALUE(MID(AB2284,4,4)),"")</f>
        <v/>
      </c>
      <c r="B2284" s="204">
        <f>VALUE(RIGHT(C2284,LEN(C2284)-2))</f>
        <v>441</v>
      </c>
      <c r="C2284" s="74" t="s">
        <v>7803</v>
      </c>
      <c r="D2284" s="75">
        <v>42231</v>
      </c>
      <c r="E2284" s="70" t="s">
        <v>2678</v>
      </c>
      <c r="F2284" s="70" t="s">
        <v>2678</v>
      </c>
      <c r="G2284" s="68"/>
      <c r="H2284" s="59"/>
      <c r="I2284" s="162" t="s">
        <v>7804</v>
      </c>
      <c r="J2284" s="162"/>
      <c r="K2284" s="68" t="s">
        <v>11</v>
      </c>
      <c r="L2284" s="69" t="s">
        <v>123</v>
      </c>
      <c r="M2284" s="71" t="s">
        <v>113</v>
      </c>
      <c r="N2284" s="69" t="e" vm="2">
        <v>#VALUE!</v>
      </c>
      <c r="O2284" s="164"/>
      <c r="P2284" s="72" t="s">
        <v>402</v>
      </c>
      <c r="Q2284" s="72"/>
      <c r="R2284" s="162"/>
      <c r="S2284" s="146" t="s">
        <v>7296</v>
      </c>
      <c r="T2284" s="68" t="s">
        <v>155</v>
      </c>
      <c r="U2284" s="87"/>
      <c r="V2284" s="183"/>
      <c r="W2284" s="73"/>
      <c r="X2284" s="73"/>
      <c r="Y2284" s="83"/>
      <c r="Z2284" s="183"/>
      <c r="AA2284" s="183"/>
      <c r="AB2284" s="223"/>
      <c r="AC2284" s="153"/>
      <c r="AD2284" s="331"/>
      <c r="AE2284" s="57"/>
      <c r="AF2284" s="88"/>
      <c r="AG2284" s="182">
        <f>YEAR(D2284)</f>
        <v>2015</v>
      </c>
      <c r="AH2284" s="86" t="str">
        <f>+IF(AE2284=$AJ$22,MONTH(T2284),"")</f>
        <v/>
      </c>
      <c r="AI2284" s="86" t="str">
        <f>+IF(AF2284=$AJ$22,MONTH(U2284),"")</f>
        <v/>
      </c>
      <c r="AJ2284" s="86" t="str">
        <f>+IF(AG2284=$AJ$22,MONTH(V2284),"")</f>
        <v/>
      </c>
      <c r="AK2284" s="86" t="str">
        <f>+IF(AG2284=$AK$22,MONTH(V2284),"")</f>
        <v/>
      </c>
      <c r="AL2284" s="86" t="str">
        <f>+IF(AG2284=$AL$22,MONTH(V2284),"")</f>
        <v/>
      </c>
      <c r="AM2284" s="86" t="str">
        <f>+IF($AG2284=$AM$22,MONTH($D2284),"")</f>
        <v/>
      </c>
      <c r="AN2284" s="89" t="str">
        <f>+IF($AG2284=AN$22,MONTH($D2284),"")</f>
        <v/>
      </c>
      <c r="AO2284" s="86" t="str">
        <f>+IF($AG2284=AO$22,MONTH($D2284),"")</f>
        <v/>
      </c>
      <c r="AP2284" s="86" t="str">
        <f>+IF($AG2284=AP$22,MONTH($D2284),"")</f>
        <v/>
      </c>
      <c r="AQ2284" s="86" t="str">
        <f>+IF($AG2284=AQ$22,MONTH($D2284),"")</f>
        <v/>
      </c>
      <c r="AR2284" s="86" t="str">
        <f>+IF($AG2284=AR$22,MONTH($D2284),"")</f>
        <v/>
      </c>
      <c r="AS2284" s="86">
        <f>+IF($AG2284=AS$22,MONTH($D2284),"")</f>
        <v>8</v>
      </c>
      <c r="AT2284" s="86" t="str">
        <f>+IF($AG2284=AT$22,MONTH($D2284),"")</f>
        <v/>
      </c>
      <c r="AU2284" s="86" t="str">
        <f>+IF($AG2284=AU$22,MONTH($D2284),"")</f>
        <v/>
      </c>
      <c r="AV2284" s="86" t="str">
        <f>+IF($AG2284=AV$22,MONTH($D2284),"")</f>
        <v/>
      </c>
      <c r="AW2284" s="86" t="str">
        <f>+IF($AG2284=AW$22,MONTH($D2284),"")</f>
        <v/>
      </c>
      <c r="AX2284" s="86" t="str">
        <f>+IF($AG2284=AX$22,MONTH($D2284),"")</f>
        <v/>
      </c>
      <c r="AY2284" s="89"/>
      <c r="AZ2284" s="89"/>
      <c r="BA2284" s="89"/>
      <c r="BB2284" s="89"/>
      <c r="BC2284" s="89"/>
      <c r="BD2284" s="89"/>
      <c r="BE2284" s="89"/>
      <c r="BF2284" s="89"/>
      <c r="BG2284" s="89"/>
      <c r="BH2284" s="89"/>
      <c r="BI2284" s="89"/>
      <c r="BJ2284" s="89"/>
      <c r="BK2284" s="89"/>
      <c r="BL2284" s="89"/>
      <c r="BM2284" s="89"/>
      <c r="BN2284" s="89"/>
      <c r="BO2284" s="89"/>
      <c r="BP2284" s="89"/>
    </row>
    <row r="2285" spans="1:68" s="56" customFormat="1" ht="27" hidden="1">
      <c r="A2285" s="204">
        <f>+IFERROR(VALUE(MID(AB2285,4,4)),"")</f>
        <v>113</v>
      </c>
      <c r="B2285" s="204">
        <f>VALUE(RIGHT(C2285,LEN(C2285)-2))</f>
        <v>440</v>
      </c>
      <c r="C2285" s="74" t="s">
        <v>7805</v>
      </c>
      <c r="D2285" s="75">
        <v>42292</v>
      </c>
      <c r="E2285" s="70" t="s">
        <v>332</v>
      </c>
      <c r="F2285" s="70" t="s">
        <v>332</v>
      </c>
      <c r="G2285" s="68" t="s">
        <v>285</v>
      </c>
      <c r="H2285" s="59" t="s">
        <v>7401</v>
      </c>
      <c r="I2285" s="162" t="s">
        <v>7806</v>
      </c>
      <c r="J2285" s="162"/>
      <c r="K2285" s="68" t="s">
        <v>13</v>
      </c>
      <c r="L2285" s="69" t="s">
        <v>120</v>
      </c>
      <c r="M2285" s="71" t="s">
        <v>141</v>
      </c>
      <c r="N2285" s="69" t="e" vm="1">
        <v>#VALUE!</v>
      </c>
      <c r="O2285" s="164">
        <v>42292</v>
      </c>
      <c r="P2285" s="72" t="s">
        <v>402</v>
      </c>
      <c r="Q2285" s="72"/>
      <c r="R2285" s="162"/>
      <c r="S2285" s="146"/>
      <c r="T2285" s="68" t="s">
        <v>3</v>
      </c>
      <c r="U2285" s="87"/>
      <c r="V2285" s="183">
        <v>42233</v>
      </c>
      <c r="W2285" s="73">
        <v>400</v>
      </c>
      <c r="X2285" s="73">
        <f>560*24600/1000000</f>
        <v>13.776</v>
      </c>
      <c r="Y2285" s="83">
        <f>IF(SUM(W2285:W2285)&gt;0,X2285/SUM(W2285:W2285)*1000000,"N/A")</f>
        <v>34440</v>
      </c>
      <c r="Z2285" s="183"/>
      <c r="AA2285" s="183"/>
      <c r="AB2285" s="223" t="s">
        <v>7807</v>
      </c>
      <c r="AC2285" s="153"/>
      <c r="AD2285" s="331"/>
      <c r="AE2285" s="57"/>
      <c r="AF2285" s="88"/>
      <c r="AG2285" s="182">
        <f>YEAR(D2285)</f>
        <v>2015</v>
      </c>
      <c r="AH2285" s="86" t="str">
        <f>+IF(AE2285=$AJ$22,MONTH(T2285),"")</f>
        <v/>
      </c>
      <c r="AI2285" s="86" t="str">
        <f>+IF(AF2285=$AJ$22,MONTH(U2285),"")</f>
        <v/>
      </c>
      <c r="AJ2285" s="86" t="str">
        <f>+IF(AG2285=$AJ$22,MONTH(V2285),"")</f>
        <v/>
      </c>
      <c r="AK2285" s="86" t="str">
        <f>+IF(AG2285=$AK$22,MONTH(V2285),"")</f>
        <v/>
      </c>
      <c r="AL2285" s="86" t="str">
        <f>+IF(AG2285=$AL$22,MONTH(V2285),"")</f>
        <v/>
      </c>
      <c r="AM2285" s="86" t="str">
        <f>+IF($AG2285=$AM$22,MONTH($D2285),"")</f>
        <v/>
      </c>
      <c r="AN2285" s="89" t="str">
        <f>+IF($AG2285=AN$22,MONTH($D2285),"")</f>
        <v/>
      </c>
      <c r="AO2285" s="86" t="str">
        <f>+IF($AG2285=AO$22,MONTH($D2285),"")</f>
        <v/>
      </c>
      <c r="AP2285" s="86" t="str">
        <f>+IF($AG2285=AP$22,MONTH($D2285),"")</f>
        <v/>
      </c>
      <c r="AQ2285" s="86" t="str">
        <f>+IF($AG2285=AQ$22,MONTH($D2285),"")</f>
        <v/>
      </c>
      <c r="AR2285" s="86" t="str">
        <f>+IF($AG2285=AR$22,MONTH($D2285),"")</f>
        <v/>
      </c>
      <c r="AS2285" s="86">
        <f>+IF($AG2285=AS$22,MONTH($D2285),"")</f>
        <v>10</v>
      </c>
      <c r="AT2285" s="86" t="str">
        <f>+IF($AG2285=AT$22,MONTH($D2285),"")</f>
        <v/>
      </c>
      <c r="AU2285" s="86" t="str">
        <f>+IF($AG2285=AU$22,MONTH($D2285),"")</f>
        <v/>
      </c>
      <c r="AV2285" s="86" t="str">
        <f>+IF($AG2285=AV$22,MONTH($D2285),"")</f>
        <v/>
      </c>
      <c r="AW2285" s="86" t="str">
        <f>+IF($AG2285=AW$22,MONTH($D2285),"")</f>
        <v/>
      </c>
      <c r="AX2285" s="86" t="str">
        <f>+IF($AG2285=AX$22,MONTH($D2285),"")</f>
        <v/>
      </c>
      <c r="AY2285" s="89"/>
      <c r="AZ2285" s="89"/>
      <c r="BA2285" s="89"/>
      <c r="BB2285" s="89"/>
      <c r="BC2285" s="89"/>
      <c r="BD2285" s="89"/>
      <c r="BE2285" s="89"/>
      <c r="BF2285" s="89"/>
      <c r="BG2285" s="89"/>
      <c r="BH2285" s="89"/>
      <c r="BI2285" s="89"/>
      <c r="BJ2285" s="89"/>
      <c r="BK2285" s="89"/>
      <c r="BL2285" s="89"/>
      <c r="BM2285" s="89"/>
      <c r="BN2285" s="89"/>
      <c r="BO2285" s="89"/>
      <c r="BP2285" s="89"/>
    </row>
    <row r="2286" spans="1:68" s="56" customFormat="1" ht="27" hidden="1">
      <c r="A2286" s="204">
        <f>+IFERROR(VALUE(MID(AB2286,4,4)),"")</f>
        <v>113</v>
      </c>
      <c r="B2286" s="204">
        <f>VALUE(RIGHT(C2286,LEN(C2286)-2))</f>
        <v>439</v>
      </c>
      <c r="C2286" s="74" t="s">
        <v>7808</v>
      </c>
      <c r="D2286" s="75">
        <v>42219</v>
      </c>
      <c r="E2286" s="70" t="s">
        <v>332</v>
      </c>
      <c r="F2286" s="70" t="s">
        <v>332</v>
      </c>
      <c r="G2286" s="68" t="s">
        <v>285</v>
      </c>
      <c r="H2286" s="59" t="s">
        <v>7401</v>
      </c>
      <c r="I2286" s="76" t="s">
        <v>7809</v>
      </c>
      <c r="J2286" s="76"/>
      <c r="K2286" s="68" t="s">
        <v>31</v>
      </c>
      <c r="L2286" s="69" t="s">
        <v>120</v>
      </c>
      <c r="M2286" s="71" t="s">
        <v>141</v>
      </c>
      <c r="N2286" s="69" t="e" vm="1">
        <v>#VALUE!</v>
      </c>
      <c r="O2286" s="164">
        <v>42219</v>
      </c>
      <c r="P2286" s="72" t="s">
        <v>402</v>
      </c>
      <c r="Q2286" s="72"/>
      <c r="R2286" s="162"/>
      <c r="S2286" s="146"/>
      <c r="T2286" s="68" t="s">
        <v>3</v>
      </c>
      <c r="U2286" s="87"/>
      <c r="V2286" s="183">
        <v>42233</v>
      </c>
      <c r="W2286" s="73">
        <v>200</v>
      </c>
      <c r="X2286" s="73">
        <f>280*24600/1000000</f>
        <v>6.8879999999999999</v>
      </c>
      <c r="Y2286" s="83">
        <f>IF(SUM(W2286:W2286)&gt;0,X2286/SUM(W2286:W2286)*1000000,"N/A")</f>
        <v>34440</v>
      </c>
      <c r="Z2286" s="183"/>
      <c r="AA2286" s="183"/>
      <c r="AB2286" s="223" t="s">
        <v>7810</v>
      </c>
      <c r="AC2286" s="153"/>
      <c r="AD2286" s="331"/>
      <c r="AE2286" s="57"/>
      <c r="AF2286" s="88"/>
      <c r="AG2286" s="182">
        <f>YEAR(D2286)</f>
        <v>2015</v>
      </c>
      <c r="AH2286" s="86" t="str">
        <f>+IF(AE2286=$AJ$22,MONTH(T2286),"")</f>
        <v/>
      </c>
      <c r="AI2286" s="86" t="str">
        <f>+IF(AF2286=$AJ$22,MONTH(U2286),"")</f>
        <v/>
      </c>
      <c r="AJ2286" s="86" t="str">
        <f>+IF(AG2286=$AJ$22,MONTH(V2286),"")</f>
        <v/>
      </c>
      <c r="AK2286" s="86" t="str">
        <f>+IF(AG2286=$AK$22,MONTH(V2286),"")</f>
        <v/>
      </c>
      <c r="AL2286" s="86" t="str">
        <f>+IF(AG2286=$AL$22,MONTH(V2286),"")</f>
        <v/>
      </c>
      <c r="AM2286" s="86" t="str">
        <f>+IF($AG2286=$AM$22,MONTH($D2286),"")</f>
        <v/>
      </c>
      <c r="AN2286" s="89" t="str">
        <f>+IF($AG2286=AN$22,MONTH($D2286),"")</f>
        <v/>
      </c>
      <c r="AO2286" s="86" t="str">
        <f>+IF($AG2286=AO$22,MONTH($D2286),"")</f>
        <v/>
      </c>
      <c r="AP2286" s="86" t="str">
        <f>+IF($AG2286=AP$22,MONTH($D2286),"")</f>
        <v/>
      </c>
      <c r="AQ2286" s="86" t="str">
        <f>+IF($AG2286=AQ$22,MONTH($D2286),"")</f>
        <v/>
      </c>
      <c r="AR2286" s="86" t="str">
        <f>+IF($AG2286=AR$22,MONTH($D2286),"")</f>
        <v/>
      </c>
      <c r="AS2286" s="86">
        <f>+IF($AG2286=AS$22,MONTH($D2286),"")</f>
        <v>8</v>
      </c>
      <c r="AT2286" s="86" t="str">
        <f>+IF($AG2286=AT$22,MONTH($D2286),"")</f>
        <v/>
      </c>
      <c r="AU2286" s="86" t="str">
        <f>+IF($AG2286=AU$22,MONTH($D2286),"")</f>
        <v/>
      </c>
      <c r="AV2286" s="86" t="str">
        <f>+IF($AG2286=AV$22,MONTH($D2286),"")</f>
        <v/>
      </c>
      <c r="AW2286" s="86" t="str">
        <f>+IF($AG2286=AW$22,MONTH($D2286),"")</f>
        <v/>
      </c>
      <c r="AX2286" s="86" t="str">
        <f>+IF($AG2286=AX$22,MONTH($D2286),"")</f>
        <v/>
      </c>
      <c r="AY2286" s="89"/>
      <c r="AZ2286" s="89"/>
      <c r="BA2286" s="89"/>
      <c r="BB2286" s="89"/>
      <c r="BC2286" s="89"/>
      <c r="BD2286" s="89"/>
      <c r="BE2286" s="89"/>
      <c r="BF2286" s="89"/>
      <c r="BG2286" s="89"/>
      <c r="BH2286" s="89"/>
      <c r="BI2286" s="89"/>
      <c r="BJ2286" s="89"/>
      <c r="BK2286" s="89"/>
      <c r="BL2286" s="89"/>
      <c r="BM2286" s="89"/>
      <c r="BN2286" s="89"/>
      <c r="BO2286" s="89"/>
      <c r="BP2286" s="89"/>
    </row>
    <row r="2287" spans="1:68" s="56" customFormat="1" ht="27" hidden="1">
      <c r="A2287" s="204">
        <f>+IFERROR(VALUE(MID(AB2287,4,4)),"")</f>
        <v>113</v>
      </c>
      <c r="B2287" s="204">
        <f>VALUE(RIGHT(C2287,LEN(C2287)-2))</f>
        <v>438</v>
      </c>
      <c r="C2287" s="74" t="s">
        <v>7811</v>
      </c>
      <c r="D2287" s="75">
        <v>42219</v>
      </c>
      <c r="E2287" s="70" t="s">
        <v>332</v>
      </c>
      <c r="F2287" s="70" t="s">
        <v>332</v>
      </c>
      <c r="G2287" s="68" t="s">
        <v>285</v>
      </c>
      <c r="H2287" s="59" t="s">
        <v>7401</v>
      </c>
      <c r="I2287" s="162" t="s">
        <v>7812</v>
      </c>
      <c r="J2287" s="162"/>
      <c r="K2287" s="68" t="s">
        <v>11</v>
      </c>
      <c r="L2287" s="69" t="s">
        <v>120</v>
      </c>
      <c r="M2287" s="71" t="s">
        <v>141</v>
      </c>
      <c r="N2287" s="69" t="e" vm="1">
        <v>#VALUE!</v>
      </c>
      <c r="O2287" s="164">
        <v>42219</v>
      </c>
      <c r="P2287" s="72" t="s">
        <v>402</v>
      </c>
      <c r="Q2287" s="72"/>
      <c r="R2287" s="162"/>
      <c r="S2287" s="146"/>
      <c r="T2287" s="68" t="s">
        <v>3</v>
      </c>
      <c r="U2287" s="87"/>
      <c r="V2287" s="183">
        <v>42233</v>
      </c>
      <c r="W2287" s="73">
        <v>626</v>
      </c>
      <c r="X2287" s="73">
        <f>793*24600/1000000</f>
        <v>19.5078</v>
      </c>
      <c r="Y2287" s="83">
        <f>IF(SUM(W2287:W2287)&gt;0,X2287/SUM(W2287:W2287)*1000000,"N/A")</f>
        <v>31162.61980830671</v>
      </c>
      <c r="Z2287" s="183"/>
      <c r="AA2287" s="183"/>
      <c r="AB2287" s="223" t="s">
        <v>7813</v>
      </c>
      <c r="AC2287" s="153"/>
      <c r="AD2287" s="331"/>
      <c r="AE2287" s="57"/>
      <c r="AF2287" s="88"/>
      <c r="AG2287" s="182">
        <f>YEAR(D2287)</f>
        <v>2015</v>
      </c>
      <c r="AH2287" s="86" t="str">
        <f>+IF(AE2287=$AJ$22,MONTH(T2287),"")</f>
        <v/>
      </c>
      <c r="AI2287" s="86" t="str">
        <f>+IF(AF2287=$AJ$22,MONTH(U2287),"")</f>
        <v/>
      </c>
      <c r="AJ2287" s="86" t="str">
        <f>+IF(AG2287=$AJ$22,MONTH(V2287),"")</f>
        <v/>
      </c>
      <c r="AK2287" s="86" t="str">
        <f>+IF(AG2287=$AK$22,MONTH(V2287),"")</f>
        <v/>
      </c>
      <c r="AL2287" s="86" t="str">
        <f>+IF(AG2287=$AL$22,MONTH(V2287),"")</f>
        <v/>
      </c>
      <c r="AM2287" s="86" t="str">
        <f>+IF($AG2287=$AM$22,MONTH($D2287),"")</f>
        <v/>
      </c>
      <c r="AN2287" s="89" t="str">
        <f>+IF($AG2287=AN$22,MONTH($D2287),"")</f>
        <v/>
      </c>
      <c r="AO2287" s="86" t="str">
        <f>+IF($AG2287=AO$22,MONTH($D2287),"")</f>
        <v/>
      </c>
      <c r="AP2287" s="86" t="str">
        <f>+IF($AG2287=AP$22,MONTH($D2287),"")</f>
        <v/>
      </c>
      <c r="AQ2287" s="86" t="str">
        <f>+IF($AG2287=AQ$22,MONTH($D2287),"")</f>
        <v/>
      </c>
      <c r="AR2287" s="86" t="str">
        <f>+IF($AG2287=AR$22,MONTH($D2287),"")</f>
        <v/>
      </c>
      <c r="AS2287" s="86">
        <f>+IF($AG2287=AS$22,MONTH($D2287),"")</f>
        <v>8</v>
      </c>
      <c r="AT2287" s="86" t="str">
        <f>+IF($AG2287=AT$22,MONTH($D2287),"")</f>
        <v/>
      </c>
      <c r="AU2287" s="86" t="str">
        <f>+IF($AG2287=AU$22,MONTH($D2287),"")</f>
        <v/>
      </c>
      <c r="AV2287" s="86" t="str">
        <f>+IF($AG2287=AV$22,MONTH($D2287),"")</f>
        <v/>
      </c>
      <c r="AW2287" s="140" t="str">
        <f>+IF($AG2287=AW$22,MONTH($D2287),"")</f>
        <v/>
      </c>
      <c r="AX2287" s="86" t="str">
        <f>+IF($AG2287=AX$22,MONTH($D2287),"")</f>
        <v/>
      </c>
      <c r="AY2287" s="259"/>
      <c r="AZ2287" s="259"/>
      <c r="BA2287" s="259"/>
      <c r="BB2287" s="259"/>
      <c r="BC2287" s="259"/>
      <c r="BD2287" s="259"/>
      <c r="BE2287" s="259"/>
      <c r="BF2287" s="259"/>
      <c r="BG2287" s="259"/>
      <c r="BH2287" s="259"/>
      <c r="BI2287" s="259"/>
      <c r="BJ2287" s="89"/>
      <c r="BK2287" s="89"/>
      <c r="BL2287" s="89"/>
      <c r="BM2287" s="89"/>
      <c r="BN2287" s="89"/>
      <c r="BO2287" s="89"/>
      <c r="BP2287" s="89"/>
    </row>
    <row r="2288" spans="1:68" s="56" customFormat="1" ht="13.5" hidden="1">
      <c r="A2288" s="204" t="str">
        <f>+IFERROR(VALUE(MID(AB2288,4,4)),"")</f>
        <v/>
      </c>
      <c r="B2288" s="204">
        <f>VALUE(RIGHT(C2288,LEN(C2288)-2))</f>
        <v>437</v>
      </c>
      <c r="C2288" s="74" t="s">
        <v>7814</v>
      </c>
      <c r="D2288" s="75">
        <v>42231</v>
      </c>
      <c r="E2288" s="70" t="s">
        <v>332</v>
      </c>
      <c r="F2288" s="70" t="s">
        <v>332</v>
      </c>
      <c r="G2288" s="68"/>
      <c r="H2288" s="59"/>
      <c r="I2288" s="162" t="s">
        <v>7815</v>
      </c>
      <c r="J2288" s="162"/>
      <c r="K2288" s="68" t="s">
        <v>13</v>
      </c>
      <c r="L2288" s="69"/>
      <c r="M2288" s="71"/>
      <c r="N2288" s="69"/>
      <c r="O2288" s="164"/>
      <c r="P2288" s="72"/>
      <c r="Q2288" s="72"/>
      <c r="R2288" s="162"/>
      <c r="S2288" s="146" t="s">
        <v>7296</v>
      </c>
      <c r="T2288" s="68" t="s">
        <v>155</v>
      </c>
      <c r="U2288" s="87"/>
      <c r="V2288" s="183"/>
      <c r="W2288" s="73"/>
      <c r="X2288" s="73"/>
      <c r="Y2288" s="83"/>
      <c r="Z2288" s="183"/>
      <c r="AA2288" s="183"/>
      <c r="AB2288" s="223"/>
      <c r="AC2288" s="153"/>
      <c r="AD2288" s="331"/>
      <c r="AE2288" s="57"/>
      <c r="AF2288" s="88"/>
      <c r="AG2288" s="182">
        <f>YEAR(D2288)</f>
        <v>2015</v>
      </c>
      <c r="AH2288" s="86" t="str">
        <f>+IF(AE2288=$AJ$22,MONTH(T2288),"")</f>
        <v/>
      </c>
      <c r="AI2288" s="86" t="str">
        <f>+IF(AF2288=$AJ$22,MONTH(U2288),"")</f>
        <v/>
      </c>
      <c r="AJ2288" s="86" t="str">
        <f>+IF(AG2288=$AJ$22,MONTH(V2288),"")</f>
        <v/>
      </c>
      <c r="AK2288" s="86" t="str">
        <f>+IF(AG2288=$AK$22,MONTH(V2288),"")</f>
        <v/>
      </c>
      <c r="AL2288" s="86" t="str">
        <f>+IF(AG2288=$AL$22,MONTH(V2288),"")</f>
        <v/>
      </c>
      <c r="AM2288" s="86" t="str">
        <f>+IF($AG2288=$AM$22,MONTH($D2288),"")</f>
        <v/>
      </c>
      <c r="AN2288" s="89" t="str">
        <f>+IF($AG2288=AN$22,MONTH($D2288),"")</f>
        <v/>
      </c>
      <c r="AO2288" s="86" t="str">
        <f>+IF($AG2288=AO$22,MONTH($D2288),"")</f>
        <v/>
      </c>
      <c r="AP2288" s="86" t="str">
        <f>+IF($AG2288=AP$22,MONTH($D2288),"")</f>
        <v/>
      </c>
      <c r="AQ2288" s="86" t="str">
        <f>+IF($AG2288=AQ$22,MONTH($D2288),"")</f>
        <v/>
      </c>
      <c r="AR2288" s="86" t="str">
        <f>+IF($AG2288=AR$22,MONTH($D2288),"")</f>
        <v/>
      </c>
      <c r="AS2288" s="86">
        <f>+IF($AG2288=AS$22,MONTH($D2288),"")</f>
        <v>8</v>
      </c>
      <c r="AT2288" s="86" t="str">
        <f>+IF($AG2288=AT$22,MONTH($D2288),"")</f>
        <v/>
      </c>
      <c r="AU2288" s="86" t="str">
        <f>+IF($AG2288=AU$22,MONTH($D2288),"")</f>
        <v/>
      </c>
      <c r="AV2288" s="86" t="str">
        <f>+IF($AG2288=AV$22,MONTH($D2288),"")</f>
        <v/>
      </c>
      <c r="AW2288" s="86" t="str">
        <f>+IF($AG2288=AW$22,MONTH($D2288),"")</f>
        <v/>
      </c>
      <c r="AX2288" s="86" t="str">
        <f>+IF($AG2288=AX$22,MONTH($D2288),"")</f>
        <v/>
      </c>
      <c r="AY2288" s="89"/>
      <c r="AZ2288" s="89"/>
      <c r="BA2288" s="89"/>
      <c r="BB2288" s="89"/>
      <c r="BC2288" s="89"/>
      <c r="BD2288" s="89"/>
      <c r="BE2288" s="89"/>
      <c r="BF2288" s="89"/>
      <c r="BG2288" s="89"/>
      <c r="BH2288" s="89"/>
      <c r="BI2288" s="89"/>
      <c r="BJ2288" s="89"/>
      <c r="BK2288" s="89"/>
      <c r="BL2288" s="89"/>
      <c r="BM2288" s="89"/>
      <c r="BN2288" s="89"/>
      <c r="BO2288" s="89"/>
      <c r="BP2288" s="89"/>
    </row>
    <row r="2289" spans="1:68" s="56" customFormat="1" ht="27" hidden="1">
      <c r="A2289" s="204">
        <f>+IFERROR(VALUE(MID(AB2289,4,4)),"")</f>
        <v>113</v>
      </c>
      <c r="B2289" s="204">
        <f>VALUE(RIGHT(C2289,LEN(C2289)-2))</f>
        <v>436</v>
      </c>
      <c r="C2289" s="74" t="s">
        <v>7816</v>
      </c>
      <c r="D2289" s="75">
        <v>42219</v>
      </c>
      <c r="E2289" s="70" t="s">
        <v>332</v>
      </c>
      <c r="F2289" s="70" t="s">
        <v>332</v>
      </c>
      <c r="G2289" s="68" t="s">
        <v>285</v>
      </c>
      <c r="H2289" s="59" t="s">
        <v>7401</v>
      </c>
      <c r="I2289" s="162" t="s">
        <v>7817</v>
      </c>
      <c r="J2289" s="162"/>
      <c r="K2289" s="68" t="s">
        <v>13</v>
      </c>
      <c r="L2289" s="69" t="s">
        <v>120</v>
      </c>
      <c r="M2289" s="71" t="s">
        <v>141</v>
      </c>
      <c r="N2289" s="69" t="e" vm="1">
        <v>#VALUE!</v>
      </c>
      <c r="O2289" s="164">
        <v>42219</v>
      </c>
      <c r="P2289" s="72" t="s">
        <v>402</v>
      </c>
      <c r="Q2289" s="72"/>
      <c r="R2289" s="162"/>
      <c r="S2289" s="146"/>
      <c r="T2289" s="68" t="s">
        <v>3</v>
      </c>
      <c r="U2289" s="87"/>
      <c r="V2289" s="183">
        <v>42233</v>
      </c>
      <c r="W2289" s="73">
        <v>250</v>
      </c>
      <c r="X2289" s="73">
        <f>24600*350/1000000</f>
        <v>8.61</v>
      </c>
      <c r="Y2289" s="73">
        <f>IF(SUM(W2289:W2289)&gt;0,X2289/SUM(W2289:W2289)*1000000,"N/A")</f>
        <v>34440</v>
      </c>
      <c r="Z2289" s="183"/>
      <c r="AA2289" s="183"/>
      <c r="AB2289" s="223" t="s">
        <v>7818</v>
      </c>
      <c r="AC2289" s="153"/>
      <c r="AD2289" s="331"/>
      <c r="AE2289" s="57"/>
      <c r="AF2289" s="88"/>
      <c r="AG2289" s="182">
        <f>YEAR(D2289)</f>
        <v>2015</v>
      </c>
      <c r="AH2289" s="86" t="str">
        <f>+IF(AE2289=$AJ$22,MONTH(T2289),"")</f>
        <v/>
      </c>
      <c r="AI2289" s="86" t="str">
        <f>+IF(AF2289=$AJ$22,MONTH(U2289),"")</f>
        <v/>
      </c>
      <c r="AJ2289" s="86" t="str">
        <f>+IF(AG2289=$AJ$22,MONTH(V2289),"")</f>
        <v/>
      </c>
      <c r="AK2289" s="86" t="str">
        <f>+IF(AG2289=$AK$22,MONTH(V2289),"")</f>
        <v/>
      </c>
      <c r="AL2289" s="86" t="str">
        <f>+IF(AG2289=$AL$22,MONTH(V2289),"")</f>
        <v/>
      </c>
      <c r="AM2289" s="86" t="str">
        <f>+IF($AG2289=$AM$22,MONTH($D2289),"")</f>
        <v/>
      </c>
      <c r="AN2289" s="89" t="str">
        <f>+IF($AG2289=AN$22,MONTH($D2289),"")</f>
        <v/>
      </c>
      <c r="AO2289" s="86" t="str">
        <f>+IF($AG2289=AO$22,MONTH($D2289),"")</f>
        <v/>
      </c>
      <c r="AP2289" s="86" t="str">
        <f>+IF($AG2289=AP$22,MONTH($D2289),"")</f>
        <v/>
      </c>
      <c r="AQ2289" s="86" t="str">
        <f>+IF($AG2289=AQ$22,MONTH($D2289),"")</f>
        <v/>
      </c>
      <c r="AR2289" s="86" t="str">
        <f>+IF($AG2289=AR$22,MONTH($D2289),"")</f>
        <v/>
      </c>
      <c r="AS2289" s="86">
        <f>+IF($AG2289=AS$22,MONTH($D2289),"")</f>
        <v>8</v>
      </c>
      <c r="AT2289" s="86" t="str">
        <f>+IF($AG2289=AT$22,MONTH($D2289),"")</f>
        <v/>
      </c>
      <c r="AU2289" s="86" t="str">
        <f>+IF($AG2289=AU$22,MONTH($D2289),"")</f>
        <v/>
      </c>
      <c r="AV2289" s="86" t="str">
        <f>+IF($AG2289=AV$22,MONTH($D2289),"")</f>
        <v/>
      </c>
      <c r="AW2289" s="86" t="str">
        <f>+IF($AG2289=AW$22,MONTH($D2289),"")</f>
        <v/>
      </c>
      <c r="AX2289" s="86" t="str">
        <f>+IF($AG2289=AX$22,MONTH($D2289),"")</f>
        <v/>
      </c>
      <c r="AY2289" s="89"/>
      <c r="AZ2289" s="89"/>
      <c r="BA2289" s="89"/>
      <c r="BB2289" s="89"/>
      <c r="BC2289" s="89"/>
      <c r="BD2289" s="89"/>
      <c r="BE2289" s="89"/>
      <c r="BF2289" s="89"/>
      <c r="BG2289" s="89"/>
      <c r="BH2289" s="89"/>
      <c r="BI2289" s="89"/>
      <c r="BJ2289" s="89"/>
      <c r="BK2289" s="89"/>
      <c r="BL2289" s="89"/>
      <c r="BM2289" s="89"/>
      <c r="BN2289" s="89"/>
      <c r="BO2289" s="89"/>
      <c r="BP2289" s="89"/>
    </row>
    <row r="2290" spans="1:68" s="56" customFormat="1" ht="27" hidden="1">
      <c r="A2290" s="204">
        <f>+IFERROR(VALUE(MID(AB2290,4,4)),"")</f>
        <v>113</v>
      </c>
      <c r="B2290" s="204">
        <f>VALUE(RIGHT(C2290,LEN(C2290)-2))</f>
        <v>435</v>
      </c>
      <c r="C2290" s="74" t="s">
        <v>7819</v>
      </c>
      <c r="D2290" s="75">
        <v>42175</v>
      </c>
      <c r="E2290" s="70" t="s">
        <v>332</v>
      </c>
      <c r="F2290" s="70" t="s">
        <v>332</v>
      </c>
      <c r="G2290" s="68" t="s">
        <v>285</v>
      </c>
      <c r="H2290" s="59" t="s">
        <v>7401</v>
      </c>
      <c r="I2290" s="162" t="s">
        <v>7820</v>
      </c>
      <c r="J2290" s="162"/>
      <c r="K2290" s="68" t="s">
        <v>13</v>
      </c>
      <c r="L2290" s="69" t="s">
        <v>120</v>
      </c>
      <c r="M2290" s="71" t="s">
        <v>141</v>
      </c>
      <c r="N2290" s="69" t="e" vm="1">
        <v>#VALUE!</v>
      </c>
      <c r="O2290" s="164">
        <v>42175</v>
      </c>
      <c r="P2290" s="72" t="s">
        <v>402</v>
      </c>
      <c r="Q2290" s="72"/>
      <c r="R2290" s="162"/>
      <c r="S2290" s="146"/>
      <c r="T2290" s="68" t="s">
        <v>3</v>
      </c>
      <c r="U2290" s="87"/>
      <c r="V2290" s="183">
        <v>42233</v>
      </c>
      <c r="W2290" s="73">
        <v>300</v>
      </c>
      <c r="X2290" s="73">
        <f>24600*420/1000000</f>
        <v>10.332000000000001</v>
      </c>
      <c r="Y2290" s="83">
        <f>IF(SUM(W2290:W2290)&gt;0,X2290/SUM(W2290:W2290)*1000000,"N/A")</f>
        <v>34440.000000000007</v>
      </c>
      <c r="Z2290" s="183"/>
      <c r="AA2290" s="183"/>
      <c r="AB2290" s="223" t="s">
        <v>7821</v>
      </c>
      <c r="AC2290" s="153"/>
      <c r="AD2290" s="331"/>
      <c r="AE2290" s="57"/>
      <c r="AF2290" s="88"/>
      <c r="AG2290" s="182">
        <f>YEAR(D2290)</f>
        <v>2015</v>
      </c>
      <c r="AH2290" s="86" t="str">
        <f>+IF(AE2290=$AJ$22,MONTH(T2290),"")</f>
        <v/>
      </c>
      <c r="AI2290" s="86" t="str">
        <f>+IF(AF2290=$AJ$22,MONTH(U2290),"")</f>
        <v/>
      </c>
      <c r="AJ2290" s="86" t="str">
        <f>+IF(AG2290=$AJ$22,MONTH(V2290),"")</f>
        <v/>
      </c>
      <c r="AK2290" s="86" t="str">
        <f>+IF(AG2290=$AK$22,MONTH(V2290),"")</f>
        <v/>
      </c>
      <c r="AL2290" s="86" t="str">
        <f>+IF(AG2290=$AL$22,MONTH(V2290),"")</f>
        <v/>
      </c>
      <c r="AM2290" s="86" t="str">
        <f>+IF($AG2290=$AM$22,MONTH($D2290),"")</f>
        <v/>
      </c>
      <c r="AN2290" s="89" t="str">
        <f>+IF($AG2290=AN$22,MONTH($D2290),"")</f>
        <v/>
      </c>
      <c r="AO2290" s="86" t="str">
        <f>+IF($AG2290=AO$22,MONTH($D2290),"")</f>
        <v/>
      </c>
      <c r="AP2290" s="86" t="str">
        <f>+IF($AG2290=AP$22,MONTH($D2290),"")</f>
        <v/>
      </c>
      <c r="AQ2290" s="86" t="str">
        <f>+IF($AG2290=AQ$22,MONTH($D2290),"")</f>
        <v/>
      </c>
      <c r="AR2290" s="86" t="str">
        <f>+IF($AG2290=AR$22,MONTH($D2290),"")</f>
        <v/>
      </c>
      <c r="AS2290" s="86">
        <f>+IF($AG2290=AS$22,MONTH($D2290),"")</f>
        <v>6</v>
      </c>
      <c r="AT2290" s="86" t="str">
        <f>+IF($AG2290=AT$22,MONTH($D2290),"")</f>
        <v/>
      </c>
      <c r="AU2290" s="86" t="str">
        <f>+IF($AG2290=AU$22,MONTH($D2290),"")</f>
        <v/>
      </c>
      <c r="AV2290" s="86" t="str">
        <f>+IF($AG2290=AV$22,MONTH($D2290),"")</f>
        <v/>
      </c>
      <c r="AW2290" s="86" t="str">
        <f>+IF($AG2290=AW$22,MONTH($D2290),"")</f>
        <v/>
      </c>
      <c r="AX2290" s="86" t="str">
        <f>+IF($AG2290=AX$22,MONTH($D2290),"")</f>
        <v/>
      </c>
      <c r="AY2290" s="89"/>
      <c r="AZ2290" s="89"/>
      <c r="BA2290" s="89"/>
      <c r="BB2290" s="89"/>
      <c r="BC2290" s="89"/>
      <c r="BD2290" s="89"/>
      <c r="BE2290" s="89"/>
      <c r="BF2290" s="89"/>
      <c r="BG2290" s="89"/>
      <c r="BH2290" s="89"/>
      <c r="BI2290" s="89"/>
      <c r="BJ2290" s="89"/>
      <c r="BK2290" s="89"/>
      <c r="BL2290" s="89"/>
      <c r="BM2290" s="89"/>
      <c r="BN2290" s="89"/>
      <c r="BO2290" s="89"/>
      <c r="BP2290" s="89"/>
    </row>
    <row r="2291" spans="1:68" s="56" customFormat="1" ht="27" hidden="1">
      <c r="A2291" s="204">
        <f>+IFERROR(VALUE(MID(AB2291,4,4)),"")</f>
        <v>113</v>
      </c>
      <c r="B2291" s="204">
        <f>VALUE(RIGHT(C2291,LEN(C2291)-2))</f>
        <v>434</v>
      </c>
      <c r="C2291" s="74" t="s">
        <v>7822</v>
      </c>
      <c r="D2291" s="75">
        <v>42200</v>
      </c>
      <c r="E2291" s="70" t="s">
        <v>332</v>
      </c>
      <c r="F2291" s="70" t="s">
        <v>332</v>
      </c>
      <c r="G2291" s="68" t="s">
        <v>1294</v>
      </c>
      <c r="H2291" s="59"/>
      <c r="I2291" s="162" t="s">
        <v>7823</v>
      </c>
      <c r="J2291" s="162"/>
      <c r="K2291" s="68" t="s">
        <v>31</v>
      </c>
      <c r="L2291" s="69" t="s">
        <v>120</v>
      </c>
      <c r="M2291" s="71" t="s">
        <v>141</v>
      </c>
      <c r="N2291" s="69" t="e" vm="1">
        <v>#VALUE!</v>
      </c>
      <c r="O2291" s="164">
        <v>42200</v>
      </c>
      <c r="P2291" s="72" t="s">
        <v>4567</v>
      </c>
      <c r="Q2291" s="72"/>
      <c r="R2291" s="162"/>
      <c r="S2291" s="146"/>
      <c r="T2291" s="68" t="s">
        <v>3</v>
      </c>
      <c r="U2291" s="87"/>
      <c r="V2291" s="183">
        <v>42233</v>
      </c>
      <c r="W2291" s="73">
        <v>126</v>
      </c>
      <c r="X2291" s="73">
        <f>24600*250/1000000</f>
        <v>6.15</v>
      </c>
      <c r="Y2291" s="83">
        <f>IF(SUM(W2291:W2291)&gt;0,X2291/SUM(W2291:W2291)*1000000,"N/A")</f>
        <v>48809.523809523809</v>
      </c>
      <c r="Z2291" s="183"/>
      <c r="AA2291" s="183"/>
      <c r="AB2291" s="223" t="s">
        <v>7824</v>
      </c>
      <c r="AC2291" s="153"/>
      <c r="AD2291" s="331"/>
      <c r="AE2291" s="57"/>
      <c r="AF2291" s="88"/>
      <c r="AG2291" s="182">
        <f>YEAR(D2291)</f>
        <v>2015</v>
      </c>
      <c r="AH2291" s="86" t="str">
        <f>+IF(AE2291=$AJ$22,MONTH(T2291),"")</f>
        <v/>
      </c>
      <c r="AI2291" s="86" t="str">
        <f>+IF(AF2291=$AJ$22,MONTH(U2291),"")</f>
        <v/>
      </c>
      <c r="AJ2291" s="86" t="str">
        <f>+IF(AG2291=$AJ$22,MONTH(V2291),"")</f>
        <v/>
      </c>
      <c r="AK2291" s="86" t="str">
        <f>+IF(AG2291=$AK$22,MONTH(V2291),"")</f>
        <v/>
      </c>
      <c r="AL2291" s="86" t="str">
        <f>+IF(AG2291=$AL$22,MONTH(V2291),"")</f>
        <v/>
      </c>
      <c r="AM2291" s="86" t="str">
        <f>+IF($AG2291=$AM$22,MONTH($D2291),"")</f>
        <v/>
      </c>
      <c r="AN2291" s="89" t="str">
        <f>+IF($AG2291=AN$22,MONTH($D2291),"")</f>
        <v/>
      </c>
      <c r="AO2291" s="86" t="str">
        <f>+IF($AG2291=AO$22,MONTH($D2291),"")</f>
        <v/>
      </c>
      <c r="AP2291" s="86" t="str">
        <f>+IF($AG2291=AP$22,MONTH($D2291),"")</f>
        <v/>
      </c>
      <c r="AQ2291" s="86" t="str">
        <f>+IF($AG2291=AQ$22,MONTH($D2291),"")</f>
        <v/>
      </c>
      <c r="AR2291" s="86" t="str">
        <f>+IF($AG2291=AR$22,MONTH($D2291),"")</f>
        <v/>
      </c>
      <c r="AS2291" s="86">
        <f>+IF($AG2291=AS$22,MONTH($D2291),"")</f>
        <v>7</v>
      </c>
      <c r="AT2291" s="86" t="str">
        <f>+IF($AG2291=AT$22,MONTH($D2291),"")</f>
        <v/>
      </c>
      <c r="AU2291" s="86" t="str">
        <f>+IF($AG2291=AU$22,MONTH($D2291),"")</f>
        <v/>
      </c>
      <c r="AV2291" s="86" t="str">
        <f>+IF($AG2291=AV$22,MONTH($D2291),"")</f>
        <v/>
      </c>
      <c r="AW2291" s="86" t="str">
        <f>+IF($AG2291=AW$22,MONTH($D2291),"")</f>
        <v/>
      </c>
      <c r="AX2291" s="86" t="str">
        <f>+IF($AG2291=AX$22,MONTH($D2291),"")</f>
        <v/>
      </c>
      <c r="AY2291" s="89"/>
      <c r="AZ2291" s="89"/>
      <c r="BA2291" s="89"/>
      <c r="BB2291" s="89"/>
      <c r="BC2291" s="89"/>
      <c r="BD2291" s="89"/>
      <c r="BE2291" s="89"/>
      <c r="BF2291" s="89"/>
      <c r="BG2291" s="89"/>
      <c r="BH2291" s="89"/>
      <c r="BI2291" s="89"/>
      <c r="BJ2291" s="89"/>
      <c r="BK2291" s="89"/>
      <c r="BL2291" s="89"/>
      <c r="BM2291" s="89"/>
      <c r="BN2291" s="89"/>
      <c r="BO2291" s="89"/>
      <c r="BP2291" s="89"/>
    </row>
    <row r="2292" spans="1:68" s="56" customFormat="1" ht="13.5" hidden="1">
      <c r="A2292" s="204" t="str">
        <f>+IFERROR(VALUE(MID(AB2292,4,4)),"")</f>
        <v/>
      </c>
      <c r="B2292" s="204">
        <f>VALUE(RIGHT(C2292,LEN(C2292)-2))</f>
        <v>433</v>
      </c>
      <c r="C2292" s="74" t="s">
        <v>7825</v>
      </c>
      <c r="D2292" s="75">
        <v>42200</v>
      </c>
      <c r="E2292" s="70" t="s">
        <v>332</v>
      </c>
      <c r="F2292" s="70" t="s">
        <v>332</v>
      </c>
      <c r="G2292" s="68" t="s">
        <v>7117</v>
      </c>
      <c r="H2292" s="59"/>
      <c r="I2292" s="162" t="s">
        <v>7826</v>
      </c>
      <c r="J2292" s="162"/>
      <c r="K2292" s="68" t="s">
        <v>31</v>
      </c>
      <c r="L2292" s="69" t="s">
        <v>120</v>
      </c>
      <c r="M2292" s="71" t="s">
        <v>141</v>
      </c>
      <c r="N2292" s="69" t="e" vm="1">
        <v>#VALUE!</v>
      </c>
      <c r="O2292" s="164">
        <v>42200</v>
      </c>
      <c r="P2292" s="72" t="s">
        <v>402</v>
      </c>
      <c r="Q2292" s="72"/>
      <c r="R2292" s="162"/>
      <c r="S2292" s="146"/>
      <c r="T2292" s="68" t="s">
        <v>3</v>
      </c>
      <c r="U2292" s="87"/>
      <c r="V2292" s="183">
        <v>42233</v>
      </c>
      <c r="W2292" s="73">
        <v>220</v>
      </c>
      <c r="X2292" s="73">
        <f>24600*268/1000000</f>
        <v>6.5928000000000004</v>
      </c>
      <c r="Y2292" s="83">
        <f>IF(SUM(W2292:W2292)&gt;0,X2292/SUM(W2292:W2292)*1000000,"N/A")</f>
        <v>29967.272727272728</v>
      </c>
      <c r="Z2292" s="183"/>
      <c r="AA2292" s="183"/>
      <c r="AB2292" s="223"/>
      <c r="AC2292" s="153"/>
      <c r="AD2292" s="331"/>
      <c r="AE2292" s="57"/>
      <c r="AF2292" s="88"/>
      <c r="AG2292" s="182">
        <f>YEAR(D2292)</f>
        <v>2015</v>
      </c>
      <c r="AH2292" s="86" t="str">
        <f>+IF(AE2292=$AJ$22,MONTH(T2292),"")</f>
        <v/>
      </c>
      <c r="AI2292" s="86" t="str">
        <f>+IF(AF2292=$AJ$22,MONTH(U2292),"")</f>
        <v/>
      </c>
      <c r="AJ2292" s="86" t="str">
        <f>+IF(AG2292=$AJ$22,MONTH(V2292),"")</f>
        <v/>
      </c>
      <c r="AK2292" s="86" t="str">
        <f>+IF(AG2292=$AK$22,MONTH(V2292),"")</f>
        <v/>
      </c>
      <c r="AL2292" s="86" t="str">
        <f>+IF(AG2292=$AL$22,MONTH(V2292),"")</f>
        <v/>
      </c>
      <c r="AM2292" s="86" t="str">
        <f>+IF($AG2292=$AM$22,MONTH($D2292),"")</f>
        <v/>
      </c>
      <c r="AN2292" s="89" t="str">
        <f>+IF($AG2292=AN$22,MONTH($D2292),"")</f>
        <v/>
      </c>
      <c r="AO2292" s="86" t="str">
        <f>+IF($AG2292=AO$22,MONTH($D2292),"")</f>
        <v/>
      </c>
      <c r="AP2292" s="86" t="str">
        <f>+IF($AG2292=AP$22,MONTH($D2292),"")</f>
        <v/>
      </c>
      <c r="AQ2292" s="86" t="str">
        <f>+IF($AG2292=AQ$22,MONTH($D2292),"")</f>
        <v/>
      </c>
      <c r="AR2292" s="86" t="str">
        <f>+IF($AG2292=AR$22,MONTH($D2292),"")</f>
        <v/>
      </c>
      <c r="AS2292" s="86">
        <f>+IF($AG2292=AS$22,MONTH($D2292),"")</f>
        <v>7</v>
      </c>
      <c r="AT2292" s="86" t="str">
        <f>+IF($AG2292=AT$22,MONTH($D2292),"")</f>
        <v/>
      </c>
      <c r="AU2292" s="86" t="str">
        <f>+IF($AG2292=AU$22,MONTH($D2292),"")</f>
        <v/>
      </c>
      <c r="AV2292" s="86" t="str">
        <f>+IF($AG2292=AV$22,MONTH($D2292),"")</f>
        <v/>
      </c>
      <c r="AW2292" s="86" t="str">
        <f>+IF($AG2292=AW$22,MONTH($D2292),"")</f>
        <v/>
      </c>
      <c r="AX2292" s="86" t="str">
        <f>+IF($AG2292=AX$22,MONTH($D2292),"")</f>
        <v/>
      </c>
      <c r="AY2292" s="89"/>
      <c r="AZ2292" s="89"/>
      <c r="BA2292" s="89"/>
      <c r="BB2292" s="89"/>
      <c r="BC2292" s="89"/>
      <c r="BD2292" s="89"/>
      <c r="BE2292" s="89"/>
      <c r="BF2292" s="89"/>
      <c r="BG2292" s="89"/>
      <c r="BH2292" s="89"/>
      <c r="BI2292" s="89"/>
      <c r="BJ2292" s="89"/>
      <c r="BK2292" s="89"/>
      <c r="BL2292" s="89"/>
      <c r="BM2292" s="89"/>
      <c r="BN2292" s="89"/>
      <c r="BO2292" s="89"/>
      <c r="BP2292" s="89"/>
    </row>
    <row r="2293" spans="1:68" s="56" customFormat="1" ht="13.5" hidden="1">
      <c r="A2293" s="204" t="str">
        <f>+IFERROR(VALUE(MID(AB2293,4,4)),"")</f>
        <v/>
      </c>
      <c r="B2293" s="204">
        <f>VALUE(RIGHT(C2293,LEN(C2293)-2))</f>
        <v>432</v>
      </c>
      <c r="C2293" s="74" t="s">
        <v>7827</v>
      </c>
      <c r="D2293" s="75">
        <v>42231</v>
      </c>
      <c r="E2293" s="70" t="s">
        <v>332</v>
      </c>
      <c r="F2293" s="70" t="s">
        <v>332</v>
      </c>
      <c r="G2293" s="68" t="s">
        <v>7117</v>
      </c>
      <c r="H2293" s="59"/>
      <c r="I2293" s="162" t="s">
        <v>7828</v>
      </c>
      <c r="J2293" s="162"/>
      <c r="K2293" s="68" t="s">
        <v>30</v>
      </c>
      <c r="L2293" s="69" t="s">
        <v>120</v>
      </c>
      <c r="M2293" s="71" t="s">
        <v>141</v>
      </c>
      <c r="N2293" s="69" t="e" vm="1">
        <v>#VALUE!</v>
      </c>
      <c r="O2293" s="164"/>
      <c r="P2293" s="72" t="s">
        <v>402</v>
      </c>
      <c r="Q2293" s="72"/>
      <c r="R2293" s="162"/>
      <c r="S2293" s="146"/>
      <c r="T2293" s="68" t="s">
        <v>165</v>
      </c>
      <c r="U2293" s="87"/>
      <c r="V2293" s="183"/>
      <c r="W2293" s="73">
        <v>600</v>
      </c>
      <c r="X2293" s="73">
        <f>24600*1559/1000000</f>
        <v>38.351399999999998</v>
      </c>
      <c r="Y2293" s="83">
        <f>IF(SUM(W2293:W2293)&gt;0,X2293/SUM(W2293:W2293)*1000000,"N/A")</f>
        <v>63919</v>
      </c>
      <c r="Z2293" s="183"/>
      <c r="AA2293" s="183"/>
      <c r="AB2293" s="223"/>
      <c r="AC2293" s="153"/>
      <c r="AD2293" s="331"/>
      <c r="AE2293" s="57"/>
      <c r="AF2293" s="88"/>
      <c r="AG2293" s="182">
        <f>YEAR(D2293)</f>
        <v>2015</v>
      </c>
      <c r="AH2293" s="86" t="str">
        <f>+IF(AE2293=$AJ$22,MONTH(T2293),"")</f>
        <v/>
      </c>
      <c r="AI2293" s="86" t="str">
        <f>+IF(AF2293=$AJ$22,MONTH(U2293),"")</f>
        <v/>
      </c>
      <c r="AJ2293" s="86" t="str">
        <f>+IF(AG2293=$AJ$22,MONTH(V2293),"")</f>
        <v/>
      </c>
      <c r="AK2293" s="86" t="str">
        <f>+IF(AG2293=$AK$22,MONTH(V2293),"")</f>
        <v/>
      </c>
      <c r="AL2293" s="86" t="str">
        <f>+IF(AG2293=$AL$22,MONTH(V2293),"")</f>
        <v/>
      </c>
      <c r="AM2293" s="86" t="str">
        <f>+IF($AG2293=$AM$22,MONTH($D2293),"")</f>
        <v/>
      </c>
      <c r="AN2293" s="89" t="str">
        <f>+IF($AG2293=AN$22,MONTH($D2293),"")</f>
        <v/>
      </c>
      <c r="AO2293" s="86" t="str">
        <f>+IF($AG2293=AO$22,MONTH($D2293),"")</f>
        <v/>
      </c>
      <c r="AP2293" s="86" t="str">
        <f>+IF($AG2293=AP$22,MONTH($D2293),"")</f>
        <v/>
      </c>
      <c r="AQ2293" s="86" t="str">
        <f>+IF($AG2293=AQ$22,MONTH($D2293),"")</f>
        <v/>
      </c>
      <c r="AR2293" s="86" t="str">
        <f>+IF($AG2293=AR$22,MONTH($D2293),"")</f>
        <v/>
      </c>
      <c r="AS2293" s="86">
        <f>+IF($AG2293=AS$22,MONTH($D2293),"")</f>
        <v>8</v>
      </c>
      <c r="AT2293" s="86" t="str">
        <f>+IF($AG2293=AT$22,MONTH($D2293),"")</f>
        <v/>
      </c>
      <c r="AU2293" s="86" t="str">
        <f>+IF($AG2293=AU$22,MONTH($D2293),"")</f>
        <v/>
      </c>
      <c r="AV2293" s="86" t="str">
        <f>+IF($AG2293=AV$22,MONTH($D2293),"")</f>
        <v/>
      </c>
      <c r="AW2293" s="86" t="str">
        <f>+IF($AG2293=AW$22,MONTH($D2293),"")</f>
        <v/>
      </c>
      <c r="AX2293" s="86" t="str">
        <f>+IF($AG2293=AX$22,MONTH($D2293),"")</f>
        <v/>
      </c>
      <c r="AY2293" s="89"/>
      <c r="AZ2293" s="89"/>
      <c r="BA2293" s="89"/>
      <c r="BB2293" s="89"/>
      <c r="BC2293" s="89"/>
      <c r="BD2293" s="89"/>
      <c r="BE2293" s="89"/>
      <c r="BF2293" s="89"/>
      <c r="BG2293" s="89"/>
      <c r="BH2293" s="89"/>
      <c r="BI2293" s="89"/>
      <c r="BJ2293" s="89"/>
      <c r="BK2293" s="89"/>
      <c r="BL2293" s="89"/>
      <c r="BM2293" s="89"/>
      <c r="BN2293" s="89"/>
      <c r="BO2293" s="89"/>
      <c r="BP2293" s="89"/>
    </row>
    <row r="2294" spans="1:68" s="56" customFormat="1" ht="13.5" hidden="1">
      <c r="A2294" s="204" t="str">
        <f>+IFERROR(VALUE(MID(AB2294,4,4)),"")</f>
        <v/>
      </c>
      <c r="B2294" s="204">
        <f>VALUE(RIGHT(C2294,LEN(C2294)-2))</f>
        <v>431</v>
      </c>
      <c r="C2294" s="74" t="s">
        <v>7829</v>
      </c>
      <c r="D2294" s="75">
        <v>42231</v>
      </c>
      <c r="E2294" s="70" t="s">
        <v>332</v>
      </c>
      <c r="F2294" s="70" t="s">
        <v>332</v>
      </c>
      <c r="G2294" s="68" t="s">
        <v>285</v>
      </c>
      <c r="H2294" s="59" t="s">
        <v>7401</v>
      </c>
      <c r="I2294" s="162" t="s">
        <v>7830</v>
      </c>
      <c r="J2294" s="162"/>
      <c r="K2294" s="68" t="s">
        <v>12</v>
      </c>
      <c r="L2294" s="69" t="s">
        <v>120</v>
      </c>
      <c r="M2294" s="71" t="s">
        <v>141</v>
      </c>
      <c r="N2294" s="69" t="e" vm="1">
        <v>#VALUE!</v>
      </c>
      <c r="O2294" s="164"/>
      <c r="P2294" s="72" t="s">
        <v>402</v>
      </c>
      <c r="Q2294" s="72"/>
      <c r="R2294" s="162"/>
      <c r="S2294" s="146"/>
      <c r="T2294" s="68" t="s">
        <v>165</v>
      </c>
      <c r="U2294" s="87"/>
      <c r="V2294" s="183"/>
      <c r="W2294" s="73">
        <v>120</v>
      </c>
      <c r="X2294" s="73">
        <f>24600*146/1000000</f>
        <v>3.5916000000000001</v>
      </c>
      <c r="Y2294" s="83">
        <f>IF(SUM(W2294:W2294)&gt;0,X2294/SUM(W2294:W2294)*1000000,"N/A")</f>
        <v>29930</v>
      </c>
      <c r="Z2294" s="183"/>
      <c r="AA2294" s="183"/>
      <c r="AB2294" s="223"/>
      <c r="AC2294" s="153"/>
      <c r="AD2294" s="331"/>
      <c r="AE2294" s="57"/>
      <c r="AF2294" s="88"/>
      <c r="AG2294" s="182">
        <f>YEAR(D2294)</f>
        <v>2015</v>
      </c>
      <c r="AH2294" s="86" t="str">
        <f>+IF(AE2294=$AJ$22,MONTH(T2294),"")</f>
        <v/>
      </c>
      <c r="AI2294" s="86" t="str">
        <f>+IF(AF2294=$AJ$22,MONTH(U2294),"")</f>
        <v/>
      </c>
      <c r="AJ2294" s="86" t="str">
        <f>+IF(AG2294=$AJ$22,MONTH(V2294),"")</f>
        <v/>
      </c>
      <c r="AK2294" s="86" t="str">
        <f>+IF(AG2294=$AK$22,MONTH(V2294),"")</f>
        <v/>
      </c>
      <c r="AL2294" s="86" t="str">
        <f>+IF(AG2294=$AL$22,MONTH(V2294),"")</f>
        <v/>
      </c>
      <c r="AM2294" s="86" t="str">
        <f>+IF($AG2294=$AM$22,MONTH($D2294),"")</f>
        <v/>
      </c>
      <c r="AN2294" s="89" t="str">
        <f>+IF($AG2294=AN$22,MONTH($D2294),"")</f>
        <v/>
      </c>
      <c r="AO2294" s="86" t="str">
        <f>+IF($AG2294=AO$22,MONTH($D2294),"")</f>
        <v/>
      </c>
      <c r="AP2294" s="86" t="str">
        <f>+IF($AG2294=AP$22,MONTH($D2294),"")</f>
        <v/>
      </c>
      <c r="AQ2294" s="86" t="str">
        <f>+IF($AG2294=AQ$22,MONTH($D2294),"")</f>
        <v/>
      </c>
      <c r="AR2294" s="86" t="str">
        <f>+IF($AG2294=AR$22,MONTH($D2294),"")</f>
        <v/>
      </c>
      <c r="AS2294" s="86">
        <f>+IF($AG2294=AS$22,MONTH($D2294),"")</f>
        <v>8</v>
      </c>
      <c r="AT2294" s="86" t="str">
        <f>+IF($AG2294=AT$22,MONTH($D2294),"")</f>
        <v/>
      </c>
      <c r="AU2294" s="86" t="str">
        <f>+IF($AG2294=AU$22,MONTH($D2294),"")</f>
        <v/>
      </c>
      <c r="AV2294" s="86" t="str">
        <f>+IF($AG2294=AV$22,MONTH($D2294),"")</f>
        <v/>
      </c>
      <c r="AW2294" s="86" t="str">
        <f>+IF($AG2294=AW$22,MONTH($D2294),"")</f>
        <v/>
      </c>
      <c r="AX2294" s="86" t="str">
        <f>+IF($AG2294=AX$22,MONTH($D2294),"")</f>
        <v/>
      </c>
      <c r="AY2294" s="89"/>
      <c r="AZ2294" s="89"/>
      <c r="BA2294" s="89"/>
      <c r="BB2294" s="89"/>
      <c r="BC2294" s="89"/>
      <c r="BD2294" s="89"/>
      <c r="BE2294" s="89"/>
      <c r="BF2294" s="89"/>
      <c r="BG2294" s="89"/>
      <c r="BH2294" s="89"/>
      <c r="BI2294" s="89"/>
      <c r="BJ2294" s="89"/>
      <c r="BK2294" s="89"/>
      <c r="BL2294" s="89"/>
      <c r="BM2294" s="89"/>
      <c r="BN2294" s="89"/>
      <c r="BO2294" s="89"/>
      <c r="BP2294" s="89"/>
    </row>
    <row r="2295" spans="1:68" s="56" customFormat="1" ht="13.5" hidden="1">
      <c r="A2295" s="204" t="str">
        <f>+IFERROR(VALUE(MID(AB2295,4,4)),"")</f>
        <v/>
      </c>
      <c r="B2295" s="204">
        <f>VALUE(RIGHT(C2295,LEN(C2295)-2))</f>
        <v>430</v>
      </c>
      <c r="C2295" s="74" t="s">
        <v>7831</v>
      </c>
      <c r="D2295" s="75">
        <v>42231</v>
      </c>
      <c r="E2295" s="70" t="s">
        <v>332</v>
      </c>
      <c r="F2295" s="70" t="s">
        <v>332</v>
      </c>
      <c r="G2295" s="68" t="s">
        <v>285</v>
      </c>
      <c r="H2295" s="59" t="s">
        <v>7401</v>
      </c>
      <c r="I2295" s="162" t="s">
        <v>7832</v>
      </c>
      <c r="J2295" s="162"/>
      <c r="K2295" s="68" t="s">
        <v>12</v>
      </c>
      <c r="L2295" s="69" t="s">
        <v>120</v>
      </c>
      <c r="M2295" s="71" t="s">
        <v>141</v>
      </c>
      <c r="N2295" s="69" t="e" vm="1">
        <v>#VALUE!</v>
      </c>
      <c r="O2295" s="164"/>
      <c r="P2295" s="72" t="s">
        <v>402</v>
      </c>
      <c r="Q2295" s="72"/>
      <c r="R2295" s="162"/>
      <c r="S2295" s="146" t="s">
        <v>7833</v>
      </c>
      <c r="T2295" s="68" t="s">
        <v>165</v>
      </c>
      <c r="U2295" s="87"/>
      <c r="V2295" s="183"/>
      <c r="W2295" s="73">
        <v>120</v>
      </c>
      <c r="X2295" s="73">
        <f>24600*146/1000000</f>
        <v>3.5916000000000001</v>
      </c>
      <c r="Y2295" s="83">
        <f>IF(SUM(W2295:W2295)&gt;0,X2295/SUM(W2295:W2295)*1000000,"N/A")</f>
        <v>29930</v>
      </c>
      <c r="Z2295" s="183"/>
      <c r="AA2295" s="183"/>
      <c r="AB2295" s="223"/>
      <c r="AC2295" s="153"/>
      <c r="AD2295" s="331"/>
      <c r="AE2295" s="57"/>
      <c r="AF2295" s="88"/>
      <c r="AG2295" s="182">
        <f>YEAR(D2295)</f>
        <v>2015</v>
      </c>
      <c r="AH2295" s="86" t="str">
        <f>+IF(AE2295=$AJ$22,MONTH(T2295),"")</f>
        <v/>
      </c>
      <c r="AI2295" s="86" t="str">
        <f>+IF(AF2295=$AJ$22,MONTH(U2295),"")</f>
        <v/>
      </c>
      <c r="AJ2295" s="86" t="str">
        <f>+IF(AG2295=$AJ$22,MONTH(V2295),"")</f>
        <v/>
      </c>
      <c r="AK2295" s="86" t="str">
        <f>+IF(AG2295=$AK$22,MONTH(V2295),"")</f>
        <v/>
      </c>
      <c r="AL2295" s="86" t="str">
        <f>+IF(AG2295=$AL$22,MONTH(V2295),"")</f>
        <v/>
      </c>
      <c r="AM2295" s="86" t="str">
        <f>+IF($AG2295=$AM$22,MONTH($D2295),"")</f>
        <v/>
      </c>
      <c r="AN2295" s="89" t="str">
        <f>+IF($AG2295=AN$22,MONTH($D2295),"")</f>
        <v/>
      </c>
      <c r="AO2295" s="86" t="str">
        <f>+IF($AG2295=AO$22,MONTH($D2295),"")</f>
        <v/>
      </c>
      <c r="AP2295" s="86" t="str">
        <f>+IF($AG2295=AP$22,MONTH($D2295),"")</f>
        <v/>
      </c>
      <c r="AQ2295" s="86" t="str">
        <f>+IF($AG2295=AQ$22,MONTH($D2295),"")</f>
        <v/>
      </c>
      <c r="AR2295" s="86" t="str">
        <f>+IF($AG2295=AR$22,MONTH($D2295),"")</f>
        <v/>
      </c>
      <c r="AS2295" s="86">
        <f>+IF($AG2295=AS$22,MONTH($D2295),"")</f>
        <v>8</v>
      </c>
      <c r="AT2295" s="86" t="str">
        <f>+IF($AG2295=AT$22,MONTH($D2295),"")</f>
        <v/>
      </c>
      <c r="AU2295" s="86" t="str">
        <f>+IF($AG2295=AU$22,MONTH($D2295),"")</f>
        <v/>
      </c>
      <c r="AV2295" s="86" t="str">
        <f>+IF($AG2295=AV$22,MONTH($D2295),"")</f>
        <v/>
      </c>
      <c r="AW2295" s="86" t="str">
        <f>+IF($AG2295=AW$22,MONTH($D2295),"")</f>
        <v/>
      </c>
      <c r="AX2295" s="86" t="str">
        <f>+IF($AG2295=AX$22,MONTH($D2295),"")</f>
        <v/>
      </c>
      <c r="AY2295" s="89"/>
      <c r="AZ2295" s="89"/>
      <c r="BA2295" s="89"/>
      <c r="BB2295" s="89"/>
      <c r="BC2295" s="89"/>
      <c r="BD2295" s="89"/>
      <c r="BE2295" s="89"/>
      <c r="BF2295" s="89"/>
      <c r="BG2295" s="89"/>
      <c r="BH2295" s="89"/>
      <c r="BI2295" s="89"/>
      <c r="BJ2295" s="89"/>
      <c r="BK2295" s="89"/>
      <c r="BL2295" s="89"/>
      <c r="BM2295" s="89"/>
      <c r="BN2295" s="89"/>
      <c r="BO2295" s="89"/>
      <c r="BP2295" s="89"/>
    </row>
    <row r="2296" spans="1:68" s="56" customFormat="1" ht="27" hidden="1">
      <c r="A2296" s="204">
        <f>+IFERROR(VALUE(MID(AB2296,4,4)),"")</f>
        <v>113</v>
      </c>
      <c r="B2296" s="204">
        <f>VALUE(RIGHT(C2296,LEN(C2296)-2))</f>
        <v>429</v>
      </c>
      <c r="C2296" s="74" t="s">
        <v>7834</v>
      </c>
      <c r="D2296" s="75">
        <v>42200</v>
      </c>
      <c r="E2296" s="70" t="s">
        <v>332</v>
      </c>
      <c r="F2296" s="82" t="s">
        <v>332</v>
      </c>
      <c r="G2296" s="68" t="s">
        <v>7835</v>
      </c>
      <c r="H2296" s="59"/>
      <c r="I2296" s="162" t="s">
        <v>7836</v>
      </c>
      <c r="J2296" s="162"/>
      <c r="K2296" s="68" t="s">
        <v>31</v>
      </c>
      <c r="L2296" s="69" t="s">
        <v>120</v>
      </c>
      <c r="M2296" s="71" t="s">
        <v>141</v>
      </c>
      <c r="N2296" s="69" t="e" vm="1">
        <v>#VALUE!</v>
      </c>
      <c r="O2296" s="164"/>
      <c r="P2296" s="72" t="s">
        <v>5018</v>
      </c>
      <c r="Q2296" s="72"/>
      <c r="R2296" s="162"/>
      <c r="S2296" s="146"/>
      <c r="T2296" s="68" t="s">
        <v>3</v>
      </c>
      <c r="U2296" s="87"/>
      <c r="V2296" s="183"/>
      <c r="W2296" s="73">
        <v>252</v>
      </c>
      <c r="X2296" s="73">
        <f>24600*295/1000000</f>
        <v>7.2569999999999997</v>
      </c>
      <c r="Y2296" s="83">
        <f>IF(SUM(W2296:W2296)&gt;0,X2296/SUM(W2296:W2296)*1000000,"N/A")</f>
        <v>28797.619047619046</v>
      </c>
      <c r="Z2296" s="183"/>
      <c r="AA2296" s="183"/>
      <c r="AB2296" s="223" t="s">
        <v>7837</v>
      </c>
      <c r="AC2296" s="153"/>
      <c r="AD2296" s="331"/>
      <c r="AE2296" s="57"/>
      <c r="AF2296" s="88"/>
      <c r="AG2296" s="182">
        <f>YEAR(D2296)</f>
        <v>2015</v>
      </c>
      <c r="AH2296" s="86" t="str">
        <f>+IF(AE2296=$AJ$22,MONTH(T2296),"")</f>
        <v/>
      </c>
      <c r="AI2296" s="86" t="str">
        <f>+IF(AF2296=$AJ$22,MONTH(U2296),"")</f>
        <v/>
      </c>
      <c r="AJ2296" s="86" t="str">
        <f>+IF(AG2296=$AJ$22,MONTH(V2296),"")</f>
        <v/>
      </c>
      <c r="AK2296" s="86" t="str">
        <f>+IF(AG2296=$AK$22,MONTH(V2296),"")</f>
        <v/>
      </c>
      <c r="AL2296" s="86" t="str">
        <f>+IF(AG2296=$AL$22,MONTH(V2296),"")</f>
        <v/>
      </c>
      <c r="AM2296" s="86" t="str">
        <f>+IF($AG2296=$AM$22,MONTH($D2296),"")</f>
        <v/>
      </c>
      <c r="AN2296" s="89" t="str">
        <f>+IF($AG2296=AN$22,MONTH($D2296),"")</f>
        <v/>
      </c>
      <c r="AO2296" s="86" t="str">
        <f>+IF($AG2296=AO$22,MONTH($D2296),"")</f>
        <v/>
      </c>
      <c r="AP2296" s="86" t="str">
        <f>+IF($AG2296=AP$22,MONTH($D2296),"")</f>
        <v/>
      </c>
      <c r="AQ2296" s="86" t="str">
        <f>+IF($AG2296=AQ$22,MONTH($D2296),"")</f>
        <v/>
      </c>
      <c r="AR2296" s="86" t="str">
        <f>+IF($AG2296=AR$22,MONTH($D2296),"")</f>
        <v/>
      </c>
      <c r="AS2296" s="86">
        <f>+IF($AG2296=AS$22,MONTH($D2296),"")</f>
        <v>7</v>
      </c>
      <c r="AT2296" s="86" t="str">
        <f>+IF($AG2296=AT$22,MONTH($D2296),"")</f>
        <v/>
      </c>
      <c r="AU2296" s="86" t="str">
        <f>+IF($AG2296=AU$22,MONTH($D2296),"")</f>
        <v/>
      </c>
      <c r="AV2296" s="86" t="str">
        <f>+IF($AG2296=AV$22,MONTH($D2296),"")</f>
        <v/>
      </c>
      <c r="AW2296" s="86" t="str">
        <f>+IF($AG2296=AW$22,MONTH($D2296),"")</f>
        <v/>
      </c>
      <c r="AX2296" s="86" t="str">
        <f>+IF($AG2296=AX$22,MONTH($D2296),"")</f>
        <v/>
      </c>
      <c r="AY2296" s="89"/>
      <c r="AZ2296" s="89"/>
      <c r="BA2296" s="89"/>
      <c r="BB2296" s="89"/>
      <c r="BC2296" s="89"/>
      <c r="BD2296" s="89"/>
      <c r="BE2296" s="89"/>
      <c r="BF2296" s="89"/>
      <c r="BG2296" s="89"/>
      <c r="BH2296" s="89"/>
      <c r="BI2296" s="89"/>
      <c r="BJ2296" s="89"/>
      <c r="BK2296" s="89"/>
      <c r="BL2296" s="89"/>
      <c r="BM2296" s="89"/>
      <c r="BN2296" s="89"/>
      <c r="BO2296" s="89"/>
      <c r="BP2296" s="89"/>
    </row>
    <row r="2297" spans="1:68" s="56" customFormat="1" ht="27" hidden="1">
      <c r="A2297" s="204" t="str">
        <f>+IFERROR(VALUE(MID(AB2297,4,4)),"")</f>
        <v/>
      </c>
      <c r="B2297" s="204">
        <f>VALUE(RIGHT(C2297,LEN(C2297)-2))</f>
        <v>428</v>
      </c>
      <c r="C2297" s="74" t="s">
        <v>7838</v>
      </c>
      <c r="D2297" s="75">
        <v>42216</v>
      </c>
      <c r="E2297" s="70" t="s">
        <v>848</v>
      </c>
      <c r="F2297" s="70" t="s">
        <v>848</v>
      </c>
      <c r="G2297" s="68" t="s">
        <v>7839</v>
      </c>
      <c r="H2297" s="59"/>
      <c r="I2297" s="162" t="s">
        <v>7840</v>
      </c>
      <c r="J2297" s="162"/>
      <c r="K2297" s="68"/>
      <c r="L2297" s="69" t="s">
        <v>120</v>
      </c>
      <c r="M2297" s="71" t="s">
        <v>141</v>
      </c>
      <c r="N2297" s="69" t="e" vm="1">
        <v>#VALUE!</v>
      </c>
      <c r="O2297" s="164">
        <v>42216</v>
      </c>
      <c r="P2297" s="72" t="s">
        <v>402</v>
      </c>
      <c r="Q2297" s="72"/>
      <c r="R2297" s="162"/>
      <c r="S2297" s="146"/>
      <c r="T2297" s="68" t="s">
        <v>165</v>
      </c>
      <c r="U2297" s="87"/>
      <c r="V2297" s="183">
        <v>42233</v>
      </c>
      <c r="W2297" s="73">
        <v>317</v>
      </c>
      <c r="X2297" s="73">
        <f>24600*516/1000000</f>
        <v>12.6936</v>
      </c>
      <c r="Y2297" s="83">
        <f>IF(SUM(W2297:W2297)&gt;0,X2297/SUM(W2297:W2297)*1000000,"N/A")</f>
        <v>40042.902208201893</v>
      </c>
      <c r="Z2297" s="183"/>
      <c r="AA2297" s="183"/>
      <c r="AB2297" s="223"/>
      <c r="AC2297" s="153"/>
      <c r="AD2297" s="331"/>
      <c r="AE2297" s="57"/>
      <c r="AF2297" s="88"/>
      <c r="AG2297" s="182">
        <f>YEAR(D2297)</f>
        <v>2015</v>
      </c>
      <c r="AH2297" s="86" t="str">
        <f>+IF(AE2297=$AJ$22,MONTH(T2297),"")</f>
        <v/>
      </c>
      <c r="AI2297" s="86" t="str">
        <f>+IF(AF2297=$AJ$22,MONTH(U2297),"")</f>
        <v/>
      </c>
      <c r="AJ2297" s="86" t="str">
        <f>+IF(AG2297=$AJ$22,MONTH(V2297),"")</f>
        <v/>
      </c>
      <c r="AK2297" s="86" t="str">
        <f>+IF(AG2297=$AK$22,MONTH(V2297),"")</f>
        <v/>
      </c>
      <c r="AL2297" s="86" t="str">
        <f>+IF(AG2297=$AL$22,MONTH(V2297),"")</f>
        <v/>
      </c>
      <c r="AM2297" s="86" t="str">
        <f>+IF($AG2297=$AM$22,MONTH($D2297),"")</f>
        <v/>
      </c>
      <c r="AN2297" s="89" t="str">
        <f>+IF($AG2297=AN$22,MONTH($D2297),"")</f>
        <v/>
      </c>
      <c r="AO2297" s="86" t="str">
        <f>+IF($AG2297=AO$22,MONTH($D2297),"")</f>
        <v/>
      </c>
      <c r="AP2297" s="86" t="str">
        <f>+IF($AG2297=AP$22,MONTH($D2297),"")</f>
        <v/>
      </c>
      <c r="AQ2297" s="86" t="str">
        <f>+IF($AG2297=AQ$22,MONTH($D2297),"")</f>
        <v/>
      </c>
      <c r="AR2297" s="86" t="str">
        <f>+IF($AG2297=AR$22,MONTH($D2297),"")</f>
        <v/>
      </c>
      <c r="AS2297" s="86">
        <f>+IF($AG2297=AS$22,MONTH($D2297),"")</f>
        <v>7</v>
      </c>
      <c r="AT2297" s="86" t="str">
        <f>+IF($AG2297=AT$22,MONTH($D2297),"")</f>
        <v/>
      </c>
      <c r="AU2297" s="86" t="str">
        <f>+IF($AG2297=AU$22,MONTH($D2297),"")</f>
        <v/>
      </c>
      <c r="AV2297" s="86" t="str">
        <f>+IF($AG2297=AV$22,MONTH($D2297),"")</f>
        <v/>
      </c>
      <c r="AW2297" s="86" t="str">
        <f>+IF($AG2297=AW$22,MONTH($D2297),"")</f>
        <v/>
      </c>
      <c r="AX2297" s="86" t="str">
        <f>+IF($AG2297=AX$22,MONTH($D2297),"")</f>
        <v/>
      </c>
      <c r="AY2297" s="89"/>
      <c r="AZ2297" s="89"/>
      <c r="BA2297" s="89"/>
      <c r="BB2297" s="89"/>
      <c r="BC2297" s="89"/>
      <c r="BD2297" s="89"/>
      <c r="BE2297" s="89"/>
      <c r="BF2297" s="89"/>
      <c r="BG2297" s="89"/>
      <c r="BH2297" s="89"/>
      <c r="BI2297" s="89"/>
      <c r="BJ2297" s="89"/>
      <c r="BK2297" s="89"/>
      <c r="BL2297" s="89"/>
      <c r="BM2297" s="89"/>
      <c r="BN2297" s="89"/>
      <c r="BO2297" s="89"/>
      <c r="BP2297" s="89"/>
    </row>
    <row r="2298" spans="1:68" s="56" customFormat="1" ht="27" hidden="1">
      <c r="A2298" s="204" t="str">
        <f>+IFERROR(VALUE(MID(AB2298,4,4)),"")</f>
        <v/>
      </c>
      <c r="B2298" s="204">
        <f>VALUE(RIGHT(C2298,LEN(C2298)-2))</f>
        <v>427</v>
      </c>
      <c r="C2298" s="74" t="s">
        <v>7841</v>
      </c>
      <c r="D2298" s="75">
        <v>42213</v>
      </c>
      <c r="E2298" s="70" t="s">
        <v>332</v>
      </c>
      <c r="F2298" s="70" t="s">
        <v>332</v>
      </c>
      <c r="G2298" s="68" t="s">
        <v>7842</v>
      </c>
      <c r="H2298" s="59" t="s">
        <v>7843</v>
      </c>
      <c r="I2298" s="162" t="s">
        <v>7844</v>
      </c>
      <c r="J2298" s="162"/>
      <c r="K2298" s="68" t="s">
        <v>31</v>
      </c>
      <c r="L2298" s="69" t="s">
        <v>120</v>
      </c>
      <c r="M2298" s="71" t="s">
        <v>141</v>
      </c>
      <c r="N2298" s="69" t="e" vm="1">
        <v>#VALUE!</v>
      </c>
      <c r="O2298" s="164">
        <v>42213</v>
      </c>
      <c r="P2298" s="72" t="s">
        <v>7465</v>
      </c>
      <c r="Q2298" s="72"/>
      <c r="R2298" s="162"/>
      <c r="S2298" s="146"/>
      <c r="T2298" s="68" t="s">
        <v>165</v>
      </c>
      <c r="U2298" s="87"/>
      <c r="V2298" s="183">
        <v>42233</v>
      </c>
      <c r="W2298" s="73">
        <v>456</v>
      </c>
      <c r="X2298" s="73">
        <f>704*24600/1000000</f>
        <v>17.3184</v>
      </c>
      <c r="Y2298" s="83">
        <f>IF(SUM(W2298:W2298)&gt;0,X2298/SUM(W2298:W2298)*1000000,"N/A")</f>
        <v>37978.947368421053</v>
      </c>
      <c r="Z2298" s="183"/>
      <c r="AA2298" s="183"/>
      <c r="AB2298" s="223"/>
      <c r="AC2298" s="153"/>
      <c r="AD2298" s="331"/>
      <c r="AE2298" s="57"/>
      <c r="AF2298" s="88"/>
      <c r="AG2298" s="182">
        <f>YEAR(D2298)</f>
        <v>2015</v>
      </c>
      <c r="AH2298" s="86" t="str">
        <f>+IF(AE2298=$AJ$22,MONTH(T2298),"")</f>
        <v/>
      </c>
      <c r="AI2298" s="86" t="str">
        <f>+IF(AF2298=$AJ$22,MONTH(U2298),"")</f>
        <v/>
      </c>
      <c r="AJ2298" s="86" t="str">
        <f>+IF(AG2298=$AJ$22,MONTH(V2298),"")</f>
        <v/>
      </c>
      <c r="AK2298" s="86" t="str">
        <f>+IF(AG2298=$AK$22,MONTH(V2298),"")</f>
        <v/>
      </c>
      <c r="AL2298" s="86" t="str">
        <f>+IF(AG2298=$AL$22,MONTH(V2298),"")</f>
        <v/>
      </c>
      <c r="AM2298" s="86" t="str">
        <f>+IF($AG2298=$AM$22,MONTH($D2298),"")</f>
        <v/>
      </c>
      <c r="AN2298" s="89" t="str">
        <f>+IF($AG2298=AN$22,MONTH($D2298),"")</f>
        <v/>
      </c>
      <c r="AO2298" s="86" t="str">
        <f>+IF($AG2298=AO$22,MONTH($D2298),"")</f>
        <v/>
      </c>
      <c r="AP2298" s="86" t="str">
        <f>+IF($AG2298=AP$22,MONTH($D2298),"")</f>
        <v/>
      </c>
      <c r="AQ2298" s="86" t="str">
        <f>+IF($AG2298=AQ$22,MONTH($D2298),"")</f>
        <v/>
      </c>
      <c r="AR2298" s="86" t="str">
        <f>+IF($AG2298=AR$22,MONTH($D2298),"")</f>
        <v/>
      </c>
      <c r="AS2298" s="86">
        <f>+IF($AG2298=AS$22,MONTH($D2298),"")</f>
        <v>7</v>
      </c>
      <c r="AT2298" s="86" t="str">
        <f>+IF($AG2298=AT$22,MONTH($D2298),"")</f>
        <v/>
      </c>
      <c r="AU2298" s="86" t="str">
        <f>+IF($AG2298=AU$22,MONTH($D2298),"")</f>
        <v/>
      </c>
      <c r="AV2298" s="86" t="str">
        <f>+IF($AG2298=AV$22,MONTH($D2298),"")</f>
        <v/>
      </c>
      <c r="AW2298" s="86" t="str">
        <f>+IF($AG2298=AW$22,MONTH($D2298),"")</f>
        <v/>
      </c>
      <c r="AX2298" s="86" t="str">
        <f>+IF($AG2298=AX$22,MONTH($D2298),"")</f>
        <v/>
      </c>
      <c r="AY2298" s="89"/>
      <c r="AZ2298" s="89"/>
      <c r="BA2298" s="89"/>
      <c r="BB2298" s="89"/>
      <c r="BC2298" s="89"/>
      <c r="BD2298" s="89"/>
      <c r="BE2298" s="89"/>
      <c r="BF2298" s="89"/>
      <c r="BG2298" s="89"/>
      <c r="BH2298" s="89"/>
      <c r="BI2298" s="89"/>
      <c r="BJ2298" s="89"/>
      <c r="BK2298" s="89"/>
      <c r="BL2298" s="89"/>
      <c r="BM2298" s="89"/>
      <c r="BN2298" s="89"/>
      <c r="BO2298" s="89"/>
      <c r="BP2298" s="89"/>
    </row>
    <row r="2299" spans="1:68" s="56" customFormat="1" ht="13.5" hidden="1">
      <c r="A2299" s="204" t="str">
        <f>+IFERROR(VALUE(MID(AB2299,4,4)),"")</f>
        <v/>
      </c>
      <c r="B2299" s="204">
        <f>VALUE(RIGHT(C2299,LEN(C2299)-2))</f>
        <v>426</v>
      </c>
      <c r="C2299" s="74" t="s">
        <v>7845</v>
      </c>
      <c r="D2299" s="75">
        <v>42227</v>
      </c>
      <c r="E2299" s="70" t="s">
        <v>106</v>
      </c>
      <c r="F2299" s="70" t="s">
        <v>106</v>
      </c>
      <c r="G2299" s="68"/>
      <c r="H2299" s="59"/>
      <c r="I2299" s="162" t="s">
        <v>7846</v>
      </c>
      <c r="J2299" s="162"/>
      <c r="K2299" s="68" t="s">
        <v>13</v>
      </c>
      <c r="L2299" s="69" t="s">
        <v>123</v>
      </c>
      <c r="M2299" s="71" t="s">
        <v>141</v>
      </c>
      <c r="N2299" s="69" t="e" vm="1">
        <v>#VALUE!</v>
      </c>
      <c r="O2299" s="164">
        <v>42227</v>
      </c>
      <c r="P2299" s="72" t="s">
        <v>402</v>
      </c>
      <c r="Q2299" s="72"/>
      <c r="R2299" s="162"/>
      <c r="S2299" s="146"/>
      <c r="T2299" s="68" t="s">
        <v>165</v>
      </c>
      <c r="U2299" s="87"/>
      <c r="V2299" s="183">
        <v>42233</v>
      </c>
      <c r="W2299" s="73">
        <v>1284</v>
      </c>
      <c r="X2299" s="73">
        <f>1348*24600/1000000</f>
        <v>33.160800000000002</v>
      </c>
      <c r="Y2299" s="83">
        <f>IF(SUM(W2299:W2299)&gt;0,X2299/SUM(W2299:W2299)*1000000,"N/A")</f>
        <v>25826.168224299065</v>
      </c>
      <c r="Z2299" s="183"/>
      <c r="AA2299" s="183"/>
      <c r="AB2299" s="223"/>
      <c r="AC2299" s="153"/>
      <c r="AD2299" s="331"/>
      <c r="AE2299" s="57"/>
      <c r="AF2299" s="88"/>
      <c r="AG2299" s="182">
        <f>YEAR(D2299)</f>
        <v>2015</v>
      </c>
      <c r="AH2299" s="86" t="str">
        <f>+IF(AE2299=$AJ$22,MONTH(T2299),"")</f>
        <v/>
      </c>
      <c r="AI2299" s="86" t="str">
        <f>+IF(AF2299=$AJ$22,MONTH(U2299),"")</f>
        <v/>
      </c>
      <c r="AJ2299" s="86" t="str">
        <f>+IF(AG2299=$AJ$22,MONTH(V2299),"")</f>
        <v/>
      </c>
      <c r="AK2299" s="86" t="str">
        <f>+IF(AG2299=$AK$22,MONTH(V2299),"")</f>
        <v/>
      </c>
      <c r="AL2299" s="86" t="str">
        <f>+IF(AG2299=$AL$22,MONTH(V2299),"")</f>
        <v/>
      </c>
      <c r="AM2299" s="86" t="str">
        <f>+IF($AG2299=$AM$22,MONTH($D2299),"")</f>
        <v/>
      </c>
      <c r="AN2299" s="89" t="str">
        <f>+IF($AG2299=AN$22,MONTH($D2299),"")</f>
        <v/>
      </c>
      <c r="AO2299" s="86" t="str">
        <f>+IF($AG2299=AO$22,MONTH($D2299),"")</f>
        <v/>
      </c>
      <c r="AP2299" s="86" t="str">
        <f>+IF($AG2299=AP$22,MONTH($D2299),"")</f>
        <v/>
      </c>
      <c r="AQ2299" s="86" t="str">
        <f>+IF($AG2299=AQ$22,MONTH($D2299),"")</f>
        <v/>
      </c>
      <c r="AR2299" s="86" t="str">
        <f>+IF($AG2299=AR$22,MONTH($D2299),"")</f>
        <v/>
      </c>
      <c r="AS2299" s="86">
        <f>+IF($AG2299=AS$22,MONTH($D2299),"")</f>
        <v>8</v>
      </c>
      <c r="AT2299" s="86" t="str">
        <f>+IF($AG2299=AT$22,MONTH($D2299),"")</f>
        <v/>
      </c>
      <c r="AU2299" s="86" t="str">
        <f>+IF($AG2299=AU$22,MONTH($D2299),"")</f>
        <v/>
      </c>
      <c r="AV2299" s="86" t="str">
        <f>+IF($AG2299=AV$22,MONTH($D2299),"")</f>
        <v/>
      </c>
      <c r="AW2299" s="86" t="str">
        <f>+IF($AG2299=AW$22,MONTH($D2299),"")</f>
        <v/>
      </c>
      <c r="AX2299" s="86" t="str">
        <f>+IF($AG2299=AX$22,MONTH($D2299),"")</f>
        <v/>
      </c>
      <c r="AY2299" s="89"/>
      <c r="AZ2299" s="89"/>
      <c r="BA2299" s="89"/>
      <c r="BB2299" s="89"/>
      <c r="BC2299" s="89"/>
      <c r="BD2299" s="89"/>
      <c r="BE2299" s="89"/>
      <c r="BF2299" s="89"/>
      <c r="BG2299" s="89"/>
      <c r="BH2299" s="89"/>
      <c r="BI2299" s="89"/>
      <c r="BJ2299" s="89"/>
      <c r="BK2299" s="89"/>
      <c r="BL2299" s="89"/>
      <c r="BM2299" s="89"/>
      <c r="BN2299" s="89"/>
      <c r="BO2299" s="89"/>
      <c r="BP2299" s="89"/>
    </row>
    <row r="2300" spans="1:68" s="56" customFormat="1" ht="27" hidden="1">
      <c r="A2300" s="204">
        <f>+IFERROR(VALUE(MID(AB2300,4,4)),"")</f>
        <v>118</v>
      </c>
      <c r="B2300" s="204">
        <f>VALUE(RIGHT(C2300,LEN(C2300)-2))</f>
        <v>425</v>
      </c>
      <c r="C2300" s="74" t="s">
        <v>7847</v>
      </c>
      <c r="D2300" s="75">
        <v>42219</v>
      </c>
      <c r="E2300" s="70" t="s">
        <v>1321</v>
      </c>
      <c r="F2300" s="70" t="s">
        <v>2065</v>
      </c>
      <c r="G2300" s="68" t="s">
        <v>7848</v>
      </c>
      <c r="H2300" s="59"/>
      <c r="I2300" s="162" t="s">
        <v>7849</v>
      </c>
      <c r="J2300" s="162"/>
      <c r="K2300" s="68" t="s">
        <v>12</v>
      </c>
      <c r="L2300" s="69" t="s">
        <v>123</v>
      </c>
      <c r="M2300" s="71" t="s">
        <v>141</v>
      </c>
      <c r="N2300" s="69" t="e" vm="1">
        <v>#VALUE!</v>
      </c>
      <c r="O2300" s="164">
        <v>42219</v>
      </c>
      <c r="P2300" s="72" t="s">
        <v>402</v>
      </c>
      <c r="Q2300" s="72"/>
      <c r="R2300" s="162"/>
      <c r="S2300" s="146"/>
      <c r="T2300" s="68" t="s">
        <v>3</v>
      </c>
      <c r="U2300" s="87"/>
      <c r="V2300" s="183">
        <v>42233</v>
      </c>
      <c r="W2300" s="73">
        <v>570</v>
      </c>
      <c r="X2300" s="73">
        <f>942*24600/1000000</f>
        <v>23.173200000000001</v>
      </c>
      <c r="Y2300" s="83">
        <f>IF(SUM(W2300:W2300)&gt;0,X2300/SUM(W2300:W2300)*1000000,"N/A")</f>
        <v>40654.736842105267</v>
      </c>
      <c r="Z2300" s="183"/>
      <c r="AA2300" s="183"/>
      <c r="AB2300" s="223" t="s">
        <v>7850</v>
      </c>
      <c r="AC2300" s="153"/>
      <c r="AD2300" s="331"/>
      <c r="AE2300" s="57"/>
      <c r="AF2300" s="88"/>
      <c r="AG2300" s="182">
        <f>YEAR(D2300)</f>
        <v>2015</v>
      </c>
      <c r="AH2300" s="86" t="str">
        <f>+IF(AE2300=$AJ$22,MONTH(T2300),"")</f>
        <v/>
      </c>
      <c r="AI2300" s="86" t="str">
        <f>+IF(AF2300=$AJ$22,MONTH(U2300),"")</f>
        <v/>
      </c>
      <c r="AJ2300" s="86" t="str">
        <f>+IF(AG2300=$AJ$22,MONTH(V2300),"")</f>
        <v/>
      </c>
      <c r="AK2300" s="86" t="str">
        <f>+IF(AG2300=$AK$22,MONTH(V2300),"")</f>
        <v/>
      </c>
      <c r="AL2300" s="86" t="str">
        <f>+IF(AG2300=$AL$22,MONTH(V2300),"")</f>
        <v/>
      </c>
      <c r="AM2300" s="86" t="str">
        <f>+IF($AG2300=$AM$22,MONTH($D2300),"")</f>
        <v/>
      </c>
      <c r="AN2300" s="89" t="str">
        <f>+IF($AG2300=AN$22,MONTH($D2300),"")</f>
        <v/>
      </c>
      <c r="AO2300" s="86" t="str">
        <f>+IF($AG2300=AO$22,MONTH($D2300),"")</f>
        <v/>
      </c>
      <c r="AP2300" s="86" t="str">
        <f>+IF($AG2300=AP$22,MONTH($D2300),"")</f>
        <v/>
      </c>
      <c r="AQ2300" s="86" t="str">
        <f>+IF($AG2300=AQ$22,MONTH($D2300),"")</f>
        <v/>
      </c>
      <c r="AR2300" s="86" t="str">
        <f>+IF($AG2300=AR$22,MONTH($D2300),"")</f>
        <v/>
      </c>
      <c r="AS2300" s="86">
        <f>+IF($AG2300=AS$22,MONTH($D2300),"")</f>
        <v>8</v>
      </c>
      <c r="AT2300" s="86" t="str">
        <f>+IF($AG2300=AT$22,MONTH($D2300),"")</f>
        <v/>
      </c>
      <c r="AU2300" s="86" t="str">
        <f>+IF($AG2300=AU$22,MONTH($D2300),"")</f>
        <v/>
      </c>
      <c r="AV2300" s="86" t="str">
        <f>+IF($AG2300=AV$22,MONTH($D2300),"")</f>
        <v/>
      </c>
      <c r="AW2300" s="86" t="str">
        <f>+IF($AG2300=AW$22,MONTH($D2300),"")</f>
        <v/>
      </c>
      <c r="AX2300" s="86" t="str">
        <f>+IF($AG2300=AX$22,MONTH($D2300),"")</f>
        <v/>
      </c>
      <c r="AY2300" s="89"/>
      <c r="AZ2300" s="89"/>
      <c r="BA2300" s="89"/>
      <c r="BB2300" s="89"/>
      <c r="BC2300" s="89"/>
      <c r="BD2300" s="89"/>
      <c r="BE2300" s="89"/>
      <c r="BF2300" s="89"/>
      <c r="BG2300" s="89"/>
      <c r="BH2300" s="89"/>
      <c r="BI2300" s="89"/>
      <c r="BJ2300" s="89"/>
      <c r="BK2300" s="89"/>
      <c r="BL2300" s="89"/>
      <c r="BM2300" s="89"/>
      <c r="BN2300" s="89"/>
      <c r="BO2300" s="89"/>
      <c r="BP2300" s="89"/>
    </row>
    <row r="2301" spans="1:68" s="56" customFormat="1" ht="13.5" hidden="1">
      <c r="A2301" s="204" t="str">
        <f>+IFERROR(VALUE(MID(AB2301,4,4)),"")</f>
        <v/>
      </c>
      <c r="B2301" s="204">
        <f>VALUE(RIGHT(C2301,LEN(C2301)-2))</f>
        <v>424</v>
      </c>
      <c r="C2301" s="74" t="s">
        <v>7851</v>
      </c>
      <c r="D2301" s="75">
        <v>42219</v>
      </c>
      <c r="E2301" s="70" t="s">
        <v>106</v>
      </c>
      <c r="F2301" s="70" t="s">
        <v>106</v>
      </c>
      <c r="G2301" s="68"/>
      <c r="H2301" s="59"/>
      <c r="I2301" s="162" t="s">
        <v>7852</v>
      </c>
      <c r="J2301" s="162"/>
      <c r="K2301" s="68" t="s">
        <v>11</v>
      </c>
      <c r="L2301" s="69" t="s">
        <v>123</v>
      </c>
      <c r="M2301" s="71" t="s">
        <v>141</v>
      </c>
      <c r="N2301" s="69" t="e" vm="1">
        <v>#VALUE!</v>
      </c>
      <c r="O2301" s="164">
        <v>42219</v>
      </c>
      <c r="P2301" s="72" t="s">
        <v>402</v>
      </c>
      <c r="Q2301" s="72"/>
      <c r="R2301" s="162"/>
      <c r="S2301" s="146"/>
      <c r="T2301" s="68" t="s">
        <v>165</v>
      </c>
      <c r="U2301" s="87"/>
      <c r="V2301" s="183">
        <v>42233</v>
      </c>
      <c r="W2301" s="73">
        <v>4504</v>
      </c>
      <c r="X2301" s="73">
        <f>5807.77*24600/1000000</f>
        <v>142.87114199999999</v>
      </c>
      <c r="Y2301" s="83">
        <f>IF(SUM(W2301:W2301)&gt;0,X2301/SUM(W2301:W2301)*1000000,"N/A")</f>
        <v>31720.946269982236</v>
      </c>
      <c r="Z2301" s="183"/>
      <c r="AA2301" s="183"/>
      <c r="AB2301" s="223"/>
      <c r="AC2301" s="153"/>
      <c r="AD2301" s="331"/>
      <c r="AE2301" s="57"/>
      <c r="AF2301" s="88"/>
      <c r="AG2301" s="182">
        <f>YEAR(D2301)</f>
        <v>2015</v>
      </c>
      <c r="AH2301" s="86" t="str">
        <f>+IF(AE2301=$AJ$22,MONTH(T2301),"")</f>
        <v/>
      </c>
      <c r="AI2301" s="86" t="str">
        <f>+IF(AF2301=$AJ$22,MONTH(U2301),"")</f>
        <v/>
      </c>
      <c r="AJ2301" s="86" t="str">
        <f>+IF(AG2301=$AJ$22,MONTH(V2301),"")</f>
        <v/>
      </c>
      <c r="AK2301" s="86" t="str">
        <f>+IF(AG2301=$AK$22,MONTH(V2301),"")</f>
        <v/>
      </c>
      <c r="AL2301" s="86" t="str">
        <f>+IF(AG2301=$AL$22,MONTH(V2301),"")</f>
        <v/>
      </c>
      <c r="AM2301" s="86" t="str">
        <f>+IF($AG2301=$AM$22,MONTH($D2301),"")</f>
        <v/>
      </c>
      <c r="AN2301" s="89" t="str">
        <f>+IF($AG2301=AN$22,MONTH($D2301),"")</f>
        <v/>
      </c>
      <c r="AO2301" s="86" t="str">
        <f>+IF($AG2301=AO$22,MONTH($D2301),"")</f>
        <v/>
      </c>
      <c r="AP2301" s="86" t="str">
        <f>+IF($AG2301=AP$22,MONTH($D2301),"")</f>
        <v/>
      </c>
      <c r="AQ2301" s="86" t="str">
        <f>+IF($AG2301=AQ$22,MONTH($D2301),"")</f>
        <v/>
      </c>
      <c r="AR2301" s="86" t="str">
        <f>+IF($AG2301=AR$22,MONTH($D2301),"")</f>
        <v/>
      </c>
      <c r="AS2301" s="86">
        <f>+IF($AG2301=AS$22,MONTH($D2301),"")</f>
        <v>8</v>
      </c>
      <c r="AT2301" s="86" t="str">
        <f>+IF($AG2301=AT$22,MONTH($D2301),"")</f>
        <v/>
      </c>
      <c r="AU2301" s="86" t="str">
        <f>+IF($AG2301=AU$22,MONTH($D2301),"")</f>
        <v/>
      </c>
      <c r="AV2301" s="86" t="str">
        <f>+IF($AG2301=AV$22,MONTH($D2301),"")</f>
        <v/>
      </c>
      <c r="AW2301" s="86" t="str">
        <f>+IF($AG2301=AW$22,MONTH($D2301),"")</f>
        <v/>
      </c>
      <c r="AX2301" s="86" t="str">
        <f>+IF($AG2301=AX$22,MONTH($D2301),"")</f>
        <v/>
      </c>
      <c r="AY2301" s="89"/>
      <c r="AZ2301" s="89"/>
      <c r="BA2301" s="89"/>
      <c r="BB2301" s="89"/>
      <c r="BC2301" s="89"/>
      <c r="BD2301" s="89"/>
      <c r="BE2301" s="89"/>
      <c r="BF2301" s="89"/>
      <c r="BG2301" s="89"/>
      <c r="BH2301" s="89"/>
      <c r="BI2301" s="89"/>
      <c r="BJ2301" s="89"/>
      <c r="BK2301" s="89"/>
      <c r="BL2301" s="89"/>
      <c r="BM2301" s="89"/>
      <c r="BN2301" s="89"/>
      <c r="BO2301" s="89"/>
      <c r="BP2301" s="89"/>
    </row>
    <row r="2302" spans="1:68" s="56" customFormat="1" ht="13.5" hidden="1">
      <c r="A2302" s="204" t="str">
        <f>+IFERROR(VALUE(MID(AB2302,4,4)),"")</f>
        <v/>
      </c>
      <c r="B2302" s="204">
        <f>VALUE(RIGHT(C2302,LEN(C2302)-2))</f>
        <v>423</v>
      </c>
      <c r="C2302" s="74" t="s">
        <v>7853</v>
      </c>
      <c r="D2302" s="75">
        <v>42200</v>
      </c>
      <c r="E2302" s="70" t="s">
        <v>332</v>
      </c>
      <c r="F2302" s="70" t="s">
        <v>332</v>
      </c>
      <c r="G2302" s="68" t="s">
        <v>285</v>
      </c>
      <c r="H2302" s="59" t="s">
        <v>7401</v>
      </c>
      <c r="I2302" s="162" t="s">
        <v>7854</v>
      </c>
      <c r="J2302" s="162"/>
      <c r="K2302" s="68" t="s">
        <v>31</v>
      </c>
      <c r="L2302" s="69" t="s">
        <v>120</v>
      </c>
      <c r="M2302" s="71" t="s">
        <v>141</v>
      </c>
      <c r="N2302" s="69" t="e" vm="1">
        <v>#VALUE!</v>
      </c>
      <c r="O2302" s="164">
        <v>42200</v>
      </c>
      <c r="P2302" s="72" t="s">
        <v>402</v>
      </c>
      <c r="Q2302" s="72"/>
      <c r="R2302" s="162"/>
      <c r="S2302" s="146"/>
      <c r="T2302" s="68" t="s">
        <v>165</v>
      </c>
      <c r="U2302" s="87"/>
      <c r="V2302" s="183">
        <v>42233</v>
      </c>
      <c r="W2302" s="73">
        <v>110</v>
      </c>
      <c r="X2302" s="73">
        <f>210*24600/1000000</f>
        <v>5.1660000000000004</v>
      </c>
      <c r="Y2302" s="83">
        <f>IF(SUM(W2302:W2302)&gt;0,X2302/SUM(W2302:W2302)*1000000,"N/A")</f>
        <v>46963.636363636368</v>
      </c>
      <c r="Z2302" s="183"/>
      <c r="AA2302" s="183"/>
      <c r="AB2302" s="223"/>
      <c r="AC2302" s="153"/>
      <c r="AD2302" s="331"/>
      <c r="AE2302" s="57"/>
      <c r="AF2302" s="88"/>
      <c r="AG2302" s="182">
        <f>YEAR(D2302)</f>
        <v>2015</v>
      </c>
      <c r="AH2302" s="86" t="str">
        <f>+IF(AE2302=$AJ$22,MONTH(T2302),"")</f>
        <v/>
      </c>
      <c r="AI2302" s="86" t="str">
        <f>+IF(AF2302=$AJ$22,MONTH(U2302),"")</f>
        <v/>
      </c>
      <c r="AJ2302" s="86" t="str">
        <f>+IF(AG2302=$AJ$22,MONTH(V2302),"")</f>
        <v/>
      </c>
      <c r="AK2302" s="86" t="str">
        <f>+IF(AG2302=$AK$22,MONTH(V2302),"")</f>
        <v/>
      </c>
      <c r="AL2302" s="86" t="str">
        <f>+IF(AG2302=$AL$22,MONTH(V2302),"")</f>
        <v/>
      </c>
      <c r="AM2302" s="86" t="str">
        <f>+IF($AG2302=$AM$22,MONTH($D2302),"")</f>
        <v/>
      </c>
      <c r="AN2302" s="89" t="str">
        <f>+IF($AG2302=AN$22,MONTH($D2302),"")</f>
        <v/>
      </c>
      <c r="AO2302" s="86" t="str">
        <f>+IF($AG2302=AO$22,MONTH($D2302),"")</f>
        <v/>
      </c>
      <c r="AP2302" s="86" t="str">
        <f>+IF($AG2302=AP$22,MONTH($D2302),"")</f>
        <v/>
      </c>
      <c r="AQ2302" s="86" t="str">
        <f>+IF($AG2302=AQ$22,MONTH($D2302),"")</f>
        <v/>
      </c>
      <c r="AR2302" s="86" t="str">
        <f>+IF($AG2302=AR$22,MONTH($D2302),"")</f>
        <v/>
      </c>
      <c r="AS2302" s="86">
        <f>+IF($AG2302=AS$22,MONTH($D2302),"")</f>
        <v>7</v>
      </c>
      <c r="AT2302" s="86" t="str">
        <f>+IF($AG2302=AT$22,MONTH($D2302),"")</f>
        <v/>
      </c>
      <c r="AU2302" s="86" t="str">
        <f>+IF($AG2302=AU$22,MONTH($D2302),"")</f>
        <v/>
      </c>
      <c r="AV2302" s="86" t="str">
        <f>+IF($AG2302=AV$22,MONTH($D2302),"")</f>
        <v/>
      </c>
      <c r="AW2302" s="86" t="str">
        <f>+IF($AG2302=AW$22,MONTH($D2302),"")</f>
        <v/>
      </c>
      <c r="AX2302" s="86" t="str">
        <f>+IF($AG2302=AX$22,MONTH($D2302),"")</f>
        <v/>
      </c>
      <c r="AY2302" s="89"/>
      <c r="AZ2302" s="89"/>
      <c r="BA2302" s="89"/>
      <c r="BB2302" s="89"/>
      <c r="BC2302" s="89"/>
      <c r="BD2302" s="89"/>
      <c r="BE2302" s="89"/>
      <c r="BF2302" s="89"/>
      <c r="BG2302" s="89"/>
      <c r="BH2302" s="89"/>
      <c r="BI2302" s="89"/>
      <c r="BJ2302" s="89"/>
      <c r="BK2302" s="89"/>
      <c r="BL2302" s="89"/>
      <c r="BM2302" s="89"/>
      <c r="BN2302" s="89"/>
      <c r="BO2302" s="89"/>
      <c r="BP2302" s="89"/>
    </row>
    <row r="2303" spans="1:68" s="56" customFormat="1" ht="13.5" hidden="1">
      <c r="A2303" s="204" t="str">
        <f>+IFERROR(VALUE(MID(AB2303,4,4)),"")</f>
        <v/>
      </c>
      <c r="B2303" s="204">
        <f>VALUE(RIGHT(C2303,LEN(C2303)-2))</f>
        <v>422</v>
      </c>
      <c r="C2303" s="74" t="s">
        <v>7855</v>
      </c>
      <c r="D2303" s="75">
        <v>42187</v>
      </c>
      <c r="E2303" s="70" t="s">
        <v>332</v>
      </c>
      <c r="F2303" s="70" t="s">
        <v>332</v>
      </c>
      <c r="G2303" s="68" t="s">
        <v>285</v>
      </c>
      <c r="H2303" s="59" t="s">
        <v>7401</v>
      </c>
      <c r="I2303" s="162" t="s">
        <v>7856</v>
      </c>
      <c r="J2303" s="162"/>
      <c r="K2303" s="68" t="s">
        <v>31</v>
      </c>
      <c r="L2303" s="69" t="s">
        <v>120</v>
      </c>
      <c r="M2303" s="71" t="s">
        <v>141</v>
      </c>
      <c r="N2303" s="69" t="e" vm="1">
        <v>#VALUE!</v>
      </c>
      <c r="O2303" s="164">
        <v>42191</v>
      </c>
      <c r="P2303" s="72" t="s">
        <v>402</v>
      </c>
      <c r="Q2303" s="72"/>
      <c r="R2303" s="162"/>
      <c r="S2303" s="146"/>
      <c r="T2303" s="68" t="s">
        <v>165</v>
      </c>
      <c r="U2303" s="87"/>
      <c r="V2303" s="183">
        <v>42200</v>
      </c>
      <c r="W2303" s="73">
        <v>180</v>
      </c>
      <c r="X2303" s="73">
        <f>259*24600/1000000</f>
        <v>6.3714000000000004</v>
      </c>
      <c r="Y2303" s="83">
        <f>IF(SUM(W2303:W2303)&gt;0,X2303/SUM(W2303:W2303)*1000000,"N/A")</f>
        <v>35396.666666666664</v>
      </c>
      <c r="Z2303" s="183"/>
      <c r="AA2303" s="183"/>
      <c r="AB2303" s="223"/>
      <c r="AC2303" s="153"/>
      <c r="AD2303" s="331"/>
      <c r="AE2303" s="57"/>
      <c r="AF2303" s="88"/>
      <c r="AG2303" s="182">
        <f>YEAR(D2303)</f>
        <v>2015</v>
      </c>
      <c r="AH2303" s="86" t="str">
        <f>+IF(AE2303=$AJ$22,MONTH(T2303),"")</f>
        <v/>
      </c>
      <c r="AI2303" s="86" t="str">
        <f>+IF(AF2303=$AJ$22,MONTH(U2303),"")</f>
        <v/>
      </c>
      <c r="AJ2303" s="86" t="str">
        <f>+IF(AG2303=$AJ$22,MONTH(V2303),"")</f>
        <v/>
      </c>
      <c r="AK2303" s="86" t="str">
        <f>+IF(AG2303=$AK$22,MONTH(V2303),"")</f>
        <v/>
      </c>
      <c r="AL2303" s="86" t="str">
        <f>+IF(AG2303=$AL$22,MONTH(V2303),"")</f>
        <v/>
      </c>
      <c r="AM2303" s="86" t="str">
        <f>+IF($AG2303=$AM$22,MONTH($D2303),"")</f>
        <v/>
      </c>
      <c r="AN2303" s="89" t="str">
        <f>+IF($AG2303=AN$22,MONTH($D2303),"")</f>
        <v/>
      </c>
      <c r="AO2303" s="86" t="str">
        <f>+IF($AG2303=AO$22,MONTH($D2303),"")</f>
        <v/>
      </c>
      <c r="AP2303" s="86" t="str">
        <f>+IF($AG2303=AP$22,MONTH($D2303),"")</f>
        <v/>
      </c>
      <c r="AQ2303" s="86" t="str">
        <f>+IF($AG2303=AQ$22,MONTH($D2303),"")</f>
        <v/>
      </c>
      <c r="AR2303" s="86" t="str">
        <f>+IF($AG2303=AR$22,MONTH($D2303),"")</f>
        <v/>
      </c>
      <c r="AS2303" s="86">
        <f>+IF($AG2303=AS$22,MONTH($D2303),"")</f>
        <v>7</v>
      </c>
      <c r="AT2303" s="86" t="str">
        <f>+IF($AG2303=AT$22,MONTH($D2303),"")</f>
        <v/>
      </c>
      <c r="AU2303" s="86" t="str">
        <f>+IF($AG2303=AU$22,MONTH($D2303),"")</f>
        <v/>
      </c>
      <c r="AV2303" s="86" t="str">
        <f>+IF($AG2303=AV$22,MONTH($D2303),"")</f>
        <v/>
      </c>
      <c r="AW2303" s="86" t="str">
        <f>+IF($AG2303=AW$22,MONTH($D2303),"")</f>
        <v/>
      </c>
      <c r="AX2303" s="86" t="str">
        <f>+IF($AG2303=AX$22,MONTH($D2303),"")</f>
        <v/>
      </c>
      <c r="AY2303" s="89"/>
      <c r="AZ2303" s="89"/>
      <c r="BA2303" s="89"/>
      <c r="BB2303" s="89"/>
      <c r="BC2303" s="89"/>
      <c r="BD2303" s="89"/>
      <c r="BE2303" s="89"/>
      <c r="BF2303" s="89"/>
      <c r="BG2303" s="89"/>
      <c r="BH2303" s="89"/>
      <c r="BI2303" s="89"/>
      <c r="BJ2303" s="89"/>
      <c r="BK2303" s="89"/>
      <c r="BL2303" s="89"/>
      <c r="BM2303" s="89"/>
      <c r="BN2303" s="89"/>
      <c r="BO2303" s="89"/>
      <c r="BP2303" s="89"/>
    </row>
    <row r="2304" spans="1:68" s="56" customFormat="1" ht="27" hidden="1">
      <c r="A2304" s="204">
        <f>+IFERROR(VALUE(MID(AB2304,4,4)),"")</f>
        <v>113</v>
      </c>
      <c r="B2304" s="204">
        <f>VALUE(RIGHT(C2304,LEN(C2304)-2))</f>
        <v>421</v>
      </c>
      <c r="C2304" s="74" t="s">
        <v>7857</v>
      </c>
      <c r="D2304" s="75">
        <v>42187</v>
      </c>
      <c r="E2304" s="70" t="s">
        <v>332</v>
      </c>
      <c r="F2304" s="70" t="s">
        <v>332</v>
      </c>
      <c r="G2304" s="68" t="s">
        <v>285</v>
      </c>
      <c r="H2304" s="59" t="s">
        <v>7401</v>
      </c>
      <c r="I2304" s="162" t="s">
        <v>7858</v>
      </c>
      <c r="J2304" s="162"/>
      <c r="K2304" s="68" t="s">
        <v>31</v>
      </c>
      <c r="L2304" s="69" t="s">
        <v>120</v>
      </c>
      <c r="M2304" s="71" t="s">
        <v>141</v>
      </c>
      <c r="N2304" s="69" t="e" vm="1">
        <v>#VALUE!</v>
      </c>
      <c r="O2304" s="164">
        <v>42157</v>
      </c>
      <c r="P2304" s="72" t="s">
        <v>402</v>
      </c>
      <c r="Q2304" s="72"/>
      <c r="R2304" s="162"/>
      <c r="S2304" s="146"/>
      <c r="T2304" s="68" t="s">
        <v>3</v>
      </c>
      <c r="U2304" s="87"/>
      <c r="V2304" s="183">
        <v>42188</v>
      </c>
      <c r="W2304" s="73">
        <v>560</v>
      </c>
      <c r="X2304" s="73">
        <f>654*24600/1000000</f>
        <v>16.0884</v>
      </c>
      <c r="Y2304" s="83">
        <f>IF(SUM(W2304:W2304)&gt;0,X2304/SUM(W2304:W2304)*1000000,"N/A")</f>
        <v>28729.285714285714</v>
      </c>
      <c r="Z2304" s="183"/>
      <c r="AA2304" s="183"/>
      <c r="AB2304" s="223" t="s">
        <v>7859</v>
      </c>
      <c r="AC2304" s="153"/>
      <c r="AD2304" s="331"/>
      <c r="AE2304" s="57"/>
      <c r="AF2304" s="88"/>
      <c r="AG2304" s="182">
        <f>YEAR(D2304)</f>
        <v>2015</v>
      </c>
      <c r="AH2304" s="86" t="str">
        <f>+IF(AE2304=$AJ$22,MONTH(T2304),"")</f>
        <v/>
      </c>
      <c r="AI2304" s="86" t="str">
        <f>+IF(AF2304=$AJ$22,MONTH(U2304),"")</f>
        <v/>
      </c>
      <c r="AJ2304" s="86" t="str">
        <f>+IF(AG2304=$AJ$22,MONTH(V2304),"")</f>
        <v/>
      </c>
      <c r="AK2304" s="86" t="str">
        <f>+IF(AG2304=$AK$22,MONTH(V2304),"")</f>
        <v/>
      </c>
      <c r="AL2304" s="86" t="str">
        <f>+IF(AG2304=$AL$22,MONTH(V2304),"")</f>
        <v/>
      </c>
      <c r="AM2304" s="86" t="str">
        <f>+IF($AG2304=$AM$22,MONTH($D2304),"")</f>
        <v/>
      </c>
      <c r="AN2304" s="89" t="str">
        <f>+IF($AG2304=AN$22,MONTH($D2304),"")</f>
        <v/>
      </c>
      <c r="AO2304" s="86" t="str">
        <f>+IF($AG2304=AO$22,MONTH($D2304),"")</f>
        <v/>
      </c>
      <c r="AP2304" s="86" t="str">
        <f>+IF($AG2304=AP$22,MONTH($D2304),"")</f>
        <v/>
      </c>
      <c r="AQ2304" s="86" t="str">
        <f>+IF($AG2304=AQ$22,MONTH($D2304),"")</f>
        <v/>
      </c>
      <c r="AR2304" s="86" t="str">
        <f>+IF($AG2304=AR$22,MONTH($D2304),"")</f>
        <v/>
      </c>
      <c r="AS2304" s="86">
        <f>+IF($AG2304=AS$22,MONTH($D2304),"")</f>
        <v>7</v>
      </c>
      <c r="AT2304" s="86" t="str">
        <f>+IF($AG2304=AT$22,MONTH($D2304),"")</f>
        <v/>
      </c>
      <c r="AU2304" s="86" t="str">
        <f>+IF($AG2304=AU$22,MONTH($D2304),"")</f>
        <v/>
      </c>
      <c r="AV2304" s="86" t="str">
        <f>+IF($AG2304=AV$22,MONTH($D2304),"")</f>
        <v/>
      </c>
      <c r="AW2304" s="86" t="str">
        <f>+IF($AG2304=AW$22,MONTH($D2304),"")</f>
        <v/>
      </c>
      <c r="AX2304" s="86" t="str">
        <f>+IF($AG2304=AX$22,MONTH($D2304),"")</f>
        <v/>
      </c>
      <c r="AY2304" s="89"/>
      <c r="AZ2304" s="89"/>
      <c r="BA2304" s="89"/>
      <c r="BB2304" s="89"/>
      <c r="BC2304" s="89"/>
      <c r="BD2304" s="89"/>
      <c r="BE2304" s="89"/>
      <c r="BF2304" s="89"/>
      <c r="BG2304" s="89"/>
      <c r="BH2304" s="89"/>
      <c r="BI2304" s="89"/>
      <c r="BJ2304" s="89"/>
      <c r="BK2304" s="89"/>
      <c r="BL2304" s="89"/>
      <c r="BM2304" s="89"/>
      <c r="BN2304" s="89"/>
      <c r="BO2304" s="89"/>
      <c r="BP2304" s="89"/>
    </row>
    <row r="2305" spans="1:68" s="56" customFormat="1" ht="13.5" hidden="1">
      <c r="A2305" s="204">
        <f>+IFERROR(VALUE(MID(AB2305,4,4)),"")</f>
        <v>119</v>
      </c>
      <c r="B2305" s="204">
        <f>VALUE(RIGHT(C2305,LEN(C2305)-2))</f>
        <v>420</v>
      </c>
      <c r="C2305" s="74" t="s">
        <v>7860</v>
      </c>
      <c r="D2305" s="75">
        <v>42187</v>
      </c>
      <c r="E2305" s="70" t="s">
        <v>848</v>
      </c>
      <c r="F2305" s="70" t="s">
        <v>848</v>
      </c>
      <c r="G2305" s="68"/>
      <c r="H2305" s="59"/>
      <c r="I2305" s="162" t="s">
        <v>7861</v>
      </c>
      <c r="J2305" s="162"/>
      <c r="K2305" s="68" t="s">
        <v>11</v>
      </c>
      <c r="L2305" s="69" t="s">
        <v>120</v>
      </c>
      <c r="M2305" s="71" t="s">
        <v>141</v>
      </c>
      <c r="N2305" s="69" t="e" vm="1">
        <v>#VALUE!</v>
      </c>
      <c r="O2305" s="164"/>
      <c r="P2305" s="72" t="s">
        <v>402</v>
      </c>
      <c r="Q2305" s="72"/>
      <c r="R2305" s="162"/>
      <c r="S2305" s="146"/>
      <c r="T2305" s="68" t="s">
        <v>3</v>
      </c>
      <c r="U2305" s="87"/>
      <c r="V2305" s="183">
        <v>42188</v>
      </c>
      <c r="W2305" s="73">
        <v>3304</v>
      </c>
      <c r="X2305" s="73">
        <f>4917*24600/1000000</f>
        <v>120.95820000000001</v>
      </c>
      <c r="Y2305" s="83">
        <f>IF(SUM(W2305:W2305)&gt;0,X2305/SUM(W2305:W2305)*1000000,"N/A")</f>
        <v>36609.624697336563</v>
      </c>
      <c r="Z2305" s="183"/>
      <c r="AA2305" s="183"/>
      <c r="AB2305" s="223" t="s">
        <v>7862</v>
      </c>
      <c r="AC2305" s="153"/>
      <c r="AD2305" s="331"/>
      <c r="AE2305" s="57"/>
      <c r="AF2305" s="88"/>
      <c r="AG2305" s="182">
        <f>YEAR(D2305)</f>
        <v>2015</v>
      </c>
      <c r="AH2305" s="86" t="str">
        <f>+IF(AE2305=$AJ$22,MONTH(T2305),"")</f>
        <v/>
      </c>
      <c r="AI2305" s="86" t="str">
        <f>+IF(AF2305=$AJ$22,MONTH(U2305),"")</f>
        <v/>
      </c>
      <c r="AJ2305" s="86" t="str">
        <f>+IF(AG2305=$AJ$22,MONTH(V2305),"")</f>
        <v/>
      </c>
      <c r="AK2305" s="86" t="str">
        <f>+IF(AG2305=$AK$22,MONTH(V2305),"")</f>
        <v/>
      </c>
      <c r="AL2305" s="86" t="str">
        <f>+IF(AG2305=$AL$22,MONTH(V2305),"")</f>
        <v/>
      </c>
      <c r="AM2305" s="86" t="str">
        <f>+IF($AG2305=$AM$22,MONTH($D2305),"")</f>
        <v/>
      </c>
      <c r="AN2305" s="89" t="str">
        <f>+IF($AG2305=AN$22,MONTH($D2305),"")</f>
        <v/>
      </c>
      <c r="AO2305" s="86" t="str">
        <f>+IF($AG2305=AO$22,MONTH($D2305),"")</f>
        <v/>
      </c>
      <c r="AP2305" s="86" t="str">
        <f>+IF($AG2305=AP$22,MONTH($D2305),"")</f>
        <v/>
      </c>
      <c r="AQ2305" s="86" t="str">
        <f>+IF($AG2305=AQ$22,MONTH($D2305),"")</f>
        <v/>
      </c>
      <c r="AR2305" s="86" t="str">
        <f>+IF($AG2305=AR$22,MONTH($D2305),"")</f>
        <v/>
      </c>
      <c r="AS2305" s="86">
        <f>+IF($AG2305=AS$22,MONTH($D2305),"")</f>
        <v>7</v>
      </c>
      <c r="AT2305" s="86" t="str">
        <f>+IF($AG2305=AT$22,MONTH($D2305),"")</f>
        <v/>
      </c>
      <c r="AU2305" s="86" t="str">
        <f>+IF($AG2305=AU$22,MONTH($D2305),"")</f>
        <v/>
      </c>
      <c r="AV2305" s="86" t="str">
        <f>+IF($AG2305=AV$22,MONTH($D2305),"")</f>
        <v/>
      </c>
      <c r="AW2305" s="86" t="str">
        <f>+IF($AG2305=AW$22,MONTH($D2305),"")</f>
        <v/>
      </c>
      <c r="AX2305" s="86" t="str">
        <f>+IF($AG2305=AX$22,MONTH($D2305),"")</f>
        <v/>
      </c>
      <c r="AY2305" s="89"/>
      <c r="AZ2305" s="89"/>
      <c r="BA2305" s="89"/>
      <c r="BB2305" s="89"/>
      <c r="BC2305" s="89"/>
      <c r="BD2305" s="89"/>
      <c r="BE2305" s="89"/>
      <c r="BF2305" s="89"/>
      <c r="BG2305" s="89"/>
      <c r="BH2305" s="89"/>
      <c r="BI2305" s="89"/>
      <c r="BJ2305" s="89"/>
      <c r="BK2305" s="89"/>
      <c r="BL2305" s="89"/>
      <c r="BM2305" s="89"/>
      <c r="BN2305" s="89"/>
      <c r="BO2305" s="89"/>
      <c r="BP2305" s="89"/>
    </row>
    <row r="2306" spans="1:68" s="56" customFormat="1" ht="13.5" hidden="1">
      <c r="A2306" s="204" t="str">
        <f>+IFERROR(VALUE(MID(AB2306,4,4)),"")</f>
        <v/>
      </c>
      <c r="B2306" s="204">
        <f>VALUE(RIGHT(C2306,LEN(C2306)-2))</f>
        <v>419</v>
      </c>
      <c r="C2306" s="74" t="s">
        <v>7863</v>
      </c>
      <c r="D2306" s="75">
        <v>42178</v>
      </c>
      <c r="E2306" s="70" t="s">
        <v>332</v>
      </c>
      <c r="F2306" s="70" t="s">
        <v>332</v>
      </c>
      <c r="G2306" s="68" t="s">
        <v>737</v>
      </c>
      <c r="H2306" s="59" t="s">
        <v>7267</v>
      </c>
      <c r="I2306" s="162" t="s">
        <v>7864</v>
      </c>
      <c r="J2306" s="162"/>
      <c r="K2306" s="68" t="s">
        <v>31</v>
      </c>
      <c r="L2306" s="69" t="s">
        <v>120</v>
      </c>
      <c r="M2306" s="71" t="s">
        <v>141</v>
      </c>
      <c r="N2306" s="69" t="e" vm="1">
        <v>#VALUE!</v>
      </c>
      <c r="O2306" s="164">
        <v>42178</v>
      </c>
      <c r="P2306" s="72" t="s">
        <v>402</v>
      </c>
      <c r="Q2306" s="72"/>
      <c r="R2306" s="162"/>
      <c r="S2306" s="146"/>
      <c r="T2306" s="68" t="s">
        <v>3</v>
      </c>
      <c r="U2306" s="87"/>
      <c r="V2306" s="183">
        <v>42179</v>
      </c>
      <c r="W2306" s="73">
        <v>184</v>
      </c>
      <c r="X2306" s="73">
        <f>234*25000/1000000</f>
        <v>5.85</v>
      </c>
      <c r="Y2306" s="83">
        <f>IF(SUM(W2306:W2306)&gt;0,X2306/SUM(W2306:W2306)*1000000,"N/A")</f>
        <v>31793.47826086956</v>
      </c>
      <c r="Z2306" s="183"/>
      <c r="AA2306" s="183"/>
      <c r="AB2306" s="223"/>
      <c r="AC2306" s="153"/>
      <c r="AD2306" s="331"/>
      <c r="AE2306" s="57"/>
      <c r="AF2306" s="88"/>
      <c r="AG2306" s="182">
        <f>YEAR(D2306)</f>
        <v>2015</v>
      </c>
      <c r="AH2306" s="86" t="str">
        <f>+IF(AE2306=$AJ$22,MONTH(T2306),"")</f>
        <v/>
      </c>
      <c r="AI2306" s="86" t="str">
        <f>+IF(AF2306=$AJ$22,MONTH(U2306),"")</f>
        <v/>
      </c>
      <c r="AJ2306" s="86" t="str">
        <f>+IF(AG2306=$AJ$22,MONTH(V2306),"")</f>
        <v/>
      </c>
      <c r="AK2306" s="86" t="str">
        <f>+IF(AG2306=$AK$22,MONTH(V2306),"")</f>
        <v/>
      </c>
      <c r="AL2306" s="86" t="str">
        <f>+IF(AG2306=$AL$22,MONTH(V2306),"")</f>
        <v/>
      </c>
      <c r="AM2306" s="86" t="str">
        <f>+IF($AG2306=$AM$22,MONTH($D2306),"")</f>
        <v/>
      </c>
      <c r="AN2306" s="89" t="str">
        <f>+IF($AG2306=AN$22,MONTH($D2306),"")</f>
        <v/>
      </c>
      <c r="AO2306" s="86" t="str">
        <f>+IF($AG2306=AO$22,MONTH($D2306),"")</f>
        <v/>
      </c>
      <c r="AP2306" s="86" t="str">
        <f>+IF($AG2306=AP$22,MONTH($D2306),"")</f>
        <v/>
      </c>
      <c r="AQ2306" s="86" t="str">
        <f>+IF($AG2306=AQ$22,MONTH($D2306),"")</f>
        <v/>
      </c>
      <c r="AR2306" s="86" t="str">
        <f>+IF($AG2306=AR$22,MONTH($D2306),"")</f>
        <v/>
      </c>
      <c r="AS2306" s="86">
        <f>+IF($AG2306=AS$22,MONTH($D2306),"")</f>
        <v>6</v>
      </c>
      <c r="AT2306" s="86" t="str">
        <f>+IF($AG2306=AT$22,MONTH($D2306),"")</f>
        <v/>
      </c>
      <c r="AU2306" s="86" t="str">
        <f>+IF($AG2306=AU$22,MONTH($D2306),"")</f>
        <v/>
      </c>
      <c r="AV2306" s="86" t="str">
        <f>+IF($AG2306=AV$22,MONTH($D2306),"")</f>
        <v/>
      </c>
      <c r="AW2306" s="86" t="str">
        <f>+IF($AG2306=AW$22,MONTH($D2306),"")</f>
        <v/>
      </c>
      <c r="AX2306" s="86" t="str">
        <f>+IF($AG2306=AX$22,MONTH($D2306),"")</f>
        <v/>
      </c>
      <c r="AY2306" s="89"/>
      <c r="AZ2306" s="89"/>
      <c r="BA2306" s="89"/>
      <c r="BB2306" s="89"/>
      <c r="BC2306" s="89"/>
      <c r="BD2306" s="89"/>
      <c r="BE2306" s="89"/>
      <c r="BF2306" s="89"/>
      <c r="BG2306" s="89"/>
      <c r="BH2306" s="89"/>
      <c r="BI2306" s="89"/>
      <c r="BJ2306" s="89"/>
      <c r="BK2306" s="89"/>
      <c r="BL2306" s="89"/>
      <c r="BM2306" s="89"/>
      <c r="BN2306" s="89"/>
      <c r="BO2306" s="89"/>
      <c r="BP2306" s="89"/>
    </row>
    <row r="2307" spans="1:68" s="56" customFormat="1" ht="27" hidden="1">
      <c r="A2307" s="204">
        <f>+IFERROR(VALUE(MID(AB2307,4,4)),"")</f>
        <v>113</v>
      </c>
      <c r="B2307" s="204">
        <f>VALUE(RIGHT(C2307,LEN(C2307)-2))</f>
        <v>418</v>
      </c>
      <c r="C2307" s="74" t="s">
        <v>7865</v>
      </c>
      <c r="D2307" s="75">
        <v>42173</v>
      </c>
      <c r="E2307" s="70" t="s">
        <v>332</v>
      </c>
      <c r="F2307" s="70" t="s">
        <v>332</v>
      </c>
      <c r="G2307" s="68" t="s">
        <v>7281</v>
      </c>
      <c r="H2307" s="59" t="s">
        <v>7282</v>
      </c>
      <c r="I2307" s="162" t="s">
        <v>7866</v>
      </c>
      <c r="J2307" s="162"/>
      <c r="K2307" s="68" t="s">
        <v>31</v>
      </c>
      <c r="L2307" s="69" t="s">
        <v>120</v>
      </c>
      <c r="M2307" s="71" t="s">
        <v>141</v>
      </c>
      <c r="N2307" s="69" t="e" vm="1">
        <v>#VALUE!</v>
      </c>
      <c r="O2307" s="164">
        <v>42173</v>
      </c>
      <c r="P2307" s="72" t="s">
        <v>402</v>
      </c>
      <c r="Q2307" s="72"/>
      <c r="R2307" s="162"/>
      <c r="S2307" s="146"/>
      <c r="T2307" s="68" t="s">
        <v>3</v>
      </c>
      <c r="U2307" s="87"/>
      <c r="V2307" s="183">
        <v>42177</v>
      </c>
      <c r="W2307" s="73">
        <v>622</v>
      </c>
      <c r="X2307" s="73">
        <f>785*24600/1000000</f>
        <v>19.311</v>
      </c>
      <c r="Y2307" s="83">
        <f>IF(SUM(W2307:W2307)&gt;0,X2307/SUM(W2307:W2307)*1000000,"N/A")</f>
        <v>31046.623794212221</v>
      </c>
      <c r="Z2307" s="183"/>
      <c r="AA2307" s="183"/>
      <c r="AB2307" s="223" t="s">
        <v>7867</v>
      </c>
      <c r="AC2307" s="153"/>
      <c r="AD2307" s="331"/>
      <c r="AE2307" s="57"/>
      <c r="AF2307" s="88"/>
      <c r="AG2307" s="182">
        <f>YEAR(D2307)</f>
        <v>2015</v>
      </c>
      <c r="AH2307" s="86" t="str">
        <f>+IF(AE2307=$AJ$22,MONTH(T2307),"")</f>
        <v/>
      </c>
      <c r="AI2307" s="86" t="str">
        <f>+IF(AF2307=$AJ$22,MONTH(U2307),"")</f>
        <v/>
      </c>
      <c r="AJ2307" s="86" t="str">
        <f>+IF(AG2307=$AJ$22,MONTH(V2307),"")</f>
        <v/>
      </c>
      <c r="AK2307" s="86" t="str">
        <f>+IF(AG2307=$AK$22,MONTH(V2307),"")</f>
        <v/>
      </c>
      <c r="AL2307" s="86" t="str">
        <f>+IF(AG2307=$AL$22,MONTH(V2307),"")</f>
        <v/>
      </c>
      <c r="AM2307" s="86" t="str">
        <f>+IF($AG2307=$AM$22,MONTH($D2307),"")</f>
        <v/>
      </c>
      <c r="AN2307" s="89" t="str">
        <f>+IF($AG2307=AN$22,MONTH($D2307),"")</f>
        <v/>
      </c>
      <c r="AO2307" s="86" t="str">
        <f>+IF($AG2307=AO$22,MONTH($D2307),"")</f>
        <v/>
      </c>
      <c r="AP2307" s="86" t="str">
        <f>+IF($AG2307=AP$22,MONTH($D2307),"")</f>
        <v/>
      </c>
      <c r="AQ2307" s="86" t="str">
        <f>+IF($AG2307=AQ$22,MONTH($D2307),"")</f>
        <v/>
      </c>
      <c r="AR2307" s="86" t="str">
        <f>+IF($AG2307=AR$22,MONTH($D2307),"")</f>
        <v/>
      </c>
      <c r="AS2307" s="86">
        <f>+IF($AG2307=AS$22,MONTH($D2307),"")</f>
        <v>6</v>
      </c>
      <c r="AT2307" s="86" t="str">
        <f>+IF($AG2307=AT$22,MONTH($D2307),"")</f>
        <v/>
      </c>
      <c r="AU2307" s="86" t="str">
        <f>+IF($AG2307=AU$22,MONTH($D2307),"")</f>
        <v/>
      </c>
      <c r="AV2307" s="86" t="str">
        <f>+IF($AG2307=AV$22,MONTH($D2307),"")</f>
        <v/>
      </c>
      <c r="AW2307" s="86" t="str">
        <f>+IF($AG2307=AW$22,MONTH($D2307),"")</f>
        <v/>
      </c>
      <c r="AX2307" s="86" t="str">
        <f>+IF($AG2307=AX$22,MONTH($D2307),"")</f>
        <v/>
      </c>
      <c r="AY2307" s="89"/>
      <c r="AZ2307" s="89"/>
      <c r="BA2307" s="89"/>
      <c r="BB2307" s="89"/>
      <c r="BC2307" s="89"/>
      <c r="BD2307" s="89"/>
      <c r="BE2307" s="89"/>
      <c r="BF2307" s="89"/>
      <c r="BG2307" s="89"/>
      <c r="BH2307" s="89"/>
      <c r="BI2307" s="89"/>
      <c r="BJ2307" s="89"/>
      <c r="BK2307" s="89"/>
      <c r="BL2307" s="89"/>
      <c r="BM2307" s="89"/>
      <c r="BN2307" s="89"/>
      <c r="BO2307" s="89"/>
      <c r="BP2307" s="89"/>
    </row>
    <row r="2308" spans="1:68" s="56" customFormat="1" ht="27" hidden="1">
      <c r="A2308" s="204">
        <f>+IFERROR(VALUE(MID(AB2308,4,4)),"")</f>
        <v>113</v>
      </c>
      <c r="B2308" s="204">
        <f>VALUE(RIGHT(C2308,LEN(C2308)-2))</f>
        <v>417</v>
      </c>
      <c r="C2308" s="74" t="s">
        <v>7868</v>
      </c>
      <c r="D2308" s="75">
        <v>42173</v>
      </c>
      <c r="E2308" s="70" t="s">
        <v>332</v>
      </c>
      <c r="F2308" s="70" t="s">
        <v>332</v>
      </c>
      <c r="G2308" s="68" t="s">
        <v>7281</v>
      </c>
      <c r="H2308" s="59" t="s">
        <v>7282</v>
      </c>
      <c r="I2308" s="162" t="s">
        <v>7869</v>
      </c>
      <c r="J2308" s="162"/>
      <c r="K2308" s="68" t="s">
        <v>31</v>
      </c>
      <c r="L2308" s="69" t="s">
        <v>120</v>
      </c>
      <c r="M2308" s="71" t="s">
        <v>141</v>
      </c>
      <c r="N2308" s="69" t="e" vm="1">
        <v>#VALUE!</v>
      </c>
      <c r="O2308" s="164">
        <v>42173</v>
      </c>
      <c r="P2308" s="72" t="s">
        <v>402</v>
      </c>
      <c r="Q2308" s="72"/>
      <c r="R2308" s="162"/>
      <c r="S2308" s="146"/>
      <c r="T2308" s="68" t="s">
        <v>3</v>
      </c>
      <c r="U2308" s="87"/>
      <c r="V2308" s="183">
        <v>42177</v>
      </c>
      <c r="W2308" s="73">
        <v>472</v>
      </c>
      <c r="X2308" s="73">
        <f>681*24600/1000000</f>
        <v>16.752600000000001</v>
      </c>
      <c r="Y2308" s="83">
        <f>IF(SUM(W2308:W2308)&gt;0,X2308/SUM(W2308:W2308)*1000000,"N/A")</f>
        <v>35492.796610169491</v>
      </c>
      <c r="Z2308" s="183"/>
      <c r="AA2308" s="183"/>
      <c r="AB2308" s="223" t="s">
        <v>7870</v>
      </c>
      <c r="AC2308" s="153"/>
      <c r="AD2308" s="331"/>
      <c r="AE2308" s="57"/>
      <c r="AF2308" s="88"/>
      <c r="AG2308" s="182">
        <f>YEAR(D2308)</f>
        <v>2015</v>
      </c>
      <c r="AH2308" s="86" t="str">
        <f>+IF(AE2308=$AJ$22,MONTH(T2308),"")</f>
        <v/>
      </c>
      <c r="AI2308" s="86" t="str">
        <f>+IF(AF2308=$AJ$22,MONTH(U2308),"")</f>
        <v/>
      </c>
      <c r="AJ2308" s="86" t="str">
        <f>+IF(AG2308=$AJ$22,MONTH(V2308),"")</f>
        <v/>
      </c>
      <c r="AK2308" s="86" t="str">
        <f>+IF(AG2308=$AK$22,MONTH(V2308),"")</f>
        <v/>
      </c>
      <c r="AL2308" s="86" t="str">
        <f>+IF(AG2308=$AL$22,MONTH(V2308),"")</f>
        <v/>
      </c>
      <c r="AM2308" s="86" t="str">
        <f>+IF($AG2308=$AM$22,MONTH($D2308),"")</f>
        <v/>
      </c>
      <c r="AN2308" s="89" t="str">
        <f>+IF($AG2308=AN$22,MONTH($D2308),"")</f>
        <v/>
      </c>
      <c r="AO2308" s="86" t="str">
        <f>+IF($AG2308=AO$22,MONTH($D2308),"")</f>
        <v/>
      </c>
      <c r="AP2308" s="86" t="str">
        <f>+IF($AG2308=AP$22,MONTH($D2308),"")</f>
        <v/>
      </c>
      <c r="AQ2308" s="86" t="str">
        <f>+IF($AG2308=AQ$22,MONTH($D2308),"")</f>
        <v/>
      </c>
      <c r="AR2308" s="86" t="str">
        <f>+IF($AG2308=AR$22,MONTH($D2308),"")</f>
        <v/>
      </c>
      <c r="AS2308" s="86">
        <f>+IF($AG2308=AS$22,MONTH($D2308),"")</f>
        <v>6</v>
      </c>
      <c r="AT2308" s="86" t="str">
        <f>+IF($AG2308=AT$22,MONTH($D2308),"")</f>
        <v/>
      </c>
      <c r="AU2308" s="86" t="str">
        <f>+IF($AG2308=AU$22,MONTH($D2308),"")</f>
        <v/>
      </c>
      <c r="AV2308" s="86" t="str">
        <f>+IF($AG2308=AV$22,MONTH($D2308),"")</f>
        <v/>
      </c>
      <c r="AW2308" s="86" t="str">
        <f>+IF($AG2308=AW$22,MONTH($D2308),"")</f>
        <v/>
      </c>
      <c r="AX2308" s="86" t="str">
        <f>+IF($AG2308=AX$22,MONTH($D2308),"")</f>
        <v/>
      </c>
      <c r="AY2308" s="89"/>
      <c r="AZ2308" s="89"/>
      <c r="BA2308" s="89"/>
      <c r="BB2308" s="89"/>
      <c r="BC2308" s="89"/>
      <c r="BD2308" s="89"/>
      <c r="BE2308" s="89"/>
      <c r="BF2308" s="89"/>
      <c r="BG2308" s="89"/>
      <c r="BH2308" s="89"/>
      <c r="BI2308" s="89"/>
      <c r="BJ2308" s="89"/>
      <c r="BK2308" s="89"/>
      <c r="BL2308" s="89"/>
      <c r="BM2308" s="89"/>
      <c r="BN2308" s="89"/>
      <c r="BO2308" s="89"/>
      <c r="BP2308" s="89"/>
    </row>
    <row r="2309" spans="1:68" s="56" customFormat="1" ht="27" hidden="1">
      <c r="A2309" s="204">
        <f>+IFERROR(VALUE(MID(AB2309,4,4)),"")</f>
        <v>113</v>
      </c>
      <c r="B2309" s="204">
        <f>VALUE(RIGHT(C2309,LEN(C2309)-2))</f>
        <v>416</v>
      </c>
      <c r="C2309" s="74" t="s">
        <v>7871</v>
      </c>
      <c r="D2309" s="75">
        <v>42166</v>
      </c>
      <c r="E2309" s="70" t="s">
        <v>332</v>
      </c>
      <c r="F2309" s="70" t="s">
        <v>332</v>
      </c>
      <c r="G2309" s="68" t="s">
        <v>285</v>
      </c>
      <c r="H2309" s="59" t="s">
        <v>7401</v>
      </c>
      <c r="I2309" s="162" t="s">
        <v>7872</v>
      </c>
      <c r="J2309" s="162"/>
      <c r="K2309" s="68" t="s">
        <v>31</v>
      </c>
      <c r="L2309" s="69" t="s">
        <v>120</v>
      </c>
      <c r="M2309" s="71" t="s">
        <v>141</v>
      </c>
      <c r="N2309" s="69" t="e" vm="1">
        <v>#VALUE!</v>
      </c>
      <c r="O2309" s="164">
        <v>42166</v>
      </c>
      <c r="P2309" s="72" t="s">
        <v>402</v>
      </c>
      <c r="Q2309" s="72"/>
      <c r="R2309" s="162"/>
      <c r="S2309" s="146"/>
      <c r="T2309" s="68" t="s">
        <v>3</v>
      </c>
      <c r="U2309" s="87"/>
      <c r="V2309" s="183">
        <v>42177</v>
      </c>
      <c r="W2309" s="73">
        <v>852</v>
      </c>
      <c r="X2309" s="73">
        <f>1326*24600/1000000</f>
        <v>32.619599999999998</v>
      </c>
      <c r="Y2309" s="83">
        <f>IF(SUM(W2309:W2309)&gt;0,X2309/SUM(W2309:W2309)*1000000,"N/A")</f>
        <v>38285.915492957749</v>
      </c>
      <c r="Z2309" s="183"/>
      <c r="AA2309" s="183"/>
      <c r="AB2309" s="223" t="s">
        <v>7873</v>
      </c>
      <c r="AC2309" s="153"/>
      <c r="AD2309" s="331"/>
      <c r="AE2309" s="57"/>
      <c r="AF2309" s="88"/>
      <c r="AG2309" s="182">
        <f>YEAR(D2309)</f>
        <v>2015</v>
      </c>
      <c r="AH2309" s="86" t="str">
        <f>+IF(AE2309=$AJ$22,MONTH(T2309),"")</f>
        <v/>
      </c>
      <c r="AI2309" s="86" t="str">
        <f>+IF(AF2309=$AJ$22,MONTH(U2309),"")</f>
        <v/>
      </c>
      <c r="AJ2309" s="86" t="str">
        <f>+IF(AG2309=$AJ$22,MONTH(V2309),"")</f>
        <v/>
      </c>
      <c r="AK2309" s="86" t="str">
        <f>+IF(AG2309=$AK$22,MONTH(V2309),"")</f>
        <v/>
      </c>
      <c r="AL2309" s="86" t="str">
        <f>+IF(AG2309=$AL$22,MONTH(V2309),"")</f>
        <v/>
      </c>
      <c r="AM2309" s="86" t="str">
        <f>+IF($AG2309=$AM$22,MONTH($D2309),"")</f>
        <v/>
      </c>
      <c r="AN2309" s="89" t="str">
        <f>+IF($AG2309=AN$22,MONTH($D2309),"")</f>
        <v/>
      </c>
      <c r="AO2309" s="86" t="str">
        <f>+IF($AG2309=AO$22,MONTH($D2309),"")</f>
        <v/>
      </c>
      <c r="AP2309" s="86" t="str">
        <f>+IF($AG2309=AP$22,MONTH($D2309),"")</f>
        <v/>
      </c>
      <c r="AQ2309" s="86" t="str">
        <f>+IF($AG2309=AQ$22,MONTH($D2309),"")</f>
        <v/>
      </c>
      <c r="AR2309" s="86" t="str">
        <f>+IF($AG2309=AR$22,MONTH($D2309),"")</f>
        <v/>
      </c>
      <c r="AS2309" s="86">
        <f>+IF($AG2309=AS$22,MONTH($D2309),"")</f>
        <v>6</v>
      </c>
      <c r="AT2309" s="86" t="str">
        <f>+IF($AG2309=AT$22,MONTH($D2309),"")</f>
        <v/>
      </c>
      <c r="AU2309" s="86" t="str">
        <f>+IF($AG2309=AU$22,MONTH($D2309),"")</f>
        <v/>
      </c>
      <c r="AV2309" s="86" t="str">
        <f>+IF($AG2309=AV$22,MONTH($D2309),"")</f>
        <v/>
      </c>
      <c r="AW2309" s="86" t="str">
        <f>+IF($AG2309=AW$22,MONTH($D2309),"")</f>
        <v/>
      </c>
      <c r="AX2309" s="86" t="str">
        <f>+IF($AG2309=AX$22,MONTH($D2309),"")</f>
        <v/>
      </c>
      <c r="AY2309" s="89"/>
      <c r="AZ2309" s="89"/>
      <c r="BA2309" s="89"/>
      <c r="BB2309" s="89"/>
      <c r="BC2309" s="89"/>
      <c r="BD2309" s="89"/>
      <c r="BE2309" s="89"/>
      <c r="BF2309" s="89"/>
      <c r="BG2309" s="89"/>
      <c r="BH2309" s="89"/>
      <c r="BI2309" s="89"/>
      <c r="BJ2309" s="89"/>
      <c r="BK2309" s="89"/>
      <c r="BL2309" s="89"/>
      <c r="BM2309" s="89"/>
      <c r="BN2309" s="89"/>
      <c r="BO2309" s="89"/>
      <c r="BP2309" s="89"/>
    </row>
    <row r="2310" spans="1:68" s="56" customFormat="1" ht="27" hidden="1">
      <c r="A2310" s="204">
        <f>+IFERROR(VALUE(MID(AB2310,4,4)),"")</f>
        <v>113</v>
      </c>
      <c r="B2310" s="204">
        <f>VALUE(RIGHT(C2310,LEN(C2310)-2))</f>
        <v>415</v>
      </c>
      <c r="C2310" s="74" t="s">
        <v>7874</v>
      </c>
      <c r="D2310" s="75">
        <v>42164</v>
      </c>
      <c r="E2310" s="70" t="s">
        <v>332</v>
      </c>
      <c r="F2310" s="70" t="s">
        <v>332</v>
      </c>
      <c r="G2310" s="68" t="s">
        <v>285</v>
      </c>
      <c r="H2310" s="59" t="s">
        <v>7401</v>
      </c>
      <c r="I2310" s="162" t="s">
        <v>7875</v>
      </c>
      <c r="J2310" s="162"/>
      <c r="K2310" s="68" t="s">
        <v>11</v>
      </c>
      <c r="L2310" s="69" t="s">
        <v>120</v>
      </c>
      <c r="M2310" s="71" t="s">
        <v>141</v>
      </c>
      <c r="N2310" s="69" t="e" vm="1">
        <v>#VALUE!</v>
      </c>
      <c r="O2310" s="164">
        <v>42164</v>
      </c>
      <c r="P2310" s="72" t="s">
        <v>402</v>
      </c>
      <c r="Q2310" s="72"/>
      <c r="R2310" s="162"/>
      <c r="S2310" s="146"/>
      <c r="T2310" s="68" t="s">
        <v>3</v>
      </c>
      <c r="U2310" s="87"/>
      <c r="V2310" s="183">
        <v>42177</v>
      </c>
      <c r="W2310" s="73">
        <v>825</v>
      </c>
      <c r="X2310" s="73">
        <f>1043*24600/1000000</f>
        <v>25.657800000000002</v>
      </c>
      <c r="Y2310" s="83">
        <f>IF(SUM(W2310:W2310)&gt;0,X2310/SUM(W2310:W2310)*1000000,"N/A")</f>
        <v>31100.363636363636</v>
      </c>
      <c r="Z2310" s="183"/>
      <c r="AA2310" s="183"/>
      <c r="AB2310" s="223" t="s">
        <v>7876</v>
      </c>
      <c r="AC2310" s="153"/>
      <c r="AD2310" s="331"/>
      <c r="AE2310" s="57"/>
      <c r="AF2310" s="88"/>
      <c r="AG2310" s="182">
        <f>YEAR(D2310)</f>
        <v>2015</v>
      </c>
      <c r="AH2310" s="86" t="str">
        <f>+IF(AE2310=$AJ$22,MONTH(T2310),"")</f>
        <v/>
      </c>
      <c r="AI2310" s="86" t="str">
        <f>+IF(AF2310=$AJ$22,MONTH(U2310),"")</f>
        <v/>
      </c>
      <c r="AJ2310" s="86" t="str">
        <f>+IF(AG2310=$AJ$22,MONTH(V2310),"")</f>
        <v/>
      </c>
      <c r="AK2310" s="86" t="str">
        <f>+IF(AG2310=$AK$22,MONTH(V2310),"")</f>
        <v/>
      </c>
      <c r="AL2310" s="86" t="str">
        <f>+IF(AG2310=$AL$22,MONTH(V2310),"")</f>
        <v/>
      </c>
      <c r="AM2310" s="86" t="str">
        <f>+IF($AG2310=$AM$22,MONTH($D2310),"")</f>
        <v/>
      </c>
      <c r="AN2310" s="89" t="str">
        <f>+IF($AG2310=AN$22,MONTH($D2310),"")</f>
        <v/>
      </c>
      <c r="AO2310" s="86" t="str">
        <f>+IF($AG2310=AO$22,MONTH($D2310),"")</f>
        <v/>
      </c>
      <c r="AP2310" s="86" t="str">
        <f>+IF($AG2310=AP$22,MONTH($D2310),"")</f>
        <v/>
      </c>
      <c r="AQ2310" s="86" t="str">
        <f>+IF($AG2310=AQ$22,MONTH($D2310),"")</f>
        <v/>
      </c>
      <c r="AR2310" s="86" t="str">
        <f>+IF($AG2310=AR$22,MONTH($D2310),"")</f>
        <v/>
      </c>
      <c r="AS2310" s="86">
        <f>+IF($AG2310=AS$22,MONTH($D2310),"")</f>
        <v>6</v>
      </c>
      <c r="AT2310" s="86" t="str">
        <f>+IF($AG2310=AT$22,MONTH($D2310),"")</f>
        <v/>
      </c>
      <c r="AU2310" s="86" t="str">
        <f>+IF($AG2310=AU$22,MONTH($D2310),"")</f>
        <v/>
      </c>
      <c r="AV2310" s="86" t="str">
        <f>+IF($AG2310=AV$22,MONTH($D2310),"")</f>
        <v/>
      </c>
      <c r="AW2310" s="86" t="str">
        <f>+IF($AG2310=AW$22,MONTH($D2310),"")</f>
        <v/>
      </c>
      <c r="AX2310" s="86" t="str">
        <f>+IF($AG2310=AX$22,MONTH($D2310),"")</f>
        <v/>
      </c>
      <c r="AY2310" s="89"/>
      <c r="AZ2310" s="89"/>
      <c r="BA2310" s="89"/>
      <c r="BB2310" s="89"/>
      <c r="BC2310" s="89"/>
      <c r="BD2310" s="89"/>
      <c r="BE2310" s="89"/>
      <c r="BF2310" s="89"/>
      <c r="BG2310" s="89"/>
      <c r="BH2310" s="89"/>
      <c r="BI2310" s="89"/>
      <c r="BJ2310" s="89"/>
      <c r="BK2310" s="89"/>
      <c r="BL2310" s="89"/>
      <c r="BM2310" s="89"/>
      <c r="BN2310" s="89"/>
      <c r="BO2310" s="89"/>
      <c r="BP2310" s="89"/>
    </row>
    <row r="2311" spans="1:68" s="56" customFormat="1" ht="13.5" hidden="1">
      <c r="A2311" s="204" t="str">
        <f>+IFERROR(VALUE(MID(AB2311,4,4)),"")</f>
        <v/>
      </c>
      <c r="B2311" s="204">
        <f>VALUE(RIGHT(C2311,LEN(C2311)-2))</f>
        <v>414</v>
      </c>
      <c r="C2311" s="74" t="s">
        <v>7877</v>
      </c>
      <c r="D2311" s="75">
        <v>42157</v>
      </c>
      <c r="E2311" s="70" t="s">
        <v>332</v>
      </c>
      <c r="F2311" s="70" t="s">
        <v>332</v>
      </c>
      <c r="G2311" s="68" t="s">
        <v>285</v>
      </c>
      <c r="H2311" s="59" t="s">
        <v>7401</v>
      </c>
      <c r="I2311" s="162" t="s">
        <v>7878</v>
      </c>
      <c r="J2311" s="162"/>
      <c r="K2311" s="68" t="s">
        <v>31</v>
      </c>
      <c r="L2311" s="69" t="s">
        <v>120</v>
      </c>
      <c r="M2311" s="71" t="s">
        <v>141</v>
      </c>
      <c r="N2311" s="69" t="e" vm="1">
        <v>#VALUE!</v>
      </c>
      <c r="O2311" s="164">
        <v>42157</v>
      </c>
      <c r="P2311" s="72" t="s">
        <v>402</v>
      </c>
      <c r="Q2311" s="72"/>
      <c r="R2311" s="162"/>
      <c r="S2311" s="146"/>
      <c r="T2311" s="68" t="s">
        <v>165</v>
      </c>
      <c r="U2311" s="87">
        <v>0</v>
      </c>
      <c r="V2311" s="183">
        <v>42177</v>
      </c>
      <c r="W2311" s="73">
        <v>420</v>
      </c>
      <c r="X2311" s="73">
        <f>647*24600/1000000</f>
        <v>15.9162</v>
      </c>
      <c r="Y2311" s="83">
        <f>IF(SUM(W2311:W2311)&gt;0,X2311/SUM(W2311:W2311)*1000000,"N/A")</f>
        <v>37895.714285714283</v>
      </c>
      <c r="Z2311" s="183"/>
      <c r="AA2311" s="183"/>
      <c r="AB2311" s="223"/>
      <c r="AC2311" s="153"/>
      <c r="AD2311" s="331"/>
      <c r="AE2311" s="57"/>
      <c r="AF2311" s="88"/>
      <c r="AG2311" s="182">
        <f>YEAR(D2311)</f>
        <v>2015</v>
      </c>
      <c r="AH2311" s="86" t="str">
        <f>+IF(AE2311=$AJ$22,MONTH(T2311),"")</f>
        <v/>
      </c>
      <c r="AI2311" s="86" t="str">
        <f>+IF(AF2311=$AJ$22,MONTH(U2311),"")</f>
        <v/>
      </c>
      <c r="AJ2311" s="86" t="str">
        <f>+IF(AG2311=$AJ$22,MONTH(V2311),"")</f>
        <v/>
      </c>
      <c r="AK2311" s="86" t="str">
        <f>+IF(AG2311=$AK$22,MONTH(V2311),"")</f>
        <v/>
      </c>
      <c r="AL2311" s="86" t="str">
        <f>+IF(AG2311=$AL$22,MONTH(V2311),"")</f>
        <v/>
      </c>
      <c r="AM2311" s="86" t="str">
        <f>+IF($AG2311=$AM$22,MONTH($D2311),"")</f>
        <v/>
      </c>
      <c r="AN2311" s="89" t="str">
        <f>+IF($AG2311=AN$22,MONTH($D2311),"")</f>
        <v/>
      </c>
      <c r="AO2311" s="86" t="str">
        <f>+IF($AG2311=AO$22,MONTH($D2311),"")</f>
        <v/>
      </c>
      <c r="AP2311" s="86" t="str">
        <f>+IF($AG2311=AP$22,MONTH($D2311),"")</f>
        <v/>
      </c>
      <c r="AQ2311" s="86" t="str">
        <f>+IF($AG2311=AQ$22,MONTH($D2311),"")</f>
        <v/>
      </c>
      <c r="AR2311" s="86" t="str">
        <f>+IF($AG2311=AR$22,MONTH($D2311),"")</f>
        <v/>
      </c>
      <c r="AS2311" s="86">
        <f>+IF($AG2311=AS$22,MONTH($D2311),"")</f>
        <v>6</v>
      </c>
      <c r="AT2311" s="86" t="str">
        <f>+IF($AG2311=AT$22,MONTH($D2311),"")</f>
        <v/>
      </c>
      <c r="AU2311" s="86" t="str">
        <f>+IF($AG2311=AU$22,MONTH($D2311),"")</f>
        <v/>
      </c>
      <c r="AV2311" s="86" t="str">
        <f>+IF($AG2311=AV$22,MONTH($D2311),"")</f>
        <v/>
      </c>
      <c r="AW2311" s="86" t="str">
        <f>+IF($AG2311=AW$22,MONTH($D2311),"")</f>
        <v/>
      </c>
      <c r="AX2311" s="86" t="str">
        <f>+IF($AG2311=AX$22,MONTH($D2311),"")</f>
        <v/>
      </c>
      <c r="AY2311" s="89"/>
      <c r="AZ2311" s="89"/>
      <c r="BA2311" s="89"/>
      <c r="BB2311" s="89"/>
      <c r="BC2311" s="89"/>
      <c r="BD2311" s="89"/>
      <c r="BE2311" s="89"/>
      <c r="BF2311" s="89"/>
      <c r="BG2311" s="89"/>
      <c r="BH2311" s="89"/>
      <c r="BI2311" s="89"/>
      <c r="BJ2311" s="89"/>
      <c r="BK2311" s="89"/>
      <c r="BL2311" s="89"/>
      <c r="BM2311" s="89"/>
      <c r="BN2311" s="89"/>
      <c r="BO2311" s="89"/>
      <c r="BP2311" s="89"/>
    </row>
    <row r="2312" spans="1:68" s="56" customFormat="1" ht="13.5" hidden="1">
      <c r="A2312" s="204" t="str">
        <f>+IFERROR(VALUE(MID(AB2312,4,4)),"")</f>
        <v/>
      </c>
      <c r="B2312" s="204">
        <f>VALUE(RIGHT(C2312,LEN(C2312)-2))</f>
        <v>413</v>
      </c>
      <c r="C2312" s="74" t="s">
        <v>7879</v>
      </c>
      <c r="D2312" s="75">
        <v>42157</v>
      </c>
      <c r="E2312" s="70" t="s">
        <v>332</v>
      </c>
      <c r="F2312" s="70" t="s">
        <v>332</v>
      </c>
      <c r="G2312" s="68" t="s">
        <v>285</v>
      </c>
      <c r="H2312" s="59" t="s">
        <v>7401</v>
      </c>
      <c r="I2312" s="162" t="s">
        <v>7880</v>
      </c>
      <c r="J2312" s="162"/>
      <c r="K2312" s="68" t="s">
        <v>12</v>
      </c>
      <c r="L2312" s="69" t="s">
        <v>120</v>
      </c>
      <c r="M2312" s="71" t="s">
        <v>141</v>
      </c>
      <c r="N2312" s="69" t="e" vm="1">
        <v>#VALUE!</v>
      </c>
      <c r="O2312" s="164">
        <v>42157</v>
      </c>
      <c r="P2312" s="72" t="s">
        <v>402</v>
      </c>
      <c r="Q2312" s="72"/>
      <c r="R2312" s="162"/>
      <c r="S2312" s="146" t="s">
        <v>7881</v>
      </c>
      <c r="T2312" s="68" t="s">
        <v>165</v>
      </c>
      <c r="U2312" s="87"/>
      <c r="V2312" s="183">
        <v>42177</v>
      </c>
      <c r="W2312" s="73">
        <v>614</v>
      </c>
      <c r="X2312" s="73">
        <f>964*24600/1000000</f>
        <v>23.714400000000001</v>
      </c>
      <c r="Y2312" s="83">
        <f>IF(SUM(W2312:W2312)&gt;0,X2312/SUM(W2312:W2312)*1000000,"N/A")</f>
        <v>38622.801302931592</v>
      </c>
      <c r="Z2312" s="183"/>
      <c r="AA2312" s="183"/>
      <c r="AB2312" s="223"/>
      <c r="AC2312" s="153"/>
      <c r="AD2312" s="331"/>
      <c r="AE2312" s="57"/>
      <c r="AF2312" s="88"/>
      <c r="AG2312" s="182">
        <f>YEAR(D2312)</f>
        <v>2015</v>
      </c>
      <c r="AH2312" s="86" t="str">
        <f>+IF(AE2312=$AJ$22,MONTH(T2312),"")</f>
        <v/>
      </c>
      <c r="AI2312" s="86" t="str">
        <f>+IF(AF2312=$AJ$22,MONTH(U2312),"")</f>
        <v/>
      </c>
      <c r="AJ2312" s="86" t="str">
        <f>+IF(AG2312=$AJ$22,MONTH(V2312),"")</f>
        <v/>
      </c>
      <c r="AK2312" s="86" t="str">
        <f>+IF(AG2312=$AK$22,MONTH(V2312),"")</f>
        <v/>
      </c>
      <c r="AL2312" s="86" t="str">
        <f>+IF(AG2312=$AL$22,MONTH(V2312),"")</f>
        <v/>
      </c>
      <c r="AM2312" s="86" t="str">
        <f>+IF($AG2312=$AM$22,MONTH($D2312),"")</f>
        <v/>
      </c>
      <c r="AN2312" s="89" t="str">
        <f>+IF($AG2312=AN$22,MONTH($D2312),"")</f>
        <v/>
      </c>
      <c r="AO2312" s="86" t="str">
        <f>+IF($AG2312=AO$22,MONTH($D2312),"")</f>
        <v/>
      </c>
      <c r="AP2312" s="86" t="str">
        <f>+IF($AG2312=AP$22,MONTH($D2312),"")</f>
        <v/>
      </c>
      <c r="AQ2312" s="86" t="str">
        <f>+IF($AG2312=AQ$22,MONTH($D2312),"")</f>
        <v/>
      </c>
      <c r="AR2312" s="86" t="str">
        <f>+IF($AG2312=AR$22,MONTH($D2312),"")</f>
        <v/>
      </c>
      <c r="AS2312" s="86">
        <f>+IF($AG2312=AS$22,MONTH($D2312),"")</f>
        <v>6</v>
      </c>
      <c r="AT2312" s="86" t="str">
        <f>+IF($AG2312=AT$22,MONTH($D2312),"")</f>
        <v/>
      </c>
      <c r="AU2312" s="86" t="str">
        <f>+IF($AG2312=AU$22,MONTH($D2312),"")</f>
        <v/>
      </c>
      <c r="AV2312" s="86" t="str">
        <f>+IF($AG2312=AV$22,MONTH($D2312),"")</f>
        <v/>
      </c>
      <c r="AW2312" s="86" t="str">
        <f>+IF($AG2312=AW$22,MONTH($D2312),"")</f>
        <v/>
      </c>
      <c r="AX2312" s="86" t="str">
        <f>+IF($AG2312=AX$22,MONTH($D2312),"")</f>
        <v/>
      </c>
      <c r="AY2312" s="89"/>
      <c r="AZ2312" s="89"/>
      <c r="BA2312" s="89"/>
      <c r="BB2312" s="89"/>
      <c r="BC2312" s="89"/>
      <c r="BD2312" s="89"/>
      <c r="BE2312" s="89"/>
      <c r="BF2312" s="89"/>
      <c r="BG2312" s="89"/>
      <c r="BH2312" s="89"/>
      <c r="BI2312" s="89"/>
      <c r="BJ2312" s="89"/>
      <c r="BK2312" s="89"/>
      <c r="BL2312" s="89"/>
      <c r="BM2312" s="89"/>
      <c r="BN2312" s="89"/>
      <c r="BO2312" s="89"/>
      <c r="BP2312" s="89"/>
    </row>
    <row r="2313" spans="1:68" s="56" customFormat="1" ht="27" hidden="1">
      <c r="A2313" s="204" t="str">
        <f>+IFERROR(VALUE(MID(AB2313,4,4)),"")</f>
        <v/>
      </c>
      <c r="B2313" s="204">
        <f>VALUE(RIGHT(C2313,LEN(C2313)-2))</f>
        <v>412</v>
      </c>
      <c r="C2313" s="74" t="s">
        <v>7882</v>
      </c>
      <c r="D2313" s="75">
        <v>42157</v>
      </c>
      <c r="E2313" s="70" t="s">
        <v>7883</v>
      </c>
      <c r="F2313" s="70" t="s">
        <v>7883</v>
      </c>
      <c r="G2313" s="68" t="s">
        <v>4508</v>
      </c>
      <c r="H2313" s="59" t="s">
        <v>7884</v>
      </c>
      <c r="I2313" s="162" t="s">
        <v>7885</v>
      </c>
      <c r="J2313" s="162"/>
      <c r="K2313" s="68" t="s">
        <v>13</v>
      </c>
      <c r="L2313" s="69" t="s">
        <v>120</v>
      </c>
      <c r="M2313" s="71" t="s">
        <v>141</v>
      </c>
      <c r="N2313" s="69" t="e" vm="1">
        <v>#VALUE!</v>
      </c>
      <c r="O2313" s="164">
        <v>42157</v>
      </c>
      <c r="P2313" s="72" t="s">
        <v>402</v>
      </c>
      <c r="Q2313" s="72"/>
      <c r="R2313" s="162"/>
      <c r="S2313" s="146"/>
      <c r="T2313" s="68" t="s">
        <v>165</v>
      </c>
      <c r="U2313" s="87"/>
      <c r="V2313" s="183">
        <v>42174</v>
      </c>
      <c r="W2313" s="73">
        <v>1793</v>
      </c>
      <c r="X2313" s="73">
        <f>24600*2829/1000000</f>
        <v>69.593400000000003</v>
      </c>
      <c r="Y2313" s="83">
        <f>IF(SUM(W2313:W2313)&gt;0,X2313/SUM(W2313:W2313)*1000000,"N/A")</f>
        <v>38813.943112102621</v>
      </c>
      <c r="Z2313" s="183"/>
      <c r="AA2313" s="183"/>
      <c r="AB2313" s="223"/>
      <c r="AC2313" s="153"/>
      <c r="AD2313" s="331"/>
      <c r="AE2313" s="57"/>
      <c r="AF2313" s="88"/>
      <c r="AG2313" s="182">
        <f>YEAR(D2313)</f>
        <v>2015</v>
      </c>
      <c r="AH2313" s="86" t="str">
        <f>+IF(AE2313=$AJ$22,MONTH(T2313),"")</f>
        <v/>
      </c>
      <c r="AI2313" s="86" t="str">
        <f>+IF(AF2313=$AJ$22,MONTH(U2313),"")</f>
        <v/>
      </c>
      <c r="AJ2313" s="86" t="str">
        <f>+IF(AG2313=$AJ$22,MONTH(V2313),"")</f>
        <v/>
      </c>
      <c r="AK2313" s="86" t="str">
        <f>+IF(AG2313=$AK$22,MONTH(V2313),"")</f>
        <v/>
      </c>
      <c r="AL2313" s="86" t="str">
        <f>+IF(AG2313=$AL$22,MONTH(V2313),"")</f>
        <v/>
      </c>
      <c r="AM2313" s="86" t="str">
        <f>+IF($AG2313=$AM$22,MONTH($D2313),"")</f>
        <v/>
      </c>
      <c r="AN2313" s="89" t="str">
        <f>+IF($AG2313=AN$22,MONTH($D2313),"")</f>
        <v/>
      </c>
      <c r="AO2313" s="86" t="str">
        <f>+IF($AG2313=AO$22,MONTH($D2313),"")</f>
        <v/>
      </c>
      <c r="AP2313" s="86" t="str">
        <f>+IF($AG2313=AP$22,MONTH($D2313),"")</f>
        <v/>
      </c>
      <c r="AQ2313" s="86" t="str">
        <f>+IF($AG2313=AQ$22,MONTH($D2313),"")</f>
        <v/>
      </c>
      <c r="AR2313" s="86" t="str">
        <f>+IF($AG2313=AR$22,MONTH($D2313),"")</f>
        <v/>
      </c>
      <c r="AS2313" s="86">
        <f>+IF($AG2313=AS$22,MONTH($D2313),"")</f>
        <v>6</v>
      </c>
      <c r="AT2313" s="86" t="str">
        <f>+IF($AG2313=AT$22,MONTH($D2313),"")</f>
        <v/>
      </c>
      <c r="AU2313" s="86" t="str">
        <f>+IF($AG2313=AU$22,MONTH($D2313),"")</f>
        <v/>
      </c>
      <c r="AV2313" s="86" t="str">
        <f>+IF($AG2313=AV$22,MONTH($D2313),"")</f>
        <v/>
      </c>
      <c r="AW2313" s="86" t="str">
        <f>+IF($AG2313=AW$22,MONTH($D2313),"")</f>
        <v/>
      </c>
      <c r="AX2313" s="86" t="str">
        <f>+IF($AG2313=AX$22,MONTH($D2313),"")</f>
        <v/>
      </c>
      <c r="AY2313" s="89"/>
      <c r="AZ2313" s="89"/>
      <c r="BA2313" s="89"/>
      <c r="BB2313" s="89"/>
      <c r="BC2313" s="89"/>
      <c r="BD2313" s="89"/>
      <c r="BE2313" s="89"/>
      <c r="BF2313" s="89"/>
      <c r="BG2313" s="89"/>
      <c r="BH2313" s="89"/>
      <c r="BI2313" s="89"/>
      <c r="BJ2313" s="89"/>
      <c r="BK2313" s="89"/>
      <c r="BL2313" s="89"/>
      <c r="BM2313" s="89"/>
      <c r="BN2313" s="89"/>
      <c r="BO2313" s="89"/>
      <c r="BP2313" s="89"/>
    </row>
    <row r="2314" spans="1:68" s="56" customFormat="1" ht="13.5" hidden="1">
      <c r="A2314" s="204" t="str">
        <f>+IFERROR(VALUE(MID(AB2314,4,4)),"")</f>
        <v/>
      </c>
      <c r="B2314" s="204">
        <f>VALUE(RIGHT(C2314,LEN(C2314)-2))</f>
        <v>411</v>
      </c>
      <c r="C2314" s="74" t="s">
        <v>7886</v>
      </c>
      <c r="D2314" s="75">
        <v>42151</v>
      </c>
      <c r="E2314" s="70" t="s">
        <v>15</v>
      </c>
      <c r="F2314" s="70" t="s">
        <v>270</v>
      </c>
      <c r="G2314" s="68"/>
      <c r="H2314" s="59"/>
      <c r="I2314" s="162" t="s">
        <v>7887</v>
      </c>
      <c r="J2314" s="162"/>
      <c r="K2314" s="68" t="s">
        <v>11</v>
      </c>
      <c r="L2314" s="69" t="s">
        <v>123</v>
      </c>
      <c r="M2314" s="71" t="s">
        <v>141</v>
      </c>
      <c r="N2314" s="69" t="e" vm="1">
        <v>#VALUE!</v>
      </c>
      <c r="O2314" s="164">
        <v>42157</v>
      </c>
      <c r="P2314" s="72" t="s">
        <v>402</v>
      </c>
      <c r="Q2314" s="72"/>
      <c r="R2314" s="162"/>
      <c r="S2314" s="146"/>
      <c r="T2314" s="68" t="s">
        <v>165</v>
      </c>
      <c r="U2314" s="87"/>
      <c r="V2314" s="183">
        <v>42178</v>
      </c>
      <c r="W2314" s="73">
        <v>15367</v>
      </c>
      <c r="X2314" s="73">
        <f>16995*25000/1000000</f>
        <v>424.875</v>
      </c>
      <c r="Y2314" s="83">
        <f>IF(SUM(W2314:W2314)&gt;0,X2314/SUM(W2314:W2314)*1000000,"N/A")</f>
        <v>27648.532569792413</v>
      </c>
      <c r="Z2314" s="183"/>
      <c r="AA2314" s="183"/>
      <c r="AB2314" s="223"/>
      <c r="AC2314" s="153"/>
      <c r="AD2314" s="331"/>
      <c r="AE2314" s="57"/>
      <c r="AF2314" s="88"/>
      <c r="AG2314" s="182">
        <f>YEAR(D2314)</f>
        <v>2015</v>
      </c>
      <c r="AH2314" s="86" t="str">
        <f>+IF(AE2314=$AJ$22,MONTH(T2314),"")</f>
        <v/>
      </c>
      <c r="AI2314" s="86" t="str">
        <f>+IF(AF2314=$AJ$22,MONTH(U2314),"")</f>
        <v/>
      </c>
      <c r="AJ2314" s="86" t="str">
        <f>+IF(AG2314=$AJ$22,MONTH(V2314),"")</f>
        <v/>
      </c>
      <c r="AK2314" s="86" t="str">
        <f>+IF(AG2314=$AK$22,MONTH(V2314),"")</f>
        <v/>
      </c>
      <c r="AL2314" s="86" t="str">
        <f>+IF(AG2314=$AL$22,MONTH(V2314),"")</f>
        <v/>
      </c>
      <c r="AM2314" s="86" t="str">
        <f>+IF($AG2314=$AM$22,MONTH($D2314),"")</f>
        <v/>
      </c>
      <c r="AN2314" s="89" t="str">
        <f>+IF($AG2314=AN$22,MONTH($D2314),"")</f>
        <v/>
      </c>
      <c r="AO2314" s="86" t="str">
        <f>+IF($AG2314=AO$22,MONTH($D2314),"")</f>
        <v/>
      </c>
      <c r="AP2314" s="86" t="str">
        <f>+IF($AG2314=AP$22,MONTH($D2314),"")</f>
        <v/>
      </c>
      <c r="AQ2314" s="86" t="str">
        <f>+IF($AG2314=AQ$22,MONTH($D2314),"")</f>
        <v/>
      </c>
      <c r="AR2314" s="86" t="str">
        <f>+IF($AG2314=AR$22,MONTH($D2314),"")</f>
        <v/>
      </c>
      <c r="AS2314" s="86">
        <f>+IF($AG2314=AS$22,MONTH($D2314),"")</f>
        <v>5</v>
      </c>
      <c r="AT2314" s="86" t="str">
        <f>+IF($AG2314=AT$22,MONTH($D2314),"")</f>
        <v/>
      </c>
      <c r="AU2314" s="86" t="str">
        <f>+IF($AG2314=AU$22,MONTH($D2314),"")</f>
        <v/>
      </c>
      <c r="AV2314" s="86" t="str">
        <f>+IF($AG2314=AV$22,MONTH($D2314),"")</f>
        <v/>
      </c>
      <c r="AW2314" s="86" t="str">
        <f>+IF($AG2314=AW$22,MONTH($D2314),"")</f>
        <v/>
      </c>
      <c r="AX2314" s="86" t="str">
        <f>+IF($AG2314=AX$22,MONTH($D2314),"")</f>
        <v/>
      </c>
      <c r="AY2314" s="89"/>
      <c r="AZ2314" s="89"/>
      <c r="BA2314" s="89"/>
      <c r="BB2314" s="89"/>
      <c r="BC2314" s="89"/>
      <c r="BD2314" s="89"/>
      <c r="BE2314" s="89"/>
      <c r="BF2314" s="89"/>
      <c r="BG2314" s="89"/>
      <c r="BH2314" s="89"/>
      <c r="BI2314" s="89"/>
      <c r="BJ2314" s="89"/>
      <c r="BK2314" s="89"/>
      <c r="BL2314" s="89"/>
      <c r="BM2314" s="89"/>
      <c r="BN2314" s="89"/>
      <c r="BO2314" s="89"/>
      <c r="BP2314" s="89"/>
    </row>
    <row r="2315" spans="1:68" s="56" customFormat="1" ht="27" hidden="1">
      <c r="A2315" s="204">
        <f>+IFERROR(VALUE(MID(AB2315,4,4)),"")</f>
        <v>113</v>
      </c>
      <c r="B2315" s="204">
        <f>VALUE(RIGHT(C2315,LEN(C2315)-2))</f>
        <v>410</v>
      </c>
      <c r="C2315" s="74" t="s">
        <v>7888</v>
      </c>
      <c r="D2315" s="75">
        <v>42151</v>
      </c>
      <c r="E2315" s="70" t="s">
        <v>332</v>
      </c>
      <c r="F2315" s="70" t="s">
        <v>332</v>
      </c>
      <c r="G2315" s="68" t="s">
        <v>285</v>
      </c>
      <c r="H2315" s="59" t="s">
        <v>7401</v>
      </c>
      <c r="I2315" s="162" t="s">
        <v>7889</v>
      </c>
      <c r="J2315" s="162"/>
      <c r="K2315" s="68" t="s">
        <v>31</v>
      </c>
      <c r="L2315" s="69" t="s">
        <v>120</v>
      </c>
      <c r="M2315" s="71" t="s">
        <v>141</v>
      </c>
      <c r="N2315" s="69" t="e" vm="1">
        <v>#VALUE!</v>
      </c>
      <c r="O2315" s="164">
        <v>42151</v>
      </c>
      <c r="P2315" s="72" t="s">
        <v>402</v>
      </c>
      <c r="Q2315" s="72"/>
      <c r="R2315" s="162"/>
      <c r="S2315" s="146"/>
      <c r="T2315" s="68" t="s">
        <v>3</v>
      </c>
      <c r="U2315" s="87"/>
      <c r="V2315" s="183">
        <v>42174</v>
      </c>
      <c r="W2315" s="73">
        <v>840</v>
      </c>
      <c r="X2315" s="73">
        <f>1158*24600/1000000</f>
        <v>28.486799999999999</v>
      </c>
      <c r="Y2315" s="83">
        <f>IF(SUM(W2315:W2315)&gt;0,X2315/SUM(W2315:W2315)*1000000,"N/A")</f>
        <v>33912.857142857138</v>
      </c>
      <c r="Z2315" s="183"/>
      <c r="AA2315" s="183"/>
      <c r="AB2315" s="223" t="s">
        <v>7890</v>
      </c>
      <c r="AC2315" s="153"/>
      <c r="AD2315" s="331"/>
      <c r="AE2315" s="57"/>
      <c r="AF2315" s="88"/>
      <c r="AG2315" s="182">
        <f>YEAR(D2315)</f>
        <v>2015</v>
      </c>
      <c r="AH2315" s="86" t="str">
        <f>+IF(AE2315=$AJ$22,MONTH(T2315),"")</f>
        <v/>
      </c>
      <c r="AI2315" s="86" t="str">
        <f>+IF(AF2315=$AJ$22,MONTH(U2315),"")</f>
        <v/>
      </c>
      <c r="AJ2315" s="86" t="str">
        <f>+IF(AG2315=$AJ$22,MONTH(V2315),"")</f>
        <v/>
      </c>
      <c r="AK2315" s="86" t="str">
        <f>+IF(AG2315=$AK$22,MONTH(V2315),"")</f>
        <v/>
      </c>
      <c r="AL2315" s="86" t="str">
        <f>+IF(AG2315=$AL$22,MONTH(V2315),"")</f>
        <v/>
      </c>
      <c r="AM2315" s="86" t="str">
        <f>+IF($AG2315=$AM$22,MONTH($D2315),"")</f>
        <v/>
      </c>
      <c r="AN2315" s="89" t="str">
        <f>+IF($AG2315=AN$22,MONTH($D2315),"")</f>
        <v/>
      </c>
      <c r="AO2315" s="86" t="str">
        <f>+IF($AG2315=AO$22,MONTH($D2315),"")</f>
        <v/>
      </c>
      <c r="AP2315" s="86" t="str">
        <f>+IF($AG2315=AP$22,MONTH($D2315),"")</f>
        <v/>
      </c>
      <c r="AQ2315" s="86" t="str">
        <f>+IF($AG2315=AQ$22,MONTH($D2315),"")</f>
        <v/>
      </c>
      <c r="AR2315" s="86" t="str">
        <f>+IF($AG2315=AR$22,MONTH($D2315),"")</f>
        <v/>
      </c>
      <c r="AS2315" s="86">
        <f>+IF($AG2315=AS$22,MONTH($D2315),"")</f>
        <v>5</v>
      </c>
      <c r="AT2315" s="86" t="str">
        <f>+IF($AG2315=AT$22,MONTH($D2315),"")</f>
        <v/>
      </c>
      <c r="AU2315" s="86" t="str">
        <f>+IF($AG2315=AU$22,MONTH($D2315),"")</f>
        <v/>
      </c>
      <c r="AV2315" s="86" t="str">
        <f>+IF($AG2315=AV$22,MONTH($D2315),"")</f>
        <v/>
      </c>
      <c r="AW2315" s="86" t="str">
        <f>+IF($AG2315=AW$22,MONTH($D2315),"")</f>
        <v/>
      </c>
      <c r="AX2315" s="86" t="str">
        <f>+IF($AG2315=AX$22,MONTH($D2315),"")</f>
        <v/>
      </c>
      <c r="AY2315" s="89"/>
      <c r="AZ2315" s="89"/>
      <c r="BA2315" s="89"/>
      <c r="BB2315" s="89"/>
      <c r="BC2315" s="89"/>
      <c r="BD2315" s="89"/>
      <c r="BE2315" s="89"/>
      <c r="BF2315" s="89"/>
      <c r="BG2315" s="89"/>
      <c r="BH2315" s="89"/>
      <c r="BI2315" s="89"/>
      <c r="BJ2315" s="89"/>
      <c r="BK2315" s="89"/>
      <c r="BL2315" s="89"/>
      <c r="BM2315" s="89"/>
      <c r="BN2315" s="89"/>
      <c r="BO2315" s="89"/>
      <c r="BP2315" s="89"/>
    </row>
    <row r="2316" spans="1:68" s="56" customFormat="1" ht="40.5" hidden="1">
      <c r="A2316" s="204" t="str">
        <f>+IFERROR(VALUE(MID(AB2316,4,4)),"")</f>
        <v/>
      </c>
      <c r="B2316" s="204">
        <f>VALUE(RIGHT(C2316,LEN(C2316)-2))</f>
        <v>409</v>
      </c>
      <c r="C2316" s="74" t="s">
        <v>7891</v>
      </c>
      <c r="D2316" s="75">
        <v>42149</v>
      </c>
      <c r="E2316" s="70" t="s">
        <v>5662</v>
      </c>
      <c r="F2316" s="70" t="s">
        <v>53</v>
      </c>
      <c r="G2316" s="68" t="s">
        <v>7892</v>
      </c>
      <c r="H2316" s="59"/>
      <c r="I2316" s="162" t="s">
        <v>7893</v>
      </c>
      <c r="J2316" s="162"/>
      <c r="K2316" s="68" t="s">
        <v>275</v>
      </c>
      <c r="L2316" s="69" t="s">
        <v>123</v>
      </c>
      <c r="M2316" s="71" t="s">
        <v>141</v>
      </c>
      <c r="N2316" s="69" t="e" vm="1">
        <v>#VALUE!</v>
      </c>
      <c r="O2316" s="164">
        <v>42149</v>
      </c>
      <c r="P2316" s="72" t="s">
        <v>402</v>
      </c>
      <c r="Q2316" s="72"/>
      <c r="R2316" s="162"/>
      <c r="S2316" s="146"/>
      <c r="T2316" s="68" t="s">
        <v>165</v>
      </c>
      <c r="U2316" s="87"/>
      <c r="V2316" s="183">
        <v>42156</v>
      </c>
      <c r="W2316" s="73">
        <v>364</v>
      </c>
      <c r="X2316" s="73"/>
      <c r="Y2316" s="83"/>
      <c r="Z2316" s="183"/>
      <c r="AA2316" s="183"/>
      <c r="AB2316" s="223"/>
      <c r="AC2316" s="153"/>
      <c r="AD2316" s="331"/>
      <c r="AE2316" s="57"/>
      <c r="AF2316" s="88"/>
      <c r="AG2316" s="182">
        <f>YEAR(D2316)</f>
        <v>2015</v>
      </c>
      <c r="AH2316" s="86" t="str">
        <f>+IF(AE2316=$AJ$22,MONTH(T2316),"")</f>
        <v/>
      </c>
      <c r="AI2316" s="86" t="str">
        <f>+IF(AF2316=$AJ$22,MONTH(U2316),"")</f>
        <v/>
      </c>
      <c r="AJ2316" s="86" t="str">
        <f>+IF(AG2316=$AJ$22,MONTH(V2316),"")</f>
        <v/>
      </c>
      <c r="AK2316" s="86" t="str">
        <f>+IF(AG2316=$AK$22,MONTH(V2316),"")</f>
        <v/>
      </c>
      <c r="AL2316" s="86" t="str">
        <f>+IF(AG2316=$AL$22,MONTH(V2316),"")</f>
        <v/>
      </c>
      <c r="AM2316" s="86" t="str">
        <f>+IF($AG2316=$AM$22,MONTH($D2316),"")</f>
        <v/>
      </c>
      <c r="AN2316" s="89" t="str">
        <f>+IF($AG2316=AN$22,MONTH($D2316),"")</f>
        <v/>
      </c>
      <c r="AO2316" s="86" t="str">
        <f>+IF($AG2316=AO$22,MONTH($D2316),"")</f>
        <v/>
      </c>
      <c r="AP2316" s="86" t="str">
        <f>+IF($AG2316=AP$22,MONTH($D2316),"")</f>
        <v/>
      </c>
      <c r="AQ2316" s="86" t="str">
        <f>+IF($AG2316=AQ$22,MONTH($D2316),"")</f>
        <v/>
      </c>
      <c r="AR2316" s="86" t="str">
        <f>+IF($AG2316=AR$22,MONTH($D2316),"")</f>
        <v/>
      </c>
      <c r="AS2316" s="86">
        <f>+IF($AG2316=AS$22,MONTH($D2316),"")</f>
        <v>5</v>
      </c>
      <c r="AT2316" s="86" t="str">
        <f>+IF($AG2316=AT$22,MONTH($D2316),"")</f>
        <v/>
      </c>
      <c r="AU2316" s="86" t="str">
        <f>+IF($AG2316=AU$22,MONTH($D2316),"")</f>
        <v/>
      </c>
      <c r="AV2316" s="86" t="str">
        <f>+IF($AG2316=AV$22,MONTH($D2316),"")</f>
        <v/>
      </c>
      <c r="AW2316" s="86" t="str">
        <f>+IF($AG2316=AW$22,MONTH($D2316),"")</f>
        <v/>
      </c>
      <c r="AX2316" s="86" t="str">
        <f>+IF($AG2316=AX$22,MONTH($D2316),"")</f>
        <v/>
      </c>
      <c r="AY2316" s="89"/>
      <c r="AZ2316" s="89"/>
      <c r="BA2316" s="89"/>
      <c r="BB2316" s="89"/>
      <c r="BC2316" s="89"/>
      <c r="BD2316" s="89"/>
      <c r="BE2316" s="89"/>
      <c r="BF2316" s="89"/>
      <c r="BG2316" s="89"/>
      <c r="BH2316" s="89"/>
      <c r="BI2316" s="89"/>
      <c r="BJ2316" s="89"/>
      <c r="BK2316" s="89"/>
      <c r="BL2316" s="89"/>
      <c r="BM2316" s="89"/>
      <c r="BN2316" s="89"/>
      <c r="BO2316" s="89"/>
      <c r="BP2316" s="89"/>
    </row>
    <row r="2317" spans="1:68" s="56" customFormat="1" ht="27" hidden="1">
      <c r="A2317" s="204">
        <f>+IFERROR(VALUE(MID(AB2317,4,4)),"")</f>
        <v>-11</v>
      </c>
      <c r="B2317" s="204">
        <f>VALUE(RIGHT(C2317,LEN(C2317)-2))</f>
        <v>408</v>
      </c>
      <c r="C2317" s="74" t="s">
        <v>7894</v>
      </c>
      <c r="D2317" s="75">
        <v>42149</v>
      </c>
      <c r="E2317" s="70" t="s">
        <v>332</v>
      </c>
      <c r="F2317" s="70" t="s">
        <v>332</v>
      </c>
      <c r="G2317" s="68" t="s">
        <v>285</v>
      </c>
      <c r="H2317" s="59" t="s">
        <v>7401</v>
      </c>
      <c r="I2317" s="162" t="s">
        <v>7895</v>
      </c>
      <c r="J2317" s="162"/>
      <c r="K2317" s="68" t="s">
        <v>31</v>
      </c>
      <c r="L2317" s="69" t="s">
        <v>120</v>
      </c>
      <c r="M2317" s="71" t="s">
        <v>141</v>
      </c>
      <c r="N2317" s="69" t="e" vm="1">
        <v>#VALUE!</v>
      </c>
      <c r="O2317" s="164">
        <v>42149</v>
      </c>
      <c r="P2317" s="72" t="s">
        <v>402</v>
      </c>
      <c r="Q2317" s="72"/>
      <c r="R2317" s="162"/>
      <c r="S2317" s="146"/>
      <c r="T2317" s="68" t="s">
        <v>3</v>
      </c>
      <c r="U2317" s="87"/>
      <c r="V2317" s="183">
        <v>42174</v>
      </c>
      <c r="W2317" s="73">
        <v>670</v>
      </c>
      <c r="X2317" s="73">
        <f>955*24600/1000000</f>
        <v>23.492999999999999</v>
      </c>
      <c r="Y2317" s="73">
        <f>IF(SUM(W2317:W2317)&gt;0,X2317/SUM(W2317:W2317)*1000000,"N/A")</f>
        <v>35064.179104477611</v>
      </c>
      <c r="Z2317" s="183"/>
      <c r="AA2317" s="183"/>
      <c r="AB2317" s="223" t="s">
        <v>7896</v>
      </c>
      <c r="AC2317" s="153"/>
      <c r="AD2317" s="331"/>
      <c r="AE2317" s="57"/>
      <c r="AF2317" s="88"/>
      <c r="AG2317" s="182">
        <f>YEAR(D2317)</f>
        <v>2015</v>
      </c>
      <c r="AH2317" s="86" t="str">
        <f>+IF(AE2317=$AJ$22,MONTH(T2317),"")</f>
        <v/>
      </c>
      <c r="AI2317" s="86" t="str">
        <f>+IF(AF2317=$AJ$22,MONTH(U2317),"")</f>
        <v/>
      </c>
      <c r="AJ2317" s="86" t="str">
        <f>+IF(AG2317=$AJ$22,MONTH(V2317),"")</f>
        <v/>
      </c>
      <c r="AK2317" s="86" t="str">
        <f>+IF(AG2317=$AK$22,MONTH(V2317),"")</f>
        <v/>
      </c>
      <c r="AL2317" s="86" t="str">
        <f>+IF(AG2317=$AL$22,MONTH(V2317),"")</f>
        <v/>
      </c>
      <c r="AM2317" s="86" t="str">
        <f>+IF($AG2317=$AM$22,MONTH($D2317),"")</f>
        <v/>
      </c>
      <c r="AN2317" s="89" t="str">
        <f>+IF($AG2317=AN$22,MONTH($D2317),"")</f>
        <v/>
      </c>
      <c r="AO2317" s="86" t="str">
        <f>+IF($AG2317=AO$22,MONTH($D2317),"")</f>
        <v/>
      </c>
      <c r="AP2317" s="86" t="str">
        <f>+IF($AG2317=AP$22,MONTH($D2317),"")</f>
        <v/>
      </c>
      <c r="AQ2317" s="86" t="str">
        <f>+IF($AG2317=AQ$22,MONTH($D2317),"")</f>
        <v/>
      </c>
      <c r="AR2317" s="86" t="str">
        <f>+IF($AG2317=AR$22,MONTH($D2317),"")</f>
        <v/>
      </c>
      <c r="AS2317" s="86">
        <f>+IF($AG2317=AS$22,MONTH($D2317),"")</f>
        <v>5</v>
      </c>
      <c r="AT2317" s="86" t="str">
        <f>+IF($AG2317=AT$22,MONTH($D2317),"")</f>
        <v/>
      </c>
      <c r="AU2317" s="86" t="str">
        <f>+IF($AG2317=AU$22,MONTH($D2317),"")</f>
        <v/>
      </c>
      <c r="AV2317" s="86" t="str">
        <f>+IF($AG2317=AV$22,MONTH($D2317),"")</f>
        <v/>
      </c>
      <c r="AW2317" s="86" t="str">
        <f>+IF($AG2317=AW$22,MONTH($D2317),"")</f>
        <v/>
      </c>
      <c r="AX2317" s="86" t="str">
        <f>+IF($AG2317=AX$22,MONTH($D2317),"")</f>
        <v/>
      </c>
      <c r="AY2317" s="89"/>
      <c r="AZ2317" s="89"/>
      <c r="BA2317" s="89"/>
      <c r="BB2317" s="89"/>
      <c r="BC2317" s="89"/>
      <c r="BD2317" s="89"/>
      <c r="BE2317" s="89"/>
      <c r="BF2317" s="89"/>
      <c r="BG2317" s="89"/>
      <c r="BH2317" s="89"/>
      <c r="BI2317" s="89"/>
      <c r="BJ2317" s="89"/>
      <c r="BK2317" s="89"/>
      <c r="BL2317" s="89"/>
      <c r="BM2317" s="89"/>
      <c r="BN2317" s="89"/>
      <c r="BO2317" s="89"/>
      <c r="BP2317" s="89"/>
    </row>
    <row r="2318" spans="1:68" s="56" customFormat="1" ht="27" hidden="1">
      <c r="A2318" s="204" t="str">
        <f>+IFERROR(VALUE(MID(AB2318,4,4)),"")</f>
        <v/>
      </c>
      <c r="B2318" s="204">
        <f>VALUE(RIGHT(C2318,LEN(C2318)-2))</f>
        <v>407</v>
      </c>
      <c r="C2318" s="74" t="s">
        <v>7897</v>
      </c>
      <c r="D2318" s="75">
        <v>42143</v>
      </c>
      <c r="E2318" s="70" t="s">
        <v>51</v>
      </c>
      <c r="F2318" s="70" t="s">
        <v>51</v>
      </c>
      <c r="G2318" s="68" t="s">
        <v>640</v>
      </c>
      <c r="H2318" s="59" t="s">
        <v>7638</v>
      </c>
      <c r="I2318" s="162" t="s">
        <v>7898</v>
      </c>
      <c r="J2318" s="162"/>
      <c r="K2318" s="68" t="s">
        <v>31</v>
      </c>
      <c r="L2318" s="69" t="s">
        <v>120</v>
      </c>
      <c r="M2318" s="71" t="s">
        <v>141</v>
      </c>
      <c r="N2318" s="69" t="e" vm="1">
        <v>#VALUE!</v>
      </c>
      <c r="O2318" s="164">
        <v>42143</v>
      </c>
      <c r="P2318" s="72" t="s">
        <v>402</v>
      </c>
      <c r="Q2318" s="72"/>
      <c r="R2318" s="162"/>
      <c r="S2318" s="146"/>
      <c r="T2318" s="68" t="s">
        <v>165</v>
      </c>
      <c r="U2318" s="87"/>
      <c r="V2318" s="183">
        <v>42150</v>
      </c>
      <c r="W2318" s="73">
        <v>326</v>
      </c>
      <c r="X2318" s="73">
        <f>70*24600/1000000</f>
        <v>1.722</v>
      </c>
      <c r="Y2318" s="83">
        <f>IF(SUM(W2318:W2318)&gt;0,X2318/SUM(W2318:W2318)*1000000,"N/A")</f>
        <v>5282.2085889570553</v>
      </c>
      <c r="Z2318" s="183"/>
      <c r="AA2318" s="183"/>
      <c r="AB2318" s="223"/>
      <c r="AC2318" s="153"/>
      <c r="AD2318" s="331"/>
      <c r="AE2318" s="57"/>
      <c r="AF2318" s="88"/>
      <c r="AG2318" s="182">
        <f>YEAR(D2318)</f>
        <v>2015</v>
      </c>
      <c r="AH2318" s="86" t="str">
        <f>+IF(AE2318=$AJ$22,MONTH(T2318),"")</f>
        <v/>
      </c>
      <c r="AI2318" s="86" t="str">
        <f>+IF(AF2318=$AJ$22,MONTH(U2318),"")</f>
        <v/>
      </c>
      <c r="AJ2318" s="86" t="str">
        <f>+IF(AG2318=$AJ$22,MONTH(V2318),"")</f>
        <v/>
      </c>
      <c r="AK2318" s="86" t="str">
        <f>+IF(AG2318=$AK$22,MONTH(V2318),"")</f>
        <v/>
      </c>
      <c r="AL2318" s="86" t="str">
        <f>+IF(AG2318=$AL$22,MONTH(V2318),"")</f>
        <v/>
      </c>
      <c r="AM2318" s="86" t="str">
        <f>+IF($AG2318=$AM$22,MONTH($D2318),"")</f>
        <v/>
      </c>
      <c r="AN2318" s="89" t="str">
        <f>+IF($AG2318=AN$22,MONTH($D2318),"")</f>
        <v/>
      </c>
      <c r="AO2318" s="86" t="str">
        <f>+IF($AG2318=AO$22,MONTH($D2318),"")</f>
        <v/>
      </c>
      <c r="AP2318" s="86" t="str">
        <f>+IF($AG2318=AP$22,MONTH($D2318),"")</f>
        <v/>
      </c>
      <c r="AQ2318" s="86" t="str">
        <f>+IF($AG2318=AQ$22,MONTH($D2318),"")</f>
        <v/>
      </c>
      <c r="AR2318" s="86" t="str">
        <f>+IF($AG2318=AR$22,MONTH($D2318),"")</f>
        <v/>
      </c>
      <c r="AS2318" s="86">
        <f>+IF($AG2318=AS$22,MONTH($D2318),"")</f>
        <v>5</v>
      </c>
      <c r="AT2318" s="86" t="str">
        <f>+IF($AG2318=AT$22,MONTH($D2318),"")</f>
        <v/>
      </c>
      <c r="AU2318" s="86" t="str">
        <f>+IF($AG2318=AU$22,MONTH($D2318),"")</f>
        <v/>
      </c>
      <c r="AV2318" s="86" t="str">
        <f>+IF($AG2318=AV$22,MONTH($D2318),"")</f>
        <v/>
      </c>
      <c r="AW2318" s="86" t="str">
        <f>+IF($AG2318=AW$22,MONTH($D2318),"")</f>
        <v/>
      </c>
      <c r="AX2318" s="86" t="str">
        <f>+IF($AG2318=AX$22,MONTH($D2318),"")</f>
        <v/>
      </c>
      <c r="AY2318" s="89"/>
      <c r="AZ2318" s="89"/>
      <c r="BA2318" s="89"/>
      <c r="BB2318" s="89"/>
      <c r="BC2318" s="89"/>
      <c r="BD2318" s="89"/>
      <c r="BE2318" s="89"/>
      <c r="BF2318" s="89"/>
      <c r="BG2318" s="89"/>
      <c r="BH2318" s="89"/>
      <c r="BI2318" s="89"/>
      <c r="BJ2318" s="89"/>
      <c r="BK2318" s="89"/>
      <c r="BL2318" s="89"/>
      <c r="BM2318" s="89"/>
      <c r="BN2318" s="89"/>
      <c r="BO2318" s="89"/>
      <c r="BP2318" s="89"/>
    </row>
    <row r="2319" spans="1:68" s="56" customFormat="1" ht="27" hidden="1">
      <c r="A2319" s="204">
        <f>+IFERROR(VALUE(MID(AB2319,4,4)),"")</f>
        <v>113</v>
      </c>
      <c r="B2319" s="204">
        <f>VALUE(RIGHT(C2319,LEN(C2319)-2))</f>
        <v>406</v>
      </c>
      <c r="C2319" s="74" t="s">
        <v>7899</v>
      </c>
      <c r="D2319" s="75">
        <v>42149</v>
      </c>
      <c r="E2319" s="70" t="s">
        <v>332</v>
      </c>
      <c r="F2319" s="70" t="s">
        <v>332</v>
      </c>
      <c r="G2319" s="68" t="s">
        <v>285</v>
      </c>
      <c r="H2319" s="59" t="s">
        <v>7401</v>
      </c>
      <c r="I2319" s="162" t="s">
        <v>7900</v>
      </c>
      <c r="J2319" s="162"/>
      <c r="K2319" s="68" t="s">
        <v>13</v>
      </c>
      <c r="L2319" s="69" t="s">
        <v>120</v>
      </c>
      <c r="M2319" s="71" t="s">
        <v>141</v>
      </c>
      <c r="N2319" s="69" t="e" vm="1">
        <v>#VALUE!</v>
      </c>
      <c r="O2319" s="164">
        <v>42149</v>
      </c>
      <c r="P2319" s="72" t="s">
        <v>402</v>
      </c>
      <c r="Q2319" s="72"/>
      <c r="R2319" s="162"/>
      <c r="S2319" s="146"/>
      <c r="T2319" s="68" t="s">
        <v>3</v>
      </c>
      <c r="U2319" s="87"/>
      <c r="V2319" s="183">
        <v>42150</v>
      </c>
      <c r="W2319" s="73">
        <v>1195</v>
      </c>
      <c r="X2319" s="73">
        <f>1730*24600/1000000</f>
        <v>42.558</v>
      </c>
      <c r="Y2319" s="83">
        <f>IF(SUM(W2319:W2319)&gt;0,X2319/SUM(W2319:W2319)*1000000,"N/A")</f>
        <v>35613.389121338914</v>
      </c>
      <c r="Z2319" s="183"/>
      <c r="AA2319" s="183"/>
      <c r="AB2319" s="223" t="s">
        <v>7901</v>
      </c>
      <c r="AC2319" s="153"/>
      <c r="AD2319" s="331"/>
      <c r="AE2319" s="57"/>
      <c r="AF2319" s="88"/>
      <c r="AG2319" s="182">
        <f>YEAR(D2319)</f>
        <v>2015</v>
      </c>
      <c r="AH2319" s="86" t="str">
        <f>+IF(AE2319=$AJ$22,MONTH(T2319),"")</f>
        <v/>
      </c>
      <c r="AI2319" s="86" t="str">
        <f>+IF(AF2319=$AJ$22,MONTH(U2319),"")</f>
        <v/>
      </c>
      <c r="AJ2319" s="86" t="str">
        <f>+IF(AG2319=$AJ$22,MONTH(V2319),"")</f>
        <v/>
      </c>
      <c r="AK2319" s="86" t="str">
        <f>+IF(AG2319=$AK$22,MONTH(V2319),"")</f>
        <v/>
      </c>
      <c r="AL2319" s="86" t="str">
        <f>+IF(AG2319=$AL$22,MONTH(V2319),"")</f>
        <v/>
      </c>
      <c r="AM2319" s="86" t="str">
        <f>+IF($AG2319=$AM$22,MONTH($D2319),"")</f>
        <v/>
      </c>
      <c r="AN2319" s="89" t="str">
        <f>+IF($AG2319=AN$22,MONTH($D2319),"")</f>
        <v/>
      </c>
      <c r="AO2319" s="86" t="str">
        <f>+IF($AG2319=AO$22,MONTH($D2319),"")</f>
        <v/>
      </c>
      <c r="AP2319" s="86" t="str">
        <f>+IF($AG2319=AP$22,MONTH($D2319),"")</f>
        <v/>
      </c>
      <c r="AQ2319" s="86" t="str">
        <f>+IF($AG2319=AQ$22,MONTH($D2319),"")</f>
        <v/>
      </c>
      <c r="AR2319" s="86" t="str">
        <f>+IF($AG2319=AR$22,MONTH($D2319),"")</f>
        <v/>
      </c>
      <c r="AS2319" s="86">
        <f>+IF($AG2319=AS$22,MONTH($D2319),"")</f>
        <v>5</v>
      </c>
      <c r="AT2319" s="86" t="str">
        <f>+IF($AG2319=AT$22,MONTH($D2319),"")</f>
        <v/>
      </c>
      <c r="AU2319" s="86" t="str">
        <f>+IF($AG2319=AU$22,MONTH($D2319),"")</f>
        <v/>
      </c>
      <c r="AV2319" s="86" t="str">
        <f>+IF($AG2319=AV$22,MONTH($D2319),"")</f>
        <v/>
      </c>
      <c r="AW2319" s="86" t="str">
        <f>+IF($AG2319=AW$22,MONTH($D2319),"")</f>
        <v/>
      </c>
      <c r="AX2319" s="86" t="str">
        <f>+IF($AG2319=AX$22,MONTH($D2319),"")</f>
        <v/>
      </c>
      <c r="AY2319" s="89"/>
      <c r="AZ2319" s="89"/>
      <c r="BA2319" s="89"/>
      <c r="BB2319" s="89"/>
      <c r="BC2319" s="89"/>
      <c r="BD2319" s="89"/>
      <c r="BE2319" s="89"/>
      <c r="BF2319" s="89"/>
      <c r="BG2319" s="89"/>
      <c r="BH2319" s="89"/>
      <c r="BI2319" s="89"/>
      <c r="BJ2319" s="89"/>
      <c r="BK2319" s="89"/>
      <c r="BL2319" s="89"/>
      <c r="BM2319" s="89"/>
      <c r="BN2319" s="89"/>
      <c r="BO2319" s="89"/>
      <c r="BP2319" s="89"/>
    </row>
    <row r="2320" spans="1:68" s="56" customFormat="1" ht="27" hidden="1">
      <c r="A2320" s="204">
        <f>+IFERROR(VALUE(MID(AB2320,4,4)),"")</f>
        <v>113</v>
      </c>
      <c r="B2320" s="204">
        <f>VALUE(RIGHT(C2320,LEN(C2320)-2))</f>
        <v>405</v>
      </c>
      <c r="C2320" s="74" t="s">
        <v>7902</v>
      </c>
      <c r="D2320" s="75">
        <v>42136</v>
      </c>
      <c r="E2320" s="70" t="s">
        <v>332</v>
      </c>
      <c r="F2320" s="70" t="s">
        <v>332</v>
      </c>
      <c r="G2320" s="68" t="s">
        <v>7903</v>
      </c>
      <c r="H2320" s="59" t="s">
        <v>7282</v>
      </c>
      <c r="I2320" s="162" t="s">
        <v>7904</v>
      </c>
      <c r="J2320" s="162"/>
      <c r="K2320" s="68" t="s">
        <v>13</v>
      </c>
      <c r="L2320" s="69" t="s">
        <v>120</v>
      </c>
      <c r="M2320" s="71" t="s">
        <v>141</v>
      </c>
      <c r="N2320" s="69" t="e" vm="1">
        <v>#VALUE!</v>
      </c>
      <c r="O2320" s="164">
        <v>42136</v>
      </c>
      <c r="P2320" s="72" t="s">
        <v>402</v>
      </c>
      <c r="Q2320" s="72"/>
      <c r="R2320" s="162"/>
      <c r="S2320" s="146"/>
      <c r="T2320" s="68" t="s">
        <v>3</v>
      </c>
      <c r="U2320" s="87"/>
      <c r="V2320" s="183">
        <v>42139</v>
      </c>
      <c r="W2320" s="73">
        <v>193</v>
      </c>
      <c r="X2320" s="73">
        <f>277*24600/1000000</f>
        <v>6.8141999999999996</v>
      </c>
      <c r="Y2320" s="83">
        <f>IF(SUM(W2320:W2320)&gt;0,X2320/SUM(W2320:W2320)*1000000,"N/A")</f>
        <v>35306.735751295339</v>
      </c>
      <c r="Z2320" s="183"/>
      <c r="AA2320" s="183"/>
      <c r="AB2320" s="223" t="s">
        <v>7905</v>
      </c>
      <c r="AC2320" s="153"/>
      <c r="AD2320" s="331"/>
      <c r="AE2320" s="57"/>
      <c r="AF2320" s="88"/>
      <c r="AG2320" s="182">
        <f>YEAR(D2320)</f>
        <v>2015</v>
      </c>
      <c r="AH2320" s="86" t="str">
        <f>+IF(AE2320=$AJ$22,MONTH(T2320),"")</f>
        <v/>
      </c>
      <c r="AI2320" s="86" t="str">
        <f>+IF(AF2320=$AJ$22,MONTH(U2320),"")</f>
        <v/>
      </c>
      <c r="AJ2320" s="86" t="str">
        <f>+IF(AG2320=$AJ$22,MONTH(V2320),"")</f>
        <v/>
      </c>
      <c r="AK2320" s="86" t="str">
        <f>+IF(AG2320=$AK$22,MONTH(V2320),"")</f>
        <v/>
      </c>
      <c r="AL2320" s="86" t="str">
        <f>+IF(AG2320=$AL$22,MONTH(V2320),"")</f>
        <v/>
      </c>
      <c r="AM2320" s="86" t="str">
        <f>+IF($AG2320=$AM$22,MONTH($D2320),"")</f>
        <v/>
      </c>
      <c r="AN2320" s="89" t="str">
        <f>+IF($AG2320=AN$22,MONTH($D2320),"")</f>
        <v/>
      </c>
      <c r="AO2320" s="86" t="str">
        <f>+IF($AG2320=AO$22,MONTH($D2320),"")</f>
        <v/>
      </c>
      <c r="AP2320" s="86" t="str">
        <f>+IF($AG2320=AP$22,MONTH($D2320),"")</f>
        <v/>
      </c>
      <c r="AQ2320" s="86" t="str">
        <f>+IF($AG2320=AQ$22,MONTH($D2320),"")</f>
        <v/>
      </c>
      <c r="AR2320" s="86" t="str">
        <f>+IF($AG2320=AR$22,MONTH($D2320),"")</f>
        <v/>
      </c>
      <c r="AS2320" s="86">
        <f>+IF($AG2320=AS$22,MONTH($D2320),"")</f>
        <v>5</v>
      </c>
      <c r="AT2320" s="86" t="str">
        <f>+IF($AG2320=AT$22,MONTH($D2320),"")</f>
        <v/>
      </c>
      <c r="AU2320" s="86" t="str">
        <f>+IF($AG2320=AU$22,MONTH($D2320),"")</f>
        <v/>
      </c>
      <c r="AV2320" s="86" t="str">
        <f>+IF($AG2320=AV$22,MONTH($D2320),"")</f>
        <v/>
      </c>
      <c r="AW2320" s="86" t="str">
        <f>+IF($AG2320=AW$22,MONTH($D2320),"")</f>
        <v/>
      </c>
      <c r="AX2320" s="86" t="str">
        <f>+IF($AG2320=AX$22,MONTH($D2320),"")</f>
        <v/>
      </c>
      <c r="AY2320" s="89"/>
      <c r="AZ2320" s="89"/>
      <c r="BA2320" s="89"/>
      <c r="BB2320" s="89"/>
      <c r="BC2320" s="89"/>
      <c r="BD2320" s="89"/>
      <c r="BE2320" s="89"/>
      <c r="BF2320" s="89"/>
      <c r="BG2320" s="89"/>
      <c r="BH2320" s="89"/>
      <c r="BI2320" s="89"/>
      <c r="BJ2320" s="89"/>
      <c r="BK2320" s="89"/>
      <c r="BL2320" s="89"/>
      <c r="BM2320" s="89"/>
      <c r="BN2320" s="89"/>
      <c r="BO2320" s="89"/>
      <c r="BP2320" s="89"/>
    </row>
    <row r="2321" spans="1:68" s="56" customFormat="1" ht="13.5" hidden="1">
      <c r="A2321" s="204" t="str">
        <f>+IFERROR(VALUE(MID(AB2321,4,4)),"")</f>
        <v/>
      </c>
      <c r="B2321" s="204">
        <f>VALUE(RIGHT(C2321,LEN(C2321)-2))</f>
        <v>404</v>
      </c>
      <c r="C2321" s="74" t="s">
        <v>7906</v>
      </c>
      <c r="D2321" s="75">
        <v>42136</v>
      </c>
      <c r="E2321" s="70" t="s">
        <v>332</v>
      </c>
      <c r="F2321" s="70" t="s">
        <v>332</v>
      </c>
      <c r="G2321" s="68" t="s">
        <v>7903</v>
      </c>
      <c r="H2321" s="59" t="s">
        <v>7282</v>
      </c>
      <c r="I2321" s="162" t="s">
        <v>7907</v>
      </c>
      <c r="J2321" s="162"/>
      <c r="K2321" s="68" t="s">
        <v>13</v>
      </c>
      <c r="L2321" s="69" t="s">
        <v>120</v>
      </c>
      <c r="M2321" s="71" t="s">
        <v>141</v>
      </c>
      <c r="N2321" s="69" t="e" vm="1">
        <v>#VALUE!</v>
      </c>
      <c r="O2321" s="164">
        <v>42136</v>
      </c>
      <c r="P2321" s="72" t="s">
        <v>402</v>
      </c>
      <c r="Q2321" s="72"/>
      <c r="R2321" s="162"/>
      <c r="S2321" s="146"/>
      <c r="T2321" s="68" t="s">
        <v>3</v>
      </c>
      <c r="U2321" s="87"/>
      <c r="V2321" s="183">
        <v>42139</v>
      </c>
      <c r="W2321" s="73">
        <v>262</v>
      </c>
      <c r="X2321" s="73">
        <f>379*24600/1000000</f>
        <v>9.3233999999999995</v>
      </c>
      <c r="Y2321" s="83">
        <f>IF(SUM(W2321:W2321)&gt;0,X2321/SUM(W2321:W2321)*1000000,"N/A")</f>
        <v>35585.496183206102</v>
      </c>
      <c r="Z2321" s="183"/>
      <c r="AA2321" s="183"/>
      <c r="AB2321" s="223"/>
      <c r="AC2321" s="153"/>
      <c r="AD2321" s="331"/>
      <c r="AE2321" s="57"/>
      <c r="AF2321" s="88"/>
      <c r="AG2321" s="182">
        <f>YEAR(D2321)</f>
        <v>2015</v>
      </c>
      <c r="AH2321" s="86" t="str">
        <f>+IF(AE2321=$AJ$22,MONTH(T2321),"")</f>
        <v/>
      </c>
      <c r="AI2321" s="86" t="str">
        <f>+IF(AF2321=$AJ$22,MONTH(U2321),"")</f>
        <v/>
      </c>
      <c r="AJ2321" s="86" t="str">
        <f>+IF(AG2321=$AJ$22,MONTH(V2321),"")</f>
        <v/>
      </c>
      <c r="AK2321" s="86" t="str">
        <f>+IF(AG2321=$AK$22,MONTH(V2321),"")</f>
        <v/>
      </c>
      <c r="AL2321" s="86" t="str">
        <f>+IF(AG2321=$AL$22,MONTH(V2321),"")</f>
        <v/>
      </c>
      <c r="AM2321" s="86" t="str">
        <f>+IF($AG2321=$AM$22,MONTH($D2321),"")</f>
        <v/>
      </c>
      <c r="AN2321" s="89" t="str">
        <f>+IF($AG2321=AN$22,MONTH($D2321),"")</f>
        <v/>
      </c>
      <c r="AO2321" s="86" t="str">
        <f>+IF($AG2321=AO$22,MONTH($D2321),"")</f>
        <v/>
      </c>
      <c r="AP2321" s="86" t="str">
        <f>+IF($AG2321=AP$22,MONTH($D2321),"")</f>
        <v/>
      </c>
      <c r="AQ2321" s="86" t="str">
        <f>+IF($AG2321=AQ$22,MONTH($D2321),"")</f>
        <v/>
      </c>
      <c r="AR2321" s="86" t="str">
        <f>+IF($AG2321=AR$22,MONTH($D2321),"")</f>
        <v/>
      </c>
      <c r="AS2321" s="86">
        <f>+IF($AG2321=AS$22,MONTH($D2321),"")</f>
        <v>5</v>
      </c>
      <c r="AT2321" s="86" t="str">
        <f>+IF($AG2321=AT$22,MONTH($D2321),"")</f>
        <v/>
      </c>
      <c r="AU2321" s="86" t="str">
        <f>+IF($AG2321=AU$22,MONTH($D2321),"")</f>
        <v/>
      </c>
      <c r="AV2321" s="86" t="str">
        <f>+IF($AG2321=AV$22,MONTH($D2321),"")</f>
        <v/>
      </c>
      <c r="AW2321" s="86" t="str">
        <f>+IF($AG2321=AW$22,MONTH($D2321),"")</f>
        <v/>
      </c>
      <c r="AX2321" s="86" t="str">
        <f>+IF($AG2321=AX$22,MONTH($D2321),"")</f>
        <v/>
      </c>
      <c r="AY2321" s="89"/>
      <c r="AZ2321" s="89"/>
      <c r="BA2321" s="89"/>
      <c r="BB2321" s="89"/>
      <c r="BC2321" s="89"/>
      <c r="BD2321" s="89"/>
      <c r="BE2321" s="89"/>
      <c r="BF2321" s="89"/>
      <c r="BG2321" s="89"/>
      <c r="BH2321" s="89"/>
      <c r="BI2321" s="89"/>
      <c r="BJ2321" s="89"/>
      <c r="BK2321" s="89"/>
      <c r="BL2321" s="89"/>
      <c r="BM2321" s="89"/>
      <c r="BN2321" s="89"/>
      <c r="BO2321" s="89"/>
      <c r="BP2321" s="89"/>
    </row>
    <row r="2322" spans="1:68" s="56" customFormat="1" ht="27" hidden="1">
      <c r="A2322" s="204">
        <f>+IFERROR(VALUE(MID(AB2322,4,4)),"")</f>
        <v>113</v>
      </c>
      <c r="B2322" s="204">
        <f>VALUE(RIGHT(C2322,LEN(C2322)-2))</f>
        <v>403</v>
      </c>
      <c r="C2322" s="74" t="s">
        <v>7908</v>
      </c>
      <c r="D2322" s="75">
        <v>42136</v>
      </c>
      <c r="E2322" s="70" t="s">
        <v>332</v>
      </c>
      <c r="F2322" s="70" t="s">
        <v>332</v>
      </c>
      <c r="G2322" s="68" t="s">
        <v>7903</v>
      </c>
      <c r="H2322" s="59" t="s">
        <v>7282</v>
      </c>
      <c r="I2322" s="162" t="s">
        <v>7909</v>
      </c>
      <c r="J2322" s="162"/>
      <c r="K2322" s="68" t="s">
        <v>13</v>
      </c>
      <c r="L2322" s="69" t="s">
        <v>120</v>
      </c>
      <c r="M2322" s="71" t="s">
        <v>141</v>
      </c>
      <c r="N2322" s="69" t="e" vm="1">
        <v>#VALUE!</v>
      </c>
      <c r="O2322" s="164">
        <v>42136</v>
      </c>
      <c r="P2322" s="72" t="s">
        <v>402</v>
      </c>
      <c r="Q2322" s="72"/>
      <c r="R2322" s="162"/>
      <c r="S2322" s="146"/>
      <c r="T2322" s="68" t="s">
        <v>3</v>
      </c>
      <c r="U2322" s="87"/>
      <c r="V2322" s="183">
        <v>42139</v>
      </c>
      <c r="W2322" s="73">
        <v>172</v>
      </c>
      <c r="X2322" s="73">
        <f>268*24600/1000000</f>
        <v>6.5928000000000004</v>
      </c>
      <c r="Y2322" s="83">
        <f>IF(SUM(W2322:W2322)&gt;0,X2322/SUM(W2322:W2322)*1000000,"N/A")</f>
        <v>38330.232558139542</v>
      </c>
      <c r="Z2322" s="183"/>
      <c r="AA2322" s="183"/>
      <c r="AB2322" s="223" t="s">
        <v>7910</v>
      </c>
      <c r="AC2322" s="153"/>
      <c r="AD2322" s="331"/>
      <c r="AE2322" s="57"/>
      <c r="AF2322" s="88"/>
      <c r="AG2322" s="182">
        <f>YEAR(D2322)</f>
        <v>2015</v>
      </c>
      <c r="AH2322" s="86" t="str">
        <f>+IF(AE2322=$AJ$22,MONTH(T2322),"")</f>
        <v/>
      </c>
      <c r="AI2322" s="86" t="str">
        <f>+IF(AF2322=$AJ$22,MONTH(U2322),"")</f>
        <v/>
      </c>
      <c r="AJ2322" s="86" t="str">
        <f>+IF(AG2322=$AJ$22,MONTH(V2322),"")</f>
        <v/>
      </c>
      <c r="AK2322" s="86" t="str">
        <f>+IF(AG2322=$AK$22,MONTH(V2322),"")</f>
        <v/>
      </c>
      <c r="AL2322" s="86" t="str">
        <f>+IF(AG2322=$AL$22,MONTH(V2322),"")</f>
        <v/>
      </c>
      <c r="AM2322" s="86" t="str">
        <f>+IF($AG2322=$AM$22,MONTH($D2322),"")</f>
        <v/>
      </c>
      <c r="AN2322" s="89" t="str">
        <f>+IF($AG2322=AN$22,MONTH($D2322),"")</f>
        <v/>
      </c>
      <c r="AO2322" s="86" t="str">
        <f>+IF($AG2322=AO$22,MONTH($D2322),"")</f>
        <v/>
      </c>
      <c r="AP2322" s="86" t="str">
        <f>+IF($AG2322=AP$22,MONTH($D2322),"")</f>
        <v/>
      </c>
      <c r="AQ2322" s="86" t="str">
        <f>+IF($AG2322=AQ$22,MONTH($D2322),"")</f>
        <v/>
      </c>
      <c r="AR2322" s="86" t="str">
        <f>+IF($AG2322=AR$22,MONTH($D2322),"")</f>
        <v/>
      </c>
      <c r="AS2322" s="86">
        <f>+IF($AG2322=AS$22,MONTH($D2322),"")</f>
        <v>5</v>
      </c>
      <c r="AT2322" s="86" t="str">
        <f>+IF($AG2322=AT$22,MONTH($D2322),"")</f>
        <v/>
      </c>
      <c r="AU2322" s="86" t="str">
        <f>+IF($AG2322=AU$22,MONTH($D2322),"")</f>
        <v/>
      </c>
      <c r="AV2322" s="86" t="str">
        <f>+IF($AG2322=AV$22,MONTH($D2322),"")</f>
        <v/>
      </c>
      <c r="AW2322" s="86" t="str">
        <f>+IF($AG2322=AW$22,MONTH($D2322),"")</f>
        <v/>
      </c>
      <c r="AX2322" s="86" t="str">
        <f>+IF($AG2322=AX$22,MONTH($D2322),"")</f>
        <v/>
      </c>
      <c r="AY2322" s="89"/>
      <c r="AZ2322" s="89"/>
      <c r="BA2322" s="89"/>
      <c r="BB2322" s="89"/>
      <c r="BC2322" s="89"/>
      <c r="BD2322" s="89"/>
      <c r="BE2322" s="89"/>
      <c r="BF2322" s="89"/>
      <c r="BG2322" s="89"/>
      <c r="BH2322" s="89"/>
      <c r="BI2322" s="89"/>
      <c r="BJ2322" s="89"/>
      <c r="BK2322" s="89"/>
      <c r="BL2322" s="89"/>
      <c r="BM2322" s="89"/>
      <c r="BN2322" s="89"/>
      <c r="BO2322" s="89"/>
      <c r="BP2322" s="89"/>
    </row>
    <row r="2323" spans="1:68" s="56" customFormat="1" ht="13.5" hidden="1">
      <c r="A2323" s="204">
        <f>+IFERROR(VALUE(MID(AB2323,4,4)),"")</f>
        <v>121</v>
      </c>
      <c r="B2323" s="204">
        <f>VALUE(RIGHT(C2323,LEN(C2323)-2))</f>
        <v>402</v>
      </c>
      <c r="C2323" s="74" t="s">
        <v>7911</v>
      </c>
      <c r="D2323" s="75">
        <v>42131</v>
      </c>
      <c r="E2323" s="70" t="s">
        <v>106</v>
      </c>
      <c r="F2323" s="70" t="s">
        <v>106</v>
      </c>
      <c r="G2323" s="68" t="s">
        <v>5655</v>
      </c>
      <c r="H2323" s="59" t="s">
        <v>7624</v>
      </c>
      <c r="I2323" s="162" t="s">
        <v>7912</v>
      </c>
      <c r="J2323" s="162"/>
      <c r="K2323" s="68" t="s">
        <v>11</v>
      </c>
      <c r="L2323" s="69" t="s">
        <v>123</v>
      </c>
      <c r="M2323" s="71" t="s">
        <v>141</v>
      </c>
      <c r="N2323" s="69" t="e" vm="1">
        <v>#VALUE!</v>
      </c>
      <c r="O2323" s="164"/>
      <c r="P2323" s="72" t="s">
        <v>402</v>
      </c>
      <c r="Q2323" s="72"/>
      <c r="R2323" s="162"/>
      <c r="S2323" s="146"/>
      <c r="T2323" s="68" t="s">
        <v>3</v>
      </c>
      <c r="U2323" s="87"/>
      <c r="V2323" s="183">
        <v>42178</v>
      </c>
      <c r="W2323" s="73">
        <v>4931</v>
      </c>
      <c r="X2323" s="73">
        <f>4464*25000/1000000</f>
        <v>111.6</v>
      </c>
      <c r="Y2323" s="83">
        <f>IF(SUM(W2323:W2323)&gt;0,X2323/SUM(W2323:W2323)*1000000,"N/A")</f>
        <v>22632.326100182516</v>
      </c>
      <c r="Z2323" s="183"/>
      <c r="AA2323" s="183"/>
      <c r="AB2323" s="223" t="s">
        <v>7913</v>
      </c>
      <c r="AC2323" s="153"/>
      <c r="AD2323" s="331"/>
      <c r="AE2323" s="57"/>
      <c r="AF2323" s="88"/>
      <c r="AG2323" s="182">
        <f>YEAR(D2323)</f>
        <v>2015</v>
      </c>
      <c r="AH2323" s="86" t="str">
        <f>+IF(AE2323=$AJ$22,MONTH(T2323),"")</f>
        <v/>
      </c>
      <c r="AI2323" s="86" t="str">
        <f>+IF(AF2323=$AJ$22,MONTH(U2323),"")</f>
        <v/>
      </c>
      <c r="AJ2323" s="86" t="str">
        <f>+IF(AG2323=$AJ$22,MONTH(V2323),"")</f>
        <v/>
      </c>
      <c r="AK2323" s="86" t="str">
        <f>+IF(AG2323=$AK$22,MONTH(V2323),"")</f>
        <v/>
      </c>
      <c r="AL2323" s="86" t="str">
        <f>+IF(AG2323=$AL$22,MONTH(V2323),"")</f>
        <v/>
      </c>
      <c r="AM2323" s="86" t="str">
        <f>+IF($AG2323=$AM$22,MONTH($D2323),"")</f>
        <v/>
      </c>
      <c r="AN2323" s="89" t="str">
        <f>+IF($AG2323=AN$22,MONTH($D2323),"")</f>
        <v/>
      </c>
      <c r="AO2323" s="86" t="str">
        <f>+IF($AG2323=AO$22,MONTH($D2323),"")</f>
        <v/>
      </c>
      <c r="AP2323" s="86" t="str">
        <f>+IF($AG2323=AP$22,MONTH($D2323),"")</f>
        <v/>
      </c>
      <c r="AQ2323" s="86" t="str">
        <f>+IF($AG2323=AQ$22,MONTH($D2323),"")</f>
        <v/>
      </c>
      <c r="AR2323" s="86" t="str">
        <f>+IF($AG2323=AR$22,MONTH($D2323),"")</f>
        <v/>
      </c>
      <c r="AS2323" s="86">
        <f>+IF($AG2323=AS$22,MONTH($D2323),"")</f>
        <v>5</v>
      </c>
      <c r="AT2323" s="86" t="str">
        <f>+IF($AG2323=AT$22,MONTH($D2323),"")</f>
        <v/>
      </c>
      <c r="AU2323" s="86" t="str">
        <f>+IF($AG2323=AU$22,MONTH($D2323),"")</f>
        <v/>
      </c>
      <c r="AV2323" s="86" t="str">
        <f>+IF($AG2323=AV$22,MONTH($D2323),"")</f>
        <v/>
      </c>
      <c r="AW2323" s="86" t="str">
        <f>+IF($AG2323=AW$22,MONTH($D2323),"")</f>
        <v/>
      </c>
      <c r="AX2323" s="86" t="str">
        <f>+IF($AG2323=AX$22,MONTH($D2323),"")</f>
        <v/>
      </c>
      <c r="AY2323" s="89"/>
      <c r="AZ2323" s="89"/>
      <c r="BA2323" s="89"/>
      <c r="BB2323" s="89"/>
      <c r="BC2323" s="89"/>
      <c r="BD2323" s="89"/>
      <c r="BE2323" s="89"/>
      <c r="BF2323" s="89"/>
      <c r="BG2323" s="89"/>
      <c r="BH2323" s="89"/>
      <c r="BI2323" s="89"/>
      <c r="BJ2323" s="89"/>
      <c r="BK2323" s="89"/>
      <c r="BL2323" s="89"/>
      <c r="BM2323" s="89"/>
      <c r="BN2323" s="89"/>
      <c r="BO2323" s="89"/>
      <c r="BP2323" s="89"/>
    </row>
    <row r="2324" spans="1:68" s="56" customFormat="1" ht="13.5" hidden="1">
      <c r="A2324" s="204" t="str">
        <f>+IFERROR(VALUE(MID(AB2324,4,4)),"")</f>
        <v/>
      </c>
      <c r="B2324" s="204">
        <f>VALUE(RIGHT(C2324,LEN(C2324)-2))</f>
        <v>401</v>
      </c>
      <c r="C2324" s="74" t="s">
        <v>7914</v>
      </c>
      <c r="D2324" s="75">
        <v>42129</v>
      </c>
      <c r="E2324" s="70" t="s">
        <v>7915</v>
      </c>
      <c r="F2324" s="70" t="s">
        <v>51</v>
      </c>
      <c r="G2324" s="68" t="s">
        <v>7916</v>
      </c>
      <c r="H2324" s="59"/>
      <c r="I2324" s="162" t="s">
        <v>7917</v>
      </c>
      <c r="J2324" s="162"/>
      <c r="K2324" s="68" t="s">
        <v>113</v>
      </c>
      <c r="L2324" s="69" t="s">
        <v>120</v>
      </c>
      <c r="M2324" s="71" t="s">
        <v>141</v>
      </c>
      <c r="N2324" s="69" t="e" vm="1">
        <v>#VALUE!</v>
      </c>
      <c r="O2324" s="164"/>
      <c r="P2324" s="72" t="s">
        <v>402</v>
      </c>
      <c r="Q2324" s="72"/>
      <c r="R2324" s="162"/>
      <c r="S2324" s="146"/>
      <c r="T2324" s="68" t="s">
        <v>165</v>
      </c>
      <c r="U2324" s="87"/>
      <c r="V2324" s="183">
        <v>42116</v>
      </c>
      <c r="W2324" s="73">
        <v>8400</v>
      </c>
      <c r="X2324" s="73">
        <v>354</v>
      </c>
      <c r="Y2324" s="83">
        <f>IF(SUM(W2324:W2324)&gt;0,X2324/SUM(W2324:W2324)*1000000,"N/A")</f>
        <v>42142.857142857145</v>
      </c>
      <c r="Z2324" s="183"/>
      <c r="AA2324" s="183"/>
      <c r="AB2324" s="223"/>
      <c r="AC2324" s="153"/>
      <c r="AD2324" s="331"/>
      <c r="AE2324" s="57"/>
      <c r="AF2324" s="88"/>
      <c r="AG2324" s="182">
        <f>YEAR(D2324)</f>
        <v>2015</v>
      </c>
      <c r="AH2324" s="86" t="str">
        <f>+IF(AE2324=$AJ$22,MONTH(T2324),"")</f>
        <v/>
      </c>
      <c r="AI2324" s="86" t="str">
        <f>+IF(AF2324=$AJ$22,MONTH(U2324),"")</f>
        <v/>
      </c>
      <c r="AJ2324" s="86" t="str">
        <f>+IF(AG2324=$AJ$22,MONTH(V2324),"")</f>
        <v/>
      </c>
      <c r="AK2324" s="86" t="str">
        <f>+IF(AG2324=$AK$22,MONTH(V2324),"")</f>
        <v/>
      </c>
      <c r="AL2324" s="86" t="str">
        <f>+IF(AG2324=$AL$22,MONTH(V2324),"")</f>
        <v/>
      </c>
      <c r="AM2324" s="86" t="str">
        <f>+IF($AG2324=$AM$22,MONTH($D2324),"")</f>
        <v/>
      </c>
      <c r="AN2324" s="89" t="str">
        <f>+IF($AG2324=AN$22,MONTH($D2324),"")</f>
        <v/>
      </c>
      <c r="AO2324" s="86" t="str">
        <f>+IF($AG2324=AO$22,MONTH($D2324),"")</f>
        <v/>
      </c>
      <c r="AP2324" s="86" t="str">
        <f>+IF($AG2324=AP$22,MONTH($D2324),"")</f>
        <v/>
      </c>
      <c r="AQ2324" s="86" t="str">
        <f>+IF($AG2324=AQ$22,MONTH($D2324),"")</f>
        <v/>
      </c>
      <c r="AR2324" s="86" t="str">
        <f>+IF($AG2324=AR$22,MONTH($D2324),"")</f>
        <v/>
      </c>
      <c r="AS2324" s="86">
        <f>+IF($AG2324=AS$22,MONTH($D2324),"")</f>
        <v>5</v>
      </c>
      <c r="AT2324" s="86" t="str">
        <f>+IF($AG2324=AT$22,MONTH($D2324),"")</f>
        <v/>
      </c>
      <c r="AU2324" s="86" t="str">
        <f>+IF($AG2324=AU$22,MONTH($D2324),"")</f>
        <v/>
      </c>
      <c r="AV2324" s="86" t="str">
        <f>+IF($AG2324=AV$22,MONTH($D2324),"")</f>
        <v/>
      </c>
      <c r="AW2324" s="86" t="str">
        <f>+IF($AG2324=AW$22,MONTH($D2324),"")</f>
        <v/>
      </c>
      <c r="AX2324" s="86" t="str">
        <f>+IF($AG2324=AX$22,MONTH($D2324),"")</f>
        <v/>
      </c>
      <c r="AY2324" s="89"/>
      <c r="AZ2324" s="89"/>
      <c r="BA2324" s="89"/>
      <c r="BB2324" s="89"/>
      <c r="BC2324" s="89"/>
      <c r="BD2324" s="89"/>
      <c r="BE2324" s="89"/>
      <c r="BF2324" s="89"/>
      <c r="BG2324" s="89"/>
      <c r="BH2324" s="89"/>
      <c r="BI2324" s="89"/>
      <c r="BJ2324" s="89"/>
      <c r="BK2324" s="89"/>
      <c r="BL2324" s="89"/>
      <c r="BM2324" s="89"/>
      <c r="BN2324" s="89"/>
      <c r="BO2324" s="89"/>
      <c r="BP2324" s="89"/>
    </row>
    <row r="2325" spans="1:68" s="56" customFormat="1" ht="13.5" hidden="1">
      <c r="A2325" s="204" t="str">
        <f>+IFERROR(VALUE(MID(AB2325,4,4)),"")</f>
        <v/>
      </c>
      <c r="B2325" s="204">
        <f>VALUE(RIGHT(C2325,LEN(C2325)-2))</f>
        <v>400</v>
      </c>
      <c r="C2325" s="74" t="s">
        <v>7918</v>
      </c>
      <c r="D2325" s="75">
        <v>42129</v>
      </c>
      <c r="E2325" s="70" t="s">
        <v>848</v>
      </c>
      <c r="F2325" s="70" t="s">
        <v>848</v>
      </c>
      <c r="G2325" s="68" t="s">
        <v>7919</v>
      </c>
      <c r="H2325" s="59"/>
      <c r="I2325" s="162" t="s">
        <v>7920</v>
      </c>
      <c r="J2325" s="162"/>
      <c r="K2325" s="68" t="s">
        <v>11</v>
      </c>
      <c r="L2325" s="69" t="s">
        <v>120</v>
      </c>
      <c r="M2325" s="71" t="s">
        <v>141</v>
      </c>
      <c r="N2325" s="69" t="e" vm="1">
        <v>#VALUE!</v>
      </c>
      <c r="O2325" s="164">
        <v>42129</v>
      </c>
      <c r="P2325" s="72" t="s">
        <v>402</v>
      </c>
      <c r="Q2325" s="72"/>
      <c r="R2325" s="162"/>
      <c r="S2325" s="146" t="s">
        <v>7296</v>
      </c>
      <c r="T2325" s="68" t="s">
        <v>155</v>
      </c>
      <c r="U2325" s="87"/>
      <c r="V2325" s="183">
        <v>42139</v>
      </c>
      <c r="W2325" s="73"/>
      <c r="X2325" s="73"/>
      <c r="Y2325" s="83"/>
      <c r="Z2325" s="183"/>
      <c r="AA2325" s="183"/>
      <c r="AB2325" s="223"/>
      <c r="AC2325" s="153"/>
      <c r="AD2325" s="331"/>
      <c r="AE2325" s="57"/>
      <c r="AF2325" s="88"/>
      <c r="AG2325" s="182">
        <f>YEAR(D2325)</f>
        <v>2015</v>
      </c>
      <c r="AH2325" s="86" t="str">
        <f>+IF(AE2325=$AJ$22,MONTH(T2325),"")</f>
        <v/>
      </c>
      <c r="AI2325" s="86" t="str">
        <f>+IF(AF2325=$AJ$22,MONTH(U2325),"")</f>
        <v/>
      </c>
      <c r="AJ2325" s="86" t="str">
        <f>+IF(AG2325=$AJ$22,MONTH(V2325),"")</f>
        <v/>
      </c>
      <c r="AK2325" s="86" t="str">
        <f>+IF(AG2325=$AK$22,MONTH(V2325),"")</f>
        <v/>
      </c>
      <c r="AL2325" s="86" t="str">
        <f>+IF(AG2325=$AL$22,MONTH(V2325),"")</f>
        <v/>
      </c>
      <c r="AM2325" s="86" t="str">
        <f>+IF($AG2325=$AM$22,MONTH($D2325),"")</f>
        <v/>
      </c>
      <c r="AN2325" s="89" t="str">
        <f>+IF($AG2325=AN$22,MONTH($D2325),"")</f>
        <v/>
      </c>
      <c r="AO2325" s="86" t="str">
        <f>+IF($AG2325=AO$22,MONTH($D2325),"")</f>
        <v/>
      </c>
      <c r="AP2325" s="86" t="str">
        <f>+IF($AG2325=AP$22,MONTH($D2325),"")</f>
        <v/>
      </c>
      <c r="AQ2325" s="86" t="str">
        <f>+IF($AG2325=AQ$22,MONTH($D2325),"")</f>
        <v/>
      </c>
      <c r="AR2325" s="86" t="str">
        <f>+IF($AG2325=AR$22,MONTH($D2325),"")</f>
        <v/>
      </c>
      <c r="AS2325" s="86">
        <f>+IF($AG2325=AS$22,MONTH($D2325),"")</f>
        <v>5</v>
      </c>
      <c r="AT2325" s="86" t="str">
        <f>+IF($AG2325=AT$22,MONTH($D2325),"")</f>
        <v/>
      </c>
      <c r="AU2325" s="86" t="str">
        <f>+IF($AG2325=AU$22,MONTH($D2325),"")</f>
        <v/>
      </c>
      <c r="AV2325" s="86" t="str">
        <f>+IF($AG2325=AV$22,MONTH($D2325),"")</f>
        <v/>
      </c>
      <c r="AW2325" s="86" t="str">
        <f>+IF($AG2325=AW$22,MONTH($D2325),"")</f>
        <v/>
      </c>
      <c r="AX2325" s="86" t="str">
        <f>+IF($AG2325=AX$22,MONTH($D2325),"")</f>
        <v/>
      </c>
      <c r="AY2325" s="89"/>
      <c r="AZ2325" s="89"/>
      <c r="BA2325" s="89"/>
      <c r="BB2325" s="89"/>
      <c r="BC2325" s="89"/>
      <c r="BD2325" s="89"/>
      <c r="BE2325" s="89"/>
      <c r="BF2325" s="89"/>
      <c r="BG2325" s="89"/>
      <c r="BH2325" s="89"/>
      <c r="BI2325" s="89"/>
      <c r="BJ2325" s="89"/>
      <c r="BK2325" s="89"/>
      <c r="BL2325" s="89"/>
      <c r="BM2325" s="89"/>
      <c r="BN2325" s="89"/>
      <c r="BO2325" s="89"/>
      <c r="BP2325" s="89"/>
    </row>
    <row r="2326" spans="1:68" s="56" customFormat="1" ht="13.5" hidden="1">
      <c r="A2326" s="204" t="str">
        <f>+IFERROR(VALUE(MID(AB2326,4,4)),"")</f>
        <v/>
      </c>
      <c r="B2326" s="204">
        <f>VALUE(RIGHT(C2326,LEN(C2326)-2))</f>
        <v>399</v>
      </c>
      <c r="C2326" s="74" t="s">
        <v>7921</v>
      </c>
      <c r="D2326" s="75">
        <v>42129</v>
      </c>
      <c r="E2326" s="70" t="s">
        <v>346</v>
      </c>
      <c r="F2326" s="70" t="s">
        <v>346</v>
      </c>
      <c r="G2326" s="68" t="s">
        <v>7922</v>
      </c>
      <c r="H2326" s="59"/>
      <c r="I2326" s="162" t="s">
        <v>7923</v>
      </c>
      <c r="J2326" s="162"/>
      <c r="K2326" s="68" t="s">
        <v>12</v>
      </c>
      <c r="L2326" s="69" t="s">
        <v>120</v>
      </c>
      <c r="M2326" s="71" t="s">
        <v>141</v>
      </c>
      <c r="N2326" s="69" t="e" vm="1">
        <v>#VALUE!</v>
      </c>
      <c r="O2326" s="164">
        <v>42129</v>
      </c>
      <c r="P2326" s="72" t="s">
        <v>402</v>
      </c>
      <c r="Q2326" s="72"/>
      <c r="R2326" s="162"/>
      <c r="S2326" s="146"/>
      <c r="T2326" s="68" t="s">
        <v>165</v>
      </c>
      <c r="U2326" s="87"/>
      <c r="V2326" s="183">
        <v>42139</v>
      </c>
      <c r="W2326" s="73">
        <v>570</v>
      </c>
      <c r="X2326" s="73">
        <f>800*24600/1000000</f>
        <v>19.68</v>
      </c>
      <c r="Y2326" s="83">
        <f>IF(SUM(W2326:W2326)&gt;0,X2326/SUM(W2326:W2326)*1000000,"N/A")</f>
        <v>34526.31578947368</v>
      </c>
      <c r="Z2326" s="183"/>
      <c r="AA2326" s="183"/>
      <c r="AB2326" s="223"/>
      <c r="AC2326" s="153"/>
      <c r="AD2326" s="331"/>
      <c r="AE2326" s="57"/>
      <c r="AF2326" s="88"/>
      <c r="AG2326" s="182">
        <f>YEAR(D2326)</f>
        <v>2015</v>
      </c>
      <c r="AH2326" s="86" t="str">
        <f>+IF(AE2326=$AJ$22,MONTH(T2326),"")</f>
        <v/>
      </c>
      <c r="AI2326" s="86" t="str">
        <f>+IF(AF2326=$AJ$22,MONTH(U2326),"")</f>
        <v/>
      </c>
      <c r="AJ2326" s="86" t="str">
        <f>+IF(AG2326=$AJ$22,MONTH(V2326),"")</f>
        <v/>
      </c>
      <c r="AK2326" s="86" t="str">
        <f>+IF(AG2326=$AK$22,MONTH(V2326),"")</f>
        <v/>
      </c>
      <c r="AL2326" s="86" t="str">
        <f>+IF(AG2326=$AL$22,MONTH(V2326),"")</f>
        <v/>
      </c>
      <c r="AM2326" s="86" t="str">
        <f>+IF($AG2326=$AM$22,MONTH($D2326),"")</f>
        <v/>
      </c>
      <c r="AN2326" s="89" t="str">
        <f>+IF($AG2326=AN$22,MONTH($D2326),"")</f>
        <v/>
      </c>
      <c r="AO2326" s="86" t="str">
        <f>+IF($AG2326=AO$22,MONTH($D2326),"")</f>
        <v/>
      </c>
      <c r="AP2326" s="86" t="str">
        <f>+IF($AG2326=AP$22,MONTH($D2326),"")</f>
        <v/>
      </c>
      <c r="AQ2326" s="86" t="str">
        <f>+IF($AG2326=AQ$22,MONTH($D2326),"")</f>
        <v/>
      </c>
      <c r="AR2326" s="86" t="str">
        <f>+IF($AG2326=AR$22,MONTH($D2326),"")</f>
        <v/>
      </c>
      <c r="AS2326" s="86">
        <f>+IF($AG2326=AS$22,MONTH($D2326),"")</f>
        <v>5</v>
      </c>
      <c r="AT2326" s="86" t="str">
        <f>+IF($AG2326=AT$22,MONTH($D2326),"")</f>
        <v/>
      </c>
      <c r="AU2326" s="86" t="str">
        <f>+IF($AG2326=AU$22,MONTH($D2326),"")</f>
        <v/>
      </c>
      <c r="AV2326" s="86" t="str">
        <f>+IF($AG2326=AV$22,MONTH($D2326),"")</f>
        <v/>
      </c>
      <c r="AW2326" s="86" t="str">
        <f>+IF($AG2326=AW$22,MONTH($D2326),"")</f>
        <v/>
      </c>
      <c r="AX2326" s="86" t="str">
        <f>+IF($AG2326=AX$22,MONTH($D2326),"")</f>
        <v/>
      </c>
      <c r="AY2326" s="89"/>
      <c r="AZ2326" s="89"/>
      <c r="BA2326" s="89"/>
      <c r="BB2326" s="89"/>
      <c r="BC2326" s="89"/>
      <c r="BD2326" s="89"/>
      <c r="BE2326" s="89"/>
      <c r="BF2326" s="89"/>
      <c r="BG2326" s="89"/>
      <c r="BH2326" s="89"/>
      <c r="BI2326" s="89"/>
      <c r="BJ2326" s="89"/>
      <c r="BK2326" s="89"/>
      <c r="BL2326" s="89"/>
      <c r="BM2326" s="89"/>
      <c r="BN2326" s="89"/>
      <c r="BO2326" s="89"/>
      <c r="BP2326" s="89"/>
    </row>
    <row r="2327" spans="1:68" s="56" customFormat="1" ht="13.5" hidden="1">
      <c r="A2327" s="204" t="str">
        <f>+IFERROR(VALUE(MID(AB2327,4,4)),"")</f>
        <v/>
      </c>
      <c r="B2327" s="204">
        <f>VALUE(RIGHT(C2327,LEN(C2327)-2))</f>
        <v>398</v>
      </c>
      <c r="C2327" s="74" t="s">
        <v>7924</v>
      </c>
      <c r="D2327" s="75">
        <v>42128</v>
      </c>
      <c r="E2327" s="70" t="s">
        <v>53</v>
      </c>
      <c r="F2327" s="70" t="s">
        <v>287</v>
      </c>
      <c r="G2327" s="68" t="s">
        <v>7063</v>
      </c>
      <c r="H2327" s="59" t="s">
        <v>7925</v>
      </c>
      <c r="I2327" s="162" t="s">
        <v>7926</v>
      </c>
      <c r="J2327" s="162"/>
      <c r="K2327" s="68" t="s">
        <v>12</v>
      </c>
      <c r="L2327" s="69" t="s">
        <v>120</v>
      </c>
      <c r="M2327" s="71" t="s">
        <v>141</v>
      </c>
      <c r="N2327" s="69" t="e" vm="1">
        <v>#VALUE!</v>
      </c>
      <c r="O2327" s="164">
        <v>42128</v>
      </c>
      <c r="P2327" s="72" t="s">
        <v>7465</v>
      </c>
      <c r="Q2327" s="72"/>
      <c r="R2327" s="162"/>
      <c r="S2327" s="146"/>
      <c r="T2327" s="68" t="s">
        <v>165</v>
      </c>
      <c r="U2327" s="87"/>
      <c r="V2327" s="183">
        <v>42139</v>
      </c>
      <c r="W2327" s="73">
        <v>100</v>
      </c>
      <c r="X2327" s="73">
        <f>199*24600/1000000</f>
        <v>4.8954000000000004</v>
      </c>
      <c r="Y2327" s="83">
        <f>IF(SUM(W2327:W2327)&gt;0,X2327/SUM(W2327:W2327)*1000000,"N/A")</f>
        <v>48954.000000000007</v>
      </c>
      <c r="Z2327" s="183"/>
      <c r="AA2327" s="183"/>
      <c r="AB2327" s="223"/>
      <c r="AC2327" s="153"/>
      <c r="AD2327" s="331"/>
      <c r="AE2327" s="57"/>
      <c r="AF2327" s="88"/>
      <c r="AG2327" s="182">
        <f>YEAR(D2327)</f>
        <v>2015</v>
      </c>
      <c r="AH2327" s="86" t="str">
        <f>+IF(AE2327=$AJ$22,MONTH(T2327),"")</f>
        <v/>
      </c>
      <c r="AI2327" s="86" t="str">
        <f>+IF(AF2327=$AJ$22,MONTH(U2327),"")</f>
        <v/>
      </c>
      <c r="AJ2327" s="86" t="str">
        <f>+IF(AG2327=$AJ$22,MONTH(V2327),"")</f>
        <v/>
      </c>
      <c r="AK2327" s="86" t="str">
        <f>+IF(AG2327=$AK$22,MONTH(V2327),"")</f>
        <v/>
      </c>
      <c r="AL2327" s="86" t="str">
        <f>+IF(AG2327=$AL$22,MONTH(V2327),"")</f>
        <v/>
      </c>
      <c r="AM2327" s="86" t="str">
        <f>+IF($AG2327=$AM$22,MONTH($D2327),"")</f>
        <v/>
      </c>
      <c r="AN2327" s="89" t="str">
        <f>+IF($AG2327=AN$22,MONTH($D2327),"")</f>
        <v/>
      </c>
      <c r="AO2327" s="86" t="str">
        <f>+IF($AG2327=AO$22,MONTH($D2327),"")</f>
        <v/>
      </c>
      <c r="AP2327" s="86" t="str">
        <f>+IF($AG2327=AP$22,MONTH($D2327),"")</f>
        <v/>
      </c>
      <c r="AQ2327" s="86" t="str">
        <f>+IF($AG2327=AQ$22,MONTH($D2327),"")</f>
        <v/>
      </c>
      <c r="AR2327" s="86" t="str">
        <f>+IF($AG2327=AR$22,MONTH($D2327),"")</f>
        <v/>
      </c>
      <c r="AS2327" s="86">
        <f>+IF($AG2327=AS$22,MONTH($D2327),"")</f>
        <v>5</v>
      </c>
      <c r="AT2327" s="86" t="str">
        <f>+IF($AG2327=AT$22,MONTH($D2327),"")</f>
        <v/>
      </c>
      <c r="AU2327" s="86" t="str">
        <f>+IF($AG2327=AU$22,MONTH($D2327),"")</f>
        <v/>
      </c>
      <c r="AV2327" s="86" t="str">
        <f>+IF($AG2327=AV$22,MONTH($D2327),"")</f>
        <v/>
      </c>
      <c r="AW2327" s="86" t="str">
        <f>+IF($AG2327=AW$22,MONTH($D2327),"")</f>
        <v/>
      </c>
      <c r="AX2327" s="86" t="str">
        <f>+IF($AG2327=AX$22,MONTH($D2327),"")</f>
        <v/>
      </c>
      <c r="AY2327" s="89"/>
      <c r="AZ2327" s="89"/>
      <c r="BA2327" s="89"/>
      <c r="BB2327" s="89"/>
      <c r="BC2327" s="89"/>
      <c r="BD2327" s="89"/>
      <c r="BE2327" s="89"/>
      <c r="BF2327" s="89"/>
      <c r="BG2327" s="89"/>
      <c r="BH2327" s="89"/>
      <c r="BI2327" s="89"/>
      <c r="BJ2327" s="89"/>
      <c r="BK2327" s="89"/>
      <c r="BL2327" s="89"/>
      <c r="BM2327" s="89"/>
      <c r="BN2327" s="89"/>
      <c r="BO2327" s="89"/>
      <c r="BP2327" s="89"/>
    </row>
    <row r="2328" spans="1:68" s="56" customFormat="1" ht="13.5" hidden="1">
      <c r="A2328" s="204" t="str">
        <f>+IFERROR(VALUE(MID(AB2328,4,4)),"")</f>
        <v/>
      </c>
      <c r="B2328" s="204">
        <f>VALUE(RIGHT(C2328,LEN(C2328)-2))</f>
        <v>397</v>
      </c>
      <c r="C2328" s="74" t="s">
        <v>7927</v>
      </c>
      <c r="D2328" s="75">
        <v>42123</v>
      </c>
      <c r="E2328" s="70" t="s">
        <v>7928</v>
      </c>
      <c r="F2328" s="70" t="s">
        <v>7928</v>
      </c>
      <c r="G2328" s="68" t="s">
        <v>7929</v>
      </c>
      <c r="H2328" s="59"/>
      <c r="I2328" s="162" t="s">
        <v>7930</v>
      </c>
      <c r="J2328" s="162"/>
      <c r="K2328" s="68" t="s">
        <v>31</v>
      </c>
      <c r="L2328" s="69" t="s">
        <v>120</v>
      </c>
      <c r="M2328" s="71" t="s">
        <v>141</v>
      </c>
      <c r="N2328" s="69" t="e" vm="1">
        <v>#VALUE!</v>
      </c>
      <c r="O2328" s="164">
        <v>42123</v>
      </c>
      <c r="P2328" s="72" t="s">
        <v>4567</v>
      </c>
      <c r="Q2328" s="72"/>
      <c r="R2328" s="162"/>
      <c r="S2328" s="146" t="s">
        <v>7931</v>
      </c>
      <c r="T2328" s="68" t="s">
        <v>165</v>
      </c>
      <c r="U2328" s="87"/>
      <c r="V2328" s="183">
        <v>42139</v>
      </c>
      <c r="W2328" s="73">
        <v>1920</v>
      </c>
      <c r="X2328" s="73">
        <f>4061*24500/1000000</f>
        <v>99.494500000000002</v>
      </c>
      <c r="Y2328" s="83">
        <f>IF(SUM(W2328:W2328)&gt;0,X2328/SUM(W2328:W2328)*1000000,"N/A")</f>
        <v>51820.052083333328</v>
      </c>
      <c r="Z2328" s="183"/>
      <c r="AA2328" s="183"/>
      <c r="AB2328" s="223"/>
      <c r="AC2328" s="153"/>
      <c r="AD2328" s="331"/>
      <c r="AE2328" s="57"/>
      <c r="AF2328" s="88"/>
      <c r="AG2328" s="182">
        <f>YEAR(D2328)</f>
        <v>2015</v>
      </c>
      <c r="AH2328" s="86" t="str">
        <f>+IF(AE2328=$AJ$22,MONTH(T2328),"")</f>
        <v/>
      </c>
      <c r="AI2328" s="86" t="str">
        <f>+IF(AF2328=$AJ$22,MONTH(U2328),"")</f>
        <v/>
      </c>
      <c r="AJ2328" s="86" t="str">
        <f>+IF(AG2328=$AJ$22,MONTH(V2328),"")</f>
        <v/>
      </c>
      <c r="AK2328" s="86" t="str">
        <f>+IF(AG2328=$AK$22,MONTH(V2328),"")</f>
        <v/>
      </c>
      <c r="AL2328" s="86" t="str">
        <f>+IF(AG2328=$AL$22,MONTH(V2328),"")</f>
        <v/>
      </c>
      <c r="AM2328" s="86" t="str">
        <f>+IF($AG2328=$AM$22,MONTH($D2328),"")</f>
        <v/>
      </c>
      <c r="AN2328" s="89" t="str">
        <f>+IF($AG2328=AN$22,MONTH($D2328),"")</f>
        <v/>
      </c>
      <c r="AO2328" s="86" t="str">
        <f>+IF($AG2328=AO$22,MONTH($D2328),"")</f>
        <v/>
      </c>
      <c r="AP2328" s="86" t="str">
        <f>+IF($AG2328=AP$22,MONTH($D2328),"")</f>
        <v/>
      </c>
      <c r="AQ2328" s="86" t="str">
        <f>+IF($AG2328=AQ$22,MONTH($D2328),"")</f>
        <v/>
      </c>
      <c r="AR2328" s="86" t="str">
        <f>+IF($AG2328=AR$22,MONTH($D2328),"")</f>
        <v/>
      </c>
      <c r="AS2328" s="86">
        <f>+IF($AG2328=AS$22,MONTH($D2328),"")</f>
        <v>4</v>
      </c>
      <c r="AT2328" s="86" t="str">
        <f>+IF($AG2328=AT$22,MONTH($D2328),"")</f>
        <v/>
      </c>
      <c r="AU2328" s="86" t="str">
        <f>+IF($AG2328=AU$22,MONTH($D2328),"")</f>
        <v/>
      </c>
      <c r="AV2328" s="86" t="str">
        <f>+IF($AG2328=AV$22,MONTH($D2328),"")</f>
        <v/>
      </c>
      <c r="AW2328" s="86" t="str">
        <f>+IF($AG2328=AW$22,MONTH($D2328),"")</f>
        <v/>
      </c>
      <c r="AX2328" s="86" t="str">
        <f>+IF($AG2328=AX$22,MONTH($D2328),"")</f>
        <v/>
      </c>
      <c r="AY2328" s="89"/>
      <c r="AZ2328" s="89"/>
      <c r="BA2328" s="89"/>
      <c r="BB2328" s="89"/>
      <c r="BC2328" s="89"/>
      <c r="BD2328" s="89"/>
      <c r="BE2328" s="89"/>
      <c r="BF2328" s="89"/>
      <c r="BG2328" s="89"/>
      <c r="BH2328" s="89"/>
      <c r="BI2328" s="89"/>
      <c r="BJ2328" s="89"/>
      <c r="BK2328" s="89"/>
      <c r="BL2328" s="89"/>
      <c r="BM2328" s="89"/>
      <c r="BN2328" s="89"/>
      <c r="BO2328" s="89"/>
      <c r="BP2328" s="89"/>
    </row>
    <row r="2329" spans="1:68" s="56" customFormat="1" ht="13.5" hidden="1">
      <c r="A2329" s="204" t="str">
        <f>+IFERROR(VALUE(MID(AB2329,4,4)),"")</f>
        <v/>
      </c>
      <c r="B2329" s="204">
        <f>VALUE(RIGHT(C2329,LEN(C2329)-2))</f>
        <v>396</v>
      </c>
      <c r="C2329" s="74" t="s">
        <v>7932</v>
      </c>
      <c r="D2329" s="75">
        <v>42121</v>
      </c>
      <c r="E2329" s="70" t="s">
        <v>277</v>
      </c>
      <c r="F2329" s="70" t="s">
        <v>277</v>
      </c>
      <c r="G2329" s="68" t="s">
        <v>7933</v>
      </c>
      <c r="H2329" s="59"/>
      <c r="I2329" s="162" t="s">
        <v>7934</v>
      </c>
      <c r="J2329" s="162"/>
      <c r="K2329" s="68" t="s">
        <v>12</v>
      </c>
      <c r="L2329" s="69" t="s">
        <v>120</v>
      </c>
      <c r="M2329" s="71" t="s">
        <v>141</v>
      </c>
      <c r="N2329" s="69" t="e" vm="1">
        <v>#VALUE!</v>
      </c>
      <c r="O2329" s="164">
        <v>42121</v>
      </c>
      <c r="P2329" s="72" t="s">
        <v>7465</v>
      </c>
      <c r="Q2329" s="72"/>
      <c r="R2329" s="162"/>
      <c r="S2329" s="146"/>
      <c r="T2329" s="68" t="s">
        <v>165</v>
      </c>
      <c r="U2329" s="87"/>
      <c r="V2329" s="183">
        <v>42139</v>
      </c>
      <c r="W2329" s="73">
        <v>911</v>
      </c>
      <c r="X2329" s="73">
        <f>1491*24500/1000000</f>
        <v>36.529499999999999</v>
      </c>
      <c r="Y2329" s="83">
        <f>IF(SUM(W2329:W2329)&gt;0,X2329/SUM(W2329:W2329)*1000000,"N/A")</f>
        <v>40098.243688254668</v>
      </c>
      <c r="Z2329" s="183"/>
      <c r="AA2329" s="183"/>
      <c r="AB2329" s="223"/>
      <c r="AC2329" s="153"/>
      <c r="AD2329" s="331"/>
      <c r="AE2329" s="57"/>
      <c r="AF2329" s="88"/>
      <c r="AG2329" s="182">
        <f>YEAR(D2329)</f>
        <v>2015</v>
      </c>
      <c r="AH2329" s="86" t="str">
        <f>+IF(AE2329=$AJ$22,MONTH(T2329),"")</f>
        <v/>
      </c>
      <c r="AI2329" s="86" t="str">
        <f>+IF(AF2329=$AJ$22,MONTH(U2329),"")</f>
        <v/>
      </c>
      <c r="AJ2329" s="86" t="str">
        <f>+IF(AG2329=$AJ$22,MONTH(V2329),"")</f>
        <v/>
      </c>
      <c r="AK2329" s="86" t="str">
        <f>+IF(AG2329=$AK$22,MONTH(V2329),"")</f>
        <v/>
      </c>
      <c r="AL2329" s="86" t="str">
        <f>+IF(AG2329=$AL$22,MONTH(V2329),"")</f>
        <v/>
      </c>
      <c r="AM2329" s="86" t="str">
        <f>+IF($AG2329=$AM$22,MONTH($D2329),"")</f>
        <v/>
      </c>
      <c r="AN2329" s="89" t="str">
        <f>+IF($AG2329=AN$22,MONTH($D2329),"")</f>
        <v/>
      </c>
      <c r="AO2329" s="86" t="str">
        <f>+IF($AG2329=AO$22,MONTH($D2329),"")</f>
        <v/>
      </c>
      <c r="AP2329" s="86" t="str">
        <f>+IF($AG2329=AP$22,MONTH($D2329),"")</f>
        <v/>
      </c>
      <c r="AQ2329" s="86" t="str">
        <f>+IF($AG2329=AQ$22,MONTH($D2329),"")</f>
        <v/>
      </c>
      <c r="AR2329" s="86" t="str">
        <f>+IF($AG2329=AR$22,MONTH($D2329),"")</f>
        <v/>
      </c>
      <c r="AS2329" s="86">
        <f>+IF($AG2329=AS$22,MONTH($D2329),"")</f>
        <v>4</v>
      </c>
      <c r="AT2329" s="86" t="str">
        <f>+IF($AG2329=AT$22,MONTH($D2329),"")</f>
        <v/>
      </c>
      <c r="AU2329" s="86" t="str">
        <f>+IF($AG2329=AU$22,MONTH($D2329),"")</f>
        <v/>
      </c>
      <c r="AV2329" s="86" t="str">
        <f>+IF($AG2329=AV$22,MONTH($D2329),"")</f>
        <v/>
      </c>
      <c r="AW2329" s="86" t="str">
        <f>+IF($AG2329=AW$22,MONTH($D2329),"")</f>
        <v/>
      </c>
      <c r="AX2329" s="86" t="str">
        <f>+IF($AG2329=AX$22,MONTH($D2329),"")</f>
        <v/>
      </c>
      <c r="AY2329" s="89"/>
      <c r="AZ2329" s="89"/>
      <c r="BA2329" s="89"/>
      <c r="BB2329" s="89"/>
      <c r="BC2329" s="89"/>
      <c r="BD2329" s="89"/>
      <c r="BE2329" s="89"/>
      <c r="BF2329" s="89"/>
      <c r="BG2329" s="89"/>
      <c r="BH2329" s="89"/>
      <c r="BI2329" s="89"/>
      <c r="BJ2329" s="89"/>
      <c r="BK2329" s="89"/>
      <c r="BL2329" s="89"/>
      <c r="BM2329" s="89"/>
      <c r="BN2329" s="89"/>
      <c r="BO2329" s="89"/>
      <c r="BP2329" s="89"/>
    </row>
    <row r="2330" spans="1:68" s="56" customFormat="1" ht="27" hidden="1">
      <c r="A2330" s="204" t="str">
        <f>+IFERROR(VALUE(MID(AB2330,4,4)),"")</f>
        <v/>
      </c>
      <c r="B2330" s="204">
        <f>VALUE(RIGHT(C2330,LEN(C2330)-2))</f>
        <v>395</v>
      </c>
      <c r="C2330" s="74" t="s">
        <v>7935</v>
      </c>
      <c r="D2330" s="75">
        <v>42115</v>
      </c>
      <c r="E2330" s="70" t="s">
        <v>277</v>
      </c>
      <c r="F2330" s="70" t="s">
        <v>277</v>
      </c>
      <c r="G2330" s="68" t="s">
        <v>7936</v>
      </c>
      <c r="H2330" s="59"/>
      <c r="I2330" s="162" t="s">
        <v>7937</v>
      </c>
      <c r="J2330" s="162"/>
      <c r="K2330" s="68" t="s">
        <v>12</v>
      </c>
      <c r="L2330" s="69" t="s">
        <v>120</v>
      </c>
      <c r="M2330" s="71" t="s">
        <v>141</v>
      </c>
      <c r="N2330" s="69" t="e" vm="1">
        <v>#VALUE!</v>
      </c>
      <c r="O2330" s="164"/>
      <c r="P2330" s="72" t="s">
        <v>402</v>
      </c>
      <c r="Q2330" s="72"/>
      <c r="R2330" s="162"/>
      <c r="S2330" s="146"/>
      <c r="T2330" s="68" t="s">
        <v>165</v>
      </c>
      <c r="U2330" s="87"/>
      <c r="V2330" s="183"/>
      <c r="W2330" s="73">
        <v>1272</v>
      </c>
      <c r="X2330" s="73">
        <f>2549*24500/1000000</f>
        <v>62.450499999999998</v>
      </c>
      <c r="Y2330" s="83">
        <f>IF(SUM(W2330:W2330)&gt;0,X2330/SUM(W2330:W2330)*1000000,"N/A")</f>
        <v>49096.305031446536</v>
      </c>
      <c r="Z2330" s="183"/>
      <c r="AA2330" s="183"/>
      <c r="AB2330" s="223"/>
      <c r="AC2330" s="153"/>
      <c r="AD2330" s="331"/>
      <c r="AE2330" s="57"/>
      <c r="AF2330" s="88"/>
      <c r="AG2330" s="182">
        <f>YEAR(D2330)</f>
        <v>2015</v>
      </c>
      <c r="AH2330" s="86" t="str">
        <f>+IF(AE2330=$AJ$22,MONTH(T2330),"")</f>
        <v/>
      </c>
      <c r="AI2330" s="86" t="str">
        <f>+IF(AF2330=$AJ$22,MONTH(U2330),"")</f>
        <v/>
      </c>
      <c r="AJ2330" s="86" t="str">
        <f>+IF(AG2330=$AJ$22,MONTH(V2330),"")</f>
        <v/>
      </c>
      <c r="AK2330" s="86" t="str">
        <f>+IF(AG2330=$AK$22,MONTH(V2330),"")</f>
        <v/>
      </c>
      <c r="AL2330" s="86" t="str">
        <f>+IF(AG2330=$AL$22,MONTH(V2330),"")</f>
        <v/>
      </c>
      <c r="AM2330" s="86" t="str">
        <f>+IF($AG2330=$AM$22,MONTH($D2330),"")</f>
        <v/>
      </c>
      <c r="AN2330" s="89" t="str">
        <f>+IF($AG2330=AN$22,MONTH($D2330),"")</f>
        <v/>
      </c>
      <c r="AO2330" s="86" t="str">
        <f>+IF($AG2330=AO$22,MONTH($D2330),"")</f>
        <v/>
      </c>
      <c r="AP2330" s="86" t="str">
        <f>+IF($AG2330=AP$22,MONTH($D2330),"")</f>
        <v/>
      </c>
      <c r="AQ2330" s="86" t="str">
        <f>+IF($AG2330=AQ$22,MONTH($D2330),"")</f>
        <v/>
      </c>
      <c r="AR2330" s="86" t="str">
        <f>+IF($AG2330=AR$22,MONTH($D2330),"")</f>
        <v/>
      </c>
      <c r="AS2330" s="86">
        <f>+IF($AG2330=AS$22,MONTH($D2330),"")</f>
        <v>4</v>
      </c>
      <c r="AT2330" s="86" t="str">
        <f>+IF($AG2330=AT$22,MONTH($D2330),"")</f>
        <v/>
      </c>
      <c r="AU2330" s="86" t="str">
        <f>+IF($AG2330=AU$22,MONTH($D2330),"")</f>
        <v/>
      </c>
      <c r="AV2330" s="86" t="str">
        <f>+IF($AG2330=AV$22,MONTH($D2330),"")</f>
        <v/>
      </c>
      <c r="AW2330" s="86" t="str">
        <f>+IF($AG2330=AW$22,MONTH($D2330),"")</f>
        <v/>
      </c>
      <c r="AX2330" s="86" t="str">
        <f>+IF($AG2330=AX$22,MONTH($D2330),"")</f>
        <v/>
      </c>
      <c r="AY2330" s="89"/>
      <c r="AZ2330" s="89"/>
      <c r="BA2330" s="89"/>
      <c r="BB2330" s="89"/>
      <c r="BC2330" s="89"/>
      <c r="BD2330" s="89"/>
      <c r="BE2330" s="89"/>
      <c r="BF2330" s="89"/>
      <c r="BG2330" s="89"/>
      <c r="BH2330" s="89"/>
      <c r="BI2330" s="89"/>
      <c r="BJ2330" s="89"/>
      <c r="BK2330" s="89"/>
      <c r="BL2330" s="89"/>
      <c r="BM2330" s="89"/>
      <c r="BN2330" s="89"/>
      <c r="BO2330" s="89"/>
      <c r="BP2330" s="89"/>
    </row>
    <row r="2331" spans="1:68" s="56" customFormat="1" ht="13.5" hidden="1">
      <c r="A2331" s="204" t="str">
        <f>+IFERROR(VALUE(MID(AB2331,4,4)),"")</f>
        <v/>
      </c>
      <c r="B2331" s="204">
        <f>VALUE(RIGHT(C2331,LEN(C2331)-2))</f>
        <v>394</v>
      </c>
      <c r="C2331" s="74" t="s">
        <v>7938</v>
      </c>
      <c r="D2331" s="75">
        <v>42114</v>
      </c>
      <c r="E2331" s="70" t="s">
        <v>73</v>
      </c>
      <c r="F2331" s="70" t="s">
        <v>100</v>
      </c>
      <c r="G2331" s="68" t="s">
        <v>7939</v>
      </c>
      <c r="H2331" s="59"/>
      <c r="I2331" s="162" t="s">
        <v>7940</v>
      </c>
      <c r="J2331" s="162"/>
      <c r="K2331" s="68" t="s">
        <v>31</v>
      </c>
      <c r="L2331" s="69" t="s">
        <v>120</v>
      </c>
      <c r="M2331" s="71" t="s">
        <v>141</v>
      </c>
      <c r="N2331" s="69" t="e" vm="1">
        <v>#VALUE!</v>
      </c>
      <c r="O2331" s="164"/>
      <c r="P2331" s="72" t="s">
        <v>402</v>
      </c>
      <c r="Q2331" s="72"/>
      <c r="R2331" s="162"/>
      <c r="S2331" s="146"/>
      <c r="T2331" s="68" t="s">
        <v>165</v>
      </c>
      <c r="U2331" s="87"/>
      <c r="V2331" s="183"/>
      <c r="W2331" s="73">
        <f>13*12*4</f>
        <v>624</v>
      </c>
      <c r="X2331" s="73">
        <f>780*24500/1000000</f>
        <v>19.11</v>
      </c>
      <c r="Y2331" s="83">
        <f>IF(SUM(W2331:W2331)&gt;0,X2331/SUM(W2331:W2331)*1000000,"N/A")</f>
        <v>30625</v>
      </c>
      <c r="Z2331" s="183"/>
      <c r="AA2331" s="183"/>
      <c r="AB2331" s="223"/>
      <c r="AC2331" s="153"/>
      <c r="AD2331" s="331"/>
      <c r="AE2331" s="57"/>
      <c r="AF2331" s="88"/>
      <c r="AG2331" s="182">
        <f>YEAR(D2331)</f>
        <v>2015</v>
      </c>
      <c r="AH2331" s="86" t="str">
        <f>+IF(AE2331=$AJ$22,MONTH(T2331),"")</f>
        <v/>
      </c>
      <c r="AI2331" s="86" t="str">
        <f>+IF(AF2331=$AJ$22,MONTH(U2331),"")</f>
        <v/>
      </c>
      <c r="AJ2331" s="86" t="str">
        <f>+IF(AG2331=$AJ$22,MONTH(V2331),"")</f>
        <v/>
      </c>
      <c r="AK2331" s="86" t="str">
        <f>+IF(AG2331=$AK$22,MONTH(V2331),"")</f>
        <v/>
      </c>
      <c r="AL2331" s="86" t="str">
        <f>+IF(AG2331=$AL$22,MONTH(V2331),"")</f>
        <v/>
      </c>
      <c r="AM2331" s="86" t="str">
        <f>+IF($AG2331=$AM$22,MONTH($D2331),"")</f>
        <v/>
      </c>
      <c r="AN2331" s="89" t="str">
        <f>+IF($AG2331=AN$22,MONTH($D2331),"")</f>
        <v/>
      </c>
      <c r="AO2331" s="86" t="str">
        <f>+IF($AG2331=AO$22,MONTH($D2331),"")</f>
        <v/>
      </c>
      <c r="AP2331" s="86" t="str">
        <f>+IF($AG2331=AP$22,MONTH($D2331),"")</f>
        <v/>
      </c>
      <c r="AQ2331" s="86" t="str">
        <f>+IF($AG2331=AQ$22,MONTH($D2331),"")</f>
        <v/>
      </c>
      <c r="AR2331" s="86" t="str">
        <f>+IF($AG2331=AR$22,MONTH($D2331),"")</f>
        <v/>
      </c>
      <c r="AS2331" s="86">
        <f>+IF($AG2331=AS$22,MONTH($D2331),"")</f>
        <v>4</v>
      </c>
      <c r="AT2331" s="86" t="str">
        <f>+IF($AG2331=AT$22,MONTH($D2331),"")</f>
        <v/>
      </c>
      <c r="AU2331" s="86" t="str">
        <f>+IF($AG2331=AU$22,MONTH($D2331),"")</f>
        <v/>
      </c>
      <c r="AV2331" s="86" t="str">
        <f>+IF($AG2331=AV$22,MONTH($D2331),"")</f>
        <v/>
      </c>
      <c r="AW2331" s="86" t="str">
        <f>+IF($AG2331=AW$22,MONTH($D2331),"")</f>
        <v/>
      </c>
      <c r="AX2331" s="86" t="str">
        <f>+IF($AG2331=AX$22,MONTH($D2331),"")</f>
        <v/>
      </c>
      <c r="AY2331" s="89"/>
      <c r="AZ2331" s="89"/>
      <c r="BA2331" s="89"/>
      <c r="BB2331" s="89"/>
      <c r="BC2331" s="89"/>
      <c r="BD2331" s="89"/>
      <c r="BE2331" s="89"/>
      <c r="BF2331" s="89"/>
      <c r="BG2331" s="89"/>
      <c r="BH2331" s="89"/>
      <c r="BI2331" s="89"/>
      <c r="BJ2331" s="89"/>
      <c r="BK2331" s="89"/>
      <c r="BL2331" s="89"/>
      <c r="BM2331" s="89"/>
      <c r="BN2331" s="89"/>
      <c r="BO2331" s="89"/>
      <c r="BP2331" s="89"/>
    </row>
    <row r="2332" spans="1:68" s="56" customFormat="1" ht="27" hidden="1">
      <c r="A2332" s="204">
        <f>+IFERROR(VALUE(MID(AB2332,4,4)),"")</f>
        <v>113</v>
      </c>
      <c r="B2332" s="204">
        <f>VALUE(RIGHT(C2332,LEN(C2332)-2))</f>
        <v>393</v>
      </c>
      <c r="C2332" s="74" t="s">
        <v>7941</v>
      </c>
      <c r="D2332" s="75">
        <v>42114</v>
      </c>
      <c r="E2332" s="70" t="s">
        <v>332</v>
      </c>
      <c r="F2332" s="70" t="s">
        <v>332</v>
      </c>
      <c r="G2332" s="68" t="s">
        <v>285</v>
      </c>
      <c r="H2332" s="59" t="s">
        <v>7401</v>
      </c>
      <c r="I2332" s="162" t="s">
        <v>7942</v>
      </c>
      <c r="J2332" s="162"/>
      <c r="K2332" s="68" t="s">
        <v>31</v>
      </c>
      <c r="L2332" s="69" t="s">
        <v>120</v>
      </c>
      <c r="M2332" s="71" t="s">
        <v>141</v>
      </c>
      <c r="N2332" s="69" t="e" vm="1">
        <v>#VALUE!</v>
      </c>
      <c r="O2332" s="164">
        <v>42121</v>
      </c>
      <c r="P2332" s="72" t="s">
        <v>7465</v>
      </c>
      <c r="Q2332" s="72"/>
      <c r="R2332" s="162"/>
      <c r="S2332" s="146"/>
      <c r="T2332" s="68" t="s">
        <v>3</v>
      </c>
      <c r="U2332" s="87"/>
      <c r="V2332" s="183">
        <v>42139</v>
      </c>
      <c r="W2332" s="73">
        <v>938</v>
      </c>
      <c r="X2332" s="73">
        <f>1443*24500/1000000</f>
        <v>35.353499999999997</v>
      </c>
      <c r="Y2332" s="83">
        <f>IF(SUM(W2332:W2332)&gt;0,X2332/SUM(W2332:W2332)*1000000,"N/A")</f>
        <v>37690.298507462678</v>
      </c>
      <c r="Z2332" s="183"/>
      <c r="AA2332" s="183"/>
      <c r="AB2332" s="223" t="s">
        <v>7943</v>
      </c>
      <c r="AC2332" s="153"/>
      <c r="AD2332" s="331"/>
      <c r="AE2332" s="57"/>
      <c r="AF2332" s="88"/>
      <c r="AG2332" s="182">
        <f>YEAR(D2332)</f>
        <v>2015</v>
      </c>
      <c r="AH2332" s="86" t="str">
        <f>+IF(AE2332=$AJ$22,MONTH(T2332),"")</f>
        <v/>
      </c>
      <c r="AI2332" s="86" t="str">
        <f>+IF(AF2332=$AJ$22,MONTH(U2332),"")</f>
        <v/>
      </c>
      <c r="AJ2332" s="86" t="str">
        <f>+IF(AG2332=$AJ$22,MONTH(V2332),"")</f>
        <v/>
      </c>
      <c r="AK2332" s="86" t="str">
        <f>+IF(AG2332=$AK$22,MONTH(V2332),"")</f>
        <v/>
      </c>
      <c r="AL2332" s="86" t="str">
        <f>+IF(AG2332=$AL$22,MONTH(V2332),"")</f>
        <v/>
      </c>
      <c r="AM2332" s="86" t="str">
        <f>+IF($AG2332=$AM$22,MONTH($D2332),"")</f>
        <v/>
      </c>
      <c r="AN2332" s="89" t="str">
        <f>+IF($AG2332=AN$22,MONTH($D2332),"")</f>
        <v/>
      </c>
      <c r="AO2332" s="86" t="str">
        <f>+IF($AG2332=AO$22,MONTH($D2332),"")</f>
        <v/>
      </c>
      <c r="AP2332" s="86" t="str">
        <f>+IF($AG2332=AP$22,MONTH($D2332),"")</f>
        <v/>
      </c>
      <c r="AQ2332" s="86" t="str">
        <f>+IF($AG2332=AQ$22,MONTH($D2332),"")</f>
        <v/>
      </c>
      <c r="AR2332" s="86" t="str">
        <f>+IF($AG2332=AR$22,MONTH($D2332),"")</f>
        <v/>
      </c>
      <c r="AS2332" s="86">
        <f>+IF($AG2332=AS$22,MONTH($D2332),"")</f>
        <v>4</v>
      </c>
      <c r="AT2332" s="86" t="str">
        <f>+IF($AG2332=AT$22,MONTH($D2332),"")</f>
        <v/>
      </c>
      <c r="AU2332" s="86" t="str">
        <f>+IF($AG2332=AU$22,MONTH($D2332),"")</f>
        <v/>
      </c>
      <c r="AV2332" s="86" t="str">
        <f>+IF($AG2332=AV$22,MONTH($D2332),"")</f>
        <v/>
      </c>
      <c r="AW2332" s="86" t="str">
        <f>+IF($AG2332=AW$22,MONTH($D2332),"")</f>
        <v/>
      </c>
      <c r="AX2332" s="86" t="str">
        <f>+IF($AG2332=AX$22,MONTH($D2332),"")</f>
        <v/>
      </c>
      <c r="AY2332" s="89"/>
      <c r="AZ2332" s="89"/>
      <c r="BA2332" s="89"/>
      <c r="BB2332" s="89"/>
      <c r="BC2332" s="89"/>
      <c r="BD2332" s="89"/>
      <c r="BE2332" s="89"/>
      <c r="BF2332" s="89"/>
      <c r="BG2332" s="89"/>
      <c r="BH2332" s="89"/>
      <c r="BI2332" s="89"/>
      <c r="BJ2332" s="89"/>
      <c r="BK2332" s="89"/>
      <c r="BL2332" s="89"/>
      <c r="BM2332" s="89"/>
      <c r="BN2332" s="89"/>
      <c r="BO2332" s="89"/>
      <c r="BP2332" s="89"/>
    </row>
    <row r="2333" spans="1:68" s="56" customFormat="1" ht="27" hidden="1">
      <c r="A2333" s="204">
        <f>+IFERROR(VALUE(MID(AB2333,4,4)),"")</f>
        <v>115</v>
      </c>
      <c r="B2333" s="204">
        <f>VALUE(RIGHT(C2333,LEN(C2333)-2))</f>
        <v>392</v>
      </c>
      <c r="C2333" s="74" t="s">
        <v>7944</v>
      </c>
      <c r="D2333" s="75">
        <v>42103</v>
      </c>
      <c r="E2333" s="70" t="s">
        <v>73</v>
      </c>
      <c r="F2333" s="70" t="s">
        <v>100</v>
      </c>
      <c r="G2333" s="68" t="s">
        <v>7939</v>
      </c>
      <c r="H2333" s="59" t="s">
        <v>7945</v>
      </c>
      <c r="I2333" s="162" t="s">
        <v>7946</v>
      </c>
      <c r="J2333" s="162"/>
      <c r="K2333" s="68" t="s">
        <v>31</v>
      </c>
      <c r="L2333" s="69" t="s">
        <v>120</v>
      </c>
      <c r="M2333" s="71" t="s">
        <v>141</v>
      </c>
      <c r="N2333" s="69" t="e" vm="1">
        <v>#VALUE!</v>
      </c>
      <c r="O2333" s="164">
        <v>42103</v>
      </c>
      <c r="P2333" s="72" t="s">
        <v>402</v>
      </c>
      <c r="Q2333" s="72"/>
      <c r="R2333" s="162"/>
      <c r="S2333" s="146"/>
      <c r="T2333" s="68" t="s">
        <v>3</v>
      </c>
      <c r="U2333" s="87"/>
      <c r="V2333" s="183">
        <v>42103</v>
      </c>
      <c r="W2333" s="73">
        <v>30</v>
      </c>
      <c r="X2333" s="73">
        <f>90*24500/1000000</f>
        <v>2.2050000000000001</v>
      </c>
      <c r="Y2333" s="83">
        <f>IF(SUM(W2333:W2333)&gt;0,X2333/SUM(W2333:W2333)*1000000,"N/A")</f>
        <v>73500</v>
      </c>
      <c r="Z2333" s="183"/>
      <c r="AA2333" s="183"/>
      <c r="AB2333" s="223" t="s">
        <v>7947</v>
      </c>
      <c r="AC2333" s="153"/>
      <c r="AD2333" s="331"/>
      <c r="AE2333" s="57"/>
      <c r="AF2333" s="88"/>
      <c r="AG2333" s="182">
        <f>YEAR(D2333)</f>
        <v>2015</v>
      </c>
      <c r="AH2333" s="86" t="str">
        <f>+IF(AE2333=$AJ$22,MONTH(T2333),"")</f>
        <v/>
      </c>
      <c r="AI2333" s="86" t="str">
        <f>+IF(AF2333=$AJ$22,MONTH(U2333),"")</f>
        <v/>
      </c>
      <c r="AJ2333" s="86" t="str">
        <f>+IF(AG2333=$AJ$22,MONTH(V2333),"")</f>
        <v/>
      </c>
      <c r="AK2333" s="86" t="str">
        <f>+IF(AG2333=$AK$22,MONTH(V2333),"")</f>
        <v/>
      </c>
      <c r="AL2333" s="86" t="str">
        <f>+IF(AG2333=$AL$22,MONTH(V2333),"")</f>
        <v/>
      </c>
      <c r="AM2333" s="86" t="str">
        <f>+IF($AG2333=$AM$22,MONTH($D2333),"")</f>
        <v/>
      </c>
      <c r="AN2333" s="89" t="str">
        <f>+IF($AG2333=AN$22,MONTH($D2333),"")</f>
        <v/>
      </c>
      <c r="AO2333" s="86" t="str">
        <f>+IF($AG2333=AO$22,MONTH($D2333),"")</f>
        <v/>
      </c>
      <c r="AP2333" s="86" t="str">
        <f>+IF($AG2333=AP$22,MONTH($D2333),"")</f>
        <v/>
      </c>
      <c r="AQ2333" s="86" t="str">
        <f>+IF($AG2333=AQ$22,MONTH($D2333),"")</f>
        <v/>
      </c>
      <c r="AR2333" s="86" t="str">
        <f>+IF($AG2333=AR$22,MONTH($D2333),"")</f>
        <v/>
      </c>
      <c r="AS2333" s="86">
        <f>+IF($AG2333=AS$22,MONTH($D2333),"")</f>
        <v>4</v>
      </c>
      <c r="AT2333" s="86" t="str">
        <f>+IF($AG2333=AT$22,MONTH($D2333),"")</f>
        <v/>
      </c>
      <c r="AU2333" s="86" t="str">
        <f>+IF($AG2333=AU$22,MONTH($D2333),"")</f>
        <v/>
      </c>
      <c r="AV2333" s="86" t="str">
        <f>+IF($AG2333=AV$22,MONTH($D2333),"")</f>
        <v/>
      </c>
      <c r="AW2333" s="86" t="str">
        <f>+IF($AG2333=AW$22,MONTH($D2333),"")</f>
        <v/>
      </c>
      <c r="AX2333" s="86" t="str">
        <f>+IF($AG2333=AX$22,MONTH($D2333),"")</f>
        <v/>
      </c>
      <c r="AY2333" s="89"/>
      <c r="AZ2333" s="89"/>
      <c r="BA2333" s="89"/>
      <c r="BB2333" s="89"/>
      <c r="BC2333" s="89"/>
      <c r="BD2333" s="89"/>
      <c r="BE2333" s="89"/>
      <c r="BF2333" s="89"/>
      <c r="BG2333" s="89"/>
      <c r="BH2333" s="89"/>
      <c r="BI2333" s="89"/>
      <c r="BJ2333" s="89"/>
      <c r="BK2333" s="89"/>
      <c r="BL2333" s="89"/>
      <c r="BM2333" s="89"/>
      <c r="BN2333" s="89"/>
      <c r="BO2333" s="89"/>
      <c r="BP2333" s="89"/>
    </row>
    <row r="2334" spans="1:68" s="56" customFormat="1" ht="13.5" hidden="1">
      <c r="A2334" s="204">
        <f>+IFERROR(VALUE(MID(AB2334,4,4)),"")</f>
        <v>117</v>
      </c>
      <c r="B2334" s="204">
        <f>VALUE(RIGHT(C2334,LEN(C2334)-2))</f>
        <v>391</v>
      </c>
      <c r="C2334" s="74" t="s">
        <v>7948</v>
      </c>
      <c r="D2334" s="75">
        <v>42095</v>
      </c>
      <c r="E2334" s="70" t="s">
        <v>88</v>
      </c>
      <c r="F2334" s="70" t="s">
        <v>88</v>
      </c>
      <c r="G2334" s="68" t="s">
        <v>7949</v>
      </c>
      <c r="H2334" s="59" t="s">
        <v>7950</v>
      </c>
      <c r="I2334" s="162" t="s">
        <v>7951</v>
      </c>
      <c r="J2334" s="162"/>
      <c r="K2334" s="68" t="s">
        <v>12</v>
      </c>
      <c r="L2334" s="69" t="s">
        <v>120</v>
      </c>
      <c r="M2334" s="71" t="s">
        <v>141</v>
      </c>
      <c r="N2334" s="69" t="e" vm="1">
        <v>#VALUE!</v>
      </c>
      <c r="O2334" s="164">
        <v>42100</v>
      </c>
      <c r="P2334" s="72" t="s">
        <v>4567</v>
      </c>
      <c r="Q2334" s="72"/>
      <c r="R2334" s="162"/>
      <c r="S2334" s="146"/>
      <c r="T2334" s="68" t="s">
        <v>3</v>
      </c>
      <c r="U2334" s="87"/>
      <c r="V2334" s="183">
        <v>42095</v>
      </c>
      <c r="W2334" s="73">
        <v>742</v>
      </c>
      <c r="X2334" s="73">
        <f>1230*24500/1000000</f>
        <v>30.135000000000002</v>
      </c>
      <c r="Y2334" s="83">
        <f>IF(SUM(W2334:W2334)&gt;0,X2334/SUM(W2334:W2334)*1000000,"N/A")</f>
        <v>40613.207547169812</v>
      </c>
      <c r="Z2334" s="183"/>
      <c r="AA2334" s="183"/>
      <c r="AB2334" s="223" t="s">
        <v>7952</v>
      </c>
      <c r="AC2334" s="153"/>
      <c r="AD2334" s="331"/>
      <c r="AE2334" s="57"/>
      <c r="AF2334" s="88"/>
      <c r="AG2334" s="182">
        <f>YEAR(D2334)</f>
        <v>2015</v>
      </c>
      <c r="AH2334" s="86" t="str">
        <f>+IF(AE2334=$AJ$22,MONTH(T2334),"")</f>
        <v/>
      </c>
      <c r="AI2334" s="86" t="str">
        <f>+IF(AF2334=$AJ$22,MONTH(U2334),"")</f>
        <v/>
      </c>
      <c r="AJ2334" s="86" t="str">
        <f>+IF(AG2334=$AJ$22,MONTH(V2334),"")</f>
        <v/>
      </c>
      <c r="AK2334" s="86" t="str">
        <f>+IF(AG2334=$AK$22,MONTH(V2334),"")</f>
        <v/>
      </c>
      <c r="AL2334" s="86" t="str">
        <f>+IF(AG2334=$AL$22,MONTH(V2334),"")</f>
        <v/>
      </c>
      <c r="AM2334" s="86" t="str">
        <f>+IF($AG2334=$AM$22,MONTH($D2334),"")</f>
        <v/>
      </c>
      <c r="AN2334" s="89" t="str">
        <f>+IF($AG2334=AN$22,MONTH($D2334),"")</f>
        <v/>
      </c>
      <c r="AO2334" s="86" t="str">
        <f>+IF($AG2334=AO$22,MONTH($D2334),"")</f>
        <v/>
      </c>
      <c r="AP2334" s="86" t="str">
        <f>+IF($AG2334=AP$22,MONTH($D2334),"")</f>
        <v/>
      </c>
      <c r="AQ2334" s="86" t="str">
        <f>+IF($AG2334=AQ$22,MONTH($D2334),"")</f>
        <v/>
      </c>
      <c r="AR2334" s="86" t="str">
        <f>+IF($AG2334=AR$22,MONTH($D2334),"")</f>
        <v/>
      </c>
      <c r="AS2334" s="86">
        <f>+IF($AG2334=AS$22,MONTH($D2334),"")</f>
        <v>4</v>
      </c>
      <c r="AT2334" s="86" t="str">
        <f>+IF($AG2334=AT$22,MONTH($D2334),"")</f>
        <v/>
      </c>
      <c r="AU2334" s="86" t="str">
        <f>+IF($AG2334=AU$22,MONTH($D2334),"")</f>
        <v/>
      </c>
      <c r="AV2334" s="86" t="str">
        <f>+IF($AG2334=AV$22,MONTH($D2334),"")</f>
        <v/>
      </c>
      <c r="AW2334" s="86" t="str">
        <f>+IF($AG2334=AW$22,MONTH($D2334),"")</f>
        <v/>
      </c>
      <c r="AX2334" s="86" t="str">
        <f>+IF($AG2334=AX$22,MONTH($D2334),"")</f>
        <v/>
      </c>
      <c r="AY2334" s="89"/>
      <c r="AZ2334" s="89"/>
      <c r="BA2334" s="89"/>
      <c r="BB2334" s="89"/>
      <c r="BC2334" s="89"/>
      <c r="BD2334" s="89"/>
      <c r="BE2334" s="89"/>
      <c r="BF2334" s="89"/>
      <c r="BG2334" s="89"/>
      <c r="BH2334" s="89"/>
      <c r="BI2334" s="89"/>
      <c r="BJ2334" s="89"/>
      <c r="BK2334" s="89"/>
      <c r="BL2334" s="89"/>
      <c r="BM2334" s="89"/>
      <c r="BN2334" s="89"/>
      <c r="BO2334" s="89"/>
      <c r="BP2334" s="89"/>
    </row>
    <row r="2335" spans="1:68" s="56" customFormat="1" ht="13.5" hidden="1">
      <c r="A2335" s="204">
        <f>+IFERROR(VALUE(MID(AB2335,4,4)),"")</f>
        <v>116</v>
      </c>
      <c r="B2335" s="204">
        <f>VALUE(RIGHT(C2335,LEN(C2335)-2))</f>
        <v>390</v>
      </c>
      <c r="C2335" s="74" t="s">
        <v>7953</v>
      </c>
      <c r="D2335" s="75">
        <v>42095</v>
      </c>
      <c r="E2335" s="70" t="s">
        <v>88</v>
      </c>
      <c r="F2335" s="70" t="s">
        <v>88</v>
      </c>
      <c r="G2335" s="68" t="s">
        <v>7949</v>
      </c>
      <c r="H2335" s="59" t="s">
        <v>7950</v>
      </c>
      <c r="I2335" s="162" t="s">
        <v>7954</v>
      </c>
      <c r="J2335" s="162"/>
      <c r="K2335" s="68" t="s">
        <v>12</v>
      </c>
      <c r="L2335" s="69" t="s">
        <v>120</v>
      </c>
      <c r="M2335" s="71" t="s">
        <v>141</v>
      </c>
      <c r="N2335" s="69" t="e" vm="1">
        <v>#VALUE!</v>
      </c>
      <c r="O2335" s="164">
        <v>42095</v>
      </c>
      <c r="P2335" s="72" t="s">
        <v>4567</v>
      </c>
      <c r="Q2335" s="72"/>
      <c r="R2335" s="162"/>
      <c r="S2335" s="146"/>
      <c r="T2335" s="68" t="s">
        <v>3</v>
      </c>
      <c r="U2335" s="87"/>
      <c r="V2335" s="183">
        <v>42095</v>
      </c>
      <c r="W2335" s="73">
        <v>306</v>
      </c>
      <c r="X2335" s="73">
        <f>509*24500/1000000</f>
        <v>12.470499999999999</v>
      </c>
      <c r="Y2335" s="83">
        <f>IF(SUM(W2335:W2335)&gt;0,X2335/SUM(W2335:W2335)*1000000,"N/A")</f>
        <v>40753.267973856207</v>
      </c>
      <c r="Z2335" s="183"/>
      <c r="AA2335" s="183"/>
      <c r="AB2335" s="223" t="s">
        <v>7955</v>
      </c>
      <c r="AC2335" s="153"/>
      <c r="AD2335" s="331"/>
      <c r="AE2335" s="57"/>
      <c r="AF2335" s="88"/>
      <c r="AG2335" s="182">
        <f>YEAR(D2335)</f>
        <v>2015</v>
      </c>
      <c r="AH2335" s="86" t="str">
        <f>+IF(AE2335=$AJ$22,MONTH(T2335),"")</f>
        <v/>
      </c>
      <c r="AI2335" s="86" t="str">
        <f>+IF(AF2335=$AJ$22,MONTH(U2335),"")</f>
        <v/>
      </c>
      <c r="AJ2335" s="86" t="str">
        <f>+IF(AG2335=$AJ$22,MONTH(V2335),"")</f>
        <v/>
      </c>
      <c r="AK2335" s="86" t="str">
        <f>+IF(AG2335=$AK$22,MONTH(V2335),"")</f>
        <v/>
      </c>
      <c r="AL2335" s="86" t="str">
        <f>+IF(AG2335=$AL$22,MONTH(V2335),"")</f>
        <v/>
      </c>
      <c r="AM2335" s="86" t="str">
        <f>+IF($AG2335=$AM$22,MONTH($D2335),"")</f>
        <v/>
      </c>
      <c r="AN2335" s="89" t="str">
        <f>+IF($AG2335=AN$22,MONTH($D2335),"")</f>
        <v/>
      </c>
      <c r="AO2335" s="86" t="str">
        <f>+IF($AG2335=AO$22,MONTH($D2335),"")</f>
        <v/>
      </c>
      <c r="AP2335" s="86" t="str">
        <f>+IF($AG2335=AP$22,MONTH($D2335),"")</f>
        <v/>
      </c>
      <c r="AQ2335" s="86" t="str">
        <f>+IF($AG2335=AQ$22,MONTH($D2335),"")</f>
        <v/>
      </c>
      <c r="AR2335" s="86" t="str">
        <f>+IF($AG2335=AR$22,MONTH($D2335),"")</f>
        <v/>
      </c>
      <c r="AS2335" s="86">
        <f>+IF($AG2335=AS$22,MONTH($D2335),"")</f>
        <v>4</v>
      </c>
      <c r="AT2335" s="86" t="str">
        <f>+IF($AG2335=AT$22,MONTH($D2335),"")</f>
        <v/>
      </c>
      <c r="AU2335" s="86" t="str">
        <f>+IF($AG2335=AU$22,MONTH($D2335),"")</f>
        <v/>
      </c>
      <c r="AV2335" s="86" t="str">
        <f>+IF($AG2335=AV$22,MONTH($D2335),"")</f>
        <v/>
      </c>
      <c r="AW2335" s="86" t="str">
        <f>+IF($AG2335=AW$22,MONTH($D2335),"")</f>
        <v/>
      </c>
      <c r="AX2335" s="86" t="str">
        <f>+IF($AG2335=AX$22,MONTH($D2335),"")</f>
        <v/>
      </c>
      <c r="AY2335" s="89"/>
      <c r="AZ2335" s="89"/>
      <c r="BA2335" s="89"/>
      <c r="BB2335" s="89"/>
      <c r="BC2335" s="89"/>
      <c r="BD2335" s="89"/>
      <c r="BE2335" s="89"/>
      <c r="BF2335" s="89"/>
      <c r="BG2335" s="89"/>
      <c r="BH2335" s="89"/>
      <c r="BI2335" s="89"/>
      <c r="BJ2335" s="89"/>
      <c r="BK2335" s="89"/>
      <c r="BL2335" s="89"/>
      <c r="BM2335" s="89"/>
      <c r="BN2335" s="89"/>
      <c r="BO2335" s="89"/>
      <c r="BP2335" s="89"/>
    </row>
    <row r="2336" spans="1:68" s="56" customFormat="1" ht="13.5" hidden="1">
      <c r="A2336" s="204" t="str">
        <f>+IFERROR(VALUE(MID(AB2336,4,4)),"")</f>
        <v/>
      </c>
      <c r="B2336" s="204">
        <f>VALUE(RIGHT(C2336,LEN(C2336)-2))</f>
        <v>389</v>
      </c>
      <c r="C2336" s="74" t="s">
        <v>7956</v>
      </c>
      <c r="D2336" s="75">
        <v>42095</v>
      </c>
      <c r="E2336" s="70" t="s">
        <v>88</v>
      </c>
      <c r="F2336" s="70" t="s">
        <v>88</v>
      </c>
      <c r="G2336" s="68" t="s">
        <v>7949</v>
      </c>
      <c r="H2336" s="59" t="s">
        <v>7950</v>
      </c>
      <c r="I2336" s="162" t="s">
        <v>7957</v>
      </c>
      <c r="J2336" s="162"/>
      <c r="K2336" s="68" t="s">
        <v>12</v>
      </c>
      <c r="L2336" s="69" t="s">
        <v>120</v>
      </c>
      <c r="M2336" s="71" t="s">
        <v>141</v>
      </c>
      <c r="N2336" s="69" t="e" vm="1">
        <v>#VALUE!</v>
      </c>
      <c r="O2336" s="164">
        <v>42095</v>
      </c>
      <c r="P2336" s="72" t="s">
        <v>4567</v>
      </c>
      <c r="Q2336" s="72"/>
      <c r="R2336" s="162"/>
      <c r="S2336" s="146"/>
      <c r="T2336" s="68" t="s">
        <v>165</v>
      </c>
      <c r="U2336" s="87"/>
      <c r="V2336" s="183">
        <v>42095</v>
      </c>
      <c r="W2336" s="73">
        <v>1401</v>
      </c>
      <c r="X2336" s="73">
        <f>2335*24500/1000000</f>
        <v>57.207500000000003</v>
      </c>
      <c r="Y2336" s="83">
        <f>IF(SUM(W2336:W2336)&gt;0,X2336/SUM(W2336:W2336)*1000000,"N/A")</f>
        <v>40833.333333333336</v>
      </c>
      <c r="Z2336" s="183"/>
      <c r="AA2336" s="183"/>
      <c r="AB2336" s="223"/>
      <c r="AC2336" s="153"/>
      <c r="AD2336" s="331"/>
      <c r="AE2336" s="57"/>
      <c r="AF2336" s="88"/>
      <c r="AG2336" s="182">
        <f>YEAR(D2336)</f>
        <v>2015</v>
      </c>
      <c r="AH2336" s="86" t="str">
        <f>+IF(AE2336=$AJ$22,MONTH(T2336),"")</f>
        <v/>
      </c>
      <c r="AI2336" s="86" t="str">
        <f>+IF(AF2336=$AJ$22,MONTH(U2336),"")</f>
        <v/>
      </c>
      <c r="AJ2336" s="86" t="str">
        <f>+IF(AG2336=$AJ$22,MONTH(V2336),"")</f>
        <v/>
      </c>
      <c r="AK2336" s="86" t="str">
        <f>+IF(AG2336=$AK$22,MONTH(V2336),"")</f>
        <v/>
      </c>
      <c r="AL2336" s="86" t="str">
        <f>+IF(AG2336=$AL$22,MONTH(V2336),"")</f>
        <v/>
      </c>
      <c r="AM2336" s="86" t="str">
        <f>+IF($AG2336=$AM$22,MONTH($D2336),"")</f>
        <v/>
      </c>
      <c r="AN2336" s="89" t="str">
        <f>+IF($AG2336=AN$22,MONTH($D2336),"")</f>
        <v/>
      </c>
      <c r="AO2336" s="86" t="str">
        <f>+IF($AG2336=AO$22,MONTH($D2336),"")</f>
        <v/>
      </c>
      <c r="AP2336" s="86" t="str">
        <f>+IF($AG2336=AP$22,MONTH($D2336),"")</f>
        <v/>
      </c>
      <c r="AQ2336" s="86" t="str">
        <f>+IF($AG2336=AQ$22,MONTH($D2336),"")</f>
        <v/>
      </c>
      <c r="AR2336" s="86" t="str">
        <f>+IF($AG2336=AR$22,MONTH($D2336),"")</f>
        <v/>
      </c>
      <c r="AS2336" s="86">
        <f>+IF($AG2336=AS$22,MONTH($D2336),"")</f>
        <v>4</v>
      </c>
      <c r="AT2336" s="86" t="str">
        <f>+IF($AG2336=AT$22,MONTH($D2336),"")</f>
        <v/>
      </c>
      <c r="AU2336" s="86" t="str">
        <f>+IF($AG2336=AU$22,MONTH($D2336),"")</f>
        <v/>
      </c>
      <c r="AV2336" s="86" t="str">
        <f>+IF($AG2336=AV$22,MONTH($D2336),"")</f>
        <v/>
      </c>
      <c r="AW2336" s="86" t="str">
        <f>+IF($AG2336=AW$22,MONTH($D2336),"")</f>
        <v/>
      </c>
      <c r="AX2336" s="86" t="str">
        <f>+IF($AG2336=AX$22,MONTH($D2336),"")</f>
        <v/>
      </c>
      <c r="AY2336" s="89"/>
      <c r="AZ2336" s="89"/>
      <c r="BA2336" s="89"/>
      <c r="BB2336" s="89"/>
      <c r="BC2336" s="89"/>
      <c r="BD2336" s="89"/>
      <c r="BE2336" s="89"/>
      <c r="BF2336" s="89"/>
      <c r="BG2336" s="89"/>
      <c r="BH2336" s="89"/>
      <c r="BI2336" s="89"/>
      <c r="BJ2336" s="89"/>
      <c r="BK2336" s="89"/>
      <c r="BL2336" s="89"/>
      <c r="BM2336" s="89"/>
      <c r="BN2336" s="89"/>
      <c r="BO2336" s="89"/>
      <c r="BP2336" s="89"/>
    </row>
    <row r="2337" spans="1:68" s="56" customFormat="1" ht="13.5" hidden="1">
      <c r="A2337" s="204" t="str">
        <f>+IFERROR(VALUE(MID(AB2337,4,4)),"")</f>
        <v/>
      </c>
      <c r="B2337" s="204">
        <f>VALUE(RIGHT(C2337,LEN(C2337)-2))</f>
        <v>388</v>
      </c>
      <c r="C2337" s="74" t="s">
        <v>7958</v>
      </c>
      <c r="D2337" s="75">
        <v>42087</v>
      </c>
      <c r="E2337" s="70" t="s">
        <v>7959</v>
      </c>
      <c r="F2337" s="70" t="s">
        <v>53</v>
      </c>
      <c r="G2337" s="68" t="s">
        <v>7960</v>
      </c>
      <c r="H2337" s="59" t="s">
        <v>7961</v>
      </c>
      <c r="I2337" s="162" t="s">
        <v>7962</v>
      </c>
      <c r="J2337" s="162"/>
      <c r="K2337" s="68" t="s">
        <v>13</v>
      </c>
      <c r="L2337" s="69" t="s">
        <v>123</v>
      </c>
      <c r="M2337" s="71" t="s">
        <v>141</v>
      </c>
      <c r="N2337" s="69" t="e" vm="1">
        <v>#VALUE!</v>
      </c>
      <c r="O2337" s="164">
        <v>42094</v>
      </c>
      <c r="P2337" s="72" t="s">
        <v>402</v>
      </c>
      <c r="Q2337" s="72"/>
      <c r="R2337" s="162"/>
      <c r="S2337" s="146"/>
      <c r="T2337" s="68" t="s">
        <v>165</v>
      </c>
      <c r="U2337" s="87"/>
      <c r="V2337" s="183">
        <v>42100</v>
      </c>
      <c r="W2337" s="73">
        <v>971</v>
      </c>
      <c r="X2337" s="73">
        <f>1689*24500/1000000</f>
        <v>41.380499999999998</v>
      </c>
      <c r="Y2337" s="83">
        <f>IF(SUM(W2337:W2337)&gt;0,X2337/SUM(W2337:W2337)*1000000,"N/A")</f>
        <v>42616.374871266729</v>
      </c>
      <c r="Z2337" s="183"/>
      <c r="AA2337" s="183"/>
      <c r="AB2337" s="223"/>
      <c r="AC2337" s="153"/>
      <c r="AD2337" s="331"/>
      <c r="AE2337" s="57"/>
      <c r="AF2337" s="88"/>
      <c r="AG2337" s="182">
        <f>YEAR(D2337)</f>
        <v>2015</v>
      </c>
      <c r="AH2337" s="86" t="str">
        <f>+IF(AE2337=$AJ$22,MONTH(T2337),"")</f>
        <v/>
      </c>
      <c r="AI2337" s="86" t="str">
        <f>+IF(AF2337=$AJ$22,MONTH(U2337),"")</f>
        <v/>
      </c>
      <c r="AJ2337" s="86" t="str">
        <f>+IF(AG2337=$AJ$22,MONTH(V2337),"")</f>
        <v/>
      </c>
      <c r="AK2337" s="86" t="str">
        <f>+IF(AG2337=$AK$22,MONTH(V2337),"")</f>
        <v/>
      </c>
      <c r="AL2337" s="86" t="str">
        <f>+IF(AG2337=$AL$22,MONTH(V2337),"")</f>
        <v/>
      </c>
      <c r="AM2337" s="86" t="str">
        <f>+IF($AG2337=$AM$22,MONTH($D2337),"")</f>
        <v/>
      </c>
      <c r="AN2337" s="89" t="str">
        <f>+IF($AG2337=AN$22,MONTH($D2337),"")</f>
        <v/>
      </c>
      <c r="AO2337" s="86" t="str">
        <f>+IF($AG2337=AO$22,MONTH($D2337),"")</f>
        <v/>
      </c>
      <c r="AP2337" s="86" t="str">
        <f>+IF($AG2337=AP$22,MONTH($D2337),"")</f>
        <v/>
      </c>
      <c r="AQ2337" s="86" t="str">
        <f>+IF($AG2337=AQ$22,MONTH($D2337),"")</f>
        <v/>
      </c>
      <c r="AR2337" s="86" t="str">
        <f>+IF($AG2337=AR$22,MONTH($D2337),"")</f>
        <v/>
      </c>
      <c r="AS2337" s="86">
        <f>+IF($AG2337=AS$22,MONTH($D2337),"")</f>
        <v>3</v>
      </c>
      <c r="AT2337" s="86" t="str">
        <f>+IF($AG2337=AT$22,MONTH($D2337),"")</f>
        <v/>
      </c>
      <c r="AU2337" s="86" t="str">
        <f>+IF($AG2337=AU$22,MONTH($D2337),"")</f>
        <v/>
      </c>
      <c r="AV2337" s="86" t="str">
        <f>+IF($AG2337=AV$22,MONTH($D2337),"")</f>
        <v/>
      </c>
      <c r="AW2337" s="86" t="str">
        <f>+IF($AG2337=AW$22,MONTH($D2337),"")</f>
        <v/>
      </c>
      <c r="AX2337" s="86" t="str">
        <f>+IF($AG2337=AX$22,MONTH($D2337),"")</f>
        <v/>
      </c>
      <c r="AY2337" s="89"/>
      <c r="AZ2337" s="89"/>
      <c r="BA2337" s="89"/>
      <c r="BB2337" s="89"/>
      <c r="BC2337" s="89"/>
      <c r="BD2337" s="89"/>
      <c r="BE2337" s="89"/>
      <c r="BF2337" s="89"/>
      <c r="BG2337" s="89"/>
      <c r="BH2337" s="89"/>
      <c r="BI2337" s="89"/>
      <c r="BJ2337" s="89"/>
      <c r="BK2337" s="89"/>
      <c r="BL2337" s="89"/>
      <c r="BM2337" s="89"/>
      <c r="BN2337" s="89"/>
      <c r="BO2337" s="89"/>
      <c r="BP2337" s="89"/>
    </row>
    <row r="2338" spans="1:68" s="56" customFormat="1" ht="13.5" hidden="1">
      <c r="A2338" s="204" t="str">
        <f>+IFERROR(VALUE(MID(AB2338,4,4)),"")</f>
        <v/>
      </c>
      <c r="B2338" s="204">
        <f>VALUE(RIGHT(C2338,LEN(C2338)-2))</f>
        <v>387</v>
      </c>
      <c r="C2338" s="74" t="s">
        <v>7963</v>
      </c>
      <c r="D2338" s="75">
        <v>42082</v>
      </c>
      <c r="E2338" s="70" t="s">
        <v>332</v>
      </c>
      <c r="F2338" s="70" t="s">
        <v>332</v>
      </c>
      <c r="G2338" s="68" t="s">
        <v>7903</v>
      </c>
      <c r="H2338" s="59" t="s">
        <v>7282</v>
      </c>
      <c r="I2338" s="162" t="s">
        <v>7964</v>
      </c>
      <c r="J2338" s="162"/>
      <c r="K2338" s="68" t="s">
        <v>16</v>
      </c>
      <c r="L2338" s="69" t="s">
        <v>120</v>
      </c>
      <c r="M2338" s="71" t="s">
        <v>141</v>
      </c>
      <c r="N2338" s="69" t="e" vm="1">
        <v>#VALUE!</v>
      </c>
      <c r="O2338" s="164"/>
      <c r="P2338" s="72" t="s">
        <v>4567</v>
      </c>
      <c r="Q2338" s="72"/>
      <c r="R2338" s="162"/>
      <c r="S2338" s="146"/>
      <c r="T2338" s="68" t="s">
        <v>3</v>
      </c>
      <c r="U2338" s="87"/>
      <c r="V2338" s="183">
        <v>42083</v>
      </c>
      <c r="W2338" s="73">
        <v>235</v>
      </c>
      <c r="X2338" s="73">
        <f>384*24500/1000000</f>
        <v>9.4079999999999995</v>
      </c>
      <c r="Y2338" s="83">
        <f>IF(SUM(W2338:W2338)&gt;0,X2338/SUM(W2338:W2338)*1000000,"N/A")</f>
        <v>40034.042553191488</v>
      </c>
      <c r="Z2338" s="183"/>
      <c r="AA2338" s="183"/>
      <c r="AB2338" s="223"/>
      <c r="AC2338" s="153"/>
      <c r="AD2338" s="331"/>
      <c r="AE2338" s="57"/>
      <c r="AF2338" s="88"/>
      <c r="AG2338" s="182">
        <f>YEAR(D2338)</f>
        <v>2015</v>
      </c>
      <c r="AH2338" s="86" t="str">
        <f>+IF(AE2338=$AJ$22,MONTH(T2338),"")</f>
        <v/>
      </c>
      <c r="AI2338" s="86" t="str">
        <f>+IF(AF2338=$AJ$22,MONTH(U2338),"")</f>
        <v/>
      </c>
      <c r="AJ2338" s="86" t="str">
        <f>+IF(AG2338=$AJ$22,MONTH(V2338),"")</f>
        <v/>
      </c>
      <c r="AK2338" s="86" t="str">
        <f>+IF(AG2338=$AK$22,MONTH(V2338),"")</f>
        <v/>
      </c>
      <c r="AL2338" s="86" t="str">
        <f>+IF(AG2338=$AL$22,MONTH(V2338),"")</f>
        <v/>
      </c>
      <c r="AM2338" s="86" t="str">
        <f>+IF($AG2338=$AM$22,MONTH($D2338),"")</f>
        <v/>
      </c>
      <c r="AN2338" s="89" t="str">
        <f>+IF($AG2338=AN$22,MONTH($D2338),"")</f>
        <v/>
      </c>
      <c r="AO2338" s="86" t="str">
        <f>+IF($AG2338=AO$22,MONTH($D2338),"")</f>
        <v/>
      </c>
      <c r="AP2338" s="86" t="str">
        <f>+IF($AG2338=AP$22,MONTH($D2338),"")</f>
        <v/>
      </c>
      <c r="AQ2338" s="86" t="str">
        <f>+IF($AG2338=AQ$22,MONTH($D2338),"")</f>
        <v/>
      </c>
      <c r="AR2338" s="86" t="str">
        <f>+IF($AG2338=AR$22,MONTH($D2338),"")</f>
        <v/>
      </c>
      <c r="AS2338" s="86">
        <f>+IF($AG2338=AS$22,MONTH($D2338),"")</f>
        <v>3</v>
      </c>
      <c r="AT2338" s="86" t="str">
        <f>+IF($AG2338=AT$22,MONTH($D2338),"")</f>
        <v/>
      </c>
      <c r="AU2338" s="86" t="str">
        <f>+IF($AG2338=AU$22,MONTH($D2338),"")</f>
        <v/>
      </c>
      <c r="AV2338" s="86" t="str">
        <f>+IF($AG2338=AV$22,MONTH($D2338),"")</f>
        <v/>
      </c>
      <c r="AW2338" s="86" t="str">
        <f>+IF($AG2338=AW$22,MONTH($D2338),"")</f>
        <v/>
      </c>
      <c r="AX2338" s="86" t="str">
        <f>+IF($AG2338=AX$22,MONTH($D2338),"")</f>
        <v/>
      </c>
      <c r="AY2338" s="89"/>
      <c r="AZ2338" s="89"/>
      <c r="BA2338" s="89"/>
      <c r="BB2338" s="89"/>
      <c r="BC2338" s="89"/>
      <c r="BD2338" s="89"/>
      <c r="BE2338" s="89"/>
      <c r="BF2338" s="89"/>
      <c r="BG2338" s="89"/>
      <c r="BH2338" s="89"/>
      <c r="BI2338" s="89"/>
      <c r="BJ2338" s="89"/>
      <c r="BK2338" s="89"/>
      <c r="BL2338" s="89"/>
      <c r="BM2338" s="89"/>
      <c r="BN2338" s="89"/>
      <c r="BO2338" s="89"/>
      <c r="BP2338" s="89"/>
    </row>
    <row r="2339" spans="1:68" s="56" customFormat="1" ht="13.5" hidden="1">
      <c r="A2339" s="204">
        <f>+IFERROR(VALUE(MID(AB2339,4,4)),"")</f>
        <v>113</v>
      </c>
      <c r="B2339" s="204">
        <f>VALUE(RIGHT(C2339,LEN(C2339)-2))</f>
        <v>386</v>
      </c>
      <c r="C2339" s="74" t="s">
        <v>7965</v>
      </c>
      <c r="D2339" s="75">
        <v>42083</v>
      </c>
      <c r="E2339" s="70" t="s">
        <v>332</v>
      </c>
      <c r="F2339" s="70" t="s">
        <v>332</v>
      </c>
      <c r="G2339" s="68" t="s">
        <v>7903</v>
      </c>
      <c r="H2339" s="59" t="s">
        <v>7282</v>
      </c>
      <c r="I2339" s="162" t="s">
        <v>7966</v>
      </c>
      <c r="J2339" s="162"/>
      <c r="K2339" s="68" t="s">
        <v>13</v>
      </c>
      <c r="L2339" s="69" t="s">
        <v>120</v>
      </c>
      <c r="M2339" s="71" t="s">
        <v>141</v>
      </c>
      <c r="N2339" s="69" t="e" vm="1">
        <v>#VALUE!</v>
      </c>
      <c r="O2339" s="164"/>
      <c r="P2339" s="72" t="s">
        <v>7967</v>
      </c>
      <c r="Q2339" s="72"/>
      <c r="R2339" s="162"/>
      <c r="S2339" s="146"/>
      <c r="T2339" s="68" t="s">
        <v>3</v>
      </c>
      <c r="U2339" s="87"/>
      <c r="V2339" s="183">
        <v>42083</v>
      </c>
      <c r="W2339" s="73">
        <v>1500</v>
      </c>
      <c r="X2339" s="73">
        <f>2334*24500/1000000</f>
        <v>57.183</v>
      </c>
      <c r="Y2339" s="83">
        <f>IF(SUM(W2339:W2339)&gt;0,X2339/SUM(W2339:W2339)*1000000,"N/A")</f>
        <v>38122</v>
      </c>
      <c r="Z2339" s="183"/>
      <c r="AA2339" s="183"/>
      <c r="AB2339" s="223" t="s">
        <v>7968</v>
      </c>
      <c r="AC2339" s="153"/>
      <c r="AD2339" s="331"/>
      <c r="AE2339" s="57"/>
      <c r="AF2339" s="88"/>
      <c r="AG2339" s="182">
        <f>YEAR(D2339)</f>
        <v>2015</v>
      </c>
      <c r="AH2339" s="86" t="str">
        <f>+IF(AE2339=$AJ$22,MONTH(T2339),"")</f>
        <v/>
      </c>
      <c r="AI2339" s="86" t="str">
        <f>+IF(AF2339=$AJ$22,MONTH(U2339),"")</f>
        <v/>
      </c>
      <c r="AJ2339" s="86" t="str">
        <f>+IF(AG2339=$AJ$22,MONTH(V2339),"")</f>
        <v/>
      </c>
      <c r="AK2339" s="86" t="str">
        <f>+IF(AG2339=$AK$22,MONTH(V2339),"")</f>
        <v/>
      </c>
      <c r="AL2339" s="86" t="str">
        <f>+IF(AG2339=$AL$22,MONTH(V2339),"")</f>
        <v/>
      </c>
      <c r="AM2339" s="86" t="str">
        <f>+IF($AG2339=$AM$22,MONTH($D2339),"")</f>
        <v/>
      </c>
      <c r="AN2339" s="89" t="str">
        <f>+IF($AG2339=AN$22,MONTH($D2339),"")</f>
        <v/>
      </c>
      <c r="AO2339" s="86" t="str">
        <f>+IF($AG2339=AO$22,MONTH($D2339),"")</f>
        <v/>
      </c>
      <c r="AP2339" s="86" t="str">
        <f>+IF($AG2339=AP$22,MONTH($D2339),"")</f>
        <v/>
      </c>
      <c r="AQ2339" s="86" t="str">
        <f>+IF($AG2339=AQ$22,MONTH($D2339),"")</f>
        <v/>
      </c>
      <c r="AR2339" s="86" t="str">
        <f>+IF($AG2339=AR$22,MONTH($D2339),"")</f>
        <v/>
      </c>
      <c r="AS2339" s="86">
        <f>+IF($AG2339=AS$22,MONTH($D2339),"")</f>
        <v>3</v>
      </c>
      <c r="AT2339" s="86" t="str">
        <f>+IF($AG2339=AT$22,MONTH($D2339),"")</f>
        <v/>
      </c>
      <c r="AU2339" s="86" t="str">
        <f>+IF($AG2339=AU$22,MONTH($D2339),"")</f>
        <v/>
      </c>
      <c r="AV2339" s="86" t="str">
        <f>+IF($AG2339=AV$22,MONTH($D2339),"")</f>
        <v/>
      </c>
      <c r="AW2339" s="86" t="str">
        <f>+IF($AG2339=AW$22,MONTH($D2339),"")</f>
        <v/>
      </c>
      <c r="AX2339" s="86" t="str">
        <f>+IF($AG2339=AX$22,MONTH($D2339),"")</f>
        <v/>
      </c>
      <c r="AY2339" s="89"/>
      <c r="AZ2339" s="89"/>
      <c r="BA2339" s="89"/>
      <c r="BB2339" s="89"/>
      <c r="BC2339" s="89"/>
      <c r="BD2339" s="89"/>
      <c r="BE2339" s="89"/>
      <c r="BF2339" s="89"/>
      <c r="BG2339" s="89"/>
      <c r="BH2339" s="89"/>
      <c r="BI2339" s="89"/>
      <c r="BJ2339" s="89"/>
      <c r="BK2339" s="89"/>
      <c r="BL2339" s="89"/>
      <c r="BM2339" s="89"/>
      <c r="BN2339" s="89"/>
      <c r="BO2339" s="89"/>
      <c r="BP2339" s="89"/>
    </row>
    <row r="2340" spans="1:68" s="56" customFormat="1" ht="13.5" hidden="1">
      <c r="A2340" s="204" t="str">
        <f>+IFERROR(VALUE(MID(AB2340,4,4)),"")</f>
        <v/>
      </c>
      <c r="B2340" s="204">
        <f>VALUE(RIGHT(C2340,LEN(C2340)-2))</f>
        <v>385</v>
      </c>
      <c r="C2340" s="74" t="s">
        <v>7969</v>
      </c>
      <c r="D2340" s="75">
        <v>42083</v>
      </c>
      <c r="E2340" s="70" t="s">
        <v>332</v>
      </c>
      <c r="F2340" s="70" t="s">
        <v>332</v>
      </c>
      <c r="G2340" s="68" t="s">
        <v>7970</v>
      </c>
      <c r="H2340" s="59" t="s">
        <v>7971</v>
      </c>
      <c r="I2340" s="162" t="s">
        <v>7972</v>
      </c>
      <c r="J2340" s="162"/>
      <c r="K2340" s="68" t="s">
        <v>31</v>
      </c>
      <c r="L2340" s="69" t="s">
        <v>120</v>
      </c>
      <c r="M2340" s="71" t="s">
        <v>141</v>
      </c>
      <c r="N2340" s="69" t="e" vm="1">
        <v>#VALUE!</v>
      </c>
      <c r="O2340" s="164"/>
      <c r="P2340" s="72" t="s">
        <v>7465</v>
      </c>
      <c r="Q2340" s="72"/>
      <c r="R2340" s="162"/>
      <c r="S2340" s="146"/>
      <c r="T2340" s="68" t="s">
        <v>3</v>
      </c>
      <c r="U2340" s="87"/>
      <c r="V2340" s="183">
        <v>42083</v>
      </c>
      <c r="W2340" s="73">
        <v>360</v>
      </c>
      <c r="X2340" s="73">
        <f>752*24500/1000000</f>
        <v>18.423999999999999</v>
      </c>
      <c r="Y2340" s="83">
        <f>IF(SUM(W2340:W2340)&gt;0,X2340/SUM(W2340:W2340)*1000000,"N/A")</f>
        <v>51177.777777777774</v>
      </c>
      <c r="Z2340" s="183"/>
      <c r="AA2340" s="183"/>
      <c r="AB2340" s="223"/>
      <c r="AC2340" s="153"/>
      <c r="AD2340" s="331"/>
      <c r="AE2340" s="57"/>
      <c r="AF2340" s="88"/>
      <c r="AG2340" s="182">
        <f>YEAR(D2340)</f>
        <v>2015</v>
      </c>
      <c r="AH2340" s="86" t="str">
        <f>+IF(AE2340=$AJ$22,MONTH(T2340),"")</f>
        <v/>
      </c>
      <c r="AI2340" s="86" t="str">
        <f>+IF(AF2340=$AJ$22,MONTH(U2340),"")</f>
        <v/>
      </c>
      <c r="AJ2340" s="86" t="str">
        <f>+IF(AG2340=$AJ$22,MONTH(V2340),"")</f>
        <v/>
      </c>
      <c r="AK2340" s="86" t="str">
        <f>+IF(AG2340=$AK$22,MONTH(V2340),"")</f>
        <v/>
      </c>
      <c r="AL2340" s="86" t="str">
        <f>+IF(AG2340=$AL$22,MONTH(V2340),"")</f>
        <v/>
      </c>
      <c r="AM2340" s="86" t="str">
        <f>+IF($AG2340=$AM$22,MONTH($D2340),"")</f>
        <v/>
      </c>
      <c r="AN2340" s="89" t="str">
        <f>+IF($AG2340=AN$22,MONTH($D2340),"")</f>
        <v/>
      </c>
      <c r="AO2340" s="86" t="str">
        <f>+IF($AG2340=AO$22,MONTH($D2340),"")</f>
        <v/>
      </c>
      <c r="AP2340" s="86" t="str">
        <f>+IF($AG2340=AP$22,MONTH($D2340),"")</f>
        <v/>
      </c>
      <c r="AQ2340" s="86" t="str">
        <f>+IF($AG2340=AQ$22,MONTH($D2340),"")</f>
        <v/>
      </c>
      <c r="AR2340" s="86" t="str">
        <f>+IF($AG2340=AR$22,MONTH($D2340),"")</f>
        <v/>
      </c>
      <c r="AS2340" s="86">
        <f>+IF($AG2340=AS$22,MONTH($D2340),"")</f>
        <v>3</v>
      </c>
      <c r="AT2340" s="86" t="str">
        <f>+IF($AG2340=AT$22,MONTH($D2340),"")</f>
        <v/>
      </c>
      <c r="AU2340" s="86" t="str">
        <f>+IF($AG2340=AU$22,MONTH($D2340),"")</f>
        <v/>
      </c>
      <c r="AV2340" s="86" t="str">
        <f>+IF($AG2340=AV$22,MONTH($D2340),"")</f>
        <v/>
      </c>
      <c r="AW2340" s="86" t="str">
        <f>+IF($AG2340=AW$22,MONTH($D2340),"")</f>
        <v/>
      </c>
      <c r="AX2340" s="86" t="str">
        <f>+IF($AG2340=AX$22,MONTH($D2340),"")</f>
        <v/>
      </c>
      <c r="AY2340" s="89"/>
      <c r="AZ2340" s="89"/>
      <c r="BA2340" s="89"/>
      <c r="BB2340" s="89"/>
      <c r="BC2340" s="89"/>
      <c r="BD2340" s="89"/>
      <c r="BE2340" s="89"/>
      <c r="BF2340" s="89"/>
      <c r="BG2340" s="89"/>
      <c r="BH2340" s="89"/>
      <c r="BI2340" s="89"/>
      <c r="BJ2340" s="89"/>
      <c r="BK2340" s="89"/>
      <c r="BL2340" s="89"/>
      <c r="BM2340" s="89"/>
      <c r="BN2340" s="89"/>
      <c r="BO2340" s="89"/>
      <c r="BP2340" s="89"/>
    </row>
    <row r="2341" spans="1:68" s="56" customFormat="1" ht="13.5" hidden="1">
      <c r="A2341" s="204">
        <f>+IFERROR(VALUE(MID(AB2341,4,4)),"")</f>
        <v>113</v>
      </c>
      <c r="B2341" s="204">
        <f>VALUE(RIGHT(C2341,LEN(C2341)-2))</f>
        <v>384</v>
      </c>
      <c r="C2341" s="74" t="s">
        <v>7973</v>
      </c>
      <c r="D2341" s="75">
        <v>42083</v>
      </c>
      <c r="E2341" s="70" t="s">
        <v>332</v>
      </c>
      <c r="F2341" s="70" t="s">
        <v>332</v>
      </c>
      <c r="G2341" s="68" t="s">
        <v>7974</v>
      </c>
      <c r="H2341" s="59"/>
      <c r="I2341" s="162" t="s">
        <v>7975</v>
      </c>
      <c r="J2341" s="162"/>
      <c r="K2341" s="68" t="s">
        <v>13</v>
      </c>
      <c r="L2341" s="69" t="s">
        <v>120</v>
      </c>
      <c r="M2341" s="71" t="s">
        <v>141</v>
      </c>
      <c r="N2341" s="69" t="e" vm="1">
        <v>#VALUE!</v>
      </c>
      <c r="O2341" s="164">
        <v>42088</v>
      </c>
      <c r="P2341" s="72" t="s">
        <v>6485</v>
      </c>
      <c r="Q2341" s="72"/>
      <c r="R2341" s="162"/>
      <c r="S2341" s="146"/>
      <c r="T2341" s="68" t="s">
        <v>3</v>
      </c>
      <c r="U2341" s="87"/>
      <c r="V2341" s="183">
        <v>42088</v>
      </c>
      <c r="W2341" s="73">
        <v>750</v>
      </c>
      <c r="X2341" s="73">
        <f>1110*24500/1000000</f>
        <v>27.195</v>
      </c>
      <c r="Y2341" s="83">
        <f>IF(SUM(W2341:W2341)&gt;0,X2341/SUM(W2341:W2341)*1000000,"N/A")</f>
        <v>36260</v>
      </c>
      <c r="Z2341" s="183"/>
      <c r="AA2341" s="183"/>
      <c r="AB2341" s="223" t="s">
        <v>7976</v>
      </c>
      <c r="AC2341" s="153"/>
      <c r="AD2341" s="331"/>
      <c r="AE2341" s="57"/>
      <c r="AF2341" s="88"/>
      <c r="AG2341" s="182">
        <f>YEAR(D2341)</f>
        <v>2015</v>
      </c>
      <c r="AH2341" s="86" t="str">
        <f>+IF(AE2341=$AJ$22,MONTH(T2341),"")</f>
        <v/>
      </c>
      <c r="AI2341" s="86" t="str">
        <f>+IF(AF2341=$AJ$22,MONTH(U2341),"")</f>
        <v/>
      </c>
      <c r="AJ2341" s="86" t="str">
        <f>+IF(AG2341=$AJ$22,MONTH(V2341),"")</f>
        <v/>
      </c>
      <c r="AK2341" s="86" t="str">
        <f>+IF(AG2341=$AK$22,MONTH(V2341),"")</f>
        <v/>
      </c>
      <c r="AL2341" s="86" t="str">
        <f>+IF(AG2341=$AL$22,MONTH(V2341),"")</f>
        <v/>
      </c>
      <c r="AM2341" s="86" t="str">
        <f>+IF($AG2341=$AM$22,MONTH($D2341),"")</f>
        <v/>
      </c>
      <c r="AN2341" s="89" t="str">
        <f>+IF($AG2341=AN$22,MONTH($D2341),"")</f>
        <v/>
      </c>
      <c r="AO2341" s="86" t="str">
        <f>+IF($AG2341=AO$22,MONTH($D2341),"")</f>
        <v/>
      </c>
      <c r="AP2341" s="86" t="str">
        <f>+IF($AG2341=AP$22,MONTH($D2341),"")</f>
        <v/>
      </c>
      <c r="AQ2341" s="86" t="str">
        <f>+IF($AG2341=AQ$22,MONTH($D2341),"")</f>
        <v/>
      </c>
      <c r="AR2341" s="86" t="str">
        <f>+IF($AG2341=AR$22,MONTH($D2341),"")</f>
        <v/>
      </c>
      <c r="AS2341" s="86">
        <f>+IF($AG2341=AS$22,MONTH($D2341),"")</f>
        <v>3</v>
      </c>
      <c r="AT2341" s="86" t="str">
        <f>+IF($AG2341=AT$22,MONTH($D2341),"")</f>
        <v/>
      </c>
      <c r="AU2341" s="86" t="str">
        <f>+IF($AG2341=AU$22,MONTH($D2341),"")</f>
        <v/>
      </c>
      <c r="AV2341" s="86" t="str">
        <f>+IF($AG2341=AV$22,MONTH($D2341),"")</f>
        <v/>
      </c>
      <c r="AW2341" s="86" t="str">
        <f>+IF($AG2341=AW$22,MONTH($D2341),"")</f>
        <v/>
      </c>
      <c r="AX2341" s="86" t="str">
        <f>+IF($AG2341=AX$22,MONTH($D2341),"")</f>
        <v/>
      </c>
      <c r="AY2341" s="89"/>
      <c r="AZ2341" s="89"/>
      <c r="BA2341" s="89"/>
      <c r="BB2341" s="89"/>
      <c r="BC2341" s="89"/>
      <c r="BD2341" s="89"/>
      <c r="BE2341" s="89"/>
      <c r="BF2341" s="89"/>
      <c r="BG2341" s="89"/>
      <c r="BH2341" s="89"/>
      <c r="BI2341" s="89"/>
      <c r="BJ2341" s="89"/>
      <c r="BK2341" s="89"/>
      <c r="BL2341" s="89"/>
      <c r="BM2341" s="89"/>
      <c r="BN2341" s="89"/>
      <c r="BO2341" s="89"/>
      <c r="BP2341" s="89"/>
    </row>
    <row r="2342" spans="1:68" s="56" customFormat="1" ht="13.5" hidden="1">
      <c r="A2342" s="204" t="str">
        <f>+IFERROR(VALUE(MID(AB2342,4,4)),"")</f>
        <v/>
      </c>
      <c r="B2342" s="204">
        <f>VALUE(RIGHT(C2342,LEN(C2342)-2))</f>
        <v>383</v>
      </c>
      <c r="C2342" s="74" t="s">
        <v>7977</v>
      </c>
      <c r="D2342" s="75">
        <v>42080</v>
      </c>
      <c r="E2342" s="70" t="s">
        <v>332</v>
      </c>
      <c r="F2342" s="70" t="s">
        <v>332</v>
      </c>
      <c r="G2342" s="68" t="s">
        <v>7903</v>
      </c>
      <c r="H2342" s="59" t="s">
        <v>7282</v>
      </c>
      <c r="I2342" s="162" t="s">
        <v>7978</v>
      </c>
      <c r="J2342" s="162"/>
      <c r="K2342" s="68" t="s">
        <v>31</v>
      </c>
      <c r="L2342" s="69" t="s">
        <v>120</v>
      </c>
      <c r="M2342" s="71" t="s">
        <v>141</v>
      </c>
      <c r="N2342" s="69" t="e" vm="1">
        <v>#VALUE!</v>
      </c>
      <c r="O2342" s="164">
        <v>42079</v>
      </c>
      <c r="P2342" s="72" t="s">
        <v>4567</v>
      </c>
      <c r="Q2342" s="72"/>
      <c r="R2342" s="162"/>
      <c r="S2342" s="146"/>
      <c r="T2342" s="68" t="s">
        <v>3</v>
      </c>
      <c r="U2342" s="87"/>
      <c r="V2342" s="183">
        <v>42080</v>
      </c>
      <c r="W2342" s="73">
        <v>54</v>
      </c>
      <c r="X2342" s="73">
        <f>104*24500/1000000</f>
        <v>2.548</v>
      </c>
      <c r="Y2342" s="83">
        <f>IF(SUM(W2342:W2342)&gt;0,X2342/SUM(W2342:W2342)*1000000,"N/A")</f>
        <v>47185.185185185182</v>
      </c>
      <c r="Z2342" s="183"/>
      <c r="AA2342" s="183"/>
      <c r="AB2342" s="223"/>
      <c r="AC2342" s="153"/>
      <c r="AD2342" s="331"/>
      <c r="AE2342" s="57"/>
      <c r="AF2342" s="88"/>
      <c r="AG2342" s="182">
        <f>YEAR(D2342)</f>
        <v>2015</v>
      </c>
      <c r="AH2342" s="86" t="str">
        <f>+IF(AE2342=$AJ$22,MONTH(T2342),"")</f>
        <v/>
      </c>
      <c r="AI2342" s="86" t="str">
        <f>+IF(AF2342=$AJ$22,MONTH(U2342),"")</f>
        <v/>
      </c>
      <c r="AJ2342" s="86" t="str">
        <f>+IF(AG2342=$AJ$22,MONTH(V2342),"")</f>
        <v/>
      </c>
      <c r="AK2342" s="86" t="str">
        <f>+IF(AG2342=$AK$22,MONTH(V2342),"")</f>
        <v/>
      </c>
      <c r="AL2342" s="86" t="str">
        <f>+IF(AG2342=$AL$22,MONTH(V2342),"")</f>
        <v/>
      </c>
      <c r="AM2342" s="86" t="str">
        <f>+IF($AG2342=$AM$22,MONTH($D2342),"")</f>
        <v/>
      </c>
      <c r="AN2342" s="89" t="str">
        <f>+IF($AG2342=AN$22,MONTH($D2342),"")</f>
        <v/>
      </c>
      <c r="AO2342" s="86" t="str">
        <f>+IF($AG2342=AO$22,MONTH($D2342),"")</f>
        <v/>
      </c>
      <c r="AP2342" s="86" t="str">
        <f>+IF($AG2342=AP$22,MONTH($D2342),"")</f>
        <v/>
      </c>
      <c r="AQ2342" s="86" t="str">
        <f>+IF($AG2342=AQ$22,MONTH($D2342),"")</f>
        <v/>
      </c>
      <c r="AR2342" s="86" t="str">
        <f>+IF($AG2342=AR$22,MONTH($D2342),"")</f>
        <v/>
      </c>
      <c r="AS2342" s="86">
        <f>+IF($AG2342=AS$22,MONTH($D2342),"")</f>
        <v>3</v>
      </c>
      <c r="AT2342" s="86" t="str">
        <f>+IF($AG2342=AT$22,MONTH($D2342),"")</f>
        <v/>
      </c>
      <c r="AU2342" s="86" t="str">
        <f>+IF($AG2342=AU$22,MONTH($D2342),"")</f>
        <v/>
      </c>
      <c r="AV2342" s="86" t="str">
        <f>+IF($AG2342=AV$22,MONTH($D2342),"")</f>
        <v/>
      </c>
      <c r="AW2342" s="86" t="str">
        <f>+IF($AG2342=AW$22,MONTH($D2342),"")</f>
        <v/>
      </c>
      <c r="AX2342" s="86" t="str">
        <f>+IF($AG2342=AX$22,MONTH($D2342),"")</f>
        <v/>
      </c>
      <c r="AY2342" s="89"/>
      <c r="AZ2342" s="89"/>
      <c r="BA2342" s="89"/>
      <c r="BB2342" s="89"/>
      <c r="BC2342" s="89"/>
      <c r="BD2342" s="89"/>
      <c r="BE2342" s="89"/>
      <c r="BF2342" s="89"/>
      <c r="BG2342" s="89"/>
      <c r="BH2342" s="89"/>
      <c r="BI2342" s="89"/>
      <c r="BJ2342" s="89"/>
      <c r="BK2342" s="89"/>
      <c r="BL2342" s="89"/>
      <c r="BM2342" s="89"/>
      <c r="BN2342" s="89"/>
      <c r="BO2342" s="89"/>
      <c r="BP2342" s="89"/>
    </row>
    <row r="2343" spans="1:68" s="56" customFormat="1" ht="13.5" hidden="1">
      <c r="A2343" s="204" t="str">
        <f>+IFERROR(VALUE(MID(AB2343,4,4)),"")</f>
        <v/>
      </c>
      <c r="B2343" s="204">
        <f>VALUE(RIGHT(C2343,LEN(C2343)-2))</f>
        <v>382</v>
      </c>
      <c r="C2343" s="74" t="s">
        <v>7979</v>
      </c>
      <c r="D2343" s="75">
        <v>42080</v>
      </c>
      <c r="E2343" s="70" t="s">
        <v>332</v>
      </c>
      <c r="F2343" s="70" t="s">
        <v>332</v>
      </c>
      <c r="G2343" s="68" t="s">
        <v>7903</v>
      </c>
      <c r="H2343" s="59" t="s">
        <v>7282</v>
      </c>
      <c r="I2343" s="162" t="s">
        <v>7980</v>
      </c>
      <c r="J2343" s="162"/>
      <c r="K2343" s="68" t="s">
        <v>13</v>
      </c>
      <c r="L2343" s="69" t="s">
        <v>120</v>
      </c>
      <c r="M2343" s="71" t="s">
        <v>141</v>
      </c>
      <c r="N2343" s="69" t="e" vm="1">
        <v>#VALUE!</v>
      </c>
      <c r="O2343" s="164">
        <v>42082</v>
      </c>
      <c r="P2343" s="72" t="s">
        <v>4567</v>
      </c>
      <c r="Q2343" s="72"/>
      <c r="R2343" s="162"/>
      <c r="S2343" s="146"/>
      <c r="T2343" s="68" t="s">
        <v>3</v>
      </c>
      <c r="U2343" s="87"/>
      <c r="V2343" s="183">
        <v>42080</v>
      </c>
      <c r="W2343" s="73">
        <v>226</v>
      </c>
      <c r="X2343" s="73">
        <f>348*24500/1000000</f>
        <v>8.5259999999999998</v>
      </c>
      <c r="Y2343" s="83">
        <f>IF(SUM(W2343:W2343)&gt;0,X2343/SUM(W2343:W2343)*1000000,"N/A")</f>
        <v>37725.663716814153</v>
      </c>
      <c r="Z2343" s="183"/>
      <c r="AA2343" s="183"/>
      <c r="AB2343" s="223"/>
      <c r="AC2343" s="153"/>
      <c r="AD2343" s="331"/>
      <c r="AE2343" s="57"/>
      <c r="AF2343" s="88"/>
      <c r="AG2343" s="182">
        <f>YEAR(D2343)</f>
        <v>2015</v>
      </c>
      <c r="AH2343" s="86" t="str">
        <f>+IF(AE2343=$AJ$22,MONTH(T2343),"")</f>
        <v/>
      </c>
      <c r="AI2343" s="86" t="str">
        <f>+IF(AF2343=$AJ$22,MONTH(U2343),"")</f>
        <v/>
      </c>
      <c r="AJ2343" s="86" t="str">
        <f>+IF(AG2343=$AJ$22,MONTH(V2343),"")</f>
        <v/>
      </c>
      <c r="AK2343" s="86" t="str">
        <f>+IF(AG2343=$AK$22,MONTH(V2343),"")</f>
        <v/>
      </c>
      <c r="AL2343" s="86" t="str">
        <f>+IF(AG2343=$AL$22,MONTH(V2343),"")</f>
        <v/>
      </c>
      <c r="AM2343" s="86" t="str">
        <f>+IF($AG2343=$AM$22,MONTH($D2343),"")</f>
        <v/>
      </c>
      <c r="AN2343" s="89" t="str">
        <f>+IF($AG2343=AN$22,MONTH($D2343),"")</f>
        <v/>
      </c>
      <c r="AO2343" s="86" t="str">
        <f>+IF($AG2343=AO$22,MONTH($D2343),"")</f>
        <v/>
      </c>
      <c r="AP2343" s="86" t="str">
        <f>+IF($AG2343=AP$22,MONTH($D2343),"")</f>
        <v/>
      </c>
      <c r="AQ2343" s="86" t="str">
        <f>+IF($AG2343=AQ$22,MONTH($D2343),"")</f>
        <v/>
      </c>
      <c r="AR2343" s="86" t="str">
        <f>+IF($AG2343=AR$22,MONTH($D2343),"")</f>
        <v/>
      </c>
      <c r="AS2343" s="86">
        <f>+IF($AG2343=AS$22,MONTH($D2343),"")</f>
        <v>3</v>
      </c>
      <c r="AT2343" s="86" t="str">
        <f>+IF($AG2343=AT$22,MONTH($D2343),"")</f>
        <v/>
      </c>
      <c r="AU2343" s="86" t="str">
        <f>+IF($AG2343=AU$22,MONTH($D2343),"")</f>
        <v/>
      </c>
      <c r="AV2343" s="86" t="str">
        <f>+IF($AG2343=AV$22,MONTH($D2343),"")</f>
        <v/>
      </c>
      <c r="AW2343" s="86" t="str">
        <f>+IF($AG2343=AW$22,MONTH($D2343),"")</f>
        <v/>
      </c>
      <c r="AX2343" s="86" t="str">
        <f>+IF($AG2343=AX$22,MONTH($D2343),"")</f>
        <v/>
      </c>
      <c r="AY2343" s="89"/>
      <c r="AZ2343" s="89"/>
      <c r="BA2343" s="89"/>
      <c r="BB2343" s="89"/>
      <c r="BC2343" s="89"/>
      <c r="BD2343" s="89"/>
      <c r="BE2343" s="89"/>
      <c r="BF2343" s="89"/>
      <c r="BG2343" s="89"/>
      <c r="BH2343" s="89"/>
      <c r="BI2343" s="89"/>
      <c r="BJ2343" s="89"/>
      <c r="BK2343" s="89"/>
      <c r="BL2343" s="89"/>
      <c r="BM2343" s="89"/>
      <c r="BN2343" s="89"/>
      <c r="BO2343" s="89"/>
      <c r="BP2343" s="89"/>
    </row>
    <row r="2344" spans="1:68" s="56" customFormat="1" ht="13.5" hidden="1">
      <c r="A2344" s="204" t="str">
        <f>+IFERROR(VALUE(MID(AB2344,4,4)),"")</f>
        <v/>
      </c>
      <c r="B2344" s="204">
        <f>VALUE(RIGHT(C2344,LEN(C2344)-2))</f>
        <v>381</v>
      </c>
      <c r="C2344" s="74" t="s">
        <v>7981</v>
      </c>
      <c r="D2344" s="75">
        <v>42080</v>
      </c>
      <c r="E2344" s="70" t="s">
        <v>332</v>
      </c>
      <c r="F2344" s="70" t="s">
        <v>332</v>
      </c>
      <c r="G2344" s="68" t="s">
        <v>7903</v>
      </c>
      <c r="H2344" s="59" t="s">
        <v>7282</v>
      </c>
      <c r="I2344" s="162" t="s">
        <v>7982</v>
      </c>
      <c r="J2344" s="162"/>
      <c r="K2344" s="68" t="s">
        <v>16</v>
      </c>
      <c r="L2344" s="69" t="s">
        <v>120</v>
      </c>
      <c r="M2344" s="71" t="s">
        <v>141</v>
      </c>
      <c r="N2344" s="69" t="e" vm="1">
        <v>#VALUE!</v>
      </c>
      <c r="O2344" s="164">
        <v>42079</v>
      </c>
      <c r="P2344" s="72" t="s">
        <v>4567</v>
      </c>
      <c r="Q2344" s="72"/>
      <c r="R2344" s="162"/>
      <c r="S2344" s="146"/>
      <c r="T2344" s="68" t="s">
        <v>3</v>
      </c>
      <c r="U2344" s="87"/>
      <c r="V2344" s="183">
        <v>42080</v>
      </c>
      <c r="W2344" s="73">
        <v>78</v>
      </c>
      <c r="X2344" s="73">
        <f>141*24500/1000000</f>
        <v>3.4544999999999999</v>
      </c>
      <c r="Y2344" s="83">
        <f>IF(SUM(W2344:W2344)&gt;0,X2344/SUM(W2344:W2344)*1000000,"N/A")</f>
        <v>44288.461538461539</v>
      </c>
      <c r="Z2344" s="183"/>
      <c r="AA2344" s="183"/>
      <c r="AB2344" s="223"/>
      <c r="AC2344" s="153"/>
      <c r="AD2344" s="331"/>
      <c r="AE2344" s="57"/>
      <c r="AF2344" s="88"/>
      <c r="AG2344" s="182">
        <f>YEAR(D2344)</f>
        <v>2015</v>
      </c>
      <c r="AH2344" s="86" t="str">
        <f>+IF(AE2344=$AJ$22,MONTH(T2344),"")</f>
        <v/>
      </c>
      <c r="AI2344" s="86" t="str">
        <f>+IF(AF2344=$AJ$22,MONTH(U2344),"")</f>
        <v/>
      </c>
      <c r="AJ2344" s="86" t="str">
        <f>+IF(AG2344=$AJ$22,MONTH(V2344),"")</f>
        <v/>
      </c>
      <c r="AK2344" s="86" t="str">
        <f>+IF(AG2344=$AK$22,MONTH(V2344),"")</f>
        <v/>
      </c>
      <c r="AL2344" s="86" t="str">
        <f>+IF(AG2344=$AL$22,MONTH(V2344),"")</f>
        <v/>
      </c>
      <c r="AM2344" s="86" t="str">
        <f>+IF($AG2344=$AM$22,MONTH($D2344),"")</f>
        <v/>
      </c>
      <c r="AN2344" s="89" t="str">
        <f>+IF($AG2344=AN$22,MONTH($D2344),"")</f>
        <v/>
      </c>
      <c r="AO2344" s="86" t="str">
        <f>+IF($AG2344=AO$22,MONTH($D2344),"")</f>
        <v/>
      </c>
      <c r="AP2344" s="86" t="str">
        <f>+IF($AG2344=AP$22,MONTH($D2344),"")</f>
        <v/>
      </c>
      <c r="AQ2344" s="86" t="str">
        <f>+IF($AG2344=AQ$22,MONTH($D2344),"")</f>
        <v/>
      </c>
      <c r="AR2344" s="86" t="str">
        <f>+IF($AG2344=AR$22,MONTH($D2344),"")</f>
        <v/>
      </c>
      <c r="AS2344" s="86">
        <f>+IF($AG2344=AS$22,MONTH($D2344),"")</f>
        <v>3</v>
      </c>
      <c r="AT2344" s="86" t="str">
        <f>+IF($AG2344=AT$22,MONTH($D2344),"")</f>
        <v/>
      </c>
      <c r="AU2344" s="86" t="str">
        <f>+IF($AG2344=AU$22,MONTH($D2344),"")</f>
        <v/>
      </c>
      <c r="AV2344" s="86" t="str">
        <f>+IF($AG2344=AV$22,MONTH($D2344),"")</f>
        <v/>
      </c>
      <c r="AW2344" s="86" t="str">
        <f>+IF($AG2344=AW$22,MONTH($D2344),"")</f>
        <v/>
      </c>
      <c r="AX2344" s="86" t="str">
        <f>+IF($AG2344=AX$22,MONTH($D2344),"")</f>
        <v/>
      </c>
      <c r="AY2344" s="89"/>
      <c r="AZ2344" s="89"/>
      <c r="BA2344" s="89"/>
      <c r="BB2344" s="89"/>
      <c r="BC2344" s="89"/>
      <c r="BD2344" s="89"/>
      <c r="BE2344" s="89"/>
      <c r="BF2344" s="89"/>
      <c r="BG2344" s="89"/>
      <c r="BH2344" s="89"/>
      <c r="BI2344" s="89"/>
      <c r="BJ2344" s="89"/>
      <c r="BK2344" s="89"/>
      <c r="BL2344" s="89"/>
      <c r="BM2344" s="89"/>
      <c r="BN2344" s="89"/>
      <c r="BO2344" s="89"/>
      <c r="BP2344" s="89"/>
    </row>
    <row r="2345" spans="1:68" s="56" customFormat="1" ht="27" hidden="1">
      <c r="A2345" s="204" t="str">
        <f>+IFERROR(VALUE(MID(AB2345,4,4)),"")</f>
        <v/>
      </c>
      <c r="B2345" s="204">
        <f>VALUE(RIGHT(C2345,LEN(C2345)-2))</f>
        <v>380</v>
      </c>
      <c r="C2345" s="74" t="s">
        <v>7983</v>
      </c>
      <c r="D2345" s="75">
        <v>42076</v>
      </c>
      <c r="E2345" s="70" t="s">
        <v>332</v>
      </c>
      <c r="F2345" s="70" t="s">
        <v>332</v>
      </c>
      <c r="G2345" s="68" t="s">
        <v>7984</v>
      </c>
      <c r="H2345" s="59" t="s">
        <v>7971</v>
      </c>
      <c r="I2345" s="162" t="s">
        <v>7985</v>
      </c>
      <c r="J2345" s="162"/>
      <c r="K2345" s="68" t="s">
        <v>43</v>
      </c>
      <c r="L2345" s="69" t="s">
        <v>120</v>
      </c>
      <c r="M2345" s="71" t="s">
        <v>141</v>
      </c>
      <c r="N2345" s="69" t="e" vm="1">
        <v>#VALUE!</v>
      </c>
      <c r="O2345" s="164">
        <v>42079</v>
      </c>
      <c r="P2345" s="72" t="s">
        <v>7967</v>
      </c>
      <c r="Q2345" s="72"/>
      <c r="R2345" s="162"/>
      <c r="S2345" s="146" t="s">
        <v>7986</v>
      </c>
      <c r="T2345" s="68" t="s">
        <v>3</v>
      </c>
      <c r="U2345" s="87"/>
      <c r="V2345" s="183">
        <v>42076</v>
      </c>
      <c r="W2345" s="73">
        <v>1808</v>
      </c>
      <c r="X2345" s="73">
        <f>2720*24500/1000000</f>
        <v>66.64</v>
      </c>
      <c r="Y2345" s="83">
        <f>IF(SUM(W2345:W2345)&gt;0,X2345/SUM(W2345:W2345)*1000000,"N/A")</f>
        <v>36858.407079646015</v>
      </c>
      <c r="Z2345" s="183"/>
      <c r="AA2345" s="183"/>
      <c r="AB2345" s="223"/>
      <c r="AC2345" s="153"/>
      <c r="AD2345" s="331"/>
      <c r="AE2345" s="57"/>
      <c r="AF2345" s="88"/>
      <c r="AG2345" s="182">
        <f>YEAR(D2345)</f>
        <v>2015</v>
      </c>
      <c r="AH2345" s="86" t="str">
        <f>+IF(AE2345=$AJ$22,MONTH(T2345),"")</f>
        <v/>
      </c>
      <c r="AI2345" s="86" t="str">
        <f>+IF(AF2345=$AJ$22,MONTH(U2345),"")</f>
        <v/>
      </c>
      <c r="AJ2345" s="86" t="str">
        <f>+IF(AG2345=$AJ$22,MONTH(V2345),"")</f>
        <v/>
      </c>
      <c r="AK2345" s="86" t="str">
        <f>+IF(AG2345=$AK$22,MONTH(V2345),"")</f>
        <v/>
      </c>
      <c r="AL2345" s="86" t="str">
        <f>+IF(AG2345=$AL$22,MONTH(V2345),"")</f>
        <v/>
      </c>
      <c r="AM2345" s="86" t="str">
        <f>+IF($AG2345=$AM$22,MONTH($D2345),"")</f>
        <v/>
      </c>
      <c r="AN2345" s="89" t="str">
        <f>+IF($AG2345=AN$22,MONTH($D2345),"")</f>
        <v/>
      </c>
      <c r="AO2345" s="86" t="str">
        <f>+IF($AG2345=AO$22,MONTH($D2345),"")</f>
        <v/>
      </c>
      <c r="AP2345" s="86" t="str">
        <f>+IF($AG2345=AP$22,MONTH($D2345),"")</f>
        <v/>
      </c>
      <c r="AQ2345" s="86" t="str">
        <f>+IF($AG2345=AQ$22,MONTH($D2345),"")</f>
        <v/>
      </c>
      <c r="AR2345" s="86" t="str">
        <f>+IF($AG2345=AR$22,MONTH($D2345),"")</f>
        <v/>
      </c>
      <c r="AS2345" s="86">
        <f>+IF($AG2345=AS$22,MONTH($D2345),"")</f>
        <v>3</v>
      </c>
      <c r="AT2345" s="86" t="str">
        <f>+IF($AG2345=AT$22,MONTH($D2345),"")</f>
        <v/>
      </c>
      <c r="AU2345" s="86" t="str">
        <f>+IF($AG2345=AU$22,MONTH($D2345),"")</f>
        <v/>
      </c>
      <c r="AV2345" s="86" t="str">
        <f>+IF($AG2345=AV$22,MONTH($D2345),"")</f>
        <v/>
      </c>
      <c r="AW2345" s="86" t="str">
        <f>+IF($AG2345=AW$22,MONTH($D2345),"")</f>
        <v/>
      </c>
      <c r="AX2345" s="86" t="str">
        <f>+IF($AG2345=AX$22,MONTH($D2345),"")</f>
        <v/>
      </c>
      <c r="AY2345" s="89"/>
      <c r="AZ2345" s="89"/>
      <c r="BA2345" s="89"/>
      <c r="BB2345" s="89"/>
      <c r="BC2345" s="89"/>
      <c r="BD2345" s="89"/>
      <c r="BE2345" s="89"/>
      <c r="BF2345" s="89"/>
      <c r="BG2345" s="89"/>
      <c r="BH2345" s="89"/>
      <c r="BI2345" s="89"/>
      <c r="BJ2345" s="89"/>
      <c r="BK2345" s="89"/>
      <c r="BL2345" s="89"/>
      <c r="BM2345" s="89"/>
      <c r="BN2345" s="89"/>
      <c r="BO2345" s="89"/>
      <c r="BP2345" s="89"/>
    </row>
    <row r="2346" spans="1:68" s="56" customFormat="1" ht="27" hidden="1">
      <c r="A2346" s="204" t="str">
        <f>+IFERROR(VALUE(MID(AB2346,4,4)),"")</f>
        <v/>
      </c>
      <c r="B2346" s="204">
        <f>VALUE(RIGHT(C2346,LEN(C2346)-2))</f>
        <v>379</v>
      </c>
      <c r="C2346" s="74" t="s">
        <v>7987</v>
      </c>
      <c r="D2346" s="75">
        <v>42072</v>
      </c>
      <c r="E2346" s="70" t="s">
        <v>81</v>
      </c>
      <c r="F2346" s="70" t="s">
        <v>3351</v>
      </c>
      <c r="G2346" s="68" t="s">
        <v>7079</v>
      </c>
      <c r="H2346" s="59" t="s">
        <v>7556</v>
      </c>
      <c r="I2346" s="162" t="s">
        <v>7988</v>
      </c>
      <c r="J2346" s="162"/>
      <c r="K2346" s="68" t="s">
        <v>31</v>
      </c>
      <c r="L2346" s="69" t="s">
        <v>120</v>
      </c>
      <c r="M2346" s="71" t="s">
        <v>113</v>
      </c>
      <c r="N2346" s="69" t="e" vm="4">
        <v>#VALUE!</v>
      </c>
      <c r="O2346" s="164">
        <v>42079</v>
      </c>
      <c r="P2346" s="72" t="s">
        <v>402</v>
      </c>
      <c r="Q2346" s="72"/>
      <c r="R2346" s="162"/>
      <c r="S2346" s="146"/>
      <c r="T2346" s="68" t="s">
        <v>165</v>
      </c>
      <c r="U2346" s="87"/>
      <c r="V2346" s="183">
        <v>42073</v>
      </c>
      <c r="W2346" s="73">
        <v>2033</v>
      </c>
      <c r="X2346" s="73">
        <f>166220*600/1000000</f>
        <v>99.731999999999999</v>
      </c>
      <c r="Y2346" s="83">
        <f>IF(SUM(W2346:W2346)&gt;0,X2346/SUM(W2346:W2346)*1000000,"N/A")</f>
        <v>49056.566650270535</v>
      </c>
      <c r="Z2346" s="183"/>
      <c r="AA2346" s="183"/>
      <c r="AB2346" s="223"/>
      <c r="AC2346" s="153"/>
      <c r="AD2346" s="331"/>
      <c r="AE2346" s="57"/>
      <c r="AF2346" s="88"/>
      <c r="AG2346" s="182">
        <f>YEAR(D2346)</f>
        <v>2015</v>
      </c>
      <c r="AH2346" s="86" t="str">
        <f>+IF(AE2346=$AJ$22,MONTH(T2346),"")</f>
        <v/>
      </c>
      <c r="AI2346" s="86" t="str">
        <f>+IF(AF2346=$AJ$22,MONTH(U2346),"")</f>
        <v/>
      </c>
      <c r="AJ2346" s="86" t="str">
        <f>+IF(AG2346=$AJ$22,MONTH(V2346),"")</f>
        <v/>
      </c>
      <c r="AK2346" s="86" t="str">
        <f>+IF(AG2346=$AK$22,MONTH(V2346),"")</f>
        <v/>
      </c>
      <c r="AL2346" s="86" t="str">
        <f>+IF(AG2346=$AL$22,MONTH(V2346),"")</f>
        <v/>
      </c>
      <c r="AM2346" s="86" t="str">
        <f>+IF($AG2346=$AM$22,MONTH($D2346),"")</f>
        <v/>
      </c>
      <c r="AN2346" s="89" t="str">
        <f>+IF($AG2346=AN$22,MONTH($D2346),"")</f>
        <v/>
      </c>
      <c r="AO2346" s="86" t="str">
        <f>+IF($AG2346=AO$22,MONTH($D2346),"")</f>
        <v/>
      </c>
      <c r="AP2346" s="86" t="str">
        <f>+IF($AG2346=AP$22,MONTH($D2346),"")</f>
        <v/>
      </c>
      <c r="AQ2346" s="86" t="str">
        <f>+IF($AG2346=AQ$22,MONTH($D2346),"")</f>
        <v/>
      </c>
      <c r="AR2346" s="86" t="str">
        <f>+IF($AG2346=AR$22,MONTH($D2346),"")</f>
        <v/>
      </c>
      <c r="AS2346" s="86">
        <f>+IF($AG2346=AS$22,MONTH($D2346),"")</f>
        <v>3</v>
      </c>
      <c r="AT2346" s="86" t="str">
        <f>+IF($AG2346=AT$22,MONTH($D2346),"")</f>
        <v/>
      </c>
      <c r="AU2346" s="86" t="str">
        <f>+IF($AG2346=AU$22,MONTH($D2346),"")</f>
        <v/>
      </c>
      <c r="AV2346" s="86" t="str">
        <f>+IF($AG2346=AV$22,MONTH($D2346),"")</f>
        <v/>
      </c>
      <c r="AW2346" s="86" t="str">
        <f>+IF($AG2346=AW$22,MONTH($D2346),"")</f>
        <v/>
      </c>
      <c r="AX2346" s="86" t="str">
        <f>+IF($AG2346=AX$22,MONTH($D2346),"")</f>
        <v/>
      </c>
      <c r="AY2346" s="89"/>
      <c r="AZ2346" s="89"/>
      <c r="BA2346" s="89"/>
      <c r="BB2346" s="89"/>
      <c r="BC2346" s="89"/>
      <c r="BD2346" s="89"/>
      <c r="BE2346" s="89"/>
      <c r="BF2346" s="89"/>
      <c r="BG2346" s="89"/>
      <c r="BH2346" s="89"/>
      <c r="BI2346" s="89"/>
      <c r="BJ2346" s="89"/>
      <c r="BK2346" s="89"/>
      <c r="BL2346" s="89"/>
      <c r="BM2346" s="89"/>
      <c r="BN2346" s="89"/>
      <c r="BO2346" s="89"/>
      <c r="BP2346" s="89"/>
    </row>
    <row r="2347" spans="1:68" s="56" customFormat="1" ht="40.5" hidden="1">
      <c r="A2347" s="204" t="str">
        <f>+IFERROR(VALUE(MID(AB2347,4,4)),"")</f>
        <v/>
      </c>
      <c r="B2347" s="204">
        <f>VALUE(RIGHT(C2347,LEN(C2347)-2))</f>
        <v>378</v>
      </c>
      <c r="C2347" s="74" t="s">
        <v>7989</v>
      </c>
      <c r="D2347" s="75">
        <v>42170</v>
      </c>
      <c r="E2347" s="70" t="s">
        <v>332</v>
      </c>
      <c r="F2347" s="70"/>
      <c r="G2347" s="68" t="s">
        <v>285</v>
      </c>
      <c r="H2347" s="59"/>
      <c r="I2347" s="162" t="s">
        <v>7990</v>
      </c>
      <c r="J2347" s="162"/>
      <c r="K2347" s="68"/>
      <c r="L2347" s="69"/>
      <c r="M2347" s="71"/>
      <c r="N2347" s="69"/>
      <c r="O2347" s="164">
        <v>42170</v>
      </c>
      <c r="P2347" s="72" t="s">
        <v>402</v>
      </c>
      <c r="Q2347" s="72"/>
      <c r="R2347" s="162"/>
      <c r="S2347" s="146" t="s">
        <v>7991</v>
      </c>
      <c r="T2347" s="68" t="s">
        <v>155</v>
      </c>
      <c r="U2347" s="87"/>
      <c r="V2347" s="183">
        <v>42170</v>
      </c>
      <c r="W2347" s="73"/>
      <c r="X2347" s="73"/>
      <c r="Y2347" s="83"/>
      <c r="Z2347" s="183"/>
      <c r="AA2347" s="183"/>
      <c r="AB2347" s="223"/>
      <c r="AC2347" s="153"/>
      <c r="AD2347" s="331"/>
      <c r="AE2347" s="57"/>
      <c r="AF2347" s="88"/>
      <c r="AG2347" s="182">
        <f>YEAR(D2347)</f>
        <v>2015</v>
      </c>
      <c r="AH2347" s="86" t="str">
        <f>+IF(AE2347=$AJ$22,MONTH(T2347),"")</f>
        <v/>
      </c>
      <c r="AI2347" s="86" t="str">
        <f>+IF(AF2347=$AJ$22,MONTH(U2347),"")</f>
        <v/>
      </c>
      <c r="AJ2347" s="86" t="str">
        <f>+IF(AG2347=$AJ$22,MONTH(V2347),"")</f>
        <v/>
      </c>
      <c r="AK2347" s="86" t="str">
        <f>+IF(AG2347=$AK$22,MONTH(V2347),"")</f>
        <v/>
      </c>
      <c r="AL2347" s="86" t="str">
        <f>+IF(AG2347=$AL$22,MONTH(V2347),"")</f>
        <v/>
      </c>
      <c r="AM2347" s="86" t="str">
        <f>+IF($AG2347=$AM$22,MONTH($D2347),"")</f>
        <v/>
      </c>
      <c r="AN2347" s="89" t="str">
        <f>+IF($AG2347=AN$22,MONTH($D2347),"")</f>
        <v/>
      </c>
      <c r="AO2347" s="86" t="str">
        <f>+IF($AG2347=AO$22,MONTH($D2347),"")</f>
        <v/>
      </c>
      <c r="AP2347" s="86" t="str">
        <f>+IF($AG2347=AP$22,MONTH($D2347),"")</f>
        <v/>
      </c>
      <c r="AQ2347" s="86" t="str">
        <f>+IF($AG2347=AQ$22,MONTH($D2347),"")</f>
        <v/>
      </c>
      <c r="AR2347" s="86" t="str">
        <f>+IF($AG2347=AR$22,MONTH($D2347),"")</f>
        <v/>
      </c>
      <c r="AS2347" s="86">
        <f>+IF($AG2347=AS$22,MONTH($D2347),"")</f>
        <v>6</v>
      </c>
      <c r="AT2347" s="86" t="str">
        <f>+IF($AG2347=AT$22,MONTH($D2347),"")</f>
        <v/>
      </c>
      <c r="AU2347" s="86" t="str">
        <f>+IF($AG2347=AU$22,MONTH($D2347),"")</f>
        <v/>
      </c>
      <c r="AV2347" s="86" t="str">
        <f>+IF($AG2347=AV$22,MONTH($D2347),"")</f>
        <v/>
      </c>
      <c r="AW2347" s="86" t="str">
        <f>+IF($AG2347=AW$22,MONTH($D2347),"")</f>
        <v/>
      </c>
      <c r="AX2347" s="86" t="str">
        <f>+IF($AG2347=AX$22,MONTH($D2347),"")</f>
        <v/>
      </c>
      <c r="AY2347" s="89"/>
      <c r="AZ2347" s="89"/>
      <c r="BA2347" s="89"/>
      <c r="BB2347" s="89"/>
      <c r="BC2347" s="89"/>
      <c r="BD2347" s="89"/>
      <c r="BE2347" s="89"/>
      <c r="BF2347" s="89"/>
      <c r="BG2347" s="89"/>
      <c r="BH2347" s="89"/>
      <c r="BI2347" s="89"/>
      <c r="BJ2347" s="89"/>
      <c r="BK2347" s="89"/>
      <c r="BL2347" s="89"/>
      <c r="BM2347" s="89"/>
      <c r="BN2347" s="89"/>
      <c r="BO2347" s="89"/>
      <c r="BP2347" s="89"/>
    </row>
    <row r="2348" spans="1:68" s="56" customFormat="1" ht="13.5" hidden="1">
      <c r="A2348" s="204" t="str">
        <f>+IFERROR(VALUE(MID(AB2348,4,4)),"")</f>
        <v/>
      </c>
      <c r="B2348" s="204">
        <f>VALUE(RIGHT(C2348,LEN(C2348)-2))</f>
        <v>377</v>
      </c>
      <c r="C2348" s="74" t="s">
        <v>7992</v>
      </c>
      <c r="D2348" s="75">
        <v>42067</v>
      </c>
      <c r="E2348" s="70" t="s">
        <v>332</v>
      </c>
      <c r="F2348" s="70" t="s">
        <v>332</v>
      </c>
      <c r="G2348" s="68" t="s">
        <v>285</v>
      </c>
      <c r="H2348" s="59" t="s">
        <v>7401</v>
      </c>
      <c r="I2348" s="162" t="s">
        <v>7993</v>
      </c>
      <c r="J2348" s="162"/>
      <c r="K2348" s="68" t="s">
        <v>212</v>
      </c>
      <c r="L2348" s="69" t="s">
        <v>120</v>
      </c>
      <c r="M2348" s="71" t="s">
        <v>141</v>
      </c>
      <c r="N2348" s="69" t="e" vm="1">
        <v>#VALUE!</v>
      </c>
      <c r="O2348" s="164">
        <v>42068</v>
      </c>
      <c r="P2348" s="72" t="s">
        <v>4567</v>
      </c>
      <c r="Q2348" s="72"/>
      <c r="R2348" s="162"/>
      <c r="S2348" s="146" t="s">
        <v>7994</v>
      </c>
      <c r="T2348" s="68" t="s">
        <v>3</v>
      </c>
      <c r="U2348" s="87"/>
      <c r="V2348" s="183">
        <v>42100</v>
      </c>
      <c r="W2348" s="73">
        <v>1496</v>
      </c>
      <c r="X2348" s="73">
        <f>45743*600/1000000</f>
        <v>27.445799999999998</v>
      </c>
      <c r="Y2348" s="83">
        <f>IF(SUM(W2348:W2348)&gt;0,X2348/SUM(W2348:W2348)*1000000,"N/A")</f>
        <v>18346.122994652404</v>
      </c>
      <c r="Z2348" s="183"/>
      <c r="AA2348" s="183"/>
      <c r="AB2348" s="223"/>
      <c r="AC2348" s="153"/>
      <c r="AD2348" s="331"/>
      <c r="AE2348" s="57"/>
      <c r="AF2348" s="88"/>
      <c r="AG2348" s="182">
        <f>YEAR(D2348)</f>
        <v>2015</v>
      </c>
      <c r="AH2348" s="86" t="str">
        <f>+IF(AE2348=$AJ$22,MONTH(T2348),"")</f>
        <v/>
      </c>
      <c r="AI2348" s="86" t="str">
        <f>+IF(AF2348=$AJ$22,MONTH(U2348),"")</f>
        <v/>
      </c>
      <c r="AJ2348" s="86" t="str">
        <f>+IF(AG2348=$AJ$22,MONTH(V2348),"")</f>
        <v/>
      </c>
      <c r="AK2348" s="86" t="str">
        <f>+IF(AG2348=$AK$22,MONTH(V2348),"")</f>
        <v/>
      </c>
      <c r="AL2348" s="86" t="str">
        <f>+IF(AG2348=$AL$22,MONTH(V2348),"")</f>
        <v/>
      </c>
      <c r="AM2348" s="86" t="str">
        <f>+IF($AG2348=$AM$22,MONTH($D2348),"")</f>
        <v/>
      </c>
      <c r="AN2348" s="89" t="str">
        <f>+IF($AG2348=AN$22,MONTH($D2348),"")</f>
        <v/>
      </c>
      <c r="AO2348" s="86" t="str">
        <f>+IF($AG2348=AO$22,MONTH($D2348),"")</f>
        <v/>
      </c>
      <c r="AP2348" s="86" t="str">
        <f>+IF($AG2348=AP$22,MONTH($D2348),"")</f>
        <v/>
      </c>
      <c r="AQ2348" s="86" t="str">
        <f>+IF($AG2348=AQ$22,MONTH($D2348),"")</f>
        <v/>
      </c>
      <c r="AR2348" s="86" t="str">
        <f>+IF($AG2348=AR$22,MONTH($D2348),"")</f>
        <v/>
      </c>
      <c r="AS2348" s="86">
        <f>+IF($AG2348=AS$22,MONTH($D2348),"")</f>
        <v>3</v>
      </c>
      <c r="AT2348" s="86" t="str">
        <f>+IF($AG2348=AT$22,MONTH($D2348),"")</f>
        <v/>
      </c>
      <c r="AU2348" s="86" t="str">
        <f>+IF($AG2348=AU$22,MONTH($D2348),"")</f>
        <v/>
      </c>
      <c r="AV2348" s="86" t="str">
        <f>+IF($AG2348=AV$22,MONTH($D2348),"")</f>
        <v/>
      </c>
      <c r="AW2348" s="86" t="str">
        <f>+IF($AG2348=AW$22,MONTH($D2348),"")</f>
        <v/>
      </c>
      <c r="AX2348" s="86" t="str">
        <f>+IF($AG2348=AX$22,MONTH($D2348),"")</f>
        <v/>
      </c>
      <c r="AY2348" s="89"/>
      <c r="AZ2348" s="89"/>
      <c r="BA2348" s="89"/>
      <c r="BB2348" s="89"/>
      <c r="BC2348" s="89"/>
      <c r="BD2348" s="89"/>
      <c r="BE2348" s="89"/>
      <c r="BF2348" s="89"/>
      <c r="BG2348" s="89"/>
      <c r="BH2348" s="89"/>
      <c r="BI2348" s="89"/>
      <c r="BJ2348" s="89"/>
      <c r="BK2348" s="89"/>
      <c r="BL2348" s="89"/>
      <c r="BM2348" s="89"/>
      <c r="BN2348" s="89"/>
      <c r="BO2348" s="89"/>
      <c r="BP2348" s="89"/>
    </row>
    <row r="2349" spans="1:68" s="56" customFormat="1" ht="13.5" hidden="1">
      <c r="A2349" s="204">
        <f>+IFERROR(VALUE(MID(AB2349,4,4)),"")</f>
        <v>87</v>
      </c>
      <c r="B2349" s="204">
        <f>VALUE(RIGHT(C2349,LEN(C2349)-2))</f>
        <v>376</v>
      </c>
      <c r="C2349" s="74" t="s">
        <v>7995</v>
      </c>
      <c r="D2349" s="75">
        <v>42062</v>
      </c>
      <c r="E2349" s="70" t="s">
        <v>332</v>
      </c>
      <c r="F2349" s="70" t="s">
        <v>332</v>
      </c>
      <c r="G2349" s="68" t="s">
        <v>7970</v>
      </c>
      <c r="H2349" s="59" t="s">
        <v>7971</v>
      </c>
      <c r="I2349" s="162" t="s">
        <v>7996</v>
      </c>
      <c r="J2349" s="162"/>
      <c r="K2349" s="68" t="s">
        <v>13</v>
      </c>
      <c r="L2349" s="69" t="s">
        <v>120</v>
      </c>
      <c r="M2349" s="71" t="s">
        <v>141</v>
      </c>
      <c r="N2349" s="69" t="e" vm="1">
        <v>#VALUE!</v>
      </c>
      <c r="O2349" s="164"/>
      <c r="P2349" s="72" t="s">
        <v>402</v>
      </c>
      <c r="Q2349" s="72"/>
      <c r="R2349" s="162"/>
      <c r="S2349" s="146"/>
      <c r="T2349" s="68" t="s">
        <v>3</v>
      </c>
      <c r="U2349" s="87"/>
      <c r="V2349" s="183">
        <v>42062</v>
      </c>
      <c r="W2349" s="73">
        <v>200</v>
      </c>
      <c r="X2349" s="73">
        <f>310*24500/1000000</f>
        <v>7.5949999999999998</v>
      </c>
      <c r="Y2349" s="83">
        <f>IF(SUM(W2349:W2349)&gt;0,X2349/SUM(W2349:W2349)*1000000,"N/A")</f>
        <v>37975</v>
      </c>
      <c r="Z2349" s="183"/>
      <c r="AA2349" s="183"/>
      <c r="AB2349" s="223" t="s">
        <v>7997</v>
      </c>
      <c r="AC2349" s="153"/>
      <c r="AD2349" s="331"/>
      <c r="AE2349" s="57"/>
      <c r="AF2349" s="88"/>
      <c r="AG2349" s="182">
        <f>YEAR(D2349)</f>
        <v>2015</v>
      </c>
      <c r="AH2349" s="86" t="str">
        <f>+IF(AE2349=$AJ$22,MONTH(T2349),"")</f>
        <v/>
      </c>
      <c r="AI2349" s="86" t="str">
        <f>+IF(AF2349=$AJ$22,MONTH(U2349),"")</f>
        <v/>
      </c>
      <c r="AJ2349" s="86" t="str">
        <f>+IF(AG2349=$AJ$22,MONTH(V2349),"")</f>
        <v/>
      </c>
      <c r="AK2349" s="86" t="str">
        <f>+IF(AG2349=$AK$22,MONTH(V2349),"")</f>
        <v/>
      </c>
      <c r="AL2349" s="86" t="str">
        <f>+IF(AG2349=$AL$22,MONTH(V2349),"")</f>
        <v/>
      </c>
      <c r="AM2349" s="86" t="str">
        <f>+IF($AG2349=$AM$22,MONTH($D2349),"")</f>
        <v/>
      </c>
      <c r="AN2349" s="89" t="str">
        <f>+IF($AG2349=AN$22,MONTH($D2349),"")</f>
        <v/>
      </c>
      <c r="AO2349" s="86" t="str">
        <f>+IF($AG2349=AO$22,MONTH($D2349),"")</f>
        <v/>
      </c>
      <c r="AP2349" s="86" t="str">
        <f>+IF($AG2349=AP$22,MONTH($D2349),"")</f>
        <v/>
      </c>
      <c r="AQ2349" s="86" t="str">
        <f>+IF($AG2349=AQ$22,MONTH($D2349),"")</f>
        <v/>
      </c>
      <c r="AR2349" s="86" t="str">
        <f>+IF($AG2349=AR$22,MONTH($D2349),"")</f>
        <v/>
      </c>
      <c r="AS2349" s="86">
        <f>+IF($AG2349=AS$22,MONTH($D2349),"")</f>
        <v>2</v>
      </c>
      <c r="AT2349" s="86" t="str">
        <f>+IF($AG2349=AT$22,MONTH($D2349),"")</f>
        <v/>
      </c>
      <c r="AU2349" s="86" t="str">
        <f>+IF($AG2349=AU$22,MONTH($D2349),"")</f>
        <v/>
      </c>
      <c r="AV2349" s="86" t="str">
        <f>+IF($AG2349=AV$22,MONTH($D2349),"")</f>
        <v/>
      </c>
      <c r="AW2349" s="86" t="str">
        <f>+IF($AG2349=AW$22,MONTH($D2349),"")</f>
        <v/>
      </c>
      <c r="AX2349" s="86" t="str">
        <f>+IF($AG2349=AX$22,MONTH($D2349),"")</f>
        <v/>
      </c>
      <c r="AY2349" s="89"/>
      <c r="AZ2349" s="89"/>
      <c r="BA2349" s="89"/>
      <c r="BB2349" s="89"/>
      <c r="BC2349" s="89"/>
      <c r="BD2349" s="89"/>
      <c r="BE2349" s="89"/>
      <c r="BF2349" s="89"/>
      <c r="BG2349" s="89"/>
      <c r="BH2349" s="89"/>
      <c r="BI2349" s="89"/>
      <c r="BJ2349" s="89"/>
      <c r="BK2349" s="89"/>
      <c r="BL2349" s="89"/>
      <c r="BM2349" s="89"/>
      <c r="BN2349" s="89"/>
      <c r="BO2349" s="89"/>
      <c r="BP2349" s="89"/>
    </row>
    <row r="2350" spans="1:68" s="56" customFormat="1" ht="13.5" hidden="1">
      <c r="A2350" s="204">
        <f>+IFERROR(VALUE(MID(AB2350,4,4)),"")</f>
        <v>87</v>
      </c>
      <c r="B2350" s="204">
        <f>VALUE(RIGHT(C2350,LEN(C2350)-2))</f>
        <v>375</v>
      </c>
      <c r="C2350" s="74" t="s">
        <v>7998</v>
      </c>
      <c r="D2350" s="75">
        <v>42055</v>
      </c>
      <c r="E2350" s="70" t="s">
        <v>332</v>
      </c>
      <c r="F2350" s="70" t="s">
        <v>332</v>
      </c>
      <c r="G2350" s="68" t="s">
        <v>7999</v>
      </c>
      <c r="H2350" s="59" t="s">
        <v>8000</v>
      </c>
      <c r="I2350" s="162" t="s">
        <v>8001</v>
      </c>
      <c r="J2350" s="162"/>
      <c r="K2350" s="68" t="s">
        <v>12</v>
      </c>
      <c r="L2350" s="69" t="s">
        <v>120</v>
      </c>
      <c r="M2350" s="71" t="s">
        <v>141</v>
      </c>
      <c r="N2350" s="69" t="e" vm="1">
        <v>#VALUE!</v>
      </c>
      <c r="O2350" s="164">
        <v>42055</v>
      </c>
      <c r="P2350" s="72" t="s">
        <v>7465</v>
      </c>
      <c r="Q2350" s="72"/>
      <c r="R2350" s="162"/>
      <c r="S2350" s="146" t="s">
        <v>8002</v>
      </c>
      <c r="T2350" s="68" t="s">
        <v>3</v>
      </c>
      <c r="U2350" s="87"/>
      <c r="V2350" s="183">
        <v>42055</v>
      </c>
      <c r="W2350" s="73">
        <v>684</v>
      </c>
      <c r="X2350" s="73">
        <f>925*24500/1000000</f>
        <v>22.662500000000001</v>
      </c>
      <c r="Y2350" s="83">
        <f>IF(SUM(W2350:W2350)&gt;0,X2350/SUM(W2350:W2350)*1000000,"N/A")</f>
        <v>33132.309941520471</v>
      </c>
      <c r="Z2350" s="183"/>
      <c r="AA2350" s="183"/>
      <c r="AB2350" s="223" t="s">
        <v>7997</v>
      </c>
      <c r="AC2350" s="153"/>
      <c r="AD2350" s="331"/>
      <c r="AE2350" s="57"/>
      <c r="AF2350" s="88"/>
      <c r="AG2350" s="182">
        <f>YEAR(D2350)</f>
        <v>2015</v>
      </c>
      <c r="AH2350" s="86" t="str">
        <f>+IF(AE2350=$AJ$22,MONTH(T2350),"")</f>
        <v/>
      </c>
      <c r="AI2350" s="86" t="str">
        <f>+IF(AF2350=$AJ$22,MONTH(U2350),"")</f>
        <v/>
      </c>
      <c r="AJ2350" s="86" t="str">
        <f>+IF(AG2350=$AJ$22,MONTH(V2350),"")</f>
        <v/>
      </c>
      <c r="AK2350" s="86" t="str">
        <f>+IF(AG2350=$AK$22,MONTH(V2350),"")</f>
        <v/>
      </c>
      <c r="AL2350" s="86" t="str">
        <f>+IF(AG2350=$AL$22,MONTH(V2350),"")</f>
        <v/>
      </c>
      <c r="AM2350" s="86" t="str">
        <f>+IF($AG2350=$AM$22,MONTH($D2350),"")</f>
        <v/>
      </c>
      <c r="AN2350" s="89" t="str">
        <f>+IF($AG2350=AN$22,MONTH($D2350),"")</f>
        <v/>
      </c>
      <c r="AO2350" s="86" t="str">
        <f>+IF($AG2350=AO$22,MONTH($D2350),"")</f>
        <v/>
      </c>
      <c r="AP2350" s="86" t="str">
        <f>+IF($AG2350=AP$22,MONTH($D2350),"")</f>
        <v/>
      </c>
      <c r="AQ2350" s="86" t="str">
        <f>+IF($AG2350=AQ$22,MONTH($D2350),"")</f>
        <v/>
      </c>
      <c r="AR2350" s="86" t="str">
        <f>+IF($AG2350=AR$22,MONTH($D2350),"")</f>
        <v/>
      </c>
      <c r="AS2350" s="86">
        <f>+IF($AG2350=AS$22,MONTH($D2350),"")</f>
        <v>2</v>
      </c>
      <c r="AT2350" s="86" t="str">
        <f>+IF($AG2350=AT$22,MONTH($D2350),"")</f>
        <v/>
      </c>
      <c r="AU2350" s="86" t="str">
        <f>+IF($AG2350=AU$22,MONTH($D2350),"")</f>
        <v/>
      </c>
      <c r="AV2350" s="86" t="str">
        <f>+IF($AG2350=AV$22,MONTH($D2350),"")</f>
        <v/>
      </c>
      <c r="AW2350" s="86" t="str">
        <f>+IF($AG2350=AW$22,MONTH($D2350),"")</f>
        <v/>
      </c>
      <c r="AX2350" s="86" t="str">
        <f>+IF($AG2350=AX$22,MONTH($D2350),"")</f>
        <v/>
      </c>
      <c r="AY2350" s="89"/>
      <c r="AZ2350" s="89"/>
      <c r="BA2350" s="89"/>
      <c r="BB2350" s="89"/>
      <c r="BC2350" s="89"/>
      <c r="BD2350" s="89"/>
      <c r="BE2350" s="89"/>
      <c r="BF2350" s="89"/>
      <c r="BG2350" s="89"/>
      <c r="BH2350" s="89"/>
      <c r="BI2350" s="89"/>
      <c r="BJ2350" s="89"/>
      <c r="BK2350" s="89"/>
      <c r="BL2350" s="89"/>
      <c r="BM2350" s="89"/>
      <c r="BN2350" s="89"/>
      <c r="BO2350" s="89"/>
      <c r="BP2350" s="89"/>
    </row>
    <row r="2351" spans="1:68" s="56" customFormat="1" ht="27" hidden="1">
      <c r="A2351" s="204" t="str">
        <f>+IFERROR(VALUE(MID(AB2351,4,4)),"")</f>
        <v/>
      </c>
      <c r="B2351" s="204">
        <f>VALUE(RIGHT(C2351,LEN(C2351)-2))</f>
        <v>374</v>
      </c>
      <c r="C2351" s="74" t="s">
        <v>8003</v>
      </c>
      <c r="D2351" s="75">
        <v>42054</v>
      </c>
      <c r="E2351" s="70" t="s">
        <v>99</v>
      </c>
      <c r="F2351" s="70" t="s">
        <v>263</v>
      </c>
      <c r="G2351" s="68" t="s">
        <v>4897</v>
      </c>
      <c r="H2351" s="59" t="s">
        <v>8004</v>
      </c>
      <c r="I2351" s="162" t="s">
        <v>8005</v>
      </c>
      <c r="J2351" s="162"/>
      <c r="K2351" s="68" t="s">
        <v>12</v>
      </c>
      <c r="L2351" s="69" t="s">
        <v>123</v>
      </c>
      <c r="M2351" s="71" t="s">
        <v>141</v>
      </c>
      <c r="N2351" s="69" t="e" vm="1">
        <v>#VALUE!</v>
      </c>
      <c r="O2351" s="164">
        <v>42059</v>
      </c>
      <c r="P2351" s="72" t="s">
        <v>4567</v>
      </c>
      <c r="Q2351" s="72"/>
      <c r="R2351" s="162"/>
      <c r="S2351" s="146"/>
      <c r="T2351" s="68" t="s">
        <v>165</v>
      </c>
      <c r="U2351" s="87"/>
      <c r="V2351" s="183">
        <v>42060</v>
      </c>
      <c r="W2351" s="73">
        <v>427</v>
      </c>
      <c r="X2351" s="73">
        <f>701*24500/1000000</f>
        <v>17.174499999999998</v>
      </c>
      <c r="Y2351" s="83">
        <f>IF(SUM(W2351:W2351)&gt;0,X2351/SUM(W2351:W2351)*1000000,"N/A")</f>
        <v>40221.311475409835</v>
      </c>
      <c r="Z2351" s="183"/>
      <c r="AA2351" s="183"/>
      <c r="AB2351" s="223"/>
      <c r="AC2351" s="153"/>
      <c r="AD2351" s="331"/>
      <c r="AE2351" s="57"/>
      <c r="AF2351" s="88"/>
      <c r="AG2351" s="182">
        <f>YEAR(D2351)</f>
        <v>2015</v>
      </c>
      <c r="AH2351" s="86" t="str">
        <f>+IF(AE2351=$AJ$22,MONTH(T2351),"")</f>
        <v/>
      </c>
      <c r="AI2351" s="86" t="str">
        <f>+IF(AF2351=$AJ$22,MONTH(U2351),"")</f>
        <v/>
      </c>
      <c r="AJ2351" s="86" t="str">
        <f>+IF(AG2351=$AJ$22,MONTH(V2351),"")</f>
        <v/>
      </c>
      <c r="AK2351" s="86" t="str">
        <f>+IF(AG2351=$AK$22,MONTH(V2351),"")</f>
        <v/>
      </c>
      <c r="AL2351" s="86" t="str">
        <f>+IF(AG2351=$AL$22,MONTH(V2351),"")</f>
        <v/>
      </c>
      <c r="AM2351" s="86" t="str">
        <f>+IF($AG2351=$AM$22,MONTH($D2351),"")</f>
        <v/>
      </c>
      <c r="AN2351" s="89" t="str">
        <f>+IF($AG2351=AN$22,MONTH($D2351),"")</f>
        <v/>
      </c>
      <c r="AO2351" s="86" t="str">
        <f>+IF($AG2351=AO$22,MONTH($D2351),"")</f>
        <v/>
      </c>
      <c r="AP2351" s="86" t="str">
        <f>+IF($AG2351=AP$22,MONTH($D2351),"")</f>
        <v/>
      </c>
      <c r="AQ2351" s="86" t="str">
        <f>+IF($AG2351=AQ$22,MONTH($D2351),"")</f>
        <v/>
      </c>
      <c r="AR2351" s="86" t="str">
        <f>+IF($AG2351=AR$22,MONTH($D2351),"")</f>
        <v/>
      </c>
      <c r="AS2351" s="86">
        <f>+IF($AG2351=AS$22,MONTH($D2351),"")</f>
        <v>2</v>
      </c>
      <c r="AT2351" s="86" t="str">
        <f>+IF($AG2351=AT$22,MONTH($D2351),"")</f>
        <v/>
      </c>
      <c r="AU2351" s="86" t="str">
        <f>+IF($AG2351=AU$22,MONTH($D2351),"")</f>
        <v/>
      </c>
      <c r="AV2351" s="86" t="str">
        <f>+IF($AG2351=AV$22,MONTH($D2351),"")</f>
        <v/>
      </c>
      <c r="AW2351" s="86" t="str">
        <f>+IF($AG2351=AW$22,MONTH($D2351),"")</f>
        <v/>
      </c>
      <c r="AX2351" s="86" t="str">
        <f>+IF($AG2351=AX$22,MONTH($D2351),"")</f>
        <v/>
      </c>
      <c r="AY2351" s="89"/>
      <c r="AZ2351" s="89"/>
      <c r="BA2351" s="89"/>
      <c r="BB2351" s="89"/>
      <c r="BC2351" s="89"/>
      <c r="BD2351" s="89"/>
      <c r="BE2351" s="89"/>
      <c r="BF2351" s="89"/>
      <c r="BG2351" s="89"/>
      <c r="BH2351" s="89"/>
      <c r="BI2351" s="89"/>
      <c r="BJ2351" s="89"/>
      <c r="BK2351" s="89"/>
      <c r="BL2351" s="89"/>
      <c r="BM2351" s="89"/>
      <c r="BN2351" s="89"/>
      <c r="BO2351" s="89"/>
      <c r="BP2351" s="89"/>
    </row>
    <row r="2352" spans="1:68" s="56" customFormat="1" ht="13.5" hidden="1">
      <c r="A2352" s="204">
        <f>+IFERROR(VALUE(MID(AB2352,4,4)),"")</f>
        <v>87</v>
      </c>
      <c r="B2352" s="204">
        <f>VALUE(RIGHT(C2352,LEN(C2352)-2))</f>
        <v>373</v>
      </c>
      <c r="C2352" s="74" t="s">
        <v>8006</v>
      </c>
      <c r="D2352" s="75">
        <v>42128</v>
      </c>
      <c r="E2352" s="70" t="s">
        <v>332</v>
      </c>
      <c r="F2352" s="70" t="s">
        <v>332</v>
      </c>
      <c r="G2352" s="68" t="s">
        <v>285</v>
      </c>
      <c r="H2352" s="59"/>
      <c r="I2352" s="162" t="s">
        <v>8007</v>
      </c>
      <c r="J2352" s="162"/>
      <c r="K2352" s="68" t="s">
        <v>13</v>
      </c>
      <c r="L2352" s="69" t="s">
        <v>120</v>
      </c>
      <c r="M2352" s="71" t="s">
        <v>141</v>
      </c>
      <c r="N2352" s="69" t="e" vm="1">
        <v>#VALUE!</v>
      </c>
      <c r="O2352" s="164">
        <v>42128</v>
      </c>
      <c r="P2352" s="72" t="s">
        <v>402</v>
      </c>
      <c r="Q2352" s="72"/>
      <c r="R2352" s="162"/>
      <c r="S2352" s="146"/>
      <c r="T2352" s="68" t="s">
        <v>3</v>
      </c>
      <c r="U2352" s="87"/>
      <c r="V2352" s="183">
        <v>42054</v>
      </c>
      <c r="W2352" s="73">
        <v>657</v>
      </c>
      <c r="X2352" s="73">
        <f>960*24500/1000000</f>
        <v>23.52</v>
      </c>
      <c r="Y2352" s="83">
        <f>IF(SUM(W2352:W2352)&gt;0,X2352/SUM(W2352:W2352)*1000000,"N/A")</f>
        <v>35799.086757990866</v>
      </c>
      <c r="Z2352" s="183"/>
      <c r="AA2352" s="183"/>
      <c r="AB2352" s="223" t="s">
        <v>7997</v>
      </c>
      <c r="AC2352" s="153"/>
      <c r="AD2352" s="331"/>
      <c r="AE2352" s="57"/>
      <c r="AF2352" s="88"/>
      <c r="AG2352" s="182">
        <f>YEAR(D2352)</f>
        <v>2015</v>
      </c>
      <c r="AH2352" s="86" t="str">
        <f>+IF(AE2352=$AJ$22,MONTH(T2352),"")</f>
        <v/>
      </c>
      <c r="AI2352" s="86" t="str">
        <f>+IF(AF2352=$AJ$22,MONTH(U2352),"")</f>
        <v/>
      </c>
      <c r="AJ2352" s="86" t="str">
        <f>+IF(AG2352=$AJ$22,MONTH(V2352),"")</f>
        <v/>
      </c>
      <c r="AK2352" s="86" t="str">
        <f>+IF(AG2352=$AK$22,MONTH(V2352),"")</f>
        <v/>
      </c>
      <c r="AL2352" s="86" t="str">
        <f>+IF(AG2352=$AL$22,MONTH(V2352),"")</f>
        <v/>
      </c>
      <c r="AM2352" s="86" t="str">
        <f>+IF($AG2352=$AM$22,MONTH($D2352),"")</f>
        <v/>
      </c>
      <c r="AN2352" s="89" t="str">
        <f>+IF($AG2352=AN$22,MONTH($D2352),"")</f>
        <v/>
      </c>
      <c r="AO2352" s="86" t="str">
        <f>+IF($AG2352=AO$22,MONTH($D2352),"")</f>
        <v/>
      </c>
      <c r="AP2352" s="86" t="str">
        <f>+IF($AG2352=AP$22,MONTH($D2352),"")</f>
        <v/>
      </c>
      <c r="AQ2352" s="86" t="str">
        <f>+IF($AG2352=AQ$22,MONTH($D2352),"")</f>
        <v/>
      </c>
      <c r="AR2352" s="86" t="str">
        <f>+IF($AG2352=AR$22,MONTH($D2352),"")</f>
        <v/>
      </c>
      <c r="AS2352" s="86">
        <f>+IF($AG2352=AS$22,MONTH($D2352),"")</f>
        <v>5</v>
      </c>
      <c r="AT2352" s="86" t="str">
        <f>+IF($AG2352=AT$22,MONTH($D2352),"")</f>
        <v/>
      </c>
      <c r="AU2352" s="86" t="str">
        <f>+IF($AG2352=AU$22,MONTH($D2352),"")</f>
        <v/>
      </c>
      <c r="AV2352" s="86" t="str">
        <f>+IF($AG2352=AV$22,MONTH($D2352),"")</f>
        <v/>
      </c>
      <c r="AW2352" s="86" t="str">
        <f>+IF($AG2352=AW$22,MONTH($D2352),"")</f>
        <v/>
      </c>
      <c r="AX2352" s="86" t="str">
        <f>+IF($AG2352=AX$22,MONTH($D2352),"")</f>
        <v/>
      </c>
      <c r="AY2352" s="89"/>
      <c r="AZ2352" s="89"/>
      <c r="BA2352" s="89"/>
      <c r="BB2352" s="89"/>
      <c r="BC2352" s="89"/>
      <c r="BD2352" s="89"/>
      <c r="BE2352" s="89"/>
      <c r="BF2352" s="89"/>
      <c r="BG2352" s="89"/>
      <c r="BH2352" s="89"/>
      <c r="BI2352" s="89"/>
      <c r="BJ2352" s="89"/>
      <c r="BK2352" s="89"/>
      <c r="BL2352" s="89"/>
      <c r="BM2352" s="89"/>
      <c r="BN2352" s="89"/>
      <c r="BO2352" s="89"/>
      <c r="BP2352" s="89"/>
    </row>
    <row r="2353" spans="1:68" s="56" customFormat="1" ht="27" hidden="1">
      <c r="A2353" s="204" t="str">
        <f>+IFERROR(VALUE(MID(AB2353,4,4)),"")</f>
        <v/>
      </c>
      <c r="B2353" s="204">
        <f>VALUE(RIGHT(C2353,LEN(C2353)-2))</f>
        <v>372</v>
      </c>
      <c r="C2353" s="74" t="s">
        <v>8008</v>
      </c>
      <c r="D2353" s="75">
        <v>42054</v>
      </c>
      <c r="E2353" s="70" t="s">
        <v>332</v>
      </c>
      <c r="F2353" s="70"/>
      <c r="G2353" s="68"/>
      <c r="H2353" s="59"/>
      <c r="I2353" s="162" t="s">
        <v>8009</v>
      </c>
      <c r="J2353" s="162"/>
      <c r="K2353" s="68"/>
      <c r="L2353" s="69"/>
      <c r="M2353" s="71"/>
      <c r="N2353" s="69"/>
      <c r="O2353" s="164">
        <v>42055</v>
      </c>
      <c r="P2353" s="72" t="s">
        <v>402</v>
      </c>
      <c r="Q2353" s="72"/>
      <c r="R2353" s="162"/>
      <c r="S2353" s="146" t="s">
        <v>8010</v>
      </c>
      <c r="T2353" s="68" t="s">
        <v>155</v>
      </c>
      <c r="U2353" s="87"/>
      <c r="V2353" s="183">
        <v>42054</v>
      </c>
      <c r="W2353" s="73"/>
      <c r="X2353" s="73"/>
      <c r="Y2353" s="83"/>
      <c r="Z2353" s="183"/>
      <c r="AA2353" s="183"/>
      <c r="AB2353" s="223"/>
      <c r="AC2353" s="153"/>
      <c r="AD2353" s="331"/>
      <c r="AE2353" s="57"/>
      <c r="AF2353" s="88"/>
      <c r="AG2353" s="182">
        <f>YEAR(D2353)</f>
        <v>2015</v>
      </c>
      <c r="AH2353" s="86" t="str">
        <f>+IF(AE2353=$AJ$22,MONTH(T2353),"")</f>
        <v/>
      </c>
      <c r="AI2353" s="86" t="str">
        <f>+IF(AF2353=$AJ$22,MONTH(U2353),"")</f>
        <v/>
      </c>
      <c r="AJ2353" s="86" t="str">
        <f>+IF(AG2353=$AJ$22,MONTH(V2353),"")</f>
        <v/>
      </c>
      <c r="AK2353" s="86" t="str">
        <f>+IF(AG2353=$AK$22,MONTH(V2353),"")</f>
        <v/>
      </c>
      <c r="AL2353" s="86" t="str">
        <f>+IF(AG2353=$AL$22,MONTH(V2353),"")</f>
        <v/>
      </c>
      <c r="AM2353" s="86" t="str">
        <f>+IF($AG2353=$AM$22,MONTH($D2353),"")</f>
        <v/>
      </c>
      <c r="AN2353" s="89" t="str">
        <f>+IF($AG2353=AN$22,MONTH($D2353),"")</f>
        <v/>
      </c>
      <c r="AO2353" s="86" t="str">
        <f>+IF($AG2353=AO$22,MONTH($D2353),"")</f>
        <v/>
      </c>
      <c r="AP2353" s="86" t="str">
        <f>+IF($AG2353=AP$22,MONTH($D2353),"")</f>
        <v/>
      </c>
      <c r="AQ2353" s="86" t="str">
        <f>+IF($AG2353=AQ$22,MONTH($D2353),"")</f>
        <v/>
      </c>
      <c r="AR2353" s="86" t="str">
        <f>+IF($AG2353=AR$22,MONTH($D2353),"")</f>
        <v/>
      </c>
      <c r="AS2353" s="86">
        <f>+IF($AG2353=AS$22,MONTH($D2353),"")</f>
        <v>2</v>
      </c>
      <c r="AT2353" s="86" t="str">
        <f>+IF($AG2353=AT$22,MONTH($D2353),"")</f>
        <v/>
      </c>
      <c r="AU2353" s="86" t="str">
        <f>+IF($AG2353=AU$22,MONTH($D2353),"")</f>
        <v/>
      </c>
      <c r="AV2353" s="86" t="str">
        <f>+IF($AG2353=AV$22,MONTH($D2353),"")</f>
        <v/>
      </c>
      <c r="AW2353" s="86" t="str">
        <f>+IF($AG2353=AW$22,MONTH($D2353),"")</f>
        <v/>
      </c>
      <c r="AX2353" s="86" t="str">
        <f>+IF($AG2353=AX$22,MONTH($D2353),"")</f>
        <v/>
      </c>
      <c r="AY2353" s="89"/>
      <c r="AZ2353" s="89"/>
      <c r="BA2353" s="89"/>
      <c r="BB2353" s="89"/>
      <c r="BC2353" s="89"/>
      <c r="BD2353" s="89"/>
      <c r="BE2353" s="89"/>
      <c r="BF2353" s="89"/>
      <c r="BG2353" s="89"/>
      <c r="BH2353" s="89"/>
      <c r="BI2353" s="89"/>
      <c r="BJ2353" s="89"/>
      <c r="BK2353" s="89"/>
      <c r="BL2353" s="89"/>
      <c r="BM2353" s="89"/>
      <c r="BN2353" s="89"/>
      <c r="BO2353" s="89"/>
      <c r="BP2353" s="89"/>
    </row>
    <row r="2354" spans="1:68" s="56" customFormat="1" ht="13.5" hidden="1">
      <c r="A2354" s="204">
        <f>+IFERROR(VALUE(MID(AB2354,4,4)),"")</f>
        <v>87</v>
      </c>
      <c r="B2354" s="204">
        <f>VALUE(RIGHT(C2354,LEN(C2354)-2))</f>
        <v>371</v>
      </c>
      <c r="C2354" s="74" t="s">
        <v>8011</v>
      </c>
      <c r="D2354" s="75">
        <v>42053</v>
      </c>
      <c r="E2354" s="70" t="s">
        <v>332</v>
      </c>
      <c r="F2354" s="70" t="s">
        <v>332</v>
      </c>
      <c r="G2354" s="68" t="s">
        <v>7117</v>
      </c>
      <c r="H2354" s="59"/>
      <c r="I2354" s="162" t="s">
        <v>8012</v>
      </c>
      <c r="J2354" s="162"/>
      <c r="K2354" s="68" t="s">
        <v>13</v>
      </c>
      <c r="L2354" s="69" t="s">
        <v>120</v>
      </c>
      <c r="M2354" s="71" t="s">
        <v>141</v>
      </c>
      <c r="N2354" s="69" t="e" vm="1">
        <v>#VALUE!</v>
      </c>
      <c r="O2354" s="164">
        <v>42055</v>
      </c>
      <c r="P2354" s="72" t="s">
        <v>402</v>
      </c>
      <c r="Q2354" s="72"/>
      <c r="R2354" s="162"/>
      <c r="S2354" s="146" t="s">
        <v>8013</v>
      </c>
      <c r="T2354" s="68" t="s">
        <v>3</v>
      </c>
      <c r="U2354" s="87"/>
      <c r="V2354" s="183">
        <v>42054</v>
      </c>
      <c r="W2354" s="73">
        <v>135</v>
      </c>
      <c r="X2354" s="73">
        <f>182*24500/1000000</f>
        <v>4.4589999999999996</v>
      </c>
      <c r="Y2354" s="83">
        <f>IF(SUM(W2354:W2354)&gt;0,X2354/SUM(W2354:W2354)*1000000,"N/A")</f>
        <v>33029.62962962962</v>
      </c>
      <c r="Z2354" s="183"/>
      <c r="AA2354" s="183"/>
      <c r="AB2354" s="223" t="s">
        <v>7997</v>
      </c>
      <c r="AC2354" s="153"/>
      <c r="AD2354" s="331"/>
      <c r="AE2354" s="57"/>
      <c r="AF2354" s="88"/>
      <c r="AG2354" s="182">
        <f>YEAR(D2354)</f>
        <v>2015</v>
      </c>
      <c r="AH2354" s="86" t="str">
        <f>+IF(AE2354=$AJ$22,MONTH(T2354),"")</f>
        <v/>
      </c>
      <c r="AI2354" s="86" t="str">
        <f>+IF(AF2354=$AJ$22,MONTH(U2354),"")</f>
        <v/>
      </c>
      <c r="AJ2354" s="86" t="str">
        <f>+IF(AG2354=$AJ$22,MONTH(V2354),"")</f>
        <v/>
      </c>
      <c r="AK2354" s="86" t="str">
        <f>+IF(AG2354=$AK$22,MONTH(V2354),"")</f>
        <v/>
      </c>
      <c r="AL2354" s="86" t="str">
        <f>+IF(AG2354=$AL$22,MONTH(V2354),"")</f>
        <v/>
      </c>
      <c r="AM2354" s="86" t="str">
        <f>+IF($AG2354=$AM$22,MONTH($D2354),"")</f>
        <v/>
      </c>
      <c r="AN2354" s="89" t="str">
        <f>+IF($AG2354=AN$22,MONTH($D2354),"")</f>
        <v/>
      </c>
      <c r="AO2354" s="86" t="str">
        <f>+IF($AG2354=AO$22,MONTH($D2354),"")</f>
        <v/>
      </c>
      <c r="AP2354" s="86" t="str">
        <f>+IF($AG2354=AP$22,MONTH($D2354),"")</f>
        <v/>
      </c>
      <c r="AQ2354" s="86" t="str">
        <f>+IF($AG2354=AQ$22,MONTH($D2354),"")</f>
        <v/>
      </c>
      <c r="AR2354" s="86" t="str">
        <f>+IF($AG2354=AR$22,MONTH($D2354),"")</f>
        <v/>
      </c>
      <c r="AS2354" s="86">
        <f>+IF($AG2354=AS$22,MONTH($D2354),"")</f>
        <v>2</v>
      </c>
      <c r="AT2354" s="86" t="str">
        <f>+IF($AG2354=AT$22,MONTH($D2354),"")</f>
        <v/>
      </c>
      <c r="AU2354" s="86" t="str">
        <f>+IF($AG2354=AU$22,MONTH($D2354),"")</f>
        <v/>
      </c>
      <c r="AV2354" s="86" t="str">
        <f>+IF($AG2354=AV$22,MONTH($D2354),"")</f>
        <v/>
      </c>
      <c r="AW2354" s="86" t="str">
        <f>+IF($AG2354=AW$22,MONTH($D2354),"")</f>
        <v/>
      </c>
      <c r="AX2354" s="86" t="str">
        <f>+IF($AG2354=AX$22,MONTH($D2354),"")</f>
        <v/>
      </c>
      <c r="AY2354" s="89"/>
      <c r="AZ2354" s="89"/>
      <c r="BA2354" s="89"/>
      <c r="BB2354" s="89"/>
      <c r="BC2354" s="89"/>
      <c r="BD2354" s="89"/>
      <c r="BE2354" s="89"/>
      <c r="BF2354" s="89"/>
      <c r="BG2354" s="89"/>
      <c r="BH2354" s="89"/>
      <c r="BI2354" s="89"/>
      <c r="BJ2354" s="89"/>
      <c r="BK2354" s="89"/>
      <c r="BL2354" s="89"/>
      <c r="BM2354" s="89"/>
      <c r="BN2354" s="89"/>
      <c r="BO2354" s="89"/>
      <c r="BP2354" s="89"/>
    </row>
    <row r="2355" spans="1:68" s="56" customFormat="1" ht="13.5" hidden="1">
      <c r="A2355" s="204">
        <f>+IFERROR(VALUE(MID(AB2355,4,4)),"")</f>
        <v>87</v>
      </c>
      <c r="B2355" s="204">
        <f>VALUE(RIGHT(C2355,LEN(C2355)-2))</f>
        <v>370</v>
      </c>
      <c r="C2355" s="74" t="s">
        <v>8014</v>
      </c>
      <c r="D2355" s="75">
        <v>42052</v>
      </c>
      <c r="E2355" s="70" t="s">
        <v>332</v>
      </c>
      <c r="F2355" s="70" t="s">
        <v>332</v>
      </c>
      <c r="G2355" s="68"/>
      <c r="H2355" s="59"/>
      <c r="I2355" s="162" t="s">
        <v>8015</v>
      </c>
      <c r="J2355" s="162"/>
      <c r="K2355" s="68" t="s">
        <v>16</v>
      </c>
      <c r="L2355" s="69" t="s">
        <v>120</v>
      </c>
      <c r="M2355" s="71" t="s">
        <v>141</v>
      </c>
      <c r="N2355" s="69" t="e" vm="1">
        <v>#VALUE!</v>
      </c>
      <c r="O2355" s="164">
        <v>42052</v>
      </c>
      <c r="P2355" s="72"/>
      <c r="Q2355" s="72"/>
      <c r="R2355" s="162"/>
      <c r="S2355" s="146"/>
      <c r="T2355" s="68" t="s">
        <v>3</v>
      </c>
      <c r="U2355" s="87"/>
      <c r="V2355" s="183">
        <v>42053</v>
      </c>
      <c r="W2355" s="73">
        <v>105</v>
      </c>
      <c r="X2355" s="73">
        <f>185*24500/1000000</f>
        <v>4.5324999999999998</v>
      </c>
      <c r="Y2355" s="83">
        <f>IF(SUM(W2355:W2355)&gt;0,X2355/SUM(W2355:W2355)*1000000,"N/A")</f>
        <v>43166.666666666664</v>
      </c>
      <c r="Z2355" s="183"/>
      <c r="AA2355" s="183"/>
      <c r="AB2355" s="223" t="s">
        <v>7997</v>
      </c>
      <c r="AC2355" s="153"/>
      <c r="AD2355" s="331"/>
      <c r="AE2355" s="57"/>
      <c r="AF2355" s="88"/>
      <c r="AG2355" s="182">
        <f>YEAR(D2355)</f>
        <v>2015</v>
      </c>
      <c r="AH2355" s="86" t="str">
        <f>+IF(AE2355=$AJ$22,MONTH(T2355),"")</f>
        <v/>
      </c>
      <c r="AI2355" s="86" t="str">
        <f>+IF(AF2355=$AJ$22,MONTH(U2355),"")</f>
        <v/>
      </c>
      <c r="AJ2355" s="86" t="str">
        <f>+IF(AG2355=$AJ$22,MONTH(V2355),"")</f>
        <v/>
      </c>
      <c r="AK2355" s="86" t="str">
        <f>+IF(AG2355=$AK$22,MONTH(V2355),"")</f>
        <v/>
      </c>
      <c r="AL2355" s="86" t="str">
        <f>+IF(AG2355=$AL$22,MONTH(V2355),"")</f>
        <v/>
      </c>
      <c r="AM2355" s="86" t="str">
        <f>+IF($AG2355=$AM$22,MONTH($D2355),"")</f>
        <v/>
      </c>
      <c r="AN2355" s="89" t="str">
        <f>+IF($AG2355=AN$22,MONTH($D2355),"")</f>
        <v/>
      </c>
      <c r="AO2355" s="86" t="str">
        <f>+IF($AG2355=AO$22,MONTH($D2355),"")</f>
        <v/>
      </c>
      <c r="AP2355" s="86" t="str">
        <f>+IF($AG2355=AP$22,MONTH($D2355),"")</f>
        <v/>
      </c>
      <c r="AQ2355" s="86" t="str">
        <f>+IF($AG2355=AQ$22,MONTH($D2355),"")</f>
        <v/>
      </c>
      <c r="AR2355" s="86" t="str">
        <f>+IF($AG2355=AR$22,MONTH($D2355),"")</f>
        <v/>
      </c>
      <c r="AS2355" s="86">
        <f>+IF($AG2355=AS$22,MONTH($D2355),"")</f>
        <v>2</v>
      </c>
      <c r="AT2355" s="86" t="str">
        <f>+IF($AG2355=AT$22,MONTH($D2355),"")</f>
        <v/>
      </c>
      <c r="AU2355" s="86" t="str">
        <f>+IF($AG2355=AU$22,MONTH($D2355),"")</f>
        <v/>
      </c>
      <c r="AV2355" s="86" t="str">
        <f>+IF($AG2355=AV$22,MONTH($D2355),"")</f>
        <v/>
      </c>
      <c r="AW2355" s="86" t="str">
        <f>+IF($AG2355=AW$22,MONTH($D2355),"")</f>
        <v/>
      </c>
      <c r="AX2355" s="86" t="str">
        <f>+IF($AG2355=AX$22,MONTH($D2355),"")</f>
        <v/>
      </c>
      <c r="AY2355" s="89"/>
      <c r="AZ2355" s="89"/>
      <c r="BA2355" s="89"/>
      <c r="BB2355" s="89"/>
      <c r="BC2355" s="89"/>
      <c r="BD2355" s="89"/>
      <c r="BE2355" s="89"/>
      <c r="BF2355" s="89"/>
      <c r="BG2355" s="89"/>
      <c r="BH2355" s="89"/>
      <c r="BI2355" s="89"/>
      <c r="BJ2355" s="89"/>
      <c r="BK2355" s="89"/>
      <c r="BL2355" s="89"/>
      <c r="BM2355" s="89"/>
      <c r="BN2355" s="89"/>
      <c r="BO2355" s="89"/>
      <c r="BP2355" s="89"/>
    </row>
    <row r="2356" spans="1:68" s="56" customFormat="1" ht="13.5" hidden="1">
      <c r="A2356" s="204">
        <f>+IFERROR(VALUE(MID(AB2356,4,4)),"")</f>
        <v>87</v>
      </c>
      <c r="B2356" s="204">
        <f>VALUE(RIGHT(C2356,LEN(C2356)-2))</f>
        <v>369</v>
      </c>
      <c r="C2356" s="74" t="s">
        <v>8016</v>
      </c>
      <c r="D2356" s="75">
        <v>42045</v>
      </c>
      <c r="E2356" s="70" t="s">
        <v>332</v>
      </c>
      <c r="F2356" s="70" t="s">
        <v>332</v>
      </c>
      <c r="G2356" s="68" t="s">
        <v>7117</v>
      </c>
      <c r="H2356" s="59"/>
      <c r="I2356" s="162" t="s">
        <v>8017</v>
      </c>
      <c r="J2356" s="162"/>
      <c r="K2356" s="68" t="s">
        <v>13</v>
      </c>
      <c r="L2356" s="69" t="s">
        <v>120</v>
      </c>
      <c r="M2356" s="71" t="s">
        <v>141</v>
      </c>
      <c r="N2356" s="69" t="e" vm="1">
        <v>#VALUE!</v>
      </c>
      <c r="O2356" s="164">
        <v>42045</v>
      </c>
      <c r="P2356" s="72"/>
      <c r="Q2356" s="72"/>
      <c r="R2356" s="162"/>
      <c r="S2356" s="146"/>
      <c r="T2356" s="68" t="s">
        <v>3</v>
      </c>
      <c r="U2356" s="87"/>
      <c r="V2356" s="183">
        <v>42054</v>
      </c>
      <c r="W2356" s="73">
        <v>625</v>
      </c>
      <c r="X2356" s="73">
        <f>880*24500/1000000</f>
        <v>21.56</v>
      </c>
      <c r="Y2356" s="83">
        <f>IF(SUM(W2356:W2356)&gt;0,X2356/SUM(W2356:W2356)*1000000,"N/A")</f>
        <v>34496</v>
      </c>
      <c r="Z2356" s="183"/>
      <c r="AA2356" s="183"/>
      <c r="AB2356" s="223" t="s">
        <v>7997</v>
      </c>
      <c r="AC2356" s="153"/>
      <c r="AD2356" s="331"/>
      <c r="AE2356" s="57"/>
      <c r="AF2356" s="88"/>
      <c r="AG2356" s="182">
        <f>YEAR(D2356)</f>
        <v>2015</v>
      </c>
      <c r="AH2356" s="86" t="str">
        <f>+IF(AE2356=$AJ$22,MONTH(T2356),"")</f>
        <v/>
      </c>
      <c r="AI2356" s="86" t="str">
        <f>+IF(AF2356=$AJ$22,MONTH(U2356),"")</f>
        <v/>
      </c>
      <c r="AJ2356" s="86" t="str">
        <f>+IF(AG2356=$AJ$22,MONTH(V2356),"")</f>
        <v/>
      </c>
      <c r="AK2356" s="86" t="str">
        <f>+IF(AG2356=$AK$22,MONTH(V2356),"")</f>
        <v/>
      </c>
      <c r="AL2356" s="86" t="str">
        <f>+IF(AG2356=$AL$22,MONTH(V2356),"")</f>
        <v/>
      </c>
      <c r="AM2356" s="86" t="str">
        <f>+IF($AG2356=$AM$22,MONTH($D2356),"")</f>
        <v/>
      </c>
      <c r="AN2356" s="89" t="str">
        <f>+IF($AG2356=AN$22,MONTH($D2356),"")</f>
        <v/>
      </c>
      <c r="AO2356" s="86" t="str">
        <f>+IF($AG2356=AO$22,MONTH($D2356),"")</f>
        <v/>
      </c>
      <c r="AP2356" s="86" t="str">
        <f>+IF($AG2356=AP$22,MONTH($D2356),"")</f>
        <v/>
      </c>
      <c r="AQ2356" s="86" t="str">
        <f>+IF($AG2356=AQ$22,MONTH($D2356),"")</f>
        <v/>
      </c>
      <c r="AR2356" s="86" t="str">
        <f>+IF($AG2356=AR$22,MONTH($D2356),"")</f>
        <v/>
      </c>
      <c r="AS2356" s="86">
        <f>+IF($AG2356=AS$22,MONTH($D2356),"")</f>
        <v>2</v>
      </c>
      <c r="AT2356" s="86" t="str">
        <f>+IF($AG2356=AT$22,MONTH($D2356),"")</f>
        <v/>
      </c>
      <c r="AU2356" s="86" t="str">
        <f>+IF($AG2356=AU$22,MONTH($D2356),"")</f>
        <v/>
      </c>
      <c r="AV2356" s="86" t="str">
        <f>+IF($AG2356=AV$22,MONTH($D2356),"")</f>
        <v/>
      </c>
      <c r="AW2356" s="86" t="str">
        <f>+IF($AG2356=AW$22,MONTH($D2356),"")</f>
        <v/>
      </c>
      <c r="AX2356" s="86" t="str">
        <f>+IF($AG2356=AX$22,MONTH($D2356),"")</f>
        <v/>
      </c>
      <c r="AY2356" s="89"/>
      <c r="AZ2356" s="89"/>
      <c r="BA2356" s="89"/>
      <c r="BB2356" s="89"/>
      <c r="BC2356" s="89"/>
      <c r="BD2356" s="89"/>
      <c r="BE2356" s="89"/>
      <c r="BF2356" s="89"/>
      <c r="BG2356" s="89"/>
      <c r="BH2356" s="89"/>
      <c r="BI2356" s="89"/>
      <c r="BJ2356" s="89"/>
      <c r="BK2356" s="89"/>
      <c r="BL2356" s="89"/>
      <c r="BM2356" s="89"/>
      <c r="BN2356" s="89"/>
      <c r="BO2356" s="89"/>
      <c r="BP2356" s="89"/>
    </row>
    <row r="2357" spans="1:68" s="56" customFormat="1" ht="13.5" hidden="1">
      <c r="A2357" s="204" t="str">
        <f>+IFERROR(VALUE(MID(AB2357,4,4)),"")</f>
        <v/>
      </c>
      <c r="B2357" s="204">
        <f>VALUE(RIGHT(C2357,LEN(C2357)-2))</f>
        <v>368</v>
      </c>
      <c r="C2357" s="74" t="s">
        <v>8018</v>
      </c>
      <c r="D2357" s="75">
        <v>42041</v>
      </c>
      <c r="E2357" s="70" t="s">
        <v>332</v>
      </c>
      <c r="F2357" s="70" t="s">
        <v>332</v>
      </c>
      <c r="G2357" s="68" t="s">
        <v>7903</v>
      </c>
      <c r="H2357" s="59"/>
      <c r="I2357" s="162" t="s">
        <v>8019</v>
      </c>
      <c r="J2357" s="162"/>
      <c r="K2357" s="68" t="s">
        <v>13</v>
      </c>
      <c r="L2357" s="69" t="s">
        <v>120</v>
      </c>
      <c r="M2357" s="71" t="s">
        <v>141</v>
      </c>
      <c r="N2357" s="69" t="e" vm="1">
        <v>#VALUE!</v>
      </c>
      <c r="O2357" s="164"/>
      <c r="P2357" s="72" t="s">
        <v>7967</v>
      </c>
      <c r="Q2357" s="72"/>
      <c r="R2357" s="162"/>
      <c r="S2357" s="146" t="s">
        <v>7296</v>
      </c>
      <c r="T2357" s="68" t="s">
        <v>155</v>
      </c>
      <c r="U2357" s="87"/>
      <c r="V2357" s="183"/>
      <c r="W2357" s="73"/>
      <c r="X2357" s="73"/>
      <c r="Y2357" s="83"/>
      <c r="Z2357" s="183"/>
      <c r="AA2357" s="183"/>
      <c r="AB2357" s="223"/>
      <c r="AC2357" s="153"/>
      <c r="AD2357" s="331"/>
      <c r="AE2357" s="57"/>
      <c r="AF2357" s="88"/>
      <c r="AG2357" s="182">
        <f>YEAR(D2357)</f>
        <v>2015</v>
      </c>
      <c r="AH2357" s="86" t="str">
        <f>+IF(AE2357=$AJ$22,MONTH(T2357),"")</f>
        <v/>
      </c>
      <c r="AI2357" s="86" t="str">
        <f>+IF(AF2357=$AJ$22,MONTH(U2357),"")</f>
        <v/>
      </c>
      <c r="AJ2357" s="86" t="str">
        <f>+IF(AG2357=$AJ$22,MONTH(V2357),"")</f>
        <v/>
      </c>
      <c r="AK2357" s="86" t="str">
        <f>+IF(AG2357=$AK$22,MONTH(V2357),"")</f>
        <v/>
      </c>
      <c r="AL2357" s="86" t="str">
        <f>+IF(AG2357=$AL$22,MONTH(V2357),"")</f>
        <v/>
      </c>
      <c r="AM2357" s="86" t="str">
        <f>+IF($AG2357=$AM$22,MONTH($D2357),"")</f>
        <v/>
      </c>
      <c r="AN2357" s="89" t="str">
        <f>+IF($AG2357=AN$22,MONTH($D2357),"")</f>
        <v/>
      </c>
      <c r="AO2357" s="86" t="str">
        <f>+IF($AG2357=AO$22,MONTH($D2357),"")</f>
        <v/>
      </c>
      <c r="AP2357" s="86" t="str">
        <f>+IF($AG2357=AP$22,MONTH($D2357),"")</f>
        <v/>
      </c>
      <c r="AQ2357" s="86" t="str">
        <f>+IF($AG2357=AQ$22,MONTH($D2357),"")</f>
        <v/>
      </c>
      <c r="AR2357" s="86" t="str">
        <f>+IF($AG2357=AR$22,MONTH($D2357),"")</f>
        <v/>
      </c>
      <c r="AS2357" s="86">
        <f>+IF($AG2357=AS$22,MONTH($D2357),"")</f>
        <v>2</v>
      </c>
      <c r="AT2357" s="86" t="str">
        <f>+IF($AG2357=AT$22,MONTH($D2357),"")</f>
        <v/>
      </c>
      <c r="AU2357" s="86" t="str">
        <f>+IF($AG2357=AU$22,MONTH($D2357),"")</f>
        <v/>
      </c>
      <c r="AV2357" s="86" t="str">
        <f>+IF($AG2357=AV$22,MONTH($D2357),"")</f>
        <v/>
      </c>
      <c r="AW2357" s="86" t="str">
        <f>+IF($AG2357=AW$22,MONTH($D2357),"")</f>
        <v/>
      </c>
      <c r="AX2357" s="86" t="str">
        <f>+IF($AG2357=AX$22,MONTH($D2357),"")</f>
        <v/>
      </c>
      <c r="AY2357" s="89"/>
      <c r="AZ2357" s="89"/>
      <c r="BA2357" s="89"/>
      <c r="BB2357" s="89"/>
      <c r="BC2357" s="89"/>
      <c r="BD2357" s="89"/>
      <c r="BE2357" s="89"/>
      <c r="BF2357" s="89"/>
      <c r="BG2357" s="89"/>
      <c r="BH2357" s="89"/>
      <c r="BI2357" s="89"/>
      <c r="BJ2357" s="89"/>
      <c r="BK2357" s="89"/>
      <c r="BL2357" s="89"/>
      <c r="BM2357" s="89"/>
      <c r="BN2357" s="89"/>
      <c r="BO2357" s="89"/>
      <c r="BP2357" s="89"/>
    </row>
    <row r="2358" spans="1:68" s="56" customFormat="1" ht="27" hidden="1">
      <c r="A2358" s="204" t="str">
        <f>+IFERROR(VALUE(MID(AB2358,4,4)),"")</f>
        <v/>
      </c>
      <c r="B2358" s="204">
        <f>VALUE(RIGHT(C2358,LEN(C2358)-2))</f>
        <v>367</v>
      </c>
      <c r="C2358" s="74" t="s">
        <v>8020</v>
      </c>
      <c r="D2358" s="75">
        <v>42039</v>
      </c>
      <c r="E2358" s="70" t="s">
        <v>8021</v>
      </c>
      <c r="F2358" s="70" t="s">
        <v>8022</v>
      </c>
      <c r="G2358" s="68" t="s">
        <v>8023</v>
      </c>
      <c r="H2358" s="59" t="s">
        <v>8024</v>
      </c>
      <c r="I2358" s="162" t="s">
        <v>8025</v>
      </c>
      <c r="J2358" s="162"/>
      <c r="K2358" s="68" t="s">
        <v>13</v>
      </c>
      <c r="L2358" s="69" t="s">
        <v>123</v>
      </c>
      <c r="M2358" s="71" t="s">
        <v>141</v>
      </c>
      <c r="N2358" s="69" t="e" vm="1">
        <v>#VALUE!</v>
      </c>
      <c r="O2358" s="164">
        <v>42046</v>
      </c>
      <c r="P2358" s="72" t="s">
        <v>4567</v>
      </c>
      <c r="Q2358" s="72"/>
      <c r="R2358" s="162"/>
      <c r="S2358" s="146"/>
      <c r="T2358" s="68" t="s">
        <v>165</v>
      </c>
      <c r="U2358" s="87"/>
      <c r="V2358" s="183">
        <v>42051</v>
      </c>
      <c r="W2358" s="73">
        <v>29719</v>
      </c>
      <c r="X2358" s="73">
        <f>40677*24500/1000000</f>
        <v>996.5865</v>
      </c>
      <c r="Y2358" s="73">
        <f>IF(SUM(W2358:W2358)&gt;0,X2358/SUM(W2358:W2358)*1000000,"N/A")</f>
        <v>33533.648507688682</v>
      </c>
      <c r="Z2358" s="183"/>
      <c r="AA2358" s="183"/>
      <c r="AB2358" s="223"/>
      <c r="AC2358" s="153"/>
      <c r="AD2358" s="331"/>
      <c r="AE2358" s="57"/>
      <c r="AF2358" s="88"/>
      <c r="AG2358" s="182">
        <f>YEAR(D2358)</f>
        <v>2015</v>
      </c>
      <c r="AH2358" s="86" t="str">
        <f>+IF(AE2358=$AJ$22,MONTH(T2358),"")</f>
        <v/>
      </c>
      <c r="AI2358" s="86" t="str">
        <f>+IF(AF2358=$AJ$22,MONTH(U2358),"")</f>
        <v/>
      </c>
      <c r="AJ2358" s="86" t="str">
        <f>+IF(AG2358=$AJ$22,MONTH(V2358),"")</f>
        <v/>
      </c>
      <c r="AK2358" s="86" t="str">
        <f>+IF(AG2358=$AK$22,MONTH(V2358),"")</f>
        <v/>
      </c>
      <c r="AL2358" s="86" t="str">
        <f>+IF(AG2358=$AL$22,MONTH(V2358),"")</f>
        <v/>
      </c>
      <c r="AM2358" s="86" t="str">
        <f>+IF($AG2358=$AM$22,MONTH($D2358),"")</f>
        <v/>
      </c>
      <c r="AN2358" s="89" t="str">
        <f>+IF($AG2358=AN$22,MONTH($D2358),"")</f>
        <v/>
      </c>
      <c r="AO2358" s="86" t="str">
        <f>+IF($AG2358=AO$22,MONTH($D2358),"")</f>
        <v/>
      </c>
      <c r="AP2358" s="86" t="str">
        <f>+IF($AG2358=AP$22,MONTH($D2358),"")</f>
        <v/>
      </c>
      <c r="AQ2358" s="86" t="str">
        <f>+IF($AG2358=AQ$22,MONTH($D2358),"")</f>
        <v/>
      </c>
      <c r="AR2358" s="86" t="str">
        <f>+IF($AG2358=AR$22,MONTH($D2358),"")</f>
        <v/>
      </c>
      <c r="AS2358" s="86">
        <f>+IF($AG2358=AS$22,MONTH($D2358),"")</f>
        <v>2</v>
      </c>
      <c r="AT2358" s="86" t="str">
        <f>+IF($AG2358=AT$22,MONTH($D2358),"")</f>
        <v/>
      </c>
      <c r="AU2358" s="86" t="str">
        <f>+IF($AG2358=AU$22,MONTH($D2358),"")</f>
        <v/>
      </c>
      <c r="AV2358" s="86" t="str">
        <f>+IF($AG2358=AV$22,MONTH($D2358),"")</f>
        <v/>
      </c>
      <c r="AW2358" s="86" t="str">
        <f>+IF($AG2358=AW$22,MONTH($D2358),"")</f>
        <v/>
      </c>
      <c r="AX2358" s="86" t="str">
        <f>+IF($AG2358=AX$22,MONTH($D2358),"")</f>
        <v/>
      </c>
      <c r="AY2358" s="89"/>
      <c r="AZ2358" s="89"/>
      <c r="BA2358" s="89"/>
      <c r="BB2358" s="89"/>
      <c r="BC2358" s="89"/>
      <c r="BD2358" s="89"/>
      <c r="BE2358" s="89"/>
      <c r="BF2358" s="89"/>
      <c r="BG2358" s="89"/>
      <c r="BH2358" s="89"/>
      <c r="BI2358" s="89"/>
      <c r="BJ2358" s="89"/>
      <c r="BK2358" s="89"/>
      <c r="BL2358" s="89"/>
      <c r="BM2358" s="89"/>
      <c r="BN2358" s="89"/>
      <c r="BO2358" s="89"/>
      <c r="BP2358" s="89"/>
    </row>
    <row r="2359" spans="1:68" s="56" customFormat="1" ht="40.5" hidden="1">
      <c r="A2359" s="204" t="str">
        <f>+IFERROR(VALUE(MID(AB2359,4,4)),"")</f>
        <v/>
      </c>
      <c r="B2359" s="204">
        <f>VALUE(RIGHT(C2359,LEN(C2359)-2))</f>
        <v>366</v>
      </c>
      <c r="C2359" s="74" t="s">
        <v>8026</v>
      </c>
      <c r="D2359" s="75">
        <v>42038</v>
      </c>
      <c r="E2359" s="70" t="s">
        <v>8027</v>
      </c>
      <c r="F2359" s="70" t="s">
        <v>8027</v>
      </c>
      <c r="G2359" s="68" t="s">
        <v>8028</v>
      </c>
      <c r="H2359" s="59"/>
      <c r="I2359" s="162" t="s">
        <v>8029</v>
      </c>
      <c r="J2359" s="162"/>
      <c r="K2359" s="68"/>
      <c r="L2359" s="69" t="s">
        <v>123</v>
      </c>
      <c r="M2359" s="71" t="s">
        <v>141</v>
      </c>
      <c r="N2359" s="69" t="e" vm="1">
        <v>#VALUE!</v>
      </c>
      <c r="O2359" s="164">
        <v>42044</v>
      </c>
      <c r="P2359" s="72" t="s">
        <v>4567</v>
      </c>
      <c r="Q2359" s="72"/>
      <c r="R2359" s="162"/>
      <c r="S2359" s="146"/>
      <c r="T2359" s="68" t="s">
        <v>165</v>
      </c>
      <c r="U2359" s="87"/>
      <c r="V2359" s="183">
        <v>42051</v>
      </c>
      <c r="W2359" s="73">
        <v>358</v>
      </c>
      <c r="X2359" s="73">
        <f>318*24500/1000000</f>
        <v>7.7910000000000004</v>
      </c>
      <c r="Y2359" s="83">
        <f>IF(SUM(W2359:W2359)&gt;0,X2359/SUM(W2359:W2359)*1000000,"N/A")</f>
        <v>21762.569832402238</v>
      </c>
      <c r="Z2359" s="183"/>
      <c r="AA2359" s="183"/>
      <c r="AB2359" s="223"/>
      <c r="AC2359" s="153"/>
      <c r="AD2359" s="331"/>
      <c r="AE2359" s="57"/>
      <c r="AF2359" s="88"/>
      <c r="AG2359" s="182">
        <f>YEAR(D2359)</f>
        <v>2015</v>
      </c>
      <c r="AH2359" s="86" t="str">
        <f>+IF(AE2359=$AJ$22,MONTH(T2359),"")</f>
        <v/>
      </c>
      <c r="AI2359" s="86" t="str">
        <f>+IF(AF2359=$AJ$22,MONTH(U2359),"")</f>
        <v/>
      </c>
      <c r="AJ2359" s="86" t="str">
        <f>+IF(AG2359=$AJ$22,MONTH(V2359),"")</f>
        <v/>
      </c>
      <c r="AK2359" s="86" t="str">
        <f>+IF(AG2359=$AK$22,MONTH(V2359),"")</f>
        <v/>
      </c>
      <c r="AL2359" s="86" t="str">
        <f>+IF(AG2359=$AL$22,MONTH(V2359),"")</f>
        <v/>
      </c>
      <c r="AM2359" s="86" t="str">
        <f>+IF($AG2359=$AM$22,MONTH($D2359),"")</f>
        <v/>
      </c>
      <c r="AN2359" s="89" t="str">
        <f>+IF($AG2359=AN$22,MONTH($D2359),"")</f>
        <v/>
      </c>
      <c r="AO2359" s="86" t="str">
        <f>+IF($AG2359=AO$22,MONTH($D2359),"")</f>
        <v/>
      </c>
      <c r="AP2359" s="86" t="str">
        <f>+IF($AG2359=AP$22,MONTH($D2359),"")</f>
        <v/>
      </c>
      <c r="AQ2359" s="86" t="str">
        <f>+IF($AG2359=AQ$22,MONTH($D2359),"")</f>
        <v/>
      </c>
      <c r="AR2359" s="86" t="str">
        <f>+IF($AG2359=AR$22,MONTH($D2359),"")</f>
        <v/>
      </c>
      <c r="AS2359" s="86">
        <f>+IF($AG2359=AS$22,MONTH($D2359),"")</f>
        <v>2</v>
      </c>
      <c r="AT2359" s="86" t="str">
        <f>+IF($AG2359=AT$22,MONTH($D2359),"")</f>
        <v/>
      </c>
      <c r="AU2359" s="86" t="str">
        <f>+IF($AG2359=AU$22,MONTH($D2359),"")</f>
        <v/>
      </c>
      <c r="AV2359" s="86" t="str">
        <f>+IF($AG2359=AV$22,MONTH($D2359),"")</f>
        <v/>
      </c>
      <c r="AW2359" s="86" t="str">
        <f>+IF($AG2359=AW$22,MONTH($D2359),"")</f>
        <v/>
      </c>
      <c r="AX2359" s="86" t="str">
        <f>+IF($AG2359=AX$22,MONTH($D2359),"")</f>
        <v/>
      </c>
      <c r="AY2359" s="89"/>
      <c r="AZ2359" s="89"/>
      <c r="BA2359" s="89"/>
      <c r="BB2359" s="89"/>
      <c r="BC2359" s="89"/>
      <c r="BD2359" s="89"/>
      <c r="BE2359" s="89"/>
      <c r="BF2359" s="89"/>
      <c r="BG2359" s="89"/>
      <c r="BH2359" s="89"/>
      <c r="BI2359" s="89"/>
      <c r="BJ2359" s="89"/>
      <c r="BK2359" s="89"/>
      <c r="BL2359" s="89"/>
      <c r="BM2359" s="89"/>
      <c r="BN2359" s="89"/>
      <c r="BO2359" s="89"/>
      <c r="BP2359" s="89"/>
    </row>
    <row r="2360" spans="1:68" s="56" customFormat="1" ht="27" hidden="1">
      <c r="A2360" s="204" t="str">
        <f>+IFERROR(VALUE(MID(AB2360,4,4)),"")</f>
        <v/>
      </c>
      <c r="B2360" s="204">
        <f>VALUE(RIGHT(C2360,LEN(C2360)-2))</f>
        <v>365</v>
      </c>
      <c r="C2360" s="74" t="s">
        <v>8030</v>
      </c>
      <c r="D2360" s="75">
        <v>42031</v>
      </c>
      <c r="E2360" s="70" t="s">
        <v>51</v>
      </c>
      <c r="F2360" s="70" t="s">
        <v>51</v>
      </c>
      <c r="G2360" s="68" t="s">
        <v>8031</v>
      </c>
      <c r="H2360" s="59" t="s">
        <v>8032</v>
      </c>
      <c r="I2360" s="162" t="s">
        <v>8033</v>
      </c>
      <c r="J2360" s="162"/>
      <c r="K2360" s="68"/>
      <c r="L2360" s="69" t="s">
        <v>123</v>
      </c>
      <c r="M2360" s="71"/>
      <c r="N2360" s="69"/>
      <c r="O2360" s="164">
        <v>42040</v>
      </c>
      <c r="P2360" s="72"/>
      <c r="Q2360" s="72"/>
      <c r="R2360" s="162"/>
      <c r="S2360" s="146"/>
      <c r="T2360" s="68" t="s">
        <v>165</v>
      </c>
      <c r="U2360" s="87"/>
      <c r="V2360" s="183">
        <v>42059</v>
      </c>
      <c r="W2360" s="73">
        <v>50</v>
      </c>
      <c r="X2360" s="73">
        <v>3.3</v>
      </c>
      <c r="Y2360" s="83">
        <f>IF(SUM(W2360:W2360)&gt;0,X2360/SUM(W2360:W2360)*1000000,"N/A")</f>
        <v>66000</v>
      </c>
      <c r="Z2360" s="183"/>
      <c r="AA2360" s="183"/>
      <c r="AB2360" s="223"/>
      <c r="AC2360" s="153"/>
      <c r="AD2360" s="331"/>
      <c r="AE2360" s="57"/>
      <c r="AF2360" s="88"/>
      <c r="AG2360" s="182">
        <f>YEAR(D2360)</f>
        <v>2015</v>
      </c>
      <c r="AH2360" s="86" t="str">
        <f>+IF(AE2360=$AJ$22,MONTH(T2360),"")</f>
        <v/>
      </c>
      <c r="AI2360" s="86" t="str">
        <f>+IF(AF2360=$AJ$22,MONTH(U2360),"")</f>
        <v/>
      </c>
      <c r="AJ2360" s="86" t="str">
        <f>+IF(AG2360=$AJ$22,MONTH(V2360),"")</f>
        <v/>
      </c>
      <c r="AK2360" s="86" t="str">
        <f>+IF(AG2360=$AK$22,MONTH(V2360),"")</f>
        <v/>
      </c>
      <c r="AL2360" s="86" t="str">
        <f>+IF(AG2360=$AL$22,MONTH(V2360),"")</f>
        <v/>
      </c>
      <c r="AM2360" s="86" t="str">
        <f>+IF($AG2360=$AM$22,MONTH($D2360),"")</f>
        <v/>
      </c>
      <c r="AN2360" s="89" t="str">
        <f>+IF($AG2360=AN$22,MONTH($D2360),"")</f>
        <v/>
      </c>
      <c r="AO2360" s="86" t="str">
        <f>+IF($AG2360=AO$22,MONTH($D2360),"")</f>
        <v/>
      </c>
      <c r="AP2360" s="86" t="str">
        <f>+IF($AG2360=AP$22,MONTH($D2360),"")</f>
        <v/>
      </c>
      <c r="AQ2360" s="86" t="str">
        <f>+IF($AG2360=AQ$22,MONTH($D2360),"")</f>
        <v/>
      </c>
      <c r="AR2360" s="86" t="str">
        <f>+IF($AG2360=AR$22,MONTH($D2360),"")</f>
        <v/>
      </c>
      <c r="AS2360" s="86">
        <f>+IF($AG2360=AS$22,MONTH($D2360),"")</f>
        <v>1</v>
      </c>
      <c r="AT2360" s="86" t="str">
        <f>+IF($AG2360=AT$22,MONTH($D2360),"")</f>
        <v/>
      </c>
      <c r="AU2360" s="86" t="str">
        <f>+IF($AG2360=AU$22,MONTH($D2360),"")</f>
        <v/>
      </c>
      <c r="AV2360" s="86" t="str">
        <f>+IF($AG2360=AV$22,MONTH($D2360),"")</f>
        <v/>
      </c>
      <c r="AW2360" s="86" t="str">
        <f>+IF($AG2360=AW$22,MONTH($D2360),"")</f>
        <v/>
      </c>
      <c r="AX2360" s="86" t="str">
        <f>+IF($AG2360=AX$22,MONTH($D2360),"")</f>
        <v/>
      </c>
      <c r="AY2360" s="89"/>
      <c r="AZ2360" s="89"/>
      <c r="BA2360" s="89"/>
      <c r="BB2360" s="89"/>
      <c r="BC2360" s="89"/>
      <c r="BD2360" s="89"/>
      <c r="BE2360" s="89"/>
      <c r="BF2360" s="89"/>
      <c r="BG2360" s="89"/>
      <c r="BH2360" s="89"/>
      <c r="BI2360" s="89"/>
      <c r="BJ2360" s="89"/>
      <c r="BK2360" s="89"/>
      <c r="BL2360" s="89"/>
      <c r="BM2360" s="89"/>
      <c r="BN2360" s="89"/>
      <c r="BO2360" s="89"/>
      <c r="BP2360" s="89"/>
    </row>
    <row r="2361" spans="1:68" s="56" customFormat="1" ht="13.5" hidden="1">
      <c r="A2361" s="204">
        <f>+IFERROR(VALUE(MID(AB2361,4,4)),"")</f>
        <v>87</v>
      </c>
      <c r="B2361" s="204">
        <f>VALUE(RIGHT(C2361,LEN(C2361)-2))</f>
        <v>364</v>
      </c>
      <c r="C2361" s="74" t="s">
        <v>8034</v>
      </c>
      <c r="D2361" s="75">
        <v>42027</v>
      </c>
      <c r="E2361" s="70" t="s">
        <v>332</v>
      </c>
      <c r="F2361" s="70" t="s">
        <v>332</v>
      </c>
      <c r="G2361" s="68" t="s">
        <v>7281</v>
      </c>
      <c r="H2361" s="59" t="s">
        <v>7282</v>
      </c>
      <c r="I2361" s="162" t="s">
        <v>8035</v>
      </c>
      <c r="J2361" s="162"/>
      <c r="K2361" s="68" t="s">
        <v>13</v>
      </c>
      <c r="L2361" s="69" t="s">
        <v>120</v>
      </c>
      <c r="M2361" s="71" t="s">
        <v>141</v>
      </c>
      <c r="N2361" s="69" t="e" vm="1">
        <v>#VALUE!</v>
      </c>
      <c r="O2361" s="164">
        <v>42034</v>
      </c>
      <c r="P2361" s="72" t="s">
        <v>7967</v>
      </c>
      <c r="Q2361" s="72"/>
      <c r="R2361" s="162"/>
      <c r="S2361" s="146" t="s">
        <v>8036</v>
      </c>
      <c r="T2361" s="68" t="s">
        <v>3</v>
      </c>
      <c r="U2361" s="87"/>
      <c r="V2361" s="183">
        <v>42027</v>
      </c>
      <c r="W2361" s="73">
        <v>75</v>
      </c>
      <c r="X2361" s="73">
        <f>110*24500/1000000</f>
        <v>2.6949999999999998</v>
      </c>
      <c r="Y2361" s="83">
        <f>IF(SUM(W2361:W2361)&gt;0,X2361/SUM(W2361:W2361)*1000000,"N/A")</f>
        <v>35933.333333333328</v>
      </c>
      <c r="Z2361" s="183"/>
      <c r="AA2361" s="183"/>
      <c r="AB2361" s="223" t="s">
        <v>7997</v>
      </c>
      <c r="AC2361" s="153"/>
      <c r="AD2361" s="331"/>
      <c r="AE2361" s="57"/>
      <c r="AF2361" s="88"/>
      <c r="AG2361" s="182">
        <f>YEAR(D2361)</f>
        <v>2015</v>
      </c>
      <c r="AH2361" s="86" t="str">
        <f>+IF(AE2361=$AJ$22,MONTH(T2361),"")</f>
        <v/>
      </c>
      <c r="AI2361" s="86" t="str">
        <f>+IF(AF2361=$AJ$22,MONTH(U2361),"")</f>
        <v/>
      </c>
      <c r="AJ2361" s="86" t="str">
        <f>+IF(AG2361=$AJ$22,MONTH(V2361),"")</f>
        <v/>
      </c>
      <c r="AK2361" s="86" t="str">
        <f>+IF(AG2361=$AK$22,MONTH(V2361),"")</f>
        <v/>
      </c>
      <c r="AL2361" s="86" t="str">
        <f>+IF(AG2361=$AL$22,MONTH(V2361),"")</f>
        <v/>
      </c>
      <c r="AM2361" s="86" t="str">
        <f>+IF($AG2361=$AM$22,MONTH($D2361),"")</f>
        <v/>
      </c>
      <c r="AN2361" s="89" t="str">
        <f>+IF($AG2361=AN$22,MONTH($D2361),"")</f>
        <v/>
      </c>
      <c r="AO2361" s="86" t="str">
        <f>+IF($AG2361=AO$22,MONTH($D2361),"")</f>
        <v/>
      </c>
      <c r="AP2361" s="86" t="str">
        <f>+IF($AG2361=AP$22,MONTH($D2361),"")</f>
        <v/>
      </c>
      <c r="AQ2361" s="86" t="str">
        <f>+IF($AG2361=AQ$22,MONTH($D2361),"")</f>
        <v/>
      </c>
      <c r="AR2361" s="86" t="str">
        <f>+IF($AG2361=AR$22,MONTH($D2361),"")</f>
        <v/>
      </c>
      <c r="AS2361" s="86">
        <f>+IF($AG2361=AS$22,MONTH($D2361),"")</f>
        <v>1</v>
      </c>
      <c r="AT2361" s="86" t="str">
        <f>+IF($AG2361=AT$22,MONTH($D2361),"")</f>
        <v/>
      </c>
      <c r="AU2361" s="86" t="str">
        <f>+IF($AG2361=AU$22,MONTH($D2361),"")</f>
        <v/>
      </c>
      <c r="AV2361" s="86" t="str">
        <f>+IF($AG2361=AV$22,MONTH($D2361),"")</f>
        <v/>
      </c>
      <c r="AW2361" s="86" t="str">
        <f>+IF($AG2361=AW$22,MONTH($D2361),"")</f>
        <v/>
      </c>
      <c r="AX2361" s="86" t="str">
        <f>+IF($AG2361=AX$22,MONTH($D2361),"")</f>
        <v/>
      </c>
      <c r="AY2361" s="89"/>
      <c r="AZ2361" s="89"/>
      <c r="BA2361" s="89"/>
      <c r="BB2361" s="89"/>
      <c r="BC2361" s="89"/>
      <c r="BD2361" s="89"/>
      <c r="BE2361" s="89"/>
      <c r="BF2361" s="89"/>
      <c r="BG2361" s="89"/>
      <c r="BH2361" s="89"/>
      <c r="BI2361" s="89"/>
      <c r="BJ2361" s="89"/>
      <c r="BK2361" s="89"/>
      <c r="BL2361" s="89"/>
      <c r="BM2361" s="89"/>
      <c r="BN2361" s="89"/>
      <c r="BO2361" s="89"/>
      <c r="BP2361" s="89"/>
    </row>
    <row r="2362" spans="1:68" s="56" customFormat="1" ht="27" hidden="1">
      <c r="A2362" s="204" t="str">
        <f>+IFERROR(VALUE(MID(AB2362,4,4)),"")</f>
        <v/>
      </c>
      <c r="B2362" s="204">
        <f>VALUE(RIGHT(C2362,LEN(C2362)-2))</f>
        <v>363</v>
      </c>
      <c r="C2362" s="74" t="s">
        <v>8037</v>
      </c>
      <c r="D2362" s="75">
        <v>42027</v>
      </c>
      <c r="E2362" s="70" t="s">
        <v>685</v>
      </c>
      <c r="F2362" s="70" t="s">
        <v>685</v>
      </c>
      <c r="G2362" s="68" t="s">
        <v>8038</v>
      </c>
      <c r="H2362" s="59" t="s">
        <v>8039</v>
      </c>
      <c r="I2362" s="162" t="s">
        <v>8040</v>
      </c>
      <c r="J2362" s="162"/>
      <c r="K2362" s="68" t="s">
        <v>13</v>
      </c>
      <c r="L2362" s="69" t="s">
        <v>123</v>
      </c>
      <c r="M2362" s="71" t="s">
        <v>141</v>
      </c>
      <c r="N2362" s="69" t="e" vm="1">
        <v>#VALUE!</v>
      </c>
      <c r="O2362" s="164">
        <v>42032</v>
      </c>
      <c r="P2362" s="72"/>
      <c r="Q2362" s="72"/>
      <c r="R2362" s="162"/>
      <c r="S2362" s="146"/>
      <c r="T2362" s="68" t="s">
        <v>165</v>
      </c>
      <c r="U2362" s="87"/>
      <c r="V2362" s="183">
        <v>42054</v>
      </c>
      <c r="W2362" s="73">
        <v>1050</v>
      </c>
      <c r="X2362" s="73">
        <f>1731*24500/1000000</f>
        <v>42.409500000000001</v>
      </c>
      <c r="Y2362" s="83">
        <f>IF(SUM(W2362:W2362)&gt;0,X2362/SUM(W2362:W2362)*1000000,"N/A")</f>
        <v>40390</v>
      </c>
      <c r="Z2362" s="183"/>
      <c r="AA2362" s="183"/>
      <c r="AB2362" s="223"/>
      <c r="AC2362" s="153"/>
      <c r="AD2362" s="331"/>
      <c r="AE2362" s="57"/>
      <c r="AF2362" s="88"/>
      <c r="AG2362" s="182">
        <f>YEAR(D2362)</f>
        <v>2015</v>
      </c>
      <c r="AH2362" s="86" t="str">
        <f>+IF(AE2362=$AJ$22,MONTH(T2362),"")</f>
        <v/>
      </c>
      <c r="AI2362" s="86" t="str">
        <f>+IF(AF2362=$AJ$22,MONTH(U2362),"")</f>
        <v/>
      </c>
      <c r="AJ2362" s="86" t="str">
        <f>+IF(AG2362=$AJ$22,MONTH(V2362),"")</f>
        <v/>
      </c>
      <c r="AK2362" s="86" t="str">
        <f>+IF(AG2362=$AK$22,MONTH(V2362),"")</f>
        <v/>
      </c>
      <c r="AL2362" s="86" t="str">
        <f>+IF(AG2362=$AL$22,MONTH(V2362),"")</f>
        <v/>
      </c>
      <c r="AM2362" s="86" t="str">
        <f>+IF($AG2362=$AM$22,MONTH($D2362),"")</f>
        <v/>
      </c>
      <c r="AN2362" s="89" t="str">
        <f>+IF($AG2362=AN$22,MONTH($D2362),"")</f>
        <v/>
      </c>
      <c r="AO2362" s="86" t="str">
        <f>+IF($AG2362=AO$22,MONTH($D2362),"")</f>
        <v/>
      </c>
      <c r="AP2362" s="86" t="str">
        <f>+IF($AG2362=AP$22,MONTH($D2362),"")</f>
        <v/>
      </c>
      <c r="AQ2362" s="86" t="str">
        <f>+IF($AG2362=AQ$22,MONTH($D2362),"")</f>
        <v/>
      </c>
      <c r="AR2362" s="86" t="str">
        <f>+IF($AG2362=AR$22,MONTH($D2362),"")</f>
        <v/>
      </c>
      <c r="AS2362" s="86">
        <f>+IF($AG2362=AS$22,MONTH($D2362),"")</f>
        <v>1</v>
      </c>
      <c r="AT2362" s="86" t="str">
        <f>+IF($AG2362=AT$22,MONTH($D2362),"")</f>
        <v/>
      </c>
      <c r="AU2362" s="86" t="str">
        <f>+IF($AG2362=AU$22,MONTH($D2362),"")</f>
        <v/>
      </c>
      <c r="AV2362" s="86" t="str">
        <f>+IF($AG2362=AV$22,MONTH($D2362),"")</f>
        <v/>
      </c>
      <c r="AW2362" s="86" t="str">
        <f>+IF($AG2362=AW$22,MONTH($D2362),"")</f>
        <v/>
      </c>
      <c r="AX2362" s="86" t="str">
        <f>+IF($AG2362=AX$22,MONTH($D2362),"")</f>
        <v/>
      </c>
      <c r="AY2362" s="89"/>
      <c r="AZ2362" s="89"/>
      <c r="BA2362" s="89"/>
      <c r="BB2362" s="89"/>
      <c r="BC2362" s="89"/>
      <c r="BD2362" s="89"/>
      <c r="BE2362" s="89"/>
      <c r="BF2362" s="89"/>
      <c r="BG2362" s="89"/>
      <c r="BH2362" s="89"/>
      <c r="BI2362" s="89"/>
      <c r="BJ2362" s="89"/>
      <c r="BK2362" s="89"/>
      <c r="BL2362" s="89"/>
      <c r="BM2362" s="89"/>
      <c r="BN2362" s="89"/>
      <c r="BO2362" s="89"/>
      <c r="BP2362" s="89"/>
    </row>
    <row r="2363" spans="1:68" s="56" customFormat="1" ht="27" hidden="1">
      <c r="A2363" s="204" t="str">
        <f>+IFERROR(VALUE(MID(AB2363,4,4)),"")</f>
        <v/>
      </c>
      <c r="B2363" s="204">
        <f>VALUE(RIGHT(C2363,LEN(C2363)-2))</f>
        <v>362</v>
      </c>
      <c r="C2363" s="74" t="s">
        <v>8041</v>
      </c>
      <c r="D2363" s="75">
        <v>42031</v>
      </c>
      <c r="E2363" s="70" t="s">
        <v>51</v>
      </c>
      <c r="F2363" s="70" t="s">
        <v>51</v>
      </c>
      <c r="G2363" s="68" t="s">
        <v>8031</v>
      </c>
      <c r="H2363" s="59" t="s">
        <v>8032</v>
      </c>
      <c r="I2363" s="162" t="s">
        <v>8042</v>
      </c>
      <c r="J2363" s="162"/>
      <c r="K2363" s="68"/>
      <c r="L2363" s="69" t="s">
        <v>123</v>
      </c>
      <c r="M2363" s="71"/>
      <c r="N2363" s="69"/>
      <c r="O2363" s="164"/>
      <c r="P2363" s="72"/>
      <c r="Q2363" s="72"/>
      <c r="R2363" s="162"/>
      <c r="S2363" s="146"/>
      <c r="T2363" s="68" t="s">
        <v>165</v>
      </c>
      <c r="U2363" s="87"/>
      <c r="V2363" s="183">
        <v>42026</v>
      </c>
      <c r="W2363" s="73">
        <v>50</v>
      </c>
      <c r="X2363" s="73">
        <v>3.3</v>
      </c>
      <c r="Y2363" s="83">
        <f>IF(SUM(W2363:W2363)&gt;0,X2363/SUM(W2363:W2363)*1000000,"N/A")</f>
        <v>66000</v>
      </c>
      <c r="Z2363" s="183"/>
      <c r="AA2363" s="183"/>
      <c r="AB2363" s="223"/>
      <c r="AC2363" s="153"/>
      <c r="AD2363" s="331"/>
      <c r="AE2363" s="57"/>
      <c r="AF2363" s="88"/>
      <c r="AG2363" s="182">
        <f>YEAR(D2363)</f>
        <v>2015</v>
      </c>
      <c r="AH2363" s="86" t="str">
        <f>+IF(AE2363=$AJ$22,MONTH(T2363),"")</f>
        <v/>
      </c>
      <c r="AI2363" s="86" t="str">
        <f>+IF(AF2363=$AJ$22,MONTH(U2363),"")</f>
        <v/>
      </c>
      <c r="AJ2363" s="86" t="str">
        <f>+IF(AG2363=$AJ$22,MONTH(V2363),"")</f>
        <v/>
      </c>
      <c r="AK2363" s="86" t="str">
        <f>+IF(AG2363=$AK$22,MONTH(V2363),"")</f>
        <v/>
      </c>
      <c r="AL2363" s="86" t="str">
        <f>+IF(AG2363=$AL$22,MONTH(V2363),"")</f>
        <v/>
      </c>
      <c r="AM2363" s="86" t="str">
        <f>+IF($AG2363=$AM$22,MONTH($D2363),"")</f>
        <v/>
      </c>
      <c r="AN2363" s="89" t="str">
        <f>+IF($AG2363=AN$22,MONTH($D2363),"")</f>
        <v/>
      </c>
      <c r="AO2363" s="86" t="str">
        <f>+IF($AG2363=AO$22,MONTH($D2363),"")</f>
        <v/>
      </c>
      <c r="AP2363" s="86" t="str">
        <f>+IF($AG2363=AP$22,MONTH($D2363),"")</f>
        <v/>
      </c>
      <c r="AQ2363" s="86" t="str">
        <f>+IF($AG2363=AQ$22,MONTH($D2363),"")</f>
        <v/>
      </c>
      <c r="AR2363" s="86" t="str">
        <f>+IF($AG2363=AR$22,MONTH($D2363),"")</f>
        <v/>
      </c>
      <c r="AS2363" s="86">
        <f>+IF($AG2363=AS$22,MONTH($D2363),"")</f>
        <v>1</v>
      </c>
      <c r="AT2363" s="86" t="str">
        <f>+IF($AG2363=AT$22,MONTH($D2363),"")</f>
        <v/>
      </c>
      <c r="AU2363" s="86" t="str">
        <f>+IF($AG2363=AU$22,MONTH($D2363),"")</f>
        <v/>
      </c>
      <c r="AV2363" s="86" t="str">
        <f>+IF($AG2363=AV$22,MONTH($D2363),"")</f>
        <v/>
      </c>
      <c r="AW2363" s="86" t="str">
        <f>+IF($AG2363=AW$22,MONTH($D2363),"")</f>
        <v/>
      </c>
      <c r="AX2363" s="86" t="str">
        <f>+IF($AG2363=AX$22,MONTH($D2363),"")</f>
        <v/>
      </c>
      <c r="AY2363" s="89"/>
      <c r="AZ2363" s="89"/>
      <c r="BA2363" s="89"/>
      <c r="BB2363" s="89"/>
      <c r="BC2363" s="89"/>
      <c r="BD2363" s="89"/>
      <c r="BE2363" s="89"/>
      <c r="BF2363" s="89"/>
      <c r="BG2363" s="89"/>
      <c r="BH2363" s="89"/>
      <c r="BI2363" s="89"/>
      <c r="BJ2363" s="89"/>
      <c r="BK2363" s="89"/>
      <c r="BL2363" s="89"/>
      <c r="BM2363" s="89"/>
      <c r="BN2363" s="89"/>
      <c r="BO2363" s="89"/>
      <c r="BP2363" s="89"/>
    </row>
    <row r="2364" spans="1:68" s="56" customFormat="1" ht="40.5" hidden="1">
      <c r="A2364" s="204" t="str">
        <f>+IFERROR(VALUE(MID(AB2364,4,4)),"")</f>
        <v/>
      </c>
      <c r="B2364" s="204">
        <f>VALUE(RIGHT(C2364,LEN(C2364)-2))</f>
        <v>361</v>
      </c>
      <c r="C2364" s="74" t="s">
        <v>8043</v>
      </c>
      <c r="D2364" s="75">
        <v>42027</v>
      </c>
      <c r="E2364" s="70" t="s">
        <v>332</v>
      </c>
      <c r="F2364" s="70" t="s">
        <v>332</v>
      </c>
      <c r="G2364" s="68"/>
      <c r="H2364" s="59"/>
      <c r="I2364" s="162" t="s">
        <v>8044</v>
      </c>
      <c r="J2364" s="162"/>
      <c r="K2364" s="68" t="s">
        <v>13</v>
      </c>
      <c r="L2364" s="69" t="s">
        <v>120</v>
      </c>
      <c r="M2364" s="71" t="s">
        <v>141</v>
      </c>
      <c r="N2364" s="69" t="e" vm="1">
        <v>#VALUE!</v>
      </c>
      <c r="O2364" s="164"/>
      <c r="P2364" s="72" t="s">
        <v>6428</v>
      </c>
      <c r="Q2364" s="72"/>
      <c r="R2364" s="162"/>
      <c r="S2364" s="146" t="s">
        <v>8045</v>
      </c>
      <c r="T2364" s="68" t="s">
        <v>155</v>
      </c>
      <c r="U2364" s="87"/>
      <c r="V2364" s="183">
        <v>42026</v>
      </c>
      <c r="W2364" s="73"/>
      <c r="X2364" s="73"/>
      <c r="Y2364" s="83" t="str">
        <f>IF(SUM(W2364:W2364)&gt;0,X2364/SUM(W2364:W2364)*1000000,"N/A")</f>
        <v>N/A</v>
      </c>
      <c r="Z2364" s="183"/>
      <c r="AA2364" s="183"/>
      <c r="AB2364" s="223"/>
      <c r="AC2364" s="153"/>
      <c r="AD2364" s="331"/>
      <c r="AE2364" s="57"/>
      <c r="AF2364" s="88"/>
      <c r="AG2364" s="182">
        <f>YEAR(D2364)</f>
        <v>2015</v>
      </c>
      <c r="AH2364" s="86" t="str">
        <f>+IF(AE2364=$AJ$22,MONTH(T2364),"")</f>
        <v/>
      </c>
      <c r="AI2364" s="86" t="str">
        <f>+IF(AF2364=$AJ$22,MONTH(U2364),"")</f>
        <v/>
      </c>
      <c r="AJ2364" s="86" t="str">
        <f>+IF(AG2364=$AJ$22,MONTH(V2364),"")</f>
        <v/>
      </c>
      <c r="AK2364" s="86" t="str">
        <f>+IF(AG2364=$AK$22,MONTH(V2364),"")</f>
        <v/>
      </c>
      <c r="AL2364" s="86" t="str">
        <f>+IF(AG2364=$AL$22,MONTH(V2364),"")</f>
        <v/>
      </c>
      <c r="AM2364" s="86" t="str">
        <f>+IF($AG2364=$AM$22,MONTH($D2364),"")</f>
        <v/>
      </c>
      <c r="AN2364" s="89" t="str">
        <f>+IF($AG2364=AN$22,MONTH($D2364),"")</f>
        <v/>
      </c>
      <c r="AO2364" s="86" t="str">
        <f>+IF($AG2364=AO$22,MONTH($D2364),"")</f>
        <v/>
      </c>
      <c r="AP2364" s="86" t="str">
        <f>+IF($AG2364=AP$22,MONTH($D2364),"")</f>
        <v/>
      </c>
      <c r="AQ2364" s="86" t="str">
        <f>+IF($AG2364=AQ$22,MONTH($D2364),"")</f>
        <v/>
      </c>
      <c r="AR2364" s="86" t="str">
        <f>+IF($AG2364=AR$22,MONTH($D2364),"")</f>
        <v/>
      </c>
      <c r="AS2364" s="86">
        <f>+IF($AG2364=AS$22,MONTH($D2364),"")</f>
        <v>1</v>
      </c>
      <c r="AT2364" s="86" t="str">
        <f>+IF($AG2364=AT$22,MONTH($D2364),"")</f>
        <v/>
      </c>
      <c r="AU2364" s="86" t="str">
        <f>+IF($AG2364=AU$22,MONTH($D2364),"")</f>
        <v/>
      </c>
      <c r="AV2364" s="86" t="str">
        <f>+IF($AG2364=AV$22,MONTH($D2364),"")</f>
        <v/>
      </c>
      <c r="AW2364" s="86" t="str">
        <f>+IF($AG2364=AW$22,MONTH($D2364),"")</f>
        <v/>
      </c>
      <c r="AX2364" s="86" t="str">
        <f>+IF($AG2364=AX$22,MONTH($D2364),"")</f>
        <v/>
      </c>
      <c r="AY2364" s="89"/>
      <c r="AZ2364" s="89"/>
      <c r="BA2364" s="89"/>
      <c r="BB2364" s="89"/>
      <c r="BC2364" s="89"/>
      <c r="BD2364" s="89"/>
      <c r="BE2364" s="89"/>
      <c r="BF2364" s="89"/>
      <c r="BG2364" s="89"/>
      <c r="BH2364" s="89"/>
      <c r="BI2364" s="89"/>
      <c r="BJ2364" s="89"/>
      <c r="BK2364" s="89"/>
      <c r="BL2364" s="89"/>
      <c r="BM2364" s="89"/>
      <c r="BN2364" s="89"/>
      <c r="BO2364" s="89"/>
      <c r="BP2364" s="89"/>
    </row>
    <row r="2365" spans="1:68" s="56" customFormat="1" ht="27" hidden="1">
      <c r="A2365" s="204" t="str">
        <f>+IFERROR(VALUE(MID(AB2365,4,4)),"")</f>
        <v/>
      </c>
      <c r="B2365" s="204">
        <f>VALUE(RIGHT(C2365,LEN(C2365)-2))</f>
        <v>360</v>
      </c>
      <c r="C2365" s="74" t="s">
        <v>8046</v>
      </c>
      <c r="D2365" s="75">
        <v>42031</v>
      </c>
      <c r="E2365" s="70" t="s">
        <v>51</v>
      </c>
      <c r="F2365" s="70" t="s">
        <v>51</v>
      </c>
      <c r="G2365" s="68" t="s">
        <v>8031</v>
      </c>
      <c r="H2365" s="59" t="s">
        <v>8032</v>
      </c>
      <c r="I2365" s="162" t="s">
        <v>8047</v>
      </c>
      <c r="J2365" s="162"/>
      <c r="K2365" s="68"/>
      <c r="L2365" s="69" t="s">
        <v>123</v>
      </c>
      <c r="M2365" s="71"/>
      <c r="N2365" s="69"/>
      <c r="O2365" s="164"/>
      <c r="P2365" s="72"/>
      <c r="Q2365" s="72"/>
      <c r="R2365" s="162"/>
      <c r="S2365" s="146"/>
      <c r="T2365" s="68" t="s">
        <v>165</v>
      </c>
      <c r="U2365" s="87"/>
      <c r="V2365" s="183">
        <v>42030</v>
      </c>
      <c r="W2365" s="73">
        <v>50</v>
      </c>
      <c r="X2365" s="73">
        <v>3.3</v>
      </c>
      <c r="Y2365" s="83">
        <f>IF(SUM(W2365:W2365)&gt;0,X2365/SUM(W2365:W2365)*1000000,"N/A")</f>
        <v>66000</v>
      </c>
      <c r="Z2365" s="183"/>
      <c r="AA2365" s="183"/>
      <c r="AB2365" s="223"/>
      <c r="AC2365" s="153"/>
      <c r="AD2365" s="331"/>
      <c r="AE2365" s="57"/>
      <c r="AF2365" s="88"/>
      <c r="AG2365" s="182">
        <f>YEAR(D2365)</f>
        <v>2015</v>
      </c>
      <c r="AH2365" s="86" t="str">
        <f>+IF(AE2365=$AJ$22,MONTH(T2365),"")</f>
        <v/>
      </c>
      <c r="AI2365" s="86" t="str">
        <f>+IF(AF2365=$AJ$22,MONTH(U2365),"")</f>
        <v/>
      </c>
      <c r="AJ2365" s="86" t="str">
        <f>+IF(AG2365=$AJ$22,MONTH(V2365),"")</f>
        <v/>
      </c>
      <c r="AK2365" s="86" t="str">
        <f>+IF(AG2365=$AK$22,MONTH(V2365),"")</f>
        <v/>
      </c>
      <c r="AL2365" s="86" t="str">
        <f>+IF(AG2365=$AL$22,MONTH(V2365),"")</f>
        <v/>
      </c>
      <c r="AM2365" s="86" t="str">
        <f>+IF($AG2365=$AM$22,MONTH($D2365),"")</f>
        <v/>
      </c>
      <c r="AN2365" s="89" t="str">
        <f>+IF($AG2365=AN$22,MONTH($D2365),"")</f>
        <v/>
      </c>
      <c r="AO2365" s="86" t="str">
        <f>+IF($AG2365=AO$22,MONTH($D2365),"")</f>
        <v/>
      </c>
      <c r="AP2365" s="86" t="str">
        <f>+IF($AG2365=AP$22,MONTH($D2365),"")</f>
        <v/>
      </c>
      <c r="AQ2365" s="86" t="str">
        <f>+IF($AG2365=AQ$22,MONTH($D2365),"")</f>
        <v/>
      </c>
      <c r="AR2365" s="86" t="str">
        <f>+IF($AG2365=AR$22,MONTH($D2365),"")</f>
        <v/>
      </c>
      <c r="AS2365" s="86">
        <f>+IF($AG2365=AS$22,MONTH($D2365),"")</f>
        <v>1</v>
      </c>
      <c r="AT2365" s="86" t="str">
        <f>+IF($AG2365=AT$22,MONTH($D2365),"")</f>
        <v/>
      </c>
      <c r="AU2365" s="86" t="str">
        <f>+IF($AG2365=AU$22,MONTH($D2365),"")</f>
        <v/>
      </c>
      <c r="AV2365" s="86" t="str">
        <f>+IF($AG2365=AV$22,MONTH($D2365),"")</f>
        <v/>
      </c>
      <c r="AW2365" s="86" t="str">
        <f>+IF($AG2365=AW$22,MONTH($D2365),"")</f>
        <v/>
      </c>
      <c r="AX2365" s="86" t="str">
        <f>+IF($AG2365=AX$22,MONTH($D2365),"")</f>
        <v/>
      </c>
      <c r="AY2365" s="89"/>
      <c r="AZ2365" s="89"/>
      <c r="BA2365" s="89"/>
      <c r="BB2365" s="89"/>
      <c r="BC2365" s="89"/>
      <c r="BD2365" s="89"/>
      <c r="BE2365" s="89"/>
      <c r="BF2365" s="89"/>
      <c r="BG2365" s="89"/>
      <c r="BH2365" s="89"/>
      <c r="BI2365" s="89"/>
      <c r="BJ2365" s="89"/>
      <c r="BK2365" s="89"/>
      <c r="BL2365" s="89"/>
      <c r="BM2365" s="89"/>
      <c r="BN2365" s="89"/>
      <c r="BO2365" s="89"/>
      <c r="BP2365" s="89"/>
    </row>
    <row r="2366" spans="1:68" s="56" customFormat="1" ht="27" hidden="1">
      <c r="A2366" s="204" t="str">
        <f>+IFERROR(VALUE(MID(AB2366,4,4)),"")</f>
        <v/>
      </c>
      <c r="B2366" s="204">
        <f>VALUE(RIGHT(C2366,LEN(C2366)-2))</f>
        <v>359</v>
      </c>
      <c r="C2366" s="74" t="s">
        <v>8048</v>
      </c>
      <c r="D2366" s="75">
        <v>42031</v>
      </c>
      <c r="E2366" s="70" t="s">
        <v>51</v>
      </c>
      <c r="F2366" s="70" t="s">
        <v>51</v>
      </c>
      <c r="G2366" s="68" t="s">
        <v>8031</v>
      </c>
      <c r="H2366" s="59" t="s">
        <v>8032</v>
      </c>
      <c r="I2366" s="162" t="s">
        <v>8049</v>
      </c>
      <c r="J2366" s="162"/>
      <c r="K2366" s="68"/>
      <c r="L2366" s="69" t="s">
        <v>123</v>
      </c>
      <c r="M2366" s="71"/>
      <c r="N2366" s="69"/>
      <c r="O2366" s="164"/>
      <c r="P2366" s="72"/>
      <c r="Q2366" s="72"/>
      <c r="R2366" s="162"/>
      <c r="S2366" s="146"/>
      <c r="T2366" s="68" t="s">
        <v>165</v>
      </c>
      <c r="U2366" s="87"/>
      <c r="V2366" s="183">
        <v>42030</v>
      </c>
      <c r="W2366" s="73">
        <v>50</v>
      </c>
      <c r="X2366" s="73">
        <v>3.3</v>
      </c>
      <c r="Y2366" s="83">
        <f>IF(SUM(W2366:W2366)&gt;0,X2366/SUM(W2366:W2366)*1000000,"N/A")</f>
        <v>66000</v>
      </c>
      <c r="Z2366" s="183"/>
      <c r="AA2366" s="183"/>
      <c r="AB2366" s="223"/>
      <c r="AC2366" s="153"/>
      <c r="AD2366" s="331"/>
      <c r="AE2366" s="57"/>
      <c r="AF2366" s="88"/>
      <c r="AG2366" s="182">
        <f>YEAR(D2366)</f>
        <v>2015</v>
      </c>
      <c r="AH2366" s="86" t="str">
        <f>+IF(AE2366=$AJ$22,MONTH(T2366),"")</f>
        <v/>
      </c>
      <c r="AI2366" s="86" t="str">
        <f>+IF(AF2366=$AJ$22,MONTH(U2366),"")</f>
        <v/>
      </c>
      <c r="AJ2366" s="86" t="str">
        <f>+IF(AG2366=$AJ$22,MONTH(V2366),"")</f>
        <v/>
      </c>
      <c r="AK2366" s="86" t="str">
        <f>+IF(AG2366=$AK$22,MONTH(V2366),"")</f>
        <v/>
      </c>
      <c r="AL2366" s="86" t="str">
        <f>+IF(AG2366=$AL$22,MONTH(V2366),"")</f>
        <v/>
      </c>
      <c r="AM2366" s="86" t="str">
        <f>+IF($AG2366=$AM$22,MONTH($D2366),"")</f>
        <v/>
      </c>
      <c r="AN2366" s="89" t="str">
        <f>+IF($AG2366=AN$22,MONTH($D2366),"")</f>
        <v/>
      </c>
      <c r="AO2366" s="86" t="str">
        <f>+IF($AG2366=AO$22,MONTH($D2366),"")</f>
        <v/>
      </c>
      <c r="AP2366" s="86" t="str">
        <f>+IF($AG2366=AP$22,MONTH($D2366),"")</f>
        <v/>
      </c>
      <c r="AQ2366" s="86" t="str">
        <f>+IF($AG2366=AQ$22,MONTH($D2366),"")</f>
        <v/>
      </c>
      <c r="AR2366" s="86" t="str">
        <f>+IF($AG2366=AR$22,MONTH($D2366),"")</f>
        <v/>
      </c>
      <c r="AS2366" s="86">
        <f>+IF($AG2366=AS$22,MONTH($D2366),"")</f>
        <v>1</v>
      </c>
      <c r="AT2366" s="86" t="str">
        <f>+IF($AG2366=AT$22,MONTH($D2366),"")</f>
        <v/>
      </c>
      <c r="AU2366" s="86" t="str">
        <f>+IF($AG2366=AU$22,MONTH($D2366),"")</f>
        <v/>
      </c>
      <c r="AV2366" s="86" t="str">
        <f>+IF($AG2366=AV$22,MONTH($D2366),"")</f>
        <v/>
      </c>
      <c r="AW2366" s="86" t="str">
        <f>+IF($AG2366=AW$22,MONTH($D2366),"")</f>
        <v/>
      </c>
      <c r="AX2366" s="86" t="str">
        <f>+IF($AG2366=AX$22,MONTH($D2366),"")</f>
        <v/>
      </c>
      <c r="AY2366" s="89"/>
      <c r="AZ2366" s="89"/>
      <c r="BA2366" s="89"/>
      <c r="BB2366" s="89"/>
      <c r="BC2366" s="89"/>
      <c r="BD2366" s="89"/>
      <c r="BE2366" s="89"/>
      <c r="BF2366" s="89"/>
      <c r="BG2366" s="89"/>
      <c r="BH2366" s="89"/>
      <c r="BI2366" s="89"/>
      <c r="BJ2366" s="89"/>
      <c r="BK2366" s="89"/>
      <c r="BL2366" s="89"/>
      <c r="BM2366" s="89"/>
      <c r="BN2366" s="89"/>
      <c r="BO2366" s="89"/>
      <c r="BP2366" s="89"/>
    </row>
    <row r="2367" spans="1:68" s="56" customFormat="1" ht="13.5" hidden="1">
      <c r="A2367" s="204">
        <f>+IFERROR(VALUE(MID(AB2367,4,4)),"")</f>
        <v>87</v>
      </c>
      <c r="B2367" s="204">
        <f>VALUE(RIGHT(C2367,LEN(C2367)-2))</f>
        <v>358</v>
      </c>
      <c r="C2367" s="74" t="s">
        <v>8050</v>
      </c>
      <c r="D2367" s="75">
        <v>42027</v>
      </c>
      <c r="E2367" s="70" t="s">
        <v>332</v>
      </c>
      <c r="F2367" s="70" t="s">
        <v>332</v>
      </c>
      <c r="G2367" s="68" t="s">
        <v>7903</v>
      </c>
      <c r="H2367" s="59"/>
      <c r="I2367" s="162" t="s">
        <v>8051</v>
      </c>
      <c r="J2367" s="162"/>
      <c r="K2367" s="68" t="s">
        <v>13</v>
      </c>
      <c r="L2367" s="69" t="s">
        <v>120</v>
      </c>
      <c r="M2367" s="71" t="s">
        <v>141</v>
      </c>
      <c r="N2367" s="69" t="e" vm="1">
        <v>#VALUE!</v>
      </c>
      <c r="O2367" s="164"/>
      <c r="P2367" s="72" t="s">
        <v>4567</v>
      </c>
      <c r="Q2367" s="72"/>
      <c r="R2367" s="162"/>
      <c r="S2367" s="146" t="s">
        <v>8052</v>
      </c>
      <c r="T2367" s="68" t="s">
        <v>3</v>
      </c>
      <c r="U2367" s="87"/>
      <c r="V2367" s="183">
        <v>42026</v>
      </c>
      <c r="W2367" s="73">
        <v>30</v>
      </c>
      <c r="X2367" s="73">
        <f>51*24500/1000000</f>
        <v>1.2495000000000001</v>
      </c>
      <c r="Y2367" s="83">
        <f>IF(SUM(W2367:W2367)&gt;0,X2367/SUM(W2367:W2367)*1000000,"N/A")</f>
        <v>41650</v>
      </c>
      <c r="Z2367" s="183"/>
      <c r="AA2367" s="183"/>
      <c r="AB2367" s="223" t="s">
        <v>7997</v>
      </c>
      <c r="AC2367" s="153"/>
      <c r="AD2367" s="331"/>
      <c r="AE2367" s="57"/>
      <c r="AF2367" s="88"/>
      <c r="AG2367" s="182">
        <f>YEAR(D2367)</f>
        <v>2015</v>
      </c>
      <c r="AH2367" s="86" t="str">
        <f>+IF(AE2367=$AJ$22,MONTH(T2367),"")</f>
        <v/>
      </c>
      <c r="AI2367" s="86" t="str">
        <f>+IF(AF2367=$AJ$22,MONTH(U2367),"")</f>
        <v/>
      </c>
      <c r="AJ2367" s="86" t="str">
        <f>+IF(AG2367=$AJ$22,MONTH(V2367),"")</f>
        <v/>
      </c>
      <c r="AK2367" s="86" t="str">
        <f>+IF(AG2367=$AK$22,MONTH(V2367),"")</f>
        <v/>
      </c>
      <c r="AL2367" s="86" t="str">
        <f>+IF(AG2367=$AL$22,MONTH(V2367),"")</f>
        <v/>
      </c>
      <c r="AM2367" s="86" t="str">
        <f>+IF($AG2367=$AM$22,MONTH($D2367),"")</f>
        <v/>
      </c>
      <c r="AN2367" s="89" t="str">
        <f>+IF($AG2367=AN$22,MONTH($D2367),"")</f>
        <v/>
      </c>
      <c r="AO2367" s="86" t="str">
        <f>+IF($AG2367=AO$22,MONTH($D2367),"")</f>
        <v/>
      </c>
      <c r="AP2367" s="86" t="str">
        <f>+IF($AG2367=AP$22,MONTH($D2367),"")</f>
        <v/>
      </c>
      <c r="AQ2367" s="86" t="str">
        <f>+IF($AG2367=AQ$22,MONTH($D2367),"")</f>
        <v/>
      </c>
      <c r="AR2367" s="86" t="str">
        <f>+IF($AG2367=AR$22,MONTH($D2367),"")</f>
        <v/>
      </c>
      <c r="AS2367" s="86">
        <f>+IF($AG2367=AS$22,MONTH($D2367),"")</f>
        <v>1</v>
      </c>
      <c r="AT2367" s="86" t="str">
        <f>+IF($AG2367=AT$22,MONTH($D2367),"")</f>
        <v/>
      </c>
      <c r="AU2367" s="86" t="str">
        <f>+IF($AG2367=AU$22,MONTH($D2367),"")</f>
        <v/>
      </c>
      <c r="AV2367" s="86" t="str">
        <f>+IF($AG2367=AV$22,MONTH($D2367),"")</f>
        <v/>
      </c>
      <c r="AW2367" s="86" t="str">
        <f>+IF($AG2367=AW$22,MONTH($D2367),"")</f>
        <v/>
      </c>
      <c r="AX2367" s="86" t="str">
        <f>+IF($AG2367=AX$22,MONTH($D2367),"")</f>
        <v/>
      </c>
      <c r="AY2367" s="89"/>
      <c r="AZ2367" s="89"/>
      <c r="BA2367" s="89"/>
      <c r="BB2367" s="89"/>
      <c r="BC2367" s="89"/>
      <c r="BD2367" s="89"/>
      <c r="BE2367" s="89"/>
      <c r="BF2367" s="89"/>
      <c r="BG2367" s="89"/>
      <c r="BH2367" s="89"/>
      <c r="BI2367" s="89"/>
      <c r="BJ2367" s="89"/>
      <c r="BK2367" s="89"/>
      <c r="BL2367" s="89"/>
      <c r="BM2367" s="89"/>
      <c r="BN2367" s="89"/>
      <c r="BO2367" s="89"/>
      <c r="BP2367" s="89"/>
    </row>
    <row r="2368" spans="1:68" s="56" customFormat="1" ht="13.5" hidden="1">
      <c r="A2368" s="204" t="str">
        <f>+IFERROR(VALUE(MID(AB2368,4,4)),"")</f>
        <v/>
      </c>
      <c r="B2368" s="204">
        <f>VALUE(RIGHT(C2368,LEN(C2368)-2))</f>
        <v>357</v>
      </c>
      <c r="C2368" s="74" t="s">
        <v>8053</v>
      </c>
      <c r="D2368" s="75">
        <v>42027</v>
      </c>
      <c r="E2368" s="70" t="s">
        <v>332</v>
      </c>
      <c r="F2368" s="70" t="s">
        <v>332</v>
      </c>
      <c r="G2368" s="68"/>
      <c r="H2368" s="59"/>
      <c r="I2368" s="162" t="s">
        <v>8054</v>
      </c>
      <c r="J2368" s="162"/>
      <c r="K2368" s="68" t="s">
        <v>13</v>
      </c>
      <c r="L2368" s="69" t="s">
        <v>120</v>
      </c>
      <c r="M2368" s="71" t="s">
        <v>141</v>
      </c>
      <c r="N2368" s="69" t="e" vm="1">
        <v>#VALUE!</v>
      </c>
      <c r="O2368" s="164"/>
      <c r="P2368" s="72" t="s">
        <v>402</v>
      </c>
      <c r="Q2368" s="72"/>
      <c r="R2368" s="162"/>
      <c r="S2368" s="146" t="s">
        <v>8055</v>
      </c>
      <c r="T2368" s="68" t="s">
        <v>3</v>
      </c>
      <c r="U2368" s="87"/>
      <c r="V2368" s="183">
        <v>42026</v>
      </c>
      <c r="W2368" s="73">
        <v>1065</v>
      </c>
      <c r="X2368" s="73">
        <f>1645*24500/1000000</f>
        <v>40.302500000000002</v>
      </c>
      <c r="Y2368" s="83">
        <f>IF(SUM(W2368:W2368)&gt;0,X2368/SUM(W2368:W2368)*1000000,"N/A")</f>
        <v>37842.723004694839</v>
      </c>
      <c r="Z2368" s="183"/>
      <c r="AA2368" s="183"/>
      <c r="AB2368" s="223"/>
      <c r="AC2368" s="153"/>
      <c r="AD2368" s="331"/>
      <c r="AE2368" s="57"/>
      <c r="AF2368" s="88"/>
      <c r="AG2368" s="182">
        <f>YEAR(D2368)</f>
        <v>2015</v>
      </c>
      <c r="AH2368" s="86" t="str">
        <f>+IF(AE2368=$AJ$22,MONTH(T2368),"")</f>
        <v/>
      </c>
      <c r="AI2368" s="86" t="str">
        <f>+IF(AF2368=$AJ$22,MONTH(U2368),"")</f>
        <v/>
      </c>
      <c r="AJ2368" s="86" t="str">
        <f>+IF(AG2368=$AJ$22,MONTH(V2368),"")</f>
        <v/>
      </c>
      <c r="AK2368" s="86" t="str">
        <f>+IF(AG2368=$AK$22,MONTH(V2368),"")</f>
        <v/>
      </c>
      <c r="AL2368" s="86" t="str">
        <f>+IF(AG2368=$AL$22,MONTH(V2368),"")</f>
        <v/>
      </c>
      <c r="AM2368" s="86" t="str">
        <f>+IF($AG2368=$AM$22,MONTH($D2368),"")</f>
        <v/>
      </c>
      <c r="AN2368" s="89" t="str">
        <f>+IF($AG2368=AN$22,MONTH($D2368),"")</f>
        <v/>
      </c>
      <c r="AO2368" s="86" t="str">
        <f>+IF($AG2368=AO$22,MONTH($D2368),"")</f>
        <v/>
      </c>
      <c r="AP2368" s="86" t="str">
        <f>+IF($AG2368=AP$22,MONTH($D2368),"")</f>
        <v/>
      </c>
      <c r="AQ2368" s="86" t="str">
        <f>+IF($AG2368=AQ$22,MONTH($D2368),"")</f>
        <v/>
      </c>
      <c r="AR2368" s="86" t="str">
        <f>+IF($AG2368=AR$22,MONTH($D2368),"")</f>
        <v/>
      </c>
      <c r="AS2368" s="86">
        <f>+IF($AG2368=AS$22,MONTH($D2368),"")</f>
        <v>1</v>
      </c>
      <c r="AT2368" s="86" t="str">
        <f>+IF($AG2368=AT$22,MONTH($D2368),"")</f>
        <v/>
      </c>
      <c r="AU2368" s="86" t="str">
        <f>+IF($AG2368=AU$22,MONTH($D2368),"")</f>
        <v/>
      </c>
      <c r="AV2368" s="86" t="str">
        <f>+IF($AG2368=AV$22,MONTH($D2368),"")</f>
        <v/>
      </c>
      <c r="AW2368" s="86" t="str">
        <f>+IF($AG2368=AW$22,MONTH($D2368),"")</f>
        <v/>
      </c>
      <c r="AX2368" s="86" t="str">
        <f>+IF($AG2368=AX$22,MONTH($D2368),"")</f>
        <v/>
      </c>
      <c r="AY2368" s="89"/>
      <c r="AZ2368" s="89"/>
      <c r="BA2368" s="89"/>
      <c r="BB2368" s="89"/>
      <c r="BC2368" s="89"/>
      <c r="BD2368" s="89"/>
      <c r="BE2368" s="89"/>
      <c r="BF2368" s="89"/>
      <c r="BG2368" s="89"/>
      <c r="BH2368" s="89"/>
      <c r="BI2368" s="89"/>
      <c r="BJ2368" s="89"/>
      <c r="BK2368" s="89"/>
      <c r="BL2368" s="89"/>
      <c r="BM2368" s="89"/>
      <c r="BN2368" s="89"/>
      <c r="BO2368" s="89"/>
      <c r="BP2368" s="89"/>
    </row>
    <row r="2369" spans="1:68" s="56" customFormat="1" ht="13.5" hidden="1">
      <c r="A2369" s="204" t="str">
        <f>+IFERROR(VALUE(MID(AB2369,4,4)),"")</f>
        <v/>
      </c>
      <c r="B2369" s="204">
        <f>VALUE(RIGHT(C2369,LEN(C2369)-2))</f>
        <v>356</v>
      </c>
      <c r="C2369" s="74" t="s">
        <v>8056</v>
      </c>
      <c r="D2369" s="75">
        <v>42027</v>
      </c>
      <c r="E2369" s="70" t="s">
        <v>332</v>
      </c>
      <c r="F2369" s="70" t="s">
        <v>332</v>
      </c>
      <c r="G2369" s="68" t="s">
        <v>7117</v>
      </c>
      <c r="H2369" s="59"/>
      <c r="I2369" s="162" t="s">
        <v>8057</v>
      </c>
      <c r="J2369" s="162"/>
      <c r="K2369" s="68" t="s">
        <v>42</v>
      </c>
      <c r="L2369" s="69" t="s">
        <v>120</v>
      </c>
      <c r="M2369" s="71" t="s">
        <v>141</v>
      </c>
      <c r="N2369" s="69" t="e" vm="1">
        <v>#VALUE!</v>
      </c>
      <c r="O2369" s="164">
        <v>42037</v>
      </c>
      <c r="P2369" s="72" t="s">
        <v>8058</v>
      </c>
      <c r="Q2369" s="72"/>
      <c r="R2369" s="162"/>
      <c r="S2369" s="146" t="s">
        <v>8045</v>
      </c>
      <c r="T2369" s="68" t="s">
        <v>3</v>
      </c>
      <c r="U2369" s="87"/>
      <c r="V2369" s="183">
        <v>42026</v>
      </c>
      <c r="W2369" s="73">
        <v>465</v>
      </c>
      <c r="X2369" s="73">
        <f>691*24500/1000000</f>
        <v>16.929500000000001</v>
      </c>
      <c r="Y2369" s="83">
        <f>IF(SUM(W2369:W2369)&gt;0,X2369/SUM(W2369:W2369)*1000000,"N/A")</f>
        <v>36407.526881720434</v>
      </c>
      <c r="Z2369" s="183"/>
      <c r="AA2369" s="183"/>
      <c r="AB2369" s="223"/>
      <c r="AC2369" s="153"/>
      <c r="AD2369" s="331"/>
      <c r="AE2369" s="57"/>
      <c r="AF2369" s="88"/>
      <c r="AG2369" s="182">
        <f>YEAR(D2369)</f>
        <v>2015</v>
      </c>
      <c r="AH2369" s="86" t="str">
        <f>+IF(AE2369=$AJ$22,MONTH(T2369),"")</f>
        <v/>
      </c>
      <c r="AI2369" s="86" t="str">
        <f>+IF(AF2369=$AJ$22,MONTH(U2369),"")</f>
        <v/>
      </c>
      <c r="AJ2369" s="86" t="str">
        <f>+IF(AG2369=$AJ$22,MONTH(V2369),"")</f>
        <v/>
      </c>
      <c r="AK2369" s="86" t="str">
        <f>+IF(AG2369=$AK$22,MONTH(V2369),"")</f>
        <v/>
      </c>
      <c r="AL2369" s="86" t="str">
        <f>+IF(AG2369=$AL$22,MONTH(V2369),"")</f>
        <v/>
      </c>
      <c r="AM2369" s="86" t="str">
        <f>+IF($AG2369=$AM$22,MONTH($D2369),"")</f>
        <v/>
      </c>
      <c r="AN2369" s="89" t="str">
        <f>+IF($AG2369=AN$22,MONTH($D2369),"")</f>
        <v/>
      </c>
      <c r="AO2369" s="86" t="str">
        <f>+IF($AG2369=AO$22,MONTH($D2369),"")</f>
        <v/>
      </c>
      <c r="AP2369" s="86" t="str">
        <f>+IF($AG2369=AP$22,MONTH($D2369),"")</f>
        <v/>
      </c>
      <c r="AQ2369" s="86" t="str">
        <f>+IF($AG2369=AQ$22,MONTH($D2369),"")</f>
        <v/>
      </c>
      <c r="AR2369" s="86" t="str">
        <f>+IF($AG2369=AR$22,MONTH($D2369),"")</f>
        <v/>
      </c>
      <c r="AS2369" s="86">
        <f>+IF($AG2369=AS$22,MONTH($D2369),"")</f>
        <v>1</v>
      </c>
      <c r="AT2369" s="86" t="str">
        <f>+IF($AG2369=AT$22,MONTH($D2369),"")</f>
        <v/>
      </c>
      <c r="AU2369" s="86" t="str">
        <f>+IF($AG2369=AU$22,MONTH($D2369),"")</f>
        <v/>
      </c>
      <c r="AV2369" s="86" t="str">
        <f>+IF($AG2369=AV$22,MONTH($D2369),"")</f>
        <v/>
      </c>
      <c r="AW2369" s="86" t="str">
        <f>+IF($AG2369=AW$22,MONTH($D2369),"")</f>
        <v/>
      </c>
      <c r="AX2369" s="86" t="str">
        <f>+IF($AG2369=AX$22,MONTH($D2369),"")</f>
        <v/>
      </c>
      <c r="AY2369" s="89"/>
      <c r="AZ2369" s="89"/>
      <c r="BA2369" s="89"/>
      <c r="BB2369" s="89"/>
      <c r="BC2369" s="89"/>
      <c r="BD2369" s="89"/>
      <c r="BE2369" s="89"/>
      <c r="BF2369" s="89"/>
      <c r="BG2369" s="89"/>
      <c r="BH2369" s="89"/>
      <c r="BI2369" s="89"/>
      <c r="BJ2369" s="89"/>
      <c r="BK2369" s="89"/>
      <c r="BL2369" s="89"/>
      <c r="BM2369" s="89"/>
      <c r="BN2369" s="89"/>
      <c r="BO2369" s="89"/>
      <c r="BP2369" s="89"/>
    </row>
    <row r="2370" spans="1:68" s="56" customFormat="1" ht="27" hidden="1">
      <c r="A2370" s="204" t="str">
        <f>+IFERROR(VALUE(MID(AB2370,4,4)),"")</f>
        <v/>
      </c>
      <c r="B2370" s="204">
        <f>VALUE(RIGHT(C2370,LEN(C2370)-2))</f>
        <v>355</v>
      </c>
      <c r="C2370" s="74" t="s">
        <v>8059</v>
      </c>
      <c r="D2370" s="75">
        <v>42025</v>
      </c>
      <c r="E2370" s="70" t="s">
        <v>394</v>
      </c>
      <c r="F2370" s="70" t="s">
        <v>394</v>
      </c>
      <c r="G2370" s="68" t="s">
        <v>289</v>
      </c>
      <c r="H2370" s="59" t="s">
        <v>4800</v>
      </c>
      <c r="I2370" s="162" t="s">
        <v>8060</v>
      </c>
      <c r="J2370" s="162"/>
      <c r="K2370" s="68" t="s">
        <v>30</v>
      </c>
      <c r="L2370" s="69" t="s">
        <v>120</v>
      </c>
      <c r="M2370" s="71"/>
      <c r="N2370" s="69" t="e" vm="1">
        <v>#VALUE!</v>
      </c>
      <c r="O2370" s="164">
        <v>42030</v>
      </c>
      <c r="P2370" s="72" t="s">
        <v>4567</v>
      </c>
      <c r="Q2370" s="72"/>
      <c r="R2370" s="162"/>
      <c r="S2370" s="146"/>
      <c r="T2370" s="68" t="s">
        <v>165</v>
      </c>
      <c r="U2370" s="87"/>
      <c r="V2370" s="183">
        <v>42027</v>
      </c>
      <c r="W2370" s="73">
        <v>230</v>
      </c>
      <c r="X2370" s="73">
        <f>471*24500/1000000</f>
        <v>11.5395</v>
      </c>
      <c r="Y2370" s="83">
        <f>IF(SUM(W2370:W2370)&gt;0,X2370/SUM(W2370:W2370)*1000000,"N/A")</f>
        <v>50171.739130434784</v>
      </c>
      <c r="Z2370" s="183"/>
      <c r="AA2370" s="183"/>
      <c r="AB2370" s="223"/>
      <c r="AC2370" s="153"/>
      <c r="AD2370" s="331"/>
      <c r="AE2370" s="57"/>
      <c r="AF2370" s="88"/>
      <c r="AG2370" s="182">
        <f>YEAR(D2370)</f>
        <v>2015</v>
      </c>
      <c r="AH2370" s="86" t="str">
        <f>+IF(AE2370=$AJ$22,MONTH(T2370),"")</f>
        <v/>
      </c>
      <c r="AI2370" s="86" t="str">
        <f>+IF(AF2370=$AJ$22,MONTH(U2370),"")</f>
        <v/>
      </c>
      <c r="AJ2370" s="86" t="str">
        <f>+IF(AG2370=$AJ$22,MONTH(V2370),"")</f>
        <v/>
      </c>
      <c r="AK2370" s="86" t="str">
        <f>+IF(AG2370=$AK$22,MONTH(V2370),"")</f>
        <v/>
      </c>
      <c r="AL2370" s="86" t="str">
        <f>+IF(AG2370=$AL$22,MONTH(V2370),"")</f>
        <v/>
      </c>
      <c r="AM2370" s="86" t="str">
        <f>+IF($AG2370=$AM$22,MONTH($D2370),"")</f>
        <v/>
      </c>
      <c r="AN2370" s="89" t="str">
        <f>+IF($AG2370=AN$22,MONTH($D2370),"")</f>
        <v/>
      </c>
      <c r="AO2370" s="86" t="str">
        <f>+IF($AG2370=AO$22,MONTH($D2370),"")</f>
        <v/>
      </c>
      <c r="AP2370" s="86" t="str">
        <f>+IF($AG2370=AP$22,MONTH($D2370),"")</f>
        <v/>
      </c>
      <c r="AQ2370" s="86" t="str">
        <f>+IF($AG2370=AQ$22,MONTH($D2370),"")</f>
        <v/>
      </c>
      <c r="AR2370" s="86" t="str">
        <f>+IF($AG2370=AR$22,MONTH($D2370),"")</f>
        <v/>
      </c>
      <c r="AS2370" s="86">
        <f>+IF($AG2370=AS$22,MONTH($D2370),"")</f>
        <v>1</v>
      </c>
      <c r="AT2370" s="86" t="str">
        <f>+IF($AG2370=AT$22,MONTH($D2370),"")</f>
        <v/>
      </c>
      <c r="AU2370" s="86" t="str">
        <f>+IF($AG2370=AU$22,MONTH($D2370),"")</f>
        <v/>
      </c>
      <c r="AV2370" s="86" t="str">
        <f>+IF($AG2370=AV$22,MONTH($D2370),"")</f>
        <v/>
      </c>
      <c r="AW2370" s="86" t="str">
        <f>+IF($AG2370=AW$22,MONTH($D2370),"")</f>
        <v/>
      </c>
      <c r="AX2370" s="86" t="str">
        <f>+IF($AG2370=AX$22,MONTH($D2370),"")</f>
        <v/>
      </c>
      <c r="AY2370" s="89"/>
      <c r="AZ2370" s="89"/>
      <c r="BA2370" s="89"/>
      <c r="BB2370" s="89"/>
      <c r="BC2370" s="89"/>
      <c r="BD2370" s="89"/>
      <c r="BE2370" s="89"/>
      <c r="BF2370" s="89"/>
      <c r="BG2370" s="89"/>
      <c r="BH2370" s="89"/>
      <c r="BI2370" s="89"/>
      <c r="BJ2370" s="89"/>
      <c r="BK2370" s="89"/>
      <c r="BL2370" s="89"/>
      <c r="BM2370" s="89"/>
      <c r="BN2370" s="89"/>
      <c r="BO2370" s="89"/>
      <c r="BP2370" s="89"/>
    </row>
    <row r="2371" spans="1:68" s="56" customFormat="1" ht="27" hidden="1">
      <c r="A2371" s="204" t="str">
        <f>+IFERROR(VALUE(MID(AB2371,4,4)),"")</f>
        <v/>
      </c>
      <c r="B2371" s="204">
        <f>VALUE(RIGHT(C2371,LEN(C2371)-2))</f>
        <v>354</v>
      </c>
      <c r="C2371" s="74" t="s">
        <v>8061</v>
      </c>
      <c r="D2371" s="75">
        <v>42025</v>
      </c>
      <c r="E2371" s="70" t="s">
        <v>394</v>
      </c>
      <c r="F2371" s="70" t="s">
        <v>394</v>
      </c>
      <c r="G2371" s="68" t="s">
        <v>289</v>
      </c>
      <c r="H2371" s="59" t="s">
        <v>4800</v>
      </c>
      <c r="I2371" s="162" t="s">
        <v>8062</v>
      </c>
      <c r="J2371" s="162"/>
      <c r="K2371" s="68" t="s">
        <v>30</v>
      </c>
      <c r="L2371" s="69" t="s">
        <v>120</v>
      </c>
      <c r="M2371" s="71"/>
      <c r="N2371" s="69" t="e" vm="1">
        <v>#VALUE!</v>
      </c>
      <c r="O2371" s="164">
        <v>42030</v>
      </c>
      <c r="P2371" s="72" t="s">
        <v>4567</v>
      </c>
      <c r="Q2371" s="72"/>
      <c r="R2371" s="162"/>
      <c r="S2371" s="146"/>
      <c r="T2371" s="68" t="s">
        <v>165</v>
      </c>
      <c r="U2371" s="87"/>
      <c r="V2371" s="183">
        <v>42027</v>
      </c>
      <c r="W2371" s="73">
        <v>300</v>
      </c>
      <c r="X2371" s="73">
        <f>607*24500/1000000</f>
        <v>14.871499999999999</v>
      </c>
      <c r="Y2371" s="83">
        <f>IF(SUM(W2371:W2371)&gt;0,X2371/SUM(W2371:W2371)*1000000,"N/A")</f>
        <v>49571.666666666664</v>
      </c>
      <c r="Z2371" s="183"/>
      <c r="AA2371" s="183"/>
      <c r="AB2371" s="223"/>
      <c r="AC2371" s="153"/>
      <c r="AD2371" s="331"/>
      <c r="AE2371" s="57"/>
      <c r="AF2371" s="88"/>
      <c r="AG2371" s="182">
        <f>YEAR(D2371)</f>
        <v>2015</v>
      </c>
      <c r="AH2371" s="86" t="str">
        <f>+IF(AE2371=$AJ$22,MONTH(T2371),"")</f>
        <v/>
      </c>
      <c r="AI2371" s="86" t="str">
        <f>+IF(AF2371=$AJ$22,MONTH(U2371),"")</f>
        <v/>
      </c>
      <c r="AJ2371" s="86" t="str">
        <f>+IF(AG2371=$AJ$22,MONTH(V2371),"")</f>
        <v/>
      </c>
      <c r="AK2371" s="86" t="str">
        <f>+IF(AG2371=$AK$22,MONTH(V2371),"")</f>
        <v/>
      </c>
      <c r="AL2371" s="86" t="str">
        <f>+IF(AG2371=$AL$22,MONTH(V2371),"")</f>
        <v/>
      </c>
      <c r="AM2371" s="86" t="str">
        <f>+IF($AG2371=$AM$22,MONTH($D2371),"")</f>
        <v/>
      </c>
      <c r="AN2371" s="89" t="str">
        <f>+IF($AG2371=AN$22,MONTH($D2371),"")</f>
        <v/>
      </c>
      <c r="AO2371" s="86" t="str">
        <f>+IF($AG2371=AO$22,MONTH($D2371),"")</f>
        <v/>
      </c>
      <c r="AP2371" s="86" t="str">
        <f>+IF($AG2371=AP$22,MONTH($D2371),"")</f>
        <v/>
      </c>
      <c r="AQ2371" s="86" t="str">
        <f>+IF($AG2371=AQ$22,MONTH($D2371),"")</f>
        <v/>
      </c>
      <c r="AR2371" s="86" t="str">
        <f>+IF($AG2371=AR$22,MONTH($D2371),"")</f>
        <v/>
      </c>
      <c r="AS2371" s="86">
        <f>+IF($AG2371=AS$22,MONTH($D2371),"")</f>
        <v>1</v>
      </c>
      <c r="AT2371" s="86" t="str">
        <f>+IF($AG2371=AT$22,MONTH($D2371),"")</f>
        <v/>
      </c>
      <c r="AU2371" s="86" t="str">
        <f>+IF($AG2371=AU$22,MONTH($D2371),"")</f>
        <v/>
      </c>
      <c r="AV2371" s="86" t="str">
        <f>+IF($AG2371=AV$22,MONTH($D2371),"")</f>
        <v/>
      </c>
      <c r="AW2371" s="86" t="str">
        <f>+IF($AG2371=AW$22,MONTH($D2371),"")</f>
        <v/>
      </c>
      <c r="AX2371" s="86" t="str">
        <f>+IF($AG2371=AX$22,MONTH($D2371),"")</f>
        <v/>
      </c>
      <c r="AY2371" s="89"/>
      <c r="AZ2371" s="89"/>
      <c r="BA2371" s="89"/>
      <c r="BB2371" s="89"/>
      <c r="BC2371" s="89"/>
      <c r="BD2371" s="89"/>
      <c r="BE2371" s="89"/>
      <c r="BF2371" s="89"/>
      <c r="BG2371" s="89"/>
      <c r="BH2371" s="89"/>
      <c r="BI2371" s="89"/>
      <c r="BJ2371" s="89"/>
      <c r="BK2371" s="89"/>
      <c r="BL2371" s="89"/>
      <c r="BM2371" s="89"/>
      <c r="BN2371" s="89"/>
      <c r="BO2371" s="89"/>
      <c r="BP2371" s="89"/>
    </row>
    <row r="2372" spans="1:68" s="56" customFormat="1" ht="27" hidden="1">
      <c r="A2372" s="204" t="str">
        <f>+IFERROR(VALUE(MID(AB2372,4,4)),"")</f>
        <v/>
      </c>
      <c r="B2372" s="204">
        <f>VALUE(RIGHT(C2372,LEN(C2372)-2))</f>
        <v>353</v>
      </c>
      <c r="C2372" s="74" t="s">
        <v>8063</v>
      </c>
      <c r="D2372" s="75">
        <v>42026</v>
      </c>
      <c r="E2372" s="70" t="s">
        <v>51</v>
      </c>
      <c r="F2372" s="70" t="s">
        <v>51</v>
      </c>
      <c r="G2372" s="68" t="s">
        <v>8064</v>
      </c>
      <c r="H2372" s="59" t="s">
        <v>8032</v>
      </c>
      <c r="I2372" s="162" t="s">
        <v>8065</v>
      </c>
      <c r="J2372" s="162"/>
      <c r="K2372" s="68"/>
      <c r="L2372" s="69" t="s">
        <v>120</v>
      </c>
      <c r="M2372" s="71"/>
      <c r="N2372" s="69"/>
      <c r="O2372" s="164">
        <v>42050</v>
      </c>
      <c r="P2372" s="72" t="s">
        <v>7465</v>
      </c>
      <c r="Q2372" s="72"/>
      <c r="R2372" s="162"/>
      <c r="S2372" s="146" t="s">
        <v>7296</v>
      </c>
      <c r="T2372" s="68" t="s">
        <v>155</v>
      </c>
      <c r="U2372" s="87"/>
      <c r="V2372" s="183">
        <v>42026</v>
      </c>
      <c r="W2372" s="73"/>
      <c r="X2372" s="73"/>
      <c r="Y2372" s="83"/>
      <c r="Z2372" s="183"/>
      <c r="AA2372" s="183"/>
      <c r="AB2372" s="223"/>
      <c r="AC2372" s="153"/>
      <c r="AD2372" s="331"/>
      <c r="AE2372" s="57"/>
      <c r="AF2372" s="88"/>
      <c r="AG2372" s="182">
        <f>YEAR(D2372)</f>
        <v>2015</v>
      </c>
      <c r="AH2372" s="86" t="str">
        <f>+IF(AE2372=$AJ$22,MONTH(T2372),"")</f>
        <v/>
      </c>
      <c r="AI2372" s="86" t="str">
        <f>+IF(AF2372=$AJ$22,MONTH(U2372),"")</f>
        <v/>
      </c>
      <c r="AJ2372" s="86" t="str">
        <f>+IF(AG2372=$AJ$22,MONTH(V2372),"")</f>
        <v/>
      </c>
      <c r="AK2372" s="86" t="str">
        <f>+IF(AG2372=$AK$22,MONTH(V2372),"")</f>
        <v/>
      </c>
      <c r="AL2372" s="86" t="str">
        <f>+IF(AG2372=$AL$22,MONTH(V2372),"")</f>
        <v/>
      </c>
      <c r="AM2372" s="86" t="str">
        <f>+IF($AG2372=$AM$22,MONTH($D2372),"")</f>
        <v/>
      </c>
      <c r="AN2372" s="89" t="str">
        <f>+IF($AG2372=AN$22,MONTH($D2372),"")</f>
        <v/>
      </c>
      <c r="AO2372" s="86" t="str">
        <f>+IF($AG2372=AO$22,MONTH($D2372),"")</f>
        <v/>
      </c>
      <c r="AP2372" s="86" t="str">
        <f>+IF($AG2372=AP$22,MONTH($D2372),"")</f>
        <v/>
      </c>
      <c r="AQ2372" s="86" t="str">
        <f>+IF($AG2372=AQ$22,MONTH($D2372),"")</f>
        <v/>
      </c>
      <c r="AR2372" s="86" t="str">
        <f>+IF($AG2372=AR$22,MONTH($D2372),"")</f>
        <v/>
      </c>
      <c r="AS2372" s="86">
        <f>+IF($AG2372=AS$22,MONTH($D2372),"")</f>
        <v>1</v>
      </c>
      <c r="AT2372" s="86" t="str">
        <f>+IF($AG2372=AT$22,MONTH($D2372),"")</f>
        <v/>
      </c>
      <c r="AU2372" s="86" t="str">
        <f>+IF($AG2372=AU$22,MONTH($D2372),"")</f>
        <v/>
      </c>
      <c r="AV2372" s="86" t="str">
        <f>+IF($AG2372=AV$22,MONTH($D2372),"")</f>
        <v/>
      </c>
      <c r="AW2372" s="86" t="str">
        <f>+IF($AG2372=AW$22,MONTH($D2372),"")</f>
        <v/>
      </c>
      <c r="AX2372" s="86" t="str">
        <f>+IF($AG2372=AX$22,MONTH($D2372),"")</f>
        <v/>
      </c>
      <c r="AY2372" s="89"/>
      <c r="AZ2372" s="89"/>
      <c r="BA2372" s="89"/>
      <c r="BB2372" s="89"/>
      <c r="BC2372" s="89"/>
      <c r="BD2372" s="89"/>
      <c r="BE2372" s="89"/>
      <c r="BF2372" s="89"/>
      <c r="BG2372" s="89"/>
      <c r="BH2372" s="89"/>
      <c r="BI2372" s="89"/>
      <c r="BJ2372" s="89"/>
      <c r="BK2372" s="89"/>
      <c r="BL2372" s="89"/>
      <c r="BM2372" s="89"/>
      <c r="BN2372" s="89"/>
      <c r="BO2372" s="89"/>
      <c r="BP2372" s="89"/>
    </row>
    <row r="2373" spans="1:68" s="56" customFormat="1" ht="27" hidden="1">
      <c r="A2373" s="204" t="str">
        <f>+IFERROR(VALUE(MID(AB2373,4,4)),"")</f>
        <v/>
      </c>
      <c r="B2373" s="204">
        <f>VALUE(RIGHT(C2373,LEN(C2373)-2))</f>
        <v>352</v>
      </c>
      <c r="C2373" s="74" t="s">
        <v>8066</v>
      </c>
      <c r="D2373" s="75">
        <v>42025</v>
      </c>
      <c r="E2373" s="70" t="s">
        <v>8067</v>
      </c>
      <c r="F2373" s="70" t="s">
        <v>8068</v>
      </c>
      <c r="G2373" s="68" t="s">
        <v>8069</v>
      </c>
      <c r="H2373" s="59" t="s">
        <v>8070</v>
      </c>
      <c r="I2373" s="162" t="s">
        <v>8071</v>
      </c>
      <c r="J2373" s="162"/>
      <c r="K2373" s="68"/>
      <c r="L2373" s="69" t="s">
        <v>123</v>
      </c>
      <c r="M2373" s="71"/>
      <c r="N2373" s="69"/>
      <c r="O2373" s="164">
        <v>42041</v>
      </c>
      <c r="P2373" s="72" t="s">
        <v>402</v>
      </c>
      <c r="Q2373" s="72"/>
      <c r="R2373" s="162"/>
      <c r="S2373" s="146"/>
      <c r="T2373" s="68" t="s">
        <v>165</v>
      </c>
      <c r="U2373" s="87"/>
      <c r="V2373" s="183">
        <v>42025</v>
      </c>
      <c r="W2373" s="73">
        <v>5574</v>
      </c>
      <c r="X2373" s="73">
        <f>9219*24500/1000000</f>
        <v>225.8655</v>
      </c>
      <c r="Y2373" s="83">
        <f>IF(SUM(W2373:W2373)&gt;0,X2373/SUM(W2373:W2373)*1000000,"N/A")</f>
        <v>40521.259418729816</v>
      </c>
      <c r="Z2373" s="183"/>
      <c r="AA2373" s="183"/>
      <c r="AB2373" s="223"/>
      <c r="AC2373" s="153"/>
      <c r="AD2373" s="331"/>
      <c r="AE2373" s="57"/>
      <c r="AF2373" s="88"/>
      <c r="AG2373" s="182">
        <f>YEAR(D2373)</f>
        <v>2015</v>
      </c>
      <c r="AH2373" s="86" t="str">
        <f>+IF(AE2373=$AJ$22,MONTH(T2373),"")</f>
        <v/>
      </c>
      <c r="AI2373" s="86" t="str">
        <f>+IF(AF2373=$AJ$22,MONTH(U2373),"")</f>
        <v/>
      </c>
      <c r="AJ2373" s="86" t="str">
        <f>+IF(AG2373=$AJ$22,MONTH(V2373),"")</f>
        <v/>
      </c>
      <c r="AK2373" s="86" t="str">
        <f>+IF(AG2373=$AK$22,MONTH(V2373),"")</f>
        <v/>
      </c>
      <c r="AL2373" s="86" t="str">
        <f>+IF(AG2373=$AL$22,MONTH(V2373),"")</f>
        <v/>
      </c>
      <c r="AM2373" s="86" t="str">
        <f>+IF($AG2373=$AM$22,MONTH($D2373),"")</f>
        <v/>
      </c>
      <c r="AN2373" s="89" t="str">
        <f>+IF($AG2373=AN$22,MONTH($D2373),"")</f>
        <v/>
      </c>
      <c r="AO2373" s="86" t="str">
        <f>+IF($AG2373=AO$22,MONTH($D2373),"")</f>
        <v/>
      </c>
      <c r="AP2373" s="86" t="str">
        <f>+IF($AG2373=AP$22,MONTH($D2373),"")</f>
        <v/>
      </c>
      <c r="AQ2373" s="86" t="str">
        <f>+IF($AG2373=AQ$22,MONTH($D2373),"")</f>
        <v/>
      </c>
      <c r="AR2373" s="86" t="str">
        <f>+IF($AG2373=AR$22,MONTH($D2373),"")</f>
        <v/>
      </c>
      <c r="AS2373" s="86">
        <f>+IF($AG2373=AS$22,MONTH($D2373),"")</f>
        <v>1</v>
      </c>
      <c r="AT2373" s="86" t="str">
        <f>+IF($AG2373=AT$22,MONTH($D2373),"")</f>
        <v/>
      </c>
      <c r="AU2373" s="86" t="str">
        <f>+IF($AG2373=AU$22,MONTH($D2373),"")</f>
        <v/>
      </c>
      <c r="AV2373" s="86" t="str">
        <f>+IF($AG2373=AV$22,MONTH($D2373),"")</f>
        <v/>
      </c>
      <c r="AW2373" s="86" t="str">
        <f>+IF($AG2373=AW$22,MONTH($D2373),"")</f>
        <v/>
      </c>
      <c r="AX2373" s="86" t="str">
        <f>+IF($AG2373=AX$22,MONTH($D2373),"")</f>
        <v/>
      </c>
      <c r="AY2373" s="89"/>
      <c r="AZ2373" s="89"/>
      <c r="BA2373" s="89"/>
      <c r="BB2373" s="89"/>
      <c r="BC2373" s="89"/>
      <c r="BD2373" s="89"/>
      <c r="BE2373" s="89"/>
      <c r="BF2373" s="89"/>
      <c r="BG2373" s="89"/>
      <c r="BH2373" s="89"/>
      <c r="BI2373" s="89"/>
      <c r="BJ2373" s="89"/>
      <c r="BK2373" s="89"/>
      <c r="BL2373" s="89"/>
      <c r="BM2373" s="89"/>
      <c r="BN2373" s="89"/>
      <c r="BO2373" s="89"/>
      <c r="BP2373" s="89"/>
    </row>
    <row r="2374" spans="1:68" s="56" customFormat="1" ht="53.25" hidden="1">
      <c r="A2374" s="204" t="str">
        <f>+IFERROR(VALUE(MID(AB2374,4,4)),"")</f>
        <v/>
      </c>
      <c r="B2374" s="204">
        <f>VALUE(RIGHT(C2374,LEN(C2374)-2))</f>
        <v>351</v>
      </c>
      <c r="C2374" s="74" t="s">
        <v>8072</v>
      </c>
      <c r="D2374" s="75">
        <v>42031</v>
      </c>
      <c r="E2374" s="70" t="s">
        <v>332</v>
      </c>
      <c r="F2374" s="70" t="s">
        <v>332</v>
      </c>
      <c r="G2374" s="68" t="s">
        <v>8073</v>
      </c>
      <c r="H2374" s="59"/>
      <c r="I2374" s="162" t="s">
        <v>8074</v>
      </c>
      <c r="J2374" s="162"/>
      <c r="K2374" s="68" t="s">
        <v>42</v>
      </c>
      <c r="L2374" s="69" t="s">
        <v>120</v>
      </c>
      <c r="M2374" s="71" t="s">
        <v>141</v>
      </c>
      <c r="N2374" s="69" t="e" vm="1">
        <v>#VALUE!</v>
      </c>
      <c r="O2374" s="164">
        <v>42031</v>
      </c>
      <c r="P2374" s="72" t="s">
        <v>8075</v>
      </c>
      <c r="Q2374" s="72"/>
      <c r="R2374" s="162"/>
      <c r="S2374" s="146" t="s">
        <v>8076</v>
      </c>
      <c r="T2374" s="68" t="s">
        <v>3</v>
      </c>
      <c r="U2374" s="87"/>
      <c r="V2374" s="183">
        <v>42025</v>
      </c>
      <c r="W2374" s="73">
        <v>1015</v>
      </c>
      <c r="X2374" s="73">
        <f>1531*24500/1000000</f>
        <v>37.509500000000003</v>
      </c>
      <c r="Y2374" s="83">
        <f>IF(SUM(W2374:W2374)&gt;0,X2374/SUM(W2374:W2374)*1000000,"N/A")</f>
        <v>36955.172413793109</v>
      </c>
      <c r="Z2374" s="183"/>
      <c r="AA2374" s="183"/>
      <c r="AB2374" s="223"/>
      <c r="AC2374" s="153"/>
      <c r="AD2374" s="331"/>
      <c r="AE2374" s="57"/>
      <c r="AF2374" s="88"/>
      <c r="AG2374" s="182">
        <f>YEAR(D2374)</f>
        <v>2015</v>
      </c>
      <c r="AH2374" s="86" t="str">
        <f>+IF(AE2374=$AJ$22,MONTH(T2374),"")</f>
        <v/>
      </c>
      <c r="AI2374" s="86" t="str">
        <f>+IF(AF2374=$AJ$22,MONTH(U2374),"")</f>
        <v/>
      </c>
      <c r="AJ2374" s="86" t="str">
        <f>+IF(AG2374=$AJ$22,MONTH(V2374),"")</f>
        <v/>
      </c>
      <c r="AK2374" s="86" t="str">
        <f>+IF(AG2374=$AK$22,MONTH(V2374),"")</f>
        <v/>
      </c>
      <c r="AL2374" s="86" t="str">
        <f>+IF(AG2374=$AL$22,MONTH(V2374),"")</f>
        <v/>
      </c>
      <c r="AM2374" s="86" t="str">
        <f>+IF($AG2374=$AM$22,MONTH($D2374),"")</f>
        <v/>
      </c>
      <c r="AN2374" s="89" t="str">
        <f>+IF($AG2374=AN$22,MONTH($D2374),"")</f>
        <v/>
      </c>
      <c r="AO2374" s="86" t="str">
        <f>+IF($AG2374=AO$22,MONTH($D2374),"")</f>
        <v/>
      </c>
      <c r="AP2374" s="86" t="str">
        <f>+IF($AG2374=AP$22,MONTH($D2374),"")</f>
        <v/>
      </c>
      <c r="AQ2374" s="86" t="str">
        <f>+IF($AG2374=AQ$22,MONTH($D2374),"")</f>
        <v/>
      </c>
      <c r="AR2374" s="86" t="str">
        <f>+IF($AG2374=AR$22,MONTH($D2374),"")</f>
        <v/>
      </c>
      <c r="AS2374" s="86">
        <f>+IF($AG2374=AS$22,MONTH($D2374),"")</f>
        <v>1</v>
      </c>
      <c r="AT2374" s="86" t="str">
        <f>+IF($AG2374=AT$22,MONTH($D2374),"")</f>
        <v/>
      </c>
      <c r="AU2374" s="86" t="str">
        <f>+IF($AG2374=AU$22,MONTH($D2374),"")</f>
        <v/>
      </c>
      <c r="AV2374" s="86" t="str">
        <f>+IF($AG2374=AV$22,MONTH($D2374),"")</f>
        <v/>
      </c>
      <c r="AW2374" s="86" t="str">
        <f>+IF($AG2374=AW$22,MONTH($D2374),"")</f>
        <v/>
      </c>
      <c r="AX2374" s="86" t="str">
        <f>+IF($AG2374=AX$22,MONTH($D2374),"")</f>
        <v/>
      </c>
      <c r="AY2374" s="89"/>
      <c r="AZ2374" s="89"/>
      <c r="BA2374" s="89"/>
      <c r="BB2374" s="89"/>
      <c r="BC2374" s="89"/>
      <c r="BD2374" s="89"/>
      <c r="BE2374" s="89"/>
      <c r="BF2374" s="89"/>
      <c r="BG2374" s="89"/>
      <c r="BH2374" s="89"/>
      <c r="BI2374" s="89"/>
      <c r="BJ2374" s="89"/>
      <c r="BK2374" s="89"/>
      <c r="BL2374" s="89"/>
      <c r="BM2374" s="89"/>
      <c r="BN2374" s="89"/>
      <c r="BO2374" s="89"/>
      <c r="BP2374" s="89"/>
    </row>
    <row r="2375" spans="1:68" s="56" customFormat="1" ht="27" hidden="1">
      <c r="A2375" s="204" t="str">
        <f>+IFERROR(VALUE(MID(AB2375,4,4)),"")</f>
        <v/>
      </c>
      <c r="B2375" s="204">
        <f>VALUE(RIGHT(C2375,LEN(C2375)-2))</f>
        <v>350</v>
      </c>
      <c r="C2375" s="74" t="s">
        <v>8077</v>
      </c>
      <c r="D2375" s="75">
        <v>41960</v>
      </c>
      <c r="E2375" s="70" t="s">
        <v>7740</v>
      </c>
      <c r="F2375" s="70" t="s">
        <v>7740</v>
      </c>
      <c r="G2375" s="68" t="s">
        <v>7740</v>
      </c>
      <c r="H2375" s="59" t="s">
        <v>7741</v>
      </c>
      <c r="I2375" s="162" t="s">
        <v>8078</v>
      </c>
      <c r="J2375" s="162"/>
      <c r="K2375" s="68" t="s">
        <v>14</v>
      </c>
      <c r="L2375" s="69" t="s">
        <v>120</v>
      </c>
      <c r="M2375" s="71"/>
      <c r="N2375" s="69" t="e" vm="1">
        <v>#VALUE!</v>
      </c>
      <c r="O2375" s="164">
        <v>42034</v>
      </c>
      <c r="P2375" s="72" t="s">
        <v>4567</v>
      </c>
      <c r="Q2375" s="72"/>
      <c r="R2375" s="162"/>
      <c r="S2375" s="146"/>
      <c r="T2375" s="68" t="s">
        <v>155</v>
      </c>
      <c r="U2375" s="87"/>
      <c r="V2375" s="183">
        <v>42027</v>
      </c>
      <c r="W2375" s="73"/>
      <c r="X2375" s="73"/>
      <c r="Y2375" s="83"/>
      <c r="Z2375" s="183"/>
      <c r="AA2375" s="183"/>
      <c r="AB2375" s="223"/>
      <c r="AC2375" s="153"/>
      <c r="AD2375" s="331"/>
      <c r="AE2375" s="57"/>
      <c r="AF2375" s="88"/>
      <c r="AG2375" s="182">
        <f>YEAR(D2375)</f>
        <v>2014</v>
      </c>
      <c r="AH2375" s="86" t="str">
        <f>+IF(AE2375=$AJ$22,MONTH(T2375),"")</f>
        <v/>
      </c>
      <c r="AI2375" s="86" t="str">
        <f>+IF(AF2375=$AJ$22,MONTH(U2375),"")</f>
        <v/>
      </c>
      <c r="AJ2375" s="86" t="str">
        <f>+IF(AG2375=$AJ$22,MONTH(V2375),"")</f>
        <v/>
      </c>
      <c r="AK2375" s="86" t="str">
        <f>+IF(AG2375=$AK$22,MONTH(V2375),"")</f>
        <v/>
      </c>
      <c r="AL2375" s="86" t="str">
        <f>+IF(AG2375=$AL$22,MONTH(V2375),"")</f>
        <v/>
      </c>
      <c r="AM2375" s="86" t="str">
        <f>+IF($AG2375=$AM$22,MONTH($D2375),"")</f>
        <v/>
      </c>
      <c r="AN2375" s="89" t="str">
        <f>+IF($AG2375=AN$22,MONTH($D2375),"")</f>
        <v/>
      </c>
      <c r="AO2375" s="86" t="str">
        <f>+IF($AG2375=AO$22,MONTH($D2375),"")</f>
        <v/>
      </c>
      <c r="AP2375" s="86" t="str">
        <f>+IF($AG2375=AP$22,MONTH($D2375),"")</f>
        <v/>
      </c>
      <c r="AQ2375" s="86" t="str">
        <f>+IF($AG2375=AQ$22,MONTH($D2375),"")</f>
        <v/>
      </c>
      <c r="AR2375" s="86" t="str">
        <f>+IF($AG2375=AR$22,MONTH($D2375),"")</f>
        <v/>
      </c>
      <c r="AS2375" s="86" t="str">
        <f>+IF($AG2375=AS$22,MONTH($D2375),"")</f>
        <v/>
      </c>
      <c r="AT2375" s="86">
        <f>+IF($AG2375=AT$22,MONTH($D2375),"")</f>
        <v>11</v>
      </c>
      <c r="AU2375" s="86" t="str">
        <f>+IF($AG2375=AU$22,MONTH($D2375),"")</f>
        <v/>
      </c>
      <c r="AV2375" s="86" t="str">
        <f>+IF($AG2375=AV$22,MONTH($D2375),"")</f>
        <v/>
      </c>
      <c r="AW2375" s="86" t="str">
        <f>+IF($AG2375=AW$22,MONTH($D2375),"")</f>
        <v/>
      </c>
      <c r="AX2375" s="86" t="str">
        <f>+IF($AG2375=AX$22,MONTH($D2375),"")</f>
        <v/>
      </c>
      <c r="AY2375" s="89"/>
      <c r="AZ2375" s="89"/>
      <c r="BA2375" s="89"/>
      <c r="BB2375" s="89"/>
      <c r="BC2375" s="89"/>
      <c r="BD2375" s="89"/>
      <c r="BE2375" s="89"/>
      <c r="BF2375" s="89"/>
      <c r="BG2375" s="89"/>
      <c r="BH2375" s="89"/>
      <c r="BI2375" s="89"/>
      <c r="BJ2375" s="89"/>
      <c r="BK2375" s="89"/>
      <c r="BL2375" s="89"/>
      <c r="BM2375" s="89"/>
      <c r="BN2375" s="89"/>
      <c r="BO2375" s="89"/>
      <c r="BP2375" s="89"/>
    </row>
    <row r="2376" spans="1:68" s="56" customFormat="1" ht="67.5" hidden="1">
      <c r="A2376" s="204" t="str">
        <f>+IFERROR(VALUE(MID(AB2376,4,4)),"")</f>
        <v/>
      </c>
      <c r="B2376" s="204">
        <f>VALUE(RIGHT(C2376,LEN(C2376)-2))</f>
        <v>349</v>
      </c>
      <c r="C2376" s="74" t="s">
        <v>8079</v>
      </c>
      <c r="D2376" s="75">
        <v>42037</v>
      </c>
      <c r="E2376" s="70" t="s">
        <v>51</v>
      </c>
      <c r="F2376" s="70" t="s">
        <v>51</v>
      </c>
      <c r="G2376" s="68" t="s">
        <v>8080</v>
      </c>
      <c r="H2376" s="59" t="s">
        <v>8081</v>
      </c>
      <c r="I2376" s="162" t="s">
        <v>8082</v>
      </c>
      <c r="J2376" s="162"/>
      <c r="K2376" s="68"/>
      <c r="L2376" s="69" t="s">
        <v>123</v>
      </c>
      <c r="M2376" s="71"/>
      <c r="N2376" s="69"/>
      <c r="O2376" s="164">
        <v>42037</v>
      </c>
      <c r="P2376" s="72" t="s">
        <v>402</v>
      </c>
      <c r="Q2376" s="72"/>
      <c r="R2376" s="162"/>
      <c r="S2376" s="146" t="s">
        <v>8083</v>
      </c>
      <c r="T2376" s="68" t="s">
        <v>165</v>
      </c>
      <c r="U2376" s="87"/>
      <c r="V2376" s="183">
        <v>42023</v>
      </c>
      <c r="W2376" s="73">
        <v>1740</v>
      </c>
      <c r="X2376" s="73">
        <f>74640059/1000000</f>
        <v>74.640058999999994</v>
      </c>
      <c r="Y2376" s="83">
        <f>IF(SUM(W2376:W2376)&gt;0,X2376/SUM(W2376:W2376)*1000000,"N/A")</f>
        <v>42896.585632183902</v>
      </c>
      <c r="Z2376" s="183"/>
      <c r="AA2376" s="183"/>
      <c r="AB2376" s="223"/>
      <c r="AC2376" s="153"/>
      <c r="AD2376" s="331"/>
      <c r="AE2376" s="57"/>
      <c r="AF2376" s="88"/>
      <c r="AG2376" s="182">
        <f>YEAR(D2376)</f>
        <v>2015</v>
      </c>
      <c r="AH2376" s="86" t="str">
        <f>+IF(AE2376=$AJ$22,MONTH(T2376),"")</f>
        <v/>
      </c>
      <c r="AI2376" s="86" t="str">
        <f>+IF(AF2376=$AJ$22,MONTH(U2376),"")</f>
        <v/>
      </c>
      <c r="AJ2376" s="86" t="str">
        <f>+IF(AG2376=$AJ$22,MONTH(V2376),"")</f>
        <v/>
      </c>
      <c r="AK2376" s="86" t="str">
        <f>+IF(AG2376=$AK$22,MONTH(V2376),"")</f>
        <v/>
      </c>
      <c r="AL2376" s="86" t="str">
        <f>+IF(AG2376=$AL$22,MONTH(V2376),"")</f>
        <v/>
      </c>
      <c r="AM2376" s="86" t="str">
        <f>+IF($AG2376=$AM$22,MONTH($D2376),"")</f>
        <v/>
      </c>
      <c r="AN2376" s="89" t="str">
        <f>+IF($AG2376=AN$22,MONTH($D2376),"")</f>
        <v/>
      </c>
      <c r="AO2376" s="86" t="str">
        <f>+IF($AG2376=AO$22,MONTH($D2376),"")</f>
        <v/>
      </c>
      <c r="AP2376" s="86" t="str">
        <f>+IF($AG2376=AP$22,MONTH($D2376),"")</f>
        <v/>
      </c>
      <c r="AQ2376" s="86" t="str">
        <f>+IF($AG2376=AQ$22,MONTH($D2376),"")</f>
        <v/>
      </c>
      <c r="AR2376" s="86" t="str">
        <f>+IF($AG2376=AR$22,MONTH($D2376),"")</f>
        <v/>
      </c>
      <c r="AS2376" s="86">
        <f>+IF($AG2376=AS$22,MONTH($D2376),"")</f>
        <v>2</v>
      </c>
      <c r="AT2376" s="86" t="str">
        <f>+IF($AG2376=AT$22,MONTH($D2376),"")</f>
        <v/>
      </c>
      <c r="AU2376" s="86" t="str">
        <f>+IF($AG2376=AU$22,MONTH($D2376),"")</f>
        <v/>
      </c>
      <c r="AV2376" s="86" t="str">
        <f>+IF($AG2376=AV$22,MONTH($D2376),"")</f>
        <v/>
      </c>
      <c r="AW2376" s="86" t="str">
        <f>+IF($AG2376=AW$22,MONTH($D2376),"")</f>
        <v/>
      </c>
      <c r="AX2376" s="86" t="str">
        <f>+IF($AG2376=AX$22,MONTH($D2376),"")</f>
        <v/>
      </c>
      <c r="AY2376" s="89"/>
      <c r="AZ2376" s="89"/>
      <c r="BA2376" s="89"/>
      <c r="BB2376" s="89"/>
      <c r="BC2376" s="89"/>
      <c r="BD2376" s="89"/>
      <c r="BE2376" s="89"/>
      <c r="BF2376" s="89"/>
      <c r="BG2376" s="89"/>
      <c r="BH2376" s="89"/>
      <c r="BI2376" s="89"/>
      <c r="BJ2376" s="89"/>
      <c r="BK2376" s="89"/>
      <c r="BL2376" s="89"/>
      <c r="BM2376" s="89"/>
      <c r="BN2376" s="89"/>
      <c r="BO2376" s="89"/>
      <c r="BP2376" s="89"/>
    </row>
    <row r="2377" spans="1:68" s="56" customFormat="1" ht="13.5" hidden="1">
      <c r="A2377" s="204" t="str">
        <f>+IFERROR(VALUE(MID(AB2377,4,4)),"")</f>
        <v/>
      </c>
      <c r="B2377" s="204">
        <f>VALUE(RIGHT(C2377,LEN(C2377)-2))</f>
        <v>348</v>
      </c>
      <c r="C2377" s="74" t="s">
        <v>8084</v>
      </c>
      <c r="D2377" s="75">
        <v>42023</v>
      </c>
      <c r="E2377" s="70" t="s">
        <v>7720</v>
      </c>
      <c r="F2377" s="70" t="s">
        <v>7720</v>
      </c>
      <c r="G2377" s="68"/>
      <c r="H2377" s="59"/>
      <c r="I2377" s="162" t="s">
        <v>8085</v>
      </c>
      <c r="J2377" s="162"/>
      <c r="K2377" s="68"/>
      <c r="L2377" s="69" t="s">
        <v>123</v>
      </c>
      <c r="M2377" s="71"/>
      <c r="N2377" s="69"/>
      <c r="O2377" s="164"/>
      <c r="P2377" s="72"/>
      <c r="Q2377" s="72"/>
      <c r="R2377" s="162"/>
      <c r="S2377" s="146"/>
      <c r="T2377" s="68" t="s">
        <v>165</v>
      </c>
      <c r="U2377" s="87"/>
      <c r="V2377" s="183"/>
      <c r="W2377" s="73">
        <v>265</v>
      </c>
      <c r="X2377" s="73">
        <f>338*24500/1000000</f>
        <v>8.2810000000000006</v>
      </c>
      <c r="Y2377" s="83">
        <f>IF(SUM(W2377:W2377)&gt;0,X2377/SUM(W2377:W2377)*1000000,"N/A")</f>
        <v>31249.056603773588</v>
      </c>
      <c r="Z2377" s="183"/>
      <c r="AA2377" s="183"/>
      <c r="AB2377" s="223"/>
      <c r="AC2377" s="153"/>
      <c r="AD2377" s="331"/>
      <c r="AE2377" s="57"/>
      <c r="AF2377" s="88"/>
      <c r="AG2377" s="182">
        <f>YEAR(D2377)</f>
        <v>2015</v>
      </c>
      <c r="AH2377" s="86" t="str">
        <f>+IF(AE2377=$AJ$22,MONTH(T2377),"")</f>
        <v/>
      </c>
      <c r="AI2377" s="86" t="str">
        <f>+IF(AF2377=$AJ$22,MONTH(U2377),"")</f>
        <v/>
      </c>
      <c r="AJ2377" s="86" t="str">
        <f>+IF(AG2377=$AJ$22,MONTH(V2377),"")</f>
        <v/>
      </c>
      <c r="AK2377" s="86" t="str">
        <f>+IF(AG2377=$AK$22,MONTH(V2377),"")</f>
        <v/>
      </c>
      <c r="AL2377" s="86" t="str">
        <f>+IF(AG2377=$AL$22,MONTH(V2377),"")</f>
        <v/>
      </c>
      <c r="AM2377" s="86" t="str">
        <f>+IF($AG2377=$AM$22,MONTH($D2377),"")</f>
        <v/>
      </c>
      <c r="AN2377" s="89" t="str">
        <f>+IF($AG2377=AN$22,MONTH($D2377),"")</f>
        <v/>
      </c>
      <c r="AO2377" s="86" t="str">
        <f>+IF($AG2377=AO$22,MONTH($D2377),"")</f>
        <v/>
      </c>
      <c r="AP2377" s="86" t="str">
        <f>+IF($AG2377=AP$22,MONTH($D2377),"")</f>
        <v/>
      </c>
      <c r="AQ2377" s="86" t="str">
        <f>+IF($AG2377=AQ$22,MONTH($D2377),"")</f>
        <v/>
      </c>
      <c r="AR2377" s="86" t="str">
        <f>+IF($AG2377=AR$22,MONTH($D2377),"")</f>
        <v/>
      </c>
      <c r="AS2377" s="86">
        <f>+IF($AG2377=AS$22,MONTH($D2377),"")</f>
        <v>1</v>
      </c>
      <c r="AT2377" s="86" t="str">
        <f>+IF($AG2377=AT$22,MONTH($D2377),"")</f>
        <v/>
      </c>
      <c r="AU2377" s="86" t="str">
        <f>+IF($AG2377=AU$22,MONTH($D2377),"")</f>
        <v/>
      </c>
      <c r="AV2377" s="86" t="str">
        <f>+IF($AG2377=AV$22,MONTH($D2377),"")</f>
        <v/>
      </c>
      <c r="AW2377" s="86" t="str">
        <f>+IF($AG2377=AW$22,MONTH($D2377),"")</f>
        <v/>
      </c>
      <c r="AX2377" s="86" t="str">
        <f>+IF($AG2377=AX$22,MONTH($D2377),"")</f>
        <v/>
      </c>
      <c r="AY2377" s="89"/>
      <c r="AZ2377" s="89"/>
      <c r="BA2377" s="89"/>
      <c r="BB2377" s="89"/>
      <c r="BC2377" s="89"/>
      <c r="BD2377" s="89"/>
      <c r="BE2377" s="89"/>
      <c r="BF2377" s="89"/>
      <c r="BG2377" s="89"/>
      <c r="BH2377" s="89"/>
      <c r="BI2377" s="89"/>
      <c r="BJ2377" s="89"/>
      <c r="BK2377" s="89"/>
      <c r="BL2377" s="89"/>
      <c r="BM2377" s="89"/>
      <c r="BN2377" s="89"/>
      <c r="BO2377" s="89"/>
      <c r="BP2377" s="89"/>
    </row>
    <row r="2378" spans="1:68" s="56" customFormat="1" ht="13.5" hidden="1">
      <c r="A2378" s="204" t="str">
        <f>+IFERROR(VALUE(MID(AB2378,4,4)),"")</f>
        <v/>
      </c>
      <c r="B2378" s="204">
        <f>VALUE(RIGHT(C2378,LEN(C2378)-2))</f>
        <v>347</v>
      </c>
      <c r="C2378" s="74" t="s">
        <v>8086</v>
      </c>
      <c r="D2378" s="75">
        <v>42019</v>
      </c>
      <c r="E2378" s="70" t="s">
        <v>332</v>
      </c>
      <c r="F2378" s="70" t="s">
        <v>332</v>
      </c>
      <c r="G2378" s="68" t="s">
        <v>7970</v>
      </c>
      <c r="H2378" s="59" t="s">
        <v>7971</v>
      </c>
      <c r="I2378" s="162" t="s">
        <v>8087</v>
      </c>
      <c r="J2378" s="162"/>
      <c r="K2378" s="68" t="s">
        <v>13</v>
      </c>
      <c r="L2378" s="69" t="s">
        <v>120</v>
      </c>
      <c r="M2378" s="71" t="s">
        <v>141</v>
      </c>
      <c r="N2378" s="69" t="e" vm="1">
        <v>#VALUE!</v>
      </c>
      <c r="O2378" s="164"/>
      <c r="P2378" s="72" t="s">
        <v>7465</v>
      </c>
      <c r="Q2378" s="72"/>
      <c r="R2378" s="162"/>
      <c r="S2378" s="146" t="s">
        <v>8088</v>
      </c>
      <c r="T2378" s="68" t="s">
        <v>3</v>
      </c>
      <c r="U2378" s="87"/>
      <c r="V2378" s="183">
        <v>42023</v>
      </c>
      <c r="W2378" s="73">
        <v>220</v>
      </c>
      <c r="X2378" s="73">
        <f>339*24500/1000000</f>
        <v>8.3055000000000003</v>
      </c>
      <c r="Y2378" s="83">
        <f>IF(SUM(W2378:W2378)&gt;0,X2378/SUM(W2378:W2378)*1000000,"N/A")</f>
        <v>37752.272727272728</v>
      </c>
      <c r="Z2378" s="183"/>
      <c r="AA2378" s="183"/>
      <c r="AB2378" s="223"/>
      <c r="AC2378" s="153"/>
      <c r="AD2378" s="331"/>
      <c r="AE2378" s="57"/>
      <c r="AF2378" s="88"/>
      <c r="AG2378" s="182">
        <f>YEAR(D2378)</f>
        <v>2015</v>
      </c>
      <c r="AH2378" s="86" t="str">
        <f>+IF(AE2378=$AJ$22,MONTH(T2378),"")</f>
        <v/>
      </c>
      <c r="AI2378" s="86" t="str">
        <f>+IF(AF2378=$AJ$22,MONTH(U2378),"")</f>
        <v/>
      </c>
      <c r="AJ2378" s="86" t="str">
        <f>+IF(AG2378=$AJ$22,MONTH(V2378),"")</f>
        <v/>
      </c>
      <c r="AK2378" s="86" t="str">
        <f>+IF(AG2378=$AK$22,MONTH(V2378),"")</f>
        <v/>
      </c>
      <c r="AL2378" s="86" t="str">
        <f>+IF(AG2378=$AL$22,MONTH(V2378),"")</f>
        <v/>
      </c>
      <c r="AM2378" s="86" t="str">
        <f>+IF($AG2378=$AM$22,MONTH($D2378),"")</f>
        <v/>
      </c>
      <c r="AN2378" s="89" t="str">
        <f>+IF($AG2378=AN$22,MONTH($D2378),"")</f>
        <v/>
      </c>
      <c r="AO2378" s="86" t="str">
        <f>+IF($AG2378=AO$22,MONTH($D2378),"")</f>
        <v/>
      </c>
      <c r="AP2378" s="86" t="str">
        <f>+IF($AG2378=AP$22,MONTH($D2378),"")</f>
        <v/>
      </c>
      <c r="AQ2378" s="86" t="str">
        <f>+IF($AG2378=AQ$22,MONTH($D2378),"")</f>
        <v/>
      </c>
      <c r="AR2378" s="86" t="str">
        <f>+IF($AG2378=AR$22,MONTH($D2378),"")</f>
        <v/>
      </c>
      <c r="AS2378" s="86">
        <f>+IF($AG2378=AS$22,MONTH($D2378),"")</f>
        <v>1</v>
      </c>
      <c r="AT2378" s="86" t="str">
        <f>+IF($AG2378=AT$22,MONTH($D2378),"")</f>
        <v/>
      </c>
      <c r="AU2378" s="86" t="str">
        <f>+IF($AG2378=AU$22,MONTH($D2378),"")</f>
        <v/>
      </c>
      <c r="AV2378" s="86" t="str">
        <f>+IF($AG2378=AV$22,MONTH($D2378),"")</f>
        <v/>
      </c>
      <c r="AW2378" s="86" t="str">
        <f>+IF($AG2378=AW$22,MONTH($D2378),"")</f>
        <v/>
      </c>
      <c r="AX2378" s="86" t="str">
        <f>+IF($AG2378=AX$22,MONTH($D2378),"")</f>
        <v/>
      </c>
      <c r="AY2378" s="89"/>
      <c r="AZ2378" s="89"/>
      <c r="BA2378" s="89"/>
      <c r="BB2378" s="89"/>
      <c r="BC2378" s="89"/>
      <c r="BD2378" s="89"/>
      <c r="BE2378" s="89"/>
      <c r="BF2378" s="89"/>
      <c r="BG2378" s="89"/>
      <c r="BH2378" s="89"/>
      <c r="BI2378" s="89"/>
      <c r="BJ2378" s="89"/>
      <c r="BK2378" s="89"/>
      <c r="BL2378" s="89"/>
      <c r="BM2378" s="89"/>
      <c r="BN2378" s="89"/>
      <c r="BO2378" s="89"/>
      <c r="BP2378" s="89"/>
    </row>
    <row r="2379" spans="1:68" s="56" customFormat="1" ht="27" hidden="1">
      <c r="A2379" s="204" t="str">
        <f>+IFERROR(VALUE(MID(AB2379,4,4)),"")</f>
        <v/>
      </c>
      <c r="B2379" s="204">
        <f>VALUE(RIGHT(C2379,LEN(C2379)-2))</f>
        <v>346</v>
      </c>
      <c r="C2379" s="74" t="s">
        <v>8089</v>
      </c>
      <c r="D2379" s="75">
        <v>42019</v>
      </c>
      <c r="E2379" s="70" t="s">
        <v>332</v>
      </c>
      <c r="F2379" s="70" t="s">
        <v>332</v>
      </c>
      <c r="G2379" s="68" t="s">
        <v>8090</v>
      </c>
      <c r="H2379" s="60" t="s">
        <v>7971</v>
      </c>
      <c r="I2379" s="162" t="s">
        <v>8091</v>
      </c>
      <c r="J2379" s="162"/>
      <c r="K2379" s="68" t="s">
        <v>13</v>
      </c>
      <c r="L2379" s="69" t="s">
        <v>120</v>
      </c>
      <c r="M2379" s="71" t="s">
        <v>141</v>
      </c>
      <c r="N2379" s="69" t="e" vm="1">
        <v>#VALUE!</v>
      </c>
      <c r="O2379" s="164"/>
      <c r="P2379" s="72" t="s">
        <v>7465</v>
      </c>
      <c r="Q2379" s="72"/>
      <c r="R2379" s="162"/>
      <c r="S2379" s="146" t="s">
        <v>8092</v>
      </c>
      <c r="T2379" s="68" t="s">
        <v>3</v>
      </c>
      <c r="U2379" s="87"/>
      <c r="V2379" s="183">
        <v>42023</v>
      </c>
      <c r="W2379" s="73">
        <v>1436</v>
      </c>
      <c r="X2379" s="73">
        <f>2061*24500/1000000</f>
        <v>50.494500000000002</v>
      </c>
      <c r="Y2379" s="83">
        <f>IF(SUM(W2379:W2379)&gt;0,X2379/SUM(W2379:W2379)*1000000,"N/A")</f>
        <v>35163.300835654598</v>
      </c>
      <c r="Z2379" s="183"/>
      <c r="AA2379" s="183"/>
      <c r="AB2379" s="223"/>
      <c r="AC2379" s="153"/>
      <c r="AD2379" s="331"/>
      <c r="AE2379" s="57"/>
      <c r="AF2379" s="88"/>
      <c r="AG2379" s="182">
        <f>YEAR(D2379)</f>
        <v>2015</v>
      </c>
      <c r="AH2379" s="86" t="str">
        <f>+IF(AE2379=$AJ$22,MONTH(T2379),"")</f>
        <v/>
      </c>
      <c r="AI2379" s="86" t="str">
        <f>+IF(AF2379=$AJ$22,MONTH(U2379),"")</f>
        <v/>
      </c>
      <c r="AJ2379" s="86" t="str">
        <f>+IF(AG2379=$AJ$22,MONTH(V2379),"")</f>
        <v/>
      </c>
      <c r="AK2379" s="86" t="str">
        <f>+IF(AG2379=$AK$22,MONTH(V2379),"")</f>
        <v/>
      </c>
      <c r="AL2379" s="86" t="str">
        <f>+IF(AG2379=$AL$22,MONTH(V2379),"")</f>
        <v/>
      </c>
      <c r="AM2379" s="86" t="str">
        <f>+IF($AG2379=$AM$22,MONTH($D2379),"")</f>
        <v/>
      </c>
      <c r="AN2379" s="89" t="str">
        <f>+IF($AG2379=AN$22,MONTH($D2379),"")</f>
        <v/>
      </c>
      <c r="AO2379" s="86" t="str">
        <f>+IF($AG2379=AO$22,MONTH($D2379),"")</f>
        <v/>
      </c>
      <c r="AP2379" s="86" t="str">
        <f>+IF($AG2379=AP$22,MONTH($D2379),"")</f>
        <v/>
      </c>
      <c r="AQ2379" s="86" t="str">
        <f>+IF($AG2379=AQ$22,MONTH($D2379),"")</f>
        <v/>
      </c>
      <c r="AR2379" s="86" t="str">
        <f>+IF($AG2379=AR$22,MONTH($D2379),"")</f>
        <v/>
      </c>
      <c r="AS2379" s="86">
        <f>+IF($AG2379=AS$22,MONTH($D2379),"")</f>
        <v>1</v>
      </c>
      <c r="AT2379" s="86" t="str">
        <f>+IF($AG2379=AT$22,MONTH($D2379),"")</f>
        <v/>
      </c>
      <c r="AU2379" s="86" t="str">
        <f>+IF($AG2379=AU$22,MONTH($D2379),"")</f>
        <v/>
      </c>
      <c r="AV2379" s="86" t="str">
        <f>+IF($AG2379=AV$22,MONTH($D2379),"")</f>
        <v/>
      </c>
      <c r="AW2379" s="86" t="str">
        <f>+IF($AG2379=AW$22,MONTH($D2379),"")</f>
        <v/>
      </c>
      <c r="AX2379" s="86" t="str">
        <f>+IF($AG2379=AX$22,MONTH($D2379),"")</f>
        <v/>
      </c>
      <c r="AY2379" s="89"/>
      <c r="AZ2379" s="89"/>
      <c r="BA2379" s="89"/>
      <c r="BB2379" s="89"/>
      <c r="BC2379" s="89"/>
      <c r="BD2379" s="89"/>
      <c r="BE2379" s="89"/>
      <c r="BF2379" s="89"/>
      <c r="BG2379" s="89"/>
      <c r="BH2379" s="89"/>
      <c r="BI2379" s="89"/>
      <c r="BJ2379" s="89"/>
      <c r="BK2379" s="89"/>
      <c r="BL2379" s="89"/>
      <c r="BM2379" s="89"/>
      <c r="BN2379" s="89"/>
      <c r="BO2379" s="89"/>
      <c r="BP2379" s="89"/>
    </row>
    <row r="2380" spans="1:68" s="56" customFormat="1" ht="13.5" hidden="1">
      <c r="A2380" s="204">
        <f>+IFERROR(VALUE(MID(AB2380,4,4)),"")</f>
        <v>87</v>
      </c>
      <c r="B2380" s="204">
        <f>VALUE(RIGHT(C2380,LEN(C2380)-2))</f>
        <v>345</v>
      </c>
      <c r="C2380" s="74" t="s">
        <v>8093</v>
      </c>
      <c r="D2380" s="75">
        <v>42018</v>
      </c>
      <c r="E2380" s="70" t="s">
        <v>332</v>
      </c>
      <c r="F2380" s="70" t="s">
        <v>332</v>
      </c>
      <c r="G2380" s="68" t="s">
        <v>7903</v>
      </c>
      <c r="H2380" s="59"/>
      <c r="I2380" s="162" t="s">
        <v>8094</v>
      </c>
      <c r="J2380" s="162"/>
      <c r="K2380" s="68" t="s">
        <v>13</v>
      </c>
      <c r="L2380" s="69" t="s">
        <v>120</v>
      </c>
      <c r="M2380" s="71" t="s">
        <v>141</v>
      </c>
      <c r="N2380" s="69" t="e" vm="1">
        <v>#VALUE!</v>
      </c>
      <c r="O2380" s="164"/>
      <c r="P2380" s="72" t="s">
        <v>402</v>
      </c>
      <c r="Q2380" s="72"/>
      <c r="R2380" s="162"/>
      <c r="S2380" s="146" t="s">
        <v>8095</v>
      </c>
      <c r="T2380" s="68" t="s">
        <v>3</v>
      </c>
      <c r="U2380" s="87"/>
      <c r="V2380" s="183">
        <v>42030</v>
      </c>
      <c r="W2380" s="73">
        <v>225</v>
      </c>
      <c r="X2380" s="73">
        <f>369*24500/1000000</f>
        <v>9.0404999999999998</v>
      </c>
      <c r="Y2380" s="83">
        <f>IF(SUM(W2380:W2380)&gt;0,X2380/SUM(W2380:W2380)*1000000,"N/A")</f>
        <v>40180</v>
      </c>
      <c r="Z2380" s="183"/>
      <c r="AA2380" s="183"/>
      <c r="AB2380" s="223" t="s">
        <v>7997</v>
      </c>
      <c r="AC2380" s="153"/>
      <c r="AD2380" s="331"/>
      <c r="AE2380" s="57"/>
      <c r="AF2380" s="88"/>
      <c r="AG2380" s="182">
        <f>YEAR(D2380)</f>
        <v>2015</v>
      </c>
      <c r="AH2380" s="86" t="str">
        <f>+IF(AE2380=$AJ$22,MONTH(T2380),"")</f>
        <v/>
      </c>
      <c r="AI2380" s="86" t="str">
        <f>+IF(AF2380=$AJ$22,MONTH(U2380),"")</f>
        <v/>
      </c>
      <c r="AJ2380" s="86" t="str">
        <f>+IF(AG2380=$AJ$22,MONTH(V2380),"")</f>
        <v/>
      </c>
      <c r="AK2380" s="86" t="str">
        <f>+IF(AG2380=$AK$22,MONTH(V2380),"")</f>
        <v/>
      </c>
      <c r="AL2380" s="86" t="str">
        <f>+IF(AG2380=$AL$22,MONTH(V2380),"")</f>
        <v/>
      </c>
      <c r="AM2380" s="86" t="str">
        <f>+IF($AG2380=$AM$22,MONTH($D2380),"")</f>
        <v/>
      </c>
      <c r="AN2380" s="89" t="str">
        <f>+IF($AG2380=AN$22,MONTH($D2380),"")</f>
        <v/>
      </c>
      <c r="AO2380" s="86" t="str">
        <f>+IF($AG2380=AO$22,MONTH($D2380),"")</f>
        <v/>
      </c>
      <c r="AP2380" s="86" t="str">
        <f>+IF($AG2380=AP$22,MONTH($D2380),"")</f>
        <v/>
      </c>
      <c r="AQ2380" s="86" t="str">
        <f>+IF($AG2380=AQ$22,MONTH($D2380),"")</f>
        <v/>
      </c>
      <c r="AR2380" s="86" t="str">
        <f>+IF($AG2380=AR$22,MONTH($D2380),"")</f>
        <v/>
      </c>
      <c r="AS2380" s="86">
        <f>+IF($AG2380=AS$22,MONTH($D2380),"")</f>
        <v>1</v>
      </c>
      <c r="AT2380" s="86" t="str">
        <f>+IF($AG2380=AT$22,MONTH($D2380),"")</f>
        <v/>
      </c>
      <c r="AU2380" s="86" t="str">
        <f>+IF($AG2380=AU$22,MONTH($D2380),"")</f>
        <v/>
      </c>
      <c r="AV2380" s="86" t="str">
        <f>+IF($AG2380=AV$22,MONTH($D2380),"")</f>
        <v/>
      </c>
      <c r="AW2380" s="86" t="str">
        <f>+IF($AG2380=AW$22,MONTH($D2380),"")</f>
        <v/>
      </c>
      <c r="AX2380" s="86" t="str">
        <f>+IF($AG2380=AX$22,MONTH($D2380),"")</f>
        <v/>
      </c>
      <c r="AY2380" s="89"/>
      <c r="AZ2380" s="89"/>
      <c r="BA2380" s="89"/>
      <c r="BB2380" s="89"/>
      <c r="BC2380" s="89"/>
      <c r="BD2380" s="89"/>
      <c r="BE2380" s="89"/>
      <c r="BF2380" s="89"/>
      <c r="BG2380" s="89"/>
      <c r="BH2380" s="89"/>
      <c r="BI2380" s="89"/>
      <c r="BJ2380" s="89"/>
      <c r="BK2380" s="89"/>
      <c r="BL2380" s="89"/>
      <c r="BM2380" s="89"/>
      <c r="BN2380" s="89"/>
      <c r="BO2380" s="89"/>
      <c r="BP2380" s="89"/>
    </row>
    <row r="2381" spans="1:68" s="56" customFormat="1" ht="13.5" hidden="1">
      <c r="A2381" s="204" t="str">
        <f>+IFERROR(VALUE(MID(AB2381,4,4)),"")</f>
        <v/>
      </c>
      <c r="B2381" s="204">
        <f>VALUE(RIGHT(C2381,LEN(C2381)-2))</f>
        <v>344</v>
      </c>
      <c r="C2381" s="74" t="s">
        <v>8096</v>
      </c>
      <c r="D2381" s="75">
        <v>42011</v>
      </c>
      <c r="E2381" s="70" t="s">
        <v>332</v>
      </c>
      <c r="F2381" s="70" t="s">
        <v>332</v>
      </c>
      <c r="G2381" s="68" t="s">
        <v>8097</v>
      </c>
      <c r="H2381" s="59"/>
      <c r="I2381" s="162" t="s">
        <v>8098</v>
      </c>
      <c r="J2381" s="162"/>
      <c r="K2381" s="68" t="s">
        <v>13</v>
      </c>
      <c r="L2381" s="69" t="s">
        <v>120</v>
      </c>
      <c r="M2381" s="71" t="s">
        <v>141</v>
      </c>
      <c r="N2381" s="69" t="e" vm="1">
        <v>#VALUE!</v>
      </c>
      <c r="O2381" s="164">
        <v>42011</v>
      </c>
      <c r="P2381" s="72" t="s">
        <v>402</v>
      </c>
      <c r="Q2381" s="72"/>
      <c r="R2381" s="162"/>
      <c r="S2381" s="146" t="s">
        <v>8099</v>
      </c>
      <c r="T2381" s="68" t="s">
        <v>3</v>
      </c>
      <c r="U2381" s="87"/>
      <c r="V2381" s="183">
        <v>42030</v>
      </c>
      <c r="W2381" s="73">
        <v>198</v>
      </c>
      <c r="X2381" s="73">
        <f>317*24600/1000000</f>
        <v>7.7981999999999996</v>
      </c>
      <c r="Y2381" s="83">
        <f>IF(SUM(W2381:W2381)&gt;0,X2381/SUM(W2381:W2381)*1000000,"N/A")</f>
        <v>39384.84848484848</v>
      </c>
      <c r="Z2381" s="183"/>
      <c r="AA2381" s="183"/>
      <c r="AB2381" s="223"/>
      <c r="AC2381" s="153"/>
      <c r="AD2381" s="331"/>
      <c r="AE2381" s="57"/>
      <c r="AF2381" s="88"/>
      <c r="AG2381" s="182">
        <f>YEAR(D2381)</f>
        <v>2015</v>
      </c>
      <c r="AH2381" s="86" t="str">
        <f>+IF(AE2381=$AJ$22,MONTH(T2381),"")</f>
        <v/>
      </c>
      <c r="AI2381" s="86" t="str">
        <f>+IF(AF2381=$AJ$22,MONTH(U2381),"")</f>
        <v/>
      </c>
      <c r="AJ2381" s="86" t="str">
        <f>+IF(AG2381=$AJ$22,MONTH(V2381),"")</f>
        <v/>
      </c>
      <c r="AK2381" s="86" t="str">
        <f>+IF(AG2381=$AK$22,MONTH(V2381),"")</f>
        <v/>
      </c>
      <c r="AL2381" s="86" t="str">
        <f>+IF(AG2381=$AL$22,MONTH(V2381),"")</f>
        <v/>
      </c>
      <c r="AM2381" s="86" t="str">
        <f>+IF($AG2381=$AM$22,MONTH($D2381),"")</f>
        <v/>
      </c>
      <c r="AN2381" s="89" t="str">
        <f>+IF($AG2381=AN$22,MONTH($D2381),"")</f>
        <v/>
      </c>
      <c r="AO2381" s="86" t="str">
        <f>+IF($AG2381=AO$22,MONTH($D2381),"")</f>
        <v/>
      </c>
      <c r="AP2381" s="86" t="str">
        <f>+IF($AG2381=AP$22,MONTH($D2381),"")</f>
        <v/>
      </c>
      <c r="AQ2381" s="86" t="str">
        <f>+IF($AG2381=AQ$22,MONTH($D2381),"")</f>
        <v/>
      </c>
      <c r="AR2381" s="86" t="str">
        <f>+IF($AG2381=AR$22,MONTH($D2381),"")</f>
        <v/>
      </c>
      <c r="AS2381" s="86">
        <f>+IF($AG2381=AS$22,MONTH($D2381),"")</f>
        <v>1</v>
      </c>
      <c r="AT2381" s="86" t="str">
        <f>+IF($AG2381=AT$22,MONTH($D2381),"")</f>
        <v/>
      </c>
      <c r="AU2381" s="86" t="str">
        <f>+IF($AG2381=AU$22,MONTH($D2381),"")</f>
        <v/>
      </c>
      <c r="AV2381" s="86" t="str">
        <f>+IF($AG2381=AV$22,MONTH($D2381),"")</f>
        <v/>
      </c>
      <c r="AW2381" s="86" t="str">
        <f>+IF($AG2381=AW$22,MONTH($D2381),"")</f>
        <v/>
      </c>
      <c r="AX2381" s="86" t="str">
        <f>+IF($AG2381=AX$22,MONTH($D2381),"")</f>
        <v/>
      </c>
      <c r="AY2381" s="89"/>
      <c r="AZ2381" s="89"/>
      <c r="BA2381" s="89"/>
      <c r="BB2381" s="89"/>
      <c r="BC2381" s="89"/>
      <c r="BD2381" s="89"/>
      <c r="BE2381" s="89"/>
      <c r="BF2381" s="89"/>
      <c r="BG2381" s="89"/>
      <c r="BH2381" s="89"/>
      <c r="BI2381" s="89"/>
      <c r="BJ2381" s="89"/>
      <c r="BK2381" s="89"/>
      <c r="BL2381" s="89"/>
      <c r="BM2381" s="89"/>
      <c r="BN2381" s="89"/>
      <c r="BO2381" s="89"/>
      <c r="BP2381" s="89"/>
    </row>
    <row r="2382" spans="1:68" s="56" customFormat="1" ht="108" hidden="1">
      <c r="A2382" s="204" t="str">
        <f>+IFERROR(VALUE(MID(AB2382,4,4)),"")</f>
        <v/>
      </c>
      <c r="B2382" s="204">
        <f>VALUE(RIGHT(C2382,LEN(C2382)-2))</f>
        <v>343</v>
      </c>
      <c r="C2382" s="74" t="s">
        <v>8100</v>
      </c>
      <c r="D2382" s="75">
        <v>42003</v>
      </c>
      <c r="E2382" s="70" t="s">
        <v>7883</v>
      </c>
      <c r="F2382" s="70" t="s">
        <v>53</v>
      </c>
      <c r="G2382" s="68" t="s">
        <v>8101</v>
      </c>
      <c r="H2382" s="59" t="s">
        <v>8102</v>
      </c>
      <c r="I2382" s="162" t="s">
        <v>8103</v>
      </c>
      <c r="J2382" s="162"/>
      <c r="K2382" s="68" t="s">
        <v>13</v>
      </c>
      <c r="L2382" s="69" t="s">
        <v>123</v>
      </c>
      <c r="M2382" s="71" t="s">
        <v>141</v>
      </c>
      <c r="N2382" s="69" t="e" vm="1">
        <v>#VALUE!</v>
      </c>
      <c r="O2382" s="164">
        <v>42009</v>
      </c>
      <c r="P2382" s="72" t="s">
        <v>7465</v>
      </c>
      <c r="Q2382" s="72"/>
      <c r="R2382" s="162"/>
      <c r="S2382" s="146" t="s">
        <v>8104</v>
      </c>
      <c r="T2382" s="68" t="s">
        <v>165</v>
      </c>
      <c r="U2382" s="87"/>
      <c r="V2382" s="183">
        <v>42023</v>
      </c>
      <c r="W2382" s="73">
        <v>1363</v>
      </c>
      <c r="X2382" s="73">
        <f>1989*24600/1000000</f>
        <v>48.929400000000001</v>
      </c>
      <c r="Y2382" s="83">
        <f>IF(SUM(W2382:W2382)&gt;0,X2382/SUM(W2382:W2382)*1000000,"N/A")</f>
        <v>35898.312545854729</v>
      </c>
      <c r="Z2382" s="183"/>
      <c r="AA2382" s="183"/>
      <c r="AB2382" s="223"/>
      <c r="AC2382" s="153"/>
      <c r="AD2382" s="331"/>
      <c r="AE2382" s="57"/>
      <c r="AF2382" s="88"/>
      <c r="AG2382" s="182">
        <f>YEAR(D2382)</f>
        <v>2014</v>
      </c>
      <c r="AH2382" s="86" t="str">
        <f>+IF(AE2382=$AJ$22,MONTH(T2382),"")</f>
        <v/>
      </c>
      <c r="AI2382" s="86" t="str">
        <f>+IF(AF2382=$AJ$22,MONTH(U2382),"")</f>
        <v/>
      </c>
      <c r="AJ2382" s="86" t="str">
        <f>+IF(AG2382=$AJ$22,MONTH(V2382),"")</f>
        <v/>
      </c>
      <c r="AK2382" s="86" t="str">
        <f>+IF(AG2382=$AK$22,MONTH(V2382),"")</f>
        <v/>
      </c>
      <c r="AL2382" s="86" t="str">
        <f>+IF(AG2382=$AL$22,MONTH(V2382),"")</f>
        <v/>
      </c>
      <c r="AM2382" s="86" t="str">
        <f>+IF($AG2382=$AM$22,MONTH($D2382),"")</f>
        <v/>
      </c>
      <c r="AN2382" s="89" t="str">
        <f>+IF($AG2382=AN$22,MONTH($D2382),"")</f>
        <v/>
      </c>
      <c r="AO2382" s="86" t="str">
        <f>+IF($AG2382=AO$22,MONTH($D2382),"")</f>
        <v/>
      </c>
      <c r="AP2382" s="86" t="str">
        <f>+IF($AG2382=AP$22,MONTH($D2382),"")</f>
        <v/>
      </c>
      <c r="AQ2382" s="86" t="str">
        <f>+IF($AG2382=AQ$22,MONTH($D2382),"")</f>
        <v/>
      </c>
      <c r="AR2382" s="86" t="str">
        <f>+IF($AG2382=AR$22,MONTH($D2382),"")</f>
        <v/>
      </c>
      <c r="AS2382" s="86" t="str">
        <f>+IF($AG2382=AS$22,MONTH($D2382),"")</f>
        <v/>
      </c>
      <c r="AT2382" s="86">
        <f>+IF($AG2382=AT$22,MONTH($D2382),"")</f>
        <v>12</v>
      </c>
      <c r="AU2382" s="86" t="str">
        <f>+IF($AG2382=AU$22,MONTH($D2382),"")</f>
        <v/>
      </c>
      <c r="AV2382" s="86" t="str">
        <f>+IF($AG2382=AV$22,MONTH($D2382),"")</f>
        <v/>
      </c>
      <c r="AW2382" s="86" t="str">
        <f>+IF($AG2382=AW$22,MONTH($D2382),"")</f>
        <v/>
      </c>
      <c r="AX2382" s="86" t="str">
        <f>+IF($AG2382=AX$22,MONTH($D2382),"")</f>
        <v/>
      </c>
      <c r="AY2382" s="89"/>
      <c r="AZ2382" s="89"/>
      <c r="BA2382" s="89"/>
      <c r="BB2382" s="89"/>
      <c r="BC2382" s="89"/>
      <c r="BD2382" s="89"/>
      <c r="BE2382" s="89"/>
      <c r="BF2382" s="89"/>
      <c r="BG2382" s="89"/>
      <c r="BH2382" s="89"/>
      <c r="BI2382" s="89"/>
      <c r="BJ2382" s="89"/>
      <c r="BK2382" s="89"/>
      <c r="BL2382" s="89"/>
      <c r="BM2382" s="89"/>
      <c r="BN2382" s="89"/>
      <c r="BO2382" s="89"/>
      <c r="BP2382" s="89"/>
    </row>
    <row r="2383" spans="1:68" s="56" customFormat="1" ht="27" hidden="1">
      <c r="A2383" s="204" t="str">
        <f>+IFERROR(VALUE(MID(AB2383,4,4)),"")</f>
        <v/>
      </c>
      <c r="B2383" s="204">
        <f>VALUE(RIGHT(C2383,LEN(C2383)-2))</f>
        <v>342</v>
      </c>
      <c r="C2383" s="74" t="s">
        <v>8105</v>
      </c>
      <c r="D2383" s="75">
        <v>41995</v>
      </c>
      <c r="E2383" s="70" t="s">
        <v>7883</v>
      </c>
      <c r="F2383" s="70" t="s">
        <v>8106</v>
      </c>
      <c r="G2383" s="68" t="s">
        <v>8101</v>
      </c>
      <c r="H2383" s="59" t="s">
        <v>8102</v>
      </c>
      <c r="I2383" s="162" t="s">
        <v>8107</v>
      </c>
      <c r="J2383" s="162"/>
      <c r="K2383" s="68" t="s">
        <v>90</v>
      </c>
      <c r="L2383" s="69" t="s">
        <v>120</v>
      </c>
      <c r="M2383" s="71" t="s">
        <v>113</v>
      </c>
      <c r="N2383" s="69" t="e" vm="14">
        <v>#VALUE!</v>
      </c>
      <c r="O2383" s="164"/>
      <c r="P2383" s="72" t="s">
        <v>4567</v>
      </c>
      <c r="Q2383" s="72"/>
      <c r="R2383" s="162"/>
      <c r="S2383" s="146"/>
      <c r="T2383" s="68" t="s">
        <v>165</v>
      </c>
      <c r="U2383" s="87"/>
      <c r="V2383" s="183">
        <v>41995</v>
      </c>
      <c r="W2383" s="73">
        <v>60</v>
      </c>
      <c r="X2383" s="73">
        <f>12200*617/1000000</f>
        <v>7.5274000000000001</v>
      </c>
      <c r="Y2383" s="83">
        <f>IF(SUM(W2383:W2383)&gt;0,X2383/SUM(W2383:W2383)*1000000,"N/A")</f>
        <v>125456.66666666666</v>
      </c>
      <c r="Z2383" s="183"/>
      <c r="AA2383" s="183"/>
      <c r="AB2383" s="223"/>
      <c r="AC2383" s="153"/>
      <c r="AD2383" s="331"/>
      <c r="AE2383" s="57"/>
      <c r="AF2383" s="88"/>
      <c r="AG2383" s="182">
        <f>YEAR(D2383)</f>
        <v>2014</v>
      </c>
      <c r="AH2383" s="86" t="str">
        <f>+IF(AE2383=$AJ$22,MONTH(T2383),"")</f>
        <v/>
      </c>
      <c r="AI2383" s="86" t="str">
        <f>+IF(AF2383=$AJ$22,MONTH(U2383),"")</f>
        <v/>
      </c>
      <c r="AJ2383" s="86" t="str">
        <f>+IF(AG2383=$AJ$22,MONTH(V2383),"")</f>
        <v/>
      </c>
      <c r="AK2383" s="86" t="str">
        <f>+IF(AG2383=$AK$22,MONTH(V2383),"")</f>
        <v/>
      </c>
      <c r="AL2383" s="86" t="str">
        <f>+IF(AG2383=$AL$22,MONTH(V2383),"")</f>
        <v/>
      </c>
      <c r="AM2383" s="86" t="str">
        <f>+IF($AG2383=$AM$22,MONTH($D2383),"")</f>
        <v/>
      </c>
      <c r="AN2383" s="89" t="str">
        <f>+IF($AG2383=AN$22,MONTH($D2383),"")</f>
        <v/>
      </c>
      <c r="AO2383" s="86" t="str">
        <f>+IF($AG2383=AO$22,MONTH($D2383),"")</f>
        <v/>
      </c>
      <c r="AP2383" s="86" t="str">
        <f>+IF($AG2383=AP$22,MONTH($D2383),"")</f>
        <v/>
      </c>
      <c r="AQ2383" s="86" t="str">
        <f>+IF($AG2383=AQ$22,MONTH($D2383),"")</f>
        <v/>
      </c>
      <c r="AR2383" s="86" t="str">
        <f>+IF($AG2383=AR$22,MONTH($D2383),"")</f>
        <v/>
      </c>
      <c r="AS2383" s="86" t="str">
        <f>+IF($AG2383=AS$22,MONTH($D2383),"")</f>
        <v/>
      </c>
      <c r="AT2383" s="86">
        <f>+IF($AG2383=AT$22,MONTH($D2383),"")</f>
        <v>12</v>
      </c>
      <c r="AU2383" s="86" t="str">
        <f>+IF($AG2383=AU$22,MONTH($D2383),"")</f>
        <v/>
      </c>
      <c r="AV2383" s="86" t="str">
        <f>+IF($AG2383=AV$22,MONTH($D2383),"")</f>
        <v/>
      </c>
      <c r="AW2383" s="86" t="str">
        <f>+IF($AG2383=AW$22,MONTH($D2383),"")</f>
        <v/>
      </c>
      <c r="AX2383" s="86" t="str">
        <f>+IF($AG2383=AX$22,MONTH($D2383),"")</f>
        <v/>
      </c>
      <c r="AY2383" s="89"/>
      <c r="AZ2383" s="89"/>
      <c r="BA2383" s="89"/>
      <c r="BB2383" s="89"/>
      <c r="BC2383" s="89"/>
      <c r="BD2383" s="89"/>
      <c r="BE2383" s="89"/>
      <c r="BF2383" s="89"/>
      <c r="BG2383" s="89"/>
      <c r="BH2383" s="89"/>
      <c r="BI2383" s="89"/>
      <c r="BJ2383" s="89"/>
      <c r="BK2383" s="89"/>
      <c r="BL2383" s="89"/>
      <c r="BM2383" s="89"/>
      <c r="BN2383" s="89"/>
      <c r="BO2383" s="89"/>
      <c r="BP2383" s="89"/>
    </row>
    <row r="2384" spans="1:68" s="56" customFormat="1" ht="27" hidden="1">
      <c r="A2384" s="204" t="str">
        <f>+IFERROR(VALUE(MID(AB2384,4,4)),"")</f>
        <v/>
      </c>
      <c r="B2384" s="204">
        <f>VALUE(RIGHT(C2384,LEN(C2384)-2))</f>
        <v>341</v>
      </c>
      <c r="C2384" s="74" t="s">
        <v>8108</v>
      </c>
      <c r="D2384" s="75">
        <v>41995</v>
      </c>
      <c r="E2384" s="70" t="s">
        <v>106</v>
      </c>
      <c r="F2384" s="70" t="s">
        <v>106</v>
      </c>
      <c r="G2384" s="68" t="s">
        <v>8109</v>
      </c>
      <c r="H2384" s="60"/>
      <c r="I2384" s="162" t="s">
        <v>8110</v>
      </c>
      <c r="J2384" s="162"/>
      <c r="K2384" s="68" t="s">
        <v>12</v>
      </c>
      <c r="L2384" s="69" t="s">
        <v>123</v>
      </c>
      <c r="M2384" s="71" t="s">
        <v>141</v>
      </c>
      <c r="N2384" s="69" t="e" vm="1">
        <v>#VALUE!</v>
      </c>
      <c r="O2384" s="164">
        <v>42010</v>
      </c>
      <c r="P2384" s="72" t="s">
        <v>7465</v>
      </c>
      <c r="Q2384" s="72"/>
      <c r="R2384" s="162"/>
      <c r="S2384" s="146" t="s">
        <v>8111</v>
      </c>
      <c r="T2384" s="68" t="s">
        <v>165</v>
      </c>
      <c r="U2384" s="87"/>
      <c r="V2384" s="183">
        <v>42019</v>
      </c>
      <c r="W2384" s="73">
        <v>1736</v>
      </c>
      <c r="X2384" s="73">
        <f>99925*617/1000000</f>
        <v>61.653725000000001</v>
      </c>
      <c r="Y2384" s="83">
        <f>IF(SUM(W2384:W2384)&gt;0,X2384/SUM(W2384:W2384)*1000000,"N/A")</f>
        <v>35514.818548387098</v>
      </c>
      <c r="Z2384" s="183"/>
      <c r="AA2384" s="183"/>
      <c r="AB2384" s="223"/>
      <c r="AC2384" s="153"/>
      <c r="AD2384" s="331"/>
      <c r="AE2384" s="57"/>
      <c r="AF2384" s="88"/>
      <c r="AG2384" s="182">
        <f>YEAR(D2384)</f>
        <v>2014</v>
      </c>
      <c r="AH2384" s="86" t="str">
        <f>+IF(AE2384=$AJ$22,MONTH(T2384),"")</f>
        <v/>
      </c>
      <c r="AI2384" s="86" t="str">
        <f>+IF(AF2384=$AJ$22,MONTH(U2384),"")</f>
        <v/>
      </c>
      <c r="AJ2384" s="86" t="str">
        <f>+IF(AG2384=$AJ$22,MONTH(V2384),"")</f>
        <v/>
      </c>
      <c r="AK2384" s="86" t="str">
        <f>+IF(AG2384=$AK$22,MONTH(V2384),"")</f>
        <v/>
      </c>
      <c r="AL2384" s="86" t="str">
        <f>+IF(AG2384=$AL$22,MONTH(V2384),"")</f>
        <v/>
      </c>
      <c r="AM2384" s="86" t="str">
        <f>+IF($AG2384=$AM$22,MONTH($D2384),"")</f>
        <v/>
      </c>
      <c r="AN2384" s="89" t="str">
        <f>+IF($AG2384=AN$22,MONTH($D2384),"")</f>
        <v/>
      </c>
      <c r="AO2384" s="86" t="str">
        <f>+IF($AG2384=AO$22,MONTH($D2384),"")</f>
        <v/>
      </c>
      <c r="AP2384" s="86" t="str">
        <f>+IF($AG2384=AP$22,MONTH($D2384),"")</f>
        <v/>
      </c>
      <c r="AQ2384" s="86" t="str">
        <f>+IF($AG2384=AQ$22,MONTH($D2384),"")</f>
        <v/>
      </c>
      <c r="AR2384" s="86" t="str">
        <f>+IF($AG2384=AR$22,MONTH($D2384),"")</f>
        <v/>
      </c>
      <c r="AS2384" s="86" t="str">
        <f>+IF($AG2384=AS$22,MONTH($D2384),"")</f>
        <v/>
      </c>
      <c r="AT2384" s="86">
        <f>+IF($AG2384=AT$22,MONTH($D2384),"")</f>
        <v>12</v>
      </c>
      <c r="AU2384" s="86" t="str">
        <f>+IF($AG2384=AU$22,MONTH($D2384),"")</f>
        <v/>
      </c>
      <c r="AV2384" s="86" t="str">
        <f>+IF($AG2384=AV$22,MONTH($D2384),"")</f>
        <v/>
      </c>
      <c r="AW2384" s="86" t="str">
        <f>+IF($AG2384=AW$22,MONTH($D2384),"")</f>
        <v/>
      </c>
      <c r="AX2384" s="86" t="str">
        <f>+IF($AG2384=AX$22,MONTH($D2384),"")</f>
        <v/>
      </c>
      <c r="AY2384" s="89"/>
      <c r="AZ2384" s="89"/>
      <c r="BA2384" s="89"/>
      <c r="BB2384" s="89"/>
      <c r="BC2384" s="89"/>
      <c r="BD2384" s="89"/>
      <c r="BE2384" s="89"/>
      <c r="BF2384" s="89"/>
      <c r="BG2384" s="89"/>
      <c r="BH2384" s="89"/>
      <c r="BI2384" s="89"/>
      <c r="BJ2384" s="89"/>
      <c r="BK2384" s="89"/>
      <c r="BL2384" s="89"/>
      <c r="BM2384" s="89"/>
      <c r="BN2384" s="89"/>
      <c r="BO2384" s="89"/>
      <c r="BP2384" s="89"/>
    </row>
    <row r="2385" spans="1:68" s="56" customFormat="1" ht="94.5" hidden="1">
      <c r="A2385" s="204" t="str">
        <f>+IFERROR(VALUE(MID(AB2385,4,4)),"")</f>
        <v/>
      </c>
      <c r="B2385" s="204">
        <f>VALUE(RIGHT(C2385,LEN(C2385)-2))</f>
        <v>340</v>
      </c>
      <c r="C2385" s="74" t="s">
        <v>8112</v>
      </c>
      <c r="D2385" s="75">
        <v>41995</v>
      </c>
      <c r="E2385" s="70" t="s">
        <v>106</v>
      </c>
      <c r="F2385" s="70" t="s">
        <v>106</v>
      </c>
      <c r="G2385" s="68" t="s">
        <v>7513</v>
      </c>
      <c r="H2385" s="60" t="s">
        <v>7514</v>
      </c>
      <c r="I2385" s="162" t="s">
        <v>8113</v>
      </c>
      <c r="J2385" s="162"/>
      <c r="K2385" s="68" t="s">
        <v>9</v>
      </c>
      <c r="L2385" s="69" t="s">
        <v>123</v>
      </c>
      <c r="M2385" s="71" t="s">
        <v>141</v>
      </c>
      <c r="N2385" s="69" t="e" vm="1">
        <v>#VALUE!</v>
      </c>
      <c r="O2385" s="164">
        <v>42010</v>
      </c>
      <c r="P2385" s="72" t="s">
        <v>402</v>
      </c>
      <c r="Q2385" s="72"/>
      <c r="R2385" s="162"/>
      <c r="S2385" s="146" t="s">
        <v>8114</v>
      </c>
      <c r="T2385" s="68" t="s">
        <v>165</v>
      </c>
      <c r="U2385" s="87"/>
      <c r="V2385" s="183">
        <v>42019</v>
      </c>
      <c r="W2385" s="73">
        <v>500</v>
      </c>
      <c r="X2385" s="73">
        <v>20.56</v>
      </c>
      <c r="Y2385" s="83">
        <f>IF(SUM(W2385:W2385)&gt;0,X2385/SUM(W2385:W2385)*1000000,"N/A")</f>
        <v>41120</v>
      </c>
      <c r="Z2385" s="183"/>
      <c r="AA2385" s="183"/>
      <c r="AB2385" s="223"/>
      <c r="AC2385" s="153"/>
      <c r="AD2385" s="331"/>
      <c r="AE2385" s="57"/>
      <c r="AF2385" s="88" t="s">
        <v>8115</v>
      </c>
      <c r="AG2385" s="182">
        <f>YEAR(D2385)</f>
        <v>2014</v>
      </c>
      <c r="AH2385" s="86" t="str">
        <f>+IF(AE2385=$AJ$22,MONTH(T2385),"")</f>
        <v/>
      </c>
      <c r="AI2385" s="86" t="str">
        <f>+IF(AF2385=$AJ$22,MONTH(U2385),"")</f>
        <v/>
      </c>
      <c r="AJ2385" s="86" t="str">
        <f>+IF(AG2385=$AJ$22,MONTH(V2385),"")</f>
        <v/>
      </c>
      <c r="AK2385" s="86" t="str">
        <f>+IF(AG2385=$AK$22,MONTH(V2385),"")</f>
        <v/>
      </c>
      <c r="AL2385" s="86" t="str">
        <f>+IF(AG2385=$AL$22,MONTH(V2385),"")</f>
        <v/>
      </c>
      <c r="AM2385" s="86" t="str">
        <f>+IF($AG2385=$AM$22,MONTH($D2385),"")</f>
        <v/>
      </c>
      <c r="AN2385" s="89" t="str">
        <f>+IF($AG2385=AN$22,MONTH($D2385),"")</f>
        <v/>
      </c>
      <c r="AO2385" s="86" t="str">
        <f>+IF($AG2385=AO$22,MONTH($D2385),"")</f>
        <v/>
      </c>
      <c r="AP2385" s="86" t="str">
        <f>+IF($AG2385=AP$22,MONTH($D2385),"")</f>
        <v/>
      </c>
      <c r="AQ2385" s="86" t="str">
        <f>+IF($AG2385=AQ$22,MONTH($D2385),"")</f>
        <v/>
      </c>
      <c r="AR2385" s="86" t="str">
        <f>+IF($AG2385=AR$22,MONTH($D2385),"")</f>
        <v/>
      </c>
      <c r="AS2385" s="86" t="str">
        <f>+IF($AG2385=AS$22,MONTH($D2385),"")</f>
        <v/>
      </c>
      <c r="AT2385" s="86">
        <f>+IF($AG2385=AT$22,MONTH($D2385),"")</f>
        <v>12</v>
      </c>
      <c r="AU2385" s="86" t="str">
        <f>+IF($AG2385=AU$22,MONTH($D2385),"")</f>
        <v/>
      </c>
      <c r="AV2385" s="86" t="str">
        <f>+IF($AG2385=AV$22,MONTH($D2385),"")</f>
        <v/>
      </c>
      <c r="AW2385" s="86" t="str">
        <f>+IF($AG2385=AW$22,MONTH($D2385),"")</f>
        <v/>
      </c>
      <c r="AX2385" s="86" t="str">
        <f>+IF($AG2385=AX$22,MONTH($D2385),"")</f>
        <v/>
      </c>
      <c r="AY2385" s="89"/>
      <c r="AZ2385" s="89"/>
      <c r="BA2385" s="89"/>
      <c r="BB2385" s="89"/>
      <c r="BC2385" s="89"/>
      <c r="BD2385" s="89"/>
      <c r="BE2385" s="89"/>
      <c r="BF2385" s="89"/>
      <c r="BG2385" s="89"/>
      <c r="BH2385" s="89"/>
      <c r="BI2385" s="89"/>
      <c r="BJ2385" s="89"/>
      <c r="BK2385" s="89"/>
      <c r="BL2385" s="89"/>
      <c r="BM2385" s="89"/>
      <c r="BN2385" s="89"/>
      <c r="BO2385" s="89"/>
      <c r="BP2385" s="89"/>
    </row>
    <row r="2386" spans="1:68" s="56" customFormat="1" ht="13.5" hidden="1">
      <c r="A2386" s="204">
        <f>+IFERROR(VALUE(MID(AB2386,4,4)),"")</f>
        <v>111</v>
      </c>
      <c r="B2386" s="204">
        <f>VALUE(RIGHT(C2386,LEN(C2386)-2))</f>
        <v>339</v>
      </c>
      <c r="C2386" s="74" t="s">
        <v>8116</v>
      </c>
      <c r="D2386" s="75">
        <v>41991</v>
      </c>
      <c r="E2386" s="70" t="s">
        <v>848</v>
      </c>
      <c r="F2386" s="70" t="s">
        <v>848</v>
      </c>
      <c r="G2386" s="68" t="s">
        <v>8117</v>
      </c>
      <c r="H2386" s="60"/>
      <c r="I2386" s="162" t="s">
        <v>8118</v>
      </c>
      <c r="J2386" s="162"/>
      <c r="K2386" s="68" t="s">
        <v>12</v>
      </c>
      <c r="L2386" s="69" t="s">
        <v>120</v>
      </c>
      <c r="M2386" s="71" t="s">
        <v>141</v>
      </c>
      <c r="N2386" s="69" t="e" vm="1">
        <v>#VALUE!</v>
      </c>
      <c r="O2386" s="164">
        <v>42011</v>
      </c>
      <c r="P2386" s="72" t="s">
        <v>7465</v>
      </c>
      <c r="Q2386" s="72"/>
      <c r="R2386" s="162"/>
      <c r="S2386" s="146"/>
      <c r="T2386" s="68" t="s">
        <v>3</v>
      </c>
      <c r="U2386" s="87"/>
      <c r="V2386" s="183">
        <v>41995</v>
      </c>
      <c r="W2386" s="73">
        <v>905</v>
      </c>
      <c r="X2386" s="73">
        <f>1508*24500/1000000</f>
        <v>36.945999999999998</v>
      </c>
      <c r="Y2386" s="83">
        <f>IF(SUM(W2386:W2386)&gt;0,X2386/SUM(W2386:W2386)*1000000,"N/A")</f>
        <v>40824.30939226519</v>
      </c>
      <c r="Z2386" s="183"/>
      <c r="AA2386" s="183"/>
      <c r="AB2386" s="223" t="s">
        <v>8119</v>
      </c>
      <c r="AC2386" s="153"/>
      <c r="AD2386" s="331"/>
      <c r="AE2386" s="57"/>
      <c r="AF2386" s="88" t="s">
        <v>8120</v>
      </c>
      <c r="AG2386" s="182">
        <f>YEAR(D2386)</f>
        <v>2014</v>
      </c>
      <c r="AH2386" s="86" t="str">
        <f>+IF(AE2386=$AJ$22,MONTH(T2386),"")</f>
        <v/>
      </c>
      <c r="AI2386" s="86" t="str">
        <f>+IF(AF2386=$AJ$22,MONTH(U2386),"")</f>
        <v/>
      </c>
      <c r="AJ2386" s="86" t="str">
        <f>+IF(AG2386=$AJ$22,MONTH(V2386),"")</f>
        <v/>
      </c>
      <c r="AK2386" s="86" t="str">
        <f>+IF(AG2386=$AK$22,MONTH(V2386),"")</f>
        <v/>
      </c>
      <c r="AL2386" s="86" t="str">
        <f>+IF(AG2386=$AL$22,MONTH(V2386),"")</f>
        <v/>
      </c>
      <c r="AM2386" s="86" t="str">
        <f>+IF($AG2386=$AM$22,MONTH($D2386),"")</f>
        <v/>
      </c>
      <c r="AN2386" s="89" t="str">
        <f>+IF($AG2386=AN$22,MONTH($D2386),"")</f>
        <v/>
      </c>
      <c r="AO2386" s="86" t="str">
        <f>+IF($AG2386=AO$22,MONTH($D2386),"")</f>
        <v/>
      </c>
      <c r="AP2386" s="86" t="str">
        <f>+IF($AG2386=AP$22,MONTH($D2386),"")</f>
        <v/>
      </c>
      <c r="AQ2386" s="86" t="str">
        <f>+IF($AG2386=AQ$22,MONTH($D2386),"")</f>
        <v/>
      </c>
      <c r="AR2386" s="86" t="str">
        <f>+IF($AG2386=AR$22,MONTH($D2386),"")</f>
        <v/>
      </c>
      <c r="AS2386" s="86" t="str">
        <f>+IF($AG2386=AS$22,MONTH($D2386),"")</f>
        <v/>
      </c>
      <c r="AT2386" s="86">
        <f>+IF($AG2386=AT$22,MONTH($D2386),"")</f>
        <v>12</v>
      </c>
      <c r="AU2386" s="86" t="str">
        <f>+IF($AG2386=AU$22,MONTH($D2386),"")</f>
        <v/>
      </c>
      <c r="AV2386" s="86" t="str">
        <f>+IF($AG2386=AV$22,MONTH($D2386),"")</f>
        <v/>
      </c>
      <c r="AW2386" s="86" t="str">
        <f>+IF($AG2386=AW$22,MONTH($D2386),"")</f>
        <v/>
      </c>
      <c r="AX2386" s="86" t="str">
        <f>+IF($AG2386=AX$22,MONTH($D2386),"")</f>
        <v/>
      </c>
      <c r="AY2386" s="89"/>
      <c r="AZ2386" s="89"/>
      <c r="BA2386" s="89"/>
      <c r="BB2386" s="89"/>
      <c r="BC2386" s="89"/>
      <c r="BD2386" s="89"/>
      <c r="BE2386" s="89"/>
      <c r="BF2386" s="89"/>
      <c r="BG2386" s="89"/>
      <c r="BH2386" s="89"/>
      <c r="BI2386" s="89"/>
      <c r="BJ2386" s="89"/>
      <c r="BK2386" s="89"/>
      <c r="BL2386" s="89"/>
      <c r="BM2386" s="89"/>
      <c r="BN2386" s="89"/>
      <c r="BO2386" s="89"/>
      <c r="BP2386" s="89"/>
    </row>
    <row r="2387" spans="1:68" s="56" customFormat="1" ht="27" hidden="1">
      <c r="A2387" s="204">
        <f>+IFERROR(VALUE(MID(AB2387,4,4)),"")</f>
        <v>87</v>
      </c>
      <c r="B2387" s="204">
        <f>VALUE(RIGHT(C2387,LEN(C2387)-2))</f>
        <v>338</v>
      </c>
      <c r="C2387" s="74" t="s">
        <v>8121</v>
      </c>
      <c r="D2387" s="75">
        <v>41991</v>
      </c>
      <c r="E2387" s="70" t="s">
        <v>332</v>
      </c>
      <c r="F2387" s="70" t="s">
        <v>332</v>
      </c>
      <c r="G2387" s="68" t="s">
        <v>8122</v>
      </c>
      <c r="H2387" s="59"/>
      <c r="I2387" s="162" t="s">
        <v>8123</v>
      </c>
      <c r="J2387" s="162"/>
      <c r="K2387" s="68" t="s">
        <v>13</v>
      </c>
      <c r="L2387" s="69" t="s">
        <v>120</v>
      </c>
      <c r="M2387" s="71" t="s">
        <v>141</v>
      </c>
      <c r="N2387" s="69" t="e" vm="1">
        <v>#VALUE!</v>
      </c>
      <c r="O2387" s="164"/>
      <c r="P2387" s="72" t="s">
        <v>666</v>
      </c>
      <c r="Q2387" s="72"/>
      <c r="R2387" s="162"/>
      <c r="S2387" s="146" t="s">
        <v>8124</v>
      </c>
      <c r="T2387" s="68" t="s">
        <v>3</v>
      </c>
      <c r="U2387" s="87"/>
      <c r="V2387" s="183">
        <v>42030</v>
      </c>
      <c r="W2387" s="73">
        <v>314</v>
      </c>
      <c r="X2387" s="73">
        <f>490*24600/1000000</f>
        <v>12.054</v>
      </c>
      <c r="Y2387" s="83">
        <f>IF(SUM(W2387:W2387)&gt;0,X2387/SUM(W2387:W2387)*1000000,"N/A")</f>
        <v>38388.535031847139</v>
      </c>
      <c r="Z2387" s="183"/>
      <c r="AA2387" s="183"/>
      <c r="AB2387" s="223" t="s">
        <v>7997</v>
      </c>
      <c r="AC2387" s="153"/>
      <c r="AD2387" s="331"/>
      <c r="AE2387" s="57"/>
      <c r="AF2387" s="88"/>
      <c r="AG2387" s="182">
        <f>YEAR(D2387)</f>
        <v>2014</v>
      </c>
      <c r="AH2387" s="86" t="str">
        <f>+IF(AE2387=$AJ$22,MONTH(T2387),"")</f>
        <v/>
      </c>
      <c r="AI2387" s="86" t="str">
        <f>+IF(AF2387=$AJ$22,MONTH(U2387),"")</f>
        <v/>
      </c>
      <c r="AJ2387" s="86" t="str">
        <f>+IF(AG2387=$AJ$22,MONTH(V2387),"")</f>
        <v/>
      </c>
      <c r="AK2387" s="86" t="str">
        <f>+IF(AG2387=$AK$22,MONTH(V2387),"")</f>
        <v/>
      </c>
      <c r="AL2387" s="86" t="str">
        <f>+IF(AG2387=$AL$22,MONTH(V2387),"")</f>
        <v/>
      </c>
      <c r="AM2387" s="86" t="str">
        <f>+IF($AG2387=$AM$22,MONTH($D2387),"")</f>
        <v/>
      </c>
      <c r="AN2387" s="89" t="str">
        <f>+IF($AG2387=AN$22,MONTH($D2387),"")</f>
        <v/>
      </c>
      <c r="AO2387" s="86" t="str">
        <f>+IF($AG2387=AO$22,MONTH($D2387),"")</f>
        <v/>
      </c>
      <c r="AP2387" s="86" t="str">
        <f>+IF($AG2387=AP$22,MONTH($D2387),"")</f>
        <v/>
      </c>
      <c r="AQ2387" s="86" t="str">
        <f>+IF($AG2387=AQ$22,MONTH($D2387),"")</f>
        <v/>
      </c>
      <c r="AR2387" s="86" t="str">
        <f>+IF($AG2387=AR$22,MONTH($D2387),"")</f>
        <v/>
      </c>
      <c r="AS2387" s="86" t="str">
        <f>+IF($AG2387=AS$22,MONTH($D2387),"")</f>
        <v/>
      </c>
      <c r="AT2387" s="86">
        <f>+IF($AG2387=AT$22,MONTH($D2387),"")</f>
        <v>12</v>
      </c>
      <c r="AU2387" s="86" t="str">
        <f>+IF($AG2387=AU$22,MONTH($D2387),"")</f>
        <v/>
      </c>
      <c r="AV2387" s="86" t="str">
        <f>+IF($AG2387=AV$22,MONTH($D2387),"")</f>
        <v/>
      </c>
      <c r="AW2387" s="86" t="str">
        <f>+IF($AG2387=AW$22,MONTH($D2387),"")</f>
        <v/>
      </c>
      <c r="AX2387" s="86" t="str">
        <f>+IF($AG2387=AX$22,MONTH($D2387),"")</f>
        <v/>
      </c>
      <c r="AY2387" s="89"/>
      <c r="AZ2387" s="89"/>
      <c r="BA2387" s="89"/>
      <c r="BB2387" s="89"/>
      <c r="BC2387" s="89"/>
      <c r="BD2387" s="89"/>
      <c r="BE2387" s="89"/>
      <c r="BF2387" s="89"/>
      <c r="BG2387" s="89"/>
      <c r="BH2387" s="89"/>
      <c r="BI2387" s="89"/>
      <c r="BJ2387" s="89"/>
      <c r="BK2387" s="89"/>
      <c r="BL2387" s="89"/>
      <c r="BM2387" s="89"/>
      <c r="BN2387" s="89"/>
      <c r="BO2387" s="89"/>
      <c r="BP2387" s="89"/>
    </row>
    <row r="2388" spans="1:68" s="56" customFormat="1" ht="27" hidden="1">
      <c r="A2388" s="204" t="str">
        <f>+IFERROR(VALUE(MID(AB2388,4,4)),"")</f>
        <v/>
      </c>
      <c r="B2388" s="204">
        <f>VALUE(RIGHT(C2388,LEN(C2388)-2))</f>
        <v>337</v>
      </c>
      <c r="C2388" s="74" t="s">
        <v>8125</v>
      </c>
      <c r="D2388" s="75">
        <v>41988</v>
      </c>
      <c r="E2388" s="70" t="s">
        <v>346</v>
      </c>
      <c r="F2388" s="70" t="s">
        <v>346</v>
      </c>
      <c r="G2388" s="68" t="s">
        <v>7922</v>
      </c>
      <c r="H2388" s="59"/>
      <c r="I2388" s="162" t="s">
        <v>8126</v>
      </c>
      <c r="J2388" s="162"/>
      <c r="K2388" s="68" t="s">
        <v>12</v>
      </c>
      <c r="L2388" s="69" t="s">
        <v>120</v>
      </c>
      <c r="M2388" s="71" t="s">
        <v>141</v>
      </c>
      <c r="N2388" s="69" t="e" vm="1">
        <v>#VALUE!</v>
      </c>
      <c r="O2388" s="164"/>
      <c r="P2388" s="72" t="s">
        <v>402</v>
      </c>
      <c r="Q2388" s="72"/>
      <c r="R2388" s="162"/>
      <c r="S2388" s="146"/>
      <c r="T2388" s="68" t="s">
        <v>165</v>
      </c>
      <c r="U2388" s="87"/>
      <c r="V2388" s="183">
        <v>41993</v>
      </c>
      <c r="W2388" s="73">
        <v>597</v>
      </c>
      <c r="X2388" s="73">
        <f>998*24600/1000000</f>
        <v>24.550799999999999</v>
      </c>
      <c r="Y2388" s="83">
        <f>IF(SUM(W2388:W2388)&gt;0,X2388/SUM(W2388:W2388)*1000000,"N/A")</f>
        <v>41123.618090452255</v>
      </c>
      <c r="Z2388" s="183"/>
      <c r="AA2388" s="183"/>
      <c r="AB2388" s="223"/>
      <c r="AC2388" s="153"/>
      <c r="AD2388" s="331"/>
      <c r="AE2388" s="57"/>
      <c r="AF2388" s="88" t="s">
        <v>8127</v>
      </c>
      <c r="AG2388" s="182">
        <f>YEAR(D2388)</f>
        <v>2014</v>
      </c>
      <c r="AH2388" s="86" t="str">
        <f>+IF(AE2388=$AJ$22,MONTH(T2388),"")</f>
        <v/>
      </c>
      <c r="AI2388" s="86" t="str">
        <f>+IF(AF2388=$AJ$22,MONTH(U2388),"")</f>
        <v/>
      </c>
      <c r="AJ2388" s="86" t="str">
        <f>+IF(AG2388=$AJ$22,MONTH(V2388),"")</f>
        <v/>
      </c>
      <c r="AK2388" s="86" t="str">
        <f>+IF(AG2388=$AK$22,MONTH(V2388),"")</f>
        <v/>
      </c>
      <c r="AL2388" s="86" t="str">
        <f>+IF(AG2388=$AL$22,MONTH(V2388),"")</f>
        <v/>
      </c>
      <c r="AM2388" s="86" t="str">
        <f>+IF($AG2388=$AM$22,MONTH($D2388),"")</f>
        <v/>
      </c>
      <c r="AN2388" s="89" t="str">
        <f>+IF($AG2388=AN$22,MONTH($D2388),"")</f>
        <v/>
      </c>
      <c r="AO2388" s="86" t="str">
        <f>+IF($AG2388=AO$22,MONTH($D2388),"")</f>
        <v/>
      </c>
      <c r="AP2388" s="86" t="str">
        <f>+IF($AG2388=AP$22,MONTH($D2388),"")</f>
        <v/>
      </c>
      <c r="AQ2388" s="86" t="str">
        <f>+IF($AG2388=AQ$22,MONTH($D2388),"")</f>
        <v/>
      </c>
      <c r="AR2388" s="86" t="str">
        <f>+IF($AG2388=AR$22,MONTH($D2388),"")</f>
        <v/>
      </c>
      <c r="AS2388" s="86" t="str">
        <f>+IF($AG2388=AS$22,MONTH($D2388),"")</f>
        <v/>
      </c>
      <c r="AT2388" s="86">
        <f>+IF($AG2388=AT$22,MONTH($D2388),"")</f>
        <v>12</v>
      </c>
      <c r="AU2388" s="86" t="str">
        <f>+IF($AG2388=AU$22,MONTH($D2388),"")</f>
        <v/>
      </c>
      <c r="AV2388" s="86" t="str">
        <f>+IF($AG2388=AV$22,MONTH($D2388),"")</f>
        <v/>
      </c>
      <c r="AW2388" s="86" t="str">
        <f>+IF($AG2388=AW$22,MONTH($D2388),"")</f>
        <v/>
      </c>
      <c r="AX2388" s="86" t="str">
        <f>+IF($AG2388=AX$22,MONTH($D2388),"")</f>
        <v/>
      </c>
      <c r="AY2388" s="89"/>
      <c r="AZ2388" s="89"/>
      <c r="BA2388" s="89"/>
      <c r="BB2388" s="89"/>
      <c r="BC2388" s="89"/>
      <c r="BD2388" s="89"/>
      <c r="BE2388" s="89"/>
      <c r="BF2388" s="89"/>
      <c r="BG2388" s="89"/>
      <c r="BH2388" s="89"/>
      <c r="BI2388" s="89"/>
      <c r="BJ2388" s="89"/>
      <c r="BK2388" s="89"/>
      <c r="BL2388" s="89"/>
      <c r="BM2388" s="89"/>
      <c r="BN2388" s="89"/>
      <c r="BO2388" s="89"/>
      <c r="BP2388" s="89"/>
    </row>
    <row r="2389" spans="1:68" s="56" customFormat="1" ht="27" hidden="1">
      <c r="A2389" s="204" t="str">
        <f>+IFERROR(VALUE(MID(AB2389,4,4)),"")</f>
        <v/>
      </c>
      <c r="B2389" s="204">
        <f>VALUE(RIGHT(C2389,LEN(C2389)-2))</f>
        <v>336</v>
      </c>
      <c r="C2389" s="74" t="s">
        <v>8128</v>
      </c>
      <c r="D2389" s="75">
        <v>41990</v>
      </c>
      <c r="E2389" s="70" t="s">
        <v>106</v>
      </c>
      <c r="F2389" s="70" t="s">
        <v>106</v>
      </c>
      <c r="G2389" s="68" t="s">
        <v>7513</v>
      </c>
      <c r="H2389" s="59" t="s">
        <v>7514</v>
      </c>
      <c r="I2389" s="162" t="s">
        <v>8129</v>
      </c>
      <c r="J2389" s="162"/>
      <c r="K2389" s="68" t="s">
        <v>212</v>
      </c>
      <c r="L2389" s="69" t="s">
        <v>123</v>
      </c>
      <c r="M2389" s="71" t="s">
        <v>141</v>
      </c>
      <c r="N2389" s="69" t="e" vm="1">
        <v>#VALUE!</v>
      </c>
      <c r="O2389" s="164">
        <v>42011</v>
      </c>
      <c r="P2389" s="72" t="s">
        <v>7372</v>
      </c>
      <c r="Q2389" s="72"/>
      <c r="R2389" s="162"/>
      <c r="S2389" s="146" t="s">
        <v>8130</v>
      </c>
      <c r="T2389" s="68" t="s">
        <v>155</v>
      </c>
      <c r="U2389" s="87"/>
      <c r="V2389" s="183">
        <v>42019</v>
      </c>
      <c r="W2389" s="73"/>
      <c r="X2389" s="73"/>
      <c r="Y2389" s="83"/>
      <c r="Z2389" s="183"/>
      <c r="AA2389" s="183"/>
      <c r="AB2389" s="223"/>
      <c r="AC2389" s="153"/>
      <c r="AD2389" s="331"/>
      <c r="AE2389" s="57"/>
      <c r="AF2389" s="88"/>
      <c r="AG2389" s="182">
        <f>YEAR(D2389)</f>
        <v>2014</v>
      </c>
      <c r="AH2389" s="86" t="str">
        <f>+IF(AE2389=$AJ$22,MONTH(T2389),"")</f>
        <v/>
      </c>
      <c r="AI2389" s="86" t="str">
        <f>+IF(AF2389=$AJ$22,MONTH(U2389),"")</f>
        <v/>
      </c>
      <c r="AJ2389" s="86" t="str">
        <f>+IF(AG2389=$AJ$22,MONTH(V2389),"")</f>
        <v/>
      </c>
      <c r="AK2389" s="86" t="str">
        <f>+IF(AG2389=$AK$22,MONTH(V2389),"")</f>
        <v/>
      </c>
      <c r="AL2389" s="86" t="str">
        <f>+IF(AG2389=$AL$22,MONTH(V2389),"")</f>
        <v/>
      </c>
      <c r="AM2389" s="86" t="str">
        <f>+IF($AG2389=$AM$22,MONTH($D2389),"")</f>
        <v/>
      </c>
      <c r="AN2389" s="89" t="str">
        <f>+IF($AG2389=AN$22,MONTH($D2389),"")</f>
        <v/>
      </c>
      <c r="AO2389" s="86" t="str">
        <f>+IF($AG2389=AO$22,MONTH($D2389),"")</f>
        <v/>
      </c>
      <c r="AP2389" s="86" t="str">
        <f>+IF($AG2389=AP$22,MONTH($D2389),"")</f>
        <v/>
      </c>
      <c r="AQ2389" s="86" t="str">
        <f>+IF($AG2389=AQ$22,MONTH($D2389),"")</f>
        <v/>
      </c>
      <c r="AR2389" s="86" t="str">
        <f>+IF($AG2389=AR$22,MONTH($D2389),"")</f>
        <v/>
      </c>
      <c r="AS2389" s="86" t="str">
        <f>+IF($AG2389=AS$22,MONTH($D2389),"")</f>
        <v/>
      </c>
      <c r="AT2389" s="86">
        <f>+IF($AG2389=AT$22,MONTH($D2389),"")</f>
        <v>12</v>
      </c>
      <c r="AU2389" s="86" t="str">
        <f>+IF($AG2389=AU$22,MONTH($D2389),"")</f>
        <v/>
      </c>
      <c r="AV2389" s="86" t="str">
        <f>+IF($AG2389=AV$22,MONTH($D2389),"")</f>
        <v/>
      </c>
      <c r="AW2389" s="86" t="str">
        <f>+IF($AG2389=AW$22,MONTH($D2389),"")</f>
        <v/>
      </c>
      <c r="AX2389" s="86" t="str">
        <f>+IF($AG2389=AX$22,MONTH($D2389),"")</f>
        <v/>
      </c>
      <c r="AY2389" s="89"/>
      <c r="AZ2389" s="89"/>
      <c r="BA2389" s="89"/>
      <c r="BB2389" s="89"/>
      <c r="BC2389" s="89"/>
      <c r="BD2389" s="89"/>
      <c r="BE2389" s="89"/>
      <c r="BF2389" s="89"/>
      <c r="BG2389" s="89"/>
      <c r="BH2389" s="89"/>
      <c r="BI2389" s="89"/>
      <c r="BJ2389" s="89"/>
      <c r="BK2389" s="89"/>
      <c r="BL2389" s="89"/>
      <c r="BM2389" s="89"/>
      <c r="BN2389" s="89"/>
      <c r="BO2389" s="89"/>
      <c r="BP2389" s="89"/>
    </row>
    <row r="2390" spans="1:68" s="56" customFormat="1" ht="13.5" hidden="1">
      <c r="A2390" s="204" t="str">
        <f>+IFERROR(VALUE(MID(AB2390,4,4)),"")</f>
        <v/>
      </c>
      <c r="B2390" s="204">
        <f>VALUE(RIGHT(C2390,LEN(C2390)-2))</f>
        <v>335</v>
      </c>
      <c r="C2390" s="74" t="s">
        <v>8131</v>
      </c>
      <c r="D2390" s="75">
        <v>41993</v>
      </c>
      <c r="E2390" s="70" t="s">
        <v>277</v>
      </c>
      <c r="F2390" s="70" t="s">
        <v>277</v>
      </c>
      <c r="G2390" s="68" t="s">
        <v>8132</v>
      </c>
      <c r="H2390" s="59"/>
      <c r="I2390" s="162" t="s">
        <v>8133</v>
      </c>
      <c r="J2390" s="162"/>
      <c r="K2390" s="68" t="s">
        <v>4903</v>
      </c>
      <c r="L2390" s="69" t="s">
        <v>120</v>
      </c>
      <c r="M2390" s="71" t="s">
        <v>141</v>
      </c>
      <c r="N2390" s="69" t="e" vm="1">
        <v>#VALUE!</v>
      </c>
      <c r="O2390" s="164"/>
      <c r="P2390" s="72" t="s">
        <v>7465</v>
      </c>
      <c r="Q2390" s="72"/>
      <c r="R2390" s="162"/>
      <c r="S2390" s="146"/>
      <c r="T2390" s="68" t="s">
        <v>165</v>
      </c>
      <c r="U2390" s="87"/>
      <c r="V2390" s="183">
        <v>41993</v>
      </c>
      <c r="W2390" s="73">
        <v>1675</v>
      </c>
      <c r="X2390" s="73">
        <f>2636*24600/1000000</f>
        <v>64.845600000000005</v>
      </c>
      <c r="Y2390" s="73">
        <f>IF(SUM(W2390:W2390)&gt;0,X2390/SUM(W2390:W2390)*1000000,"N/A")</f>
        <v>38713.791044776124</v>
      </c>
      <c r="Z2390" s="183"/>
      <c r="AA2390" s="183"/>
      <c r="AB2390" s="223"/>
      <c r="AC2390" s="153"/>
      <c r="AD2390" s="331"/>
      <c r="AE2390" s="57"/>
      <c r="AF2390" s="88"/>
      <c r="AG2390" s="182">
        <f>YEAR(D2390)</f>
        <v>2014</v>
      </c>
      <c r="AH2390" s="86" t="str">
        <f>+IF(AE2390=$AJ$22,MONTH(T2390),"")</f>
        <v/>
      </c>
      <c r="AI2390" s="86" t="str">
        <f>+IF(AF2390=$AJ$22,MONTH(U2390),"")</f>
        <v/>
      </c>
      <c r="AJ2390" s="86" t="str">
        <f>+IF(AG2390=$AJ$22,MONTH(V2390),"")</f>
        <v/>
      </c>
      <c r="AK2390" s="86" t="str">
        <f>+IF(AG2390=$AK$22,MONTH(V2390),"")</f>
        <v/>
      </c>
      <c r="AL2390" s="86" t="str">
        <f>+IF(AG2390=$AL$22,MONTH(V2390),"")</f>
        <v/>
      </c>
      <c r="AM2390" s="86" t="str">
        <f>+IF($AG2390=$AM$22,MONTH($D2390),"")</f>
        <v/>
      </c>
      <c r="AN2390" s="89" t="str">
        <f>+IF($AG2390=AN$22,MONTH($D2390),"")</f>
        <v/>
      </c>
      <c r="AO2390" s="86" t="str">
        <f>+IF($AG2390=AO$22,MONTH($D2390),"")</f>
        <v/>
      </c>
      <c r="AP2390" s="86" t="str">
        <f>+IF($AG2390=AP$22,MONTH($D2390),"")</f>
        <v/>
      </c>
      <c r="AQ2390" s="86" t="str">
        <f>+IF($AG2390=AQ$22,MONTH($D2390),"")</f>
        <v/>
      </c>
      <c r="AR2390" s="86" t="str">
        <f>+IF($AG2390=AR$22,MONTH($D2390),"")</f>
        <v/>
      </c>
      <c r="AS2390" s="86" t="str">
        <f>+IF($AG2390=AS$22,MONTH($D2390),"")</f>
        <v/>
      </c>
      <c r="AT2390" s="86">
        <f>+IF($AG2390=AT$22,MONTH($D2390),"")</f>
        <v>12</v>
      </c>
      <c r="AU2390" s="86" t="str">
        <f>+IF($AG2390=AU$22,MONTH($D2390),"")</f>
        <v/>
      </c>
      <c r="AV2390" s="86" t="str">
        <f>+IF($AG2390=AV$22,MONTH($D2390),"")</f>
        <v/>
      </c>
      <c r="AW2390" s="86" t="str">
        <f>+IF($AG2390=AW$22,MONTH($D2390),"")</f>
        <v/>
      </c>
      <c r="AX2390" s="86" t="str">
        <f>+IF($AG2390=AX$22,MONTH($D2390),"")</f>
        <v/>
      </c>
      <c r="AY2390" s="89"/>
      <c r="AZ2390" s="89"/>
      <c r="BA2390" s="89"/>
      <c r="BB2390" s="89"/>
      <c r="BC2390" s="89"/>
      <c r="BD2390" s="89"/>
      <c r="BE2390" s="89"/>
      <c r="BF2390" s="89"/>
      <c r="BG2390" s="89"/>
      <c r="BH2390" s="89"/>
      <c r="BI2390" s="89"/>
      <c r="BJ2390" s="89"/>
      <c r="BK2390" s="89"/>
      <c r="BL2390" s="89"/>
      <c r="BM2390" s="89"/>
      <c r="BN2390" s="89"/>
      <c r="BO2390" s="89"/>
      <c r="BP2390" s="89"/>
    </row>
    <row r="2391" spans="1:68" s="56" customFormat="1" ht="27" hidden="1">
      <c r="A2391" s="204" t="str">
        <f>+IFERROR(VALUE(MID(AB2391,4,4)),"")</f>
        <v/>
      </c>
      <c r="B2391" s="204">
        <f>VALUE(RIGHT(C2391,LEN(C2391)-2))</f>
        <v>334</v>
      </c>
      <c r="C2391" s="74" t="s">
        <v>8134</v>
      </c>
      <c r="D2391" s="75">
        <v>41995</v>
      </c>
      <c r="E2391" s="70" t="s">
        <v>7883</v>
      </c>
      <c r="F2391" s="70" t="s">
        <v>8135</v>
      </c>
      <c r="G2391" s="68" t="s">
        <v>8101</v>
      </c>
      <c r="H2391" s="59" t="s">
        <v>8102</v>
      </c>
      <c r="I2391" s="162" t="s">
        <v>8136</v>
      </c>
      <c r="J2391" s="162"/>
      <c r="K2391" s="68" t="s">
        <v>90</v>
      </c>
      <c r="L2391" s="69" t="s">
        <v>120</v>
      </c>
      <c r="M2391" s="71" t="s">
        <v>113</v>
      </c>
      <c r="N2391" s="69" t="s">
        <v>8137</v>
      </c>
      <c r="O2391" s="164"/>
      <c r="P2391" s="72" t="s">
        <v>4567</v>
      </c>
      <c r="Q2391" s="72"/>
      <c r="R2391" s="162"/>
      <c r="S2391" s="146"/>
      <c r="T2391" s="68" t="s">
        <v>165</v>
      </c>
      <c r="U2391" s="87"/>
      <c r="V2391" s="183">
        <v>42023</v>
      </c>
      <c r="W2391" s="73">
        <v>60</v>
      </c>
      <c r="X2391" s="73">
        <f>12200*617/1000000</f>
        <v>7.5274000000000001</v>
      </c>
      <c r="Y2391" s="83">
        <f>IF(SUM(W2391:W2391)&gt;0,X2391/SUM(W2391:W2391)*1000000,"N/A")</f>
        <v>125456.66666666666</v>
      </c>
      <c r="Z2391" s="183"/>
      <c r="AA2391" s="183"/>
      <c r="AB2391" s="223"/>
      <c r="AC2391" s="153"/>
      <c r="AD2391" s="331"/>
      <c r="AE2391" s="57"/>
      <c r="AF2391" s="88"/>
      <c r="AG2391" s="182">
        <f>YEAR(D2391)</f>
        <v>2014</v>
      </c>
      <c r="AH2391" s="86" t="str">
        <f>+IF(AE2391=$AJ$22,MONTH(T2391),"")</f>
        <v/>
      </c>
      <c r="AI2391" s="86" t="str">
        <f>+IF(AF2391=$AJ$22,MONTH(U2391),"")</f>
        <v/>
      </c>
      <c r="AJ2391" s="86" t="str">
        <f>+IF(AG2391=$AJ$22,MONTH(V2391),"")</f>
        <v/>
      </c>
      <c r="AK2391" s="86" t="str">
        <f>+IF(AG2391=$AK$22,MONTH(V2391),"")</f>
        <v/>
      </c>
      <c r="AL2391" s="86" t="str">
        <f>+IF(AG2391=$AL$22,MONTH(V2391),"")</f>
        <v/>
      </c>
      <c r="AM2391" s="86" t="str">
        <f>+IF($AG2391=$AM$22,MONTH($D2391),"")</f>
        <v/>
      </c>
      <c r="AN2391" s="89" t="str">
        <f>+IF($AG2391=AN$22,MONTH($D2391),"")</f>
        <v/>
      </c>
      <c r="AO2391" s="86" t="str">
        <f>+IF($AG2391=AO$22,MONTH($D2391),"")</f>
        <v/>
      </c>
      <c r="AP2391" s="86" t="str">
        <f>+IF($AG2391=AP$22,MONTH($D2391),"")</f>
        <v/>
      </c>
      <c r="AQ2391" s="86" t="str">
        <f>+IF($AG2391=AQ$22,MONTH($D2391),"")</f>
        <v/>
      </c>
      <c r="AR2391" s="86" t="str">
        <f>+IF($AG2391=AR$22,MONTH($D2391),"")</f>
        <v/>
      </c>
      <c r="AS2391" s="86" t="str">
        <f>+IF($AG2391=AS$22,MONTH($D2391),"")</f>
        <v/>
      </c>
      <c r="AT2391" s="86">
        <f>+IF($AG2391=AT$22,MONTH($D2391),"")</f>
        <v>12</v>
      </c>
      <c r="AU2391" s="86" t="str">
        <f>+IF($AG2391=AU$22,MONTH($D2391),"")</f>
        <v/>
      </c>
      <c r="AV2391" s="86" t="str">
        <f>+IF($AG2391=AV$22,MONTH($D2391),"")</f>
        <v/>
      </c>
      <c r="AW2391" s="86" t="str">
        <f>+IF($AG2391=AW$22,MONTH($D2391),"")</f>
        <v/>
      </c>
      <c r="AX2391" s="86" t="str">
        <f>+IF($AG2391=AX$22,MONTH($D2391),"")</f>
        <v/>
      </c>
      <c r="AY2391" s="89"/>
      <c r="AZ2391" s="89"/>
      <c r="BA2391" s="89"/>
      <c r="BB2391" s="89"/>
      <c r="BC2391" s="89"/>
      <c r="BD2391" s="89"/>
      <c r="BE2391" s="89"/>
      <c r="BF2391" s="89"/>
      <c r="BG2391" s="89"/>
      <c r="BH2391" s="89"/>
      <c r="BI2391" s="89"/>
      <c r="BJ2391" s="89"/>
      <c r="BK2391" s="89"/>
      <c r="BL2391" s="89"/>
      <c r="BM2391" s="89"/>
      <c r="BN2391" s="89"/>
      <c r="BO2391" s="89"/>
      <c r="BP2391" s="89"/>
    </row>
    <row r="2392" spans="1:68" s="56" customFormat="1" ht="13.5" hidden="1">
      <c r="A2392" s="204">
        <f>+IFERROR(VALUE(MID(AB2392,4,4)),"")</f>
        <v>87</v>
      </c>
      <c r="B2392" s="204">
        <f>VALUE(RIGHT(C2392,LEN(C2392)-2))</f>
        <v>333</v>
      </c>
      <c r="C2392" s="74" t="s">
        <v>8138</v>
      </c>
      <c r="D2392" s="75">
        <v>42011</v>
      </c>
      <c r="E2392" s="70" t="s">
        <v>332</v>
      </c>
      <c r="F2392" s="70" t="s">
        <v>332</v>
      </c>
      <c r="G2392" s="68" t="s">
        <v>7970</v>
      </c>
      <c r="H2392" s="59" t="s">
        <v>7971</v>
      </c>
      <c r="I2392" s="162" t="s">
        <v>8139</v>
      </c>
      <c r="J2392" s="162"/>
      <c r="K2392" s="68" t="s">
        <v>13</v>
      </c>
      <c r="L2392" s="69" t="s">
        <v>120</v>
      </c>
      <c r="M2392" s="71" t="s">
        <v>141</v>
      </c>
      <c r="N2392" s="69" t="e" vm="1">
        <v>#VALUE!</v>
      </c>
      <c r="O2392" s="164">
        <v>42011</v>
      </c>
      <c r="P2392" s="72" t="s">
        <v>402</v>
      </c>
      <c r="Q2392" s="72"/>
      <c r="R2392" s="162"/>
      <c r="S2392" s="146" t="s">
        <v>8140</v>
      </c>
      <c r="T2392" s="68" t="s">
        <v>3</v>
      </c>
      <c r="U2392" s="87"/>
      <c r="V2392" s="183">
        <v>42030</v>
      </c>
      <c r="W2392" s="73">
        <v>5799</v>
      </c>
      <c r="X2392" s="73">
        <f>8560*24600/1000000</f>
        <v>210.57599999999999</v>
      </c>
      <c r="Y2392" s="83">
        <f>IF(SUM(W2392:W2392)&gt;0,X2392/SUM(W2392:W2392)*1000000,"N/A")</f>
        <v>36312.467666839104</v>
      </c>
      <c r="Z2392" s="183"/>
      <c r="AA2392" s="183"/>
      <c r="AB2392" s="223" t="s">
        <v>7997</v>
      </c>
      <c r="AC2392" s="153"/>
      <c r="AD2392" s="331"/>
      <c r="AE2392" s="57"/>
      <c r="AF2392" s="88"/>
      <c r="AG2392" s="182">
        <f>YEAR(D2392)</f>
        <v>2015</v>
      </c>
      <c r="AH2392" s="86" t="str">
        <f>+IF(AE2392=$AJ$22,MONTH(T2392),"")</f>
        <v/>
      </c>
      <c r="AI2392" s="86" t="str">
        <f>+IF(AF2392=$AJ$22,MONTH(U2392),"")</f>
        <v/>
      </c>
      <c r="AJ2392" s="86" t="str">
        <f>+IF(AG2392=$AJ$22,MONTH(V2392),"")</f>
        <v/>
      </c>
      <c r="AK2392" s="86" t="str">
        <f>+IF(AG2392=$AK$22,MONTH(V2392),"")</f>
        <v/>
      </c>
      <c r="AL2392" s="86" t="str">
        <f>+IF(AG2392=$AL$22,MONTH(V2392),"")</f>
        <v/>
      </c>
      <c r="AM2392" s="86" t="str">
        <f>+IF($AG2392=$AM$22,MONTH($D2392),"")</f>
        <v/>
      </c>
      <c r="AN2392" s="89" t="str">
        <f>+IF($AG2392=AN$22,MONTH($D2392),"")</f>
        <v/>
      </c>
      <c r="AO2392" s="86" t="str">
        <f>+IF($AG2392=AO$22,MONTH($D2392),"")</f>
        <v/>
      </c>
      <c r="AP2392" s="86" t="str">
        <f>+IF($AG2392=AP$22,MONTH($D2392),"")</f>
        <v/>
      </c>
      <c r="AQ2392" s="86" t="str">
        <f>+IF($AG2392=AQ$22,MONTH($D2392),"")</f>
        <v/>
      </c>
      <c r="AR2392" s="86" t="str">
        <f>+IF($AG2392=AR$22,MONTH($D2392),"")</f>
        <v/>
      </c>
      <c r="AS2392" s="86">
        <f>+IF($AG2392=AS$22,MONTH($D2392),"")</f>
        <v>1</v>
      </c>
      <c r="AT2392" s="86" t="str">
        <f>+IF($AG2392=AT$22,MONTH($D2392),"")</f>
        <v/>
      </c>
      <c r="AU2392" s="86" t="str">
        <f>+IF($AG2392=AU$22,MONTH($D2392),"")</f>
        <v/>
      </c>
      <c r="AV2392" s="86" t="str">
        <f>+IF($AG2392=AV$22,MONTH($D2392),"")</f>
        <v/>
      </c>
      <c r="AW2392" s="86" t="str">
        <f>+IF($AG2392=AW$22,MONTH($D2392),"")</f>
        <v/>
      </c>
      <c r="AX2392" s="86" t="str">
        <f>+IF($AG2392=AX$22,MONTH($D2392),"")</f>
        <v/>
      </c>
      <c r="AY2392" s="89"/>
      <c r="AZ2392" s="89"/>
      <c r="BA2392" s="89"/>
      <c r="BB2392" s="89"/>
      <c r="BC2392" s="89"/>
      <c r="BD2392" s="89"/>
      <c r="BE2392" s="89"/>
      <c r="BF2392" s="89"/>
      <c r="BG2392" s="89"/>
      <c r="BH2392" s="89"/>
      <c r="BI2392" s="89"/>
      <c r="BJ2392" s="89"/>
      <c r="BK2392" s="89"/>
      <c r="BL2392" s="89"/>
      <c r="BM2392" s="89"/>
      <c r="BN2392" s="89"/>
      <c r="BO2392" s="89"/>
      <c r="BP2392" s="89"/>
    </row>
    <row r="2393" spans="1:68" s="56" customFormat="1" ht="13.5" hidden="1">
      <c r="A2393" s="204">
        <f>+IFERROR(VALUE(MID(AB2393,4,4)),"")</f>
        <v>87</v>
      </c>
      <c r="B2393" s="204">
        <f>VALUE(RIGHT(C2393,LEN(C2393)-2))</f>
        <v>332</v>
      </c>
      <c r="C2393" s="74" t="s">
        <v>8141</v>
      </c>
      <c r="D2393" s="75">
        <v>42011</v>
      </c>
      <c r="E2393" s="70" t="s">
        <v>332</v>
      </c>
      <c r="F2393" s="70" t="s">
        <v>332</v>
      </c>
      <c r="G2393" s="68" t="s">
        <v>1781</v>
      </c>
      <c r="H2393" s="59"/>
      <c r="I2393" s="162" t="s">
        <v>8142</v>
      </c>
      <c r="J2393" s="162"/>
      <c r="K2393" s="68" t="s">
        <v>13</v>
      </c>
      <c r="L2393" s="69" t="s">
        <v>120</v>
      </c>
      <c r="M2393" s="71" t="s">
        <v>141</v>
      </c>
      <c r="N2393" s="69" t="e" vm="1">
        <v>#VALUE!</v>
      </c>
      <c r="O2393" s="164">
        <v>42011</v>
      </c>
      <c r="P2393" s="72" t="s">
        <v>402</v>
      </c>
      <c r="Q2393" s="72"/>
      <c r="R2393" s="162"/>
      <c r="S2393" s="146" t="s">
        <v>8143</v>
      </c>
      <c r="T2393" s="68" t="s">
        <v>3</v>
      </c>
      <c r="U2393" s="87"/>
      <c r="V2393" s="183">
        <v>42030</v>
      </c>
      <c r="W2393" s="73">
        <v>531</v>
      </c>
      <c r="X2393" s="73">
        <f>24500*871/1000000</f>
        <v>21.339500000000001</v>
      </c>
      <c r="Y2393" s="83">
        <f>IF(SUM(W2393:W2393)&gt;0,X2393/SUM(W2393:W2393)*1000000,"N/A")</f>
        <v>40187.382297551791</v>
      </c>
      <c r="Z2393" s="183"/>
      <c r="AA2393" s="183"/>
      <c r="AB2393" s="223" t="s">
        <v>7997</v>
      </c>
      <c r="AC2393" s="153"/>
      <c r="AD2393" s="331"/>
      <c r="AE2393" s="57"/>
      <c r="AF2393" s="88"/>
      <c r="AG2393" s="182">
        <f>YEAR(D2393)</f>
        <v>2015</v>
      </c>
      <c r="AH2393" s="86" t="str">
        <f>+IF(AE2393=$AJ$22,MONTH(T2393),"")</f>
        <v/>
      </c>
      <c r="AI2393" s="86" t="str">
        <f>+IF(AF2393=$AJ$22,MONTH(U2393),"")</f>
        <v/>
      </c>
      <c r="AJ2393" s="86" t="str">
        <f>+IF(AG2393=$AJ$22,MONTH(V2393),"")</f>
        <v/>
      </c>
      <c r="AK2393" s="86" t="str">
        <f>+IF(AG2393=$AK$22,MONTH(V2393),"")</f>
        <v/>
      </c>
      <c r="AL2393" s="86" t="str">
        <f>+IF(AG2393=$AL$22,MONTH(V2393),"")</f>
        <v/>
      </c>
      <c r="AM2393" s="86" t="str">
        <f>+IF($AG2393=$AM$22,MONTH($D2393),"")</f>
        <v/>
      </c>
      <c r="AN2393" s="89" t="str">
        <f>+IF($AG2393=AN$22,MONTH($D2393),"")</f>
        <v/>
      </c>
      <c r="AO2393" s="86" t="str">
        <f>+IF($AG2393=AO$22,MONTH($D2393),"")</f>
        <v/>
      </c>
      <c r="AP2393" s="86" t="str">
        <f>+IF($AG2393=AP$22,MONTH($D2393),"")</f>
        <v/>
      </c>
      <c r="AQ2393" s="86" t="str">
        <f>+IF($AG2393=AQ$22,MONTH($D2393),"")</f>
        <v/>
      </c>
      <c r="AR2393" s="86" t="str">
        <f>+IF($AG2393=AR$22,MONTH($D2393),"")</f>
        <v/>
      </c>
      <c r="AS2393" s="86">
        <f>+IF($AG2393=AS$22,MONTH($D2393),"")</f>
        <v>1</v>
      </c>
      <c r="AT2393" s="86" t="str">
        <f>+IF($AG2393=AT$22,MONTH($D2393),"")</f>
        <v/>
      </c>
      <c r="AU2393" s="86" t="str">
        <f>+IF($AG2393=AU$22,MONTH($D2393),"")</f>
        <v/>
      </c>
      <c r="AV2393" s="86" t="str">
        <f>+IF($AG2393=AV$22,MONTH($D2393),"")</f>
        <v/>
      </c>
      <c r="AW2393" s="86" t="str">
        <f>+IF($AG2393=AW$22,MONTH($D2393),"")</f>
        <v/>
      </c>
      <c r="AX2393" s="86" t="str">
        <f>+IF($AG2393=AX$22,MONTH($D2393),"")</f>
        <v/>
      </c>
      <c r="AY2393" s="89"/>
      <c r="AZ2393" s="89"/>
      <c r="BA2393" s="89"/>
      <c r="BB2393" s="89"/>
      <c r="BC2393" s="89"/>
      <c r="BD2393" s="89"/>
      <c r="BE2393" s="89"/>
      <c r="BF2393" s="89"/>
      <c r="BG2393" s="89"/>
      <c r="BH2393" s="89"/>
      <c r="BI2393" s="89"/>
      <c r="BJ2393" s="89"/>
      <c r="BK2393" s="89"/>
      <c r="BL2393" s="89"/>
      <c r="BM2393" s="89"/>
      <c r="BN2393" s="89"/>
      <c r="BO2393" s="89"/>
      <c r="BP2393" s="89"/>
    </row>
    <row r="2394" spans="1:68" s="56" customFormat="1" ht="13.5" hidden="1">
      <c r="A2394" s="204">
        <f>+IFERROR(VALUE(MID(AB2394,4,4)),"")</f>
        <v>87</v>
      </c>
      <c r="B2394" s="204">
        <f>VALUE(RIGHT(C2394,LEN(C2394)-2))</f>
        <v>331</v>
      </c>
      <c r="C2394" s="74" t="s">
        <v>8144</v>
      </c>
      <c r="D2394" s="75">
        <v>41978</v>
      </c>
      <c r="E2394" s="70" t="s">
        <v>332</v>
      </c>
      <c r="F2394" s="70" t="s">
        <v>332</v>
      </c>
      <c r="G2394" s="68" t="s">
        <v>1781</v>
      </c>
      <c r="H2394" s="60"/>
      <c r="I2394" s="162" t="s">
        <v>8145</v>
      </c>
      <c r="J2394" s="162"/>
      <c r="K2394" s="68" t="s">
        <v>13</v>
      </c>
      <c r="L2394" s="69" t="s">
        <v>120</v>
      </c>
      <c r="M2394" s="71" t="s">
        <v>141</v>
      </c>
      <c r="N2394" s="69" t="e" vm="1">
        <v>#VALUE!</v>
      </c>
      <c r="O2394" s="164">
        <v>41978</v>
      </c>
      <c r="P2394" s="72" t="s">
        <v>666</v>
      </c>
      <c r="Q2394" s="72"/>
      <c r="R2394" s="162"/>
      <c r="S2394" s="146" t="s">
        <v>8146</v>
      </c>
      <c r="T2394" s="68" t="s">
        <v>3</v>
      </c>
      <c r="U2394" s="87"/>
      <c r="V2394" s="183">
        <v>42030</v>
      </c>
      <c r="W2394" s="73">
        <v>115</v>
      </c>
      <c r="X2394" s="73">
        <f>163*24600/1000000</f>
        <v>4.0098000000000003</v>
      </c>
      <c r="Y2394" s="83">
        <f>IF(SUM(W2394:W2394)&gt;0,X2394/SUM(W2394:W2394)*1000000,"N/A")</f>
        <v>34867.82608695652</v>
      </c>
      <c r="Z2394" s="183"/>
      <c r="AA2394" s="183"/>
      <c r="AB2394" s="223" t="s">
        <v>7997</v>
      </c>
      <c r="AC2394" s="153"/>
      <c r="AD2394" s="331"/>
      <c r="AE2394" s="57"/>
      <c r="AF2394" s="88"/>
      <c r="AG2394" s="182">
        <f>YEAR(D2394)</f>
        <v>2014</v>
      </c>
      <c r="AH2394" s="86" t="str">
        <f>+IF(AE2394=$AJ$22,MONTH(T2394),"")</f>
        <v/>
      </c>
      <c r="AI2394" s="86" t="str">
        <f>+IF(AF2394=$AJ$22,MONTH(U2394),"")</f>
        <v/>
      </c>
      <c r="AJ2394" s="86" t="str">
        <f>+IF(AG2394=$AJ$22,MONTH(V2394),"")</f>
        <v/>
      </c>
      <c r="AK2394" s="86" t="str">
        <f>+IF(AG2394=$AK$22,MONTH(V2394),"")</f>
        <v/>
      </c>
      <c r="AL2394" s="86" t="str">
        <f>+IF(AG2394=$AL$22,MONTH(V2394),"")</f>
        <v/>
      </c>
      <c r="AM2394" s="86" t="str">
        <f>+IF($AG2394=$AM$22,MONTH($D2394),"")</f>
        <v/>
      </c>
      <c r="AN2394" s="89" t="str">
        <f>+IF($AG2394=AN$22,MONTH($D2394),"")</f>
        <v/>
      </c>
      <c r="AO2394" s="86" t="str">
        <f>+IF($AG2394=AO$22,MONTH($D2394),"")</f>
        <v/>
      </c>
      <c r="AP2394" s="86" t="str">
        <f>+IF($AG2394=AP$22,MONTH($D2394),"")</f>
        <v/>
      </c>
      <c r="AQ2394" s="86" t="str">
        <f>+IF($AG2394=AQ$22,MONTH($D2394),"")</f>
        <v/>
      </c>
      <c r="AR2394" s="86" t="str">
        <f>+IF($AG2394=AR$22,MONTH($D2394),"")</f>
        <v/>
      </c>
      <c r="AS2394" s="86" t="str">
        <f>+IF($AG2394=AS$22,MONTH($D2394),"")</f>
        <v/>
      </c>
      <c r="AT2394" s="86">
        <f>+IF($AG2394=AT$22,MONTH($D2394),"")</f>
        <v>12</v>
      </c>
      <c r="AU2394" s="86" t="str">
        <f>+IF($AG2394=AU$22,MONTH($D2394),"")</f>
        <v/>
      </c>
      <c r="AV2394" s="86" t="str">
        <f>+IF($AG2394=AV$22,MONTH($D2394),"")</f>
        <v/>
      </c>
      <c r="AW2394" s="86" t="str">
        <f>+IF($AG2394=AW$22,MONTH($D2394),"")</f>
        <v/>
      </c>
      <c r="AX2394" s="86" t="str">
        <f>+IF($AG2394=AX$22,MONTH($D2394),"")</f>
        <v/>
      </c>
      <c r="AY2394" s="89"/>
      <c r="AZ2394" s="89"/>
      <c r="BA2394" s="89"/>
      <c r="BB2394" s="89"/>
      <c r="BC2394" s="89"/>
      <c r="BD2394" s="89"/>
      <c r="BE2394" s="89"/>
      <c r="BF2394" s="89"/>
      <c r="BG2394" s="89"/>
      <c r="BH2394" s="89"/>
      <c r="BI2394" s="89"/>
      <c r="BJ2394" s="89"/>
      <c r="BK2394" s="89"/>
      <c r="BL2394" s="89"/>
      <c r="BM2394" s="89"/>
      <c r="BN2394" s="89"/>
      <c r="BO2394" s="89"/>
      <c r="BP2394" s="89"/>
    </row>
    <row r="2395" spans="1:68" s="56" customFormat="1" ht="40.5" hidden="1">
      <c r="A2395" s="204" t="str">
        <f>+IFERROR(VALUE(MID(AB2395,4,4)),"")</f>
        <v/>
      </c>
      <c r="B2395" s="204">
        <f>VALUE(RIGHT(C2395,LEN(C2395)-2))</f>
        <v>330</v>
      </c>
      <c r="C2395" s="74" t="s">
        <v>8147</v>
      </c>
      <c r="D2395" s="75">
        <v>41985</v>
      </c>
      <c r="E2395" s="70" t="s">
        <v>1221</v>
      </c>
      <c r="F2395" s="70" t="s">
        <v>263</v>
      </c>
      <c r="G2395" s="68" t="s">
        <v>8148</v>
      </c>
      <c r="H2395" s="59"/>
      <c r="I2395" s="162" t="s">
        <v>8149</v>
      </c>
      <c r="J2395" s="162"/>
      <c r="K2395" s="68" t="s">
        <v>9</v>
      </c>
      <c r="L2395" s="69" t="s">
        <v>120</v>
      </c>
      <c r="M2395" s="71" t="s">
        <v>141</v>
      </c>
      <c r="N2395" s="69" t="e" vm="1">
        <v>#VALUE!</v>
      </c>
      <c r="O2395" s="164"/>
      <c r="P2395" s="72" t="s">
        <v>7465</v>
      </c>
      <c r="Q2395" s="72"/>
      <c r="R2395" s="162"/>
      <c r="S2395" s="146" t="s">
        <v>8150</v>
      </c>
      <c r="T2395" s="68" t="s">
        <v>155</v>
      </c>
      <c r="U2395" s="87"/>
      <c r="V2395" s="183">
        <v>41985</v>
      </c>
      <c r="W2395" s="73"/>
      <c r="X2395" s="73"/>
      <c r="Y2395" s="83"/>
      <c r="Z2395" s="183"/>
      <c r="AA2395" s="183"/>
      <c r="AB2395" s="223"/>
      <c r="AC2395" s="153"/>
      <c r="AD2395" s="331"/>
      <c r="AE2395" s="57"/>
      <c r="AF2395" s="88"/>
      <c r="AG2395" s="182">
        <f>YEAR(D2395)</f>
        <v>2014</v>
      </c>
      <c r="AH2395" s="86" t="str">
        <f>+IF(AE2395=$AJ$22,MONTH(T2395),"")</f>
        <v/>
      </c>
      <c r="AI2395" s="86" t="str">
        <f>+IF(AF2395=$AJ$22,MONTH(U2395),"")</f>
        <v/>
      </c>
      <c r="AJ2395" s="86" t="str">
        <f>+IF(AG2395=$AJ$22,MONTH(V2395),"")</f>
        <v/>
      </c>
      <c r="AK2395" s="86" t="str">
        <f>+IF(AG2395=$AK$22,MONTH(V2395),"")</f>
        <v/>
      </c>
      <c r="AL2395" s="86" t="str">
        <f>+IF(AG2395=$AL$22,MONTH(V2395),"")</f>
        <v/>
      </c>
      <c r="AM2395" s="86" t="str">
        <f>+IF($AG2395=$AM$22,MONTH($D2395),"")</f>
        <v/>
      </c>
      <c r="AN2395" s="89" t="str">
        <f>+IF($AG2395=AN$22,MONTH($D2395),"")</f>
        <v/>
      </c>
      <c r="AO2395" s="86" t="str">
        <f>+IF($AG2395=AO$22,MONTH($D2395),"")</f>
        <v/>
      </c>
      <c r="AP2395" s="86" t="str">
        <f>+IF($AG2395=AP$22,MONTH($D2395),"")</f>
        <v/>
      </c>
      <c r="AQ2395" s="86" t="str">
        <f>+IF($AG2395=AQ$22,MONTH($D2395),"")</f>
        <v/>
      </c>
      <c r="AR2395" s="86" t="str">
        <f>+IF($AG2395=AR$22,MONTH($D2395),"")</f>
        <v/>
      </c>
      <c r="AS2395" s="86" t="str">
        <f>+IF($AG2395=AS$22,MONTH($D2395),"")</f>
        <v/>
      </c>
      <c r="AT2395" s="86">
        <f>+IF($AG2395=AT$22,MONTH($D2395),"")</f>
        <v>12</v>
      </c>
      <c r="AU2395" s="86" t="str">
        <f>+IF($AG2395=AU$22,MONTH($D2395),"")</f>
        <v/>
      </c>
      <c r="AV2395" s="86" t="str">
        <f>+IF($AG2395=AV$22,MONTH($D2395),"")</f>
        <v/>
      </c>
      <c r="AW2395" s="86" t="str">
        <f>+IF($AG2395=AW$22,MONTH($D2395),"")</f>
        <v/>
      </c>
      <c r="AX2395" s="86" t="str">
        <f>+IF($AG2395=AX$22,MONTH($D2395),"")</f>
        <v/>
      </c>
      <c r="AY2395" s="89"/>
      <c r="AZ2395" s="89"/>
      <c r="BA2395" s="89"/>
      <c r="BB2395" s="89"/>
      <c r="BC2395" s="89"/>
      <c r="BD2395" s="89"/>
      <c r="BE2395" s="89"/>
      <c r="BF2395" s="89"/>
      <c r="BG2395" s="89"/>
      <c r="BH2395" s="89"/>
      <c r="BI2395" s="89"/>
      <c r="BJ2395" s="89"/>
      <c r="BK2395" s="89"/>
      <c r="BL2395" s="89"/>
      <c r="BM2395" s="89"/>
      <c r="BN2395" s="89"/>
      <c r="BO2395" s="89"/>
      <c r="BP2395" s="89"/>
    </row>
    <row r="2396" spans="1:68" s="56" customFormat="1" ht="13.5" hidden="1">
      <c r="A2396" s="204">
        <f>+IFERROR(VALUE(MID(AB2396,4,4)),"")</f>
        <v>110</v>
      </c>
      <c r="B2396" s="204">
        <f>VALUE(RIGHT(C2396,LEN(C2396)-2))</f>
        <v>329</v>
      </c>
      <c r="C2396" s="74" t="s">
        <v>8151</v>
      </c>
      <c r="D2396" s="75">
        <v>41975</v>
      </c>
      <c r="E2396" s="70" t="s">
        <v>49</v>
      </c>
      <c r="F2396" s="70" t="s">
        <v>8152</v>
      </c>
      <c r="G2396" s="68" t="s">
        <v>7597</v>
      </c>
      <c r="H2396" s="59"/>
      <c r="I2396" s="162" t="s">
        <v>8153</v>
      </c>
      <c r="J2396" s="162"/>
      <c r="K2396" s="68" t="s">
        <v>28</v>
      </c>
      <c r="L2396" s="69" t="s">
        <v>120</v>
      </c>
      <c r="M2396" s="71" t="s">
        <v>141</v>
      </c>
      <c r="N2396" s="69" t="e" vm="1">
        <v>#VALUE!</v>
      </c>
      <c r="O2396" s="164">
        <v>41975</v>
      </c>
      <c r="P2396" s="72" t="s">
        <v>7465</v>
      </c>
      <c r="Q2396" s="72"/>
      <c r="R2396" s="162"/>
      <c r="S2396" s="146"/>
      <c r="T2396" s="68" t="s">
        <v>3</v>
      </c>
      <c r="U2396" s="87"/>
      <c r="V2396" s="183">
        <v>41976</v>
      </c>
      <c r="W2396" s="73">
        <v>40</v>
      </c>
      <c r="X2396" s="73">
        <f>80*24500/1000000</f>
        <v>1.96</v>
      </c>
      <c r="Y2396" s="83">
        <f>IF(SUM(W2396:W2396)&gt;0,X2396/SUM(W2396:W2396)*1000000,"N/A")</f>
        <v>49000</v>
      </c>
      <c r="Z2396" s="183"/>
      <c r="AA2396" s="183"/>
      <c r="AB2396" s="223" t="s">
        <v>8154</v>
      </c>
      <c r="AC2396" s="153"/>
      <c r="AD2396" s="331"/>
      <c r="AE2396" s="57"/>
      <c r="AF2396" s="88" t="s">
        <v>8155</v>
      </c>
      <c r="AG2396" s="182">
        <f>YEAR(D2396)</f>
        <v>2014</v>
      </c>
      <c r="AH2396" s="86" t="str">
        <f>+IF(AE2396=$AJ$22,MONTH(T2396),"")</f>
        <v/>
      </c>
      <c r="AI2396" s="86" t="str">
        <f>+IF(AF2396=$AJ$22,MONTH(U2396),"")</f>
        <v/>
      </c>
      <c r="AJ2396" s="86" t="str">
        <f>+IF(AG2396=$AJ$22,MONTH(V2396),"")</f>
        <v/>
      </c>
      <c r="AK2396" s="86" t="str">
        <f>+IF(AG2396=$AK$22,MONTH(V2396),"")</f>
        <v/>
      </c>
      <c r="AL2396" s="86" t="str">
        <f>+IF(AG2396=$AL$22,MONTH(V2396),"")</f>
        <v/>
      </c>
      <c r="AM2396" s="86" t="str">
        <f>+IF($AG2396=$AM$22,MONTH($D2396),"")</f>
        <v/>
      </c>
      <c r="AN2396" s="89" t="str">
        <f>+IF($AG2396=AN$22,MONTH($D2396),"")</f>
        <v/>
      </c>
      <c r="AO2396" s="86" t="str">
        <f>+IF($AG2396=AO$22,MONTH($D2396),"")</f>
        <v/>
      </c>
      <c r="AP2396" s="86" t="str">
        <f>+IF($AG2396=AP$22,MONTH($D2396),"")</f>
        <v/>
      </c>
      <c r="AQ2396" s="86" t="str">
        <f>+IF($AG2396=AQ$22,MONTH($D2396),"")</f>
        <v/>
      </c>
      <c r="AR2396" s="86" t="str">
        <f>+IF($AG2396=AR$22,MONTH($D2396),"")</f>
        <v/>
      </c>
      <c r="AS2396" s="86" t="str">
        <f>+IF($AG2396=AS$22,MONTH($D2396),"")</f>
        <v/>
      </c>
      <c r="AT2396" s="86">
        <f>+IF($AG2396=AT$22,MONTH($D2396),"")</f>
        <v>12</v>
      </c>
      <c r="AU2396" s="86" t="str">
        <f>+IF($AG2396=AU$22,MONTH($D2396),"")</f>
        <v/>
      </c>
      <c r="AV2396" s="86" t="str">
        <f>+IF($AG2396=AV$22,MONTH($D2396),"")</f>
        <v/>
      </c>
      <c r="AW2396" s="86" t="str">
        <f>+IF($AG2396=AW$22,MONTH($D2396),"")</f>
        <v/>
      </c>
      <c r="AX2396" s="86" t="str">
        <f>+IF($AG2396=AX$22,MONTH($D2396),"")</f>
        <v/>
      </c>
      <c r="AY2396" s="89"/>
      <c r="AZ2396" s="89"/>
      <c r="BA2396" s="89"/>
      <c r="BB2396" s="89"/>
      <c r="BC2396" s="89"/>
      <c r="BD2396" s="89"/>
      <c r="BE2396" s="89"/>
      <c r="BF2396" s="89"/>
      <c r="BG2396" s="89"/>
      <c r="BH2396" s="89"/>
      <c r="BI2396" s="89"/>
      <c r="BJ2396" s="89"/>
      <c r="BK2396" s="89"/>
      <c r="BL2396" s="89"/>
      <c r="BM2396" s="89"/>
      <c r="BN2396" s="89"/>
      <c r="BO2396" s="89"/>
      <c r="BP2396" s="89"/>
    </row>
    <row r="2397" spans="1:68" s="56" customFormat="1" ht="13.5" hidden="1">
      <c r="A2397" s="204" t="str">
        <f>+IFERROR(VALUE(MID(AB2397,4,4)),"")</f>
        <v/>
      </c>
      <c r="B2397" s="204">
        <f>VALUE(RIGHT(C2397,LEN(C2397)-2))</f>
        <v>328</v>
      </c>
      <c r="C2397" s="74" t="s">
        <v>8156</v>
      </c>
      <c r="D2397" s="75">
        <v>41976</v>
      </c>
      <c r="E2397" s="70" t="s">
        <v>685</v>
      </c>
      <c r="F2397" s="70" t="s">
        <v>685</v>
      </c>
      <c r="G2397" s="68" t="s">
        <v>7933</v>
      </c>
      <c r="H2397" s="59" t="s">
        <v>8157</v>
      </c>
      <c r="I2397" s="162" t="s">
        <v>8158</v>
      </c>
      <c r="J2397" s="162"/>
      <c r="K2397" s="68" t="s">
        <v>4903</v>
      </c>
      <c r="L2397" s="69" t="s">
        <v>120</v>
      </c>
      <c r="M2397" s="71" t="s">
        <v>141</v>
      </c>
      <c r="N2397" s="69" t="e" vm="1">
        <v>#VALUE!</v>
      </c>
      <c r="O2397" s="164"/>
      <c r="P2397" s="72" t="s">
        <v>7465</v>
      </c>
      <c r="Q2397" s="72"/>
      <c r="R2397" s="162"/>
      <c r="S2397" s="146"/>
      <c r="T2397" s="68" t="s">
        <v>165</v>
      </c>
      <c r="U2397" s="87"/>
      <c r="V2397" s="183">
        <v>41976</v>
      </c>
      <c r="W2397" s="73">
        <v>766</v>
      </c>
      <c r="X2397" s="83">
        <f>1326*24500/1000000</f>
        <v>32.487000000000002</v>
      </c>
      <c r="Y2397" s="83">
        <f>IF(SUM(W2397:W2397)&gt;0,X2397/SUM(W2397:W2397)*1000000,"N/A")</f>
        <v>42411.227154047003</v>
      </c>
      <c r="Z2397" s="183"/>
      <c r="AA2397" s="183"/>
      <c r="AB2397" s="223"/>
      <c r="AC2397" s="153"/>
      <c r="AD2397" s="331"/>
      <c r="AE2397" s="57"/>
      <c r="AF2397" s="88"/>
      <c r="AG2397" s="182">
        <f>YEAR(D2397)</f>
        <v>2014</v>
      </c>
      <c r="AH2397" s="86" t="str">
        <f>+IF(AE2397=$AJ$22,MONTH(T2397),"")</f>
        <v/>
      </c>
      <c r="AI2397" s="86" t="str">
        <f>+IF(AF2397=$AJ$22,MONTH(U2397),"")</f>
        <v/>
      </c>
      <c r="AJ2397" s="86" t="str">
        <f>+IF(AG2397=$AJ$22,MONTH(V2397),"")</f>
        <v/>
      </c>
      <c r="AK2397" s="86" t="str">
        <f>+IF(AG2397=$AK$22,MONTH(V2397),"")</f>
        <v/>
      </c>
      <c r="AL2397" s="86" t="str">
        <f>+IF(AG2397=$AL$22,MONTH(V2397),"")</f>
        <v/>
      </c>
      <c r="AM2397" s="86" t="str">
        <f>+IF($AG2397=$AM$22,MONTH($D2397),"")</f>
        <v/>
      </c>
      <c r="AN2397" s="89" t="str">
        <f>+IF($AG2397=AN$22,MONTH($D2397),"")</f>
        <v/>
      </c>
      <c r="AO2397" s="86" t="str">
        <f>+IF($AG2397=AO$22,MONTH($D2397),"")</f>
        <v/>
      </c>
      <c r="AP2397" s="86" t="str">
        <f>+IF($AG2397=AP$22,MONTH($D2397),"")</f>
        <v/>
      </c>
      <c r="AQ2397" s="86" t="str">
        <f>+IF($AG2397=AQ$22,MONTH($D2397),"")</f>
        <v/>
      </c>
      <c r="AR2397" s="86" t="str">
        <f>+IF($AG2397=AR$22,MONTH($D2397),"")</f>
        <v/>
      </c>
      <c r="AS2397" s="86" t="str">
        <f>+IF($AG2397=AS$22,MONTH($D2397),"")</f>
        <v/>
      </c>
      <c r="AT2397" s="86">
        <f>+IF($AG2397=AT$22,MONTH($D2397),"")</f>
        <v>12</v>
      </c>
      <c r="AU2397" s="86" t="str">
        <f>+IF($AG2397=AU$22,MONTH($D2397),"")</f>
        <v/>
      </c>
      <c r="AV2397" s="86" t="str">
        <f>+IF($AG2397=AV$22,MONTH($D2397),"")</f>
        <v/>
      </c>
      <c r="AW2397" s="86" t="str">
        <f>+IF($AG2397=AW$22,MONTH($D2397),"")</f>
        <v/>
      </c>
      <c r="AX2397" s="86" t="str">
        <f>+IF($AG2397=AX$22,MONTH($D2397),"")</f>
        <v/>
      </c>
      <c r="AY2397" s="89"/>
      <c r="AZ2397" s="89"/>
      <c r="BA2397" s="89"/>
      <c r="BB2397" s="89"/>
      <c r="BC2397" s="89"/>
      <c r="BD2397" s="89"/>
      <c r="BE2397" s="89"/>
      <c r="BF2397" s="89"/>
      <c r="BG2397" s="89"/>
      <c r="BH2397" s="89"/>
      <c r="BI2397" s="89"/>
      <c r="BJ2397" s="89"/>
      <c r="BK2397" s="89"/>
      <c r="BL2397" s="89"/>
      <c r="BM2397" s="89"/>
      <c r="BN2397" s="89"/>
      <c r="BO2397" s="89"/>
      <c r="BP2397" s="89"/>
    </row>
    <row r="2398" spans="1:68" s="56" customFormat="1" ht="13.5" hidden="1">
      <c r="A2398" s="204" t="str">
        <f>+IFERROR(VALUE(MID(AB2398,4,4)),"")</f>
        <v/>
      </c>
      <c r="B2398" s="204">
        <f>VALUE(RIGHT(C2398,LEN(C2398)-2))</f>
        <v>327</v>
      </c>
      <c r="C2398" s="74" t="s">
        <v>8159</v>
      </c>
      <c r="D2398" s="75">
        <v>41974</v>
      </c>
      <c r="E2398" s="70" t="s">
        <v>685</v>
      </c>
      <c r="F2398" s="70" t="s">
        <v>685</v>
      </c>
      <c r="G2398" s="68" t="s">
        <v>7933</v>
      </c>
      <c r="H2398" s="59" t="s">
        <v>8157</v>
      </c>
      <c r="I2398" s="162" t="s">
        <v>8160</v>
      </c>
      <c r="J2398" s="162"/>
      <c r="K2398" s="68" t="s">
        <v>12</v>
      </c>
      <c r="L2398" s="69" t="s">
        <v>120</v>
      </c>
      <c r="M2398" s="71" t="s">
        <v>141</v>
      </c>
      <c r="N2398" s="69" t="e" vm="1">
        <v>#VALUE!</v>
      </c>
      <c r="O2398" s="164"/>
      <c r="P2398" s="72" t="s">
        <v>7465</v>
      </c>
      <c r="Q2398" s="72"/>
      <c r="R2398" s="162"/>
      <c r="S2398" s="146"/>
      <c r="T2398" s="68" t="s">
        <v>165</v>
      </c>
      <c r="U2398" s="87"/>
      <c r="V2398" s="183">
        <v>41976</v>
      </c>
      <c r="W2398" s="73">
        <v>707</v>
      </c>
      <c r="X2398" s="73">
        <f>1241*24500/1000000</f>
        <v>30.404499999999999</v>
      </c>
      <c r="Y2398" s="73">
        <f>IF(SUM(W2398:W2398)&gt;0,X2398/SUM(W2398:W2398)*1000000,"N/A")</f>
        <v>43004.950495049503</v>
      </c>
      <c r="Z2398" s="183"/>
      <c r="AA2398" s="183"/>
      <c r="AB2398" s="223"/>
      <c r="AC2398" s="153"/>
      <c r="AD2398" s="331"/>
      <c r="AE2398" s="57"/>
      <c r="AF2398" s="88"/>
      <c r="AG2398" s="182">
        <f>YEAR(D2398)</f>
        <v>2014</v>
      </c>
      <c r="AH2398" s="86" t="str">
        <f>+IF(AE2398=$AJ$22,MONTH(T2398),"")</f>
        <v/>
      </c>
      <c r="AI2398" s="86" t="str">
        <f>+IF(AF2398=$AJ$22,MONTH(U2398),"")</f>
        <v/>
      </c>
      <c r="AJ2398" s="86" t="str">
        <f>+IF(AG2398=$AJ$22,MONTH(V2398),"")</f>
        <v/>
      </c>
      <c r="AK2398" s="86" t="str">
        <f>+IF(AG2398=$AK$22,MONTH(V2398),"")</f>
        <v/>
      </c>
      <c r="AL2398" s="86" t="str">
        <f>+IF(AG2398=$AL$22,MONTH(V2398),"")</f>
        <v/>
      </c>
      <c r="AM2398" s="86" t="str">
        <f>+IF($AG2398=$AM$22,MONTH($D2398),"")</f>
        <v/>
      </c>
      <c r="AN2398" s="89" t="str">
        <f>+IF($AG2398=AN$22,MONTH($D2398),"")</f>
        <v/>
      </c>
      <c r="AO2398" s="86" t="str">
        <f>+IF($AG2398=AO$22,MONTH($D2398),"")</f>
        <v/>
      </c>
      <c r="AP2398" s="86" t="str">
        <f>+IF($AG2398=AP$22,MONTH($D2398),"")</f>
        <v/>
      </c>
      <c r="AQ2398" s="86" t="str">
        <f>+IF($AG2398=AQ$22,MONTH($D2398),"")</f>
        <v/>
      </c>
      <c r="AR2398" s="86" t="str">
        <f>+IF($AG2398=AR$22,MONTH($D2398),"")</f>
        <v/>
      </c>
      <c r="AS2398" s="86" t="str">
        <f>+IF($AG2398=AS$22,MONTH($D2398),"")</f>
        <v/>
      </c>
      <c r="AT2398" s="86">
        <f>+IF($AG2398=AT$22,MONTH($D2398),"")</f>
        <v>12</v>
      </c>
      <c r="AU2398" s="86" t="str">
        <f>+IF($AG2398=AU$22,MONTH($D2398),"")</f>
        <v/>
      </c>
      <c r="AV2398" s="86" t="str">
        <f>+IF($AG2398=AV$22,MONTH($D2398),"")</f>
        <v/>
      </c>
      <c r="AW2398" s="86" t="str">
        <f>+IF($AG2398=AW$22,MONTH($D2398),"")</f>
        <v/>
      </c>
      <c r="AX2398" s="86" t="str">
        <f>+IF($AG2398=AX$22,MONTH($D2398),"")</f>
        <v/>
      </c>
      <c r="AY2398" s="89"/>
      <c r="AZ2398" s="89"/>
      <c r="BA2398" s="89"/>
      <c r="BB2398" s="89"/>
      <c r="BC2398" s="89"/>
      <c r="BD2398" s="89"/>
      <c r="BE2398" s="89"/>
      <c r="BF2398" s="89"/>
      <c r="BG2398" s="89"/>
      <c r="BH2398" s="89"/>
      <c r="BI2398" s="89"/>
      <c r="BJ2398" s="89"/>
      <c r="BK2398" s="89"/>
      <c r="BL2398" s="89"/>
      <c r="BM2398" s="89"/>
      <c r="BN2398" s="89"/>
      <c r="BO2398" s="89"/>
      <c r="BP2398" s="89"/>
    </row>
    <row r="2399" spans="1:68" s="56" customFormat="1" ht="53.25" hidden="1">
      <c r="A2399" s="204" t="str">
        <f>+IFERROR(VALUE(MID(AB2399,4,4)),"")</f>
        <v/>
      </c>
      <c r="B2399" s="204">
        <f>VALUE(RIGHT(C2399,LEN(C2399)-2))</f>
        <v>326</v>
      </c>
      <c r="C2399" s="74" t="s">
        <v>8161</v>
      </c>
      <c r="D2399" s="75">
        <v>41974</v>
      </c>
      <c r="E2399" s="70" t="s">
        <v>2349</v>
      </c>
      <c r="F2399" s="70" t="s">
        <v>66</v>
      </c>
      <c r="G2399" s="68" t="s">
        <v>7668</v>
      </c>
      <c r="H2399" s="59" t="s">
        <v>8162</v>
      </c>
      <c r="I2399" s="162" t="s">
        <v>8163</v>
      </c>
      <c r="J2399" s="162"/>
      <c r="K2399" s="68" t="s">
        <v>48</v>
      </c>
      <c r="L2399" s="69" t="s">
        <v>120</v>
      </c>
      <c r="M2399" s="71" t="s">
        <v>141</v>
      </c>
      <c r="N2399" s="69" t="e" vm="1">
        <v>#VALUE!</v>
      </c>
      <c r="O2399" s="164"/>
      <c r="P2399" s="72" t="s">
        <v>402</v>
      </c>
      <c r="Q2399" s="72"/>
      <c r="R2399" s="162"/>
      <c r="S2399" s="146"/>
      <c r="T2399" s="68" t="s">
        <v>165</v>
      </c>
      <c r="U2399" s="87"/>
      <c r="V2399" s="183">
        <v>41976</v>
      </c>
      <c r="W2399" s="73">
        <v>260</v>
      </c>
      <c r="X2399" s="73">
        <f>486*24500/1000000</f>
        <v>11.907</v>
      </c>
      <c r="Y2399" s="83">
        <f>IF(SUM(W2399:W2399)&gt;0,X2399/SUM(W2399:W2399)*1000000,"N/A")</f>
        <v>45796.153846153844</v>
      </c>
      <c r="Z2399" s="183"/>
      <c r="AA2399" s="183"/>
      <c r="AB2399" s="223"/>
      <c r="AC2399" s="153"/>
      <c r="AD2399" s="331"/>
      <c r="AE2399" s="57"/>
      <c r="AF2399" s="88" t="s">
        <v>8164</v>
      </c>
      <c r="AG2399" s="182">
        <f>YEAR(D2399)</f>
        <v>2014</v>
      </c>
      <c r="AH2399" s="86" t="str">
        <f>+IF(AE2399=$AJ$22,MONTH(T2399),"")</f>
        <v/>
      </c>
      <c r="AI2399" s="86" t="str">
        <f>+IF(AF2399=$AJ$22,MONTH(U2399),"")</f>
        <v/>
      </c>
      <c r="AJ2399" s="86" t="str">
        <f>+IF(AG2399=$AJ$22,MONTH(V2399),"")</f>
        <v/>
      </c>
      <c r="AK2399" s="86" t="str">
        <f>+IF(AG2399=$AK$22,MONTH(V2399),"")</f>
        <v/>
      </c>
      <c r="AL2399" s="86" t="str">
        <f>+IF(AG2399=$AL$22,MONTH(V2399),"")</f>
        <v/>
      </c>
      <c r="AM2399" s="86" t="str">
        <f>+IF($AG2399=$AM$22,MONTH($D2399),"")</f>
        <v/>
      </c>
      <c r="AN2399" s="89" t="str">
        <f>+IF($AG2399=AN$22,MONTH($D2399),"")</f>
        <v/>
      </c>
      <c r="AO2399" s="86" t="str">
        <f>+IF($AG2399=AO$22,MONTH($D2399),"")</f>
        <v/>
      </c>
      <c r="AP2399" s="86" t="str">
        <f>+IF($AG2399=AP$22,MONTH($D2399),"")</f>
        <v/>
      </c>
      <c r="AQ2399" s="86" t="str">
        <f>+IF($AG2399=AQ$22,MONTH($D2399),"")</f>
        <v/>
      </c>
      <c r="AR2399" s="86" t="str">
        <f>+IF($AG2399=AR$22,MONTH($D2399),"")</f>
        <v/>
      </c>
      <c r="AS2399" s="86" t="str">
        <f>+IF($AG2399=AS$22,MONTH($D2399),"")</f>
        <v/>
      </c>
      <c r="AT2399" s="86">
        <f>+IF($AG2399=AT$22,MONTH($D2399),"")</f>
        <v>12</v>
      </c>
      <c r="AU2399" s="86" t="str">
        <f>+IF($AG2399=AU$22,MONTH($D2399),"")</f>
        <v/>
      </c>
      <c r="AV2399" s="86" t="str">
        <f>+IF($AG2399=AV$22,MONTH($D2399),"")</f>
        <v/>
      </c>
      <c r="AW2399" s="86" t="str">
        <f>+IF($AG2399=AW$22,MONTH($D2399),"")</f>
        <v/>
      </c>
      <c r="AX2399" s="86" t="str">
        <f>+IF($AG2399=AX$22,MONTH($D2399),"")</f>
        <v/>
      </c>
      <c r="AY2399" s="89"/>
      <c r="AZ2399" s="89"/>
      <c r="BA2399" s="89"/>
      <c r="BB2399" s="89"/>
      <c r="BC2399" s="89"/>
      <c r="BD2399" s="89"/>
      <c r="BE2399" s="89"/>
      <c r="BF2399" s="89"/>
      <c r="BG2399" s="89"/>
      <c r="BH2399" s="89"/>
      <c r="BI2399" s="89"/>
      <c r="BJ2399" s="89"/>
      <c r="BK2399" s="89"/>
      <c r="BL2399" s="89"/>
      <c r="BM2399" s="89"/>
      <c r="BN2399" s="89"/>
      <c r="BO2399" s="89"/>
      <c r="BP2399" s="89"/>
    </row>
    <row r="2400" spans="1:68" s="56" customFormat="1" ht="27" hidden="1">
      <c r="A2400" s="204" t="str">
        <f>+IFERROR(VALUE(MID(AB2400,4,4)),"")</f>
        <v/>
      </c>
      <c r="B2400" s="204">
        <f>VALUE(RIGHT(C2400,LEN(C2400)-2))</f>
        <v>325</v>
      </c>
      <c r="C2400" s="74" t="s">
        <v>8165</v>
      </c>
      <c r="D2400" s="75">
        <v>41976</v>
      </c>
      <c r="E2400" s="70" t="s">
        <v>685</v>
      </c>
      <c r="F2400" s="82" t="s">
        <v>685</v>
      </c>
      <c r="G2400" s="68" t="s">
        <v>7933</v>
      </c>
      <c r="H2400" s="60" t="s">
        <v>8157</v>
      </c>
      <c r="I2400" s="162" t="s">
        <v>8166</v>
      </c>
      <c r="J2400" s="162"/>
      <c r="K2400" s="68" t="s">
        <v>13</v>
      </c>
      <c r="L2400" s="69" t="s">
        <v>120</v>
      </c>
      <c r="M2400" s="71" t="s">
        <v>141</v>
      </c>
      <c r="N2400" s="69" t="e" vm="1">
        <v>#VALUE!</v>
      </c>
      <c r="O2400" s="164"/>
      <c r="P2400" s="72" t="s">
        <v>7465</v>
      </c>
      <c r="Q2400" s="72"/>
      <c r="R2400" s="162"/>
      <c r="S2400" s="146"/>
      <c r="T2400" s="68" t="s">
        <v>165</v>
      </c>
      <c r="U2400" s="87"/>
      <c r="V2400" s="183">
        <v>41976</v>
      </c>
      <c r="W2400" s="73">
        <v>987</v>
      </c>
      <c r="X2400" s="83">
        <f>1672*24500/1000000</f>
        <v>40.963999999999999</v>
      </c>
      <c r="Y2400" s="83">
        <f>IF(SUM(W2400:W2400)&gt;0,X2400/SUM(W2400:W2400)*1000000,"N/A")</f>
        <v>41503.546099290783</v>
      </c>
      <c r="Z2400" s="183"/>
      <c r="AA2400" s="183"/>
      <c r="AB2400" s="223"/>
      <c r="AC2400" s="229"/>
      <c r="AD2400" s="331"/>
      <c r="AE2400" s="57"/>
      <c r="AF2400" s="88" t="s">
        <v>8167</v>
      </c>
      <c r="AG2400" s="182">
        <f>YEAR(D2400)</f>
        <v>2014</v>
      </c>
      <c r="AH2400" s="86" t="str">
        <f>+IF(AE2400=$AJ$22,MONTH(T2400),"")</f>
        <v/>
      </c>
      <c r="AI2400" s="86" t="str">
        <f>+IF(AF2400=$AJ$22,MONTH(U2400),"")</f>
        <v/>
      </c>
      <c r="AJ2400" s="86" t="str">
        <f>+IF(AG2400=$AJ$22,MONTH(V2400),"")</f>
        <v/>
      </c>
      <c r="AK2400" s="86" t="str">
        <f>+IF(AG2400=$AK$22,MONTH(V2400),"")</f>
        <v/>
      </c>
      <c r="AL2400" s="86" t="str">
        <f>+IF(AG2400=$AL$22,MONTH(V2400),"")</f>
        <v/>
      </c>
      <c r="AM2400" s="86" t="str">
        <f>+IF($AG2400=$AM$22,MONTH($D2400),"")</f>
        <v/>
      </c>
      <c r="AN2400" s="89" t="str">
        <f>+IF($AG2400=AN$22,MONTH($D2400),"")</f>
        <v/>
      </c>
      <c r="AO2400" s="86" t="str">
        <f>+IF($AG2400=AO$22,MONTH($D2400),"")</f>
        <v/>
      </c>
      <c r="AP2400" s="86" t="str">
        <f>+IF($AG2400=AP$22,MONTH($D2400),"")</f>
        <v/>
      </c>
      <c r="AQ2400" s="86" t="str">
        <f>+IF($AG2400=AQ$22,MONTH($D2400),"")</f>
        <v/>
      </c>
      <c r="AR2400" s="86" t="str">
        <f>+IF($AG2400=AR$22,MONTH($D2400),"")</f>
        <v/>
      </c>
      <c r="AS2400" s="86" t="str">
        <f>+IF($AG2400=AS$22,MONTH($D2400),"")</f>
        <v/>
      </c>
      <c r="AT2400" s="86">
        <f>+IF($AG2400=AT$22,MONTH($D2400),"")</f>
        <v>12</v>
      </c>
      <c r="AU2400" s="86" t="str">
        <f>+IF($AG2400=AU$22,MONTH($D2400),"")</f>
        <v/>
      </c>
      <c r="AV2400" s="86" t="str">
        <f>+IF($AG2400=AV$22,MONTH($D2400),"")</f>
        <v/>
      </c>
      <c r="AW2400" s="86" t="str">
        <f>+IF($AG2400=AW$22,MONTH($D2400),"")</f>
        <v/>
      </c>
      <c r="AX2400" s="86" t="str">
        <f>+IF($AG2400=AX$22,MONTH($D2400),"")</f>
        <v/>
      </c>
      <c r="AY2400" s="89"/>
      <c r="AZ2400" s="89"/>
      <c r="BA2400" s="89"/>
      <c r="BB2400" s="89"/>
      <c r="BC2400" s="89"/>
      <c r="BD2400" s="89"/>
      <c r="BE2400" s="89"/>
      <c r="BF2400" s="89"/>
      <c r="BG2400" s="89"/>
      <c r="BH2400" s="89"/>
      <c r="BI2400" s="89"/>
      <c r="BJ2400" s="89"/>
      <c r="BK2400" s="89"/>
      <c r="BL2400" s="89"/>
      <c r="BM2400" s="89"/>
      <c r="BN2400" s="89"/>
      <c r="BO2400" s="89"/>
      <c r="BP2400" s="89"/>
    </row>
    <row r="2401" spans="1:68" s="56" customFormat="1" ht="13.5" hidden="1">
      <c r="A2401" s="204">
        <f>+IFERROR(VALUE(MID(AB2401,4,4)),"")</f>
        <v>87</v>
      </c>
      <c r="B2401" s="204">
        <f>VALUE(RIGHT(C2401,LEN(C2401)-2))</f>
        <v>324</v>
      </c>
      <c r="C2401" s="74" t="s">
        <v>8168</v>
      </c>
      <c r="D2401" s="75">
        <v>41962</v>
      </c>
      <c r="E2401" s="70" t="s">
        <v>332</v>
      </c>
      <c r="F2401" s="70" t="s">
        <v>332</v>
      </c>
      <c r="G2401" s="68" t="s">
        <v>7970</v>
      </c>
      <c r="H2401" s="59" t="s">
        <v>7971</v>
      </c>
      <c r="I2401" s="162" t="s">
        <v>8169</v>
      </c>
      <c r="J2401" s="162"/>
      <c r="K2401" s="68" t="s">
        <v>13</v>
      </c>
      <c r="L2401" s="69" t="s">
        <v>120</v>
      </c>
      <c r="M2401" s="71" t="s">
        <v>141</v>
      </c>
      <c r="N2401" s="69" t="e" vm="1">
        <v>#VALUE!</v>
      </c>
      <c r="O2401" s="164">
        <v>41962</v>
      </c>
      <c r="P2401" s="72"/>
      <c r="Q2401" s="72"/>
      <c r="R2401" s="162"/>
      <c r="S2401" s="146" t="s">
        <v>8170</v>
      </c>
      <c r="T2401" s="68" t="s">
        <v>3</v>
      </c>
      <c r="U2401" s="87"/>
      <c r="V2401" s="183">
        <v>42030</v>
      </c>
      <c r="W2401" s="73">
        <v>28</v>
      </c>
      <c r="X2401" s="73">
        <f>66.6*24500/1000000</f>
        <v>1.6316999999999997</v>
      </c>
      <c r="Y2401" s="73">
        <f>IF(SUM(W2401:W2401)&gt;0,X2401/SUM(W2401:W2401)*1000000,"N/A")</f>
        <v>58274.999999999985</v>
      </c>
      <c r="Z2401" s="183"/>
      <c r="AA2401" s="183"/>
      <c r="AB2401" s="223" t="s">
        <v>7997</v>
      </c>
      <c r="AC2401" s="153"/>
      <c r="AD2401" s="331"/>
      <c r="AE2401" s="57"/>
      <c r="AF2401" s="88"/>
      <c r="AG2401" s="182">
        <f>YEAR(D2401)</f>
        <v>2014</v>
      </c>
      <c r="AH2401" s="86" t="str">
        <f>+IF(AE2401=$AJ$22,MONTH(T2401),"")</f>
        <v/>
      </c>
      <c r="AI2401" s="86" t="str">
        <f>+IF(AF2401=$AJ$22,MONTH(U2401),"")</f>
        <v/>
      </c>
      <c r="AJ2401" s="86" t="str">
        <f>+IF(AG2401=$AJ$22,MONTH(V2401),"")</f>
        <v/>
      </c>
      <c r="AK2401" s="86" t="str">
        <f>+IF(AG2401=$AK$22,MONTH(V2401),"")</f>
        <v/>
      </c>
      <c r="AL2401" s="86" t="str">
        <f>+IF(AG2401=$AL$22,MONTH(V2401),"")</f>
        <v/>
      </c>
      <c r="AM2401" s="86" t="str">
        <f>+IF($AG2401=$AM$22,MONTH($D2401),"")</f>
        <v/>
      </c>
      <c r="AN2401" s="89" t="str">
        <f>+IF($AG2401=AN$22,MONTH($D2401),"")</f>
        <v/>
      </c>
      <c r="AO2401" s="86" t="str">
        <f>+IF($AG2401=AO$22,MONTH($D2401),"")</f>
        <v/>
      </c>
      <c r="AP2401" s="86" t="str">
        <f>+IF($AG2401=AP$22,MONTH($D2401),"")</f>
        <v/>
      </c>
      <c r="AQ2401" s="86" t="str">
        <f>+IF($AG2401=AQ$22,MONTH($D2401),"")</f>
        <v/>
      </c>
      <c r="AR2401" s="86" t="str">
        <f>+IF($AG2401=AR$22,MONTH($D2401),"")</f>
        <v/>
      </c>
      <c r="AS2401" s="86" t="str">
        <f>+IF($AG2401=AS$22,MONTH($D2401),"")</f>
        <v/>
      </c>
      <c r="AT2401" s="86">
        <f>+IF($AG2401=AT$22,MONTH($D2401),"")</f>
        <v>11</v>
      </c>
      <c r="AU2401" s="86" t="str">
        <f>+IF($AG2401=AU$22,MONTH($D2401),"")</f>
        <v/>
      </c>
      <c r="AV2401" s="86" t="str">
        <f>+IF($AG2401=AV$22,MONTH($D2401),"")</f>
        <v/>
      </c>
      <c r="AW2401" s="86" t="str">
        <f>+IF($AG2401=AW$22,MONTH($D2401),"")</f>
        <v/>
      </c>
      <c r="AX2401" s="86" t="str">
        <f>+IF($AG2401=AX$22,MONTH($D2401),"")</f>
        <v/>
      </c>
      <c r="AY2401" s="89"/>
      <c r="AZ2401" s="89"/>
      <c r="BA2401" s="89"/>
      <c r="BB2401" s="89"/>
      <c r="BC2401" s="89"/>
      <c r="BD2401" s="89"/>
      <c r="BE2401" s="89"/>
      <c r="BF2401" s="89"/>
      <c r="BG2401" s="89"/>
      <c r="BH2401" s="89"/>
      <c r="BI2401" s="89"/>
      <c r="BJ2401" s="89"/>
      <c r="BK2401" s="89"/>
      <c r="BL2401" s="89"/>
      <c r="BM2401" s="89"/>
      <c r="BN2401" s="89"/>
      <c r="BO2401" s="89"/>
      <c r="BP2401" s="89"/>
    </row>
    <row r="2402" spans="1:68" s="56" customFormat="1" ht="27" hidden="1">
      <c r="A2402" s="204">
        <f>+IFERROR(VALUE(MID(AB2402,4,4)),"")</f>
        <v>87</v>
      </c>
      <c r="B2402" s="204">
        <f>VALUE(RIGHT(C2402,LEN(C2402)-2))</f>
        <v>323</v>
      </c>
      <c r="C2402" s="74" t="s">
        <v>8171</v>
      </c>
      <c r="D2402" s="75">
        <v>41962</v>
      </c>
      <c r="E2402" s="70" t="s">
        <v>332</v>
      </c>
      <c r="F2402" s="70" t="s">
        <v>332</v>
      </c>
      <c r="G2402" s="68" t="s">
        <v>4175</v>
      </c>
      <c r="H2402" s="59"/>
      <c r="I2402" s="162" t="s">
        <v>8172</v>
      </c>
      <c r="J2402" s="162"/>
      <c r="K2402" s="68" t="s">
        <v>42</v>
      </c>
      <c r="L2402" s="69" t="s">
        <v>120</v>
      </c>
      <c r="M2402" s="71" t="s">
        <v>141</v>
      </c>
      <c r="N2402" s="69" t="e" vm="1">
        <v>#VALUE!</v>
      </c>
      <c r="O2402" s="164">
        <v>41962</v>
      </c>
      <c r="P2402" s="72" t="s">
        <v>666</v>
      </c>
      <c r="Q2402" s="72"/>
      <c r="R2402" s="162"/>
      <c r="S2402" s="146" t="s">
        <v>8173</v>
      </c>
      <c r="T2402" s="68" t="s">
        <v>3</v>
      </c>
      <c r="U2402" s="87"/>
      <c r="V2402" s="183">
        <v>42030</v>
      </c>
      <c r="W2402" s="73">
        <v>115</v>
      </c>
      <c r="X2402" s="73">
        <f>162.5*24500/1000000</f>
        <v>3.9812500000000002</v>
      </c>
      <c r="Y2402" s="83">
        <f>IF(SUM(W2402:W2402)&gt;0,X2402/SUM(W2402:W2402)*1000000,"N/A")</f>
        <v>34619.565217391304</v>
      </c>
      <c r="Z2402" s="183"/>
      <c r="AA2402" s="183"/>
      <c r="AB2402" s="223" t="s">
        <v>7997</v>
      </c>
      <c r="AC2402" s="153"/>
      <c r="AD2402" s="331"/>
      <c r="AE2402" s="57"/>
      <c r="AF2402" s="88"/>
      <c r="AG2402" s="182">
        <f>YEAR(D2402)</f>
        <v>2014</v>
      </c>
      <c r="AH2402" s="86" t="str">
        <f>+IF(AE2402=$AJ$22,MONTH(T2402),"")</f>
        <v/>
      </c>
      <c r="AI2402" s="86" t="str">
        <f>+IF(AF2402=$AJ$22,MONTH(U2402),"")</f>
        <v/>
      </c>
      <c r="AJ2402" s="86" t="str">
        <f>+IF(AG2402=$AJ$22,MONTH(V2402),"")</f>
        <v/>
      </c>
      <c r="AK2402" s="86" t="str">
        <f>+IF(AG2402=$AK$22,MONTH(V2402),"")</f>
        <v/>
      </c>
      <c r="AL2402" s="86" t="str">
        <f>+IF(AG2402=$AL$22,MONTH(V2402),"")</f>
        <v/>
      </c>
      <c r="AM2402" s="86" t="str">
        <f>+IF($AG2402=$AM$22,MONTH($D2402),"")</f>
        <v/>
      </c>
      <c r="AN2402" s="89" t="str">
        <f>+IF($AG2402=AN$22,MONTH($D2402),"")</f>
        <v/>
      </c>
      <c r="AO2402" s="86" t="str">
        <f>+IF($AG2402=AO$22,MONTH($D2402),"")</f>
        <v/>
      </c>
      <c r="AP2402" s="86" t="str">
        <f>+IF($AG2402=AP$22,MONTH($D2402),"")</f>
        <v/>
      </c>
      <c r="AQ2402" s="86" t="str">
        <f>+IF($AG2402=AQ$22,MONTH($D2402),"")</f>
        <v/>
      </c>
      <c r="AR2402" s="86" t="str">
        <f>+IF($AG2402=AR$22,MONTH($D2402),"")</f>
        <v/>
      </c>
      <c r="AS2402" s="86" t="str">
        <f>+IF($AG2402=AS$22,MONTH($D2402),"")</f>
        <v/>
      </c>
      <c r="AT2402" s="86">
        <f>+IF($AG2402=AT$22,MONTH($D2402),"")</f>
        <v>11</v>
      </c>
      <c r="AU2402" s="86" t="str">
        <f>+IF($AG2402=AU$22,MONTH($D2402),"")</f>
        <v/>
      </c>
      <c r="AV2402" s="86" t="str">
        <f>+IF($AG2402=AV$22,MONTH($D2402),"")</f>
        <v/>
      </c>
      <c r="AW2402" s="86" t="str">
        <f>+IF($AG2402=AW$22,MONTH($D2402),"")</f>
        <v/>
      </c>
      <c r="AX2402" s="86" t="str">
        <f>+IF($AG2402=AX$22,MONTH($D2402),"")</f>
        <v/>
      </c>
      <c r="AY2402" s="89"/>
      <c r="AZ2402" s="89"/>
      <c r="BA2402" s="89"/>
      <c r="BB2402" s="89"/>
      <c r="BC2402" s="89"/>
      <c r="BD2402" s="89"/>
      <c r="BE2402" s="89"/>
      <c r="BF2402" s="89"/>
      <c r="BG2402" s="89"/>
      <c r="BH2402" s="89"/>
      <c r="BI2402" s="89"/>
      <c r="BJ2402" s="89"/>
      <c r="BK2402" s="89"/>
      <c r="BL2402" s="89"/>
      <c r="BM2402" s="89"/>
      <c r="BN2402" s="89"/>
      <c r="BO2402" s="89"/>
      <c r="BP2402" s="89"/>
    </row>
    <row r="2403" spans="1:68" s="56" customFormat="1" ht="27" hidden="1">
      <c r="A2403" s="204" t="str">
        <f>+IFERROR(VALUE(MID(AB2403,4,4)),"")</f>
        <v/>
      </c>
      <c r="B2403" s="204">
        <f>VALUE(RIGHT(C2403,LEN(C2403)-2))</f>
        <v>322</v>
      </c>
      <c r="C2403" s="74" t="s">
        <v>8174</v>
      </c>
      <c r="D2403" s="75">
        <v>42038</v>
      </c>
      <c r="E2403" s="70" t="s">
        <v>332</v>
      </c>
      <c r="F2403" s="70" t="s">
        <v>332</v>
      </c>
      <c r="G2403" s="68" t="s">
        <v>8175</v>
      </c>
      <c r="H2403" s="59"/>
      <c r="I2403" s="162" t="s">
        <v>8176</v>
      </c>
      <c r="J2403" s="162"/>
      <c r="K2403" s="68"/>
      <c r="L2403" s="69" t="s">
        <v>120</v>
      </c>
      <c r="M2403" s="71" t="s">
        <v>141</v>
      </c>
      <c r="N2403" s="69" t="e" vm="1">
        <v>#VALUE!</v>
      </c>
      <c r="O2403" s="164"/>
      <c r="P2403" s="72"/>
      <c r="Q2403" s="72"/>
      <c r="R2403" s="162"/>
      <c r="S2403" s="146" t="s">
        <v>8045</v>
      </c>
      <c r="T2403" s="68" t="s">
        <v>3</v>
      </c>
      <c r="U2403" s="87"/>
      <c r="V2403" s="183">
        <v>42038</v>
      </c>
      <c r="W2403" s="73">
        <v>44</v>
      </c>
      <c r="X2403" s="73">
        <f>24500*198/1000000</f>
        <v>4.851</v>
      </c>
      <c r="Y2403" s="73">
        <f>IF(SUM(W2403:W2403)&gt;0,X2403/SUM(W2403:W2403)*1000000,"N/A")</f>
        <v>110250</v>
      </c>
      <c r="Z2403" s="183"/>
      <c r="AA2403" s="183"/>
      <c r="AB2403" s="223"/>
      <c r="AC2403" s="153"/>
      <c r="AD2403" s="331"/>
      <c r="AE2403" s="57"/>
      <c r="AF2403" s="88"/>
      <c r="AG2403" s="182">
        <f>YEAR(D2403)</f>
        <v>2015</v>
      </c>
      <c r="AH2403" s="86" t="str">
        <f>+IF(AE2403=$AJ$22,MONTH(T2403),"")</f>
        <v/>
      </c>
      <c r="AI2403" s="86" t="str">
        <f>+IF(AF2403=$AJ$22,MONTH(U2403),"")</f>
        <v/>
      </c>
      <c r="AJ2403" s="86" t="str">
        <f>+IF(AG2403=$AJ$22,MONTH(V2403),"")</f>
        <v/>
      </c>
      <c r="AK2403" s="86" t="str">
        <f>+IF(AG2403=$AK$22,MONTH(V2403),"")</f>
        <v/>
      </c>
      <c r="AL2403" s="86" t="str">
        <f>+IF(AG2403=$AL$22,MONTH(V2403),"")</f>
        <v/>
      </c>
      <c r="AM2403" s="86" t="str">
        <f>+IF($AG2403=$AM$22,MONTH($D2403),"")</f>
        <v/>
      </c>
      <c r="AN2403" s="89" t="str">
        <f>+IF($AG2403=AN$22,MONTH($D2403),"")</f>
        <v/>
      </c>
      <c r="AO2403" s="86" t="str">
        <f>+IF($AG2403=AO$22,MONTH($D2403),"")</f>
        <v/>
      </c>
      <c r="AP2403" s="86" t="str">
        <f>+IF($AG2403=AP$22,MONTH($D2403),"")</f>
        <v/>
      </c>
      <c r="AQ2403" s="86" t="str">
        <f>+IF($AG2403=AQ$22,MONTH($D2403),"")</f>
        <v/>
      </c>
      <c r="AR2403" s="86" t="str">
        <f>+IF($AG2403=AR$22,MONTH($D2403),"")</f>
        <v/>
      </c>
      <c r="AS2403" s="86">
        <f>+IF($AG2403=AS$22,MONTH($D2403),"")</f>
        <v>2</v>
      </c>
      <c r="AT2403" s="86" t="str">
        <f>+IF($AG2403=AT$22,MONTH($D2403),"")</f>
        <v/>
      </c>
      <c r="AU2403" s="86" t="str">
        <f>+IF($AG2403=AU$22,MONTH($D2403),"")</f>
        <v/>
      </c>
      <c r="AV2403" s="86" t="str">
        <f>+IF($AG2403=AV$22,MONTH($D2403),"")</f>
        <v/>
      </c>
      <c r="AW2403" s="86" t="str">
        <f>+IF($AG2403=AW$22,MONTH($D2403),"")</f>
        <v/>
      </c>
      <c r="AX2403" s="86" t="str">
        <f>+IF($AG2403=AX$22,MONTH($D2403),"")</f>
        <v/>
      </c>
      <c r="AY2403" s="89"/>
      <c r="AZ2403" s="89"/>
      <c r="BA2403" s="89"/>
      <c r="BB2403" s="89"/>
      <c r="BC2403" s="89"/>
      <c r="BD2403" s="89"/>
      <c r="BE2403" s="89"/>
      <c r="BF2403" s="89"/>
      <c r="BG2403" s="89"/>
      <c r="BH2403" s="89"/>
      <c r="BI2403" s="89"/>
      <c r="BJ2403" s="89"/>
      <c r="BK2403" s="89"/>
      <c r="BL2403" s="89"/>
      <c r="BM2403" s="89"/>
      <c r="BN2403" s="89"/>
      <c r="BO2403" s="89"/>
      <c r="BP2403" s="89"/>
    </row>
    <row r="2404" spans="1:68" s="56" customFormat="1" ht="27" hidden="1">
      <c r="A2404" s="204">
        <f>+IFERROR(VALUE(MID(AB2404,4,4)),"")</f>
        <v>87</v>
      </c>
      <c r="B2404" s="204">
        <f>VALUE(RIGHT(C2404,LEN(C2404)-2))</f>
        <v>321</v>
      </c>
      <c r="C2404" s="74" t="s">
        <v>8177</v>
      </c>
      <c r="D2404" s="75">
        <v>41961</v>
      </c>
      <c r="E2404" s="70" t="s">
        <v>332</v>
      </c>
      <c r="F2404" s="70" t="s">
        <v>332</v>
      </c>
      <c r="G2404" s="68" t="s">
        <v>8175</v>
      </c>
      <c r="H2404" s="59"/>
      <c r="I2404" s="162" t="s">
        <v>8178</v>
      </c>
      <c r="J2404" s="162"/>
      <c r="K2404" s="68" t="s">
        <v>42</v>
      </c>
      <c r="L2404" s="69" t="s">
        <v>120</v>
      </c>
      <c r="M2404" s="71" t="s">
        <v>141</v>
      </c>
      <c r="N2404" s="69" t="e" vm="1">
        <v>#VALUE!</v>
      </c>
      <c r="O2404" s="164">
        <v>41961</v>
      </c>
      <c r="P2404" s="72" t="s">
        <v>7372</v>
      </c>
      <c r="Q2404" s="72"/>
      <c r="R2404" s="162"/>
      <c r="S2404" s="146" t="s">
        <v>8179</v>
      </c>
      <c r="T2404" s="68" t="s">
        <v>3</v>
      </c>
      <c r="U2404" s="87"/>
      <c r="V2404" s="183">
        <v>42030</v>
      </c>
      <c r="W2404" s="73">
        <v>16</v>
      </c>
      <c r="X2404" s="73">
        <f>35*24500/1000000</f>
        <v>0.85750000000000004</v>
      </c>
      <c r="Y2404" s="73">
        <f>IF(SUM(W2404:W2404)&gt;0,X2404/SUM(W2404:W2404)*1000000,"N/A")</f>
        <v>53593.75</v>
      </c>
      <c r="Z2404" s="183"/>
      <c r="AA2404" s="183"/>
      <c r="AB2404" s="223" t="s">
        <v>7997</v>
      </c>
      <c r="AC2404" s="153"/>
      <c r="AD2404" s="331"/>
      <c r="AE2404" s="57"/>
      <c r="AF2404" s="88"/>
      <c r="AG2404" s="182">
        <f>YEAR(D2404)</f>
        <v>2014</v>
      </c>
      <c r="AH2404" s="86" t="str">
        <f>+IF(AE2404=$AJ$22,MONTH(T2404),"")</f>
        <v/>
      </c>
      <c r="AI2404" s="86" t="str">
        <f>+IF(AF2404=$AJ$22,MONTH(U2404),"")</f>
        <v/>
      </c>
      <c r="AJ2404" s="86" t="str">
        <f>+IF(AG2404=$AJ$22,MONTH(V2404),"")</f>
        <v/>
      </c>
      <c r="AK2404" s="86" t="str">
        <f>+IF(AG2404=$AK$22,MONTH(V2404),"")</f>
        <v/>
      </c>
      <c r="AL2404" s="86" t="str">
        <f>+IF(AG2404=$AL$22,MONTH(V2404),"")</f>
        <v/>
      </c>
      <c r="AM2404" s="86" t="str">
        <f>+IF($AG2404=$AM$22,MONTH($D2404),"")</f>
        <v/>
      </c>
      <c r="AN2404" s="89" t="str">
        <f>+IF($AG2404=AN$22,MONTH($D2404),"")</f>
        <v/>
      </c>
      <c r="AO2404" s="86" t="str">
        <f>+IF($AG2404=AO$22,MONTH($D2404),"")</f>
        <v/>
      </c>
      <c r="AP2404" s="86" t="str">
        <f>+IF($AG2404=AP$22,MONTH($D2404),"")</f>
        <v/>
      </c>
      <c r="AQ2404" s="86" t="str">
        <f>+IF($AG2404=AQ$22,MONTH($D2404),"")</f>
        <v/>
      </c>
      <c r="AR2404" s="86" t="str">
        <f>+IF($AG2404=AR$22,MONTH($D2404),"")</f>
        <v/>
      </c>
      <c r="AS2404" s="86" t="str">
        <f>+IF($AG2404=AS$22,MONTH($D2404),"")</f>
        <v/>
      </c>
      <c r="AT2404" s="86">
        <f>+IF($AG2404=AT$22,MONTH($D2404),"")</f>
        <v>11</v>
      </c>
      <c r="AU2404" s="86" t="str">
        <f>+IF($AG2404=AU$22,MONTH($D2404),"")</f>
        <v/>
      </c>
      <c r="AV2404" s="86" t="str">
        <f>+IF($AG2404=AV$22,MONTH($D2404),"")</f>
        <v/>
      </c>
      <c r="AW2404" s="86" t="str">
        <f>+IF($AG2404=AW$22,MONTH($D2404),"")</f>
        <v/>
      </c>
      <c r="AX2404" s="86" t="str">
        <f>+IF($AG2404=AX$22,MONTH($D2404),"")</f>
        <v/>
      </c>
      <c r="AY2404" s="89"/>
      <c r="AZ2404" s="89"/>
      <c r="BA2404" s="89"/>
      <c r="BB2404" s="89"/>
      <c r="BC2404" s="89"/>
      <c r="BD2404" s="89"/>
      <c r="BE2404" s="89"/>
      <c r="BF2404" s="89"/>
      <c r="BG2404" s="89"/>
      <c r="BH2404" s="89"/>
      <c r="BI2404" s="89"/>
      <c r="BJ2404" s="89"/>
      <c r="BK2404" s="89"/>
      <c r="BL2404" s="89"/>
      <c r="BM2404" s="89"/>
      <c r="BN2404" s="89"/>
      <c r="BO2404" s="89"/>
      <c r="BP2404" s="89"/>
    </row>
    <row r="2405" spans="1:68" s="56" customFormat="1" ht="27" hidden="1">
      <c r="A2405" s="204">
        <f>+IFERROR(VALUE(MID(AB2405,4,4)),"")</f>
        <v>87</v>
      </c>
      <c r="B2405" s="204">
        <f>VALUE(RIGHT(C2405,LEN(C2405)-2))</f>
        <v>320</v>
      </c>
      <c r="C2405" s="74" t="s">
        <v>8180</v>
      </c>
      <c r="D2405" s="75">
        <v>41961</v>
      </c>
      <c r="E2405" s="70" t="s">
        <v>332</v>
      </c>
      <c r="F2405" s="70" t="s">
        <v>332</v>
      </c>
      <c r="G2405" s="68" t="s">
        <v>8175</v>
      </c>
      <c r="H2405" s="59"/>
      <c r="I2405" s="162" t="s">
        <v>8181</v>
      </c>
      <c r="J2405" s="162"/>
      <c r="K2405" s="68" t="s">
        <v>13</v>
      </c>
      <c r="L2405" s="69" t="s">
        <v>120</v>
      </c>
      <c r="M2405" s="71" t="s">
        <v>141</v>
      </c>
      <c r="N2405" s="69" t="e" vm="1">
        <v>#VALUE!</v>
      </c>
      <c r="O2405" s="164">
        <v>41961</v>
      </c>
      <c r="P2405" s="72" t="s">
        <v>7372</v>
      </c>
      <c r="Q2405" s="72"/>
      <c r="R2405" s="162"/>
      <c r="S2405" s="146" t="s">
        <v>8182</v>
      </c>
      <c r="T2405" s="68" t="s">
        <v>3</v>
      </c>
      <c r="U2405" s="87"/>
      <c r="V2405" s="183">
        <v>42030</v>
      </c>
      <c r="W2405" s="73">
        <v>14</v>
      </c>
      <c r="X2405" s="73">
        <f>30*24500/1000000</f>
        <v>0.73499999999999999</v>
      </c>
      <c r="Y2405" s="73">
        <f>IF(SUM(W2405:W2405)&gt;0,X2405/SUM(W2405:W2405)*1000000,"N/A")</f>
        <v>52500</v>
      </c>
      <c r="Z2405" s="183"/>
      <c r="AA2405" s="183"/>
      <c r="AB2405" s="223" t="s">
        <v>7997</v>
      </c>
      <c r="AC2405" s="153"/>
      <c r="AD2405" s="331"/>
      <c r="AE2405" s="57"/>
      <c r="AF2405" s="88"/>
      <c r="AG2405" s="182">
        <f>YEAR(D2405)</f>
        <v>2014</v>
      </c>
      <c r="AH2405" s="86" t="str">
        <f>+IF(AE2405=$AJ$22,MONTH(T2405),"")</f>
        <v/>
      </c>
      <c r="AI2405" s="86" t="str">
        <f>+IF(AF2405=$AJ$22,MONTH(U2405),"")</f>
        <v/>
      </c>
      <c r="AJ2405" s="86" t="str">
        <f>+IF(AG2405=$AJ$22,MONTH(V2405),"")</f>
        <v/>
      </c>
      <c r="AK2405" s="86" t="str">
        <f>+IF(AG2405=$AK$22,MONTH(V2405),"")</f>
        <v/>
      </c>
      <c r="AL2405" s="86" t="str">
        <f>+IF(AG2405=$AL$22,MONTH(V2405),"")</f>
        <v/>
      </c>
      <c r="AM2405" s="86" t="str">
        <f>+IF($AG2405=$AM$22,MONTH($D2405),"")</f>
        <v/>
      </c>
      <c r="AN2405" s="89" t="str">
        <f>+IF($AG2405=AN$22,MONTH($D2405),"")</f>
        <v/>
      </c>
      <c r="AO2405" s="86" t="str">
        <f>+IF($AG2405=AO$22,MONTH($D2405),"")</f>
        <v/>
      </c>
      <c r="AP2405" s="86" t="str">
        <f>+IF($AG2405=AP$22,MONTH($D2405),"")</f>
        <v/>
      </c>
      <c r="AQ2405" s="86" t="str">
        <f>+IF($AG2405=AQ$22,MONTH($D2405),"")</f>
        <v/>
      </c>
      <c r="AR2405" s="86" t="str">
        <f>+IF($AG2405=AR$22,MONTH($D2405),"")</f>
        <v/>
      </c>
      <c r="AS2405" s="86" t="str">
        <f>+IF($AG2405=AS$22,MONTH($D2405),"")</f>
        <v/>
      </c>
      <c r="AT2405" s="86">
        <f>+IF($AG2405=AT$22,MONTH($D2405),"")</f>
        <v>11</v>
      </c>
      <c r="AU2405" s="86" t="str">
        <f>+IF($AG2405=AU$22,MONTH($D2405),"")</f>
        <v/>
      </c>
      <c r="AV2405" s="86" t="str">
        <f>+IF($AG2405=AV$22,MONTH($D2405),"")</f>
        <v/>
      </c>
      <c r="AW2405" s="86" t="str">
        <f>+IF($AG2405=AW$22,MONTH($D2405),"")</f>
        <v/>
      </c>
      <c r="AX2405" s="86" t="str">
        <f>+IF($AG2405=AX$22,MONTH($D2405),"")</f>
        <v/>
      </c>
      <c r="AY2405" s="89"/>
      <c r="AZ2405" s="89"/>
      <c r="BA2405" s="89"/>
      <c r="BB2405" s="89"/>
      <c r="BC2405" s="89"/>
      <c r="BD2405" s="89"/>
      <c r="BE2405" s="89"/>
      <c r="BF2405" s="89"/>
      <c r="BG2405" s="89"/>
      <c r="BH2405" s="89"/>
      <c r="BI2405" s="89"/>
      <c r="BJ2405" s="89"/>
      <c r="BK2405" s="89"/>
      <c r="BL2405" s="89"/>
      <c r="BM2405" s="89"/>
      <c r="BN2405" s="89"/>
      <c r="BO2405" s="89"/>
      <c r="BP2405" s="89"/>
    </row>
    <row r="2406" spans="1:68" s="56" customFormat="1" ht="27" hidden="1">
      <c r="A2406" s="204">
        <f>+IFERROR(VALUE(MID(AB2406,4,4)),"")</f>
        <v>87</v>
      </c>
      <c r="B2406" s="204">
        <f>VALUE(RIGHT(C2406,LEN(C2406)-2))</f>
        <v>319</v>
      </c>
      <c r="C2406" s="74" t="s">
        <v>8183</v>
      </c>
      <c r="D2406" s="75">
        <v>41977</v>
      </c>
      <c r="E2406" s="70" t="s">
        <v>332</v>
      </c>
      <c r="F2406" s="70" t="s">
        <v>332</v>
      </c>
      <c r="G2406" s="68" t="s">
        <v>8175</v>
      </c>
      <c r="H2406" s="59"/>
      <c r="I2406" s="162" t="s">
        <v>8184</v>
      </c>
      <c r="J2406" s="162"/>
      <c r="K2406" s="68" t="s">
        <v>13</v>
      </c>
      <c r="L2406" s="69" t="s">
        <v>120</v>
      </c>
      <c r="M2406" s="71" t="s">
        <v>141</v>
      </c>
      <c r="N2406" s="69" t="e" vm="1">
        <v>#VALUE!</v>
      </c>
      <c r="O2406" s="164">
        <v>41977</v>
      </c>
      <c r="P2406" s="72"/>
      <c r="Q2406" s="72"/>
      <c r="R2406" s="162"/>
      <c r="S2406" s="146" t="s">
        <v>8185</v>
      </c>
      <c r="T2406" s="68" t="s">
        <v>3</v>
      </c>
      <c r="U2406" s="87"/>
      <c r="V2406" s="183">
        <v>42030</v>
      </c>
      <c r="W2406" s="73">
        <v>476</v>
      </c>
      <c r="X2406" s="83">
        <f>24500*949.4/1000000</f>
        <v>23.260300000000001</v>
      </c>
      <c r="Y2406" s="83">
        <f>IF(SUM(W2406:W2406)&gt;0,X2406/SUM(W2406:W2406)*1000000,"N/A")</f>
        <v>48866.176470588238</v>
      </c>
      <c r="Z2406" s="183"/>
      <c r="AA2406" s="183"/>
      <c r="AB2406" s="223" t="s">
        <v>7997</v>
      </c>
      <c r="AC2406" s="153"/>
      <c r="AD2406" s="331"/>
      <c r="AE2406" s="57"/>
      <c r="AF2406" s="88"/>
      <c r="AG2406" s="182">
        <f>YEAR(D2406)</f>
        <v>2014</v>
      </c>
      <c r="AH2406" s="86" t="str">
        <f>+IF(AE2406=$AJ$22,MONTH(T2406),"")</f>
        <v/>
      </c>
      <c r="AI2406" s="86" t="str">
        <f>+IF(AF2406=$AJ$22,MONTH(U2406),"")</f>
        <v/>
      </c>
      <c r="AJ2406" s="86" t="str">
        <f>+IF(AG2406=$AJ$22,MONTH(V2406),"")</f>
        <v/>
      </c>
      <c r="AK2406" s="86" t="str">
        <f>+IF(AG2406=$AK$22,MONTH(V2406),"")</f>
        <v/>
      </c>
      <c r="AL2406" s="86" t="str">
        <f>+IF(AG2406=$AL$22,MONTH(V2406),"")</f>
        <v/>
      </c>
      <c r="AM2406" s="86" t="str">
        <f>+IF($AG2406=$AM$22,MONTH($D2406),"")</f>
        <v/>
      </c>
      <c r="AN2406" s="89" t="str">
        <f>+IF($AG2406=AN$22,MONTH($D2406),"")</f>
        <v/>
      </c>
      <c r="AO2406" s="86" t="str">
        <f>+IF($AG2406=AO$22,MONTH($D2406),"")</f>
        <v/>
      </c>
      <c r="AP2406" s="86" t="str">
        <f>+IF($AG2406=AP$22,MONTH($D2406),"")</f>
        <v/>
      </c>
      <c r="AQ2406" s="86" t="str">
        <f>+IF($AG2406=AQ$22,MONTH($D2406),"")</f>
        <v/>
      </c>
      <c r="AR2406" s="86" t="str">
        <f>+IF($AG2406=AR$22,MONTH($D2406),"")</f>
        <v/>
      </c>
      <c r="AS2406" s="86" t="str">
        <f>+IF($AG2406=AS$22,MONTH($D2406),"")</f>
        <v/>
      </c>
      <c r="AT2406" s="86">
        <f>+IF($AG2406=AT$22,MONTH($D2406),"")</f>
        <v>12</v>
      </c>
      <c r="AU2406" s="86" t="str">
        <f>+IF($AG2406=AU$22,MONTH($D2406),"")</f>
        <v/>
      </c>
      <c r="AV2406" s="86" t="str">
        <f>+IF($AG2406=AV$22,MONTH($D2406),"")</f>
        <v/>
      </c>
      <c r="AW2406" s="86" t="str">
        <f>+IF($AG2406=AW$22,MONTH($D2406),"")</f>
        <v/>
      </c>
      <c r="AX2406" s="86" t="str">
        <f>+IF($AG2406=AX$22,MONTH($D2406),"")</f>
        <v/>
      </c>
      <c r="AY2406" s="89"/>
      <c r="AZ2406" s="89"/>
      <c r="BA2406" s="89"/>
      <c r="BB2406" s="89"/>
      <c r="BC2406" s="89"/>
      <c r="BD2406" s="89"/>
      <c r="BE2406" s="89"/>
      <c r="BF2406" s="89"/>
      <c r="BG2406" s="89"/>
      <c r="BH2406" s="89"/>
      <c r="BI2406" s="89"/>
      <c r="BJ2406" s="89"/>
      <c r="BK2406" s="89"/>
      <c r="BL2406" s="89"/>
      <c r="BM2406" s="89"/>
      <c r="BN2406" s="89"/>
      <c r="BO2406" s="89"/>
      <c r="BP2406" s="89"/>
    </row>
    <row r="2407" spans="1:68" s="56" customFormat="1" ht="27" hidden="1">
      <c r="A2407" s="204">
        <f>+IFERROR(VALUE(MID(AB2407,4,4)),"")</f>
        <v>87</v>
      </c>
      <c r="B2407" s="204">
        <f>VALUE(RIGHT(C2407,LEN(C2407)-2))</f>
        <v>318</v>
      </c>
      <c r="C2407" s="74" t="s">
        <v>8186</v>
      </c>
      <c r="D2407" s="75">
        <v>41961</v>
      </c>
      <c r="E2407" s="70" t="s">
        <v>332</v>
      </c>
      <c r="F2407" s="70" t="s">
        <v>332</v>
      </c>
      <c r="G2407" s="68" t="s">
        <v>8175</v>
      </c>
      <c r="H2407" s="59"/>
      <c r="I2407" s="162" t="s">
        <v>8187</v>
      </c>
      <c r="J2407" s="162"/>
      <c r="K2407" s="68" t="s">
        <v>13</v>
      </c>
      <c r="L2407" s="69" t="s">
        <v>120</v>
      </c>
      <c r="M2407" s="71" t="s">
        <v>141</v>
      </c>
      <c r="N2407" s="69" t="e" vm="1">
        <v>#VALUE!</v>
      </c>
      <c r="O2407" s="164">
        <v>41961</v>
      </c>
      <c r="P2407" s="72" t="s">
        <v>4567</v>
      </c>
      <c r="Q2407" s="72"/>
      <c r="R2407" s="162"/>
      <c r="S2407" s="146" t="s">
        <v>8188</v>
      </c>
      <c r="T2407" s="68" t="s">
        <v>3</v>
      </c>
      <c r="U2407" s="87"/>
      <c r="V2407" s="183">
        <v>42030</v>
      </c>
      <c r="W2407" s="73">
        <v>25</v>
      </c>
      <c r="X2407" s="231">
        <f>53.7*24500/1000000</f>
        <v>1.31565</v>
      </c>
      <c r="Y2407" s="73">
        <f>IF(SUM(W2407:W2407)&gt;0,X2407/SUM(W2407:W2407)*1000000,"N/A")</f>
        <v>52626</v>
      </c>
      <c r="Z2407" s="183"/>
      <c r="AA2407" s="183"/>
      <c r="AB2407" s="223" t="s">
        <v>7997</v>
      </c>
      <c r="AC2407" s="153"/>
      <c r="AD2407" s="331"/>
      <c r="AE2407" s="57"/>
      <c r="AF2407" s="88"/>
      <c r="AG2407" s="182">
        <f>YEAR(D2407)</f>
        <v>2014</v>
      </c>
      <c r="AH2407" s="86" t="str">
        <f>+IF(AE2407=$AJ$22,MONTH(T2407),"")</f>
        <v/>
      </c>
      <c r="AI2407" s="86" t="str">
        <f>+IF(AF2407=$AJ$22,MONTH(U2407),"")</f>
        <v/>
      </c>
      <c r="AJ2407" s="86" t="str">
        <f>+IF(AG2407=$AJ$22,MONTH(V2407),"")</f>
        <v/>
      </c>
      <c r="AK2407" s="86" t="str">
        <f>+IF(AG2407=$AK$22,MONTH(V2407),"")</f>
        <v/>
      </c>
      <c r="AL2407" s="86" t="str">
        <f>+IF(AG2407=$AL$22,MONTH(V2407),"")</f>
        <v/>
      </c>
      <c r="AM2407" s="86" t="str">
        <f>+IF($AG2407=$AM$22,MONTH($D2407),"")</f>
        <v/>
      </c>
      <c r="AN2407" s="89" t="str">
        <f>+IF($AG2407=AN$22,MONTH($D2407),"")</f>
        <v/>
      </c>
      <c r="AO2407" s="86" t="str">
        <f>+IF($AG2407=AO$22,MONTH($D2407),"")</f>
        <v/>
      </c>
      <c r="AP2407" s="86" t="str">
        <f>+IF($AG2407=AP$22,MONTH($D2407),"")</f>
        <v/>
      </c>
      <c r="AQ2407" s="86" t="str">
        <f>+IF($AG2407=AQ$22,MONTH($D2407),"")</f>
        <v/>
      </c>
      <c r="AR2407" s="86" t="str">
        <f>+IF($AG2407=AR$22,MONTH($D2407),"")</f>
        <v/>
      </c>
      <c r="AS2407" s="86" t="str">
        <f>+IF($AG2407=AS$22,MONTH($D2407),"")</f>
        <v/>
      </c>
      <c r="AT2407" s="86">
        <f>+IF($AG2407=AT$22,MONTH($D2407),"")</f>
        <v>11</v>
      </c>
      <c r="AU2407" s="86" t="str">
        <f>+IF($AG2407=AU$22,MONTH($D2407),"")</f>
        <v/>
      </c>
      <c r="AV2407" s="86" t="str">
        <f>+IF($AG2407=AV$22,MONTH($D2407),"")</f>
        <v/>
      </c>
      <c r="AW2407" s="86" t="str">
        <f>+IF($AG2407=AW$22,MONTH($D2407),"")</f>
        <v/>
      </c>
      <c r="AX2407" s="86" t="str">
        <f>+IF($AG2407=AX$22,MONTH($D2407),"")</f>
        <v/>
      </c>
      <c r="AY2407" s="89"/>
      <c r="AZ2407" s="89"/>
      <c r="BA2407" s="89"/>
      <c r="BB2407" s="89"/>
      <c r="BC2407" s="89"/>
      <c r="BD2407" s="89"/>
      <c r="BE2407" s="89"/>
      <c r="BF2407" s="89"/>
      <c r="BG2407" s="89"/>
      <c r="BH2407" s="89"/>
      <c r="BI2407" s="89"/>
      <c r="BJ2407" s="89"/>
      <c r="BK2407" s="89"/>
      <c r="BL2407" s="89"/>
      <c r="BM2407" s="89"/>
      <c r="BN2407" s="89"/>
      <c r="BO2407" s="89"/>
      <c r="BP2407" s="89"/>
    </row>
    <row r="2408" spans="1:68" s="56" customFormat="1" ht="13.5" hidden="1">
      <c r="A2408" s="204">
        <f>+IFERROR(VALUE(MID(AB2408,4,4)),"")</f>
        <v>87</v>
      </c>
      <c r="B2408" s="204">
        <f>VALUE(RIGHT(C2408,LEN(C2408)-2))</f>
        <v>317</v>
      </c>
      <c r="C2408" s="74" t="s">
        <v>8189</v>
      </c>
      <c r="D2408" s="75">
        <v>41960</v>
      </c>
      <c r="E2408" s="70" t="s">
        <v>332</v>
      </c>
      <c r="F2408" s="70" t="s">
        <v>332</v>
      </c>
      <c r="G2408" s="68" t="s">
        <v>1781</v>
      </c>
      <c r="H2408" s="59"/>
      <c r="I2408" s="162" t="s">
        <v>8190</v>
      </c>
      <c r="J2408" s="162"/>
      <c r="K2408" s="68" t="s">
        <v>13</v>
      </c>
      <c r="L2408" s="69" t="s">
        <v>120</v>
      </c>
      <c r="M2408" s="71" t="s">
        <v>141</v>
      </c>
      <c r="N2408" s="69" t="e" vm="1">
        <v>#VALUE!</v>
      </c>
      <c r="O2408" s="164"/>
      <c r="P2408" s="72" t="s">
        <v>402</v>
      </c>
      <c r="Q2408" s="72"/>
      <c r="R2408" s="162"/>
      <c r="S2408" s="146" t="s">
        <v>8191</v>
      </c>
      <c r="T2408" s="68" t="s">
        <v>3</v>
      </c>
      <c r="U2408" s="87"/>
      <c r="V2408" s="183">
        <v>41960</v>
      </c>
      <c r="W2408" s="73">
        <v>1023</v>
      </c>
      <c r="X2408" s="73">
        <f>1561*24500/1000000</f>
        <v>38.244500000000002</v>
      </c>
      <c r="Y2408" s="73">
        <f>IF(SUM(W2408:W2408)&gt;0,X2408/SUM(W2408:W2408)*1000000,"N/A")</f>
        <v>37384.652981427178</v>
      </c>
      <c r="Z2408" s="183"/>
      <c r="AA2408" s="183"/>
      <c r="AB2408" s="223" t="s">
        <v>7997</v>
      </c>
      <c r="AC2408" s="153"/>
      <c r="AD2408" s="331"/>
      <c r="AE2408" s="57"/>
      <c r="AF2408" s="88" t="s">
        <v>8192</v>
      </c>
      <c r="AG2408" s="182">
        <f>YEAR(D2408)</f>
        <v>2014</v>
      </c>
      <c r="AH2408" s="86" t="str">
        <f>+IF(AE2408=$AJ$22,MONTH(T2408),"")</f>
        <v/>
      </c>
      <c r="AI2408" s="86" t="str">
        <f>+IF(AF2408=$AJ$22,MONTH(U2408),"")</f>
        <v/>
      </c>
      <c r="AJ2408" s="86" t="str">
        <f>+IF(AG2408=$AJ$22,MONTH(V2408),"")</f>
        <v/>
      </c>
      <c r="AK2408" s="86" t="str">
        <f>+IF(AG2408=$AK$22,MONTH(V2408),"")</f>
        <v/>
      </c>
      <c r="AL2408" s="86" t="str">
        <f>+IF(AG2408=$AL$22,MONTH(V2408),"")</f>
        <v/>
      </c>
      <c r="AM2408" s="86" t="str">
        <f>+IF($AG2408=$AM$22,MONTH($D2408),"")</f>
        <v/>
      </c>
      <c r="AN2408" s="89" t="str">
        <f>+IF($AG2408=AN$22,MONTH($D2408),"")</f>
        <v/>
      </c>
      <c r="AO2408" s="86" t="str">
        <f>+IF($AG2408=AO$22,MONTH($D2408),"")</f>
        <v/>
      </c>
      <c r="AP2408" s="86" t="str">
        <f>+IF($AG2408=AP$22,MONTH($D2408),"")</f>
        <v/>
      </c>
      <c r="AQ2408" s="86" t="str">
        <f>+IF($AG2408=AQ$22,MONTH($D2408),"")</f>
        <v/>
      </c>
      <c r="AR2408" s="86" t="str">
        <f>+IF($AG2408=AR$22,MONTH($D2408),"")</f>
        <v/>
      </c>
      <c r="AS2408" s="86" t="str">
        <f>+IF($AG2408=AS$22,MONTH($D2408),"")</f>
        <v/>
      </c>
      <c r="AT2408" s="86">
        <f>+IF($AG2408=AT$22,MONTH($D2408),"")</f>
        <v>11</v>
      </c>
      <c r="AU2408" s="86" t="str">
        <f>+IF($AG2408=AU$22,MONTH($D2408),"")</f>
        <v/>
      </c>
      <c r="AV2408" s="86" t="str">
        <f>+IF($AG2408=AV$22,MONTH($D2408),"")</f>
        <v/>
      </c>
      <c r="AW2408" s="86" t="str">
        <f>+IF($AG2408=AW$22,MONTH($D2408),"")</f>
        <v/>
      </c>
      <c r="AX2408" s="86" t="str">
        <f>+IF($AG2408=AX$22,MONTH($D2408),"")</f>
        <v/>
      </c>
      <c r="AY2408" s="89" t="s">
        <v>204</v>
      </c>
      <c r="AZ2408" s="89"/>
      <c r="BA2408" s="89"/>
      <c r="BB2408" s="89"/>
      <c r="BC2408" s="89"/>
      <c r="BD2408" s="89"/>
      <c r="BE2408" s="89"/>
      <c r="BF2408" s="89"/>
      <c r="BG2408" s="89"/>
      <c r="BH2408" s="89"/>
      <c r="BI2408" s="89" t="e">
        <f>CONCATENATE(IF(AY2408&lt;&gt;"",VLOOKUP(AY2408,#REF!,5,FALSE),""),IF(AZ2408&lt;&gt;"",CONCATENATE(CHAR(10),VLOOKUP(AZ2408,#REF!,5,FALSE)),""),IF(BA2408&lt;&gt;"",CONCATENATE(CHAR(10),VLOOKUP(BA2408,#REF!,5,FALSE)),""),IF(BB2408&lt;&gt;"",CONCATENATE(CHAR(10),VLOOKUP(BB2408,#REF!,5,FALSE)),""),IF(BC2408&lt;&gt;"",CONCATENATE(CHAR(10),VLOOKUP(BC2408,#REF!,5,FALSE)),""),IF(BD2408&lt;&gt;"",CONCATENATE(CHAR(10),VLOOKUP(BD2408,#REF!,5,FALSE)),""),IF(BE2408&lt;&gt;"",CONCATENATE(CHAR(10),VLOOKUP(BE2408,#REF!,5,FALSE)),""),IF(BF2408&lt;&gt;"",CONCATENATE(CHAR(10),VLOOKUP(BF2408,#REF!,5,FALSE)),""))</f>
        <v>#REF!</v>
      </c>
      <c r="BJ2408" s="89"/>
      <c r="BK2408" s="89"/>
      <c r="BL2408" s="89"/>
      <c r="BM2408" s="89"/>
      <c r="BN2408" s="89"/>
      <c r="BO2408" s="89"/>
      <c r="BP2408" s="89"/>
    </row>
    <row r="2409" spans="1:68" s="56" customFormat="1" ht="13.5" hidden="1">
      <c r="A2409" s="204">
        <f>+IFERROR(VALUE(MID(AB2409,4,4)),"")</f>
        <v>87</v>
      </c>
      <c r="B2409" s="204">
        <f>VALUE(RIGHT(C2409,LEN(C2409)-2))</f>
        <v>316</v>
      </c>
      <c r="C2409" s="74" t="s">
        <v>8193</v>
      </c>
      <c r="D2409" s="75">
        <v>41957</v>
      </c>
      <c r="E2409" s="70" t="s">
        <v>332</v>
      </c>
      <c r="F2409" s="70" t="s">
        <v>332</v>
      </c>
      <c r="G2409" s="68" t="s">
        <v>1781</v>
      </c>
      <c r="H2409" s="59"/>
      <c r="I2409" s="162" t="s">
        <v>8194</v>
      </c>
      <c r="J2409" s="162"/>
      <c r="K2409" s="68" t="s">
        <v>13</v>
      </c>
      <c r="L2409" s="69" t="s">
        <v>120</v>
      </c>
      <c r="M2409" s="71" t="s">
        <v>141</v>
      </c>
      <c r="N2409" s="69" t="e" vm="1">
        <v>#VALUE!</v>
      </c>
      <c r="O2409" s="164"/>
      <c r="P2409" s="72" t="s">
        <v>7372</v>
      </c>
      <c r="Q2409" s="72"/>
      <c r="R2409" s="162"/>
      <c r="S2409" s="146" t="s">
        <v>8195</v>
      </c>
      <c r="T2409" s="68" t="s">
        <v>3</v>
      </c>
      <c r="U2409" s="87"/>
      <c r="V2409" s="183">
        <v>41957</v>
      </c>
      <c r="W2409" s="73">
        <v>320</v>
      </c>
      <c r="X2409" s="83">
        <f>408*24500/1000000</f>
        <v>9.9960000000000004</v>
      </c>
      <c r="Y2409" s="83">
        <f>IF(SUM(W2409:W2409)&gt;0,X2409/SUM(W2409:W2409)*1000000,"N/A")</f>
        <v>31237.5</v>
      </c>
      <c r="Z2409" s="183"/>
      <c r="AA2409" s="183"/>
      <c r="AB2409" s="223" t="s">
        <v>7997</v>
      </c>
      <c r="AC2409" s="153"/>
      <c r="AD2409" s="331"/>
      <c r="AE2409" s="57"/>
      <c r="AF2409" s="88"/>
      <c r="AG2409" s="182">
        <f>YEAR(D2409)</f>
        <v>2014</v>
      </c>
      <c r="AH2409" s="86" t="str">
        <f>+IF(AE2409=$AJ$22,MONTH(T2409),"")</f>
        <v/>
      </c>
      <c r="AI2409" s="86" t="str">
        <f>+IF(AF2409=$AJ$22,MONTH(U2409),"")</f>
        <v/>
      </c>
      <c r="AJ2409" s="86" t="str">
        <f>+IF(AG2409=$AJ$22,MONTH(V2409),"")</f>
        <v/>
      </c>
      <c r="AK2409" s="86" t="str">
        <f>+IF(AG2409=$AK$22,MONTH(V2409),"")</f>
        <v/>
      </c>
      <c r="AL2409" s="86" t="str">
        <f>+IF(AG2409=$AL$22,MONTH(V2409),"")</f>
        <v/>
      </c>
      <c r="AM2409" s="86" t="str">
        <f>+IF($AG2409=$AM$22,MONTH($D2409),"")</f>
        <v/>
      </c>
      <c r="AN2409" s="89" t="str">
        <f>+IF($AG2409=AN$22,MONTH($D2409),"")</f>
        <v/>
      </c>
      <c r="AO2409" s="86" t="str">
        <f>+IF($AG2409=AO$22,MONTH($D2409),"")</f>
        <v/>
      </c>
      <c r="AP2409" s="86" t="str">
        <f>+IF($AG2409=AP$22,MONTH($D2409),"")</f>
        <v/>
      </c>
      <c r="AQ2409" s="86" t="str">
        <f>+IF($AG2409=AQ$22,MONTH($D2409),"")</f>
        <v/>
      </c>
      <c r="AR2409" s="86" t="str">
        <f>+IF($AG2409=AR$22,MONTH($D2409),"")</f>
        <v/>
      </c>
      <c r="AS2409" s="86" t="str">
        <f>+IF($AG2409=AS$22,MONTH($D2409),"")</f>
        <v/>
      </c>
      <c r="AT2409" s="86">
        <f>+IF($AG2409=AT$22,MONTH($D2409),"")</f>
        <v>11</v>
      </c>
      <c r="AU2409" s="86" t="str">
        <f>+IF($AG2409=AU$22,MONTH($D2409),"")</f>
        <v/>
      </c>
      <c r="AV2409" s="86" t="str">
        <f>+IF($AG2409=AV$22,MONTH($D2409),"")</f>
        <v/>
      </c>
      <c r="AW2409" s="86" t="str">
        <f>+IF($AG2409=AW$22,MONTH($D2409),"")</f>
        <v/>
      </c>
      <c r="AX2409" s="86" t="str">
        <f>+IF($AG2409=AX$22,MONTH($D2409),"")</f>
        <v/>
      </c>
      <c r="AY2409" s="89"/>
      <c r="AZ2409" s="89"/>
      <c r="BA2409" s="89"/>
      <c r="BB2409" s="89"/>
      <c r="BC2409" s="89"/>
      <c r="BD2409" s="89"/>
      <c r="BE2409" s="89"/>
      <c r="BF2409" s="89"/>
      <c r="BG2409" s="89"/>
      <c r="BH2409" s="89"/>
      <c r="BI2409" s="89"/>
      <c r="BJ2409" s="89"/>
      <c r="BK2409" s="89"/>
      <c r="BL2409" s="89"/>
      <c r="BM2409" s="89"/>
      <c r="BN2409" s="89"/>
      <c r="BO2409" s="89"/>
      <c r="BP2409" s="89"/>
    </row>
    <row r="2410" spans="1:68" s="56" customFormat="1" ht="13.5" hidden="1">
      <c r="A2410" s="204">
        <f>+IFERROR(VALUE(MID(AB2410,4,4)),"")</f>
        <v>87</v>
      </c>
      <c r="B2410" s="204">
        <f>VALUE(RIGHT(C2410,LEN(C2410)-2))</f>
        <v>315</v>
      </c>
      <c r="C2410" s="74" t="s">
        <v>8196</v>
      </c>
      <c r="D2410" s="75">
        <v>41955</v>
      </c>
      <c r="E2410" s="70" t="s">
        <v>332</v>
      </c>
      <c r="F2410" s="82" t="s">
        <v>332</v>
      </c>
      <c r="G2410" s="68" t="s">
        <v>6931</v>
      </c>
      <c r="H2410" s="59"/>
      <c r="I2410" s="162" t="s">
        <v>8197</v>
      </c>
      <c r="J2410" s="162"/>
      <c r="K2410" s="68" t="s">
        <v>9</v>
      </c>
      <c r="L2410" s="69" t="s">
        <v>120</v>
      </c>
      <c r="M2410" s="71" t="s">
        <v>141</v>
      </c>
      <c r="N2410" s="69" t="e" vm="1">
        <v>#VALUE!</v>
      </c>
      <c r="O2410" s="164"/>
      <c r="P2410" s="72" t="s">
        <v>402</v>
      </c>
      <c r="Q2410" s="72"/>
      <c r="R2410" s="162"/>
      <c r="S2410" s="146" t="s">
        <v>8198</v>
      </c>
      <c r="T2410" s="68" t="s">
        <v>3</v>
      </c>
      <c r="U2410" s="87"/>
      <c r="V2410" s="183">
        <v>42054</v>
      </c>
      <c r="W2410" s="73">
        <v>412</v>
      </c>
      <c r="X2410" s="73">
        <f>626*24500/1000000</f>
        <v>15.337</v>
      </c>
      <c r="Y2410" s="83">
        <f>IF(SUM(W2410:W2410)&gt;0,X2410/SUM(W2410:W2410)*1000000,"N/A")</f>
        <v>37225.728155339806</v>
      </c>
      <c r="Z2410" s="183"/>
      <c r="AA2410" s="183"/>
      <c r="AB2410" s="223" t="s">
        <v>7997</v>
      </c>
      <c r="AC2410" s="153"/>
      <c r="AD2410" s="331"/>
      <c r="AE2410" s="57"/>
      <c r="AF2410" s="88"/>
      <c r="AG2410" s="182">
        <f>YEAR(D2410)</f>
        <v>2014</v>
      </c>
      <c r="AH2410" s="86" t="str">
        <f>+IF(AE2410=$AJ$22,MONTH(T2410),"")</f>
        <v/>
      </c>
      <c r="AI2410" s="86" t="str">
        <f>+IF(AF2410=$AJ$22,MONTH(U2410),"")</f>
        <v/>
      </c>
      <c r="AJ2410" s="86" t="str">
        <f>+IF(AG2410=$AJ$22,MONTH(V2410),"")</f>
        <v/>
      </c>
      <c r="AK2410" s="86" t="str">
        <f>+IF(AG2410=$AK$22,MONTH(V2410),"")</f>
        <v/>
      </c>
      <c r="AL2410" s="86" t="str">
        <f>+IF(AG2410=$AL$22,MONTH(V2410),"")</f>
        <v/>
      </c>
      <c r="AM2410" s="86" t="str">
        <f>+IF($AG2410=$AM$22,MONTH($D2410),"")</f>
        <v/>
      </c>
      <c r="AN2410" s="89" t="str">
        <f>+IF($AG2410=AN$22,MONTH($D2410),"")</f>
        <v/>
      </c>
      <c r="AO2410" s="86" t="str">
        <f>+IF($AG2410=AO$22,MONTH($D2410),"")</f>
        <v/>
      </c>
      <c r="AP2410" s="86" t="str">
        <f>+IF($AG2410=AP$22,MONTH($D2410),"")</f>
        <v/>
      </c>
      <c r="AQ2410" s="86" t="str">
        <f>+IF($AG2410=AQ$22,MONTH($D2410),"")</f>
        <v/>
      </c>
      <c r="AR2410" s="86" t="str">
        <f>+IF($AG2410=AR$22,MONTH($D2410),"")</f>
        <v/>
      </c>
      <c r="AS2410" s="86" t="str">
        <f>+IF($AG2410=AS$22,MONTH($D2410),"")</f>
        <v/>
      </c>
      <c r="AT2410" s="86">
        <f>+IF($AG2410=AT$22,MONTH($D2410),"")</f>
        <v>11</v>
      </c>
      <c r="AU2410" s="86" t="str">
        <f>+IF($AG2410=AU$22,MONTH($D2410),"")</f>
        <v/>
      </c>
      <c r="AV2410" s="86" t="str">
        <f>+IF($AG2410=AV$22,MONTH($D2410),"")</f>
        <v/>
      </c>
      <c r="AW2410" s="86" t="str">
        <f>+IF($AG2410=AW$22,MONTH($D2410),"")</f>
        <v/>
      </c>
      <c r="AX2410" s="86" t="str">
        <f>+IF($AG2410=AX$22,MONTH($D2410),"")</f>
        <v/>
      </c>
      <c r="AY2410" s="89"/>
      <c r="AZ2410" s="89"/>
      <c r="BA2410" s="89"/>
      <c r="BB2410" s="89"/>
      <c r="BC2410" s="89"/>
      <c r="BD2410" s="89"/>
      <c r="BE2410" s="89"/>
      <c r="BF2410" s="89"/>
      <c r="BG2410" s="89"/>
      <c r="BH2410" s="89"/>
      <c r="BI2410" s="89"/>
      <c r="BJ2410" s="89"/>
      <c r="BK2410" s="89"/>
      <c r="BL2410" s="89"/>
      <c r="BM2410" s="89"/>
      <c r="BN2410" s="89"/>
      <c r="BO2410" s="89"/>
      <c r="BP2410" s="89"/>
    </row>
    <row r="2411" spans="1:68" s="56" customFormat="1" ht="53.25" hidden="1">
      <c r="A2411" s="204" t="str">
        <f>+IFERROR(VALUE(MID(AB2411,4,4)),"")</f>
        <v/>
      </c>
      <c r="B2411" s="204">
        <f>VALUE(RIGHT(C2411,LEN(C2411)-2))</f>
        <v>314</v>
      </c>
      <c r="C2411" s="74" t="s">
        <v>8199</v>
      </c>
      <c r="D2411" s="84">
        <v>41955</v>
      </c>
      <c r="E2411" s="70" t="s">
        <v>346</v>
      </c>
      <c r="F2411" s="70" t="s">
        <v>346</v>
      </c>
      <c r="G2411" s="68" t="s">
        <v>7922</v>
      </c>
      <c r="H2411" s="59"/>
      <c r="I2411" s="162" t="s">
        <v>8200</v>
      </c>
      <c r="J2411" s="162"/>
      <c r="K2411" s="68"/>
      <c r="L2411" s="69" t="s">
        <v>120</v>
      </c>
      <c r="M2411" s="71" t="s">
        <v>141</v>
      </c>
      <c r="N2411" s="69" t="e" vm="1">
        <v>#VALUE!</v>
      </c>
      <c r="O2411" s="164"/>
      <c r="P2411" s="72" t="s">
        <v>4567</v>
      </c>
      <c r="Q2411" s="72"/>
      <c r="R2411" s="162"/>
      <c r="S2411" s="146" t="s">
        <v>8201</v>
      </c>
      <c r="T2411" s="68" t="s">
        <v>155</v>
      </c>
      <c r="U2411" s="87"/>
      <c r="V2411" s="183">
        <v>41957</v>
      </c>
      <c r="W2411" s="73"/>
      <c r="X2411" s="73"/>
      <c r="Y2411" s="73"/>
      <c r="Z2411" s="183"/>
      <c r="AA2411" s="183"/>
      <c r="AB2411" s="223"/>
      <c r="AC2411" s="153"/>
      <c r="AD2411" s="331"/>
      <c r="AE2411" s="57"/>
      <c r="AF2411" s="88" t="s">
        <v>8202</v>
      </c>
      <c r="AG2411" s="182">
        <f>YEAR(D2411)</f>
        <v>2014</v>
      </c>
      <c r="AH2411" s="86" t="str">
        <f>+IF(AE2411=$AJ$22,MONTH(T2411),"")</f>
        <v/>
      </c>
      <c r="AI2411" s="86" t="str">
        <f>+IF(AF2411=$AJ$22,MONTH(U2411),"")</f>
        <v/>
      </c>
      <c r="AJ2411" s="86" t="str">
        <f>+IF(AG2411=$AJ$22,MONTH(V2411),"")</f>
        <v/>
      </c>
      <c r="AK2411" s="86" t="str">
        <f>+IF(AG2411=$AK$22,MONTH(V2411),"")</f>
        <v/>
      </c>
      <c r="AL2411" s="86" t="str">
        <f>+IF(AG2411=$AL$22,MONTH(V2411),"")</f>
        <v/>
      </c>
      <c r="AM2411" s="86" t="str">
        <f>+IF($AG2411=$AM$22,MONTH($D2411),"")</f>
        <v/>
      </c>
      <c r="AN2411" s="89" t="str">
        <f>+IF($AG2411=AN$22,MONTH($D2411),"")</f>
        <v/>
      </c>
      <c r="AO2411" s="86" t="str">
        <f>+IF($AG2411=AO$22,MONTH($D2411),"")</f>
        <v/>
      </c>
      <c r="AP2411" s="86" t="str">
        <f>+IF($AG2411=AP$22,MONTH($D2411),"")</f>
        <v/>
      </c>
      <c r="AQ2411" s="86" t="str">
        <f>+IF($AG2411=AQ$22,MONTH($D2411),"")</f>
        <v/>
      </c>
      <c r="AR2411" s="86" t="str">
        <f>+IF($AG2411=AR$22,MONTH($D2411),"")</f>
        <v/>
      </c>
      <c r="AS2411" s="86" t="str">
        <f>+IF($AG2411=AS$22,MONTH($D2411),"")</f>
        <v/>
      </c>
      <c r="AT2411" s="86">
        <f>+IF($AG2411=AT$22,MONTH($D2411),"")</f>
        <v>11</v>
      </c>
      <c r="AU2411" s="86" t="str">
        <f>+IF($AG2411=AU$22,MONTH($D2411),"")</f>
        <v/>
      </c>
      <c r="AV2411" s="86" t="str">
        <f>+IF($AG2411=AV$22,MONTH($D2411),"")</f>
        <v/>
      </c>
      <c r="AW2411" s="86" t="str">
        <f>+IF($AG2411=AW$22,MONTH($D2411),"")</f>
        <v/>
      </c>
      <c r="AX2411" s="86" t="str">
        <f>+IF($AG2411=AX$22,MONTH($D2411),"")</f>
        <v/>
      </c>
      <c r="AY2411" s="89"/>
      <c r="AZ2411" s="89"/>
      <c r="BA2411" s="89"/>
      <c r="BB2411" s="89"/>
      <c r="BC2411" s="89"/>
      <c r="BD2411" s="89"/>
      <c r="BE2411" s="89"/>
      <c r="BF2411" s="89"/>
      <c r="BG2411" s="89"/>
      <c r="BH2411" s="89"/>
      <c r="BI2411" s="89"/>
      <c r="BJ2411" s="89"/>
      <c r="BK2411" s="89"/>
      <c r="BL2411" s="89"/>
      <c r="BM2411" s="89"/>
      <c r="BN2411" s="89"/>
      <c r="BO2411" s="89"/>
      <c r="BP2411" s="89"/>
    </row>
    <row r="2412" spans="1:68" s="56" customFormat="1" ht="27" hidden="1">
      <c r="A2412" s="204" t="str">
        <f>+IFERROR(VALUE(MID(AB2412,4,4)),"")</f>
        <v/>
      </c>
      <c r="B2412" s="204">
        <f>VALUE(RIGHT(C2412,LEN(C2412)-2))</f>
        <v>313</v>
      </c>
      <c r="C2412" s="74" t="s">
        <v>8203</v>
      </c>
      <c r="D2412" s="75">
        <v>41955</v>
      </c>
      <c r="E2412" s="70" t="s">
        <v>3351</v>
      </c>
      <c r="F2412" s="70" t="s">
        <v>3351</v>
      </c>
      <c r="G2412" s="68" t="s">
        <v>7079</v>
      </c>
      <c r="H2412" s="59"/>
      <c r="I2412" s="162" t="s">
        <v>8204</v>
      </c>
      <c r="J2412" s="162"/>
      <c r="K2412" s="68"/>
      <c r="L2412" s="69" t="s">
        <v>120</v>
      </c>
      <c r="M2412" s="71" t="s">
        <v>113</v>
      </c>
      <c r="N2412" s="69" t="e" vm="4">
        <v>#VALUE!</v>
      </c>
      <c r="O2412" s="164"/>
      <c r="P2412" s="72" t="s">
        <v>402</v>
      </c>
      <c r="Q2412" s="72"/>
      <c r="R2412" s="162"/>
      <c r="S2412" s="146"/>
      <c r="T2412" s="68" t="s">
        <v>165</v>
      </c>
      <c r="U2412" s="87"/>
      <c r="V2412" s="183">
        <v>41976</v>
      </c>
      <c r="W2412" s="73">
        <v>145</v>
      </c>
      <c r="X2412" s="73">
        <f>7500*600/1000000</f>
        <v>4.5</v>
      </c>
      <c r="Y2412" s="83">
        <f>IF(SUM(W2412:W2412)&gt;0,X2412/SUM(W2412:W2412)*1000000,"N/A")</f>
        <v>31034.482758620688</v>
      </c>
      <c r="Z2412" s="183"/>
      <c r="AA2412" s="183"/>
      <c r="AB2412" s="223"/>
      <c r="AC2412" s="153"/>
      <c r="AD2412" s="331"/>
      <c r="AE2412" s="57"/>
      <c r="AF2412" s="88"/>
      <c r="AG2412" s="182">
        <f>YEAR(D2412)</f>
        <v>2014</v>
      </c>
      <c r="AH2412" s="86" t="str">
        <f>+IF(AE2412=$AJ$22,MONTH(T2412),"")</f>
        <v/>
      </c>
      <c r="AI2412" s="86" t="str">
        <f>+IF(AF2412=$AJ$22,MONTH(U2412),"")</f>
        <v/>
      </c>
      <c r="AJ2412" s="86" t="str">
        <f>+IF(AG2412=$AJ$22,MONTH(V2412),"")</f>
        <v/>
      </c>
      <c r="AK2412" s="86" t="str">
        <f>+IF(AG2412=$AK$22,MONTH(V2412),"")</f>
        <v/>
      </c>
      <c r="AL2412" s="86" t="str">
        <f>+IF(AG2412=$AL$22,MONTH(V2412),"")</f>
        <v/>
      </c>
      <c r="AM2412" s="86" t="str">
        <f>+IF($AG2412=$AM$22,MONTH($D2412),"")</f>
        <v/>
      </c>
      <c r="AN2412" s="89" t="str">
        <f>+IF($AG2412=AN$22,MONTH($D2412),"")</f>
        <v/>
      </c>
      <c r="AO2412" s="86" t="str">
        <f>+IF($AG2412=AO$22,MONTH($D2412),"")</f>
        <v/>
      </c>
      <c r="AP2412" s="86" t="str">
        <f>+IF($AG2412=AP$22,MONTH($D2412),"")</f>
        <v/>
      </c>
      <c r="AQ2412" s="86" t="str">
        <f>+IF($AG2412=AQ$22,MONTH($D2412),"")</f>
        <v/>
      </c>
      <c r="AR2412" s="86" t="str">
        <f>+IF($AG2412=AR$22,MONTH($D2412),"")</f>
        <v/>
      </c>
      <c r="AS2412" s="86" t="str">
        <f>+IF($AG2412=AS$22,MONTH($D2412),"")</f>
        <v/>
      </c>
      <c r="AT2412" s="86">
        <f>+IF($AG2412=AT$22,MONTH($D2412),"")</f>
        <v>11</v>
      </c>
      <c r="AU2412" s="86" t="str">
        <f>+IF($AG2412=AU$22,MONTH($D2412),"")</f>
        <v/>
      </c>
      <c r="AV2412" s="86" t="str">
        <f>+IF($AG2412=AV$22,MONTH($D2412),"")</f>
        <v/>
      </c>
      <c r="AW2412" s="86" t="str">
        <f>+IF($AG2412=AW$22,MONTH($D2412),"")</f>
        <v/>
      </c>
      <c r="AX2412" s="86" t="str">
        <f>+IF($AG2412=AX$22,MONTH($D2412),"")</f>
        <v/>
      </c>
      <c r="AY2412" s="89"/>
      <c r="AZ2412" s="89"/>
      <c r="BA2412" s="89"/>
      <c r="BB2412" s="89"/>
      <c r="BC2412" s="89"/>
      <c r="BD2412" s="89"/>
      <c r="BE2412" s="89"/>
      <c r="BF2412" s="89"/>
      <c r="BG2412" s="89"/>
      <c r="BH2412" s="89"/>
      <c r="BI2412" s="89"/>
      <c r="BJ2412" s="89"/>
      <c r="BK2412" s="89"/>
      <c r="BL2412" s="89"/>
      <c r="BM2412" s="89"/>
      <c r="BN2412" s="89"/>
      <c r="BO2412" s="89"/>
      <c r="BP2412" s="89"/>
    </row>
    <row r="2413" spans="1:68" s="56" customFormat="1" ht="13.5" hidden="1">
      <c r="A2413" s="204" t="str">
        <f>+IFERROR(VALUE(MID(AB2413,4,4)),"")</f>
        <v/>
      </c>
      <c r="B2413" s="204">
        <f>VALUE(RIGHT(C2413,LEN(C2413)-2))</f>
        <v>312</v>
      </c>
      <c r="C2413" s="74" t="s">
        <v>8205</v>
      </c>
      <c r="D2413" s="75">
        <v>41953</v>
      </c>
      <c r="E2413" s="70" t="s">
        <v>106</v>
      </c>
      <c r="F2413" s="70" t="s">
        <v>106</v>
      </c>
      <c r="G2413" s="68" t="s">
        <v>8206</v>
      </c>
      <c r="H2413" s="59"/>
      <c r="I2413" s="162" t="s">
        <v>8207</v>
      </c>
      <c r="J2413" s="162"/>
      <c r="K2413" s="68"/>
      <c r="L2413" s="69" t="s">
        <v>123</v>
      </c>
      <c r="M2413" s="71" t="s">
        <v>141</v>
      </c>
      <c r="N2413" s="69" t="e" vm="1">
        <v>#VALUE!</v>
      </c>
      <c r="O2413" s="164"/>
      <c r="P2413" s="72" t="s">
        <v>7372</v>
      </c>
      <c r="Q2413" s="72"/>
      <c r="R2413" s="162"/>
      <c r="S2413" s="146"/>
      <c r="T2413" s="68" t="s">
        <v>165</v>
      </c>
      <c r="U2413" s="87"/>
      <c r="V2413" s="183">
        <v>41976</v>
      </c>
      <c r="W2413" s="73">
        <v>445</v>
      </c>
      <c r="X2413" s="83">
        <f>32648*600/1000000</f>
        <v>19.588799999999999</v>
      </c>
      <c r="Y2413" s="83">
        <f>IF(SUM(W2413:W2413)&gt;0,X2413/SUM(W2413:W2413)*1000000,"N/A")</f>
        <v>44019.775280898881</v>
      </c>
      <c r="Z2413" s="183"/>
      <c r="AA2413" s="183"/>
      <c r="AB2413" s="223"/>
      <c r="AC2413" s="153"/>
      <c r="AD2413" s="331"/>
      <c r="AE2413" s="57"/>
      <c r="AF2413" s="88"/>
      <c r="AG2413" s="182">
        <f>YEAR(D2413)</f>
        <v>2014</v>
      </c>
      <c r="AH2413" s="86" t="str">
        <f>+IF(AE2413=$AJ$22,MONTH(T2413),"")</f>
        <v/>
      </c>
      <c r="AI2413" s="86" t="str">
        <f>+IF(AF2413=$AJ$22,MONTH(U2413),"")</f>
        <v/>
      </c>
      <c r="AJ2413" s="86" t="str">
        <f>+IF(AG2413=$AJ$22,MONTH(V2413),"")</f>
        <v/>
      </c>
      <c r="AK2413" s="86" t="str">
        <f>+IF(AG2413=$AK$22,MONTH(V2413),"")</f>
        <v/>
      </c>
      <c r="AL2413" s="86" t="str">
        <f>+IF(AG2413=$AL$22,MONTH(V2413),"")</f>
        <v/>
      </c>
      <c r="AM2413" s="86" t="str">
        <f>+IF($AG2413=$AM$22,MONTH($D2413),"")</f>
        <v/>
      </c>
      <c r="AN2413" s="89" t="str">
        <f>+IF($AG2413=AN$22,MONTH($D2413),"")</f>
        <v/>
      </c>
      <c r="AO2413" s="86" t="str">
        <f>+IF($AG2413=AO$22,MONTH($D2413),"")</f>
        <v/>
      </c>
      <c r="AP2413" s="86" t="str">
        <f>+IF($AG2413=AP$22,MONTH($D2413),"")</f>
        <v/>
      </c>
      <c r="AQ2413" s="86" t="str">
        <f>+IF($AG2413=AQ$22,MONTH($D2413),"")</f>
        <v/>
      </c>
      <c r="AR2413" s="86" t="str">
        <f>+IF($AG2413=AR$22,MONTH($D2413),"")</f>
        <v/>
      </c>
      <c r="AS2413" s="86" t="str">
        <f>+IF($AG2413=AS$22,MONTH($D2413),"")</f>
        <v/>
      </c>
      <c r="AT2413" s="86">
        <f>+IF($AG2413=AT$22,MONTH($D2413),"")</f>
        <v>11</v>
      </c>
      <c r="AU2413" s="86" t="str">
        <f>+IF($AG2413=AU$22,MONTH($D2413),"")</f>
        <v/>
      </c>
      <c r="AV2413" s="86" t="str">
        <f>+IF($AG2413=AV$22,MONTH($D2413),"")</f>
        <v/>
      </c>
      <c r="AW2413" s="86" t="str">
        <f>+IF($AG2413=AW$22,MONTH($D2413),"")</f>
        <v/>
      </c>
      <c r="AX2413" s="86" t="str">
        <f>+IF($AG2413=AX$22,MONTH($D2413),"")</f>
        <v/>
      </c>
      <c r="AY2413" s="89"/>
      <c r="AZ2413" s="89"/>
      <c r="BA2413" s="89"/>
      <c r="BB2413" s="89"/>
      <c r="BC2413" s="89"/>
      <c r="BD2413" s="89"/>
      <c r="BE2413" s="89"/>
      <c r="BF2413" s="89"/>
      <c r="BG2413" s="89"/>
      <c r="BH2413" s="89"/>
      <c r="BI2413" s="89"/>
      <c r="BJ2413" s="89"/>
      <c r="BK2413" s="89"/>
      <c r="BL2413" s="89"/>
      <c r="BM2413" s="89"/>
      <c r="BN2413" s="89"/>
      <c r="BO2413" s="89"/>
      <c r="BP2413" s="89"/>
    </row>
    <row r="2414" spans="1:68" s="56" customFormat="1" ht="13.5" hidden="1">
      <c r="A2414" s="204" t="str">
        <f>+IFERROR(VALUE(MID(AB2414,4,4)),"")</f>
        <v/>
      </c>
      <c r="B2414" s="204">
        <f>VALUE(RIGHT(C2414,LEN(C2414)-2))</f>
        <v>311</v>
      </c>
      <c r="C2414" s="74" t="s">
        <v>8208</v>
      </c>
      <c r="D2414" s="75">
        <v>41976</v>
      </c>
      <c r="E2414" s="70"/>
      <c r="F2414" s="70"/>
      <c r="G2414" s="68" t="s">
        <v>4701</v>
      </c>
      <c r="H2414" s="59"/>
      <c r="I2414" s="162" t="s">
        <v>8209</v>
      </c>
      <c r="J2414" s="162"/>
      <c r="K2414" s="68" t="s">
        <v>8210</v>
      </c>
      <c r="L2414" s="69" t="s">
        <v>120</v>
      </c>
      <c r="M2414" s="71"/>
      <c r="N2414" s="69"/>
      <c r="O2414" s="164"/>
      <c r="P2414" s="72" t="s">
        <v>402</v>
      </c>
      <c r="Q2414" s="72"/>
      <c r="R2414" s="162"/>
      <c r="S2414" s="146"/>
      <c r="T2414" s="68" t="s">
        <v>155</v>
      </c>
      <c r="U2414" s="87"/>
      <c r="V2414" s="183">
        <v>41976</v>
      </c>
      <c r="W2414" s="73"/>
      <c r="X2414" s="73"/>
      <c r="Y2414" s="73"/>
      <c r="Z2414" s="183"/>
      <c r="AA2414" s="183"/>
      <c r="AB2414" s="223"/>
      <c r="AC2414" s="153"/>
      <c r="AD2414" s="331"/>
      <c r="AE2414" s="57"/>
      <c r="AF2414" s="88"/>
      <c r="AG2414" s="182">
        <f>YEAR(D2414)</f>
        <v>2014</v>
      </c>
      <c r="AH2414" s="86" t="str">
        <f>+IF(AE2414=$AJ$22,MONTH(T2414),"")</f>
        <v/>
      </c>
      <c r="AI2414" s="86" t="str">
        <f>+IF(AF2414=$AJ$22,MONTH(U2414),"")</f>
        <v/>
      </c>
      <c r="AJ2414" s="86" t="str">
        <f>+IF(AG2414=$AJ$22,MONTH(V2414),"")</f>
        <v/>
      </c>
      <c r="AK2414" s="86" t="str">
        <f>+IF(AG2414=$AK$22,MONTH(V2414),"")</f>
        <v/>
      </c>
      <c r="AL2414" s="86" t="str">
        <f>+IF(AG2414=$AL$22,MONTH(V2414),"")</f>
        <v/>
      </c>
      <c r="AM2414" s="86" t="str">
        <f>+IF($AG2414=$AM$22,MONTH($D2414),"")</f>
        <v/>
      </c>
      <c r="AN2414" s="89" t="str">
        <f>+IF($AG2414=AN$22,MONTH($D2414),"")</f>
        <v/>
      </c>
      <c r="AO2414" s="86" t="str">
        <f>+IF($AG2414=AO$22,MONTH($D2414),"")</f>
        <v/>
      </c>
      <c r="AP2414" s="86" t="str">
        <f>+IF($AG2414=AP$22,MONTH($D2414),"")</f>
        <v/>
      </c>
      <c r="AQ2414" s="86" t="str">
        <f>+IF($AG2414=AQ$22,MONTH($D2414),"")</f>
        <v/>
      </c>
      <c r="AR2414" s="86" t="str">
        <f>+IF($AG2414=AR$22,MONTH($D2414),"")</f>
        <v/>
      </c>
      <c r="AS2414" s="86" t="str">
        <f>+IF($AG2414=AS$22,MONTH($D2414),"")</f>
        <v/>
      </c>
      <c r="AT2414" s="86">
        <f>+IF($AG2414=AT$22,MONTH($D2414),"")</f>
        <v>12</v>
      </c>
      <c r="AU2414" s="86" t="str">
        <f>+IF($AG2414=AU$22,MONTH($D2414),"")</f>
        <v/>
      </c>
      <c r="AV2414" s="86" t="str">
        <f>+IF($AG2414=AV$22,MONTH($D2414),"")</f>
        <v/>
      </c>
      <c r="AW2414" s="86" t="str">
        <f>+IF($AG2414=AW$22,MONTH($D2414),"")</f>
        <v/>
      </c>
      <c r="AX2414" s="86" t="str">
        <f>+IF($AG2414=AX$22,MONTH($D2414),"")</f>
        <v/>
      </c>
      <c r="AY2414" s="89"/>
      <c r="AZ2414" s="89"/>
      <c r="BA2414" s="89"/>
      <c r="BB2414" s="89"/>
      <c r="BC2414" s="89"/>
      <c r="BD2414" s="89"/>
      <c r="BE2414" s="89"/>
      <c r="BF2414" s="89"/>
      <c r="BG2414" s="89"/>
      <c r="BH2414" s="89"/>
      <c r="BI2414" s="89"/>
      <c r="BJ2414" s="89"/>
      <c r="BK2414" s="89"/>
      <c r="BL2414" s="89"/>
      <c r="BM2414" s="89"/>
      <c r="BN2414" s="89"/>
      <c r="BO2414" s="89"/>
      <c r="BP2414" s="89"/>
    </row>
    <row r="2415" spans="1:68" s="56" customFormat="1" ht="13.5" hidden="1">
      <c r="A2415" s="204">
        <f>+IFERROR(VALUE(MID(AB2415,4,4)),"")</f>
        <v>112</v>
      </c>
      <c r="B2415" s="204">
        <f>VALUE(RIGHT(C2415,LEN(C2415)-2))</f>
        <v>310</v>
      </c>
      <c r="C2415" s="74" t="s">
        <v>8211</v>
      </c>
      <c r="D2415" s="75">
        <v>41995</v>
      </c>
      <c r="E2415" s="70" t="s">
        <v>69</v>
      </c>
      <c r="F2415" s="70" t="s">
        <v>8212</v>
      </c>
      <c r="G2415" s="68" t="s">
        <v>8213</v>
      </c>
      <c r="H2415" s="59" t="s">
        <v>8102</v>
      </c>
      <c r="I2415" s="162" t="s">
        <v>8214</v>
      </c>
      <c r="J2415" s="162"/>
      <c r="K2415" s="68" t="s">
        <v>13</v>
      </c>
      <c r="L2415" s="69" t="s">
        <v>123</v>
      </c>
      <c r="M2415" s="71" t="s">
        <v>141</v>
      </c>
      <c r="N2415" s="69" t="e" vm="1">
        <v>#VALUE!</v>
      </c>
      <c r="O2415" s="164">
        <v>41995</v>
      </c>
      <c r="P2415" s="72" t="s">
        <v>4567</v>
      </c>
      <c r="Q2415" s="72"/>
      <c r="R2415" s="162"/>
      <c r="S2415" s="146" t="s">
        <v>8215</v>
      </c>
      <c r="T2415" s="68" t="s">
        <v>3</v>
      </c>
      <c r="U2415" s="87"/>
      <c r="V2415" s="183">
        <v>41679</v>
      </c>
      <c r="W2415" s="73">
        <v>625</v>
      </c>
      <c r="X2415" s="73">
        <f>1000*24500/1000000</f>
        <v>24.5</v>
      </c>
      <c r="Y2415" s="73">
        <f>IF(SUM(W2415:W2415)&gt;0,X2415/SUM(W2415:W2415)*1000000,"N/A")</f>
        <v>39200</v>
      </c>
      <c r="Z2415" s="183"/>
      <c r="AA2415" s="183"/>
      <c r="AB2415" s="223" t="s">
        <v>8216</v>
      </c>
      <c r="AC2415" s="153"/>
      <c r="AD2415" s="331"/>
      <c r="AE2415" s="57"/>
      <c r="AF2415" s="88"/>
      <c r="AG2415" s="182">
        <f>YEAR(D2415)</f>
        <v>2014</v>
      </c>
      <c r="AH2415" s="86" t="str">
        <f>+IF(AE2415=$AJ$22,MONTH(T2415),"")</f>
        <v/>
      </c>
      <c r="AI2415" s="86" t="str">
        <f>+IF(AF2415=$AJ$22,MONTH(U2415),"")</f>
        <v/>
      </c>
      <c r="AJ2415" s="86" t="str">
        <f>+IF(AG2415=$AJ$22,MONTH(V2415),"")</f>
        <v/>
      </c>
      <c r="AK2415" s="86" t="str">
        <f>+IF(AG2415=$AK$22,MONTH(V2415),"")</f>
        <v/>
      </c>
      <c r="AL2415" s="86" t="str">
        <f>+IF(AG2415=$AL$22,MONTH(V2415),"")</f>
        <v/>
      </c>
      <c r="AM2415" s="86" t="str">
        <f>+IF($AG2415=$AM$22,MONTH($D2415),"")</f>
        <v/>
      </c>
      <c r="AN2415" s="89" t="str">
        <f>+IF($AG2415=AN$22,MONTH($D2415),"")</f>
        <v/>
      </c>
      <c r="AO2415" s="86" t="str">
        <f>+IF($AG2415=AO$22,MONTH($D2415),"")</f>
        <v/>
      </c>
      <c r="AP2415" s="86" t="str">
        <f>+IF($AG2415=AP$22,MONTH($D2415),"")</f>
        <v/>
      </c>
      <c r="AQ2415" s="86" t="str">
        <f>+IF($AG2415=AQ$22,MONTH($D2415),"")</f>
        <v/>
      </c>
      <c r="AR2415" s="86" t="str">
        <f>+IF($AG2415=AR$22,MONTH($D2415),"")</f>
        <v/>
      </c>
      <c r="AS2415" s="86" t="str">
        <f>+IF($AG2415=AS$22,MONTH($D2415),"")</f>
        <v/>
      </c>
      <c r="AT2415" s="86">
        <f>+IF($AG2415=AT$22,MONTH($D2415),"")</f>
        <v>12</v>
      </c>
      <c r="AU2415" s="86" t="str">
        <f>+IF($AG2415=AU$22,MONTH($D2415),"")</f>
        <v/>
      </c>
      <c r="AV2415" s="86" t="str">
        <f>+IF($AG2415=AV$22,MONTH($D2415),"")</f>
        <v/>
      </c>
      <c r="AW2415" s="86" t="str">
        <f>+IF($AG2415=AW$22,MONTH($D2415),"")</f>
        <v/>
      </c>
      <c r="AX2415" s="86" t="str">
        <f>+IF($AG2415=AX$22,MONTH($D2415),"")</f>
        <v/>
      </c>
      <c r="AY2415" s="89"/>
      <c r="AZ2415" s="89"/>
      <c r="BA2415" s="89"/>
      <c r="BB2415" s="89"/>
      <c r="BC2415" s="89"/>
      <c r="BD2415" s="89"/>
      <c r="BE2415" s="89"/>
      <c r="BF2415" s="89"/>
      <c r="BG2415" s="89"/>
      <c r="BH2415" s="89"/>
      <c r="BI2415" s="89"/>
      <c r="BJ2415" s="89"/>
      <c r="BK2415" s="89"/>
      <c r="BL2415" s="89"/>
      <c r="BM2415" s="89"/>
      <c r="BN2415" s="89"/>
      <c r="BO2415" s="89"/>
      <c r="BP2415" s="89"/>
    </row>
    <row r="2416" spans="1:68" s="56" customFormat="1" ht="13.5" hidden="1">
      <c r="A2416" s="204">
        <f>+IFERROR(VALUE(MID(AB2416,4,4)),"")</f>
        <v>87</v>
      </c>
      <c r="B2416" s="204">
        <f>VALUE(RIGHT(C2416,LEN(C2416)-2))</f>
        <v>309</v>
      </c>
      <c r="C2416" s="74" t="s">
        <v>8217</v>
      </c>
      <c r="D2416" s="75">
        <v>41946</v>
      </c>
      <c r="E2416" s="70" t="s">
        <v>332</v>
      </c>
      <c r="F2416" s="70" t="s">
        <v>332</v>
      </c>
      <c r="G2416" s="68" t="s">
        <v>8218</v>
      </c>
      <c r="H2416" s="59"/>
      <c r="I2416" s="162" t="s">
        <v>8219</v>
      </c>
      <c r="J2416" s="162"/>
      <c r="K2416" s="68" t="s">
        <v>42</v>
      </c>
      <c r="L2416" s="69" t="s">
        <v>120</v>
      </c>
      <c r="M2416" s="71" t="s">
        <v>141</v>
      </c>
      <c r="N2416" s="69" t="e" vm="1">
        <v>#VALUE!</v>
      </c>
      <c r="O2416" s="164">
        <v>41946</v>
      </c>
      <c r="P2416" s="72" t="s">
        <v>7372</v>
      </c>
      <c r="Q2416" s="72"/>
      <c r="R2416" s="162"/>
      <c r="S2416" s="146" t="s">
        <v>8220</v>
      </c>
      <c r="T2416" s="68" t="s">
        <v>3</v>
      </c>
      <c r="U2416" s="87"/>
      <c r="V2416" s="183">
        <v>41976</v>
      </c>
      <c r="W2416" s="73">
        <v>240</v>
      </c>
      <c r="X2416" s="73">
        <f>475*24500/1000000</f>
        <v>11.637499999999999</v>
      </c>
      <c r="Y2416" s="73">
        <f>IF(SUM(W2416:W2416)&gt;0,X2416/SUM(W2416:W2416)*1000000,"N/A")</f>
        <v>48489.583333333328</v>
      </c>
      <c r="Z2416" s="183"/>
      <c r="AA2416" s="183"/>
      <c r="AB2416" s="223" t="s">
        <v>7997</v>
      </c>
      <c r="AC2416" s="153"/>
      <c r="AD2416" s="331"/>
      <c r="AE2416" s="57"/>
      <c r="AF2416" s="88"/>
      <c r="AG2416" s="182">
        <f>YEAR(D2416)</f>
        <v>2014</v>
      </c>
      <c r="AH2416" s="86" t="str">
        <f>+IF(AE2416=$AJ$22,MONTH(T2416),"")</f>
        <v/>
      </c>
      <c r="AI2416" s="86" t="str">
        <f>+IF(AF2416=$AJ$22,MONTH(U2416),"")</f>
        <v/>
      </c>
      <c r="AJ2416" s="86" t="str">
        <f>+IF(AG2416=$AJ$22,MONTH(V2416),"")</f>
        <v/>
      </c>
      <c r="AK2416" s="86" t="str">
        <f>+IF(AG2416=$AK$22,MONTH(V2416),"")</f>
        <v/>
      </c>
      <c r="AL2416" s="86" t="str">
        <f>+IF(AG2416=$AL$22,MONTH(V2416),"")</f>
        <v/>
      </c>
      <c r="AM2416" s="86" t="str">
        <f>+IF($AG2416=$AM$22,MONTH($D2416),"")</f>
        <v/>
      </c>
      <c r="AN2416" s="89" t="str">
        <f>+IF($AG2416=AN$22,MONTH($D2416),"")</f>
        <v/>
      </c>
      <c r="AO2416" s="86" t="str">
        <f>+IF($AG2416=AO$22,MONTH($D2416),"")</f>
        <v/>
      </c>
      <c r="AP2416" s="86" t="str">
        <f>+IF($AG2416=AP$22,MONTH($D2416),"")</f>
        <v/>
      </c>
      <c r="AQ2416" s="86" t="str">
        <f>+IF($AG2416=AQ$22,MONTH($D2416),"")</f>
        <v/>
      </c>
      <c r="AR2416" s="86" t="str">
        <f>+IF($AG2416=AR$22,MONTH($D2416),"")</f>
        <v/>
      </c>
      <c r="AS2416" s="86" t="str">
        <f>+IF($AG2416=AS$22,MONTH($D2416),"")</f>
        <v/>
      </c>
      <c r="AT2416" s="86">
        <f>+IF($AG2416=AT$22,MONTH($D2416),"")</f>
        <v>11</v>
      </c>
      <c r="AU2416" s="86" t="str">
        <f>+IF($AG2416=AU$22,MONTH($D2416),"")</f>
        <v/>
      </c>
      <c r="AV2416" s="86" t="str">
        <f>+IF($AG2416=AV$22,MONTH($D2416),"")</f>
        <v/>
      </c>
      <c r="AW2416" s="86" t="str">
        <f>+IF($AG2416=AW$22,MONTH($D2416),"")</f>
        <v/>
      </c>
      <c r="AX2416" s="86" t="str">
        <f>+IF($AG2416=AX$22,MONTH($D2416),"")</f>
        <v/>
      </c>
      <c r="AY2416" s="89"/>
      <c r="AZ2416" s="89"/>
      <c r="BA2416" s="89"/>
      <c r="BB2416" s="89"/>
      <c r="BC2416" s="89"/>
      <c r="BD2416" s="89"/>
      <c r="BE2416" s="89"/>
      <c r="BF2416" s="89"/>
      <c r="BG2416" s="89"/>
      <c r="BH2416" s="89"/>
      <c r="BI2416" s="89"/>
      <c r="BJ2416" s="89"/>
      <c r="BK2416" s="89"/>
      <c r="BL2416" s="89"/>
      <c r="BM2416" s="89"/>
      <c r="BN2416" s="89"/>
      <c r="BO2416" s="89"/>
      <c r="BP2416" s="89"/>
    </row>
    <row r="2417" spans="1:68" s="56" customFormat="1" ht="13.5" hidden="1">
      <c r="A2417" s="204">
        <f>+IFERROR(VALUE(MID(AB2417,4,4)),"")</f>
        <v>87</v>
      </c>
      <c r="B2417" s="204">
        <f>VALUE(RIGHT(C2417,LEN(C2417)-2))</f>
        <v>308</v>
      </c>
      <c r="C2417" s="74" t="s">
        <v>8221</v>
      </c>
      <c r="D2417" s="75">
        <v>41961</v>
      </c>
      <c r="E2417" s="70" t="s">
        <v>332</v>
      </c>
      <c r="F2417" s="70" t="s">
        <v>332</v>
      </c>
      <c r="G2417" s="68" t="s">
        <v>6883</v>
      </c>
      <c r="H2417" s="59"/>
      <c r="I2417" s="162" t="s">
        <v>8222</v>
      </c>
      <c r="J2417" s="162"/>
      <c r="K2417" s="68" t="s">
        <v>13</v>
      </c>
      <c r="L2417" s="69" t="s">
        <v>120</v>
      </c>
      <c r="M2417" s="71" t="s">
        <v>141</v>
      </c>
      <c r="N2417" s="69" t="e" vm="1">
        <v>#VALUE!</v>
      </c>
      <c r="O2417" s="164">
        <v>41961</v>
      </c>
      <c r="P2417" s="72" t="s">
        <v>4567</v>
      </c>
      <c r="Q2417" s="72"/>
      <c r="R2417" s="162"/>
      <c r="S2417" s="146" t="s">
        <v>8223</v>
      </c>
      <c r="T2417" s="68" t="s">
        <v>3</v>
      </c>
      <c r="U2417" s="87"/>
      <c r="V2417" s="183">
        <v>41976</v>
      </c>
      <c r="W2417" s="73">
        <v>244</v>
      </c>
      <c r="X2417" s="73">
        <f>399*24500/1000000</f>
        <v>9.7754999999999992</v>
      </c>
      <c r="Y2417" s="73">
        <f>IF(SUM(W2417:W2417)&gt;0,X2417/SUM(W2417:W2417)*1000000,"N/A")</f>
        <v>40063.524590163928</v>
      </c>
      <c r="Z2417" s="183"/>
      <c r="AA2417" s="183"/>
      <c r="AB2417" s="223" t="s">
        <v>7997</v>
      </c>
      <c r="AC2417" s="153"/>
      <c r="AD2417" s="331"/>
      <c r="AE2417" s="57"/>
      <c r="AF2417" s="88"/>
      <c r="AG2417" s="182">
        <f>YEAR(D2417)</f>
        <v>2014</v>
      </c>
      <c r="AH2417" s="86" t="str">
        <f>+IF(AE2417=$AJ$22,MONTH(T2417),"")</f>
        <v/>
      </c>
      <c r="AI2417" s="86" t="str">
        <f>+IF(AF2417=$AJ$22,MONTH(U2417),"")</f>
        <v/>
      </c>
      <c r="AJ2417" s="86" t="str">
        <f>+IF(AG2417=$AJ$22,MONTH(V2417),"")</f>
        <v/>
      </c>
      <c r="AK2417" s="86" t="str">
        <f>+IF(AG2417=$AK$22,MONTH(V2417),"")</f>
        <v/>
      </c>
      <c r="AL2417" s="86" t="str">
        <f>+IF(AG2417=$AL$22,MONTH(V2417),"")</f>
        <v/>
      </c>
      <c r="AM2417" s="86" t="str">
        <f>+IF($AG2417=$AM$22,MONTH($D2417),"")</f>
        <v/>
      </c>
      <c r="AN2417" s="89" t="str">
        <f>+IF($AG2417=AN$22,MONTH($D2417),"")</f>
        <v/>
      </c>
      <c r="AO2417" s="86" t="str">
        <f>+IF($AG2417=AO$22,MONTH($D2417),"")</f>
        <v/>
      </c>
      <c r="AP2417" s="86" t="str">
        <f>+IF($AG2417=AP$22,MONTH($D2417),"")</f>
        <v/>
      </c>
      <c r="AQ2417" s="86" t="str">
        <f>+IF($AG2417=AQ$22,MONTH($D2417),"")</f>
        <v/>
      </c>
      <c r="AR2417" s="86" t="str">
        <f>+IF($AG2417=AR$22,MONTH($D2417),"")</f>
        <v/>
      </c>
      <c r="AS2417" s="86" t="str">
        <f>+IF($AG2417=AS$22,MONTH($D2417),"")</f>
        <v/>
      </c>
      <c r="AT2417" s="86">
        <f>+IF($AG2417=AT$22,MONTH($D2417),"")</f>
        <v>11</v>
      </c>
      <c r="AU2417" s="86" t="str">
        <f>+IF($AG2417=AU$22,MONTH($D2417),"")</f>
        <v/>
      </c>
      <c r="AV2417" s="86" t="str">
        <f>+IF($AG2417=AV$22,MONTH($D2417),"")</f>
        <v/>
      </c>
      <c r="AW2417" s="86" t="str">
        <f>+IF($AG2417=AW$22,MONTH($D2417),"")</f>
        <v/>
      </c>
      <c r="AX2417" s="86" t="str">
        <f>+IF($AG2417=AX$22,MONTH($D2417),"")</f>
        <v/>
      </c>
      <c r="AY2417" s="89"/>
      <c r="AZ2417" s="89"/>
      <c r="BA2417" s="89"/>
      <c r="BB2417" s="89"/>
      <c r="BC2417" s="89"/>
      <c r="BD2417" s="89"/>
      <c r="BE2417" s="89"/>
      <c r="BF2417" s="89"/>
      <c r="BG2417" s="89"/>
      <c r="BH2417" s="89"/>
      <c r="BI2417" s="89"/>
      <c r="BJ2417" s="89"/>
      <c r="BK2417" s="89"/>
      <c r="BL2417" s="89"/>
      <c r="BM2417" s="89"/>
      <c r="BN2417" s="89"/>
      <c r="BO2417" s="89"/>
      <c r="BP2417" s="89"/>
    </row>
    <row r="2418" spans="1:68" s="56" customFormat="1" ht="27" hidden="1">
      <c r="A2418" s="204" t="str">
        <f>+IFERROR(VALUE(MID(AB2418,4,4)),"")</f>
        <v/>
      </c>
      <c r="B2418" s="204">
        <f>VALUE(RIGHT(C2418,LEN(C2418)-2))</f>
        <v>307</v>
      </c>
      <c r="C2418" s="74" t="s">
        <v>8224</v>
      </c>
      <c r="D2418" s="75">
        <v>41933</v>
      </c>
      <c r="E2418" s="70" t="s">
        <v>8225</v>
      </c>
      <c r="F2418" s="70" t="s">
        <v>8226</v>
      </c>
      <c r="G2418" s="68" t="s">
        <v>8101</v>
      </c>
      <c r="H2418" s="59" t="s">
        <v>8102</v>
      </c>
      <c r="I2418" s="162" t="s">
        <v>8227</v>
      </c>
      <c r="J2418" s="162"/>
      <c r="K2418" s="68" t="s">
        <v>13</v>
      </c>
      <c r="L2418" s="69" t="s">
        <v>123</v>
      </c>
      <c r="M2418" s="71" t="s">
        <v>141</v>
      </c>
      <c r="N2418" s="69" t="e" vm="1">
        <v>#VALUE!</v>
      </c>
      <c r="O2418" s="164">
        <v>41947</v>
      </c>
      <c r="P2418" s="72" t="s">
        <v>402</v>
      </c>
      <c r="Q2418" s="72"/>
      <c r="R2418" s="162"/>
      <c r="S2418" s="146"/>
      <c r="T2418" s="68" t="s">
        <v>165</v>
      </c>
      <c r="U2418" s="87"/>
      <c r="V2418" s="183">
        <v>42051</v>
      </c>
      <c r="W2418" s="73">
        <v>857</v>
      </c>
      <c r="X2418" s="73">
        <f>1146*24500/1000000</f>
        <v>28.077000000000002</v>
      </c>
      <c r="Y2418" s="73">
        <f>IF(SUM(W2418:W2418)&gt;0,X2418/SUM(W2418:W2418)*1000000,"N/A")</f>
        <v>32761.960326721121</v>
      </c>
      <c r="Z2418" s="183"/>
      <c r="AA2418" s="183"/>
      <c r="AB2418" s="223"/>
      <c r="AC2418" s="153"/>
      <c r="AD2418" s="331"/>
      <c r="AE2418" s="57"/>
      <c r="AF2418" s="88"/>
      <c r="AG2418" s="182">
        <f>YEAR(D2418)</f>
        <v>2014</v>
      </c>
      <c r="AH2418" s="86" t="str">
        <f>+IF(AE2418=$AJ$22,MONTH(T2418),"")</f>
        <v/>
      </c>
      <c r="AI2418" s="86" t="str">
        <f>+IF(AF2418=$AJ$22,MONTH(U2418),"")</f>
        <v/>
      </c>
      <c r="AJ2418" s="86" t="str">
        <f>+IF(AG2418=$AJ$22,MONTH(V2418),"")</f>
        <v/>
      </c>
      <c r="AK2418" s="86" t="str">
        <f>+IF(AG2418=$AK$22,MONTH(V2418),"")</f>
        <v/>
      </c>
      <c r="AL2418" s="86" t="str">
        <f>+IF(AG2418=$AL$22,MONTH(V2418),"")</f>
        <v/>
      </c>
      <c r="AM2418" s="86" t="str">
        <f>+IF($AG2418=$AM$22,MONTH($D2418),"")</f>
        <v/>
      </c>
      <c r="AN2418" s="89" t="str">
        <f>+IF($AG2418=AN$22,MONTH($D2418),"")</f>
        <v/>
      </c>
      <c r="AO2418" s="86" t="str">
        <f>+IF($AG2418=AO$22,MONTH($D2418),"")</f>
        <v/>
      </c>
      <c r="AP2418" s="86" t="str">
        <f>+IF($AG2418=AP$22,MONTH($D2418),"")</f>
        <v/>
      </c>
      <c r="AQ2418" s="86" t="str">
        <f>+IF($AG2418=AQ$22,MONTH($D2418),"")</f>
        <v/>
      </c>
      <c r="AR2418" s="86" t="str">
        <f>+IF($AG2418=AR$22,MONTH($D2418),"")</f>
        <v/>
      </c>
      <c r="AS2418" s="86" t="str">
        <f>+IF($AG2418=AS$22,MONTH($D2418),"")</f>
        <v/>
      </c>
      <c r="AT2418" s="86">
        <f>+IF($AG2418=AT$22,MONTH($D2418),"")</f>
        <v>10</v>
      </c>
      <c r="AU2418" s="86" t="str">
        <f>+IF($AG2418=AU$22,MONTH($D2418),"")</f>
        <v/>
      </c>
      <c r="AV2418" s="86" t="str">
        <f>+IF($AG2418=AV$22,MONTH($D2418),"")</f>
        <v/>
      </c>
      <c r="AW2418" s="86" t="str">
        <f>+IF($AG2418=AW$22,MONTH($D2418),"")</f>
        <v/>
      </c>
      <c r="AX2418" s="86" t="str">
        <f>+IF($AG2418=AX$22,MONTH($D2418),"")</f>
        <v/>
      </c>
      <c r="AY2418" s="89"/>
      <c r="AZ2418" s="89"/>
      <c r="BA2418" s="89"/>
      <c r="BB2418" s="89"/>
      <c r="BC2418" s="89"/>
      <c r="BD2418" s="89"/>
      <c r="BE2418" s="89"/>
      <c r="BF2418" s="89"/>
      <c r="BG2418" s="89"/>
      <c r="BH2418" s="89"/>
      <c r="BI2418" s="89"/>
      <c r="BJ2418" s="89"/>
      <c r="BK2418" s="89"/>
      <c r="BL2418" s="89"/>
      <c r="BM2418" s="89"/>
      <c r="BN2418" s="89"/>
      <c r="BO2418" s="89"/>
      <c r="BP2418" s="89"/>
    </row>
    <row r="2419" spans="1:68" s="56" customFormat="1" ht="27" hidden="1">
      <c r="A2419" s="204" t="str">
        <f>+IFERROR(VALUE(MID(AB2419,4,4)),"")</f>
        <v/>
      </c>
      <c r="B2419" s="204">
        <f>VALUE(RIGHT(C2419,LEN(C2419)-2))</f>
        <v>306</v>
      </c>
      <c r="C2419" s="74" t="s">
        <v>8228</v>
      </c>
      <c r="D2419" s="75">
        <v>41919</v>
      </c>
      <c r="E2419" s="70" t="s">
        <v>1321</v>
      </c>
      <c r="F2419" s="70" t="s">
        <v>2065</v>
      </c>
      <c r="G2419" s="68" t="s">
        <v>7848</v>
      </c>
      <c r="H2419" s="59"/>
      <c r="I2419" s="162" t="s">
        <v>8229</v>
      </c>
      <c r="J2419" s="162"/>
      <c r="K2419" s="68"/>
      <c r="L2419" s="69" t="s">
        <v>123</v>
      </c>
      <c r="M2419" s="71" t="s">
        <v>141</v>
      </c>
      <c r="N2419" s="69" t="e" vm="1">
        <v>#VALUE!</v>
      </c>
      <c r="O2419" s="164">
        <v>41940</v>
      </c>
      <c r="P2419" s="72" t="s">
        <v>402</v>
      </c>
      <c r="Q2419" s="72"/>
      <c r="R2419" s="162"/>
      <c r="S2419" s="146"/>
      <c r="T2419" s="68" t="s">
        <v>165</v>
      </c>
      <c r="U2419" s="87"/>
      <c r="V2419" s="183">
        <v>41976</v>
      </c>
      <c r="W2419" s="73">
        <v>270</v>
      </c>
      <c r="X2419" s="73">
        <f>465*24500/1000000</f>
        <v>11.3925</v>
      </c>
      <c r="Y2419" s="73">
        <f>IF(SUM(W2419:W2419)&gt;0,X2419/SUM(W2419:W2419)*1000000,"N/A")</f>
        <v>42194.444444444445</v>
      </c>
      <c r="Z2419" s="183"/>
      <c r="AA2419" s="183"/>
      <c r="AB2419" s="223"/>
      <c r="AC2419" s="153"/>
      <c r="AD2419" s="331"/>
      <c r="AE2419" s="57"/>
      <c r="AF2419" s="88"/>
      <c r="AG2419" s="182">
        <f>YEAR(D2419)</f>
        <v>2014</v>
      </c>
      <c r="AH2419" s="86" t="str">
        <f>+IF(AE2419=$AJ$22,MONTH(T2419),"")</f>
        <v/>
      </c>
      <c r="AI2419" s="86" t="str">
        <f>+IF(AF2419=$AJ$22,MONTH(U2419),"")</f>
        <v/>
      </c>
      <c r="AJ2419" s="86" t="str">
        <f>+IF(AG2419=$AJ$22,MONTH(V2419),"")</f>
        <v/>
      </c>
      <c r="AK2419" s="86" t="str">
        <f>+IF(AG2419=$AK$22,MONTH(V2419),"")</f>
        <v/>
      </c>
      <c r="AL2419" s="86" t="str">
        <f>+IF(AG2419=$AL$22,MONTH(V2419),"")</f>
        <v/>
      </c>
      <c r="AM2419" s="86" t="str">
        <f>+IF($AG2419=$AM$22,MONTH($D2419),"")</f>
        <v/>
      </c>
      <c r="AN2419" s="89" t="str">
        <f>+IF($AG2419=AN$22,MONTH($D2419),"")</f>
        <v/>
      </c>
      <c r="AO2419" s="86" t="str">
        <f>+IF($AG2419=AO$22,MONTH($D2419),"")</f>
        <v/>
      </c>
      <c r="AP2419" s="86" t="str">
        <f>+IF($AG2419=AP$22,MONTH($D2419),"")</f>
        <v/>
      </c>
      <c r="AQ2419" s="86" t="str">
        <f>+IF($AG2419=AQ$22,MONTH($D2419),"")</f>
        <v/>
      </c>
      <c r="AR2419" s="86" t="str">
        <f>+IF($AG2419=AR$22,MONTH($D2419),"")</f>
        <v/>
      </c>
      <c r="AS2419" s="86" t="str">
        <f>+IF($AG2419=AS$22,MONTH($D2419),"")</f>
        <v/>
      </c>
      <c r="AT2419" s="86">
        <f>+IF($AG2419=AT$22,MONTH($D2419),"")</f>
        <v>10</v>
      </c>
      <c r="AU2419" s="86" t="str">
        <f>+IF($AG2419=AU$22,MONTH($D2419),"")</f>
        <v/>
      </c>
      <c r="AV2419" s="86" t="str">
        <f>+IF($AG2419=AV$22,MONTH($D2419),"")</f>
        <v/>
      </c>
      <c r="AW2419" s="86" t="str">
        <f>+IF($AG2419=AW$22,MONTH($D2419),"")</f>
        <v/>
      </c>
      <c r="AX2419" s="86" t="str">
        <f>+IF($AG2419=AX$22,MONTH($D2419),"")</f>
        <v/>
      </c>
      <c r="AY2419" s="89"/>
      <c r="AZ2419" s="89"/>
      <c r="BA2419" s="89"/>
      <c r="BB2419" s="89"/>
      <c r="BC2419" s="89"/>
      <c r="BD2419" s="89"/>
      <c r="BE2419" s="89"/>
      <c r="BF2419" s="89"/>
      <c r="BG2419" s="89"/>
      <c r="BH2419" s="89"/>
      <c r="BI2419" s="89"/>
      <c r="BJ2419" s="89"/>
      <c r="BK2419" s="89"/>
      <c r="BL2419" s="89"/>
      <c r="BM2419" s="89"/>
      <c r="BN2419" s="89"/>
      <c r="BO2419" s="89"/>
      <c r="BP2419" s="89"/>
    </row>
    <row r="2420" spans="1:68" s="56" customFormat="1" ht="27" hidden="1">
      <c r="A2420" s="204" t="str">
        <f>+IFERROR(VALUE(MID(AB2420,4,4)),"")</f>
        <v/>
      </c>
      <c r="B2420" s="204">
        <f>VALUE(RIGHT(C2420,LEN(C2420)-2))</f>
        <v>305</v>
      </c>
      <c r="C2420" s="74" t="s">
        <v>8230</v>
      </c>
      <c r="D2420" s="75">
        <v>41934</v>
      </c>
      <c r="E2420" s="70" t="s">
        <v>69</v>
      </c>
      <c r="F2420" s="70" t="s">
        <v>263</v>
      </c>
      <c r="G2420" s="68" t="s">
        <v>8101</v>
      </c>
      <c r="H2420" s="59" t="s">
        <v>8102</v>
      </c>
      <c r="I2420" s="162" t="s">
        <v>8231</v>
      </c>
      <c r="J2420" s="162"/>
      <c r="K2420" s="68" t="s">
        <v>13</v>
      </c>
      <c r="L2420" s="69" t="s">
        <v>123</v>
      </c>
      <c r="M2420" s="71"/>
      <c r="N2420" s="69"/>
      <c r="O2420" s="164"/>
      <c r="P2420" s="72" t="s">
        <v>402</v>
      </c>
      <c r="Q2420" s="72"/>
      <c r="R2420" s="162"/>
      <c r="S2420" s="146"/>
      <c r="T2420" s="68" t="s">
        <v>165</v>
      </c>
      <c r="U2420" s="87"/>
      <c r="V2420" s="183">
        <v>41976</v>
      </c>
      <c r="W2420" s="73">
        <v>1046</v>
      </c>
      <c r="X2420" s="73">
        <f>1045*24500/1000000</f>
        <v>25.602499999999999</v>
      </c>
      <c r="Y2420" s="73">
        <f>IF(SUM(W2420:W2420)&gt;0,X2420/SUM(W2420:W2420)*1000000,"N/A")</f>
        <v>24476.577437858508</v>
      </c>
      <c r="Z2420" s="183"/>
      <c r="AA2420" s="183"/>
      <c r="AB2420" s="223"/>
      <c r="AC2420" s="153"/>
      <c r="AD2420" s="331"/>
      <c r="AE2420" s="57"/>
      <c r="AF2420" s="88"/>
      <c r="AG2420" s="182">
        <f>YEAR(D2420)</f>
        <v>2014</v>
      </c>
      <c r="AH2420" s="86" t="str">
        <f>+IF(AE2420=$AJ$22,MONTH(T2420),"")</f>
        <v/>
      </c>
      <c r="AI2420" s="86" t="str">
        <f>+IF(AF2420=$AJ$22,MONTH(U2420),"")</f>
        <v/>
      </c>
      <c r="AJ2420" s="86" t="str">
        <f>+IF(AG2420=$AJ$22,MONTH(V2420),"")</f>
        <v/>
      </c>
      <c r="AK2420" s="86" t="str">
        <f>+IF(AG2420=$AK$22,MONTH(V2420),"")</f>
        <v/>
      </c>
      <c r="AL2420" s="86" t="str">
        <f>+IF(AG2420=$AL$22,MONTH(V2420),"")</f>
        <v/>
      </c>
      <c r="AM2420" s="86" t="str">
        <f>+IF($AG2420=$AM$22,MONTH($D2420),"")</f>
        <v/>
      </c>
      <c r="AN2420" s="89" t="str">
        <f>+IF($AG2420=AN$22,MONTH($D2420),"")</f>
        <v/>
      </c>
      <c r="AO2420" s="86" t="str">
        <f>+IF($AG2420=AO$22,MONTH($D2420),"")</f>
        <v/>
      </c>
      <c r="AP2420" s="86" t="str">
        <f>+IF($AG2420=AP$22,MONTH($D2420),"")</f>
        <v/>
      </c>
      <c r="AQ2420" s="86" t="str">
        <f>+IF($AG2420=AQ$22,MONTH($D2420),"")</f>
        <v/>
      </c>
      <c r="AR2420" s="86" t="str">
        <f>+IF($AG2420=AR$22,MONTH($D2420),"")</f>
        <v/>
      </c>
      <c r="AS2420" s="86" t="str">
        <f>+IF($AG2420=AS$22,MONTH($D2420),"")</f>
        <v/>
      </c>
      <c r="AT2420" s="86">
        <f>+IF($AG2420=AT$22,MONTH($D2420),"")</f>
        <v>10</v>
      </c>
      <c r="AU2420" s="86" t="str">
        <f>+IF($AG2420=AU$22,MONTH($D2420),"")</f>
        <v/>
      </c>
      <c r="AV2420" s="86" t="str">
        <f>+IF($AG2420=AV$22,MONTH($D2420),"")</f>
        <v/>
      </c>
      <c r="AW2420" s="86" t="str">
        <f>+IF($AG2420=AW$22,MONTH($D2420),"")</f>
        <v/>
      </c>
      <c r="AX2420" s="86" t="str">
        <f>+IF($AG2420=AX$22,MONTH($D2420),"")</f>
        <v/>
      </c>
      <c r="AY2420" s="89"/>
      <c r="AZ2420" s="89"/>
      <c r="BA2420" s="89"/>
      <c r="BB2420" s="89"/>
      <c r="BC2420" s="89"/>
      <c r="BD2420" s="89"/>
      <c r="BE2420" s="89"/>
      <c r="BF2420" s="89"/>
      <c r="BG2420" s="89"/>
      <c r="BH2420" s="89"/>
      <c r="BI2420" s="89"/>
      <c r="BJ2420" s="89"/>
      <c r="BK2420" s="89"/>
      <c r="BL2420" s="89"/>
      <c r="BM2420" s="89"/>
      <c r="BN2420" s="89"/>
      <c r="BO2420" s="89"/>
      <c r="BP2420" s="89"/>
    </row>
    <row r="2421" spans="1:68" s="56" customFormat="1" ht="13.5" hidden="1">
      <c r="A2421" s="204" t="str">
        <f>+IFERROR(VALUE(MID(AB2421,4,4)),"")</f>
        <v/>
      </c>
      <c r="B2421" s="204">
        <f>VALUE(RIGHT(C2421,LEN(C2421)-2))</f>
        <v>304</v>
      </c>
      <c r="C2421" s="74" t="s">
        <v>8232</v>
      </c>
      <c r="D2421" s="75">
        <v>41926</v>
      </c>
      <c r="E2421" s="70" t="s">
        <v>8233</v>
      </c>
      <c r="F2421" s="70" t="s">
        <v>5382</v>
      </c>
      <c r="G2421" s="68" t="s">
        <v>8234</v>
      </c>
      <c r="H2421" s="59"/>
      <c r="I2421" s="162" t="s">
        <v>8235</v>
      </c>
      <c r="J2421" s="162"/>
      <c r="K2421" s="68"/>
      <c r="L2421" s="69" t="s">
        <v>123</v>
      </c>
      <c r="M2421" s="71" t="s">
        <v>141</v>
      </c>
      <c r="N2421" s="69" t="e" vm="1">
        <v>#VALUE!</v>
      </c>
      <c r="O2421" s="164"/>
      <c r="P2421" s="72" t="s">
        <v>402</v>
      </c>
      <c r="Q2421" s="72"/>
      <c r="R2421" s="162"/>
      <c r="S2421" s="146"/>
      <c r="T2421" s="68" t="s">
        <v>165</v>
      </c>
      <c r="U2421" s="87"/>
      <c r="V2421" s="183">
        <v>41989</v>
      </c>
      <c r="W2421" s="73">
        <v>295</v>
      </c>
      <c r="X2421" s="73">
        <f>220*24500/1000000</f>
        <v>5.39</v>
      </c>
      <c r="Y2421" s="73">
        <f>IF(SUM(W2421:W2421)&gt;0,X2421/SUM(W2421:W2421)*1000000,"N/A")</f>
        <v>18271.186440677964</v>
      </c>
      <c r="Z2421" s="183"/>
      <c r="AA2421" s="183"/>
      <c r="AB2421" s="223"/>
      <c r="AC2421" s="153"/>
      <c r="AD2421" s="331"/>
      <c r="AE2421" s="57"/>
      <c r="AF2421" s="88"/>
      <c r="AG2421" s="182">
        <f>YEAR(D2421)</f>
        <v>2014</v>
      </c>
      <c r="AH2421" s="86" t="str">
        <f>+IF(AE2421=$AJ$22,MONTH(T2421),"")</f>
        <v/>
      </c>
      <c r="AI2421" s="86" t="str">
        <f>+IF(AF2421=$AJ$22,MONTH(U2421),"")</f>
        <v/>
      </c>
      <c r="AJ2421" s="86" t="str">
        <f>+IF(AG2421=$AJ$22,MONTH(V2421),"")</f>
        <v/>
      </c>
      <c r="AK2421" s="86" t="str">
        <f>+IF(AG2421=$AK$22,MONTH(V2421),"")</f>
        <v/>
      </c>
      <c r="AL2421" s="86" t="str">
        <f>+IF(AG2421=$AL$22,MONTH(V2421),"")</f>
        <v/>
      </c>
      <c r="AM2421" s="86" t="str">
        <f>+IF($AG2421=$AM$22,MONTH($D2421),"")</f>
        <v/>
      </c>
      <c r="AN2421" s="89" t="str">
        <f>+IF($AG2421=AN$22,MONTH($D2421),"")</f>
        <v/>
      </c>
      <c r="AO2421" s="86" t="str">
        <f>+IF($AG2421=AO$22,MONTH($D2421),"")</f>
        <v/>
      </c>
      <c r="AP2421" s="86" t="str">
        <f>+IF($AG2421=AP$22,MONTH($D2421),"")</f>
        <v/>
      </c>
      <c r="AQ2421" s="86" t="str">
        <f>+IF($AG2421=AQ$22,MONTH($D2421),"")</f>
        <v/>
      </c>
      <c r="AR2421" s="86" t="str">
        <f>+IF($AG2421=AR$22,MONTH($D2421),"")</f>
        <v/>
      </c>
      <c r="AS2421" s="86" t="str">
        <f>+IF($AG2421=AS$22,MONTH($D2421),"")</f>
        <v/>
      </c>
      <c r="AT2421" s="86">
        <f>+IF($AG2421=AT$22,MONTH($D2421),"")</f>
        <v>10</v>
      </c>
      <c r="AU2421" s="86" t="str">
        <f>+IF($AG2421=AU$22,MONTH($D2421),"")</f>
        <v/>
      </c>
      <c r="AV2421" s="86" t="str">
        <f>+IF($AG2421=AV$22,MONTH($D2421),"")</f>
        <v/>
      </c>
      <c r="AW2421" s="86" t="str">
        <f>+IF($AG2421=AW$22,MONTH($D2421),"")</f>
        <v/>
      </c>
      <c r="AX2421" s="86" t="str">
        <f>+IF($AG2421=AX$22,MONTH($D2421),"")</f>
        <v/>
      </c>
      <c r="AY2421" s="89"/>
      <c r="AZ2421" s="89"/>
      <c r="BA2421" s="89"/>
      <c r="BB2421" s="89"/>
      <c r="BC2421" s="89"/>
      <c r="BD2421" s="89"/>
      <c r="BE2421" s="89"/>
      <c r="BF2421" s="89"/>
      <c r="BG2421" s="89"/>
      <c r="BH2421" s="89"/>
      <c r="BI2421" s="89"/>
      <c r="BJ2421" s="89"/>
      <c r="BK2421" s="89"/>
      <c r="BL2421" s="89"/>
      <c r="BM2421" s="89"/>
      <c r="BN2421" s="89"/>
      <c r="BO2421" s="89"/>
      <c r="BP2421" s="89"/>
    </row>
    <row r="2422" spans="1:68" s="56" customFormat="1" ht="13.5" hidden="1">
      <c r="A2422" s="204" t="str">
        <f>+IFERROR(VALUE(MID(AB2422,4,4)),"")</f>
        <v/>
      </c>
      <c r="B2422" s="204">
        <f>VALUE(RIGHT(C2422,LEN(C2422)-2))</f>
        <v>303</v>
      </c>
      <c r="C2422" s="74" t="s">
        <v>8236</v>
      </c>
      <c r="D2422" s="75">
        <v>41913</v>
      </c>
      <c r="E2422" s="70" t="s">
        <v>8237</v>
      </c>
      <c r="F2422" s="70" t="s">
        <v>5382</v>
      </c>
      <c r="G2422" s="68" t="s">
        <v>8238</v>
      </c>
      <c r="H2422" s="59"/>
      <c r="I2422" s="162" t="s">
        <v>8239</v>
      </c>
      <c r="J2422" s="162"/>
      <c r="K2422" s="68"/>
      <c r="L2422" s="69" t="s">
        <v>123</v>
      </c>
      <c r="M2422" s="71"/>
      <c r="N2422" s="69"/>
      <c r="O2422" s="164"/>
      <c r="P2422" s="72" t="s">
        <v>402</v>
      </c>
      <c r="Q2422" s="72"/>
      <c r="R2422" s="162"/>
      <c r="S2422" s="146"/>
      <c r="T2422" s="68" t="s">
        <v>165</v>
      </c>
      <c r="U2422" s="87"/>
      <c r="V2422" s="183">
        <v>41989</v>
      </c>
      <c r="W2422" s="73">
        <v>295</v>
      </c>
      <c r="X2422" s="73">
        <f>270*24500/1000000</f>
        <v>6.6150000000000002</v>
      </c>
      <c r="Y2422" s="73">
        <f>IF(SUM(W2422:W2422)&gt;0,X2422/SUM(W2422:W2422)*1000000,"N/A")</f>
        <v>22423.728813559326</v>
      </c>
      <c r="Z2422" s="183"/>
      <c r="AA2422" s="183"/>
      <c r="AB2422" s="223"/>
      <c r="AC2422" s="153"/>
      <c r="AD2422" s="331"/>
      <c r="AE2422" s="57"/>
      <c r="AF2422" s="88"/>
      <c r="AG2422" s="182">
        <f>YEAR(D2422)</f>
        <v>2014</v>
      </c>
      <c r="AH2422" s="86" t="str">
        <f>+IF(AE2422=$AJ$22,MONTH(T2422),"")</f>
        <v/>
      </c>
      <c r="AI2422" s="86" t="str">
        <f>+IF(AF2422=$AJ$22,MONTH(U2422),"")</f>
        <v/>
      </c>
      <c r="AJ2422" s="86" t="str">
        <f>+IF(AG2422=$AJ$22,MONTH(V2422),"")</f>
        <v/>
      </c>
      <c r="AK2422" s="86" t="str">
        <f>+IF(AG2422=$AK$22,MONTH(V2422),"")</f>
        <v/>
      </c>
      <c r="AL2422" s="86" t="str">
        <f>+IF(AG2422=$AL$22,MONTH(V2422),"")</f>
        <v/>
      </c>
      <c r="AM2422" s="86" t="str">
        <f>+IF($AG2422=$AM$22,MONTH($D2422),"")</f>
        <v/>
      </c>
      <c r="AN2422" s="89" t="str">
        <f>+IF($AG2422=AN$22,MONTH($D2422),"")</f>
        <v/>
      </c>
      <c r="AO2422" s="86" t="str">
        <f>+IF($AG2422=AO$22,MONTH($D2422),"")</f>
        <v/>
      </c>
      <c r="AP2422" s="86" t="str">
        <f>+IF($AG2422=AP$22,MONTH($D2422),"")</f>
        <v/>
      </c>
      <c r="AQ2422" s="86" t="str">
        <f>+IF($AG2422=AQ$22,MONTH($D2422),"")</f>
        <v/>
      </c>
      <c r="AR2422" s="86" t="str">
        <f>+IF($AG2422=AR$22,MONTH($D2422),"")</f>
        <v/>
      </c>
      <c r="AS2422" s="86" t="str">
        <f>+IF($AG2422=AS$22,MONTH($D2422),"")</f>
        <v/>
      </c>
      <c r="AT2422" s="86">
        <f>+IF($AG2422=AT$22,MONTH($D2422),"")</f>
        <v>10</v>
      </c>
      <c r="AU2422" s="86" t="str">
        <f>+IF($AG2422=AU$22,MONTH($D2422),"")</f>
        <v/>
      </c>
      <c r="AV2422" s="86" t="str">
        <f>+IF($AG2422=AV$22,MONTH($D2422),"")</f>
        <v/>
      </c>
      <c r="AW2422" s="86" t="str">
        <f>+IF($AG2422=AW$22,MONTH($D2422),"")</f>
        <v/>
      </c>
      <c r="AX2422" s="86" t="str">
        <f>+IF($AG2422=AX$22,MONTH($D2422),"")</f>
        <v/>
      </c>
      <c r="AY2422" s="89"/>
      <c r="AZ2422" s="89"/>
      <c r="BA2422" s="89"/>
      <c r="BB2422" s="89"/>
      <c r="BC2422" s="89"/>
      <c r="BD2422" s="89"/>
      <c r="BE2422" s="89"/>
      <c r="BF2422" s="89"/>
      <c r="BG2422" s="89"/>
      <c r="BH2422" s="89"/>
      <c r="BI2422" s="89"/>
      <c r="BJ2422" s="89"/>
      <c r="BK2422" s="89"/>
      <c r="BL2422" s="89"/>
      <c r="BM2422" s="89"/>
      <c r="BN2422" s="89"/>
      <c r="BO2422" s="89"/>
      <c r="BP2422" s="89"/>
    </row>
    <row r="2423" spans="1:68" s="56" customFormat="1" ht="13.5" hidden="1">
      <c r="A2423" s="204">
        <f>+IFERROR(VALUE(MID(AB2423,4,4)),"")</f>
        <v>87</v>
      </c>
      <c r="B2423" s="204">
        <f>VALUE(RIGHT(C2423,LEN(C2423)-2))</f>
        <v>302</v>
      </c>
      <c r="C2423" s="74" t="s">
        <v>8240</v>
      </c>
      <c r="D2423" s="75">
        <v>41913</v>
      </c>
      <c r="E2423" s="70" t="s">
        <v>332</v>
      </c>
      <c r="F2423" s="70" t="s">
        <v>332</v>
      </c>
      <c r="G2423" s="68" t="s">
        <v>8241</v>
      </c>
      <c r="H2423" s="59"/>
      <c r="I2423" s="162" t="s">
        <v>8242</v>
      </c>
      <c r="J2423" s="162"/>
      <c r="K2423" s="68" t="s">
        <v>13</v>
      </c>
      <c r="L2423" s="69" t="s">
        <v>120</v>
      </c>
      <c r="M2423" s="71" t="s">
        <v>141</v>
      </c>
      <c r="N2423" s="69" t="e" vm="1">
        <v>#VALUE!</v>
      </c>
      <c r="O2423" s="164">
        <v>41925</v>
      </c>
      <c r="P2423" s="72" t="s">
        <v>7372</v>
      </c>
      <c r="Q2423" s="72"/>
      <c r="R2423" s="162"/>
      <c r="S2423" s="146" t="s">
        <v>8243</v>
      </c>
      <c r="T2423" s="68" t="s">
        <v>3</v>
      </c>
      <c r="U2423" s="87"/>
      <c r="V2423" s="183">
        <v>42051</v>
      </c>
      <c r="W2423" s="73">
        <v>1184</v>
      </c>
      <c r="X2423" s="73">
        <f>1884*24500/1000000</f>
        <v>46.158000000000001</v>
      </c>
      <c r="Y2423" s="73">
        <f>IF(SUM(W2423:W2423)&gt;0,X2423/SUM(W2423:W2423)*1000000,"N/A")</f>
        <v>38984.7972972973</v>
      </c>
      <c r="Z2423" s="183"/>
      <c r="AA2423" s="183"/>
      <c r="AB2423" s="223" t="s">
        <v>7997</v>
      </c>
      <c r="AC2423" s="153"/>
      <c r="AD2423" s="331"/>
      <c r="AE2423" s="57"/>
      <c r="AF2423" s="88"/>
      <c r="AG2423" s="182">
        <f>YEAR(D2423)</f>
        <v>2014</v>
      </c>
      <c r="AH2423" s="86" t="str">
        <f>+IF(AE2423=$AJ$22,MONTH(T2423),"")</f>
        <v/>
      </c>
      <c r="AI2423" s="86" t="str">
        <f>+IF(AF2423=$AJ$22,MONTH(U2423),"")</f>
        <v/>
      </c>
      <c r="AJ2423" s="86" t="str">
        <f>+IF(AG2423=$AJ$22,MONTH(V2423),"")</f>
        <v/>
      </c>
      <c r="AK2423" s="86" t="str">
        <f>+IF(AG2423=$AK$22,MONTH(V2423),"")</f>
        <v/>
      </c>
      <c r="AL2423" s="86" t="str">
        <f>+IF(AG2423=$AL$22,MONTH(V2423),"")</f>
        <v/>
      </c>
      <c r="AM2423" s="86" t="str">
        <f>+IF($AG2423=$AM$22,MONTH($D2423),"")</f>
        <v/>
      </c>
      <c r="AN2423" s="89" t="str">
        <f>+IF($AG2423=AN$22,MONTH($D2423),"")</f>
        <v/>
      </c>
      <c r="AO2423" s="86" t="str">
        <f>+IF($AG2423=AO$22,MONTH($D2423),"")</f>
        <v/>
      </c>
      <c r="AP2423" s="86" t="str">
        <f>+IF($AG2423=AP$22,MONTH($D2423),"")</f>
        <v/>
      </c>
      <c r="AQ2423" s="86" t="str">
        <f>+IF($AG2423=AQ$22,MONTH($D2423),"")</f>
        <v/>
      </c>
      <c r="AR2423" s="86" t="str">
        <f>+IF($AG2423=AR$22,MONTH($D2423),"")</f>
        <v/>
      </c>
      <c r="AS2423" s="86" t="str">
        <f>+IF($AG2423=AS$22,MONTH($D2423),"")</f>
        <v/>
      </c>
      <c r="AT2423" s="86">
        <f>+IF($AG2423=AT$22,MONTH($D2423),"")</f>
        <v>10</v>
      </c>
      <c r="AU2423" s="86" t="str">
        <f>+IF($AG2423=AU$22,MONTH($D2423),"")</f>
        <v/>
      </c>
      <c r="AV2423" s="86" t="str">
        <f>+IF($AG2423=AV$22,MONTH($D2423),"")</f>
        <v/>
      </c>
      <c r="AW2423" s="86" t="str">
        <f>+IF($AG2423=AW$22,MONTH($D2423),"")</f>
        <v/>
      </c>
      <c r="AX2423" s="86" t="str">
        <f>+IF($AG2423=AX$22,MONTH($D2423),"")</f>
        <v/>
      </c>
      <c r="AY2423" s="89"/>
      <c r="AZ2423" s="89"/>
      <c r="BA2423" s="89"/>
      <c r="BB2423" s="89"/>
      <c r="BC2423" s="89"/>
      <c r="BD2423" s="89"/>
      <c r="BE2423" s="89"/>
      <c r="BF2423" s="89"/>
      <c r="BG2423" s="89"/>
      <c r="BH2423" s="89"/>
      <c r="BI2423" s="89"/>
      <c r="BJ2423" s="89"/>
      <c r="BK2423" s="89"/>
      <c r="BL2423" s="89"/>
      <c r="BM2423" s="89"/>
      <c r="BN2423" s="89"/>
      <c r="BO2423" s="89"/>
      <c r="BP2423" s="89"/>
    </row>
    <row r="2424" spans="1:68" s="56" customFormat="1" ht="13.5" hidden="1">
      <c r="A2424" s="204">
        <f>+IFERROR(VALUE(MID(AB2424,4,4)),"")</f>
        <v>107</v>
      </c>
      <c r="B2424" s="204">
        <f>VALUE(RIGHT(C2424,LEN(C2424)-2))</f>
        <v>301</v>
      </c>
      <c r="C2424" s="74" t="s">
        <v>8244</v>
      </c>
      <c r="D2424" s="75">
        <v>41841</v>
      </c>
      <c r="E2424" s="70" t="s">
        <v>2961</v>
      </c>
      <c r="F2424" s="70" t="s">
        <v>2961</v>
      </c>
      <c r="G2424" s="68" t="s">
        <v>364</v>
      </c>
      <c r="H2424" s="59" t="s">
        <v>8245</v>
      </c>
      <c r="I2424" s="162" t="s">
        <v>8246</v>
      </c>
      <c r="J2424" s="162"/>
      <c r="K2424" s="68" t="s">
        <v>25</v>
      </c>
      <c r="L2424" s="69" t="s">
        <v>120</v>
      </c>
      <c r="M2424" s="71" t="s">
        <v>141</v>
      </c>
      <c r="N2424" s="69" t="e" vm="1">
        <v>#VALUE!</v>
      </c>
      <c r="O2424" s="164">
        <v>41841</v>
      </c>
      <c r="P2424" s="72" t="s">
        <v>402</v>
      </c>
      <c r="Q2424" s="72"/>
      <c r="R2424" s="162"/>
      <c r="S2424" s="146"/>
      <c r="T2424" s="68" t="s">
        <v>3</v>
      </c>
      <c r="U2424" s="87"/>
      <c r="V2424" s="183">
        <v>41976</v>
      </c>
      <c r="W2424" s="73">
        <v>2</v>
      </c>
      <c r="X2424" s="73">
        <v>0.1</v>
      </c>
      <c r="Y2424" s="73">
        <f>IF(SUM(W2424:W2424)&gt;0,X2424/SUM(W2424:W2424)*1000000,"N/A")</f>
        <v>50000</v>
      </c>
      <c r="Z2424" s="183"/>
      <c r="AA2424" s="183"/>
      <c r="AB2424" s="223" t="s">
        <v>8247</v>
      </c>
      <c r="AC2424" s="153"/>
      <c r="AD2424" s="331"/>
      <c r="AE2424" s="57"/>
      <c r="AF2424" s="88"/>
      <c r="AG2424" s="182">
        <f>YEAR(D2424)</f>
        <v>2014</v>
      </c>
      <c r="AH2424" s="86" t="str">
        <f>+IF(AE2424=$AJ$22,MONTH(T2424),"")</f>
        <v/>
      </c>
      <c r="AI2424" s="86" t="str">
        <f>+IF(AF2424=$AJ$22,MONTH(U2424),"")</f>
        <v/>
      </c>
      <c r="AJ2424" s="86" t="str">
        <f>+IF(AG2424=$AJ$22,MONTH(V2424),"")</f>
        <v/>
      </c>
      <c r="AK2424" s="86" t="str">
        <f>+IF(AG2424=$AK$22,MONTH(V2424),"")</f>
        <v/>
      </c>
      <c r="AL2424" s="86" t="str">
        <f>+IF(AG2424=$AL$22,MONTH(V2424),"")</f>
        <v/>
      </c>
      <c r="AM2424" s="86" t="str">
        <f>+IF($AG2424=$AM$22,MONTH($D2424),"")</f>
        <v/>
      </c>
      <c r="AN2424" s="89" t="str">
        <f>+IF($AG2424=AN$22,MONTH($D2424),"")</f>
        <v/>
      </c>
      <c r="AO2424" s="86" t="str">
        <f>+IF($AG2424=AO$22,MONTH($D2424),"")</f>
        <v/>
      </c>
      <c r="AP2424" s="86" t="str">
        <f>+IF($AG2424=AP$22,MONTH($D2424),"")</f>
        <v/>
      </c>
      <c r="AQ2424" s="86" t="str">
        <f>+IF($AG2424=AQ$22,MONTH($D2424),"")</f>
        <v/>
      </c>
      <c r="AR2424" s="86" t="str">
        <f>+IF($AG2424=AR$22,MONTH($D2424),"")</f>
        <v/>
      </c>
      <c r="AS2424" s="86" t="str">
        <f>+IF($AG2424=AS$22,MONTH($D2424),"")</f>
        <v/>
      </c>
      <c r="AT2424" s="86">
        <f>+IF($AG2424=AT$22,MONTH($D2424),"")</f>
        <v>7</v>
      </c>
      <c r="AU2424" s="86" t="str">
        <f>+IF($AG2424=AU$22,MONTH($D2424),"")</f>
        <v/>
      </c>
      <c r="AV2424" s="86" t="str">
        <f>+IF($AG2424=AV$22,MONTH($D2424),"")</f>
        <v/>
      </c>
      <c r="AW2424" s="86" t="str">
        <f>+IF($AG2424=AW$22,MONTH($D2424),"")</f>
        <v/>
      </c>
      <c r="AX2424" s="86" t="str">
        <f>+IF($AG2424=AX$22,MONTH($D2424),"")</f>
        <v/>
      </c>
      <c r="AY2424" s="89"/>
      <c r="AZ2424" s="89"/>
      <c r="BA2424" s="89"/>
      <c r="BB2424" s="89"/>
      <c r="BC2424" s="89"/>
      <c r="BD2424" s="89"/>
      <c r="BE2424" s="89"/>
      <c r="BF2424" s="89"/>
      <c r="BG2424" s="89"/>
      <c r="BH2424" s="89"/>
      <c r="BI2424" s="89"/>
      <c r="BJ2424" s="89"/>
      <c r="BK2424" s="89"/>
      <c r="BL2424" s="89"/>
      <c r="BM2424" s="89"/>
      <c r="BN2424" s="89"/>
      <c r="BO2424" s="89"/>
      <c r="BP2424" s="89"/>
    </row>
    <row r="2425" spans="1:68" s="56" customFormat="1" ht="13.5" hidden="1">
      <c r="A2425" s="204">
        <f>+IFERROR(VALUE(MID(AB2425,4,4)),"")</f>
        <v>104</v>
      </c>
      <c r="B2425" s="204">
        <f>VALUE(RIGHT(C2425,LEN(C2425)-2))</f>
        <v>300</v>
      </c>
      <c r="C2425" s="74" t="s">
        <v>8248</v>
      </c>
      <c r="D2425" s="75">
        <v>41841</v>
      </c>
      <c r="E2425" s="70" t="s">
        <v>2961</v>
      </c>
      <c r="F2425" s="70" t="s">
        <v>2961</v>
      </c>
      <c r="G2425" s="68" t="s">
        <v>4822</v>
      </c>
      <c r="H2425" s="59"/>
      <c r="I2425" s="162" t="s">
        <v>8249</v>
      </c>
      <c r="J2425" s="162"/>
      <c r="K2425" s="68" t="s">
        <v>25</v>
      </c>
      <c r="L2425" s="69" t="s">
        <v>120</v>
      </c>
      <c r="M2425" s="71" t="s">
        <v>141</v>
      </c>
      <c r="N2425" s="69" t="e" vm="1">
        <v>#VALUE!</v>
      </c>
      <c r="O2425" s="164">
        <v>41841</v>
      </c>
      <c r="P2425" s="72" t="s">
        <v>402</v>
      </c>
      <c r="Q2425" s="72"/>
      <c r="R2425" s="162"/>
      <c r="S2425" s="146"/>
      <c r="T2425" s="68" t="s">
        <v>3</v>
      </c>
      <c r="U2425" s="87"/>
      <c r="V2425" s="183">
        <v>41976</v>
      </c>
      <c r="W2425" s="73">
        <v>12</v>
      </c>
      <c r="X2425" s="73">
        <f>16.4*24500/1000000</f>
        <v>0.40179999999999993</v>
      </c>
      <c r="Y2425" s="73">
        <f>IF(SUM(W2425:W2425)&gt;0,X2425/SUM(W2425:W2425)*1000000,"N/A")</f>
        <v>33483.333333333328</v>
      </c>
      <c r="Z2425" s="183"/>
      <c r="AA2425" s="183"/>
      <c r="AB2425" s="223" t="s">
        <v>8250</v>
      </c>
      <c r="AC2425" s="153"/>
      <c r="AD2425" s="331"/>
      <c r="AE2425" s="57"/>
      <c r="AF2425" s="88"/>
      <c r="AG2425" s="182">
        <f>YEAR(D2425)</f>
        <v>2014</v>
      </c>
      <c r="AH2425" s="86" t="str">
        <f>+IF(AE2425=$AJ$22,MONTH(T2425),"")</f>
        <v/>
      </c>
      <c r="AI2425" s="86" t="str">
        <f>+IF(AF2425=$AJ$22,MONTH(U2425),"")</f>
        <v/>
      </c>
      <c r="AJ2425" s="86" t="str">
        <f>+IF(AG2425=$AJ$22,MONTH(V2425),"")</f>
        <v/>
      </c>
      <c r="AK2425" s="86" t="str">
        <f>+IF(AG2425=$AK$22,MONTH(V2425),"")</f>
        <v/>
      </c>
      <c r="AL2425" s="86" t="str">
        <f>+IF(AG2425=$AL$22,MONTH(V2425),"")</f>
        <v/>
      </c>
      <c r="AM2425" s="86" t="str">
        <f>+IF($AG2425=$AM$22,MONTH($D2425),"")</f>
        <v/>
      </c>
      <c r="AN2425" s="89" t="str">
        <f>+IF($AG2425=AN$22,MONTH($D2425),"")</f>
        <v/>
      </c>
      <c r="AO2425" s="86" t="str">
        <f>+IF($AG2425=AO$22,MONTH($D2425),"")</f>
        <v/>
      </c>
      <c r="AP2425" s="86" t="str">
        <f>+IF($AG2425=AP$22,MONTH($D2425),"")</f>
        <v/>
      </c>
      <c r="AQ2425" s="86" t="str">
        <f>+IF($AG2425=AQ$22,MONTH($D2425),"")</f>
        <v/>
      </c>
      <c r="AR2425" s="86" t="str">
        <f>+IF($AG2425=AR$22,MONTH($D2425),"")</f>
        <v/>
      </c>
      <c r="AS2425" s="86" t="str">
        <f>+IF($AG2425=AS$22,MONTH($D2425),"")</f>
        <v/>
      </c>
      <c r="AT2425" s="86">
        <f>+IF($AG2425=AT$22,MONTH($D2425),"")</f>
        <v>7</v>
      </c>
      <c r="AU2425" s="86" t="str">
        <f>+IF($AG2425=AU$22,MONTH($D2425),"")</f>
        <v/>
      </c>
      <c r="AV2425" s="86" t="str">
        <f>+IF($AG2425=AV$22,MONTH($D2425),"")</f>
        <v/>
      </c>
      <c r="AW2425" s="86" t="str">
        <f>+IF($AG2425=AW$22,MONTH($D2425),"")</f>
        <v/>
      </c>
      <c r="AX2425" s="86" t="str">
        <f>+IF($AG2425=AX$22,MONTH($D2425),"")</f>
        <v/>
      </c>
      <c r="AY2425" s="89"/>
      <c r="AZ2425" s="89"/>
      <c r="BA2425" s="89"/>
      <c r="BB2425" s="89"/>
      <c r="BC2425" s="89"/>
      <c r="BD2425" s="89"/>
      <c r="BE2425" s="89"/>
      <c r="BF2425" s="89"/>
      <c r="BG2425" s="89"/>
      <c r="BH2425" s="89"/>
      <c r="BI2425" s="89"/>
      <c r="BJ2425" s="89"/>
      <c r="BK2425" s="89"/>
      <c r="BL2425" s="89"/>
      <c r="BM2425" s="89"/>
      <c r="BN2425" s="89"/>
      <c r="BO2425" s="89"/>
      <c r="BP2425" s="89"/>
    </row>
    <row r="2426" spans="1:68" s="56" customFormat="1" ht="13.5" hidden="1">
      <c r="A2426" s="204">
        <f>+IFERROR(VALUE(MID(AB2426,4,4)),"")</f>
        <v>105</v>
      </c>
      <c r="B2426" s="204">
        <f>VALUE(RIGHT(C2426,LEN(C2426)-2))</f>
        <v>299</v>
      </c>
      <c r="C2426" s="74" t="s">
        <v>8251</v>
      </c>
      <c r="D2426" s="75">
        <v>41855</v>
      </c>
      <c r="E2426" s="70" t="s">
        <v>2961</v>
      </c>
      <c r="F2426" s="70" t="s">
        <v>2961</v>
      </c>
      <c r="G2426" s="68"/>
      <c r="H2426" s="59"/>
      <c r="I2426" s="162" t="s">
        <v>8252</v>
      </c>
      <c r="J2426" s="162"/>
      <c r="K2426" s="68" t="s">
        <v>25</v>
      </c>
      <c r="L2426" s="69" t="s">
        <v>120</v>
      </c>
      <c r="M2426" s="71" t="s">
        <v>141</v>
      </c>
      <c r="N2426" s="69" t="e" vm="1">
        <v>#VALUE!</v>
      </c>
      <c r="O2426" s="164">
        <v>41855</v>
      </c>
      <c r="P2426" s="72" t="s">
        <v>4567</v>
      </c>
      <c r="Q2426" s="72"/>
      <c r="R2426" s="162"/>
      <c r="S2426" s="146"/>
      <c r="T2426" s="68" t="s">
        <v>3</v>
      </c>
      <c r="U2426" s="87"/>
      <c r="V2426" s="183">
        <v>41976</v>
      </c>
      <c r="W2426" s="73">
        <v>44.5</v>
      </c>
      <c r="X2426" s="73">
        <f>749000/1000000</f>
        <v>0.749</v>
      </c>
      <c r="Y2426" s="73">
        <f>IF(SUM(W2426:W2426)&gt;0,X2426/SUM(W2426:W2426)*1000000,"N/A")</f>
        <v>16831.460674157301</v>
      </c>
      <c r="Z2426" s="183"/>
      <c r="AA2426" s="183"/>
      <c r="AB2426" s="223" t="s">
        <v>8253</v>
      </c>
      <c r="AC2426" s="153"/>
      <c r="AD2426" s="331"/>
      <c r="AE2426" s="57"/>
      <c r="AF2426" s="88"/>
      <c r="AG2426" s="182">
        <f>YEAR(D2426)</f>
        <v>2014</v>
      </c>
      <c r="AH2426" s="86" t="str">
        <f>+IF(AE2426=$AJ$22,MONTH(T2426),"")</f>
        <v/>
      </c>
      <c r="AI2426" s="86" t="str">
        <f>+IF(AF2426=$AJ$22,MONTH(U2426),"")</f>
        <v/>
      </c>
      <c r="AJ2426" s="86" t="str">
        <f>+IF(AG2426=$AJ$22,MONTH(V2426),"")</f>
        <v/>
      </c>
      <c r="AK2426" s="86" t="str">
        <f>+IF(AG2426=$AK$22,MONTH(V2426),"")</f>
        <v/>
      </c>
      <c r="AL2426" s="86" t="str">
        <f>+IF(AG2426=$AL$22,MONTH(V2426),"")</f>
        <v/>
      </c>
      <c r="AM2426" s="86" t="str">
        <f>+IF($AG2426=$AM$22,MONTH($D2426),"")</f>
        <v/>
      </c>
      <c r="AN2426" s="89" t="str">
        <f>+IF($AG2426=AN$22,MONTH($D2426),"")</f>
        <v/>
      </c>
      <c r="AO2426" s="86" t="str">
        <f>+IF($AG2426=AO$22,MONTH($D2426),"")</f>
        <v/>
      </c>
      <c r="AP2426" s="86" t="str">
        <f>+IF($AG2426=AP$22,MONTH($D2426),"")</f>
        <v/>
      </c>
      <c r="AQ2426" s="86" t="str">
        <f>+IF($AG2426=AQ$22,MONTH($D2426),"")</f>
        <v/>
      </c>
      <c r="AR2426" s="86" t="str">
        <f>+IF($AG2426=AR$22,MONTH($D2426),"")</f>
        <v/>
      </c>
      <c r="AS2426" s="86" t="str">
        <f>+IF($AG2426=AS$22,MONTH($D2426),"")</f>
        <v/>
      </c>
      <c r="AT2426" s="86">
        <f>+IF($AG2426=AT$22,MONTH($D2426),"")</f>
        <v>8</v>
      </c>
      <c r="AU2426" s="86" t="str">
        <f>+IF($AG2426=AU$22,MONTH($D2426),"")</f>
        <v/>
      </c>
      <c r="AV2426" s="86" t="str">
        <f>+IF($AG2426=AV$22,MONTH($D2426),"")</f>
        <v/>
      </c>
      <c r="AW2426" s="86" t="str">
        <f>+IF($AG2426=AW$22,MONTH($D2426),"")</f>
        <v/>
      </c>
      <c r="AX2426" s="86" t="str">
        <f>+IF($AG2426=AX$22,MONTH($D2426),"")</f>
        <v/>
      </c>
      <c r="AY2426" s="89"/>
      <c r="AZ2426" s="89"/>
      <c r="BA2426" s="89"/>
      <c r="BB2426" s="89"/>
      <c r="BC2426" s="89"/>
      <c r="BD2426" s="89"/>
      <c r="BE2426" s="89"/>
      <c r="BF2426" s="89"/>
      <c r="BG2426" s="89"/>
      <c r="BH2426" s="89"/>
      <c r="BI2426" s="89"/>
      <c r="BJ2426" s="89"/>
      <c r="BK2426" s="89"/>
      <c r="BL2426" s="89"/>
      <c r="BM2426" s="89"/>
      <c r="BN2426" s="89"/>
      <c r="BO2426" s="89"/>
      <c r="BP2426" s="89"/>
    </row>
    <row r="2427" spans="1:68" s="56" customFormat="1" ht="13.5" hidden="1">
      <c r="A2427" s="204">
        <f>+IFERROR(VALUE(MID(AB2427,4,4)),"")</f>
        <v>106</v>
      </c>
      <c r="B2427" s="204">
        <f>VALUE(RIGHT(C2427,LEN(C2427)-2))</f>
        <v>298</v>
      </c>
      <c r="C2427" s="74" t="s">
        <v>8254</v>
      </c>
      <c r="D2427" s="75">
        <v>41890</v>
      </c>
      <c r="E2427" s="70" t="s">
        <v>2961</v>
      </c>
      <c r="F2427" s="70" t="s">
        <v>2961</v>
      </c>
      <c r="G2427" s="68" t="s">
        <v>8255</v>
      </c>
      <c r="H2427" s="59"/>
      <c r="I2427" s="162" t="s">
        <v>8256</v>
      </c>
      <c r="J2427" s="162"/>
      <c r="K2427" s="68" t="s">
        <v>25</v>
      </c>
      <c r="L2427" s="69" t="s">
        <v>120</v>
      </c>
      <c r="M2427" s="71" t="s">
        <v>141</v>
      </c>
      <c r="N2427" s="69" t="e" vm="1">
        <v>#VALUE!</v>
      </c>
      <c r="O2427" s="164">
        <v>41890</v>
      </c>
      <c r="P2427" s="72" t="s">
        <v>666</v>
      </c>
      <c r="Q2427" s="72"/>
      <c r="R2427" s="162"/>
      <c r="S2427" s="146"/>
      <c r="T2427" s="68" t="s">
        <v>3</v>
      </c>
      <c r="U2427" s="87"/>
      <c r="V2427" s="183">
        <v>41976</v>
      </c>
      <c r="W2427" s="73">
        <v>247</v>
      </c>
      <c r="X2427" s="73">
        <f>277*24500/1000000</f>
        <v>6.7865000000000002</v>
      </c>
      <c r="Y2427" s="73">
        <f>IF(SUM(W2427:W2427)&gt;0,X2427/SUM(W2427:W2427)*1000000,"N/A")</f>
        <v>27475.708502024292</v>
      </c>
      <c r="Z2427" s="183"/>
      <c r="AA2427" s="183"/>
      <c r="AB2427" s="223" t="s">
        <v>8257</v>
      </c>
      <c r="AC2427" s="153"/>
      <c r="AD2427" s="331"/>
      <c r="AE2427" s="57"/>
      <c r="AF2427" s="88"/>
      <c r="AG2427" s="182">
        <f>YEAR(D2427)</f>
        <v>2014</v>
      </c>
      <c r="AH2427" s="86" t="str">
        <f>+IF(AE2427=$AJ$22,MONTH(T2427),"")</f>
        <v/>
      </c>
      <c r="AI2427" s="86" t="str">
        <f>+IF(AF2427=$AJ$22,MONTH(U2427),"")</f>
        <v/>
      </c>
      <c r="AJ2427" s="86" t="str">
        <f>+IF(AG2427=$AJ$22,MONTH(V2427),"")</f>
        <v/>
      </c>
      <c r="AK2427" s="86" t="str">
        <f>+IF(AG2427=$AK$22,MONTH(V2427),"")</f>
        <v/>
      </c>
      <c r="AL2427" s="86" t="str">
        <f>+IF(AG2427=$AL$22,MONTH(V2427),"")</f>
        <v/>
      </c>
      <c r="AM2427" s="86" t="str">
        <f>+IF($AG2427=$AM$22,MONTH($D2427),"")</f>
        <v/>
      </c>
      <c r="AN2427" s="89" t="str">
        <f>+IF($AG2427=AN$22,MONTH($D2427),"")</f>
        <v/>
      </c>
      <c r="AO2427" s="86" t="str">
        <f>+IF($AG2427=AO$22,MONTH($D2427),"")</f>
        <v/>
      </c>
      <c r="AP2427" s="86" t="str">
        <f>+IF($AG2427=AP$22,MONTH($D2427),"")</f>
        <v/>
      </c>
      <c r="AQ2427" s="86" t="str">
        <f>+IF($AG2427=AQ$22,MONTH($D2427),"")</f>
        <v/>
      </c>
      <c r="AR2427" s="86" t="str">
        <f>+IF($AG2427=AR$22,MONTH($D2427),"")</f>
        <v/>
      </c>
      <c r="AS2427" s="86" t="str">
        <f>+IF($AG2427=AS$22,MONTH($D2427),"")</f>
        <v/>
      </c>
      <c r="AT2427" s="86">
        <f>+IF($AG2427=AT$22,MONTH($D2427),"")</f>
        <v>9</v>
      </c>
      <c r="AU2427" s="86" t="str">
        <f>+IF($AG2427=AU$22,MONTH($D2427),"")</f>
        <v/>
      </c>
      <c r="AV2427" s="86" t="str">
        <f>+IF($AG2427=AV$22,MONTH($D2427),"")</f>
        <v/>
      </c>
      <c r="AW2427" s="86" t="str">
        <f>+IF($AG2427=AW$22,MONTH($D2427),"")</f>
        <v/>
      </c>
      <c r="AX2427" s="86" t="str">
        <f>+IF($AG2427=AX$22,MONTH($D2427),"")</f>
        <v/>
      </c>
      <c r="AY2427" s="89"/>
      <c r="AZ2427" s="89"/>
      <c r="BA2427" s="89"/>
      <c r="BB2427" s="89"/>
      <c r="BC2427" s="89"/>
      <c r="BD2427" s="89"/>
      <c r="BE2427" s="89"/>
      <c r="BF2427" s="89"/>
      <c r="BG2427" s="89"/>
      <c r="BH2427" s="89"/>
      <c r="BI2427" s="89"/>
      <c r="BJ2427" s="89"/>
      <c r="BK2427" s="89"/>
      <c r="BL2427" s="89"/>
      <c r="BM2427" s="89"/>
      <c r="BN2427" s="89"/>
      <c r="BO2427" s="89"/>
      <c r="BP2427" s="89"/>
    </row>
    <row r="2428" spans="1:68" s="56" customFormat="1" ht="13.5" hidden="1">
      <c r="A2428" s="204" t="str">
        <f>+IFERROR(VALUE(MID(AB2428,4,4)),"")</f>
        <v/>
      </c>
      <c r="B2428" s="204">
        <f>VALUE(RIGHT(C2428,LEN(C2428)-2))</f>
        <v>297</v>
      </c>
      <c r="C2428" s="74" t="s">
        <v>8258</v>
      </c>
      <c r="D2428" s="75">
        <v>41869</v>
      </c>
      <c r="E2428" s="70" t="s">
        <v>8259</v>
      </c>
      <c r="F2428" s="70" t="s">
        <v>8259</v>
      </c>
      <c r="G2428" s="68" t="s">
        <v>8260</v>
      </c>
      <c r="H2428" s="59"/>
      <c r="I2428" s="162" t="s">
        <v>8261</v>
      </c>
      <c r="J2428" s="162"/>
      <c r="K2428" s="68"/>
      <c r="L2428" s="69" t="s">
        <v>123</v>
      </c>
      <c r="M2428" s="71"/>
      <c r="N2428" s="69"/>
      <c r="O2428" s="164">
        <v>41871</v>
      </c>
      <c r="P2428" s="72" t="s">
        <v>8262</v>
      </c>
      <c r="Q2428" s="72"/>
      <c r="R2428" s="162"/>
      <c r="S2428" s="146"/>
      <c r="T2428" s="68" t="s">
        <v>155</v>
      </c>
      <c r="U2428" s="87"/>
      <c r="V2428" s="183">
        <v>41976</v>
      </c>
      <c r="W2428" s="73"/>
      <c r="X2428" s="73"/>
      <c r="Y2428" s="73"/>
      <c r="Z2428" s="183"/>
      <c r="AA2428" s="183"/>
      <c r="AB2428" s="223"/>
      <c r="AC2428" s="153"/>
      <c r="AD2428" s="331"/>
      <c r="AE2428" s="57"/>
      <c r="AF2428" s="88"/>
      <c r="AG2428" s="182">
        <f>YEAR(D2428)</f>
        <v>2014</v>
      </c>
      <c r="AH2428" s="86" t="str">
        <f>+IF(AE2428=$AJ$22,MONTH(T2428),"")</f>
        <v/>
      </c>
      <c r="AI2428" s="86" t="str">
        <f>+IF(AF2428=$AJ$22,MONTH(U2428),"")</f>
        <v/>
      </c>
      <c r="AJ2428" s="86" t="str">
        <f>+IF(AG2428=$AJ$22,MONTH(V2428),"")</f>
        <v/>
      </c>
      <c r="AK2428" s="86" t="str">
        <f>+IF(AG2428=$AK$22,MONTH(V2428),"")</f>
        <v/>
      </c>
      <c r="AL2428" s="86" t="str">
        <f>+IF(AG2428=$AL$22,MONTH(V2428),"")</f>
        <v/>
      </c>
      <c r="AM2428" s="86" t="str">
        <f>+IF($AG2428=$AM$22,MONTH($D2428),"")</f>
        <v/>
      </c>
      <c r="AN2428" s="89" t="str">
        <f>+IF($AG2428=AN$22,MONTH($D2428),"")</f>
        <v/>
      </c>
      <c r="AO2428" s="86" t="str">
        <f>+IF($AG2428=AO$22,MONTH($D2428),"")</f>
        <v/>
      </c>
      <c r="AP2428" s="86" t="str">
        <f>+IF($AG2428=AP$22,MONTH($D2428),"")</f>
        <v/>
      </c>
      <c r="AQ2428" s="86" t="str">
        <f>+IF($AG2428=AQ$22,MONTH($D2428),"")</f>
        <v/>
      </c>
      <c r="AR2428" s="86" t="str">
        <f>+IF($AG2428=AR$22,MONTH($D2428),"")</f>
        <v/>
      </c>
      <c r="AS2428" s="86" t="str">
        <f>+IF($AG2428=AS$22,MONTH($D2428),"")</f>
        <v/>
      </c>
      <c r="AT2428" s="86">
        <f>+IF($AG2428=AT$22,MONTH($D2428),"")</f>
        <v>8</v>
      </c>
      <c r="AU2428" s="86" t="str">
        <f>+IF($AG2428=AU$22,MONTH($D2428),"")</f>
        <v/>
      </c>
      <c r="AV2428" s="86" t="str">
        <f>+IF($AG2428=AV$22,MONTH($D2428),"")</f>
        <v/>
      </c>
      <c r="AW2428" s="86" t="str">
        <f>+IF($AG2428=AW$22,MONTH($D2428),"")</f>
        <v/>
      </c>
      <c r="AX2428" s="86" t="str">
        <f>+IF($AG2428=AX$22,MONTH($D2428),"")</f>
        <v/>
      </c>
      <c r="AY2428" s="89"/>
      <c r="AZ2428" s="89"/>
      <c r="BA2428" s="89"/>
      <c r="BB2428" s="89"/>
      <c r="BC2428" s="89"/>
      <c r="BD2428" s="89"/>
      <c r="BE2428" s="89"/>
      <c r="BF2428" s="89"/>
      <c r="BG2428" s="89"/>
      <c r="BH2428" s="89"/>
      <c r="BI2428" s="89"/>
      <c r="BJ2428" s="89"/>
      <c r="BK2428" s="89"/>
      <c r="BL2428" s="89"/>
      <c r="BM2428" s="89"/>
      <c r="BN2428" s="89"/>
      <c r="BO2428" s="89"/>
      <c r="BP2428" s="89"/>
    </row>
    <row r="2429" spans="1:68" s="56" customFormat="1" ht="13.5" hidden="1">
      <c r="A2429" s="204" t="str">
        <f>+IFERROR(VALUE(MID(AB2429,4,4)),"")</f>
        <v/>
      </c>
      <c r="B2429" s="204">
        <f>VALUE(RIGHT(C2429,LEN(C2429)-2))</f>
        <v>296</v>
      </c>
      <c r="C2429" s="74" t="s">
        <v>8263</v>
      </c>
      <c r="D2429" s="75">
        <v>41871</v>
      </c>
      <c r="E2429" s="70" t="s">
        <v>1321</v>
      </c>
      <c r="F2429" s="70"/>
      <c r="G2429" s="68"/>
      <c r="H2429" s="59"/>
      <c r="I2429" s="162" t="s">
        <v>8264</v>
      </c>
      <c r="J2429" s="162"/>
      <c r="K2429" s="68"/>
      <c r="L2429" s="69" t="s">
        <v>120</v>
      </c>
      <c r="M2429" s="71"/>
      <c r="N2429" s="69"/>
      <c r="O2429" s="164"/>
      <c r="P2429" s="72"/>
      <c r="Q2429" s="72"/>
      <c r="R2429" s="162"/>
      <c r="S2429" s="146"/>
      <c r="T2429" s="68" t="s">
        <v>155</v>
      </c>
      <c r="U2429" s="87"/>
      <c r="V2429" s="183"/>
      <c r="W2429" s="73"/>
      <c r="X2429" s="73"/>
      <c r="Y2429" s="73">
        <f>1.19*24500</f>
        <v>29155</v>
      </c>
      <c r="Z2429" s="183"/>
      <c r="AA2429" s="183"/>
      <c r="AB2429" s="223"/>
      <c r="AC2429" s="153"/>
      <c r="AD2429" s="331"/>
      <c r="AE2429" s="57"/>
      <c r="AF2429" s="88"/>
      <c r="AG2429" s="182">
        <f>YEAR(D2429)</f>
        <v>2014</v>
      </c>
      <c r="AH2429" s="86" t="str">
        <f>+IF(AE2429=$AJ$22,MONTH(T2429),"")</f>
        <v/>
      </c>
      <c r="AI2429" s="86" t="str">
        <f>+IF(AF2429=$AJ$22,MONTH(U2429),"")</f>
        <v/>
      </c>
      <c r="AJ2429" s="86" t="str">
        <f>+IF(AG2429=$AJ$22,MONTH(V2429),"")</f>
        <v/>
      </c>
      <c r="AK2429" s="86" t="str">
        <f>+IF(AG2429=$AK$22,MONTH(V2429),"")</f>
        <v/>
      </c>
      <c r="AL2429" s="86" t="str">
        <f>+IF(AG2429=$AL$22,MONTH(V2429),"")</f>
        <v/>
      </c>
      <c r="AM2429" s="86" t="str">
        <f>+IF($AG2429=$AM$22,MONTH($D2429),"")</f>
        <v/>
      </c>
      <c r="AN2429" s="89" t="str">
        <f>+IF($AG2429=AN$22,MONTH($D2429),"")</f>
        <v/>
      </c>
      <c r="AO2429" s="86" t="str">
        <f>+IF($AG2429=AO$22,MONTH($D2429),"")</f>
        <v/>
      </c>
      <c r="AP2429" s="86" t="str">
        <f>+IF($AG2429=AP$22,MONTH($D2429),"")</f>
        <v/>
      </c>
      <c r="AQ2429" s="86" t="str">
        <f>+IF($AG2429=AQ$22,MONTH($D2429),"")</f>
        <v/>
      </c>
      <c r="AR2429" s="86" t="str">
        <f>+IF($AG2429=AR$22,MONTH($D2429),"")</f>
        <v/>
      </c>
      <c r="AS2429" s="86" t="str">
        <f>+IF($AG2429=AS$22,MONTH($D2429),"")</f>
        <v/>
      </c>
      <c r="AT2429" s="86">
        <f>+IF($AG2429=AT$22,MONTH($D2429),"")</f>
        <v>8</v>
      </c>
      <c r="AU2429" s="86" t="str">
        <f>+IF($AG2429=AU$22,MONTH($D2429),"")</f>
        <v/>
      </c>
      <c r="AV2429" s="86" t="str">
        <f>+IF($AG2429=AV$22,MONTH($D2429),"")</f>
        <v/>
      </c>
      <c r="AW2429" s="86" t="str">
        <f>+IF($AG2429=AW$22,MONTH($D2429),"")</f>
        <v/>
      </c>
      <c r="AX2429" s="86" t="str">
        <f>+IF($AG2429=AX$22,MONTH($D2429),"")</f>
        <v/>
      </c>
      <c r="AY2429" s="89"/>
      <c r="AZ2429" s="89"/>
      <c r="BA2429" s="89"/>
      <c r="BB2429" s="89"/>
      <c r="BC2429" s="89"/>
      <c r="BD2429" s="89"/>
      <c r="BE2429" s="89"/>
      <c r="BF2429" s="89"/>
      <c r="BG2429" s="89"/>
      <c r="BH2429" s="89"/>
      <c r="BI2429" s="89"/>
      <c r="BJ2429" s="89"/>
      <c r="BK2429" s="89"/>
      <c r="BL2429" s="89"/>
      <c r="BM2429" s="89"/>
      <c r="BN2429" s="89"/>
      <c r="BO2429" s="89"/>
      <c r="BP2429" s="89"/>
    </row>
    <row r="2430" spans="1:68" s="56" customFormat="1" ht="13.5" hidden="1">
      <c r="A2430" s="204" t="str">
        <f>+IFERROR(VALUE(MID(AB2430,4,4)),"")</f>
        <v/>
      </c>
      <c r="B2430" s="204">
        <f>VALUE(RIGHT(C2430,LEN(C2430)-2))</f>
        <v>295</v>
      </c>
      <c r="C2430" s="74" t="s">
        <v>8265</v>
      </c>
      <c r="D2430" s="75">
        <v>41855</v>
      </c>
      <c r="E2430" s="70" t="s">
        <v>346</v>
      </c>
      <c r="F2430" s="70" t="s">
        <v>346</v>
      </c>
      <c r="G2430" s="68" t="s">
        <v>7922</v>
      </c>
      <c r="H2430" s="59"/>
      <c r="I2430" s="162" t="s">
        <v>8266</v>
      </c>
      <c r="J2430" s="162"/>
      <c r="K2430" s="68"/>
      <c r="L2430" s="69" t="s">
        <v>123</v>
      </c>
      <c r="M2430" s="71" t="s">
        <v>141</v>
      </c>
      <c r="N2430" s="69" t="e" vm="1">
        <v>#VALUE!</v>
      </c>
      <c r="O2430" s="164"/>
      <c r="P2430" s="72" t="s">
        <v>402</v>
      </c>
      <c r="Q2430" s="72"/>
      <c r="R2430" s="162"/>
      <c r="S2430" s="146"/>
      <c r="T2430" s="68" t="s">
        <v>165</v>
      </c>
      <c r="U2430" s="87"/>
      <c r="V2430" s="183"/>
      <c r="W2430" s="73">
        <v>166</v>
      </c>
      <c r="X2430" s="73">
        <f>3882964.85/1000000</f>
        <v>3.88296485</v>
      </c>
      <c r="Y2430" s="73">
        <f>IF(SUM(W2430:W2430)&gt;0,X2430/SUM(W2430:W2430)*1000000,"N/A")</f>
        <v>23391.35451807229</v>
      </c>
      <c r="Z2430" s="183"/>
      <c r="AA2430" s="183"/>
      <c r="AB2430" s="223"/>
      <c r="AC2430" s="153"/>
      <c r="AD2430" s="331"/>
      <c r="AE2430" s="57"/>
      <c r="AF2430" s="88"/>
      <c r="AG2430" s="182">
        <f>YEAR(D2430)</f>
        <v>2014</v>
      </c>
      <c r="AH2430" s="86" t="str">
        <f>+IF(AE2430=$AJ$22,MONTH(T2430),"")</f>
        <v/>
      </c>
      <c r="AI2430" s="86" t="str">
        <f>+IF(AF2430=$AJ$22,MONTH(U2430),"")</f>
        <v/>
      </c>
      <c r="AJ2430" s="86" t="str">
        <f>+IF(AG2430=$AJ$22,MONTH(V2430),"")</f>
        <v/>
      </c>
      <c r="AK2430" s="86" t="str">
        <f>+IF(AG2430=$AK$22,MONTH(V2430),"")</f>
        <v/>
      </c>
      <c r="AL2430" s="86" t="str">
        <f>+IF(AG2430=$AL$22,MONTH(V2430),"")</f>
        <v/>
      </c>
      <c r="AM2430" s="86" t="str">
        <f>+IF($AG2430=$AM$22,MONTH($D2430),"")</f>
        <v/>
      </c>
      <c r="AN2430" s="89" t="str">
        <f>+IF($AG2430=AN$22,MONTH($D2430),"")</f>
        <v/>
      </c>
      <c r="AO2430" s="86" t="str">
        <f>+IF($AG2430=AO$22,MONTH($D2430),"")</f>
        <v/>
      </c>
      <c r="AP2430" s="86" t="str">
        <f>+IF($AG2430=AP$22,MONTH($D2430),"")</f>
        <v/>
      </c>
      <c r="AQ2430" s="86" t="str">
        <f>+IF($AG2430=AQ$22,MONTH($D2430),"")</f>
        <v/>
      </c>
      <c r="AR2430" s="86" t="str">
        <f>+IF($AG2430=AR$22,MONTH($D2430),"")</f>
        <v/>
      </c>
      <c r="AS2430" s="86" t="str">
        <f>+IF($AG2430=AS$22,MONTH($D2430),"")</f>
        <v/>
      </c>
      <c r="AT2430" s="86">
        <f>+IF($AG2430=AT$22,MONTH($D2430),"")</f>
        <v>8</v>
      </c>
      <c r="AU2430" s="86" t="str">
        <f>+IF($AG2430=AU$22,MONTH($D2430),"")</f>
        <v/>
      </c>
      <c r="AV2430" s="86" t="str">
        <f>+IF($AG2430=AV$22,MONTH($D2430),"")</f>
        <v/>
      </c>
      <c r="AW2430" s="86" t="str">
        <f>+IF($AG2430=AW$22,MONTH($D2430),"")</f>
        <v/>
      </c>
      <c r="AX2430" s="86" t="str">
        <f>+IF($AG2430=AX$22,MONTH($D2430),"")</f>
        <v/>
      </c>
      <c r="AY2430" s="89"/>
      <c r="AZ2430" s="89"/>
      <c r="BA2430" s="89"/>
      <c r="BB2430" s="89"/>
      <c r="BC2430" s="89"/>
      <c r="BD2430" s="89"/>
      <c r="BE2430" s="89"/>
      <c r="BF2430" s="89"/>
      <c r="BG2430" s="89"/>
      <c r="BH2430" s="89"/>
      <c r="BI2430" s="89"/>
      <c r="BJ2430" s="89"/>
      <c r="BK2430" s="89"/>
      <c r="BL2430" s="89"/>
      <c r="BM2430" s="89"/>
      <c r="BN2430" s="89"/>
      <c r="BO2430" s="89"/>
      <c r="BP2430" s="89"/>
    </row>
    <row r="2431" spans="1:68" s="56" customFormat="1" ht="13.5" hidden="1">
      <c r="A2431" s="204" t="str">
        <f>+IFERROR(VALUE(MID(AB2431,4,4)),"")</f>
        <v/>
      </c>
      <c r="B2431" s="204">
        <f>VALUE(RIGHT(C2431,LEN(C2431)-2))</f>
        <v>294</v>
      </c>
      <c r="C2431" s="74" t="s">
        <v>8267</v>
      </c>
      <c r="D2431" s="75">
        <v>41856</v>
      </c>
      <c r="E2431" s="70" t="s">
        <v>15</v>
      </c>
      <c r="F2431" s="70" t="s">
        <v>394</v>
      </c>
      <c r="G2431" s="68" t="s">
        <v>8268</v>
      </c>
      <c r="H2431" s="59"/>
      <c r="I2431" s="162" t="s">
        <v>8269</v>
      </c>
      <c r="J2431" s="162"/>
      <c r="K2431" s="68"/>
      <c r="L2431" s="69" t="s">
        <v>123</v>
      </c>
      <c r="M2431" s="71"/>
      <c r="N2431" s="69"/>
      <c r="O2431" s="164"/>
      <c r="P2431" s="72" t="s">
        <v>402</v>
      </c>
      <c r="Q2431" s="72"/>
      <c r="R2431" s="162"/>
      <c r="S2431" s="146"/>
      <c r="T2431" s="68" t="s">
        <v>165</v>
      </c>
      <c r="U2431" s="87"/>
      <c r="V2431" s="183">
        <v>41856</v>
      </c>
      <c r="W2431" s="73">
        <v>5991</v>
      </c>
      <c r="X2431" s="73">
        <f>10322*24500/1000000</f>
        <v>252.88900000000001</v>
      </c>
      <c r="Y2431" s="73">
        <f>IF(SUM(W2431:W2431)&gt;0,X2431/SUM(W2431:W2431)*1000000,"N/A")</f>
        <v>42211.483892505428</v>
      </c>
      <c r="Z2431" s="183"/>
      <c r="AA2431" s="183"/>
      <c r="AB2431" s="223"/>
      <c r="AC2431" s="153"/>
      <c r="AD2431" s="331"/>
      <c r="AE2431" s="57"/>
      <c r="AF2431" s="88"/>
      <c r="AG2431" s="182">
        <f>YEAR(D2431)</f>
        <v>2014</v>
      </c>
      <c r="AH2431" s="86" t="str">
        <f>+IF(AE2431=$AJ$22,MONTH(T2431),"")</f>
        <v/>
      </c>
      <c r="AI2431" s="86" t="str">
        <f>+IF(AF2431=$AJ$22,MONTH(U2431),"")</f>
        <v/>
      </c>
      <c r="AJ2431" s="86" t="str">
        <f>+IF(AG2431=$AJ$22,MONTH(V2431),"")</f>
        <v/>
      </c>
      <c r="AK2431" s="86" t="str">
        <f>+IF(AG2431=$AK$22,MONTH(V2431),"")</f>
        <v/>
      </c>
      <c r="AL2431" s="86" t="str">
        <f>+IF(AG2431=$AL$22,MONTH(V2431),"")</f>
        <v/>
      </c>
      <c r="AM2431" s="86" t="str">
        <f>+IF($AG2431=$AM$22,MONTH($D2431),"")</f>
        <v/>
      </c>
      <c r="AN2431" s="89" t="str">
        <f>+IF($AG2431=AN$22,MONTH($D2431),"")</f>
        <v/>
      </c>
      <c r="AO2431" s="86" t="str">
        <f>+IF($AG2431=AO$22,MONTH($D2431),"")</f>
        <v/>
      </c>
      <c r="AP2431" s="86" t="str">
        <f>+IF($AG2431=AP$22,MONTH($D2431),"")</f>
        <v/>
      </c>
      <c r="AQ2431" s="86" t="str">
        <f>+IF($AG2431=AQ$22,MONTH($D2431),"")</f>
        <v/>
      </c>
      <c r="AR2431" s="86" t="str">
        <f>+IF($AG2431=AR$22,MONTH($D2431),"")</f>
        <v/>
      </c>
      <c r="AS2431" s="86" t="str">
        <f>+IF($AG2431=AS$22,MONTH($D2431),"")</f>
        <v/>
      </c>
      <c r="AT2431" s="86">
        <f>+IF($AG2431=AT$22,MONTH($D2431),"")</f>
        <v>8</v>
      </c>
      <c r="AU2431" s="86" t="str">
        <f>+IF($AG2431=AU$22,MONTH($D2431),"")</f>
        <v/>
      </c>
      <c r="AV2431" s="86" t="str">
        <f>+IF($AG2431=AV$22,MONTH($D2431),"")</f>
        <v/>
      </c>
      <c r="AW2431" s="86" t="str">
        <f>+IF($AG2431=AW$22,MONTH($D2431),"")</f>
        <v/>
      </c>
      <c r="AX2431" s="86" t="str">
        <f>+IF($AG2431=AX$22,MONTH($D2431),"")</f>
        <v/>
      </c>
      <c r="AY2431" s="89"/>
      <c r="AZ2431" s="89"/>
      <c r="BA2431" s="89"/>
      <c r="BB2431" s="89"/>
      <c r="BC2431" s="89"/>
      <c r="BD2431" s="89"/>
      <c r="BE2431" s="89"/>
      <c r="BF2431" s="89"/>
      <c r="BG2431" s="89"/>
      <c r="BH2431" s="89"/>
      <c r="BI2431" s="89"/>
      <c r="BJ2431" s="89"/>
      <c r="BK2431" s="89"/>
      <c r="BL2431" s="89"/>
      <c r="BM2431" s="89"/>
      <c r="BN2431" s="89"/>
      <c r="BO2431" s="89"/>
      <c r="BP2431" s="89"/>
    </row>
    <row r="2432" spans="1:68" s="56" customFormat="1" ht="13.5" hidden="1">
      <c r="A2432" s="204">
        <f>+IFERROR(VALUE(MID(AB2432,4,4)),"")</f>
        <v>108</v>
      </c>
      <c r="B2432" s="204">
        <f>VALUE(RIGHT(C2432,LEN(C2432)-2))</f>
        <v>293</v>
      </c>
      <c r="C2432" s="74" t="s">
        <v>8270</v>
      </c>
      <c r="D2432" s="75">
        <v>41905</v>
      </c>
      <c r="E2432" s="70" t="s">
        <v>1321</v>
      </c>
      <c r="F2432" s="70" t="s">
        <v>2065</v>
      </c>
      <c r="G2432" s="68" t="s">
        <v>7848</v>
      </c>
      <c r="H2432" s="59"/>
      <c r="I2432" s="162" t="s">
        <v>8271</v>
      </c>
      <c r="J2432" s="162"/>
      <c r="K2432" s="68"/>
      <c r="L2432" s="69" t="s">
        <v>120</v>
      </c>
      <c r="M2432" s="71"/>
      <c r="N2432" s="69"/>
      <c r="O2432" s="164">
        <v>41905</v>
      </c>
      <c r="P2432" s="72" t="s">
        <v>402</v>
      </c>
      <c r="Q2432" s="72"/>
      <c r="R2432" s="162"/>
      <c r="S2432" s="146"/>
      <c r="T2432" s="68" t="s">
        <v>3</v>
      </c>
      <c r="U2432" s="87"/>
      <c r="V2432" s="183">
        <v>41934</v>
      </c>
      <c r="W2432" s="73">
        <v>70</v>
      </c>
      <c r="X2432" s="73">
        <f>115*24200/1000000</f>
        <v>2.7829999999999999</v>
      </c>
      <c r="Y2432" s="73">
        <f>IF(SUM(W2432:W2432)&gt;0,X2432/SUM(W2432:W2432)*1000000,"N/A")</f>
        <v>39757.142857142862</v>
      </c>
      <c r="Z2432" s="183"/>
      <c r="AA2432" s="183"/>
      <c r="AB2432" s="223" t="s">
        <v>8272</v>
      </c>
      <c r="AC2432" s="153"/>
      <c r="AD2432" s="331"/>
      <c r="AE2432" s="57"/>
      <c r="AF2432" s="88"/>
      <c r="AG2432" s="182">
        <f>YEAR(D2432)</f>
        <v>2014</v>
      </c>
      <c r="AH2432" s="86" t="str">
        <f>+IF(AE2432=$AJ$22,MONTH(T2432),"")</f>
        <v/>
      </c>
      <c r="AI2432" s="86" t="str">
        <f>+IF(AF2432=$AJ$22,MONTH(U2432),"")</f>
        <v/>
      </c>
      <c r="AJ2432" s="86" t="str">
        <f>+IF(AG2432=$AJ$22,MONTH(V2432),"")</f>
        <v/>
      </c>
      <c r="AK2432" s="86" t="str">
        <f>+IF(AG2432=$AK$22,MONTH(V2432),"")</f>
        <v/>
      </c>
      <c r="AL2432" s="86" t="str">
        <f>+IF(AG2432=$AL$22,MONTH(V2432),"")</f>
        <v/>
      </c>
      <c r="AM2432" s="86" t="str">
        <f>+IF($AG2432=$AM$22,MONTH($D2432),"")</f>
        <v/>
      </c>
      <c r="AN2432" s="89" t="str">
        <f>+IF($AG2432=AN$22,MONTH($D2432),"")</f>
        <v/>
      </c>
      <c r="AO2432" s="86" t="str">
        <f>+IF($AG2432=AO$22,MONTH($D2432),"")</f>
        <v/>
      </c>
      <c r="AP2432" s="86" t="str">
        <f>+IF($AG2432=AP$22,MONTH($D2432),"")</f>
        <v/>
      </c>
      <c r="AQ2432" s="86" t="str">
        <f>+IF($AG2432=AQ$22,MONTH($D2432),"")</f>
        <v/>
      </c>
      <c r="AR2432" s="86" t="str">
        <f>+IF($AG2432=AR$22,MONTH($D2432),"")</f>
        <v/>
      </c>
      <c r="AS2432" s="86" t="str">
        <f>+IF($AG2432=AS$22,MONTH($D2432),"")</f>
        <v/>
      </c>
      <c r="AT2432" s="86">
        <f>+IF($AG2432=AT$22,MONTH($D2432),"")</f>
        <v>9</v>
      </c>
      <c r="AU2432" s="86" t="str">
        <f>+IF($AG2432=AU$22,MONTH($D2432),"")</f>
        <v/>
      </c>
      <c r="AV2432" s="86" t="str">
        <f>+IF($AG2432=AV$22,MONTH($D2432),"")</f>
        <v/>
      </c>
      <c r="AW2432" s="86" t="str">
        <f>+IF($AG2432=AW$22,MONTH($D2432),"")</f>
        <v/>
      </c>
      <c r="AX2432" s="86" t="str">
        <f>+IF($AG2432=AX$22,MONTH($D2432),"")</f>
        <v/>
      </c>
      <c r="AY2432" s="89"/>
      <c r="AZ2432" s="89"/>
      <c r="BA2432" s="89"/>
      <c r="BB2432" s="89"/>
      <c r="BC2432" s="89"/>
      <c r="BD2432" s="89"/>
      <c r="BE2432" s="89"/>
      <c r="BF2432" s="89"/>
      <c r="BG2432" s="89"/>
      <c r="BH2432" s="89"/>
      <c r="BI2432" s="89"/>
      <c r="BJ2432" s="89"/>
      <c r="BK2432" s="89"/>
      <c r="BL2432" s="89"/>
      <c r="BM2432" s="89"/>
      <c r="BN2432" s="89"/>
      <c r="BO2432" s="89"/>
      <c r="BP2432" s="89"/>
    </row>
    <row r="2433" spans="1:68" s="56" customFormat="1" ht="13.5" hidden="1">
      <c r="A2433" s="204" t="str">
        <f>+IFERROR(VALUE(MID(AB2433,4,4)),"")</f>
        <v/>
      </c>
      <c r="B2433" s="204">
        <f>VALUE(RIGHT(C2433,LEN(C2433)-2))</f>
        <v>292</v>
      </c>
      <c r="C2433" s="74" t="s">
        <v>8273</v>
      </c>
      <c r="D2433" s="75">
        <v>41868</v>
      </c>
      <c r="E2433" s="70"/>
      <c r="F2433" s="70"/>
      <c r="G2433" s="68"/>
      <c r="H2433" s="59"/>
      <c r="I2433" s="162" t="s">
        <v>8274</v>
      </c>
      <c r="J2433" s="162"/>
      <c r="K2433" s="68"/>
      <c r="L2433" s="69" t="s">
        <v>120</v>
      </c>
      <c r="M2433" s="71"/>
      <c r="N2433" s="69"/>
      <c r="O2433" s="164"/>
      <c r="P2433" s="72"/>
      <c r="Q2433" s="72"/>
      <c r="R2433" s="162"/>
      <c r="S2433" s="146"/>
      <c r="T2433" s="68" t="s">
        <v>155</v>
      </c>
      <c r="U2433" s="87"/>
      <c r="V2433" s="183"/>
      <c r="W2433" s="73"/>
      <c r="X2433" s="73"/>
      <c r="Y2433" s="73"/>
      <c r="Z2433" s="183"/>
      <c r="AA2433" s="183"/>
      <c r="AB2433" s="223"/>
      <c r="AC2433" s="153"/>
      <c r="AD2433" s="331"/>
      <c r="AE2433" s="57"/>
      <c r="AF2433" s="88"/>
      <c r="AG2433" s="182">
        <f>YEAR(D2433)</f>
        <v>2014</v>
      </c>
      <c r="AH2433" s="86" t="str">
        <f>+IF(AE2433=$AJ$22,MONTH(T2433),"")</f>
        <v/>
      </c>
      <c r="AI2433" s="86" t="str">
        <f>+IF(AF2433=$AJ$22,MONTH(U2433),"")</f>
        <v/>
      </c>
      <c r="AJ2433" s="86" t="str">
        <f>+IF(AG2433=$AJ$22,MONTH(V2433),"")</f>
        <v/>
      </c>
      <c r="AK2433" s="86" t="str">
        <f>+IF(AG2433=$AK$22,MONTH(V2433),"")</f>
        <v/>
      </c>
      <c r="AL2433" s="86" t="str">
        <f>+IF(AG2433=$AL$22,MONTH(V2433),"")</f>
        <v/>
      </c>
      <c r="AM2433" s="86" t="str">
        <f>+IF($AG2433=$AM$22,MONTH($D2433),"")</f>
        <v/>
      </c>
      <c r="AN2433" s="89" t="str">
        <f>+IF($AG2433=AN$22,MONTH($D2433),"")</f>
        <v/>
      </c>
      <c r="AO2433" s="86" t="str">
        <f>+IF($AG2433=AO$22,MONTH($D2433),"")</f>
        <v/>
      </c>
      <c r="AP2433" s="86" t="str">
        <f>+IF($AG2433=AP$22,MONTH($D2433),"")</f>
        <v/>
      </c>
      <c r="AQ2433" s="86" t="str">
        <f>+IF($AG2433=AQ$22,MONTH($D2433),"")</f>
        <v/>
      </c>
      <c r="AR2433" s="86" t="str">
        <f>+IF($AG2433=AR$22,MONTH($D2433),"")</f>
        <v/>
      </c>
      <c r="AS2433" s="86" t="str">
        <f>+IF($AG2433=AS$22,MONTH($D2433),"")</f>
        <v/>
      </c>
      <c r="AT2433" s="86">
        <f>+IF($AG2433=AT$22,MONTH($D2433),"")</f>
        <v>8</v>
      </c>
      <c r="AU2433" s="86" t="str">
        <f>+IF($AG2433=AU$22,MONTH($D2433),"")</f>
        <v/>
      </c>
      <c r="AV2433" s="86" t="str">
        <f>+IF($AG2433=AV$22,MONTH($D2433),"")</f>
        <v/>
      </c>
      <c r="AW2433" s="86" t="str">
        <f>+IF($AG2433=AW$22,MONTH($D2433),"")</f>
        <v/>
      </c>
      <c r="AX2433" s="86" t="str">
        <f>+IF($AG2433=AX$22,MONTH($D2433),"")</f>
        <v/>
      </c>
      <c r="AY2433" s="89"/>
      <c r="AZ2433" s="89"/>
      <c r="BA2433" s="89"/>
      <c r="BB2433" s="89"/>
      <c r="BC2433" s="89"/>
      <c r="BD2433" s="89"/>
      <c r="BE2433" s="89"/>
      <c r="BF2433" s="89"/>
      <c r="BG2433" s="89"/>
      <c r="BH2433" s="89"/>
      <c r="BI2433" s="89"/>
      <c r="BJ2433" s="89"/>
      <c r="BK2433" s="89"/>
      <c r="BL2433" s="89"/>
      <c r="BM2433" s="89"/>
      <c r="BN2433" s="89"/>
      <c r="BO2433" s="89"/>
      <c r="BP2433" s="89"/>
    </row>
    <row r="2434" spans="1:68" s="56" customFormat="1" ht="27" hidden="1">
      <c r="A2434" s="204" t="str">
        <f>+IFERROR(VALUE(MID(AB2434,4,4)),"")</f>
        <v/>
      </c>
      <c r="B2434" s="204">
        <f>VALUE(RIGHT(C2434,LEN(C2434)-2))</f>
        <v>291</v>
      </c>
      <c r="C2434" s="74" t="s">
        <v>8275</v>
      </c>
      <c r="D2434" s="75">
        <v>41844</v>
      </c>
      <c r="E2434" s="70" t="s">
        <v>1903</v>
      </c>
      <c r="F2434" s="70" t="s">
        <v>53</v>
      </c>
      <c r="G2434" s="68" t="s">
        <v>8276</v>
      </c>
      <c r="H2434" s="59"/>
      <c r="I2434" s="162" t="s">
        <v>8277</v>
      </c>
      <c r="J2434" s="162"/>
      <c r="K2434" s="68" t="s">
        <v>11</v>
      </c>
      <c r="L2434" s="69" t="s">
        <v>123</v>
      </c>
      <c r="M2434" s="71" t="s">
        <v>141</v>
      </c>
      <c r="N2434" s="69" t="e" vm="1">
        <v>#VALUE!</v>
      </c>
      <c r="O2434" s="164"/>
      <c r="P2434" s="72"/>
      <c r="Q2434" s="72"/>
      <c r="R2434" s="162"/>
      <c r="S2434" s="146" t="s">
        <v>8278</v>
      </c>
      <c r="T2434" s="68" t="s">
        <v>155</v>
      </c>
      <c r="U2434" s="87"/>
      <c r="V2434" s="183"/>
      <c r="W2434" s="73"/>
      <c r="X2434" s="73"/>
      <c r="Y2434" s="73"/>
      <c r="Z2434" s="183"/>
      <c r="AA2434" s="183"/>
      <c r="AB2434" s="223"/>
      <c r="AC2434" s="153"/>
      <c r="AD2434" s="331"/>
      <c r="AE2434" s="57"/>
      <c r="AF2434" s="88"/>
      <c r="AG2434" s="182">
        <f>YEAR(D2434)</f>
        <v>2014</v>
      </c>
      <c r="AH2434" s="86" t="str">
        <f>+IF(AE2434=$AJ$22,MONTH(T2434),"")</f>
        <v/>
      </c>
      <c r="AI2434" s="86" t="str">
        <f>+IF(AF2434=$AJ$22,MONTH(U2434),"")</f>
        <v/>
      </c>
      <c r="AJ2434" s="86" t="str">
        <f>+IF(AG2434=$AJ$22,MONTH(V2434),"")</f>
        <v/>
      </c>
      <c r="AK2434" s="86" t="str">
        <f>+IF(AG2434=$AK$22,MONTH(V2434),"")</f>
        <v/>
      </c>
      <c r="AL2434" s="86" t="str">
        <f>+IF(AG2434=$AL$22,MONTH(V2434),"")</f>
        <v/>
      </c>
      <c r="AM2434" s="86" t="str">
        <f>+IF($AG2434=$AM$22,MONTH($D2434),"")</f>
        <v/>
      </c>
      <c r="AN2434" s="89" t="str">
        <f>+IF($AG2434=AN$22,MONTH($D2434),"")</f>
        <v/>
      </c>
      <c r="AO2434" s="86" t="str">
        <f>+IF($AG2434=AO$22,MONTH($D2434),"")</f>
        <v/>
      </c>
      <c r="AP2434" s="86" t="str">
        <f>+IF($AG2434=AP$22,MONTH($D2434),"")</f>
        <v/>
      </c>
      <c r="AQ2434" s="86" t="str">
        <f>+IF($AG2434=AQ$22,MONTH($D2434),"")</f>
        <v/>
      </c>
      <c r="AR2434" s="86" t="str">
        <f>+IF($AG2434=AR$22,MONTH($D2434),"")</f>
        <v/>
      </c>
      <c r="AS2434" s="86" t="str">
        <f>+IF($AG2434=AS$22,MONTH($D2434),"")</f>
        <v/>
      </c>
      <c r="AT2434" s="86">
        <f>+IF($AG2434=AT$22,MONTH($D2434),"")</f>
        <v>7</v>
      </c>
      <c r="AU2434" s="86" t="str">
        <f>+IF($AG2434=AU$22,MONTH($D2434),"")</f>
        <v/>
      </c>
      <c r="AV2434" s="86" t="str">
        <f>+IF($AG2434=AV$22,MONTH($D2434),"")</f>
        <v/>
      </c>
      <c r="AW2434" s="86" t="str">
        <f>+IF($AG2434=AW$22,MONTH($D2434),"")</f>
        <v/>
      </c>
      <c r="AX2434" s="86" t="str">
        <f>+IF($AG2434=AX$22,MONTH($D2434),"")</f>
        <v/>
      </c>
      <c r="AY2434" s="89"/>
      <c r="AZ2434" s="89"/>
      <c r="BA2434" s="89"/>
      <c r="BB2434" s="89"/>
      <c r="BC2434" s="89"/>
      <c r="BD2434" s="89"/>
      <c r="BE2434" s="89"/>
      <c r="BF2434" s="89"/>
      <c r="BG2434" s="89"/>
      <c r="BH2434" s="89"/>
      <c r="BI2434" s="89"/>
      <c r="BJ2434" s="89"/>
      <c r="BK2434" s="89"/>
      <c r="BL2434" s="89"/>
      <c r="BM2434" s="89"/>
      <c r="BN2434" s="89"/>
      <c r="BO2434" s="89"/>
      <c r="BP2434" s="89"/>
    </row>
    <row r="2435" spans="1:68" s="56" customFormat="1" ht="27" hidden="1">
      <c r="A2435" s="204" t="str">
        <f>+IFERROR(VALUE(MID(AB2435,4,4)),"")</f>
        <v/>
      </c>
      <c r="B2435" s="204">
        <f>VALUE(RIGHT(C2435,LEN(C2435)-2))</f>
        <v>290</v>
      </c>
      <c r="C2435" s="74" t="s">
        <v>8279</v>
      </c>
      <c r="D2435" s="75">
        <v>41830</v>
      </c>
      <c r="E2435" s="70" t="s">
        <v>8280</v>
      </c>
      <c r="F2435" s="70" t="s">
        <v>332</v>
      </c>
      <c r="G2435" s="68" t="s">
        <v>361</v>
      </c>
      <c r="H2435" s="59"/>
      <c r="I2435" s="162" t="s">
        <v>8281</v>
      </c>
      <c r="J2435" s="162"/>
      <c r="K2435" s="68" t="s">
        <v>31</v>
      </c>
      <c r="L2435" s="69" t="s">
        <v>120</v>
      </c>
      <c r="M2435" s="71" t="s">
        <v>141</v>
      </c>
      <c r="N2435" s="69" t="e" vm="1">
        <v>#VALUE!</v>
      </c>
      <c r="O2435" s="164">
        <v>41834</v>
      </c>
      <c r="P2435" s="72"/>
      <c r="Q2435" s="72"/>
      <c r="R2435" s="162"/>
      <c r="S2435" s="146"/>
      <c r="T2435" s="68" t="s">
        <v>155</v>
      </c>
      <c r="U2435" s="87"/>
      <c r="V2435" s="183"/>
      <c r="W2435" s="73"/>
      <c r="X2435" s="73"/>
      <c r="Y2435" s="73"/>
      <c r="Z2435" s="183"/>
      <c r="AA2435" s="183"/>
      <c r="AB2435" s="223"/>
      <c r="AC2435" s="153"/>
      <c r="AD2435" s="331"/>
      <c r="AE2435" s="57"/>
      <c r="AF2435" s="88"/>
      <c r="AG2435" s="182">
        <f>YEAR(D2435)</f>
        <v>2014</v>
      </c>
      <c r="AH2435" s="86" t="str">
        <f>+IF(AE2435=$AJ$22,MONTH(T2435),"")</f>
        <v/>
      </c>
      <c r="AI2435" s="86" t="str">
        <f>+IF(AF2435=$AJ$22,MONTH(U2435),"")</f>
        <v/>
      </c>
      <c r="AJ2435" s="86" t="str">
        <f>+IF(AG2435=$AJ$22,MONTH(V2435),"")</f>
        <v/>
      </c>
      <c r="AK2435" s="86" t="str">
        <f>+IF(AG2435=$AK$22,MONTH(V2435),"")</f>
        <v/>
      </c>
      <c r="AL2435" s="86" t="str">
        <f>+IF(AG2435=$AL$22,MONTH(V2435),"")</f>
        <v/>
      </c>
      <c r="AM2435" s="86" t="str">
        <f>+IF($AG2435=$AM$22,MONTH($D2435),"")</f>
        <v/>
      </c>
      <c r="AN2435" s="89" t="str">
        <f>+IF($AG2435=AN$22,MONTH($D2435),"")</f>
        <v/>
      </c>
      <c r="AO2435" s="86" t="str">
        <f>+IF($AG2435=AO$22,MONTH($D2435),"")</f>
        <v/>
      </c>
      <c r="AP2435" s="86" t="str">
        <f>+IF($AG2435=AP$22,MONTH($D2435),"")</f>
        <v/>
      </c>
      <c r="AQ2435" s="86" t="str">
        <f>+IF($AG2435=AQ$22,MONTH($D2435),"")</f>
        <v/>
      </c>
      <c r="AR2435" s="86" t="str">
        <f>+IF($AG2435=AR$22,MONTH($D2435),"")</f>
        <v/>
      </c>
      <c r="AS2435" s="86" t="str">
        <f>+IF($AG2435=AS$22,MONTH($D2435),"")</f>
        <v/>
      </c>
      <c r="AT2435" s="86">
        <f>+IF($AG2435=AT$22,MONTH($D2435),"")</f>
        <v>7</v>
      </c>
      <c r="AU2435" s="86" t="str">
        <f>+IF($AG2435=AU$22,MONTH($D2435),"")</f>
        <v/>
      </c>
      <c r="AV2435" s="86" t="str">
        <f>+IF($AG2435=AV$22,MONTH($D2435),"")</f>
        <v/>
      </c>
      <c r="AW2435" s="86" t="str">
        <f>+IF($AG2435=AW$22,MONTH($D2435),"")</f>
        <v/>
      </c>
      <c r="AX2435" s="86" t="str">
        <f>+IF($AG2435=AX$22,MONTH($D2435),"")</f>
        <v/>
      </c>
      <c r="AY2435" s="89"/>
      <c r="AZ2435" s="89"/>
      <c r="BA2435" s="89"/>
      <c r="BB2435" s="89"/>
      <c r="BC2435" s="89"/>
      <c r="BD2435" s="89"/>
      <c r="BE2435" s="89"/>
      <c r="BF2435" s="89"/>
      <c r="BG2435" s="89"/>
      <c r="BH2435" s="89"/>
      <c r="BI2435" s="89"/>
      <c r="BJ2435" s="89"/>
      <c r="BK2435" s="89"/>
      <c r="BL2435" s="89"/>
      <c r="BM2435" s="89"/>
      <c r="BN2435" s="89"/>
      <c r="BO2435" s="89"/>
      <c r="BP2435" s="89"/>
    </row>
    <row r="2436" spans="1:68" s="56" customFormat="1" ht="13.5" hidden="1">
      <c r="A2436" s="204" t="str">
        <f>+IFERROR(VALUE(MID(AB2436,4,4)),"")</f>
        <v/>
      </c>
      <c r="B2436" s="204">
        <f>VALUE(RIGHT(C2436,LEN(C2436)-2))</f>
        <v>289</v>
      </c>
      <c r="C2436" s="74" t="s">
        <v>8282</v>
      </c>
      <c r="D2436" s="75">
        <v>41823</v>
      </c>
      <c r="E2436" s="70" t="s">
        <v>420</v>
      </c>
      <c r="F2436" s="70" t="s">
        <v>394</v>
      </c>
      <c r="G2436" s="68"/>
      <c r="H2436" s="59"/>
      <c r="I2436" s="162" t="s">
        <v>8283</v>
      </c>
      <c r="J2436" s="162"/>
      <c r="K2436" s="68" t="s">
        <v>11</v>
      </c>
      <c r="L2436" s="69" t="s">
        <v>123</v>
      </c>
      <c r="M2436" s="71" t="s">
        <v>141</v>
      </c>
      <c r="N2436" s="69" t="e" vm="1">
        <v>#VALUE!</v>
      </c>
      <c r="O2436" s="164">
        <v>41859</v>
      </c>
      <c r="P2436" s="72"/>
      <c r="Q2436" s="72"/>
      <c r="R2436" s="162"/>
      <c r="S2436" s="146"/>
      <c r="T2436" s="68" t="s">
        <v>165</v>
      </c>
      <c r="U2436" s="87"/>
      <c r="V2436" s="183"/>
      <c r="W2436" s="73">
        <v>18951</v>
      </c>
      <c r="X2436" s="73">
        <f>1279121800/1000000</f>
        <v>1279.1217999999999</v>
      </c>
      <c r="Y2436" s="73">
        <f>IF(SUM(W2436:W2436)&gt;0,X2436/SUM(W2436:W2436)*1000000,"N/A")</f>
        <v>67496.269326156922</v>
      </c>
      <c r="Z2436" s="183"/>
      <c r="AA2436" s="183"/>
      <c r="AB2436" s="223"/>
      <c r="AC2436" s="153"/>
      <c r="AD2436" s="331"/>
      <c r="AE2436" s="57"/>
      <c r="AF2436" s="88"/>
      <c r="AG2436" s="182">
        <f>YEAR(D2436)</f>
        <v>2014</v>
      </c>
      <c r="AH2436" s="86" t="str">
        <f>+IF(AE2436=$AJ$22,MONTH(T2436),"")</f>
        <v/>
      </c>
      <c r="AI2436" s="86" t="str">
        <f>+IF(AF2436=$AJ$22,MONTH(U2436),"")</f>
        <v/>
      </c>
      <c r="AJ2436" s="86" t="str">
        <f>+IF(AG2436=$AJ$22,MONTH(V2436),"")</f>
        <v/>
      </c>
      <c r="AK2436" s="86" t="str">
        <f>+IF(AG2436=$AK$22,MONTH(V2436),"")</f>
        <v/>
      </c>
      <c r="AL2436" s="86" t="str">
        <f>+IF(AG2436=$AL$22,MONTH(V2436),"")</f>
        <v/>
      </c>
      <c r="AM2436" s="86" t="str">
        <f>+IF($AG2436=$AM$22,MONTH($D2436),"")</f>
        <v/>
      </c>
      <c r="AN2436" s="89" t="str">
        <f>+IF($AG2436=AN$22,MONTH($D2436),"")</f>
        <v/>
      </c>
      <c r="AO2436" s="86" t="str">
        <f>+IF($AG2436=AO$22,MONTH($D2436),"")</f>
        <v/>
      </c>
      <c r="AP2436" s="86" t="str">
        <f>+IF($AG2436=AP$22,MONTH($D2436),"")</f>
        <v/>
      </c>
      <c r="AQ2436" s="86" t="str">
        <f>+IF($AG2436=AQ$22,MONTH($D2436),"")</f>
        <v/>
      </c>
      <c r="AR2436" s="86" t="str">
        <f>+IF($AG2436=AR$22,MONTH($D2436),"")</f>
        <v/>
      </c>
      <c r="AS2436" s="86" t="str">
        <f>+IF($AG2436=AS$22,MONTH($D2436),"")</f>
        <v/>
      </c>
      <c r="AT2436" s="86">
        <f>+IF($AG2436=AT$22,MONTH($D2436),"")</f>
        <v>7</v>
      </c>
      <c r="AU2436" s="86" t="str">
        <f>+IF($AG2436=AU$22,MONTH($D2436),"")</f>
        <v/>
      </c>
      <c r="AV2436" s="86" t="str">
        <f>+IF($AG2436=AV$22,MONTH($D2436),"")</f>
        <v/>
      </c>
      <c r="AW2436" s="86" t="str">
        <f>+IF($AG2436=AW$22,MONTH($D2436),"")</f>
        <v/>
      </c>
      <c r="AX2436" s="86" t="str">
        <f>+IF($AG2436=AX$22,MONTH($D2436),"")</f>
        <v/>
      </c>
      <c r="AY2436" s="89"/>
      <c r="AZ2436" s="89"/>
      <c r="BA2436" s="89"/>
      <c r="BB2436" s="89"/>
      <c r="BC2436" s="89"/>
      <c r="BD2436" s="89"/>
      <c r="BE2436" s="89"/>
      <c r="BF2436" s="89"/>
      <c r="BG2436" s="89"/>
      <c r="BH2436" s="89"/>
      <c r="BI2436" s="89"/>
      <c r="BJ2436" s="89"/>
      <c r="BK2436" s="89"/>
      <c r="BL2436" s="89"/>
      <c r="BM2436" s="89"/>
      <c r="BN2436" s="89"/>
      <c r="BO2436" s="89"/>
      <c r="BP2436" s="89"/>
    </row>
    <row r="2437" spans="1:68" s="56" customFormat="1" ht="13.5" hidden="1">
      <c r="A2437" s="204" t="str">
        <f>+IFERROR(VALUE(MID(AB2437,4,4)),"")</f>
        <v/>
      </c>
      <c r="B2437" s="204">
        <f>VALUE(RIGHT(C2437,LEN(C2437)-2))</f>
        <v>288</v>
      </c>
      <c r="C2437" s="74" t="s">
        <v>8284</v>
      </c>
      <c r="D2437" s="75">
        <v>41823</v>
      </c>
      <c r="E2437" s="70" t="s">
        <v>1321</v>
      </c>
      <c r="F2437" s="70" t="s">
        <v>394</v>
      </c>
      <c r="G2437" s="68" t="s">
        <v>1322</v>
      </c>
      <c r="H2437" s="59"/>
      <c r="I2437" s="162" t="s">
        <v>8285</v>
      </c>
      <c r="J2437" s="162"/>
      <c r="K2437" s="68" t="s">
        <v>11</v>
      </c>
      <c r="L2437" s="69" t="s">
        <v>123</v>
      </c>
      <c r="M2437" s="71" t="s">
        <v>141</v>
      </c>
      <c r="N2437" s="69" t="e" vm="1">
        <v>#VALUE!</v>
      </c>
      <c r="O2437" s="164">
        <v>41859</v>
      </c>
      <c r="P2437" s="72"/>
      <c r="Q2437" s="72"/>
      <c r="R2437" s="162"/>
      <c r="S2437" s="146"/>
      <c r="T2437" s="68" t="s">
        <v>165</v>
      </c>
      <c r="U2437" s="87"/>
      <c r="V2437" s="183">
        <v>41993</v>
      </c>
      <c r="W2437" s="73">
        <v>13988</v>
      </c>
      <c r="X2437" s="73">
        <f>23126*24500/1000000</f>
        <v>566.58699999999999</v>
      </c>
      <c r="Y2437" s="73">
        <f>IF(SUM(W2437:W2437)&gt;0,X2437/SUM(W2437:W2437)*1000000,"N/A")</f>
        <v>40505.218758936229</v>
      </c>
      <c r="Z2437" s="183"/>
      <c r="AA2437" s="183"/>
      <c r="AB2437" s="223"/>
      <c r="AC2437" s="153"/>
      <c r="AD2437" s="331"/>
      <c r="AE2437" s="57"/>
      <c r="AF2437" s="88"/>
      <c r="AG2437" s="182">
        <f>YEAR(D2437)</f>
        <v>2014</v>
      </c>
      <c r="AH2437" s="86" t="str">
        <f>+IF(AE2437=$AJ$22,MONTH(T2437),"")</f>
        <v/>
      </c>
      <c r="AI2437" s="86" t="str">
        <f>+IF(AF2437=$AJ$22,MONTH(U2437),"")</f>
        <v/>
      </c>
      <c r="AJ2437" s="86" t="str">
        <f>+IF(AG2437=$AJ$22,MONTH(V2437),"")</f>
        <v/>
      </c>
      <c r="AK2437" s="86" t="str">
        <f>+IF(AG2437=$AK$22,MONTH(V2437),"")</f>
        <v/>
      </c>
      <c r="AL2437" s="86" t="str">
        <f>+IF(AG2437=$AL$22,MONTH(V2437),"")</f>
        <v/>
      </c>
      <c r="AM2437" s="86" t="str">
        <f>+IF($AG2437=$AM$22,MONTH($D2437),"")</f>
        <v/>
      </c>
      <c r="AN2437" s="89" t="str">
        <f>+IF($AG2437=AN$22,MONTH($D2437),"")</f>
        <v/>
      </c>
      <c r="AO2437" s="86" t="str">
        <f>+IF($AG2437=AO$22,MONTH($D2437),"")</f>
        <v/>
      </c>
      <c r="AP2437" s="86" t="str">
        <f>+IF($AG2437=AP$22,MONTH($D2437),"")</f>
        <v/>
      </c>
      <c r="AQ2437" s="86" t="str">
        <f>+IF($AG2437=AQ$22,MONTH($D2437),"")</f>
        <v/>
      </c>
      <c r="AR2437" s="86" t="str">
        <f>+IF($AG2437=AR$22,MONTH($D2437),"")</f>
        <v/>
      </c>
      <c r="AS2437" s="86" t="str">
        <f>+IF($AG2437=AS$22,MONTH($D2437),"")</f>
        <v/>
      </c>
      <c r="AT2437" s="86">
        <f>+IF($AG2437=AT$22,MONTH($D2437),"")</f>
        <v>7</v>
      </c>
      <c r="AU2437" s="86" t="str">
        <f>+IF($AG2437=AU$22,MONTH($D2437),"")</f>
        <v/>
      </c>
      <c r="AV2437" s="86" t="str">
        <f>+IF($AG2437=AV$22,MONTH($D2437),"")</f>
        <v/>
      </c>
      <c r="AW2437" s="86" t="str">
        <f>+IF($AG2437=AW$22,MONTH($D2437),"")</f>
        <v/>
      </c>
      <c r="AX2437" s="86" t="str">
        <f>+IF($AG2437=AX$22,MONTH($D2437),"")</f>
        <v/>
      </c>
      <c r="AY2437" s="89"/>
      <c r="AZ2437" s="89"/>
      <c r="BA2437" s="89"/>
      <c r="BB2437" s="89"/>
      <c r="BC2437" s="89"/>
      <c r="BD2437" s="89"/>
      <c r="BE2437" s="89"/>
      <c r="BF2437" s="89"/>
      <c r="BG2437" s="89"/>
      <c r="BH2437" s="89"/>
      <c r="BI2437" s="89"/>
      <c r="BJ2437" s="89"/>
      <c r="BK2437" s="89"/>
      <c r="BL2437" s="89"/>
      <c r="BM2437" s="89"/>
      <c r="BN2437" s="89"/>
      <c r="BO2437" s="89"/>
      <c r="BP2437" s="89"/>
    </row>
    <row r="2438" spans="1:68" s="56" customFormat="1" ht="40.5" hidden="1">
      <c r="A2438" s="204" t="str">
        <f>+IFERROR(VALUE(MID(AB2438,4,4)),"")</f>
        <v/>
      </c>
      <c r="B2438" s="204">
        <f>VALUE(RIGHT(C2438,LEN(C2438)-2))</f>
        <v>287</v>
      </c>
      <c r="C2438" s="74" t="s">
        <v>8286</v>
      </c>
      <c r="D2438" s="75">
        <v>41822</v>
      </c>
      <c r="E2438" s="70" t="s">
        <v>420</v>
      </c>
      <c r="F2438" s="70" t="s">
        <v>3915</v>
      </c>
      <c r="G2438" s="68"/>
      <c r="H2438" s="59"/>
      <c r="I2438" s="162" t="s">
        <v>8287</v>
      </c>
      <c r="J2438" s="162"/>
      <c r="K2438" s="68" t="s">
        <v>30</v>
      </c>
      <c r="L2438" s="69" t="s">
        <v>123</v>
      </c>
      <c r="M2438" s="71" t="s">
        <v>141</v>
      </c>
      <c r="N2438" s="69" t="e" vm="1">
        <v>#VALUE!</v>
      </c>
      <c r="O2438" s="164"/>
      <c r="P2438" s="72" t="s">
        <v>402</v>
      </c>
      <c r="Q2438" s="72"/>
      <c r="R2438" s="162"/>
      <c r="S2438" s="146"/>
      <c r="T2438" s="68" t="s">
        <v>155</v>
      </c>
      <c r="U2438" s="87"/>
      <c r="V2438" s="183">
        <v>41994</v>
      </c>
      <c r="W2438" s="73"/>
      <c r="X2438" s="73"/>
      <c r="Y2438" s="73"/>
      <c r="Z2438" s="183"/>
      <c r="AA2438" s="183"/>
      <c r="AB2438" s="223"/>
      <c r="AC2438" s="153"/>
      <c r="AD2438" s="331"/>
      <c r="AE2438" s="57"/>
      <c r="AF2438" s="88"/>
      <c r="AG2438" s="182">
        <f>YEAR(D2438)</f>
        <v>2014</v>
      </c>
      <c r="AH2438" s="86" t="str">
        <f>+IF(AE2438=$AJ$22,MONTH(T2438),"")</f>
        <v/>
      </c>
      <c r="AI2438" s="86" t="str">
        <f>+IF(AF2438=$AJ$22,MONTH(U2438),"")</f>
        <v/>
      </c>
      <c r="AJ2438" s="86" t="str">
        <f>+IF(AG2438=$AJ$22,MONTH(V2438),"")</f>
        <v/>
      </c>
      <c r="AK2438" s="86" t="str">
        <f>+IF(AG2438=$AK$22,MONTH(V2438),"")</f>
        <v/>
      </c>
      <c r="AL2438" s="86" t="str">
        <f>+IF(AG2438=$AL$22,MONTH(V2438),"")</f>
        <v/>
      </c>
      <c r="AM2438" s="86" t="str">
        <f>+IF($AG2438=$AM$22,MONTH($D2438),"")</f>
        <v/>
      </c>
      <c r="AN2438" s="89" t="str">
        <f>+IF($AG2438=AN$22,MONTH($D2438),"")</f>
        <v/>
      </c>
      <c r="AO2438" s="86" t="str">
        <f>+IF($AG2438=AO$22,MONTH($D2438),"")</f>
        <v/>
      </c>
      <c r="AP2438" s="86" t="str">
        <f>+IF($AG2438=AP$22,MONTH($D2438),"")</f>
        <v/>
      </c>
      <c r="AQ2438" s="86" t="str">
        <f>+IF($AG2438=AQ$22,MONTH($D2438),"")</f>
        <v/>
      </c>
      <c r="AR2438" s="86" t="str">
        <f>+IF($AG2438=AR$22,MONTH($D2438),"")</f>
        <v/>
      </c>
      <c r="AS2438" s="86" t="str">
        <f>+IF($AG2438=AS$22,MONTH($D2438),"")</f>
        <v/>
      </c>
      <c r="AT2438" s="86">
        <f>+IF($AG2438=AT$22,MONTH($D2438),"")</f>
        <v>7</v>
      </c>
      <c r="AU2438" s="86" t="str">
        <f>+IF($AG2438=AU$22,MONTH($D2438),"")</f>
        <v/>
      </c>
      <c r="AV2438" s="86" t="str">
        <f>+IF($AG2438=AV$22,MONTH($D2438),"")</f>
        <v/>
      </c>
      <c r="AW2438" s="86" t="str">
        <f>+IF($AG2438=AW$22,MONTH($D2438),"")</f>
        <v/>
      </c>
      <c r="AX2438" s="86" t="str">
        <f>+IF($AG2438=AX$22,MONTH($D2438),"")</f>
        <v/>
      </c>
      <c r="AY2438" s="89"/>
      <c r="AZ2438" s="89"/>
      <c r="BA2438" s="89"/>
      <c r="BB2438" s="89"/>
      <c r="BC2438" s="89"/>
      <c r="BD2438" s="89"/>
      <c r="BE2438" s="89"/>
      <c r="BF2438" s="89"/>
      <c r="BG2438" s="89"/>
      <c r="BH2438" s="89"/>
      <c r="BI2438" s="89"/>
      <c r="BJ2438" s="89"/>
      <c r="BK2438" s="89"/>
      <c r="BL2438" s="89"/>
      <c r="BM2438" s="89"/>
      <c r="BN2438" s="89"/>
      <c r="BO2438" s="89"/>
      <c r="BP2438" s="89"/>
    </row>
    <row r="2439" spans="1:68" s="56" customFormat="1" ht="13.5" hidden="1">
      <c r="A2439" s="204">
        <f>+IFERROR(VALUE(MID(AB2439,4,4)),"")</f>
        <v>87</v>
      </c>
      <c r="B2439" s="204">
        <f>VALUE(RIGHT(C2439,LEN(C2439)-2))</f>
        <v>286</v>
      </c>
      <c r="C2439" s="74" t="s">
        <v>8288</v>
      </c>
      <c r="D2439" s="75">
        <v>41818</v>
      </c>
      <c r="E2439" s="70" t="s">
        <v>332</v>
      </c>
      <c r="F2439" s="70" t="s">
        <v>332</v>
      </c>
      <c r="G2439" s="68" t="s">
        <v>7465</v>
      </c>
      <c r="H2439" s="59"/>
      <c r="I2439" s="162" t="s">
        <v>8289</v>
      </c>
      <c r="J2439" s="162"/>
      <c r="K2439" s="68" t="s">
        <v>33</v>
      </c>
      <c r="L2439" s="69" t="s">
        <v>120</v>
      </c>
      <c r="M2439" s="71" t="s">
        <v>141</v>
      </c>
      <c r="N2439" s="69" t="e" vm="1">
        <v>#VALUE!</v>
      </c>
      <c r="O2439" s="164">
        <v>41820</v>
      </c>
      <c r="P2439" s="72" t="s">
        <v>402</v>
      </c>
      <c r="Q2439" s="72"/>
      <c r="R2439" s="162"/>
      <c r="S2439" s="146" t="s">
        <v>8290</v>
      </c>
      <c r="T2439" s="68" t="s">
        <v>3</v>
      </c>
      <c r="U2439" s="87"/>
      <c r="V2439" s="183"/>
      <c r="W2439" s="73">
        <v>2064</v>
      </c>
      <c r="X2439" s="73">
        <f>99072000/1000000</f>
        <v>99.072000000000003</v>
      </c>
      <c r="Y2439" s="73">
        <f>IF(SUM(W2439:W2439)&gt;0,X2439/SUM(W2439:W2439)*1000000,"N/A")</f>
        <v>48000</v>
      </c>
      <c r="Z2439" s="183"/>
      <c r="AA2439" s="183"/>
      <c r="AB2439" s="223" t="s">
        <v>7997</v>
      </c>
      <c r="AC2439" s="153"/>
      <c r="AD2439" s="331"/>
      <c r="AE2439" s="57"/>
      <c r="AF2439" s="88"/>
      <c r="AG2439" s="182">
        <f>YEAR(D2439)</f>
        <v>2014</v>
      </c>
      <c r="AH2439" s="86" t="str">
        <f>+IF(AE2439=$AJ$22,MONTH(T2439),"")</f>
        <v/>
      </c>
      <c r="AI2439" s="86" t="str">
        <f>+IF(AF2439=$AJ$22,MONTH(U2439),"")</f>
        <v/>
      </c>
      <c r="AJ2439" s="86" t="str">
        <f>+IF(AG2439=$AJ$22,MONTH(V2439),"")</f>
        <v/>
      </c>
      <c r="AK2439" s="86" t="str">
        <f>+IF(AG2439=$AK$22,MONTH(V2439),"")</f>
        <v/>
      </c>
      <c r="AL2439" s="86" t="str">
        <f>+IF(AG2439=$AL$22,MONTH(V2439),"")</f>
        <v/>
      </c>
      <c r="AM2439" s="86" t="str">
        <f>+IF($AG2439=$AM$22,MONTH($D2439),"")</f>
        <v/>
      </c>
      <c r="AN2439" s="89" t="str">
        <f>+IF($AG2439=AN$22,MONTH($D2439),"")</f>
        <v/>
      </c>
      <c r="AO2439" s="86" t="str">
        <f>+IF($AG2439=AO$22,MONTH($D2439),"")</f>
        <v/>
      </c>
      <c r="AP2439" s="86" t="str">
        <f>+IF($AG2439=AP$22,MONTH($D2439),"")</f>
        <v/>
      </c>
      <c r="AQ2439" s="86" t="str">
        <f>+IF($AG2439=AQ$22,MONTH($D2439),"")</f>
        <v/>
      </c>
      <c r="AR2439" s="86" t="str">
        <f>+IF($AG2439=AR$22,MONTH($D2439),"")</f>
        <v/>
      </c>
      <c r="AS2439" s="86" t="str">
        <f>+IF($AG2439=AS$22,MONTH($D2439),"")</f>
        <v/>
      </c>
      <c r="AT2439" s="86">
        <f>+IF($AG2439=AT$22,MONTH($D2439),"")</f>
        <v>6</v>
      </c>
      <c r="AU2439" s="86" t="str">
        <f>+IF($AG2439=AU$22,MONTH($D2439),"")</f>
        <v/>
      </c>
      <c r="AV2439" s="86" t="str">
        <f>+IF($AG2439=AV$22,MONTH($D2439),"")</f>
        <v/>
      </c>
      <c r="AW2439" s="86" t="str">
        <f>+IF($AG2439=AW$22,MONTH($D2439),"")</f>
        <v/>
      </c>
      <c r="AX2439" s="86" t="str">
        <f>+IF($AG2439=AX$22,MONTH($D2439),"")</f>
        <v/>
      </c>
      <c r="AY2439" s="89"/>
      <c r="AZ2439" s="89"/>
      <c r="BA2439" s="89"/>
      <c r="BB2439" s="89"/>
      <c r="BC2439" s="89"/>
      <c r="BD2439" s="89"/>
      <c r="BE2439" s="89"/>
      <c r="BF2439" s="89"/>
      <c r="BG2439" s="89"/>
      <c r="BH2439" s="89"/>
      <c r="BI2439" s="89"/>
      <c r="BJ2439" s="89"/>
      <c r="BK2439" s="89"/>
      <c r="BL2439" s="89"/>
      <c r="BM2439" s="89"/>
      <c r="BN2439" s="89"/>
      <c r="BO2439" s="89"/>
      <c r="BP2439" s="89"/>
    </row>
    <row r="2440" spans="1:68" s="56" customFormat="1" ht="13.5" hidden="1">
      <c r="A2440" s="204" t="str">
        <f>+IFERROR(VALUE(MID(AB2440,4,4)),"")</f>
        <v/>
      </c>
      <c r="B2440" s="204">
        <f>VALUE(RIGHT(C2440,LEN(C2440)-2))</f>
        <v>285</v>
      </c>
      <c r="C2440" s="74" t="s">
        <v>8291</v>
      </c>
      <c r="D2440" s="75">
        <v>41572</v>
      </c>
      <c r="E2440" s="70" t="s">
        <v>7</v>
      </c>
      <c r="F2440" s="70" t="s">
        <v>8292</v>
      </c>
      <c r="G2440" s="68" t="s">
        <v>8293</v>
      </c>
      <c r="H2440" s="59"/>
      <c r="I2440" s="162" t="s">
        <v>8294</v>
      </c>
      <c r="J2440" s="162"/>
      <c r="K2440" s="68" t="s">
        <v>13</v>
      </c>
      <c r="L2440" s="69" t="s">
        <v>120</v>
      </c>
      <c r="M2440" s="71" t="s">
        <v>141</v>
      </c>
      <c r="N2440" s="69" t="e" vm="1">
        <v>#VALUE!</v>
      </c>
      <c r="O2440" s="164">
        <v>41779</v>
      </c>
      <c r="P2440" s="72" t="s">
        <v>4567</v>
      </c>
      <c r="Q2440" s="72"/>
      <c r="R2440" s="162"/>
      <c r="S2440" s="146"/>
      <c r="T2440" s="68" t="s">
        <v>165</v>
      </c>
      <c r="U2440" s="87"/>
      <c r="V2440" s="183"/>
      <c r="W2440" s="73">
        <v>220</v>
      </c>
      <c r="X2440" s="73">
        <f>354*23700/1000000</f>
        <v>8.3897999999999993</v>
      </c>
      <c r="Y2440" s="73">
        <f>IF(SUM(W2440:W2440)&gt;0,X2440/SUM(W2440:W2440)*1000000,"N/A")</f>
        <v>38135.454545454544</v>
      </c>
      <c r="Z2440" s="183"/>
      <c r="AA2440" s="183"/>
      <c r="AB2440" s="223"/>
      <c r="AC2440" s="153"/>
      <c r="AD2440" s="331"/>
      <c r="AE2440" s="57"/>
      <c r="AF2440" s="88"/>
      <c r="AG2440" s="182">
        <f>YEAR(D2440)</f>
        <v>2013</v>
      </c>
      <c r="AH2440" s="86" t="str">
        <f>+IF(AE2440=$AJ$22,MONTH(T2440),"")</f>
        <v/>
      </c>
      <c r="AI2440" s="86" t="str">
        <f>+IF(AF2440=$AJ$22,MONTH(U2440),"")</f>
        <v/>
      </c>
      <c r="AJ2440" s="86" t="str">
        <f>+IF(AG2440=$AJ$22,MONTH(V2440),"")</f>
        <v/>
      </c>
      <c r="AK2440" s="86" t="str">
        <f>+IF(AG2440=$AK$22,MONTH(V2440),"")</f>
        <v/>
      </c>
      <c r="AL2440" s="86" t="str">
        <f>+IF(AG2440=$AL$22,MONTH(V2440),"")</f>
        <v/>
      </c>
      <c r="AM2440" s="86" t="str">
        <f>+IF($AG2440=$AM$22,MONTH($D2440),"")</f>
        <v/>
      </c>
      <c r="AN2440" s="89" t="str">
        <f>+IF($AG2440=AN$22,MONTH($D2440),"")</f>
        <v/>
      </c>
      <c r="AO2440" s="184" t="str">
        <f>+IF($AG2440=AO$22,MONTH($D2440),"")</f>
        <v/>
      </c>
      <c r="AP2440" s="184" t="str">
        <f>+IF($AG2440=AP$22,MONTH($D2440),"")</f>
        <v/>
      </c>
      <c r="AQ2440" s="184" t="str">
        <f>+IF($AG2440=AQ$22,MONTH($D2440),"")</f>
        <v/>
      </c>
      <c r="AR2440" s="184" t="str">
        <f>+IF($AG2440=AR$22,MONTH($D2440),"")</f>
        <v/>
      </c>
      <c r="AS2440" s="184" t="str">
        <f>+IF($AG2440=AS$22,MONTH($D2440),"")</f>
        <v/>
      </c>
      <c r="AT2440" s="86" t="str">
        <f>+IF($AG2440=AT$22,MONTH($D2440),"")</f>
        <v/>
      </c>
      <c r="AU2440" s="86">
        <f>+IF($AG2440=AU$22,MONTH($D2440),"")</f>
        <v>10</v>
      </c>
      <c r="AV2440" s="86" t="str">
        <f>+IF($AG2440=AV$22,MONTH($D2440),"")</f>
        <v/>
      </c>
      <c r="AW2440" s="86" t="str">
        <f>+IF($AG2440=AW$22,MONTH($D2440),"")</f>
        <v/>
      </c>
      <c r="AX2440" s="86" t="str">
        <f>+IF($AG2440=AX$22,MONTH($D2440),"")</f>
        <v/>
      </c>
      <c r="AY2440" s="89"/>
      <c r="AZ2440" s="89"/>
      <c r="BA2440" s="89"/>
      <c r="BB2440" s="89"/>
      <c r="BC2440" s="89"/>
      <c r="BD2440" s="89"/>
      <c r="BE2440" s="89"/>
      <c r="BF2440" s="89"/>
      <c r="BG2440" s="89"/>
      <c r="BH2440" s="89"/>
      <c r="BI2440" s="89"/>
      <c r="BJ2440" s="89"/>
      <c r="BK2440" s="89"/>
      <c r="BL2440" s="89"/>
      <c r="BM2440" s="89"/>
      <c r="BN2440" s="89"/>
      <c r="BO2440" s="89"/>
      <c r="BP2440" s="89"/>
    </row>
    <row r="2441" spans="1:68" s="56" customFormat="1" ht="13.5" hidden="1">
      <c r="A2441" s="204" t="str">
        <f>+IFERROR(VALUE(MID(AB2441,4,4)),"")</f>
        <v/>
      </c>
      <c r="B2441" s="204">
        <f>VALUE(RIGHT(C2441,LEN(C2441)-2))</f>
        <v>284</v>
      </c>
      <c r="C2441" s="74" t="s">
        <v>8295</v>
      </c>
      <c r="D2441" s="75">
        <v>41808</v>
      </c>
      <c r="E2441" s="70" t="s">
        <v>8296</v>
      </c>
      <c r="F2441" s="70" t="s">
        <v>8297</v>
      </c>
      <c r="G2441" s="68" t="s">
        <v>7740</v>
      </c>
      <c r="H2441" s="59"/>
      <c r="I2441" s="162" t="s">
        <v>8298</v>
      </c>
      <c r="J2441" s="162"/>
      <c r="K2441" s="68"/>
      <c r="L2441" s="69" t="s">
        <v>120</v>
      </c>
      <c r="M2441" s="71"/>
      <c r="N2441" s="69"/>
      <c r="O2441" s="164"/>
      <c r="P2441" s="72"/>
      <c r="Q2441" s="72"/>
      <c r="R2441" s="162"/>
      <c r="S2441" s="146"/>
      <c r="T2441" s="68" t="s">
        <v>165</v>
      </c>
      <c r="U2441" s="87"/>
      <c r="V2441" s="183">
        <v>41808</v>
      </c>
      <c r="W2441" s="73">
        <v>2301</v>
      </c>
      <c r="X2441" s="73">
        <f>4053*24500/1000000</f>
        <v>99.298500000000004</v>
      </c>
      <c r="Y2441" s="73">
        <f>IF(SUM(W2441:W2441)&gt;0,X2441/SUM(W2441:W2441)*1000000,"N/A")</f>
        <v>43154.498044328553</v>
      </c>
      <c r="Z2441" s="183"/>
      <c r="AA2441" s="183"/>
      <c r="AB2441" s="223"/>
      <c r="AC2441" s="153"/>
      <c r="AD2441" s="331"/>
      <c r="AE2441" s="57"/>
      <c r="AF2441" s="88"/>
      <c r="AG2441" s="182">
        <f>YEAR(D2441)</f>
        <v>2014</v>
      </c>
      <c r="AH2441" s="86" t="str">
        <f>+IF(AE2441=$AJ$22,MONTH(T2441),"")</f>
        <v/>
      </c>
      <c r="AI2441" s="86" t="str">
        <f>+IF(AF2441=$AJ$22,MONTH(U2441),"")</f>
        <v/>
      </c>
      <c r="AJ2441" s="86" t="str">
        <f>+IF(AG2441=$AJ$22,MONTH(V2441),"")</f>
        <v/>
      </c>
      <c r="AK2441" s="86" t="str">
        <f>+IF(AG2441=$AK$22,MONTH(V2441),"")</f>
        <v/>
      </c>
      <c r="AL2441" s="86" t="str">
        <f>+IF(AG2441=$AL$22,MONTH(V2441),"")</f>
        <v/>
      </c>
      <c r="AM2441" s="86" t="str">
        <f>+IF($AG2441=$AM$22,MONTH($D2441),"")</f>
        <v/>
      </c>
      <c r="AN2441" s="89" t="str">
        <f>+IF($AG2441=AN$22,MONTH($D2441),"")</f>
        <v/>
      </c>
      <c r="AO2441" s="86" t="str">
        <f>+IF($AG2441=AO$22,MONTH($D2441),"")</f>
        <v/>
      </c>
      <c r="AP2441" s="86" t="str">
        <f>+IF($AG2441=AP$22,MONTH($D2441),"")</f>
        <v/>
      </c>
      <c r="AQ2441" s="86" t="str">
        <f>+IF($AG2441=AQ$22,MONTH($D2441),"")</f>
        <v/>
      </c>
      <c r="AR2441" s="86" t="str">
        <f>+IF($AG2441=AR$22,MONTH($D2441),"")</f>
        <v/>
      </c>
      <c r="AS2441" s="86" t="str">
        <f>+IF($AG2441=AS$22,MONTH($D2441),"")</f>
        <v/>
      </c>
      <c r="AT2441" s="86">
        <f>+IF($AG2441=AT$22,MONTH($D2441),"")</f>
        <v>6</v>
      </c>
      <c r="AU2441" s="86" t="str">
        <f>+IF($AG2441=AU$22,MONTH($D2441),"")</f>
        <v/>
      </c>
      <c r="AV2441" s="86" t="str">
        <f>+IF($AG2441=AV$22,MONTH($D2441),"")</f>
        <v/>
      </c>
      <c r="AW2441" s="86" t="str">
        <f>+IF($AG2441=AW$22,MONTH($D2441),"")</f>
        <v/>
      </c>
      <c r="AX2441" s="86" t="str">
        <f>+IF($AG2441=AX$22,MONTH($D2441),"")</f>
        <v/>
      </c>
      <c r="AY2441" s="89"/>
      <c r="AZ2441" s="89"/>
      <c r="BA2441" s="89"/>
      <c r="BB2441" s="89"/>
      <c r="BC2441" s="89"/>
      <c r="BD2441" s="89"/>
      <c r="BE2441" s="89"/>
      <c r="BF2441" s="89"/>
      <c r="BG2441" s="89"/>
      <c r="BH2441" s="89"/>
      <c r="BI2441" s="89"/>
      <c r="BJ2441" s="89"/>
      <c r="BK2441" s="89"/>
      <c r="BL2441" s="89"/>
      <c r="BM2441" s="89"/>
      <c r="BN2441" s="89"/>
      <c r="BO2441" s="89"/>
      <c r="BP2441" s="89"/>
    </row>
    <row r="2442" spans="1:68" s="56" customFormat="1" ht="13.5" hidden="1">
      <c r="A2442" s="204" t="str">
        <f>+IFERROR(VALUE(MID(AB2442,4,4)),"")</f>
        <v/>
      </c>
      <c r="B2442" s="204">
        <f>VALUE(RIGHT(C2442,LEN(C2442)-2))</f>
        <v>283</v>
      </c>
      <c r="C2442" s="74" t="s">
        <v>8299</v>
      </c>
      <c r="D2442" s="75">
        <v>41800</v>
      </c>
      <c r="E2442" s="70" t="s">
        <v>332</v>
      </c>
      <c r="F2442" s="70" t="s">
        <v>332</v>
      </c>
      <c r="G2442" s="68" t="s">
        <v>7465</v>
      </c>
      <c r="H2442" s="59"/>
      <c r="I2442" s="162" t="s">
        <v>8300</v>
      </c>
      <c r="J2442" s="162"/>
      <c r="K2442" s="68" t="s">
        <v>13</v>
      </c>
      <c r="L2442" s="69" t="s">
        <v>120</v>
      </c>
      <c r="M2442" s="71" t="s">
        <v>141</v>
      </c>
      <c r="N2442" s="69" t="e" vm="1">
        <v>#VALUE!</v>
      </c>
      <c r="O2442" s="164"/>
      <c r="P2442" s="72" t="s">
        <v>402</v>
      </c>
      <c r="Q2442" s="72"/>
      <c r="R2442" s="162"/>
      <c r="S2442" s="146"/>
      <c r="T2442" s="68" t="s">
        <v>165</v>
      </c>
      <c r="U2442" s="87"/>
      <c r="V2442" s="183"/>
      <c r="W2442" s="73">
        <v>232</v>
      </c>
      <c r="X2442" s="73">
        <f>9328375/1000000</f>
        <v>9.3283749999999994</v>
      </c>
      <c r="Y2442" s="73">
        <f>IF(SUM(W2442:W2442)&gt;0,X2442/SUM(W2442:W2442)*1000000,"N/A")</f>
        <v>40208.512931034478</v>
      </c>
      <c r="Z2442" s="183"/>
      <c r="AA2442" s="183"/>
      <c r="AB2442" s="223"/>
      <c r="AC2442" s="153"/>
      <c r="AD2442" s="331"/>
      <c r="AE2442" s="57"/>
      <c r="AF2442" s="88"/>
      <c r="AG2442" s="182">
        <f>YEAR(D2442)</f>
        <v>2014</v>
      </c>
      <c r="AH2442" s="86" t="str">
        <f>+IF(AE2442=$AJ$22,MONTH(T2442),"")</f>
        <v/>
      </c>
      <c r="AI2442" s="86" t="str">
        <f>+IF(AF2442=$AJ$22,MONTH(U2442),"")</f>
        <v/>
      </c>
      <c r="AJ2442" s="86" t="str">
        <f>+IF(AG2442=$AJ$22,MONTH(V2442),"")</f>
        <v/>
      </c>
      <c r="AK2442" s="86" t="str">
        <f>+IF(AG2442=$AK$22,MONTH(V2442),"")</f>
        <v/>
      </c>
      <c r="AL2442" s="86" t="str">
        <f>+IF(AG2442=$AL$22,MONTH(V2442),"")</f>
        <v/>
      </c>
      <c r="AM2442" s="86" t="str">
        <f>+IF($AG2442=$AM$22,MONTH($D2442),"")</f>
        <v/>
      </c>
      <c r="AN2442" s="89" t="str">
        <f>+IF($AG2442=AN$22,MONTH($D2442),"")</f>
        <v/>
      </c>
      <c r="AO2442" s="86" t="str">
        <f>+IF($AG2442=AO$22,MONTH($D2442),"")</f>
        <v/>
      </c>
      <c r="AP2442" s="86" t="str">
        <f>+IF($AG2442=AP$22,MONTH($D2442),"")</f>
        <v/>
      </c>
      <c r="AQ2442" s="86" t="str">
        <f>+IF($AG2442=AQ$22,MONTH($D2442),"")</f>
        <v/>
      </c>
      <c r="AR2442" s="86" t="str">
        <f>+IF($AG2442=AR$22,MONTH($D2442),"")</f>
        <v/>
      </c>
      <c r="AS2442" s="86" t="str">
        <f>+IF($AG2442=AS$22,MONTH($D2442),"")</f>
        <v/>
      </c>
      <c r="AT2442" s="86">
        <f>+IF($AG2442=AT$22,MONTH($D2442),"")</f>
        <v>6</v>
      </c>
      <c r="AU2442" s="86" t="str">
        <f>+IF($AG2442=AU$22,MONTH($D2442),"")</f>
        <v/>
      </c>
      <c r="AV2442" s="86" t="str">
        <f>+IF($AG2442=AV$22,MONTH($D2442),"")</f>
        <v/>
      </c>
      <c r="AW2442" s="86" t="str">
        <f>+IF($AG2442=AW$22,MONTH($D2442),"")</f>
        <v/>
      </c>
      <c r="AX2442" s="86" t="str">
        <f>+IF($AG2442=AX$22,MONTH($D2442),"")</f>
        <v/>
      </c>
      <c r="AY2442" s="89"/>
      <c r="AZ2442" s="89"/>
      <c r="BA2442" s="89"/>
      <c r="BB2442" s="89"/>
      <c r="BC2442" s="89"/>
      <c r="BD2442" s="89"/>
      <c r="BE2442" s="89"/>
      <c r="BF2442" s="89"/>
      <c r="BG2442" s="89"/>
      <c r="BH2442" s="89"/>
      <c r="BI2442" s="89"/>
      <c r="BJ2442" s="89"/>
      <c r="BK2442" s="89"/>
      <c r="BL2442" s="89"/>
      <c r="BM2442" s="89"/>
      <c r="BN2442" s="89"/>
      <c r="BO2442" s="89"/>
      <c r="BP2442" s="89"/>
    </row>
    <row r="2443" spans="1:68" s="56" customFormat="1" ht="13.5" hidden="1">
      <c r="A2443" s="204" t="str">
        <f>+IFERROR(VALUE(MID(AB2443,4,4)),"")</f>
        <v/>
      </c>
      <c r="B2443" s="204">
        <f>VALUE(RIGHT(C2443,LEN(C2443)-2))</f>
        <v>282</v>
      </c>
      <c r="C2443" s="74" t="s">
        <v>8301</v>
      </c>
      <c r="D2443" s="84">
        <v>41781</v>
      </c>
      <c r="E2443" s="70" t="s">
        <v>6761</v>
      </c>
      <c r="F2443" s="70" t="s">
        <v>4114</v>
      </c>
      <c r="G2443" s="68" t="s">
        <v>8302</v>
      </c>
      <c r="H2443" s="59"/>
      <c r="I2443" s="162" t="s">
        <v>8303</v>
      </c>
      <c r="J2443" s="162"/>
      <c r="K2443" s="68" t="s">
        <v>30</v>
      </c>
      <c r="L2443" s="69" t="s">
        <v>120</v>
      </c>
      <c r="M2443" s="71" t="s">
        <v>141</v>
      </c>
      <c r="N2443" s="69" t="e" vm="1">
        <v>#VALUE!</v>
      </c>
      <c r="O2443" s="164">
        <v>41781</v>
      </c>
      <c r="P2443" s="72" t="s">
        <v>402</v>
      </c>
      <c r="Q2443" s="72"/>
      <c r="R2443" s="162"/>
      <c r="S2443" s="146"/>
      <c r="T2443" s="68" t="s">
        <v>165</v>
      </c>
      <c r="U2443" s="87"/>
      <c r="V2443" s="183"/>
      <c r="W2443" s="73">
        <v>248</v>
      </c>
      <c r="X2443" s="73">
        <f>500*23850/1000000</f>
        <v>11.925000000000001</v>
      </c>
      <c r="Y2443" s="73">
        <f>IF(SUM(W2443:W2443)&gt;0,X2443/SUM(W2443:W2443)*1000000,"N/A")</f>
        <v>48084.677419354841</v>
      </c>
      <c r="Z2443" s="183"/>
      <c r="AA2443" s="183"/>
      <c r="AB2443" s="223"/>
      <c r="AC2443" s="153"/>
      <c r="AD2443" s="331"/>
      <c r="AE2443" s="57"/>
      <c r="AF2443" s="88"/>
      <c r="AG2443" s="182">
        <f>YEAR(D2443)</f>
        <v>2014</v>
      </c>
      <c r="AH2443" s="86" t="str">
        <f>+IF(AE2443=$AJ$22,MONTH(T2443),"")</f>
        <v/>
      </c>
      <c r="AI2443" s="86" t="str">
        <f>+IF(AF2443=$AJ$22,MONTH(U2443),"")</f>
        <v/>
      </c>
      <c r="AJ2443" s="86" t="str">
        <f>+IF(AG2443=$AJ$22,MONTH(V2443),"")</f>
        <v/>
      </c>
      <c r="AK2443" s="86" t="str">
        <f>+IF(AG2443=$AK$22,MONTH(V2443),"")</f>
        <v/>
      </c>
      <c r="AL2443" s="86" t="str">
        <f>+IF(AG2443=$AL$22,MONTH(V2443),"")</f>
        <v/>
      </c>
      <c r="AM2443" s="86" t="str">
        <f>+IF($AG2443=$AM$22,MONTH($D2443),"")</f>
        <v/>
      </c>
      <c r="AN2443" s="89" t="str">
        <f>+IF($AG2443=AN$22,MONTH($D2443),"")</f>
        <v/>
      </c>
      <c r="AO2443" s="86" t="str">
        <f>+IF($AG2443=AO$22,MONTH($D2443),"")</f>
        <v/>
      </c>
      <c r="AP2443" s="86" t="str">
        <f>+IF($AG2443=AP$22,MONTH($D2443),"")</f>
        <v/>
      </c>
      <c r="AQ2443" s="86" t="str">
        <f>+IF($AG2443=AQ$22,MONTH($D2443),"")</f>
        <v/>
      </c>
      <c r="AR2443" s="86" t="str">
        <f>+IF($AG2443=AR$22,MONTH($D2443),"")</f>
        <v/>
      </c>
      <c r="AS2443" s="86" t="str">
        <f>+IF($AG2443=AS$22,MONTH($D2443),"")</f>
        <v/>
      </c>
      <c r="AT2443" s="86">
        <f>+IF($AG2443=AT$22,MONTH($D2443),"")</f>
        <v>5</v>
      </c>
      <c r="AU2443" s="86" t="str">
        <f>+IF($AG2443=AU$22,MONTH($D2443),"")</f>
        <v/>
      </c>
      <c r="AV2443" s="86" t="str">
        <f>+IF($AG2443=AV$22,MONTH($D2443),"")</f>
        <v/>
      </c>
      <c r="AW2443" s="86" t="str">
        <f>+IF($AG2443=AW$22,MONTH($D2443),"")</f>
        <v/>
      </c>
      <c r="AX2443" s="86" t="str">
        <f>+IF($AG2443=AX$22,MONTH($D2443),"")</f>
        <v/>
      </c>
      <c r="AY2443" s="89"/>
      <c r="AZ2443" s="89"/>
      <c r="BA2443" s="89"/>
      <c r="BB2443" s="89"/>
      <c r="BC2443" s="89"/>
      <c r="BD2443" s="89"/>
      <c r="BE2443" s="89"/>
      <c r="BF2443" s="89"/>
      <c r="BG2443" s="89"/>
      <c r="BH2443" s="89"/>
      <c r="BI2443" s="89"/>
      <c r="BJ2443" s="89"/>
      <c r="BK2443" s="89"/>
      <c r="BL2443" s="89"/>
      <c r="BM2443" s="89"/>
      <c r="BN2443" s="89"/>
      <c r="BO2443" s="89"/>
      <c r="BP2443" s="89"/>
    </row>
    <row r="2444" spans="1:68" s="56" customFormat="1" ht="27" hidden="1">
      <c r="A2444" s="204" t="str">
        <f>+IFERROR(VALUE(MID(AB2444,4,4)),"")</f>
        <v/>
      </c>
      <c r="B2444" s="204">
        <f>VALUE(RIGHT(C2444,LEN(C2444)-2))</f>
        <v>281</v>
      </c>
      <c r="C2444" s="74" t="s">
        <v>8304</v>
      </c>
      <c r="D2444" s="84">
        <v>41800</v>
      </c>
      <c r="E2444" s="70" t="s">
        <v>8305</v>
      </c>
      <c r="F2444" s="70"/>
      <c r="G2444" s="68" t="s">
        <v>4175</v>
      </c>
      <c r="H2444" s="59"/>
      <c r="I2444" s="162" t="s">
        <v>8306</v>
      </c>
      <c r="J2444" s="162"/>
      <c r="K2444" s="68"/>
      <c r="L2444" s="69" t="s">
        <v>120</v>
      </c>
      <c r="M2444" s="71"/>
      <c r="N2444" s="69"/>
      <c r="O2444" s="164"/>
      <c r="P2444" s="72" t="s">
        <v>402</v>
      </c>
      <c r="Q2444" s="72"/>
      <c r="R2444" s="162"/>
      <c r="S2444" s="146"/>
      <c r="T2444" s="68" t="s">
        <v>155</v>
      </c>
      <c r="U2444" s="87"/>
      <c r="V2444" s="183"/>
      <c r="W2444" s="73"/>
      <c r="X2444" s="73"/>
      <c r="Y2444" s="73"/>
      <c r="Z2444" s="183"/>
      <c r="AA2444" s="183"/>
      <c r="AB2444" s="223"/>
      <c r="AC2444" s="153"/>
      <c r="AD2444" s="331"/>
      <c r="AE2444" s="57"/>
      <c r="AF2444" s="88"/>
      <c r="AG2444" s="182">
        <f>YEAR(D2444)</f>
        <v>2014</v>
      </c>
      <c r="AH2444" s="86" t="str">
        <f>+IF(AE2444=$AJ$22,MONTH(T2444),"")</f>
        <v/>
      </c>
      <c r="AI2444" s="86" t="str">
        <f>+IF(AF2444=$AJ$22,MONTH(U2444),"")</f>
        <v/>
      </c>
      <c r="AJ2444" s="86" t="str">
        <f>+IF(AG2444=$AJ$22,MONTH(V2444),"")</f>
        <v/>
      </c>
      <c r="AK2444" s="86" t="str">
        <f>+IF(AG2444=$AK$22,MONTH(V2444),"")</f>
        <v/>
      </c>
      <c r="AL2444" s="86" t="str">
        <f>+IF(AG2444=$AL$22,MONTH(V2444),"")</f>
        <v/>
      </c>
      <c r="AM2444" s="86" t="str">
        <f>+IF($AG2444=$AM$22,MONTH($D2444),"")</f>
        <v/>
      </c>
      <c r="AN2444" s="89" t="str">
        <f>+IF($AG2444=AN$22,MONTH($D2444),"")</f>
        <v/>
      </c>
      <c r="AO2444" s="86" t="str">
        <f>+IF($AG2444=AO$22,MONTH($D2444),"")</f>
        <v/>
      </c>
      <c r="AP2444" s="86" t="str">
        <f>+IF($AG2444=AP$22,MONTH($D2444),"")</f>
        <v/>
      </c>
      <c r="AQ2444" s="86" t="str">
        <f>+IF($AG2444=AQ$22,MONTH($D2444),"")</f>
        <v/>
      </c>
      <c r="AR2444" s="86" t="str">
        <f>+IF($AG2444=AR$22,MONTH($D2444),"")</f>
        <v/>
      </c>
      <c r="AS2444" s="86" t="str">
        <f>+IF($AG2444=AS$22,MONTH($D2444),"")</f>
        <v/>
      </c>
      <c r="AT2444" s="86">
        <f>+IF($AG2444=AT$22,MONTH($D2444),"")</f>
        <v>6</v>
      </c>
      <c r="AU2444" s="86" t="str">
        <f>+IF($AG2444=AU$22,MONTH($D2444),"")</f>
        <v/>
      </c>
      <c r="AV2444" s="86" t="str">
        <f>+IF($AG2444=AV$22,MONTH($D2444),"")</f>
        <v/>
      </c>
      <c r="AW2444" s="86" t="str">
        <f>+IF($AG2444=AW$22,MONTH($D2444),"")</f>
        <v/>
      </c>
      <c r="AX2444" s="86" t="str">
        <f>+IF($AG2444=AX$22,MONTH($D2444),"")</f>
        <v/>
      </c>
      <c r="AY2444" s="89"/>
      <c r="AZ2444" s="89"/>
      <c r="BA2444" s="89"/>
      <c r="BB2444" s="89"/>
      <c r="BC2444" s="89"/>
      <c r="BD2444" s="89"/>
      <c r="BE2444" s="89"/>
      <c r="BF2444" s="89"/>
      <c r="BG2444" s="89"/>
      <c r="BH2444" s="89"/>
      <c r="BI2444" s="89"/>
      <c r="BJ2444" s="89"/>
      <c r="BK2444" s="89"/>
      <c r="BL2444" s="89"/>
      <c r="BM2444" s="89"/>
      <c r="BN2444" s="89"/>
      <c r="BO2444" s="89"/>
      <c r="BP2444" s="89"/>
    </row>
    <row r="2445" spans="1:68" s="56" customFormat="1" ht="36.75" hidden="1" customHeight="1">
      <c r="A2445" s="204" t="str">
        <f>+IFERROR(VALUE(MID(AB2445,4,4)),"")</f>
        <v/>
      </c>
      <c r="B2445" s="204">
        <f>VALUE(RIGHT(C2445,LEN(C2445)-2))</f>
        <v>280</v>
      </c>
      <c r="C2445" s="74" t="s">
        <v>8307</v>
      </c>
      <c r="D2445" s="84">
        <v>41772</v>
      </c>
      <c r="E2445" s="70" t="s">
        <v>5785</v>
      </c>
      <c r="F2445" s="70" t="s">
        <v>2961</v>
      </c>
      <c r="G2445" s="68" t="s">
        <v>8308</v>
      </c>
      <c r="H2445" s="59"/>
      <c r="I2445" s="162" t="s">
        <v>8309</v>
      </c>
      <c r="J2445" s="162"/>
      <c r="K2445" s="68" t="s">
        <v>12</v>
      </c>
      <c r="L2445" s="69" t="s">
        <v>123</v>
      </c>
      <c r="M2445" s="71"/>
      <c r="N2445" s="69" t="e" vm="1">
        <v>#VALUE!</v>
      </c>
      <c r="O2445" s="164"/>
      <c r="P2445" s="72" t="s">
        <v>402</v>
      </c>
      <c r="Q2445" s="72"/>
      <c r="R2445" s="162"/>
      <c r="S2445" s="146"/>
      <c r="T2445" s="68" t="s">
        <v>165</v>
      </c>
      <c r="U2445" s="87"/>
      <c r="V2445" s="183"/>
      <c r="W2445" s="73">
        <v>386</v>
      </c>
      <c r="X2445" s="73">
        <f>590*23850/1000000</f>
        <v>14.0715</v>
      </c>
      <c r="Y2445" s="73">
        <f>IF(SUM(W2445:W2445)&gt;0,X2445/SUM(W2445:W2445)*1000000,"N/A")</f>
        <v>36454.663212435233</v>
      </c>
      <c r="Z2445" s="183"/>
      <c r="AA2445" s="183"/>
      <c r="AB2445" s="223"/>
      <c r="AC2445" s="153"/>
      <c r="AD2445" s="331"/>
      <c r="AE2445" s="57"/>
      <c r="AF2445" s="88"/>
      <c r="AG2445" s="182">
        <f>YEAR(D2445)</f>
        <v>2014</v>
      </c>
      <c r="AH2445" s="86" t="str">
        <f>+IF(AE2445=$AJ$22,MONTH(T2445),"")</f>
        <v/>
      </c>
      <c r="AI2445" s="86" t="str">
        <f>+IF(AF2445=$AJ$22,MONTH(U2445),"")</f>
        <v/>
      </c>
      <c r="AJ2445" s="86" t="str">
        <f>+IF(AG2445=$AJ$22,MONTH(V2445),"")</f>
        <v/>
      </c>
      <c r="AK2445" s="86" t="str">
        <f>+IF(AG2445=$AK$22,MONTH(V2445),"")</f>
        <v/>
      </c>
      <c r="AL2445" s="86" t="str">
        <f>+IF(AG2445=$AL$22,MONTH(V2445),"")</f>
        <v/>
      </c>
      <c r="AM2445" s="86" t="str">
        <f>+IF($AG2445=$AM$22,MONTH($D2445),"")</f>
        <v/>
      </c>
      <c r="AN2445" s="89" t="str">
        <f>+IF($AG2445=AN$22,MONTH($D2445),"")</f>
        <v/>
      </c>
      <c r="AO2445" s="86" t="str">
        <f>+IF($AG2445=AO$22,MONTH($D2445),"")</f>
        <v/>
      </c>
      <c r="AP2445" s="86" t="str">
        <f>+IF($AG2445=AP$22,MONTH($D2445),"")</f>
        <v/>
      </c>
      <c r="AQ2445" s="86" t="str">
        <f>+IF($AG2445=AQ$22,MONTH($D2445),"")</f>
        <v/>
      </c>
      <c r="AR2445" s="86" t="str">
        <f>+IF($AG2445=AR$22,MONTH($D2445),"")</f>
        <v/>
      </c>
      <c r="AS2445" s="86" t="str">
        <f>+IF($AG2445=AS$22,MONTH($D2445),"")</f>
        <v/>
      </c>
      <c r="AT2445" s="86">
        <f>+IF($AG2445=AT$22,MONTH($D2445),"")</f>
        <v>5</v>
      </c>
      <c r="AU2445" s="86" t="str">
        <f>+IF($AG2445=AU$22,MONTH($D2445),"")</f>
        <v/>
      </c>
      <c r="AV2445" s="86" t="str">
        <f>+IF($AG2445=AV$22,MONTH($D2445),"")</f>
        <v/>
      </c>
      <c r="AW2445" s="86" t="str">
        <f>+IF($AG2445=AW$22,MONTH($D2445),"")</f>
        <v/>
      </c>
      <c r="AX2445" s="86" t="str">
        <f>+IF($AG2445=AX$22,MONTH($D2445),"")</f>
        <v/>
      </c>
      <c r="AY2445" s="89"/>
      <c r="AZ2445" s="89"/>
      <c r="BA2445" s="89"/>
      <c r="BB2445" s="89"/>
      <c r="BC2445" s="89"/>
      <c r="BD2445" s="89"/>
      <c r="BE2445" s="89"/>
      <c r="BF2445" s="89"/>
      <c r="BG2445" s="89"/>
      <c r="BH2445" s="89"/>
      <c r="BI2445" s="89"/>
      <c r="BJ2445" s="89"/>
      <c r="BK2445" s="89"/>
      <c r="BL2445" s="89"/>
      <c r="BM2445" s="89"/>
      <c r="BN2445" s="89"/>
      <c r="BO2445" s="89"/>
      <c r="BP2445" s="89"/>
    </row>
    <row r="2446" spans="1:68" s="56" customFormat="1" ht="13.5" hidden="1">
      <c r="A2446" s="204">
        <f>+IFERROR(VALUE(MID(AB2446,4,4)),"")</f>
        <v>99</v>
      </c>
      <c r="B2446" s="204">
        <f>VALUE(RIGHT(C2446,LEN(C2446)-2))</f>
        <v>279</v>
      </c>
      <c r="C2446" s="74" t="s">
        <v>8310</v>
      </c>
      <c r="D2446" s="75">
        <v>41767</v>
      </c>
      <c r="E2446" s="70" t="s">
        <v>332</v>
      </c>
      <c r="F2446" s="70" t="s">
        <v>332</v>
      </c>
      <c r="G2446" s="68"/>
      <c r="H2446" s="59"/>
      <c r="I2446" s="162" t="s">
        <v>8311</v>
      </c>
      <c r="J2446" s="162"/>
      <c r="K2446" s="68" t="s">
        <v>25</v>
      </c>
      <c r="L2446" s="69" t="s">
        <v>123</v>
      </c>
      <c r="M2446" s="71"/>
      <c r="N2446" s="69" t="e" vm="1">
        <v>#VALUE!</v>
      </c>
      <c r="O2446" s="164"/>
      <c r="P2446" s="72" t="s">
        <v>402</v>
      </c>
      <c r="Q2446" s="72"/>
      <c r="R2446" s="162"/>
      <c r="S2446" s="146"/>
      <c r="T2446" s="68" t="s">
        <v>3</v>
      </c>
      <c r="U2446" s="87"/>
      <c r="V2446" s="183"/>
      <c r="W2446" s="73">
        <v>47</v>
      </c>
      <c r="X2446" s="216">
        <f>99*23800/1000000</f>
        <v>2.3561999999999999</v>
      </c>
      <c r="Y2446" s="73">
        <f>IF(SUM(W2446:W2446)&gt;0,X2446/SUM(W2446:W2446)*1000000,"N/A")</f>
        <v>50131.914893617017</v>
      </c>
      <c r="Z2446" s="183"/>
      <c r="AA2446" s="183"/>
      <c r="AB2446" s="223" t="s">
        <v>8312</v>
      </c>
      <c r="AC2446" s="153"/>
      <c r="AD2446" s="331"/>
      <c r="AE2446" s="57"/>
      <c r="AF2446" s="88"/>
      <c r="AG2446" s="182">
        <f>YEAR(D2446)</f>
        <v>2014</v>
      </c>
      <c r="AH2446" s="86" t="str">
        <f>+IF(AE2446=$AJ$22,MONTH(T2446),"")</f>
        <v/>
      </c>
      <c r="AI2446" s="86" t="str">
        <f>+IF(AF2446=$AJ$22,MONTH(U2446),"")</f>
        <v/>
      </c>
      <c r="AJ2446" s="86" t="str">
        <f>+IF(AG2446=$AJ$22,MONTH(V2446),"")</f>
        <v/>
      </c>
      <c r="AK2446" s="86" t="str">
        <f>+IF(AG2446=$AK$22,MONTH(V2446),"")</f>
        <v/>
      </c>
      <c r="AL2446" s="86" t="str">
        <f>+IF(AG2446=$AL$22,MONTH(V2446),"")</f>
        <v/>
      </c>
      <c r="AM2446" s="86" t="str">
        <f>+IF($AG2446=$AM$22,MONTH($D2446),"")</f>
        <v/>
      </c>
      <c r="AN2446" s="89" t="str">
        <f>+IF($AG2446=AN$22,MONTH($D2446),"")</f>
        <v/>
      </c>
      <c r="AO2446" s="86" t="str">
        <f>+IF($AG2446=AO$22,MONTH($D2446),"")</f>
        <v/>
      </c>
      <c r="AP2446" s="86" t="str">
        <f>+IF($AG2446=AP$22,MONTH($D2446),"")</f>
        <v/>
      </c>
      <c r="AQ2446" s="86" t="str">
        <f>+IF($AG2446=AQ$22,MONTH($D2446),"")</f>
        <v/>
      </c>
      <c r="AR2446" s="86" t="str">
        <f>+IF($AG2446=AR$22,MONTH($D2446),"")</f>
        <v/>
      </c>
      <c r="AS2446" s="86" t="str">
        <f>+IF($AG2446=AS$22,MONTH($D2446),"")</f>
        <v/>
      </c>
      <c r="AT2446" s="86">
        <f>+IF($AG2446=AT$22,MONTH($D2446),"")</f>
        <v>5</v>
      </c>
      <c r="AU2446" s="86" t="str">
        <f>+IF($AG2446=AU$22,MONTH($D2446),"")</f>
        <v/>
      </c>
      <c r="AV2446" s="86" t="str">
        <f>+IF($AG2446=AV$22,MONTH($D2446),"")</f>
        <v/>
      </c>
      <c r="AW2446" s="86" t="str">
        <f>+IF($AG2446=AW$22,MONTH($D2446),"")</f>
        <v/>
      </c>
      <c r="AX2446" s="86" t="str">
        <f>+IF($AG2446=AX$22,MONTH($D2446),"")</f>
        <v/>
      </c>
      <c r="AY2446" s="89"/>
      <c r="AZ2446" s="89"/>
      <c r="BA2446" s="89"/>
      <c r="BB2446" s="89"/>
      <c r="BC2446" s="89"/>
      <c r="BD2446" s="89"/>
      <c r="BE2446" s="89"/>
      <c r="BF2446" s="89"/>
      <c r="BG2446" s="89"/>
      <c r="BH2446" s="89"/>
      <c r="BI2446" s="89"/>
      <c r="BJ2446" s="89"/>
      <c r="BK2446" s="89"/>
      <c r="BL2446" s="89"/>
      <c r="BM2446" s="89"/>
      <c r="BN2446" s="89"/>
      <c r="BO2446" s="89"/>
      <c r="BP2446" s="89"/>
    </row>
    <row r="2447" spans="1:68" s="56" customFormat="1" ht="13.5" hidden="1">
      <c r="A2447" s="204">
        <f>+IFERROR(VALUE(MID(AB2447,4,4)),"")</f>
        <v>98</v>
      </c>
      <c r="B2447" s="204">
        <f>VALUE(RIGHT(C2447,LEN(C2447)-2))</f>
        <v>278</v>
      </c>
      <c r="C2447" s="74" t="s">
        <v>8313</v>
      </c>
      <c r="D2447" s="84">
        <v>41767</v>
      </c>
      <c r="E2447" s="70"/>
      <c r="F2447" s="70"/>
      <c r="G2447" s="68" t="s">
        <v>4943</v>
      </c>
      <c r="H2447" s="59"/>
      <c r="I2447" s="162" t="s">
        <v>8314</v>
      </c>
      <c r="J2447" s="162"/>
      <c r="K2447" s="68" t="s">
        <v>25</v>
      </c>
      <c r="L2447" s="69" t="s">
        <v>123</v>
      </c>
      <c r="M2447" s="71"/>
      <c r="N2447" s="69" t="e" vm="1">
        <v>#VALUE!</v>
      </c>
      <c r="O2447" s="164"/>
      <c r="P2447" s="72" t="s">
        <v>666</v>
      </c>
      <c r="Q2447" s="72"/>
      <c r="R2447" s="162"/>
      <c r="S2447" s="146"/>
      <c r="T2447" s="68" t="s">
        <v>3</v>
      </c>
      <c r="U2447" s="87"/>
      <c r="V2447" s="183"/>
      <c r="W2447" s="73">
        <v>12</v>
      </c>
      <c r="X2447" s="73">
        <f>+W2447*Y2447/1000000</f>
        <v>0.39983999999999997</v>
      </c>
      <c r="Y2447" s="73">
        <f>1.4*23800</f>
        <v>33320</v>
      </c>
      <c r="Z2447" s="183"/>
      <c r="AA2447" s="183"/>
      <c r="AB2447" s="223" t="s">
        <v>8315</v>
      </c>
      <c r="AC2447" s="153"/>
      <c r="AD2447" s="331"/>
      <c r="AE2447" s="57"/>
      <c r="AF2447" s="88"/>
      <c r="AG2447" s="182">
        <f>YEAR(D2447)</f>
        <v>2014</v>
      </c>
      <c r="AH2447" s="86" t="str">
        <f>+IF(AE2447=$AJ$22,MONTH(T2447),"")</f>
        <v/>
      </c>
      <c r="AI2447" s="86" t="str">
        <f>+IF(AF2447=$AJ$22,MONTH(U2447),"")</f>
        <v/>
      </c>
      <c r="AJ2447" s="86" t="str">
        <f>+IF(AG2447=$AJ$22,MONTH(V2447),"")</f>
        <v/>
      </c>
      <c r="AK2447" s="86" t="str">
        <f>+IF(AG2447=$AK$22,MONTH(V2447),"")</f>
        <v/>
      </c>
      <c r="AL2447" s="86" t="str">
        <f>+IF(AG2447=$AL$22,MONTH(V2447),"")</f>
        <v/>
      </c>
      <c r="AM2447" s="86" t="str">
        <f>+IF($AG2447=$AM$22,MONTH($D2447),"")</f>
        <v/>
      </c>
      <c r="AN2447" s="89" t="str">
        <f>+IF($AG2447=AN$22,MONTH($D2447),"")</f>
        <v/>
      </c>
      <c r="AO2447" s="86" t="str">
        <f>+IF($AG2447=AO$22,MONTH($D2447),"")</f>
        <v/>
      </c>
      <c r="AP2447" s="86" t="str">
        <f>+IF($AG2447=AP$22,MONTH($D2447),"")</f>
        <v/>
      </c>
      <c r="AQ2447" s="86" t="str">
        <f>+IF($AG2447=AQ$22,MONTH($D2447),"")</f>
        <v/>
      </c>
      <c r="AR2447" s="86" t="str">
        <f>+IF($AG2447=AR$22,MONTH($D2447),"")</f>
        <v/>
      </c>
      <c r="AS2447" s="86" t="str">
        <f>+IF($AG2447=AS$22,MONTH($D2447),"")</f>
        <v/>
      </c>
      <c r="AT2447" s="86">
        <f>+IF($AG2447=AT$22,MONTH($D2447),"")</f>
        <v>5</v>
      </c>
      <c r="AU2447" s="86" t="str">
        <f>+IF($AG2447=AU$22,MONTH($D2447),"")</f>
        <v/>
      </c>
      <c r="AV2447" s="86" t="str">
        <f>+IF($AG2447=AV$22,MONTH($D2447),"")</f>
        <v/>
      </c>
      <c r="AW2447" s="86" t="str">
        <f>+IF($AG2447=AW$22,MONTH($D2447),"")</f>
        <v/>
      </c>
      <c r="AX2447" s="86" t="str">
        <f>+IF($AG2447=AX$22,MONTH($D2447),"")</f>
        <v/>
      </c>
      <c r="AY2447" s="89"/>
      <c r="AZ2447" s="89"/>
      <c r="BA2447" s="89"/>
      <c r="BB2447" s="89"/>
      <c r="BC2447" s="89"/>
      <c r="BD2447" s="89"/>
      <c r="BE2447" s="89"/>
      <c r="BF2447" s="89"/>
      <c r="BG2447" s="89"/>
      <c r="BH2447" s="89"/>
      <c r="BI2447" s="89"/>
      <c r="BJ2447" s="89"/>
      <c r="BK2447" s="89"/>
      <c r="BL2447" s="89"/>
      <c r="BM2447" s="89"/>
      <c r="BN2447" s="89"/>
      <c r="BO2447" s="89"/>
      <c r="BP2447" s="89"/>
    </row>
    <row r="2448" spans="1:68" s="56" customFormat="1" ht="27" hidden="1">
      <c r="A2448" s="204" t="str">
        <f>+IFERROR(VALUE(MID(AB2448,4,4)),"")</f>
        <v/>
      </c>
      <c r="B2448" s="204">
        <f>VALUE(RIGHT(C2448,LEN(C2448)-2))</f>
        <v>277</v>
      </c>
      <c r="C2448" s="74" t="s">
        <v>8316</v>
      </c>
      <c r="D2448" s="75">
        <v>41758</v>
      </c>
      <c r="E2448" s="70" t="s">
        <v>8317</v>
      </c>
      <c r="F2448" s="70" t="s">
        <v>8318</v>
      </c>
      <c r="G2448" s="68" t="s">
        <v>8319</v>
      </c>
      <c r="H2448" s="59"/>
      <c r="I2448" s="162" t="s">
        <v>8320</v>
      </c>
      <c r="J2448" s="162"/>
      <c r="K2448" s="68" t="s">
        <v>25</v>
      </c>
      <c r="L2448" s="69" t="s">
        <v>120</v>
      </c>
      <c r="M2448" s="71" t="s">
        <v>113</v>
      </c>
      <c r="N2448" s="69" t="e" vm="4">
        <v>#VALUE!</v>
      </c>
      <c r="O2448" s="164">
        <v>41761</v>
      </c>
      <c r="P2448" s="72" t="s">
        <v>7772</v>
      </c>
      <c r="Q2448" s="72"/>
      <c r="R2448" s="162"/>
      <c r="S2448" s="146"/>
      <c r="T2448" s="68" t="s">
        <v>165</v>
      </c>
      <c r="U2448" s="87"/>
      <c r="V2448" s="183">
        <v>42023</v>
      </c>
      <c r="W2448" s="73">
        <v>50</v>
      </c>
      <c r="X2448" s="73">
        <f>6000*560/1000000</f>
        <v>3.36</v>
      </c>
      <c r="Y2448" s="73">
        <f>1.4*23800</f>
        <v>33320</v>
      </c>
      <c r="Z2448" s="183"/>
      <c r="AA2448" s="183"/>
      <c r="AB2448" s="223"/>
      <c r="AC2448" s="153"/>
      <c r="AD2448" s="331"/>
      <c r="AE2448" s="57"/>
      <c r="AF2448" s="88"/>
      <c r="AG2448" s="182">
        <f>YEAR(D2448)</f>
        <v>2014</v>
      </c>
      <c r="AH2448" s="86" t="str">
        <f>+IF(AE2448=$AJ$22,MONTH(T2448),"")</f>
        <v/>
      </c>
      <c r="AI2448" s="86" t="str">
        <f>+IF(AF2448=$AJ$22,MONTH(U2448),"")</f>
        <v/>
      </c>
      <c r="AJ2448" s="86" t="str">
        <f>+IF(AG2448=$AJ$22,MONTH(V2448),"")</f>
        <v/>
      </c>
      <c r="AK2448" s="86" t="str">
        <f>+IF(AG2448=$AK$22,MONTH(V2448),"")</f>
        <v/>
      </c>
      <c r="AL2448" s="86" t="str">
        <f>+IF(AG2448=$AL$22,MONTH(V2448),"")</f>
        <v/>
      </c>
      <c r="AM2448" s="86" t="str">
        <f>+IF($AG2448=$AM$22,MONTH($D2448),"")</f>
        <v/>
      </c>
      <c r="AN2448" s="89" t="str">
        <f>+IF($AG2448=AN$22,MONTH($D2448),"")</f>
        <v/>
      </c>
      <c r="AO2448" s="86" t="str">
        <f>+IF($AG2448=AO$22,MONTH($D2448),"")</f>
        <v/>
      </c>
      <c r="AP2448" s="86" t="str">
        <f>+IF($AG2448=AP$22,MONTH($D2448),"")</f>
        <v/>
      </c>
      <c r="AQ2448" s="86" t="str">
        <f>+IF($AG2448=AQ$22,MONTH($D2448),"")</f>
        <v/>
      </c>
      <c r="AR2448" s="86" t="str">
        <f>+IF($AG2448=AR$22,MONTH($D2448),"")</f>
        <v/>
      </c>
      <c r="AS2448" s="86" t="str">
        <f>+IF($AG2448=AS$22,MONTH($D2448),"")</f>
        <v/>
      </c>
      <c r="AT2448" s="86">
        <f>+IF($AG2448=AT$22,MONTH($D2448),"")</f>
        <v>4</v>
      </c>
      <c r="AU2448" s="86" t="str">
        <f>+IF($AG2448=AU$22,MONTH($D2448),"")</f>
        <v/>
      </c>
      <c r="AV2448" s="86" t="str">
        <f>+IF($AG2448=AV$22,MONTH($D2448),"")</f>
        <v/>
      </c>
      <c r="AW2448" s="86" t="str">
        <f>+IF($AG2448=AW$22,MONTH($D2448),"")</f>
        <v/>
      </c>
      <c r="AX2448" s="86" t="str">
        <f>+IF($AG2448=AX$22,MONTH($D2448),"")</f>
        <v/>
      </c>
      <c r="AY2448" s="89"/>
      <c r="AZ2448" s="89"/>
      <c r="BA2448" s="89"/>
      <c r="BB2448" s="89"/>
      <c r="BC2448" s="89"/>
      <c r="BD2448" s="89"/>
      <c r="BE2448" s="89"/>
      <c r="BF2448" s="89"/>
      <c r="BG2448" s="89"/>
      <c r="BH2448" s="89"/>
      <c r="BI2448" s="89"/>
      <c r="BJ2448" s="89"/>
      <c r="BK2448" s="89"/>
      <c r="BL2448" s="89"/>
      <c r="BM2448" s="89"/>
      <c r="BN2448" s="89"/>
      <c r="BO2448" s="89"/>
      <c r="BP2448" s="89"/>
    </row>
    <row r="2449" spans="1:68" s="56" customFormat="1" ht="13.5" hidden="1">
      <c r="A2449" s="204" t="str">
        <f>+IFERROR(VALUE(MID(AB2449,4,4)),"")</f>
        <v/>
      </c>
      <c r="B2449" s="204">
        <f>VALUE(RIGHT(C2449,LEN(C2449)-2))</f>
        <v>276</v>
      </c>
      <c r="C2449" s="74" t="s">
        <v>8321</v>
      </c>
      <c r="D2449" s="75">
        <v>41757</v>
      </c>
      <c r="E2449" s="70" t="s">
        <v>346</v>
      </c>
      <c r="F2449" s="70" t="s">
        <v>346</v>
      </c>
      <c r="G2449" s="68" t="s">
        <v>8322</v>
      </c>
      <c r="H2449" s="59"/>
      <c r="I2449" s="162" t="s">
        <v>8323</v>
      </c>
      <c r="J2449" s="162"/>
      <c r="K2449" s="68" t="s">
        <v>11</v>
      </c>
      <c r="L2449" s="69" t="s">
        <v>120</v>
      </c>
      <c r="M2449" s="71" t="s">
        <v>141</v>
      </c>
      <c r="N2449" s="69" t="e" vm="1">
        <v>#VALUE!</v>
      </c>
      <c r="O2449" s="164">
        <v>41761</v>
      </c>
      <c r="P2449" s="72" t="s">
        <v>402</v>
      </c>
      <c r="Q2449" s="72"/>
      <c r="R2449" s="162"/>
      <c r="S2449" s="146" t="s">
        <v>8324</v>
      </c>
      <c r="T2449" s="68" t="s">
        <v>165</v>
      </c>
      <c r="U2449" s="87"/>
      <c r="V2449" s="183">
        <v>42023</v>
      </c>
      <c r="W2449" s="73">
        <v>2254</v>
      </c>
      <c r="X2449" s="73">
        <f>98350900/1000000</f>
        <v>98.350899999999996</v>
      </c>
      <c r="Y2449" s="73">
        <f>IF(SUM(W2449:W2449)&gt;0,X2449/SUM(W2449:W2449)*1000000,"N/A")</f>
        <v>43633.939662821649</v>
      </c>
      <c r="Z2449" s="183"/>
      <c r="AA2449" s="183"/>
      <c r="AB2449" s="223"/>
      <c r="AC2449" s="153"/>
      <c r="AD2449" s="331"/>
      <c r="AE2449" s="57"/>
      <c r="AF2449" s="88"/>
      <c r="AG2449" s="182">
        <f>YEAR(D2449)</f>
        <v>2014</v>
      </c>
      <c r="AH2449" s="86" t="str">
        <f>+IF(AE2449=$AJ$22,MONTH(T2449),"")</f>
        <v/>
      </c>
      <c r="AI2449" s="86" t="str">
        <f>+IF(AF2449=$AJ$22,MONTH(U2449),"")</f>
        <v/>
      </c>
      <c r="AJ2449" s="86" t="str">
        <f>+IF(AG2449=$AJ$22,MONTH(V2449),"")</f>
        <v/>
      </c>
      <c r="AK2449" s="86" t="str">
        <f>+IF(AG2449=$AK$22,MONTH(V2449),"")</f>
        <v/>
      </c>
      <c r="AL2449" s="86" t="str">
        <f>+IF(AG2449=$AL$22,MONTH(V2449),"")</f>
        <v/>
      </c>
      <c r="AM2449" s="86" t="str">
        <f>+IF($AG2449=$AM$22,MONTH($D2449),"")</f>
        <v/>
      </c>
      <c r="AN2449" s="89" t="str">
        <f>+IF($AG2449=AN$22,MONTH($D2449),"")</f>
        <v/>
      </c>
      <c r="AO2449" s="86" t="str">
        <f>+IF($AG2449=AO$22,MONTH($D2449),"")</f>
        <v/>
      </c>
      <c r="AP2449" s="86" t="str">
        <f>+IF($AG2449=AP$22,MONTH($D2449),"")</f>
        <v/>
      </c>
      <c r="AQ2449" s="86" t="str">
        <f>+IF($AG2449=AQ$22,MONTH($D2449),"")</f>
        <v/>
      </c>
      <c r="AR2449" s="86" t="str">
        <f>+IF($AG2449=AR$22,MONTH($D2449),"")</f>
        <v/>
      </c>
      <c r="AS2449" s="86" t="str">
        <f>+IF($AG2449=AS$22,MONTH($D2449),"")</f>
        <v/>
      </c>
      <c r="AT2449" s="86">
        <f>+IF($AG2449=AT$22,MONTH($D2449),"")</f>
        <v>4</v>
      </c>
      <c r="AU2449" s="86" t="str">
        <f>+IF($AG2449=AU$22,MONTH($D2449),"")</f>
        <v/>
      </c>
      <c r="AV2449" s="86" t="str">
        <f>+IF($AG2449=AV$22,MONTH($D2449),"")</f>
        <v/>
      </c>
      <c r="AW2449" s="86" t="str">
        <f>+IF($AG2449=AW$22,MONTH($D2449),"")</f>
        <v/>
      </c>
      <c r="AX2449" s="86" t="str">
        <f>+IF($AG2449=AX$22,MONTH($D2449),"")</f>
        <v/>
      </c>
      <c r="AY2449" s="89"/>
      <c r="AZ2449" s="89"/>
      <c r="BA2449" s="89"/>
      <c r="BB2449" s="89"/>
      <c r="BC2449" s="89"/>
      <c r="BD2449" s="89"/>
      <c r="BE2449" s="89"/>
      <c r="BF2449" s="89"/>
      <c r="BG2449" s="89"/>
      <c r="BH2449" s="89"/>
      <c r="BI2449" s="89"/>
      <c r="BJ2449" s="89"/>
      <c r="BK2449" s="89"/>
      <c r="BL2449" s="89"/>
      <c r="BM2449" s="89"/>
      <c r="BN2449" s="89"/>
      <c r="BO2449" s="89"/>
      <c r="BP2449" s="89"/>
    </row>
    <row r="2450" spans="1:68" s="56" customFormat="1" ht="13.5" hidden="1">
      <c r="A2450" s="204">
        <f>+IFERROR(VALUE(MID(AB2450,4,4)),"")</f>
        <v>35</v>
      </c>
      <c r="B2450" s="204">
        <f>VALUE(RIGHT(C2450,LEN(C2450)-2))</f>
        <v>276</v>
      </c>
      <c r="C2450" s="74" t="s">
        <v>8321</v>
      </c>
      <c r="D2450" s="75">
        <v>40791</v>
      </c>
      <c r="E2450" s="70" t="s">
        <v>1321</v>
      </c>
      <c r="F2450" s="70" t="s">
        <v>8325</v>
      </c>
      <c r="G2450" s="68"/>
      <c r="H2450" s="59"/>
      <c r="I2450" s="162" t="s">
        <v>8326</v>
      </c>
      <c r="J2450" s="162"/>
      <c r="K2450" s="68" t="s">
        <v>11</v>
      </c>
      <c r="L2450" s="69" t="s">
        <v>120</v>
      </c>
      <c r="M2450" s="71" t="s">
        <v>141</v>
      </c>
      <c r="N2450" s="69" t="e" vm="1">
        <v>#VALUE!</v>
      </c>
      <c r="O2450" s="164"/>
      <c r="P2450" s="72" t="s">
        <v>666</v>
      </c>
      <c r="Q2450" s="72"/>
      <c r="R2450" s="162"/>
      <c r="S2450" s="146"/>
      <c r="T2450" s="68" t="s">
        <v>3</v>
      </c>
      <c r="U2450" s="87"/>
      <c r="V2450" s="183"/>
      <c r="W2450" s="73">
        <v>63</v>
      </c>
      <c r="X2450" s="73">
        <v>1.405</v>
      </c>
      <c r="Y2450" s="73">
        <f>IF(SUM(W2450:W2450)&gt;0,X2450/SUM(W2450:W2450)*1000000,"N/A")</f>
        <v>22301.5873015873</v>
      </c>
      <c r="Z2450" s="183"/>
      <c r="AA2450" s="183"/>
      <c r="AB2450" s="223" t="s">
        <v>8327</v>
      </c>
      <c r="AC2450" s="153"/>
      <c r="AD2450" s="331"/>
      <c r="AE2450" s="57"/>
      <c r="AF2450" s="88"/>
      <c r="AG2450" s="182">
        <f>YEAR(D2450)</f>
        <v>2011</v>
      </c>
      <c r="AH2450" s="86" t="str">
        <f>+IF(AE2450=$AJ$22,MONTH(T2450),"")</f>
        <v/>
      </c>
      <c r="AI2450" s="86" t="str">
        <f>+IF(AF2450=$AJ$22,MONTH(U2450),"")</f>
        <v/>
      </c>
      <c r="AJ2450" s="86" t="str">
        <f>+IF(AG2450=$AJ$22,MONTH(V2450),"")</f>
        <v/>
      </c>
      <c r="AK2450" s="86" t="str">
        <f>+IF(AG2450=$AK$22,MONTH(V2450),"")</f>
        <v/>
      </c>
      <c r="AL2450" s="86" t="str">
        <f>+IF(AG2450=$AL$22,MONTH(V2450),"")</f>
        <v/>
      </c>
      <c r="AM2450" s="86" t="str">
        <f>+IF($AG2450=$AM$22,MONTH($D2450),"")</f>
        <v/>
      </c>
      <c r="AN2450" s="89" t="str">
        <f>+IF($AG2450=AN$22,MONTH($D2450),"")</f>
        <v/>
      </c>
      <c r="AO2450" s="86" t="str">
        <f>+IF($AG2450=AO$22,MONTH($D2450),"")</f>
        <v/>
      </c>
      <c r="AP2450" s="86" t="str">
        <f>+IF($AG2450=AP$22,MONTH($D2450),"")</f>
        <v/>
      </c>
      <c r="AQ2450" s="86" t="str">
        <f>+IF($AG2450=AQ$22,MONTH($D2450),"")</f>
        <v/>
      </c>
      <c r="AR2450" s="86" t="str">
        <f>+IF($AG2450=AR$22,MONTH($D2450),"")</f>
        <v/>
      </c>
      <c r="AS2450" s="86" t="str">
        <f>+IF($AG2450=AS$22,MONTH($D2450),"")</f>
        <v/>
      </c>
      <c r="AT2450" s="86" t="str">
        <f>+IF($AG2450=AT$22,MONTH($D2450),"")</f>
        <v/>
      </c>
      <c r="AU2450" s="86" t="str">
        <f>+IF($AG2450=AU$22,MONTH($D2450),"")</f>
        <v/>
      </c>
      <c r="AV2450" s="86" t="str">
        <f>+IF($AG2450=AV$22,MONTH($D2450),"")</f>
        <v/>
      </c>
      <c r="AW2450" s="86">
        <f>+IF($AG2450=AW$22,MONTH($D2450),"")</f>
        <v>9</v>
      </c>
      <c r="AX2450" s="86" t="str">
        <f>+IF($AG2450=AX$22,MONTH($D2450),"")</f>
        <v/>
      </c>
      <c r="AY2450" s="89"/>
      <c r="AZ2450" s="89"/>
      <c r="BA2450" s="89"/>
      <c r="BB2450" s="89"/>
      <c r="BC2450" s="89"/>
      <c r="BD2450" s="89"/>
      <c r="BE2450" s="89"/>
      <c r="BF2450" s="89"/>
      <c r="BG2450" s="89"/>
      <c r="BH2450" s="89"/>
      <c r="BI2450" s="89"/>
      <c r="BJ2450" s="89"/>
      <c r="BK2450" s="89"/>
      <c r="BL2450" s="89"/>
      <c r="BM2450" s="89"/>
      <c r="BN2450" s="89"/>
      <c r="BO2450" s="89"/>
      <c r="BP2450" s="89"/>
    </row>
    <row r="2451" spans="1:68" s="56" customFormat="1" ht="13.5" hidden="1">
      <c r="A2451" s="204" t="str">
        <f>+IFERROR(VALUE(MID(AB2451,4,4)),"")</f>
        <v/>
      </c>
      <c r="B2451" s="204">
        <f>VALUE(RIGHT(C2451,LEN(C2451)-2))</f>
        <v>275</v>
      </c>
      <c r="C2451" s="74" t="s">
        <v>8328</v>
      </c>
      <c r="D2451" s="75">
        <v>41757</v>
      </c>
      <c r="E2451" s="70" t="s">
        <v>346</v>
      </c>
      <c r="F2451" s="70" t="s">
        <v>346</v>
      </c>
      <c r="G2451" s="68" t="s">
        <v>8322</v>
      </c>
      <c r="H2451" s="59"/>
      <c r="I2451" s="162" t="s">
        <v>8329</v>
      </c>
      <c r="J2451" s="162"/>
      <c r="K2451" s="68" t="s">
        <v>11</v>
      </c>
      <c r="L2451" s="69" t="s">
        <v>120</v>
      </c>
      <c r="M2451" s="71" t="s">
        <v>141</v>
      </c>
      <c r="N2451" s="69" t="e" vm="1">
        <v>#VALUE!</v>
      </c>
      <c r="O2451" s="164">
        <v>41761</v>
      </c>
      <c r="P2451" s="72" t="s">
        <v>402</v>
      </c>
      <c r="Q2451" s="72"/>
      <c r="R2451" s="162"/>
      <c r="S2451" s="146" t="s">
        <v>8324</v>
      </c>
      <c r="T2451" s="68" t="s">
        <v>165</v>
      </c>
      <c r="U2451" s="87"/>
      <c r="V2451" s="183">
        <v>41740</v>
      </c>
      <c r="W2451" s="73">
        <v>3519</v>
      </c>
      <c r="X2451" s="73">
        <f>125335881/1000000</f>
        <v>125.335881</v>
      </c>
      <c r="Y2451" s="73">
        <f>IF(SUM(W2451:W2451)&gt;0,X2451/SUM(W2451:W2451)*1000000,"N/A")</f>
        <v>35616.902813299232</v>
      </c>
      <c r="Z2451" s="183"/>
      <c r="AA2451" s="183"/>
      <c r="AB2451" s="223"/>
      <c r="AC2451" s="153"/>
      <c r="AD2451" s="331"/>
      <c r="AE2451" s="57"/>
      <c r="AF2451" s="88"/>
      <c r="AG2451" s="182">
        <f>YEAR(D2451)</f>
        <v>2014</v>
      </c>
      <c r="AH2451" s="86" t="str">
        <f>+IF(AE2451=$AJ$22,MONTH(T2451),"")</f>
        <v/>
      </c>
      <c r="AI2451" s="86" t="str">
        <f>+IF(AF2451=$AJ$22,MONTH(U2451),"")</f>
        <v/>
      </c>
      <c r="AJ2451" s="86" t="str">
        <f>+IF(AG2451=$AJ$22,MONTH(V2451),"")</f>
        <v/>
      </c>
      <c r="AK2451" s="86" t="str">
        <f>+IF(AG2451=$AK$22,MONTH(V2451),"")</f>
        <v/>
      </c>
      <c r="AL2451" s="86" t="str">
        <f>+IF(AG2451=$AL$22,MONTH(V2451),"")</f>
        <v/>
      </c>
      <c r="AM2451" s="86" t="str">
        <f>+IF($AG2451=$AM$22,MONTH($D2451),"")</f>
        <v/>
      </c>
      <c r="AN2451" s="89" t="str">
        <f>+IF($AG2451=AN$22,MONTH($D2451),"")</f>
        <v/>
      </c>
      <c r="AO2451" s="86" t="str">
        <f>+IF($AG2451=AO$22,MONTH($D2451),"")</f>
        <v/>
      </c>
      <c r="AP2451" s="86" t="str">
        <f>+IF($AG2451=AP$22,MONTH($D2451),"")</f>
        <v/>
      </c>
      <c r="AQ2451" s="86" t="str">
        <f>+IF($AG2451=AQ$22,MONTH($D2451),"")</f>
        <v/>
      </c>
      <c r="AR2451" s="86" t="str">
        <f>+IF($AG2451=AR$22,MONTH($D2451),"")</f>
        <v/>
      </c>
      <c r="AS2451" s="86" t="str">
        <f>+IF($AG2451=AS$22,MONTH($D2451),"")</f>
        <v/>
      </c>
      <c r="AT2451" s="86">
        <f>+IF($AG2451=AT$22,MONTH($D2451),"")</f>
        <v>4</v>
      </c>
      <c r="AU2451" s="86" t="str">
        <f>+IF($AG2451=AU$22,MONTH($D2451),"")</f>
        <v/>
      </c>
      <c r="AV2451" s="86" t="str">
        <f>+IF($AG2451=AV$22,MONTH($D2451),"")</f>
        <v/>
      </c>
      <c r="AW2451" s="86" t="str">
        <f>+IF($AG2451=AW$22,MONTH($D2451),"")</f>
        <v/>
      </c>
      <c r="AX2451" s="86" t="str">
        <f>+IF($AG2451=AX$22,MONTH($D2451),"")</f>
        <v/>
      </c>
      <c r="AY2451" s="89"/>
      <c r="AZ2451" s="89"/>
      <c r="BA2451" s="89"/>
      <c r="BB2451" s="89"/>
      <c r="BC2451" s="89"/>
      <c r="BD2451" s="89"/>
      <c r="BE2451" s="89"/>
      <c r="BF2451" s="89"/>
      <c r="BG2451" s="89"/>
      <c r="BH2451" s="89"/>
      <c r="BI2451" s="89"/>
      <c r="BJ2451" s="89"/>
      <c r="BK2451" s="89"/>
      <c r="BL2451" s="89"/>
      <c r="BM2451" s="89"/>
      <c r="BN2451" s="89"/>
      <c r="BO2451" s="89"/>
      <c r="BP2451" s="89"/>
    </row>
    <row r="2452" spans="1:68" s="56" customFormat="1" ht="13.5" hidden="1">
      <c r="A2452" s="204">
        <f>+IFERROR(VALUE(MID(AB2452,4,4)),"")</f>
        <v>38</v>
      </c>
      <c r="B2452" s="204">
        <f>VALUE(RIGHT(C2452,LEN(C2452)-2))</f>
        <v>275</v>
      </c>
      <c r="C2452" s="74" t="s">
        <v>8328</v>
      </c>
      <c r="D2452" s="75">
        <v>40787</v>
      </c>
      <c r="E2452" s="70" t="s">
        <v>7928</v>
      </c>
      <c r="F2452" s="70" t="s">
        <v>7928</v>
      </c>
      <c r="G2452" s="68"/>
      <c r="H2452" s="59"/>
      <c r="I2452" s="162" t="s">
        <v>8330</v>
      </c>
      <c r="J2452" s="162"/>
      <c r="K2452" s="68" t="s">
        <v>25</v>
      </c>
      <c r="L2452" s="69" t="s">
        <v>120</v>
      </c>
      <c r="M2452" s="71" t="s">
        <v>141</v>
      </c>
      <c r="N2452" s="69" t="e" vm="1">
        <v>#VALUE!</v>
      </c>
      <c r="O2452" s="164"/>
      <c r="P2452" s="72" t="s">
        <v>4567</v>
      </c>
      <c r="Q2452" s="72"/>
      <c r="R2452" s="162"/>
      <c r="S2452" s="146"/>
      <c r="T2452" s="68" t="s">
        <v>3</v>
      </c>
      <c r="U2452" s="87"/>
      <c r="V2452" s="183"/>
      <c r="W2452" s="73">
        <v>640</v>
      </c>
      <c r="X2452" s="73">
        <v>31</v>
      </c>
      <c r="Y2452" s="73">
        <f>IF(SUM(W2452:W2452)&gt;0,X2452/SUM(W2452:W2452)*1000000,"N/A")</f>
        <v>48437.5</v>
      </c>
      <c r="Z2452" s="183"/>
      <c r="AA2452" s="183"/>
      <c r="AB2452" s="223" t="s">
        <v>8331</v>
      </c>
      <c r="AC2452" s="153"/>
      <c r="AD2452" s="331"/>
      <c r="AE2452" s="57"/>
      <c r="AF2452" s="88"/>
      <c r="AG2452" s="182">
        <f>YEAR(D2452)</f>
        <v>2011</v>
      </c>
      <c r="AH2452" s="86" t="str">
        <f>+IF(AE2452=$AJ$22,MONTH(T2452),"")</f>
        <v/>
      </c>
      <c r="AI2452" s="86" t="str">
        <f>+IF(AF2452=$AJ$22,MONTH(U2452),"")</f>
        <v/>
      </c>
      <c r="AJ2452" s="86" t="str">
        <f>+IF(AG2452=$AJ$22,MONTH(V2452),"")</f>
        <v/>
      </c>
      <c r="AK2452" s="86" t="str">
        <f>+IF(AG2452=$AK$22,MONTH(V2452),"")</f>
        <v/>
      </c>
      <c r="AL2452" s="86" t="str">
        <f>+IF(AG2452=$AL$22,MONTH(V2452),"")</f>
        <v/>
      </c>
      <c r="AM2452" s="86" t="str">
        <f>+IF($AG2452=$AM$22,MONTH($D2452),"")</f>
        <v/>
      </c>
      <c r="AN2452" s="89" t="str">
        <f>+IF($AG2452=AN$22,MONTH($D2452),"")</f>
        <v/>
      </c>
      <c r="AO2452" s="86" t="str">
        <f>+IF($AG2452=AO$22,MONTH($D2452),"")</f>
        <v/>
      </c>
      <c r="AP2452" s="86" t="str">
        <f>+IF($AG2452=AP$22,MONTH($D2452),"")</f>
        <v/>
      </c>
      <c r="AQ2452" s="86" t="str">
        <f>+IF($AG2452=AQ$22,MONTH($D2452),"")</f>
        <v/>
      </c>
      <c r="AR2452" s="86" t="str">
        <f>+IF($AG2452=AR$22,MONTH($D2452),"")</f>
        <v/>
      </c>
      <c r="AS2452" s="86" t="str">
        <f>+IF($AG2452=AS$22,MONTH($D2452),"")</f>
        <v/>
      </c>
      <c r="AT2452" s="86" t="str">
        <f>+IF($AG2452=AT$22,MONTH($D2452),"")</f>
        <v/>
      </c>
      <c r="AU2452" s="86" t="str">
        <f>+IF($AG2452=AU$22,MONTH($D2452),"")</f>
        <v/>
      </c>
      <c r="AV2452" s="86" t="str">
        <f>+IF($AG2452=AV$22,MONTH($D2452),"")</f>
        <v/>
      </c>
      <c r="AW2452" s="86">
        <f>+IF($AG2452=AW$22,MONTH($D2452),"")</f>
        <v>9</v>
      </c>
      <c r="AX2452" s="86" t="str">
        <f>+IF($AG2452=AX$22,MONTH($D2452),"")</f>
        <v/>
      </c>
      <c r="AY2452" s="89"/>
      <c r="AZ2452" s="89"/>
      <c r="BA2452" s="89"/>
      <c r="BB2452" s="89"/>
      <c r="BC2452" s="89"/>
      <c r="BD2452" s="89"/>
      <c r="BE2452" s="89"/>
      <c r="BF2452" s="89"/>
      <c r="BG2452" s="89"/>
      <c r="BH2452" s="89"/>
      <c r="BI2452" s="89"/>
      <c r="BJ2452" s="89"/>
      <c r="BK2452" s="89"/>
      <c r="BL2452" s="89"/>
      <c r="BM2452" s="89"/>
      <c r="BN2452" s="89"/>
      <c r="BO2452" s="89"/>
      <c r="BP2452" s="89"/>
    </row>
    <row r="2453" spans="1:68" s="56" customFormat="1" ht="27" hidden="1">
      <c r="A2453" s="204" t="str">
        <f>+IFERROR(VALUE(MID(AB2453,4,4)),"")</f>
        <v/>
      </c>
      <c r="B2453" s="204">
        <f>VALUE(RIGHT(C2453,LEN(C2453)-2))</f>
        <v>274</v>
      </c>
      <c r="C2453" s="74" t="s">
        <v>8332</v>
      </c>
      <c r="D2453" s="75">
        <v>41751</v>
      </c>
      <c r="E2453" s="70" t="s">
        <v>332</v>
      </c>
      <c r="F2453" s="70" t="s">
        <v>332</v>
      </c>
      <c r="G2453" s="68" t="s">
        <v>7970</v>
      </c>
      <c r="H2453" s="59" t="s">
        <v>7971</v>
      </c>
      <c r="I2453" s="162" t="s">
        <v>8333</v>
      </c>
      <c r="J2453" s="162"/>
      <c r="K2453" s="68" t="s">
        <v>13</v>
      </c>
      <c r="L2453" s="69" t="s">
        <v>120</v>
      </c>
      <c r="M2453" s="71" t="s">
        <v>141</v>
      </c>
      <c r="N2453" s="69"/>
      <c r="O2453" s="164">
        <v>41752</v>
      </c>
      <c r="P2453" s="72" t="s">
        <v>402</v>
      </c>
      <c r="Q2453" s="72"/>
      <c r="R2453" s="162"/>
      <c r="S2453" s="146" t="s">
        <v>8045</v>
      </c>
      <c r="T2453" s="68" t="s">
        <v>3</v>
      </c>
      <c r="U2453" s="87"/>
      <c r="V2453" s="183">
        <v>41956</v>
      </c>
      <c r="W2453" s="73">
        <v>355</v>
      </c>
      <c r="X2453" s="73">
        <f>483*23800/1000000</f>
        <v>11.4954</v>
      </c>
      <c r="Y2453" s="73">
        <f>IF(SUM(W2453:W2453)&gt;0,X2453/SUM(W2453:W2453)*1000000,"N/A")</f>
        <v>32381.408450704224</v>
      </c>
      <c r="Z2453" s="183"/>
      <c r="AA2453" s="183"/>
      <c r="AB2453" s="223"/>
      <c r="AC2453" s="153"/>
      <c r="AD2453" s="331"/>
      <c r="AE2453" s="57"/>
      <c r="AF2453" s="88"/>
      <c r="AG2453" s="182">
        <f>YEAR(D2453)</f>
        <v>2014</v>
      </c>
      <c r="AH2453" s="86" t="str">
        <f>+IF(AE2453=$AJ$22,MONTH(T2453),"")</f>
        <v/>
      </c>
      <c r="AI2453" s="86" t="str">
        <f>+IF(AF2453=$AJ$22,MONTH(U2453),"")</f>
        <v/>
      </c>
      <c r="AJ2453" s="86" t="str">
        <f>+IF(AG2453=$AJ$22,MONTH(V2453),"")</f>
        <v/>
      </c>
      <c r="AK2453" s="86" t="str">
        <f>+IF(AG2453=$AK$22,MONTH(V2453),"")</f>
        <v/>
      </c>
      <c r="AL2453" s="86" t="str">
        <f>+IF(AG2453=$AL$22,MONTH(V2453),"")</f>
        <v/>
      </c>
      <c r="AM2453" s="86" t="str">
        <f>+IF($AG2453=$AM$22,MONTH($D2453),"")</f>
        <v/>
      </c>
      <c r="AN2453" s="89" t="str">
        <f>+IF($AG2453=AN$22,MONTH($D2453),"")</f>
        <v/>
      </c>
      <c r="AO2453" s="86" t="str">
        <f>+IF($AG2453=AO$22,MONTH($D2453),"")</f>
        <v/>
      </c>
      <c r="AP2453" s="86" t="str">
        <f>+IF($AG2453=AP$22,MONTH($D2453),"")</f>
        <v/>
      </c>
      <c r="AQ2453" s="86" t="str">
        <f>+IF($AG2453=AQ$22,MONTH($D2453),"")</f>
        <v/>
      </c>
      <c r="AR2453" s="86" t="str">
        <f>+IF($AG2453=AR$22,MONTH($D2453),"")</f>
        <v/>
      </c>
      <c r="AS2453" s="86" t="str">
        <f>+IF($AG2453=AS$22,MONTH($D2453),"")</f>
        <v/>
      </c>
      <c r="AT2453" s="86">
        <f>+IF($AG2453=AT$22,MONTH($D2453),"")</f>
        <v>4</v>
      </c>
      <c r="AU2453" s="86" t="str">
        <f>+IF($AG2453=AU$22,MONTH($D2453),"")</f>
        <v/>
      </c>
      <c r="AV2453" s="86" t="str">
        <f>+IF($AG2453=AV$22,MONTH($D2453),"")</f>
        <v/>
      </c>
      <c r="AW2453" s="86" t="str">
        <f>+IF($AG2453=AW$22,MONTH($D2453),"")</f>
        <v/>
      </c>
      <c r="AX2453" s="86" t="str">
        <f>+IF($AG2453=AX$22,MONTH($D2453),"")</f>
        <v/>
      </c>
      <c r="AY2453" s="89"/>
      <c r="AZ2453" s="89"/>
      <c r="BA2453" s="89"/>
      <c r="BB2453" s="89"/>
      <c r="BC2453" s="89"/>
      <c r="BD2453" s="89"/>
      <c r="BE2453" s="89"/>
      <c r="BF2453" s="89"/>
      <c r="BG2453" s="89"/>
      <c r="BH2453" s="89"/>
      <c r="BI2453" s="89"/>
      <c r="BJ2453" s="89"/>
      <c r="BK2453" s="89"/>
      <c r="BL2453" s="89"/>
      <c r="BM2453" s="89"/>
      <c r="BN2453" s="89"/>
      <c r="BO2453" s="89"/>
      <c r="BP2453" s="89"/>
    </row>
    <row r="2454" spans="1:68" s="56" customFormat="1" ht="13.5" hidden="1">
      <c r="A2454" s="204">
        <f>+IFERROR(VALUE(MID(AB2454,4,4)),"")</f>
        <v>31</v>
      </c>
      <c r="B2454" s="204">
        <f>VALUE(RIGHT(C2454,LEN(C2454)-2))</f>
        <v>274</v>
      </c>
      <c r="C2454" s="74" t="s">
        <v>8332</v>
      </c>
      <c r="D2454" s="75">
        <v>40744</v>
      </c>
      <c r="E2454" s="70" t="s">
        <v>2961</v>
      </c>
      <c r="F2454" s="70" t="s">
        <v>2961</v>
      </c>
      <c r="G2454" s="68" t="s">
        <v>8334</v>
      </c>
      <c r="H2454" s="59"/>
      <c r="I2454" s="162" t="s">
        <v>8335</v>
      </c>
      <c r="J2454" s="162"/>
      <c r="K2454" s="68" t="s">
        <v>25</v>
      </c>
      <c r="L2454" s="69" t="s">
        <v>120</v>
      </c>
      <c r="M2454" s="71" t="s">
        <v>141</v>
      </c>
      <c r="N2454" s="69" t="e" vm="1">
        <v>#VALUE!</v>
      </c>
      <c r="O2454" s="164">
        <v>40737</v>
      </c>
      <c r="P2454" s="72"/>
      <c r="Q2454" s="72"/>
      <c r="R2454" s="162"/>
      <c r="S2454" s="146"/>
      <c r="T2454" s="68" t="s">
        <v>3</v>
      </c>
      <c r="U2454" s="87"/>
      <c r="V2454" s="183"/>
      <c r="W2454" s="73">
        <v>154.80000000000001</v>
      </c>
      <c r="X2454" s="73">
        <v>2.2337639999999999</v>
      </c>
      <c r="Y2454" s="73">
        <f>IF(SUM(W2454:W2454)&gt;0,X2454/SUM(W2454:W2454)*1000000,"N/A")</f>
        <v>14429.999999999998</v>
      </c>
      <c r="Z2454" s="183"/>
      <c r="AA2454" s="183"/>
      <c r="AB2454" s="223" t="s">
        <v>8336</v>
      </c>
      <c r="AC2454" s="153"/>
      <c r="AD2454" s="331"/>
      <c r="AE2454" s="57"/>
      <c r="AF2454" s="88"/>
      <c r="AG2454" s="182">
        <f>YEAR(D2454)</f>
        <v>2011</v>
      </c>
      <c r="AH2454" s="86" t="str">
        <f>+IF(AE2454=$AJ$22,MONTH(T2454),"")</f>
        <v/>
      </c>
      <c r="AI2454" s="86" t="str">
        <f>+IF(AF2454=$AJ$22,MONTH(U2454),"")</f>
        <v/>
      </c>
      <c r="AJ2454" s="86" t="str">
        <f>+IF(AG2454=$AJ$22,MONTH(V2454),"")</f>
        <v/>
      </c>
      <c r="AK2454" s="86" t="str">
        <f>+IF(AG2454=$AK$22,MONTH(V2454),"")</f>
        <v/>
      </c>
      <c r="AL2454" s="86" t="str">
        <f>+IF(AG2454=$AL$22,MONTH(V2454),"")</f>
        <v/>
      </c>
      <c r="AM2454" s="86" t="str">
        <f>+IF($AG2454=$AM$22,MONTH($D2454),"")</f>
        <v/>
      </c>
      <c r="AN2454" s="89" t="str">
        <f>+IF($AG2454=AN$22,MONTH($D2454),"")</f>
        <v/>
      </c>
      <c r="AO2454" s="86" t="str">
        <f>+IF($AG2454=AO$22,MONTH($D2454),"")</f>
        <v/>
      </c>
      <c r="AP2454" s="86" t="str">
        <f>+IF($AG2454=AP$22,MONTH($D2454),"")</f>
        <v/>
      </c>
      <c r="AQ2454" s="86" t="str">
        <f>+IF($AG2454=AQ$22,MONTH($D2454),"")</f>
        <v/>
      </c>
      <c r="AR2454" s="86" t="str">
        <f>+IF($AG2454=AR$22,MONTH($D2454),"")</f>
        <v/>
      </c>
      <c r="AS2454" s="86" t="str">
        <f>+IF($AG2454=AS$22,MONTH($D2454),"")</f>
        <v/>
      </c>
      <c r="AT2454" s="86" t="str">
        <f>+IF($AG2454=AT$22,MONTH($D2454),"")</f>
        <v/>
      </c>
      <c r="AU2454" s="86" t="str">
        <f>+IF($AG2454=AU$22,MONTH($D2454),"")</f>
        <v/>
      </c>
      <c r="AV2454" s="86" t="str">
        <f>+IF($AG2454=AV$22,MONTH($D2454),"")</f>
        <v/>
      </c>
      <c r="AW2454" s="86">
        <f>+IF($AG2454=AW$22,MONTH($D2454),"")</f>
        <v>7</v>
      </c>
      <c r="AX2454" s="86" t="str">
        <f>+IF($AG2454=AX$22,MONTH($D2454),"")</f>
        <v/>
      </c>
      <c r="AY2454" s="89"/>
      <c r="AZ2454" s="89"/>
      <c r="BA2454" s="89"/>
      <c r="BB2454" s="89"/>
      <c r="BC2454" s="89"/>
      <c r="BD2454" s="89"/>
      <c r="BE2454" s="89"/>
      <c r="BF2454" s="89"/>
      <c r="BG2454" s="89"/>
      <c r="BH2454" s="89"/>
      <c r="BI2454" s="89"/>
      <c r="BJ2454" s="89"/>
      <c r="BK2454" s="89"/>
      <c r="BL2454" s="89"/>
      <c r="BM2454" s="89"/>
      <c r="BN2454" s="89"/>
      <c r="BO2454" s="89"/>
      <c r="BP2454" s="89"/>
    </row>
    <row r="2455" spans="1:68" s="56" customFormat="1" ht="13.5" hidden="1">
      <c r="A2455" s="204">
        <f>+IFERROR(VALUE(MID(AB2455,4,4)),"")</f>
        <v>103</v>
      </c>
      <c r="B2455" s="204">
        <f>VALUE(RIGHT(C2455,LEN(C2455)-2))</f>
        <v>273</v>
      </c>
      <c r="C2455" s="74" t="s">
        <v>8337</v>
      </c>
      <c r="D2455" s="75">
        <v>41745</v>
      </c>
      <c r="E2455" s="70" t="s">
        <v>60</v>
      </c>
      <c r="F2455" s="70" t="s">
        <v>83</v>
      </c>
      <c r="G2455" s="68" t="s">
        <v>8338</v>
      </c>
      <c r="H2455" s="59"/>
      <c r="I2455" s="162" t="s">
        <v>8339</v>
      </c>
      <c r="J2455" s="162"/>
      <c r="K2455" s="68" t="s">
        <v>13</v>
      </c>
      <c r="L2455" s="69" t="s">
        <v>120</v>
      </c>
      <c r="M2455" s="71" t="s">
        <v>141</v>
      </c>
      <c r="N2455" s="69" t="e" vm="1">
        <v>#VALUE!</v>
      </c>
      <c r="O2455" s="164">
        <v>41785</v>
      </c>
      <c r="P2455" s="72" t="s">
        <v>7372</v>
      </c>
      <c r="Q2455" s="72"/>
      <c r="R2455" s="162"/>
      <c r="S2455" s="146"/>
      <c r="T2455" s="68" t="s">
        <v>3</v>
      </c>
      <c r="U2455" s="87"/>
      <c r="V2455" s="183">
        <v>42023</v>
      </c>
      <c r="W2455" s="73">
        <v>12527</v>
      </c>
      <c r="X2455" s="73">
        <f>21324*24600/1000000</f>
        <v>524.57039999999995</v>
      </c>
      <c r="Y2455" s="73">
        <f>IF(SUM(W2455:W2455)&gt;0,X2455/SUM(W2455:W2455)*1000000,"N/A")</f>
        <v>41875.181607727303</v>
      </c>
      <c r="Z2455" s="183"/>
      <c r="AA2455" s="183"/>
      <c r="AB2455" s="223" t="s">
        <v>8340</v>
      </c>
      <c r="AC2455" s="153"/>
      <c r="AD2455" s="331"/>
      <c r="AE2455" s="57"/>
      <c r="AF2455" s="88"/>
      <c r="AG2455" s="182">
        <f>YEAR(D2455)</f>
        <v>2014</v>
      </c>
      <c r="AH2455" s="86" t="str">
        <f>+IF(AE2455=$AJ$22,MONTH(T2455),"")</f>
        <v/>
      </c>
      <c r="AI2455" s="86" t="str">
        <f>+IF(AF2455=$AJ$22,MONTH(U2455),"")</f>
        <v/>
      </c>
      <c r="AJ2455" s="86" t="str">
        <f>+IF(AG2455=$AJ$22,MONTH(V2455),"")</f>
        <v/>
      </c>
      <c r="AK2455" s="86" t="str">
        <f>+IF(AG2455=$AK$22,MONTH(V2455),"")</f>
        <v/>
      </c>
      <c r="AL2455" s="86" t="str">
        <f>+IF(AG2455=$AL$22,MONTH(V2455),"")</f>
        <v/>
      </c>
      <c r="AM2455" s="86" t="str">
        <f>+IF($AG2455=$AM$22,MONTH($D2455),"")</f>
        <v/>
      </c>
      <c r="AN2455" s="89" t="str">
        <f>+IF($AG2455=AN$22,MONTH($D2455),"")</f>
        <v/>
      </c>
      <c r="AO2455" s="86" t="str">
        <f>+IF($AG2455=AO$22,MONTH($D2455),"")</f>
        <v/>
      </c>
      <c r="AP2455" s="86" t="str">
        <f>+IF($AG2455=AP$22,MONTH($D2455),"")</f>
        <v/>
      </c>
      <c r="AQ2455" s="86" t="str">
        <f>+IF($AG2455=AQ$22,MONTH($D2455),"")</f>
        <v/>
      </c>
      <c r="AR2455" s="86" t="str">
        <f>+IF($AG2455=AR$22,MONTH($D2455),"")</f>
        <v/>
      </c>
      <c r="AS2455" s="86" t="str">
        <f>+IF($AG2455=AS$22,MONTH($D2455),"")</f>
        <v/>
      </c>
      <c r="AT2455" s="86">
        <f>+IF($AG2455=AT$22,MONTH($D2455),"")</f>
        <v>4</v>
      </c>
      <c r="AU2455" s="86" t="str">
        <f>+IF($AG2455=AU$22,MONTH($D2455),"")</f>
        <v/>
      </c>
      <c r="AV2455" s="86" t="str">
        <f>+IF($AG2455=AV$22,MONTH($D2455),"")</f>
        <v/>
      </c>
      <c r="AW2455" s="86" t="str">
        <f>+IF($AG2455=AW$22,MONTH($D2455),"")</f>
        <v/>
      </c>
      <c r="AX2455" s="86" t="str">
        <f>+IF($AG2455=AX$22,MONTH($D2455),"")</f>
        <v/>
      </c>
      <c r="AY2455" s="89"/>
      <c r="AZ2455" s="89"/>
      <c r="BA2455" s="89"/>
      <c r="BB2455" s="89"/>
      <c r="BC2455" s="89"/>
      <c r="BD2455" s="89"/>
      <c r="BE2455" s="89"/>
      <c r="BF2455" s="89"/>
      <c r="BG2455" s="89"/>
      <c r="BH2455" s="89"/>
      <c r="BI2455" s="89"/>
      <c r="BJ2455" s="89"/>
      <c r="BK2455" s="89"/>
      <c r="BL2455" s="89"/>
      <c r="BM2455" s="89"/>
      <c r="BN2455" s="89"/>
      <c r="BO2455" s="89"/>
      <c r="BP2455" s="89"/>
    </row>
    <row r="2456" spans="1:68" s="56" customFormat="1" ht="13.5" hidden="1">
      <c r="A2456" s="204">
        <f>+IFERROR(VALUE(MID(AB2456,4,4)),"")</f>
        <v>33</v>
      </c>
      <c r="B2456" s="204">
        <f>VALUE(RIGHT(C2456,LEN(C2456)-2))</f>
        <v>273</v>
      </c>
      <c r="C2456" s="74" t="s">
        <v>8337</v>
      </c>
      <c r="D2456" s="75">
        <v>40710</v>
      </c>
      <c r="E2456" s="70" t="s">
        <v>2961</v>
      </c>
      <c r="F2456" s="70" t="s">
        <v>332</v>
      </c>
      <c r="G2456" s="68" t="s">
        <v>8341</v>
      </c>
      <c r="H2456" s="59"/>
      <c r="I2456" s="162" t="s">
        <v>8342</v>
      </c>
      <c r="J2456" s="162"/>
      <c r="K2456" s="68" t="s">
        <v>13</v>
      </c>
      <c r="L2456" s="69" t="s">
        <v>120</v>
      </c>
      <c r="M2456" s="71" t="s">
        <v>141</v>
      </c>
      <c r="N2456" s="69" t="e" vm="1">
        <v>#VALUE!</v>
      </c>
      <c r="O2456" s="164"/>
      <c r="P2456" s="72" t="s">
        <v>8343</v>
      </c>
      <c r="Q2456" s="72"/>
      <c r="R2456" s="162"/>
      <c r="S2456" s="146"/>
      <c r="T2456" s="68" t="s">
        <v>3</v>
      </c>
      <c r="U2456" s="87"/>
      <c r="V2456" s="183"/>
      <c r="W2456" s="73">
        <v>208</v>
      </c>
      <c r="X2456" s="73">
        <f>347.4*22300/1000000</f>
        <v>7.7470199999999991</v>
      </c>
      <c r="Y2456" s="73">
        <f>IF(SUM(W2456:W2456)&gt;0,X2456/SUM(W2456:W2456)*1000000,"N/A")</f>
        <v>37245.288461538454</v>
      </c>
      <c r="Z2456" s="183"/>
      <c r="AA2456" s="183"/>
      <c r="AB2456" s="223" t="s">
        <v>8344</v>
      </c>
      <c r="AC2456" s="153"/>
      <c r="AD2456" s="331"/>
      <c r="AE2456" s="57"/>
      <c r="AF2456" s="88"/>
      <c r="AG2456" s="182">
        <f>YEAR(D2456)</f>
        <v>2011</v>
      </c>
      <c r="AH2456" s="86" t="str">
        <f>+IF(AE2456=$AJ$22,MONTH(T2456),"")</f>
        <v/>
      </c>
      <c r="AI2456" s="86" t="str">
        <f>+IF(AF2456=$AJ$22,MONTH(U2456),"")</f>
        <v/>
      </c>
      <c r="AJ2456" s="86" t="str">
        <f>+IF(AG2456=$AJ$22,MONTH(V2456),"")</f>
        <v/>
      </c>
      <c r="AK2456" s="86" t="str">
        <f>+IF(AG2456=$AK$22,MONTH(V2456),"")</f>
        <v/>
      </c>
      <c r="AL2456" s="86" t="str">
        <f>+IF(AG2456=$AL$22,MONTH(V2456),"")</f>
        <v/>
      </c>
      <c r="AM2456" s="86" t="str">
        <f>+IF($AG2456=$AM$22,MONTH($D2456),"")</f>
        <v/>
      </c>
      <c r="AN2456" s="89" t="str">
        <f>+IF($AG2456=AN$22,MONTH($D2456),"")</f>
        <v/>
      </c>
      <c r="AO2456" s="86" t="str">
        <f>+IF($AG2456=AO$22,MONTH($D2456),"")</f>
        <v/>
      </c>
      <c r="AP2456" s="86" t="str">
        <f>+IF($AG2456=AP$22,MONTH($D2456),"")</f>
        <v/>
      </c>
      <c r="AQ2456" s="86" t="str">
        <f>+IF($AG2456=AQ$22,MONTH($D2456),"")</f>
        <v/>
      </c>
      <c r="AR2456" s="86" t="str">
        <f>+IF($AG2456=AR$22,MONTH($D2456),"")</f>
        <v/>
      </c>
      <c r="AS2456" s="86" t="str">
        <f>+IF($AG2456=AS$22,MONTH($D2456),"")</f>
        <v/>
      </c>
      <c r="AT2456" s="86" t="str">
        <f>+IF($AG2456=AT$22,MONTH($D2456),"")</f>
        <v/>
      </c>
      <c r="AU2456" s="86" t="str">
        <f>+IF($AG2456=AU$22,MONTH($D2456),"")</f>
        <v/>
      </c>
      <c r="AV2456" s="86" t="str">
        <f>+IF($AG2456=AV$22,MONTH($D2456),"")</f>
        <v/>
      </c>
      <c r="AW2456" s="86">
        <f>+IF($AG2456=AW$22,MONTH($D2456),"")</f>
        <v>6</v>
      </c>
      <c r="AX2456" s="86" t="str">
        <f>+IF($AG2456=AX$22,MONTH($D2456),"")</f>
        <v/>
      </c>
      <c r="AY2456" s="89"/>
      <c r="AZ2456" s="89"/>
      <c r="BA2456" s="89"/>
      <c r="BB2456" s="89"/>
      <c r="BC2456" s="89"/>
      <c r="BD2456" s="89"/>
      <c r="BE2456" s="89"/>
      <c r="BF2456" s="89"/>
      <c r="BG2456" s="89"/>
      <c r="BH2456" s="89"/>
      <c r="BI2456" s="89"/>
      <c r="BJ2456" s="89"/>
      <c r="BK2456" s="89"/>
      <c r="BL2456" s="89"/>
      <c r="BM2456" s="89"/>
      <c r="BN2456" s="89"/>
      <c r="BO2456" s="89"/>
      <c r="BP2456" s="89"/>
    </row>
    <row r="2457" spans="1:68" s="56" customFormat="1" ht="13.5" hidden="1">
      <c r="A2457" s="204">
        <f>+IFERROR(VALUE(MID(AB2457,4,4)),"")</f>
        <v>101</v>
      </c>
      <c r="B2457" s="204">
        <f>VALUE(RIGHT(C2457,LEN(C2457)-2))</f>
        <v>272</v>
      </c>
      <c r="C2457" s="74" t="s">
        <v>8345</v>
      </c>
      <c r="D2457" s="75">
        <v>41744</v>
      </c>
      <c r="E2457" s="70" t="s">
        <v>346</v>
      </c>
      <c r="F2457" s="70" t="s">
        <v>346</v>
      </c>
      <c r="G2457" s="68" t="s">
        <v>7922</v>
      </c>
      <c r="H2457" s="59"/>
      <c r="I2457" s="162" t="s">
        <v>8346</v>
      </c>
      <c r="J2457" s="162"/>
      <c r="K2457" s="68" t="s">
        <v>13</v>
      </c>
      <c r="L2457" s="69" t="s">
        <v>120</v>
      </c>
      <c r="M2457" s="71" t="s">
        <v>141</v>
      </c>
      <c r="N2457" s="69"/>
      <c r="O2457" s="164">
        <v>41746</v>
      </c>
      <c r="P2457" s="72" t="s">
        <v>6957</v>
      </c>
      <c r="Q2457" s="72"/>
      <c r="R2457" s="162"/>
      <c r="S2457" s="146"/>
      <c r="T2457" s="68" t="s">
        <v>3</v>
      </c>
      <c r="U2457" s="87"/>
      <c r="V2457" s="183">
        <v>41801</v>
      </c>
      <c r="W2457" s="73">
        <v>675</v>
      </c>
      <c r="X2457" s="73">
        <f>25625000/1000000</f>
        <v>25.625</v>
      </c>
      <c r="Y2457" s="73">
        <f>IF(SUM(W2457:W2457)&gt;0,X2457/SUM(W2457:W2457)*1000000,"N/A")</f>
        <v>37962.962962962964</v>
      </c>
      <c r="Z2457" s="183"/>
      <c r="AA2457" s="183"/>
      <c r="AB2457" s="223" t="s">
        <v>8347</v>
      </c>
      <c r="AC2457" s="153"/>
      <c r="AD2457" s="331"/>
      <c r="AE2457" s="57"/>
      <c r="AF2457" s="88"/>
      <c r="AG2457" s="182">
        <f>YEAR(D2457)</f>
        <v>2014</v>
      </c>
      <c r="AH2457" s="86" t="str">
        <f>+IF(AE2457=$AJ$22,MONTH(T2457),"")</f>
        <v/>
      </c>
      <c r="AI2457" s="86" t="str">
        <f>+IF(AF2457=$AJ$22,MONTH(U2457),"")</f>
        <v/>
      </c>
      <c r="AJ2457" s="86" t="str">
        <f>+IF(AG2457=$AJ$22,MONTH(V2457),"")</f>
        <v/>
      </c>
      <c r="AK2457" s="86" t="str">
        <f>+IF(AG2457=$AK$22,MONTH(V2457),"")</f>
        <v/>
      </c>
      <c r="AL2457" s="86" t="str">
        <f>+IF(AG2457=$AL$22,MONTH(V2457),"")</f>
        <v/>
      </c>
      <c r="AM2457" s="86" t="str">
        <f>+IF($AG2457=$AM$22,MONTH($D2457),"")</f>
        <v/>
      </c>
      <c r="AN2457" s="89" t="str">
        <f>+IF($AG2457=AN$22,MONTH($D2457),"")</f>
        <v/>
      </c>
      <c r="AO2457" s="86" t="str">
        <f>+IF($AG2457=AO$22,MONTH($D2457),"")</f>
        <v/>
      </c>
      <c r="AP2457" s="86" t="str">
        <f>+IF($AG2457=AP$22,MONTH($D2457),"")</f>
        <v/>
      </c>
      <c r="AQ2457" s="86" t="str">
        <f>+IF($AG2457=AQ$22,MONTH($D2457),"")</f>
        <v/>
      </c>
      <c r="AR2457" s="86" t="str">
        <f>+IF($AG2457=AR$22,MONTH($D2457),"")</f>
        <v/>
      </c>
      <c r="AS2457" s="86" t="str">
        <f>+IF($AG2457=AS$22,MONTH($D2457),"")</f>
        <v/>
      </c>
      <c r="AT2457" s="86">
        <f>+IF($AG2457=AT$22,MONTH($D2457),"")</f>
        <v>4</v>
      </c>
      <c r="AU2457" s="86" t="str">
        <f>+IF($AG2457=AU$22,MONTH($D2457),"")</f>
        <v/>
      </c>
      <c r="AV2457" s="86" t="str">
        <f>+IF($AG2457=AV$22,MONTH($D2457),"")</f>
        <v/>
      </c>
      <c r="AW2457" s="86" t="str">
        <f>+IF($AG2457=AW$22,MONTH($D2457),"")</f>
        <v/>
      </c>
      <c r="AX2457" s="86" t="str">
        <f>+IF($AG2457=AX$22,MONTH($D2457),"")</f>
        <v/>
      </c>
      <c r="AY2457" s="89"/>
      <c r="AZ2457" s="89"/>
      <c r="BA2457" s="89"/>
      <c r="BB2457" s="89"/>
      <c r="BC2457" s="89"/>
      <c r="BD2457" s="89"/>
      <c r="BE2457" s="89"/>
      <c r="BF2457" s="89"/>
      <c r="BG2457" s="89"/>
      <c r="BH2457" s="89"/>
      <c r="BI2457" s="89"/>
      <c r="BJ2457" s="89"/>
      <c r="BK2457" s="89"/>
      <c r="BL2457" s="89"/>
      <c r="BM2457" s="89"/>
      <c r="BN2457" s="89"/>
      <c r="BO2457" s="89"/>
      <c r="BP2457" s="89"/>
    </row>
    <row r="2458" spans="1:68" s="56" customFormat="1" ht="13.5" hidden="1">
      <c r="A2458" s="204">
        <f>+IFERROR(VALUE(MID(AB2458,4,4)),"")</f>
        <v>30</v>
      </c>
      <c r="B2458" s="204">
        <f>VALUE(RIGHT(C2458,LEN(C2458)-2))</f>
        <v>272</v>
      </c>
      <c r="C2458" s="74" t="s">
        <v>8345</v>
      </c>
      <c r="D2458" s="75">
        <v>40634</v>
      </c>
      <c r="E2458" s="70" t="s">
        <v>7928</v>
      </c>
      <c r="F2458" s="70" t="s">
        <v>685</v>
      </c>
      <c r="G2458" s="68"/>
      <c r="H2458" s="59"/>
      <c r="I2458" s="162" t="s">
        <v>8348</v>
      </c>
      <c r="J2458" s="162"/>
      <c r="K2458" s="68" t="s">
        <v>25</v>
      </c>
      <c r="L2458" s="69" t="s">
        <v>120</v>
      </c>
      <c r="M2458" s="71" t="s">
        <v>141</v>
      </c>
      <c r="N2458" s="69" t="e" vm="1">
        <v>#VALUE!</v>
      </c>
      <c r="O2458" s="160"/>
      <c r="P2458" s="72" t="s">
        <v>4567</v>
      </c>
      <c r="Q2458" s="72"/>
      <c r="R2458" s="162"/>
      <c r="S2458" s="146"/>
      <c r="T2458" s="68" t="s">
        <v>3</v>
      </c>
      <c r="U2458" s="87"/>
      <c r="V2458" s="183"/>
      <c r="W2458" s="73">
        <v>486</v>
      </c>
      <c r="X2458" s="73">
        <f>1254*21923/1000000</f>
        <v>27.491441999999999</v>
      </c>
      <c r="Y2458" s="73">
        <f>IF(SUM(W2458:W2458)&gt;0,X2458/SUM(W2458:W2458)*1000000,"N/A")</f>
        <v>56566.753086419754</v>
      </c>
      <c r="Z2458" s="183"/>
      <c r="AA2458" s="183"/>
      <c r="AB2458" s="223" t="s">
        <v>8349</v>
      </c>
      <c r="AC2458" s="153"/>
      <c r="AD2458" s="331"/>
      <c r="AE2458" s="57"/>
      <c r="AF2458" s="88"/>
      <c r="AG2458" s="182">
        <f>YEAR(D2458)</f>
        <v>2011</v>
      </c>
      <c r="AH2458" s="86" t="str">
        <f>+IF(AE2458=$AJ$22,MONTH(T2458),"")</f>
        <v/>
      </c>
      <c r="AI2458" s="86" t="str">
        <f>+IF(AF2458=$AJ$22,MONTH(U2458),"")</f>
        <v/>
      </c>
      <c r="AJ2458" s="86" t="str">
        <f>+IF(AG2458=$AJ$22,MONTH(V2458),"")</f>
        <v/>
      </c>
      <c r="AK2458" s="86" t="str">
        <f>+IF(AG2458=$AK$22,MONTH(V2458),"")</f>
        <v/>
      </c>
      <c r="AL2458" s="86" t="str">
        <f>+IF(AG2458=$AL$22,MONTH(V2458),"")</f>
        <v/>
      </c>
      <c r="AM2458" s="86" t="str">
        <f>+IF($AG2458=$AM$22,MONTH($D2458),"")</f>
        <v/>
      </c>
      <c r="AN2458" s="89" t="str">
        <f>+IF($AG2458=AN$22,MONTH($D2458),"")</f>
        <v/>
      </c>
      <c r="AO2458" s="86" t="str">
        <f>+IF($AG2458=AO$22,MONTH($D2458),"")</f>
        <v/>
      </c>
      <c r="AP2458" s="86" t="str">
        <f>+IF($AG2458=AP$22,MONTH($D2458),"")</f>
        <v/>
      </c>
      <c r="AQ2458" s="86" t="str">
        <f>+IF($AG2458=AQ$22,MONTH($D2458),"")</f>
        <v/>
      </c>
      <c r="AR2458" s="86" t="str">
        <f>+IF($AG2458=AR$22,MONTH($D2458),"")</f>
        <v/>
      </c>
      <c r="AS2458" s="86" t="str">
        <f>+IF($AG2458=AS$22,MONTH($D2458),"")</f>
        <v/>
      </c>
      <c r="AT2458" s="86" t="str">
        <f>+IF($AG2458=AT$22,MONTH($D2458),"")</f>
        <v/>
      </c>
      <c r="AU2458" s="86" t="str">
        <f>+IF($AG2458=AU$22,MONTH($D2458),"")</f>
        <v/>
      </c>
      <c r="AV2458" s="86" t="str">
        <f>+IF($AG2458=AV$22,MONTH($D2458),"")</f>
        <v/>
      </c>
      <c r="AW2458" s="86">
        <f>+IF($AG2458=AW$22,MONTH($D2458),"")</f>
        <v>4</v>
      </c>
      <c r="AX2458" s="86" t="str">
        <f>+IF($AG2458=AX$22,MONTH($D2458),"")</f>
        <v/>
      </c>
      <c r="AY2458" s="89"/>
      <c r="AZ2458" s="89"/>
      <c r="BA2458" s="89"/>
      <c r="BB2458" s="89"/>
      <c r="BC2458" s="89"/>
      <c r="BD2458" s="89"/>
      <c r="BE2458" s="89"/>
      <c r="BF2458" s="89"/>
      <c r="BG2458" s="89"/>
      <c r="BH2458" s="89"/>
      <c r="BI2458" s="89"/>
      <c r="BJ2458" s="89"/>
      <c r="BK2458" s="89"/>
      <c r="BL2458" s="89"/>
      <c r="BM2458" s="89"/>
      <c r="BN2458" s="89"/>
      <c r="BO2458" s="89"/>
      <c r="BP2458" s="89"/>
    </row>
    <row r="2459" spans="1:68" s="56" customFormat="1" ht="13.5" hidden="1">
      <c r="A2459" s="204" t="str">
        <f>+IFERROR(VALUE(MID(AB2459,4,4)),"")</f>
        <v/>
      </c>
      <c r="B2459" s="204">
        <f>VALUE(RIGHT(C2459,LEN(C2459)-2))</f>
        <v>271</v>
      </c>
      <c r="C2459" s="74" t="s">
        <v>8350</v>
      </c>
      <c r="D2459" s="75">
        <v>41737</v>
      </c>
      <c r="E2459" s="70" t="s">
        <v>5662</v>
      </c>
      <c r="F2459" s="70" t="s">
        <v>39</v>
      </c>
      <c r="G2459" s="68" t="s">
        <v>7892</v>
      </c>
      <c r="H2459" s="59" t="s">
        <v>7971</v>
      </c>
      <c r="I2459" s="162" t="s">
        <v>8351</v>
      </c>
      <c r="J2459" s="162"/>
      <c r="K2459" s="68" t="s">
        <v>11</v>
      </c>
      <c r="L2459" s="69" t="s">
        <v>123</v>
      </c>
      <c r="M2459" s="71" t="s">
        <v>141</v>
      </c>
      <c r="N2459" s="69" t="e" vm="1">
        <v>#VALUE!</v>
      </c>
      <c r="O2459" s="164">
        <v>41787</v>
      </c>
      <c r="P2459" s="72" t="s">
        <v>402</v>
      </c>
      <c r="Q2459" s="72"/>
      <c r="R2459" s="162"/>
      <c r="S2459" s="146"/>
      <c r="T2459" s="68" t="s">
        <v>165</v>
      </c>
      <c r="U2459" s="87"/>
      <c r="V2459" s="183">
        <v>42023</v>
      </c>
      <c r="W2459" s="73">
        <v>2937</v>
      </c>
      <c r="X2459" s="73">
        <f>4757*23800/1000000</f>
        <v>113.2166</v>
      </c>
      <c r="Y2459" s="73">
        <f>IF(SUM(W2459:W2459)&gt;0,X2459/SUM(W2459:W2459)*1000000,"N/A")</f>
        <v>38548.382703438881</v>
      </c>
      <c r="Z2459" s="183"/>
      <c r="AA2459" s="183"/>
      <c r="AB2459" s="223"/>
      <c r="AC2459" s="153"/>
      <c r="AD2459" s="331"/>
      <c r="AE2459" s="57"/>
      <c r="AF2459" s="88"/>
      <c r="AG2459" s="182">
        <f>YEAR(D2459)</f>
        <v>2014</v>
      </c>
      <c r="AH2459" s="86" t="str">
        <f>+IF(AE2459=$AJ$22,MONTH(T2459),"")</f>
        <v/>
      </c>
      <c r="AI2459" s="86" t="str">
        <f>+IF(AF2459=$AJ$22,MONTH(U2459),"")</f>
        <v/>
      </c>
      <c r="AJ2459" s="86" t="str">
        <f>+IF(AG2459=$AJ$22,MONTH(V2459),"")</f>
        <v/>
      </c>
      <c r="AK2459" s="86" t="str">
        <f>+IF(AG2459=$AK$22,MONTH(V2459),"")</f>
        <v/>
      </c>
      <c r="AL2459" s="86" t="str">
        <f>+IF(AG2459=$AL$22,MONTH(V2459),"")</f>
        <v/>
      </c>
      <c r="AM2459" s="86" t="str">
        <f>+IF($AG2459=$AM$22,MONTH($D2459),"")</f>
        <v/>
      </c>
      <c r="AN2459" s="89" t="str">
        <f>+IF($AG2459=AN$22,MONTH($D2459),"")</f>
        <v/>
      </c>
      <c r="AO2459" s="184" t="str">
        <f>+IF($AG2459=AO$22,MONTH($D2459),"")</f>
        <v/>
      </c>
      <c r="AP2459" s="184" t="str">
        <f>+IF($AG2459=AP$22,MONTH($D2459),"")</f>
        <v/>
      </c>
      <c r="AQ2459" s="184" t="str">
        <f>+IF($AG2459=AQ$22,MONTH($D2459),"")</f>
        <v/>
      </c>
      <c r="AR2459" s="184" t="str">
        <f>+IF($AG2459=AR$22,MONTH($D2459),"")</f>
        <v/>
      </c>
      <c r="AS2459" s="184" t="str">
        <f>+IF($AG2459=AS$22,MONTH($D2459),"")</f>
        <v/>
      </c>
      <c r="AT2459" s="86">
        <f>+IF($AG2459=AT$22,MONTH($D2459),"")</f>
        <v>4</v>
      </c>
      <c r="AU2459" s="86" t="str">
        <f>+IF($AG2459=AU$22,MONTH($D2459),"")</f>
        <v/>
      </c>
      <c r="AV2459" s="86" t="str">
        <f>+IF($AG2459=AV$22,MONTH($D2459),"")</f>
        <v/>
      </c>
      <c r="AW2459" s="86" t="str">
        <f>+IF($AG2459=AW$22,MONTH($D2459),"")</f>
        <v/>
      </c>
      <c r="AX2459" s="86" t="str">
        <f>+IF($AG2459=AX$22,MONTH($D2459),"")</f>
        <v/>
      </c>
      <c r="AY2459" s="89"/>
      <c r="AZ2459" s="89"/>
      <c r="BA2459" s="89"/>
      <c r="BB2459" s="89"/>
      <c r="BC2459" s="89"/>
      <c r="BD2459" s="89"/>
      <c r="BE2459" s="89"/>
      <c r="BF2459" s="89"/>
      <c r="BG2459" s="89"/>
      <c r="BH2459" s="89"/>
      <c r="BI2459" s="89"/>
      <c r="BJ2459" s="89"/>
      <c r="BK2459" s="89"/>
      <c r="BL2459" s="89"/>
      <c r="BM2459" s="89"/>
      <c r="BN2459" s="89"/>
      <c r="BO2459" s="89"/>
      <c r="BP2459" s="89"/>
    </row>
    <row r="2460" spans="1:68" s="56" customFormat="1" ht="13.5" hidden="1">
      <c r="A2460" s="204" t="str">
        <f>+IFERROR(VALUE(MID(AB2460,4,4)),"")</f>
        <v/>
      </c>
      <c r="B2460" s="204">
        <f>VALUE(RIGHT(C2460,LEN(C2460)-2))</f>
        <v>270</v>
      </c>
      <c r="C2460" s="74" t="s">
        <v>8352</v>
      </c>
      <c r="D2460" s="84">
        <v>41726</v>
      </c>
      <c r="E2460" s="70" t="s">
        <v>346</v>
      </c>
      <c r="F2460" s="70" t="s">
        <v>346</v>
      </c>
      <c r="G2460" s="68" t="s">
        <v>8353</v>
      </c>
      <c r="H2460" s="59"/>
      <c r="I2460" s="162" t="s">
        <v>8354</v>
      </c>
      <c r="J2460" s="162"/>
      <c r="K2460" s="68" t="s">
        <v>212</v>
      </c>
      <c r="L2460" s="69" t="s">
        <v>123</v>
      </c>
      <c r="M2460" s="71" t="s">
        <v>141</v>
      </c>
      <c r="N2460" s="69" t="e" vm="1">
        <v>#VALUE!</v>
      </c>
      <c r="O2460" s="164">
        <v>41766</v>
      </c>
      <c r="P2460" s="72" t="s">
        <v>402</v>
      </c>
      <c r="Q2460" s="72"/>
      <c r="R2460" s="162"/>
      <c r="S2460" s="146" t="s">
        <v>8355</v>
      </c>
      <c r="T2460" s="68" t="s">
        <v>165</v>
      </c>
      <c r="U2460" s="87"/>
      <c r="V2460" s="183"/>
      <c r="W2460" s="73">
        <v>10000</v>
      </c>
      <c r="X2460" s="73"/>
      <c r="Y2460" s="73">
        <f>IF(SUM(W2460:W2460)&gt;0,X2460/SUM(W2460:W2460)*1000000,"N/A")</f>
        <v>0</v>
      </c>
      <c r="Z2460" s="183"/>
      <c r="AA2460" s="183"/>
      <c r="AB2460" s="223"/>
      <c r="AC2460" s="153"/>
      <c r="AD2460" s="331"/>
      <c r="AE2460" s="57"/>
      <c r="AF2460" s="88"/>
      <c r="AG2460" s="182">
        <f>YEAR(D2460)</f>
        <v>2014</v>
      </c>
      <c r="AH2460" s="86" t="str">
        <f>+IF(AE2460=$AJ$22,MONTH(T2460),"")</f>
        <v/>
      </c>
      <c r="AI2460" s="86" t="str">
        <f>+IF(AF2460=$AJ$22,MONTH(U2460),"")</f>
        <v/>
      </c>
      <c r="AJ2460" s="86" t="str">
        <f>+IF(AG2460=$AJ$22,MONTH(V2460),"")</f>
        <v/>
      </c>
      <c r="AK2460" s="86" t="str">
        <f>+IF(AG2460=$AK$22,MONTH(V2460),"")</f>
        <v/>
      </c>
      <c r="AL2460" s="86" t="str">
        <f>+IF(AG2460=$AL$22,MONTH(V2460),"")</f>
        <v/>
      </c>
      <c r="AM2460" s="86" t="str">
        <f>+IF($AG2460=$AM$22,MONTH($D2460),"")</f>
        <v/>
      </c>
      <c r="AN2460" s="89" t="str">
        <f>+IF($AG2460=AN$22,MONTH($D2460),"")</f>
        <v/>
      </c>
      <c r="AO2460" s="184" t="str">
        <f>+IF($AG2460=AO$22,MONTH($D2460),"")</f>
        <v/>
      </c>
      <c r="AP2460" s="184" t="str">
        <f>+IF($AG2460=AP$22,MONTH($D2460),"")</f>
        <v/>
      </c>
      <c r="AQ2460" s="184" t="str">
        <f>+IF($AG2460=AQ$22,MONTH($D2460),"")</f>
        <v/>
      </c>
      <c r="AR2460" s="184" t="str">
        <f>+IF($AG2460=AR$22,MONTH($D2460),"")</f>
        <v/>
      </c>
      <c r="AS2460" s="184" t="str">
        <f>+IF($AG2460=AS$22,MONTH($D2460),"")</f>
        <v/>
      </c>
      <c r="AT2460" s="86">
        <f>+IF($AG2460=AT$22,MONTH($D2460),"")</f>
        <v>3</v>
      </c>
      <c r="AU2460" s="86" t="str">
        <f>+IF($AG2460=AU$22,MONTH($D2460),"")</f>
        <v/>
      </c>
      <c r="AV2460" s="86" t="str">
        <f>+IF($AG2460=AV$22,MONTH($D2460),"")</f>
        <v/>
      </c>
      <c r="AW2460" s="86" t="str">
        <f>+IF($AG2460=AW$22,MONTH($D2460),"")</f>
        <v/>
      </c>
      <c r="AX2460" s="86" t="str">
        <f>+IF($AG2460=AX$22,MONTH($D2460),"")</f>
        <v/>
      </c>
      <c r="AY2460" s="89"/>
      <c r="AZ2460" s="89"/>
      <c r="BA2460" s="89"/>
      <c r="BB2460" s="89"/>
      <c r="BC2460" s="89"/>
      <c r="BD2460" s="89"/>
      <c r="BE2460" s="89"/>
      <c r="BF2460" s="89"/>
      <c r="BG2460" s="89"/>
      <c r="BH2460" s="89"/>
      <c r="BI2460" s="89"/>
      <c r="BJ2460" s="89"/>
      <c r="BK2460" s="89"/>
      <c r="BL2460" s="89"/>
      <c r="BM2460" s="89"/>
      <c r="BN2460" s="89"/>
      <c r="BO2460" s="89"/>
      <c r="BP2460" s="89"/>
    </row>
    <row r="2461" spans="1:68" s="56" customFormat="1" ht="13.5" hidden="1">
      <c r="A2461" s="204" t="str">
        <f>+IFERROR(VALUE(MID(AB2461,4,4)),"")</f>
        <v/>
      </c>
      <c r="B2461" s="204">
        <f>VALUE(RIGHT(C2461,LEN(C2461)-2))</f>
        <v>269</v>
      </c>
      <c r="C2461" s="74" t="s">
        <v>8356</v>
      </c>
      <c r="D2461" s="75">
        <v>41726</v>
      </c>
      <c r="E2461" s="70" t="s">
        <v>346</v>
      </c>
      <c r="F2461" s="70" t="s">
        <v>346</v>
      </c>
      <c r="G2461" s="68" t="s">
        <v>7922</v>
      </c>
      <c r="H2461" s="59"/>
      <c r="I2461" s="162" t="s">
        <v>8357</v>
      </c>
      <c r="J2461" s="162"/>
      <c r="K2461" s="68" t="s">
        <v>11</v>
      </c>
      <c r="L2461" s="69" t="s">
        <v>123</v>
      </c>
      <c r="M2461" s="81" t="s">
        <v>141</v>
      </c>
      <c r="N2461" s="69" t="e" vm="1">
        <v>#VALUE!</v>
      </c>
      <c r="O2461" s="164">
        <v>41764</v>
      </c>
      <c r="P2461" s="72" t="s">
        <v>402</v>
      </c>
      <c r="Q2461" s="72"/>
      <c r="R2461" s="162"/>
      <c r="S2461" s="146"/>
      <c r="T2461" s="68" t="s">
        <v>165</v>
      </c>
      <c r="U2461" s="87"/>
      <c r="V2461" s="183">
        <v>42023</v>
      </c>
      <c r="W2461" s="73">
        <v>3920</v>
      </c>
      <c r="X2461" s="73">
        <f>149042425/1000000</f>
        <v>149.04242500000001</v>
      </c>
      <c r="Y2461" s="73">
        <f>IF(SUM(W2461:W2461)&gt;0,X2461/SUM(W2461:W2461)*1000000,"N/A")</f>
        <v>38021.026785714283</v>
      </c>
      <c r="Z2461" s="183"/>
      <c r="AA2461" s="183"/>
      <c r="AB2461" s="223"/>
      <c r="AC2461" s="153"/>
      <c r="AD2461" s="331"/>
      <c r="AE2461" s="57"/>
      <c r="AF2461" s="88"/>
      <c r="AG2461" s="182">
        <f>YEAR(D2461)</f>
        <v>2014</v>
      </c>
      <c r="AH2461" s="86" t="str">
        <f>+IF(AE2461=$AJ$22,MONTH(T2461),"")</f>
        <v/>
      </c>
      <c r="AI2461" s="86" t="str">
        <f>+IF(AF2461=$AJ$22,MONTH(U2461),"")</f>
        <v/>
      </c>
      <c r="AJ2461" s="86" t="str">
        <f>+IF(AG2461=$AJ$22,MONTH(V2461),"")</f>
        <v/>
      </c>
      <c r="AK2461" s="86" t="str">
        <f>+IF(AG2461=$AK$22,MONTH(V2461),"")</f>
        <v/>
      </c>
      <c r="AL2461" s="86" t="str">
        <f>+IF(AG2461=$AL$22,MONTH(V2461),"")</f>
        <v/>
      </c>
      <c r="AM2461" s="86" t="str">
        <f>+IF($AG2461=$AM$22,MONTH($D2461),"")</f>
        <v/>
      </c>
      <c r="AN2461" s="89" t="str">
        <f>+IF($AG2461=AN$22,MONTH($D2461),"")</f>
        <v/>
      </c>
      <c r="AO2461" s="184" t="str">
        <f>+IF($AG2461=AO$22,MONTH($D2461),"")</f>
        <v/>
      </c>
      <c r="AP2461" s="184" t="str">
        <f>+IF($AG2461=AP$22,MONTH($D2461),"")</f>
        <v/>
      </c>
      <c r="AQ2461" s="184" t="str">
        <f>+IF($AG2461=AQ$22,MONTH($D2461),"")</f>
        <v/>
      </c>
      <c r="AR2461" s="184" t="str">
        <f>+IF($AG2461=AR$22,MONTH($D2461),"")</f>
        <v/>
      </c>
      <c r="AS2461" s="184" t="str">
        <f>+IF($AG2461=AS$22,MONTH($D2461),"")</f>
        <v/>
      </c>
      <c r="AT2461" s="86">
        <f>+IF($AG2461=AT$22,MONTH($D2461),"")</f>
        <v>3</v>
      </c>
      <c r="AU2461" s="86" t="str">
        <f>+IF($AG2461=AU$22,MONTH($D2461),"")</f>
        <v/>
      </c>
      <c r="AV2461" s="86" t="str">
        <f>+IF($AG2461=AV$22,MONTH($D2461),"")</f>
        <v/>
      </c>
      <c r="AW2461" s="86" t="str">
        <f>+IF($AG2461=AW$22,MONTH($D2461),"")</f>
        <v/>
      </c>
      <c r="AX2461" s="86" t="str">
        <f>+IF($AG2461=AX$22,MONTH($D2461),"")</f>
        <v/>
      </c>
      <c r="AY2461" s="89"/>
      <c r="AZ2461" s="89"/>
      <c r="BA2461" s="89"/>
      <c r="BB2461" s="89"/>
      <c r="BC2461" s="89"/>
      <c r="BD2461" s="89"/>
      <c r="BE2461" s="89"/>
      <c r="BF2461" s="89"/>
      <c r="BG2461" s="89"/>
      <c r="BH2461" s="89"/>
      <c r="BI2461" s="89"/>
      <c r="BJ2461" s="89"/>
      <c r="BK2461" s="89"/>
      <c r="BL2461" s="89"/>
      <c r="BM2461" s="89"/>
      <c r="BN2461" s="89"/>
      <c r="BO2461" s="89"/>
      <c r="BP2461" s="89"/>
    </row>
    <row r="2462" spans="1:68" s="56" customFormat="1" ht="19.5" hidden="1" customHeight="1">
      <c r="A2462" s="204" t="str">
        <f>+IFERROR(VALUE(MID(AB2462,4,4)),"")</f>
        <v/>
      </c>
      <c r="B2462" s="204">
        <f>VALUE(RIGHT(C2462,LEN(C2462)-2))</f>
        <v>268</v>
      </c>
      <c r="C2462" s="74" t="s">
        <v>8358</v>
      </c>
      <c r="D2462" s="75">
        <v>41726</v>
      </c>
      <c r="E2462" s="70" t="s">
        <v>8359</v>
      </c>
      <c r="F2462" s="70" t="s">
        <v>8360</v>
      </c>
      <c r="G2462" s="68" t="s">
        <v>8361</v>
      </c>
      <c r="H2462" s="59"/>
      <c r="I2462" s="162" t="s">
        <v>8362</v>
      </c>
      <c r="J2462" s="162"/>
      <c r="K2462" s="68" t="s">
        <v>13</v>
      </c>
      <c r="L2462" s="69" t="s">
        <v>120</v>
      </c>
      <c r="M2462" s="71" t="s">
        <v>141</v>
      </c>
      <c r="N2462" s="69" t="e" vm="1">
        <v>#VALUE!</v>
      </c>
      <c r="O2462" s="160">
        <v>41730</v>
      </c>
      <c r="P2462" s="72" t="s">
        <v>4567</v>
      </c>
      <c r="Q2462" s="72"/>
      <c r="R2462" s="162"/>
      <c r="S2462" s="146"/>
      <c r="T2462" s="68" t="s">
        <v>165</v>
      </c>
      <c r="U2462" s="87"/>
      <c r="V2462" s="183">
        <v>41732</v>
      </c>
      <c r="W2462" s="73">
        <v>349</v>
      </c>
      <c r="X2462" s="73">
        <f>530*23800/1000000</f>
        <v>12.614000000000001</v>
      </c>
      <c r="Y2462" s="73">
        <f>IF(SUM(W2462:W2462)&gt;0,X2462/SUM(W2462:W2462)*1000000,"N/A")</f>
        <v>36143.266475644705</v>
      </c>
      <c r="Z2462" s="183"/>
      <c r="AA2462" s="183"/>
      <c r="AB2462" s="223"/>
      <c r="AC2462" s="153"/>
      <c r="AD2462" s="331"/>
      <c r="AE2462" s="57"/>
      <c r="AF2462" s="88"/>
      <c r="AG2462" s="182">
        <f>YEAR(D2462)</f>
        <v>2014</v>
      </c>
      <c r="AH2462" s="86" t="str">
        <f>+IF(AE2462=$AJ$22,MONTH(T2462),"")</f>
        <v/>
      </c>
      <c r="AI2462" s="86" t="str">
        <f>+IF(AF2462=$AJ$22,MONTH(U2462),"")</f>
        <v/>
      </c>
      <c r="AJ2462" s="86" t="str">
        <f>+IF(AG2462=$AJ$22,MONTH(V2462),"")</f>
        <v/>
      </c>
      <c r="AK2462" s="86" t="str">
        <f>+IF(AG2462=$AK$22,MONTH(V2462),"")</f>
        <v/>
      </c>
      <c r="AL2462" s="86" t="str">
        <f>+IF(AG2462=$AL$22,MONTH(V2462),"")</f>
        <v/>
      </c>
      <c r="AM2462" s="86" t="str">
        <f>+IF($AG2462=$AM$22,MONTH($D2462),"")</f>
        <v/>
      </c>
      <c r="AN2462" s="89" t="str">
        <f>+IF($AG2462=AN$22,MONTH($D2462),"")</f>
        <v/>
      </c>
      <c r="AO2462" s="184" t="str">
        <f>+IF($AG2462=AO$22,MONTH($D2462),"")</f>
        <v/>
      </c>
      <c r="AP2462" s="184" t="str">
        <f>+IF($AG2462=AP$22,MONTH($D2462),"")</f>
        <v/>
      </c>
      <c r="AQ2462" s="184" t="str">
        <f>+IF($AG2462=AQ$22,MONTH($D2462),"")</f>
        <v/>
      </c>
      <c r="AR2462" s="184" t="str">
        <f>+IF($AG2462=AR$22,MONTH($D2462),"")</f>
        <v/>
      </c>
      <c r="AS2462" s="184" t="str">
        <f>+IF($AG2462=AS$22,MONTH($D2462),"")</f>
        <v/>
      </c>
      <c r="AT2462" s="86">
        <f>+IF($AG2462=AT$22,MONTH($D2462),"")</f>
        <v>3</v>
      </c>
      <c r="AU2462" s="86" t="str">
        <f>+IF($AG2462=AU$22,MONTH($D2462),"")</f>
        <v/>
      </c>
      <c r="AV2462" s="86" t="str">
        <f>+IF($AG2462=AV$22,MONTH($D2462),"")</f>
        <v/>
      </c>
      <c r="AW2462" s="86" t="str">
        <f>+IF($AG2462=AW$22,MONTH($D2462),"")</f>
        <v/>
      </c>
      <c r="AX2462" s="86" t="str">
        <f>+IF($AG2462=AX$22,MONTH($D2462),"")</f>
        <v/>
      </c>
      <c r="AY2462" s="89"/>
      <c r="AZ2462" s="89"/>
      <c r="BA2462" s="89"/>
      <c r="BB2462" s="89"/>
      <c r="BC2462" s="89"/>
      <c r="BD2462" s="89"/>
      <c r="BE2462" s="89"/>
      <c r="BF2462" s="89"/>
      <c r="BG2462" s="89"/>
      <c r="BH2462" s="89"/>
      <c r="BI2462" s="89"/>
      <c r="BJ2462" s="89"/>
      <c r="BK2462" s="89"/>
      <c r="BL2462" s="89"/>
      <c r="BM2462" s="89"/>
      <c r="BN2462" s="89"/>
      <c r="BO2462" s="89"/>
      <c r="BP2462" s="89"/>
    </row>
    <row r="2463" spans="1:68" s="56" customFormat="1" ht="19.5" hidden="1" customHeight="1">
      <c r="A2463" s="204">
        <f>+IFERROR(VALUE(MID(AB2463,4,4)),"")</f>
        <v>91</v>
      </c>
      <c r="B2463" s="204">
        <f>VALUE(RIGHT(C2463,LEN(C2463)-2))</f>
        <v>267</v>
      </c>
      <c r="C2463" s="74" t="s">
        <v>8363</v>
      </c>
      <c r="D2463" s="75">
        <v>41718</v>
      </c>
      <c r="E2463" s="70" t="s">
        <v>110</v>
      </c>
      <c r="F2463" s="70" t="s">
        <v>110</v>
      </c>
      <c r="G2463" s="68" t="s">
        <v>8364</v>
      </c>
      <c r="H2463" s="59"/>
      <c r="I2463" s="162" t="s">
        <v>8365</v>
      </c>
      <c r="J2463" s="162"/>
      <c r="K2463" s="68" t="s">
        <v>30</v>
      </c>
      <c r="L2463" s="69" t="s">
        <v>120</v>
      </c>
      <c r="M2463" s="71" t="s">
        <v>141</v>
      </c>
      <c r="N2463" s="69" t="e" vm="1">
        <v>#VALUE!</v>
      </c>
      <c r="O2463" s="164">
        <v>41719</v>
      </c>
      <c r="P2463" s="72" t="s">
        <v>8366</v>
      </c>
      <c r="Q2463" s="72"/>
      <c r="R2463" s="162"/>
      <c r="S2463" s="146"/>
      <c r="T2463" s="68" t="s">
        <v>3</v>
      </c>
      <c r="U2463" s="230"/>
      <c r="V2463" s="183"/>
      <c r="W2463" s="73">
        <v>2</v>
      </c>
      <c r="X2463" s="73">
        <f>50000/1000000</f>
        <v>0.05</v>
      </c>
      <c r="Y2463" s="73">
        <f>IF(SUM(W2463:W2463)&gt;0,X2463/SUM(W2463:W2463)*1000000,"N/A")</f>
        <v>25000</v>
      </c>
      <c r="Z2463" s="183"/>
      <c r="AA2463" s="183"/>
      <c r="AB2463" s="223" t="s">
        <v>8367</v>
      </c>
      <c r="AC2463" s="153"/>
      <c r="AD2463" s="331"/>
      <c r="AE2463" s="57"/>
      <c r="AF2463" s="88"/>
      <c r="AG2463" s="182">
        <f>YEAR(D2463)</f>
        <v>2014</v>
      </c>
      <c r="AH2463" s="86" t="str">
        <f>+IF(AE2463=$AJ$22,MONTH(T2463),"")</f>
        <v/>
      </c>
      <c r="AI2463" s="86" t="str">
        <f>+IF(AF2463=$AJ$22,MONTH(U2463),"")</f>
        <v/>
      </c>
      <c r="AJ2463" s="86" t="str">
        <f>+IF(AG2463=$AJ$22,MONTH(V2463),"")</f>
        <v/>
      </c>
      <c r="AK2463" s="86" t="str">
        <f>+IF(AG2463=$AK$22,MONTH(V2463),"")</f>
        <v/>
      </c>
      <c r="AL2463" s="86" t="str">
        <f>+IF(AG2463=$AL$22,MONTH(V2463),"")</f>
        <v/>
      </c>
      <c r="AM2463" s="86" t="str">
        <f>+IF($AG2463=$AM$22,MONTH($D2463),"")</f>
        <v/>
      </c>
      <c r="AN2463" s="89" t="str">
        <f>+IF($AG2463=AN$22,MONTH($D2463),"")</f>
        <v/>
      </c>
      <c r="AO2463" s="86" t="str">
        <f>+IF($AG2463=AO$22,MONTH($D2463),"")</f>
        <v/>
      </c>
      <c r="AP2463" s="86" t="str">
        <f>+IF($AG2463=AP$22,MONTH($D2463),"")</f>
        <v/>
      </c>
      <c r="AQ2463" s="86" t="str">
        <f>+IF($AG2463=AQ$22,MONTH($D2463),"")</f>
        <v/>
      </c>
      <c r="AR2463" s="86" t="str">
        <f>+IF($AG2463=AR$22,MONTH($D2463),"")</f>
        <v/>
      </c>
      <c r="AS2463" s="86" t="str">
        <f>+IF($AG2463=AS$22,MONTH($D2463),"")</f>
        <v/>
      </c>
      <c r="AT2463" s="86">
        <f>+IF($AG2463=AT$22,MONTH($D2463),"")</f>
        <v>3</v>
      </c>
      <c r="AU2463" s="86" t="str">
        <f>+IF($AG2463=AU$22,MONTH($D2463),"")</f>
        <v/>
      </c>
      <c r="AV2463" s="86" t="str">
        <f>+IF($AG2463=AV$22,MONTH($D2463),"")</f>
        <v/>
      </c>
      <c r="AW2463" s="86" t="str">
        <f>+IF($AG2463=AW$22,MONTH($D2463),"")</f>
        <v/>
      </c>
      <c r="AX2463" s="86" t="str">
        <f>+IF($AG2463=AX$22,MONTH($D2463),"")</f>
        <v/>
      </c>
      <c r="AY2463" s="89"/>
      <c r="AZ2463" s="89"/>
      <c r="BA2463" s="89"/>
      <c r="BB2463" s="89"/>
      <c r="BC2463" s="89"/>
      <c r="BD2463" s="89"/>
      <c r="BE2463" s="89"/>
      <c r="BF2463" s="89"/>
      <c r="BG2463" s="89"/>
      <c r="BH2463" s="89"/>
      <c r="BI2463" s="89"/>
      <c r="BJ2463" s="89"/>
      <c r="BK2463" s="89"/>
      <c r="BL2463" s="89"/>
      <c r="BM2463" s="89"/>
      <c r="BN2463" s="89"/>
      <c r="BO2463" s="89"/>
      <c r="BP2463" s="89"/>
    </row>
    <row r="2464" spans="1:68" s="56" customFormat="1" ht="19.5" hidden="1" customHeight="1">
      <c r="A2464" s="204" t="str">
        <f>+IFERROR(VALUE(MID(AB2464,4,4)),"")</f>
        <v/>
      </c>
      <c r="B2464" s="204">
        <f>VALUE(RIGHT(C2464,LEN(C2464)-2))</f>
        <v>266</v>
      </c>
      <c r="C2464" s="74" t="s">
        <v>8368</v>
      </c>
      <c r="D2464" s="75">
        <v>41723</v>
      </c>
      <c r="E2464" s="70" t="s">
        <v>8369</v>
      </c>
      <c r="F2464" s="70" t="s">
        <v>8370</v>
      </c>
      <c r="G2464" s="68" t="s">
        <v>7960</v>
      </c>
      <c r="H2464" s="59"/>
      <c r="I2464" s="162" t="s">
        <v>8371</v>
      </c>
      <c r="J2464" s="162"/>
      <c r="K2464" s="68" t="s">
        <v>13</v>
      </c>
      <c r="L2464" s="69" t="s">
        <v>120</v>
      </c>
      <c r="M2464" s="71" t="s">
        <v>141</v>
      </c>
      <c r="N2464" s="69" t="e" vm="1">
        <v>#VALUE!</v>
      </c>
      <c r="O2464" s="164">
        <v>41731</v>
      </c>
      <c r="P2464" s="72" t="s">
        <v>8366</v>
      </c>
      <c r="Q2464" s="72"/>
      <c r="R2464" s="162"/>
      <c r="S2464" s="146" t="s">
        <v>8372</v>
      </c>
      <c r="T2464" s="68" t="s">
        <v>165</v>
      </c>
      <c r="U2464" s="87"/>
      <c r="V2464" s="183">
        <v>41956</v>
      </c>
      <c r="W2464" s="73">
        <v>1810</v>
      </c>
      <c r="X2464" s="73">
        <f>66589336/1000000</f>
        <v>66.589336000000003</v>
      </c>
      <c r="Y2464" s="73">
        <f>IF(SUM(W2464:W2464)&gt;0,X2464/SUM(W2464:W2464)*1000000,"N/A")</f>
        <v>36789.688397790058</v>
      </c>
      <c r="Z2464" s="183"/>
      <c r="AA2464" s="183"/>
      <c r="AB2464" s="223"/>
      <c r="AC2464" s="153"/>
      <c r="AD2464" s="331"/>
      <c r="AE2464" s="57"/>
      <c r="AF2464" s="88" t="s">
        <v>8373</v>
      </c>
      <c r="AG2464" s="182">
        <f>YEAR(D2464)</f>
        <v>2014</v>
      </c>
      <c r="AH2464" s="86" t="str">
        <f>+IF(AE2464=$AJ$22,MONTH(T2464),"")</f>
        <v/>
      </c>
      <c r="AI2464" s="86" t="str">
        <f>+IF(AF2464=$AJ$22,MONTH(U2464),"")</f>
        <v/>
      </c>
      <c r="AJ2464" s="86" t="str">
        <f>+IF(AG2464=$AJ$22,MONTH(V2464),"")</f>
        <v/>
      </c>
      <c r="AK2464" s="86" t="str">
        <f>+IF(AG2464=$AK$22,MONTH(V2464),"")</f>
        <v/>
      </c>
      <c r="AL2464" s="86" t="str">
        <f>+IF(AG2464=$AL$22,MONTH(V2464),"")</f>
        <v/>
      </c>
      <c r="AM2464" s="86" t="str">
        <f>+IF($AG2464=$AM$22,MONTH($D2464),"")</f>
        <v/>
      </c>
      <c r="AN2464" s="89" t="str">
        <f>+IF($AG2464=AN$22,MONTH($D2464),"")</f>
        <v/>
      </c>
      <c r="AO2464" s="184" t="str">
        <f>+IF($AG2464=AO$22,MONTH($D2464),"")</f>
        <v/>
      </c>
      <c r="AP2464" s="184" t="str">
        <f>+IF($AG2464=AP$22,MONTH($D2464),"")</f>
        <v/>
      </c>
      <c r="AQ2464" s="184" t="str">
        <f>+IF($AG2464=AQ$22,MONTH($D2464),"")</f>
        <v/>
      </c>
      <c r="AR2464" s="184" t="str">
        <f>+IF($AG2464=AR$22,MONTH($D2464),"")</f>
        <v/>
      </c>
      <c r="AS2464" s="184" t="str">
        <f>+IF($AG2464=AS$22,MONTH($D2464),"")</f>
        <v/>
      </c>
      <c r="AT2464" s="86">
        <f>+IF($AG2464=AT$22,MONTH($D2464),"")</f>
        <v>3</v>
      </c>
      <c r="AU2464" s="86" t="str">
        <f>+IF($AG2464=AU$22,MONTH($D2464),"")</f>
        <v/>
      </c>
      <c r="AV2464" s="86" t="str">
        <f>+IF($AG2464=AV$22,MONTH($D2464),"")</f>
        <v/>
      </c>
      <c r="AW2464" s="86" t="str">
        <f>+IF($AG2464=AW$22,MONTH($D2464),"")</f>
        <v/>
      </c>
      <c r="AX2464" s="86" t="str">
        <f>+IF($AG2464=AX$22,MONTH($D2464),"")</f>
        <v/>
      </c>
      <c r="AY2464" s="89"/>
      <c r="AZ2464" s="89"/>
      <c r="BA2464" s="89"/>
      <c r="BB2464" s="89"/>
      <c r="BC2464" s="89"/>
      <c r="BD2464" s="89"/>
      <c r="BE2464" s="89"/>
      <c r="BF2464" s="89"/>
      <c r="BG2464" s="89"/>
      <c r="BH2464" s="89"/>
      <c r="BI2464" s="89"/>
      <c r="BJ2464" s="89"/>
      <c r="BK2464" s="89"/>
      <c r="BL2464" s="89"/>
      <c r="BM2464" s="89"/>
      <c r="BN2464" s="89"/>
      <c r="BO2464" s="89"/>
      <c r="BP2464" s="89"/>
    </row>
    <row r="2465" spans="1:68" s="56" customFormat="1" ht="19.5" hidden="1" customHeight="1">
      <c r="A2465" s="204" t="str">
        <f>+IFERROR(VALUE(MID(AB2465,4,4)),"")</f>
        <v/>
      </c>
      <c r="B2465" s="204">
        <f>VALUE(RIGHT(C2465,LEN(C2465)-2))</f>
        <v>265</v>
      </c>
      <c r="C2465" s="74" t="s">
        <v>8374</v>
      </c>
      <c r="D2465" s="75">
        <v>41722</v>
      </c>
      <c r="E2465" s="70" t="s">
        <v>34</v>
      </c>
      <c r="F2465" s="70" t="s">
        <v>34</v>
      </c>
      <c r="G2465" s="68" t="s">
        <v>7729</v>
      </c>
      <c r="H2465" s="59"/>
      <c r="I2465" s="162" t="s">
        <v>8375</v>
      </c>
      <c r="J2465" s="162"/>
      <c r="K2465" s="68" t="s">
        <v>12</v>
      </c>
      <c r="L2465" s="69" t="s">
        <v>120</v>
      </c>
      <c r="M2465" s="71" t="s">
        <v>141</v>
      </c>
      <c r="N2465" s="69" t="e" vm="1">
        <v>#VALUE!</v>
      </c>
      <c r="O2465" s="164">
        <v>41732</v>
      </c>
      <c r="P2465" s="72" t="s">
        <v>402</v>
      </c>
      <c r="Q2465" s="72"/>
      <c r="R2465" s="162"/>
      <c r="S2465" s="146"/>
      <c r="T2465" s="68" t="s">
        <v>165</v>
      </c>
      <c r="U2465" s="230"/>
      <c r="V2465" s="183"/>
      <c r="W2465" s="73">
        <v>930</v>
      </c>
      <c r="X2465" s="73">
        <f>51581288/1000000</f>
        <v>51.581288000000001</v>
      </c>
      <c r="Y2465" s="73">
        <f>IF(SUM(W2465:W2465)&gt;0,X2465/SUM(W2465:W2465)*1000000,"N/A")</f>
        <v>55463.750537634405</v>
      </c>
      <c r="Z2465" s="183"/>
      <c r="AA2465" s="183"/>
      <c r="AB2465" s="223"/>
      <c r="AC2465" s="153"/>
      <c r="AD2465" s="331"/>
      <c r="AE2465" s="57"/>
      <c r="AF2465" s="88"/>
      <c r="AG2465" s="182">
        <f>YEAR(D2465)</f>
        <v>2014</v>
      </c>
      <c r="AH2465" s="86" t="str">
        <f>+IF(AE2465=$AJ$22,MONTH(T2465),"")</f>
        <v/>
      </c>
      <c r="AI2465" s="86" t="str">
        <f>+IF(AF2465=$AJ$22,MONTH(U2465),"")</f>
        <v/>
      </c>
      <c r="AJ2465" s="86" t="str">
        <f>+IF(AG2465=$AJ$22,MONTH(V2465),"")</f>
        <v/>
      </c>
      <c r="AK2465" s="86" t="str">
        <f>+IF(AG2465=$AK$22,MONTH(V2465),"")</f>
        <v/>
      </c>
      <c r="AL2465" s="86" t="str">
        <f>+IF(AG2465=$AL$22,MONTH(V2465),"")</f>
        <v/>
      </c>
      <c r="AM2465" s="86" t="str">
        <f>+IF($AG2465=$AM$22,MONTH($D2465),"")</f>
        <v/>
      </c>
      <c r="AN2465" s="89" t="str">
        <f>+IF($AG2465=AN$22,MONTH($D2465),"")</f>
        <v/>
      </c>
      <c r="AO2465" s="184" t="str">
        <f>+IF($AG2465=AO$22,MONTH($D2465),"")</f>
        <v/>
      </c>
      <c r="AP2465" s="184" t="str">
        <f>+IF($AG2465=AP$22,MONTH($D2465),"")</f>
        <v/>
      </c>
      <c r="AQ2465" s="184" t="str">
        <f>+IF($AG2465=AQ$22,MONTH($D2465),"")</f>
        <v/>
      </c>
      <c r="AR2465" s="184" t="str">
        <f>+IF($AG2465=AR$22,MONTH($D2465),"")</f>
        <v/>
      </c>
      <c r="AS2465" s="184" t="str">
        <f>+IF($AG2465=AS$22,MONTH($D2465),"")</f>
        <v/>
      </c>
      <c r="AT2465" s="86">
        <f>+IF($AG2465=AT$22,MONTH($D2465),"")</f>
        <v>3</v>
      </c>
      <c r="AU2465" s="86" t="str">
        <f>+IF($AG2465=AU$22,MONTH($D2465),"")</f>
        <v/>
      </c>
      <c r="AV2465" s="86" t="str">
        <f>+IF($AG2465=AV$22,MONTH($D2465),"")</f>
        <v/>
      </c>
      <c r="AW2465" s="86" t="str">
        <f>+IF($AG2465=AW$22,MONTH($D2465),"")</f>
        <v/>
      </c>
      <c r="AX2465" s="86" t="str">
        <f>+IF($AG2465=AX$22,MONTH($D2465),"")</f>
        <v/>
      </c>
      <c r="AY2465" s="89"/>
      <c r="AZ2465" s="89"/>
      <c r="BA2465" s="89"/>
      <c r="BB2465" s="89"/>
      <c r="BC2465" s="89"/>
      <c r="BD2465" s="89"/>
      <c r="BE2465" s="89"/>
      <c r="BF2465" s="89"/>
      <c r="BG2465" s="89"/>
      <c r="BH2465" s="89"/>
      <c r="BI2465" s="89"/>
      <c r="BJ2465" s="89"/>
      <c r="BK2465" s="89"/>
      <c r="BL2465" s="89"/>
      <c r="BM2465" s="89"/>
      <c r="BN2465" s="89"/>
      <c r="BO2465" s="89"/>
      <c r="BP2465" s="89"/>
    </row>
    <row r="2466" spans="1:68" s="56" customFormat="1" ht="19.5" hidden="1" customHeight="1">
      <c r="A2466" s="204" t="str">
        <f>+IFERROR(VALUE(MID(AB2466,4,4)),"")</f>
        <v/>
      </c>
      <c r="B2466" s="204">
        <f>VALUE(RIGHT(C2466,LEN(C2466)-2))</f>
        <v>264</v>
      </c>
      <c r="C2466" s="74" t="s">
        <v>8376</v>
      </c>
      <c r="D2466" s="75">
        <v>41717</v>
      </c>
      <c r="E2466" s="70" t="s">
        <v>96</v>
      </c>
      <c r="F2466" s="70" t="s">
        <v>96</v>
      </c>
      <c r="G2466" s="68" t="s">
        <v>3356</v>
      </c>
      <c r="H2466" s="59"/>
      <c r="I2466" s="162" t="s">
        <v>8377</v>
      </c>
      <c r="J2466" s="162"/>
      <c r="K2466" s="68" t="s">
        <v>30</v>
      </c>
      <c r="L2466" s="69" t="s">
        <v>120</v>
      </c>
      <c r="M2466" s="71" t="s">
        <v>141</v>
      </c>
      <c r="N2466" s="69" t="e" vm="1">
        <v>#VALUE!</v>
      </c>
      <c r="O2466" s="164">
        <v>41723</v>
      </c>
      <c r="P2466" s="72" t="s">
        <v>4567</v>
      </c>
      <c r="Q2466" s="72"/>
      <c r="R2466" s="162"/>
      <c r="S2466" s="146"/>
      <c r="T2466" s="68" t="s">
        <v>165</v>
      </c>
      <c r="U2466" s="87"/>
      <c r="V2466" s="183"/>
      <c r="W2466" s="73">
        <v>360</v>
      </c>
      <c r="X2466" s="73">
        <f>655*23672/1000000</f>
        <v>15.50516</v>
      </c>
      <c r="Y2466" s="73">
        <f>IF(SUM(W2466:W2466)&gt;0,X2466/SUM(W2466:W2466)*1000000,"N/A")</f>
        <v>43069.888888888883</v>
      </c>
      <c r="Z2466" s="183"/>
      <c r="AA2466" s="183"/>
      <c r="AB2466" s="223"/>
      <c r="AC2466" s="153"/>
      <c r="AD2466" s="331"/>
      <c r="AE2466" s="57"/>
      <c r="AF2466" s="88"/>
      <c r="AG2466" s="182">
        <f>YEAR(D2466)</f>
        <v>2014</v>
      </c>
      <c r="AH2466" s="86" t="str">
        <f>+IF(AE2466=$AJ$22,MONTH(T2466),"")</f>
        <v/>
      </c>
      <c r="AI2466" s="86" t="str">
        <f>+IF(AF2466=$AJ$22,MONTH(U2466),"")</f>
        <v/>
      </c>
      <c r="AJ2466" s="86" t="str">
        <f>+IF(AG2466=$AJ$22,MONTH(V2466),"")</f>
        <v/>
      </c>
      <c r="AK2466" s="86" t="str">
        <f>+IF(AG2466=$AK$22,MONTH(V2466),"")</f>
        <v/>
      </c>
      <c r="AL2466" s="86" t="str">
        <f>+IF(AG2466=$AL$22,MONTH(V2466),"")</f>
        <v/>
      </c>
      <c r="AM2466" s="86" t="str">
        <f>+IF($AG2466=$AM$22,MONTH($D2466),"")</f>
        <v/>
      </c>
      <c r="AN2466" s="89" t="str">
        <f>+IF($AG2466=AN$22,MONTH($D2466),"")</f>
        <v/>
      </c>
      <c r="AO2466" s="184" t="str">
        <f>+IF($AG2466=AO$22,MONTH($D2466),"")</f>
        <v/>
      </c>
      <c r="AP2466" s="184" t="str">
        <f>+IF($AG2466=AP$22,MONTH($D2466),"")</f>
        <v/>
      </c>
      <c r="AQ2466" s="184" t="str">
        <f>+IF($AG2466=AQ$22,MONTH($D2466),"")</f>
        <v/>
      </c>
      <c r="AR2466" s="184" t="str">
        <f>+IF($AG2466=AR$22,MONTH($D2466),"")</f>
        <v/>
      </c>
      <c r="AS2466" s="184" t="str">
        <f>+IF($AG2466=AS$22,MONTH($D2466),"")</f>
        <v/>
      </c>
      <c r="AT2466" s="86">
        <f>+IF($AG2466=AT$22,MONTH($D2466),"")</f>
        <v>3</v>
      </c>
      <c r="AU2466" s="86" t="str">
        <f>+IF($AG2466=AU$22,MONTH($D2466),"")</f>
        <v/>
      </c>
      <c r="AV2466" s="86" t="str">
        <f>+IF($AG2466=AV$22,MONTH($D2466),"")</f>
        <v/>
      </c>
      <c r="AW2466" s="86" t="str">
        <f>+IF($AG2466=AW$22,MONTH($D2466),"")</f>
        <v/>
      </c>
      <c r="AX2466" s="86" t="str">
        <f>+IF($AG2466=AX$22,MONTH($D2466),"")</f>
        <v/>
      </c>
      <c r="AY2466" s="89"/>
      <c r="AZ2466" s="89"/>
      <c r="BA2466" s="89"/>
      <c r="BB2466" s="89"/>
      <c r="BC2466" s="89"/>
      <c r="BD2466" s="89"/>
      <c r="BE2466" s="89"/>
      <c r="BF2466" s="89"/>
      <c r="BG2466" s="89"/>
      <c r="BH2466" s="89"/>
      <c r="BI2466" s="89"/>
      <c r="BJ2466" s="89"/>
      <c r="BK2466" s="89"/>
      <c r="BL2466" s="89"/>
      <c r="BM2466" s="89"/>
      <c r="BN2466" s="89"/>
      <c r="BO2466" s="89"/>
      <c r="BP2466" s="89"/>
    </row>
    <row r="2467" spans="1:68" s="56" customFormat="1" ht="19.5" hidden="1" customHeight="1">
      <c r="A2467" s="204" t="str">
        <f>+IFERROR(VALUE(MID(AB2467,4,4)),"")</f>
        <v/>
      </c>
      <c r="B2467" s="204">
        <f>VALUE(RIGHT(C2467,LEN(C2467)-2))</f>
        <v>263</v>
      </c>
      <c r="C2467" s="74" t="s">
        <v>8378</v>
      </c>
      <c r="D2467" s="75">
        <v>44229</v>
      </c>
      <c r="E2467" s="70" t="s">
        <v>53</v>
      </c>
      <c r="F2467" s="70" t="s">
        <v>460</v>
      </c>
      <c r="G2467" s="68"/>
      <c r="H2467" s="59"/>
      <c r="I2467" s="162" t="s">
        <v>8379</v>
      </c>
      <c r="J2467" s="162"/>
      <c r="K2467" s="68" t="s">
        <v>12</v>
      </c>
      <c r="L2467" s="69" t="s">
        <v>123</v>
      </c>
      <c r="M2467" s="71" t="s">
        <v>141</v>
      </c>
      <c r="N2467" s="69" t="e" vm="1">
        <v>#VALUE!</v>
      </c>
      <c r="O2467" s="164"/>
      <c r="P2467" s="72" t="s">
        <v>4567</v>
      </c>
      <c r="Q2467" s="72"/>
      <c r="R2467" s="162"/>
      <c r="S2467" s="146" t="s">
        <v>8380</v>
      </c>
      <c r="T2467" s="68" t="s">
        <v>155</v>
      </c>
      <c r="U2467" s="87"/>
      <c r="V2467" s="183"/>
      <c r="W2467" s="73"/>
      <c r="X2467" s="73"/>
      <c r="Y2467" s="73" t="str">
        <f>IF(SUM(W2467:W2467)&gt;0,X2467/SUM(W2467:W2467)*1000000,"N/A")</f>
        <v>N/A</v>
      </c>
      <c r="Z2467" s="183"/>
      <c r="AA2467" s="183"/>
      <c r="AB2467" s="223"/>
      <c r="AC2467" s="153"/>
      <c r="AD2467" s="331"/>
      <c r="AE2467" s="57"/>
      <c r="AF2467" s="88"/>
      <c r="AG2467" s="182">
        <f>YEAR(D2467)</f>
        <v>2021</v>
      </c>
      <c r="AH2467" s="86" t="str">
        <f>+IF(AE2467=$AJ$22,MONTH(T2467),"")</f>
        <v/>
      </c>
      <c r="AI2467" s="86" t="str">
        <f>+IF(AF2467=$AJ$22,MONTH(U2467),"")</f>
        <v/>
      </c>
      <c r="AJ2467" s="86" t="str">
        <f>+IF(AG2467=$AJ$22,MONTH(V2467),"")</f>
        <v/>
      </c>
      <c r="AK2467" s="86" t="str">
        <f>+IF(AG2467=$AK$22,MONTH(V2467),"")</f>
        <v/>
      </c>
      <c r="AL2467" s="86" t="str">
        <f>+IF(AG2467=$AL$22,MONTH(V2467),"")</f>
        <v/>
      </c>
      <c r="AM2467" s="86">
        <f>+IF($AG2467=$AM$22,MONTH($D2467),"")</f>
        <v>2</v>
      </c>
      <c r="AN2467" s="89" t="str">
        <f>+IF($AG2467=AN$22,MONTH($D2467),"")</f>
        <v/>
      </c>
      <c r="AO2467" s="89" t="str">
        <f>+IF($AG2467=AO$22,MONTH($D2467),"")</f>
        <v/>
      </c>
      <c r="AP2467" s="89" t="str">
        <f>+IF($AG2467=AP$22,MONTH($D2467),"")</f>
        <v/>
      </c>
      <c r="AQ2467" s="89" t="str">
        <f>+IF($AG2467=AQ$22,MONTH($D2467),"")</f>
        <v/>
      </c>
      <c r="AR2467" s="89" t="str">
        <f>+IF($AG2467=AR$22,MONTH($D2467),"")</f>
        <v/>
      </c>
      <c r="AS2467" s="89" t="str">
        <f>+IF($AG2467=AS$22,MONTH($D2467),"")</f>
        <v/>
      </c>
      <c r="AT2467" s="89" t="str">
        <f>+IF($AG2467=AT$22,MONTH($D2467),"")</f>
        <v/>
      </c>
      <c r="AU2467" s="89" t="str">
        <f>+IF($AG2467=AU$22,MONTH($D2467),"")</f>
        <v/>
      </c>
      <c r="AV2467" s="89" t="str">
        <f>+IF($AG2467=AV$22,MONTH($D2467),"")</f>
        <v/>
      </c>
      <c r="AW2467" s="86"/>
      <c r="AX2467" s="86"/>
      <c r="AY2467" s="89"/>
      <c r="AZ2467" s="89"/>
      <c r="BA2467" s="89"/>
      <c r="BB2467" s="89"/>
      <c r="BC2467" s="89"/>
      <c r="BD2467" s="89"/>
      <c r="BE2467" s="89"/>
      <c r="BF2467" s="89"/>
      <c r="BG2467" s="89"/>
      <c r="BH2467" s="89"/>
      <c r="BI2467" s="89"/>
      <c r="BJ2467" s="89"/>
      <c r="BK2467" s="89"/>
      <c r="BL2467" s="89"/>
      <c r="BM2467" s="89"/>
      <c r="BN2467" s="89"/>
      <c r="BO2467" s="89"/>
      <c r="BP2467" s="89"/>
    </row>
    <row r="2468" spans="1:68" s="56" customFormat="1" ht="19.5" hidden="1" customHeight="1">
      <c r="A2468" s="204" t="str">
        <f>+IFERROR(VALUE(MID(AB2468,4,4)),"")</f>
        <v/>
      </c>
      <c r="B2468" s="204">
        <f>VALUE(RIGHT(C2468,LEN(C2468)-2))</f>
        <v>263</v>
      </c>
      <c r="C2468" s="74" t="s">
        <v>8381</v>
      </c>
      <c r="D2468" s="75">
        <v>41716</v>
      </c>
      <c r="E2468" s="70" t="s">
        <v>3741</v>
      </c>
      <c r="F2468" s="70" t="s">
        <v>460</v>
      </c>
      <c r="G2468" s="68" t="s">
        <v>8382</v>
      </c>
      <c r="H2468" s="59"/>
      <c r="I2468" s="162" t="s">
        <v>8383</v>
      </c>
      <c r="J2468" s="162"/>
      <c r="K2468" s="68" t="s">
        <v>12</v>
      </c>
      <c r="L2468" s="69" t="s">
        <v>120</v>
      </c>
      <c r="M2468" s="71" t="s">
        <v>141</v>
      </c>
      <c r="N2468" s="69" t="e" vm="1">
        <v>#VALUE!</v>
      </c>
      <c r="O2468" s="164">
        <v>41724</v>
      </c>
      <c r="P2468" s="72" t="s">
        <v>4567</v>
      </c>
      <c r="Q2468" s="72"/>
      <c r="R2468" s="162"/>
      <c r="S2468" s="146"/>
      <c r="T2468" s="68" t="s">
        <v>165</v>
      </c>
      <c r="U2468" s="230"/>
      <c r="V2468" s="183">
        <v>41956</v>
      </c>
      <c r="W2468" s="73">
        <f>2531+2899+4919</f>
        <v>10349</v>
      </c>
      <c r="X2468" s="73">
        <f>+(85457000+99703000+165467000)/1000000</f>
        <v>350.62700000000001</v>
      </c>
      <c r="Y2468" s="73">
        <f>IF(SUM(W2468:W2468)&gt;0,X2468/SUM(W2468:W2468)*1000000,"N/A")</f>
        <v>33880.278287757268</v>
      </c>
      <c r="Z2468" s="183"/>
      <c r="AA2468" s="183"/>
      <c r="AB2468" s="223"/>
      <c r="AC2468" s="153"/>
      <c r="AD2468" s="331"/>
      <c r="AE2468" s="57"/>
      <c r="AF2468" s="88"/>
      <c r="AG2468" s="182">
        <f>YEAR(D2468)</f>
        <v>2014</v>
      </c>
      <c r="AH2468" s="86" t="str">
        <f>+IF(AE2468=$AJ$22,MONTH(T2468),"")</f>
        <v/>
      </c>
      <c r="AI2468" s="86" t="str">
        <f>+IF(AF2468=$AJ$22,MONTH(U2468),"")</f>
        <v/>
      </c>
      <c r="AJ2468" s="86" t="str">
        <f>+IF(AG2468=$AJ$22,MONTH(V2468),"")</f>
        <v/>
      </c>
      <c r="AK2468" s="86" t="str">
        <f>+IF(AG2468=$AK$22,MONTH(V2468),"")</f>
        <v/>
      </c>
      <c r="AL2468" s="86" t="str">
        <f>+IF(AG2468=$AL$22,MONTH(V2468),"")</f>
        <v/>
      </c>
      <c r="AM2468" s="86" t="str">
        <f>+IF($AG2468=$AM$22,MONTH($D2468),"")</f>
        <v/>
      </c>
      <c r="AN2468" s="89" t="str">
        <f>+IF($AG2468=AN$22,MONTH($D2468),"")</f>
        <v/>
      </c>
      <c r="AO2468" s="184" t="str">
        <f>+IF($AG2468=AO$22,MONTH($D2468),"")</f>
        <v/>
      </c>
      <c r="AP2468" s="184" t="str">
        <f>+IF($AG2468=AP$22,MONTH($D2468),"")</f>
        <v/>
      </c>
      <c r="AQ2468" s="184" t="str">
        <f>+IF($AG2468=AQ$22,MONTH($D2468),"")</f>
        <v/>
      </c>
      <c r="AR2468" s="184" t="str">
        <f>+IF($AG2468=AR$22,MONTH($D2468),"")</f>
        <v/>
      </c>
      <c r="AS2468" s="184" t="str">
        <f>+IF($AG2468=AS$22,MONTH($D2468),"")</f>
        <v/>
      </c>
      <c r="AT2468" s="86">
        <f>+IF($AG2468=AT$22,MONTH($D2468),"")</f>
        <v>3</v>
      </c>
      <c r="AU2468" s="86" t="str">
        <f>+IF($AG2468=AU$22,MONTH($D2468),"")</f>
        <v/>
      </c>
      <c r="AV2468" s="86" t="str">
        <f>+IF($AG2468=AV$22,MONTH($D2468),"")</f>
        <v/>
      </c>
      <c r="AW2468" s="86" t="str">
        <f>+IF($AG2468=AW$22,MONTH($D2468),"")</f>
        <v/>
      </c>
      <c r="AX2468" s="86" t="str">
        <f>+IF($AG2468=AX$22,MONTH($D2468),"")</f>
        <v/>
      </c>
      <c r="AY2468" s="89"/>
      <c r="AZ2468" s="89"/>
      <c r="BA2468" s="89"/>
      <c r="BB2468" s="89"/>
      <c r="BC2468" s="89"/>
      <c r="BD2468" s="89"/>
      <c r="BE2468" s="89"/>
      <c r="BF2468" s="89"/>
      <c r="BG2468" s="89"/>
      <c r="BH2468" s="89"/>
      <c r="BI2468" s="89"/>
      <c r="BJ2468" s="89"/>
      <c r="BK2468" s="89"/>
      <c r="BL2468" s="89"/>
      <c r="BM2468" s="89"/>
      <c r="BN2468" s="89"/>
      <c r="BO2468" s="89"/>
      <c r="BP2468" s="89"/>
    </row>
    <row r="2469" spans="1:68" s="56" customFormat="1" ht="19.5" hidden="1" customHeight="1">
      <c r="A2469" s="204">
        <f>+IFERROR(VALUE(MID(AB2469,4,4)),"")</f>
        <v>90</v>
      </c>
      <c r="B2469" s="204">
        <f>VALUE(RIGHT(C2469,LEN(C2469)-2))</f>
        <v>262</v>
      </c>
      <c r="C2469" s="74" t="s">
        <v>8384</v>
      </c>
      <c r="D2469" s="75">
        <v>41716</v>
      </c>
      <c r="E2469" s="70" t="s">
        <v>346</v>
      </c>
      <c r="F2469" s="70" t="s">
        <v>346</v>
      </c>
      <c r="G2469" s="68" t="s">
        <v>7922</v>
      </c>
      <c r="H2469" s="59"/>
      <c r="I2469" s="162" t="s">
        <v>8385</v>
      </c>
      <c r="J2469" s="162"/>
      <c r="K2469" s="68" t="s">
        <v>12</v>
      </c>
      <c r="L2469" s="69" t="s">
        <v>120</v>
      </c>
      <c r="M2469" s="71" t="s">
        <v>141</v>
      </c>
      <c r="N2469" s="69" t="e" vm="1">
        <v>#VALUE!</v>
      </c>
      <c r="O2469" s="164">
        <v>41717</v>
      </c>
      <c r="P2469" s="72" t="s">
        <v>402</v>
      </c>
      <c r="Q2469" s="72"/>
      <c r="R2469" s="162"/>
      <c r="S2469" s="146"/>
      <c r="T2469" s="68" t="s">
        <v>3</v>
      </c>
      <c r="U2469" s="87"/>
      <c r="V2469" s="183">
        <v>41717</v>
      </c>
      <c r="W2469" s="73">
        <v>462</v>
      </c>
      <c r="X2469" s="73">
        <v>16.945</v>
      </c>
      <c r="Y2469" s="73">
        <f>IF(SUM(W2469:W2469)&gt;0,X2469/SUM(W2469:W2469)*1000000,"N/A")</f>
        <v>36677.48917748918</v>
      </c>
      <c r="Z2469" s="183"/>
      <c r="AA2469" s="183"/>
      <c r="AB2469" s="223" t="s">
        <v>8386</v>
      </c>
      <c r="AC2469" s="153"/>
      <c r="AD2469" s="331"/>
      <c r="AE2469" s="57"/>
      <c r="AF2469" s="88"/>
      <c r="AG2469" s="182">
        <f>YEAR(D2469)</f>
        <v>2014</v>
      </c>
      <c r="AH2469" s="86" t="str">
        <f>+IF(AE2469=$AJ$22,MONTH(T2469),"")</f>
        <v/>
      </c>
      <c r="AI2469" s="86" t="str">
        <f>+IF(AF2469=$AJ$22,MONTH(U2469),"")</f>
        <v/>
      </c>
      <c r="AJ2469" s="86" t="str">
        <f>+IF(AG2469=$AJ$22,MONTH(V2469),"")</f>
        <v/>
      </c>
      <c r="AK2469" s="86" t="str">
        <f>+IF(AG2469=$AK$22,MONTH(V2469),"")</f>
        <v/>
      </c>
      <c r="AL2469" s="86" t="str">
        <f>+IF(AG2469=$AL$22,MONTH(V2469),"")</f>
        <v/>
      </c>
      <c r="AM2469" s="86" t="str">
        <f>+IF($AG2469=$AM$22,MONTH($D2469),"")</f>
        <v/>
      </c>
      <c r="AN2469" s="89" t="str">
        <f>+IF($AG2469=AN$22,MONTH($D2469),"")</f>
        <v/>
      </c>
      <c r="AO2469" s="86" t="str">
        <f>+IF($AG2469=AO$22,MONTH($D2469),"")</f>
        <v/>
      </c>
      <c r="AP2469" s="86" t="str">
        <f>+IF($AG2469=AP$22,MONTH($D2469),"")</f>
        <v/>
      </c>
      <c r="AQ2469" s="86" t="str">
        <f>+IF($AG2469=AQ$22,MONTH($D2469),"")</f>
        <v/>
      </c>
      <c r="AR2469" s="86" t="str">
        <f>+IF($AG2469=AR$22,MONTH($D2469),"")</f>
        <v/>
      </c>
      <c r="AS2469" s="86" t="str">
        <f>+IF($AG2469=AS$22,MONTH($D2469),"")</f>
        <v/>
      </c>
      <c r="AT2469" s="86">
        <f>+IF($AG2469=AT$22,MONTH($D2469),"")</f>
        <v>3</v>
      </c>
      <c r="AU2469" s="86" t="str">
        <f>+IF($AG2469=AU$22,MONTH($D2469),"")</f>
        <v/>
      </c>
      <c r="AV2469" s="86" t="str">
        <f>+IF($AG2469=AV$22,MONTH($D2469),"")</f>
        <v/>
      </c>
      <c r="AW2469" s="86" t="str">
        <f>+IF($AG2469=AW$22,MONTH($D2469),"")</f>
        <v/>
      </c>
      <c r="AX2469" s="86" t="str">
        <f>+IF($AG2469=AX$22,MONTH($D2469),"")</f>
        <v/>
      </c>
      <c r="AY2469" s="89"/>
      <c r="AZ2469" s="89"/>
      <c r="BA2469" s="89"/>
      <c r="BB2469" s="89"/>
      <c r="BC2469" s="89"/>
      <c r="BD2469" s="89"/>
      <c r="BE2469" s="89"/>
      <c r="BF2469" s="89"/>
      <c r="BG2469" s="89"/>
      <c r="BH2469" s="89"/>
      <c r="BI2469" s="89"/>
      <c r="BJ2469" s="89"/>
      <c r="BK2469" s="89"/>
      <c r="BL2469" s="89"/>
      <c r="BM2469" s="89"/>
      <c r="BN2469" s="89"/>
      <c r="BO2469" s="89"/>
      <c r="BP2469" s="89"/>
    </row>
    <row r="2470" spans="1:68" s="56" customFormat="1" ht="30" hidden="1" customHeight="1">
      <c r="A2470" s="204">
        <f>+IFERROR(VALUE(MID(AB2470,4,4)),"")</f>
        <v>100</v>
      </c>
      <c r="B2470" s="204">
        <f>VALUE(RIGHT(C2470,LEN(C2470)-2))</f>
        <v>261</v>
      </c>
      <c r="C2470" s="74" t="s">
        <v>8387</v>
      </c>
      <c r="D2470" s="75">
        <v>41709</v>
      </c>
      <c r="E2470" s="70" t="s">
        <v>346</v>
      </c>
      <c r="F2470" s="70" t="s">
        <v>346</v>
      </c>
      <c r="G2470" s="68" t="s">
        <v>7922</v>
      </c>
      <c r="H2470" s="59"/>
      <c r="I2470" s="162" t="s">
        <v>8388</v>
      </c>
      <c r="J2470" s="162"/>
      <c r="K2470" s="68" t="s">
        <v>11</v>
      </c>
      <c r="L2470" s="69" t="s">
        <v>120</v>
      </c>
      <c r="M2470" s="71" t="s">
        <v>141</v>
      </c>
      <c r="N2470" s="69" t="e" vm="1">
        <v>#VALUE!</v>
      </c>
      <c r="O2470" s="164">
        <v>41737</v>
      </c>
      <c r="P2470" s="72" t="s">
        <v>402</v>
      </c>
      <c r="Q2470" s="72"/>
      <c r="R2470" s="162"/>
      <c r="S2470" s="146" t="s">
        <v>8389</v>
      </c>
      <c r="T2470" s="68" t="s">
        <v>3</v>
      </c>
      <c r="U2470" s="87"/>
      <c r="V2470" s="183">
        <v>41740</v>
      </c>
      <c r="W2470" s="73">
        <v>3519</v>
      </c>
      <c r="X2470" s="73">
        <f>125335881/1000000</f>
        <v>125.335881</v>
      </c>
      <c r="Y2470" s="73">
        <f>IF(SUM(W2470:W2470)&gt;0,X2470/SUM(W2470:W2470)*1000000,"N/A")</f>
        <v>35616.902813299232</v>
      </c>
      <c r="Z2470" s="183"/>
      <c r="AA2470" s="183"/>
      <c r="AB2470" s="223" t="s">
        <v>8390</v>
      </c>
      <c r="AC2470" s="153"/>
      <c r="AD2470" s="331"/>
      <c r="AE2470" s="57"/>
      <c r="AF2470" s="88" t="s">
        <v>8391</v>
      </c>
      <c r="AG2470" s="182">
        <f>YEAR(D2470)</f>
        <v>2014</v>
      </c>
      <c r="AH2470" s="86" t="str">
        <f>+IF(AE2470=$AJ$22,MONTH(T2470),"")</f>
        <v/>
      </c>
      <c r="AI2470" s="86" t="str">
        <f>+IF(AF2470=$AJ$22,MONTH(U2470),"")</f>
        <v/>
      </c>
      <c r="AJ2470" s="86" t="str">
        <f>+IF(AG2470=$AJ$22,MONTH(V2470),"")</f>
        <v/>
      </c>
      <c r="AK2470" s="86" t="str">
        <f>+IF(AG2470=$AK$22,MONTH(V2470),"")</f>
        <v/>
      </c>
      <c r="AL2470" s="86" t="str">
        <f>+IF(AG2470=$AL$22,MONTH(V2470),"")</f>
        <v/>
      </c>
      <c r="AM2470" s="86" t="str">
        <f>+IF($AG2470=$AM$22,MONTH($D2470),"")</f>
        <v/>
      </c>
      <c r="AN2470" s="89" t="str">
        <f>+IF($AG2470=AN$22,MONTH($D2470),"")</f>
        <v/>
      </c>
      <c r="AO2470" s="86" t="str">
        <f>+IF($AG2470=AO$22,MONTH($D2470),"")</f>
        <v/>
      </c>
      <c r="AP2470" s="86" t="str">
        <f>+IF($AG2470=AP$22,MONTH($D2470),"")</f>
        <v/>
      </c>
      <c r="AQ2470" s="86" t="str">
        <f>+IF($AG2470=AQ$22,MONTH($D2470),"")</f>
        <v/>
      </c>
      <c r="AR2470" s="86" t="str">
        <f>+IF($AG2470=AR$22,MONTH($D2470),"")</f>
        <v/>
      </c>
      <c r="AS2470" s="86" t="str">
        <f>+IF($AG2470=AS$22,MONTH($D2470),"")</f>
        <v/>
      </c>
      <c r="AT2470" s="86">
        <f>+IF($AG2470=AT$22,MONTH($D2470),"")</f>
        <v>3</v>
      </c>
      <c r="AU2470" s="86" t="str">
        <f>+IF($AG2470=AU$22,MONTH($D2470),"")</f>
        <v/>
      </c>
      <c r="AV2470" s="86" t="str">
        <f>+IF($AG2470=AV$22,MONTH($D2470),"")</f>
        <v/>
      </c>
      <c r="AW2470" s="86" t="str">
        <f>+IF($AG2470=AW$22,MONTH($D2470),"")</f>
        <v/>
      </c>
      <c r="AX2470" s="86" t="str">
        <f>+IF($AG2470=AX$22,MONTH($D2470),"")</f>
        <v/>
      </c>
      <c r="AY2470" s="89"/>
      <c r="AZ2470" s="89"/>
      <c r="BA2470" s="89"/>
      <c r="BB2470" s="89"/>
      <c r="BC2470" s="89"/>
      <c r="BD2470" s="89"/>
      <c r="BE2470" s="89"/>
      <c r="BF2470" s="89"/>
      <c r="BG2470" s="89"/>
      <c r="BH2470" s="89"/>
      <c r="BI2470" s="89"/>
      <c r="BJ2470" s="89"/>
      <c r="BK2470" s="89"/>
      <c r="BL2470" s="89"/>
      <c r="BM2470" s="89"/>
      <c r="BN2470" s="89"/>
      <c r="BO2470" s="89"/>
      <c r="BP2470" s="89"/>
    </row>
    <row r="2471" spans="1:68" s="56" customFormat="1" ht="19.5" hidden="1" customHeight="1">
      <c r="A2471" s="204" t="str">
        <f>+IFERROR(VALUE(MID(AB2471,4,4)),"")</f>
        <v/>
      </c>
      <c r="B2471" s="204">
        <f>VALUE(RIGHT(C2471,LEN(C2471)-2))</f>
        <v>260</v>
      </c>
      <c r="C2471" s="74" t="s">
        <v>8392</v>
      </c>
      <c r="D2471" s="75">
        <v>41708</v>
      </c>
      <c r="E2471" s="70" t="s">
        <v>1321</v>
      </c>
      <c r="F2471" s="70" t="s">
        <v>8393</v>
      </c>
      <c r="G2471" s="68" t="s">
        <v>1322</v>
      </c>
      <c r="H2471" s="59"/>
      <c r="I2471" s="162" t="s">
        <v>8394</v>
      </c>
      <c r="J2471" s="162"/>
      <c r="K2471" s="68" t="s">
        <v>11</v>
      </c>
      <c r="L2471" s="69" t="s">
        <v>123</v>
      </c>
      <c r="M2471" s="81" t="s">
        <v>141</v>
      </c>
      <c r="N2471" s="69" t="e" vm="1">
        <v>#VALUE!</v>
      </c>
      <c r="O2471" s="164">
        <v>41719</v>
      </c>
      <c r="P2471" s="72" t="s">
        <v>4567</v>
      </c>
      <c r="Q2471" s="72"/>
      <c r="R2471" s="162"/>
      <c r="S2471" s="146" t="s">
        <v>8395</v>
      </c>
      <c r="T2471" s="68" t="s">
        <v>165</v>
      </c>
      <c r="U2471" s="87"/>
      <c r="V2471" s="183">
        <v>41737</v>
      </c>
      <c r="W2471" s="73">
        <v>2732</v>
      </c>
      <c r="X2471" s="73">
        <f>4326*23500/1000000</f>
        <v>101.661</v>
      </c>
      <c r="Y2471" s="73">
        <f>IF(SUM(W2471:W2471)&gt;0,X2471/SUM(W2471:W2471)*1000000,"N/A")</f>
        <v>37211.200585651539</v>
      </c>
      <c r="Z2471" s="183"/>
      <c r="AA2471" s="183"/>
      <c r="AB2471" s="223"/>
      <c r="AC2471" s="153"/>
      <c r="AD2471" s="331"/>
      <c r="AE2471" s="57"/>
      <c r="AF2471" s="88"/>
      <c r="AG2471" s="182">
        <f>YEAR(D2471)</f>
        <v>2014</v>
      </c>
      <c r="AH2471" s="86" t="str">
        <f>+IF(AE2471=$AJ$22,MONTH(T2471),"")</f>
        <v/>
      </c>
      <c r="AI2471" s="86" t="str">
        <f>+IF(AF2471=$AJ$22,MONTH(U2471),"")</f>
        <v/>
      </c>
      <c r="AJ2471" s="86" t="str">
        <f>+IF(AG2471=$AJ$22,MONTH(V2471),"")</f>
        <v/>
      </c>
      <c r="AK2471" s="86" t="str">
        <f>+IF(AG2471=$AK$22,MONTH(V2471),"")</f>
        <v/>
      </c>
      <c r="AL2471" s="86" t="str">
        <f>+IF(AG2471=$AL$22,MONTH(V2471),"")</f>
        <v/>
      </c>
      <c r="AM2471" s="86" t="str">
        <f>+IF($AG2471=$AM$22,MONTH($D2471),"")</f>
        <v/>
      </c>
      <c r="AN2471" s="89" t="str">
        <f>+IF($AG2471=AN$22,MONTH($D2471),"")</f>
        <v/>
      </c>
      <c r="AO2471" s="184" t="str">
        <f>+IF($AG2471=AO$22,MONTH($D2471),"")</f>
        <v/>
      </c>
      <c r="AP2471" s="184" t="str">
        <f>+IF($AG2471=AP$22,MONTH($D2471),"")</f>
        <v/>
      </c>
      <c r="AQ2471" s="184" t="str">
        <f>+IF($AG2471=AQ$22,MONTH($D2471),"")</f>
        <v/>
      </c>
      <c r="AR2471" s="184" t="str">
        <f>+IF($AG2471=AR$22,MONTH($D2471),"")</f>
        <v/>
      </c>
      <c r="AS2471" s="184" t="str">
        <f>+IF($AG2471=AS$22,MONTH($D2471),"")</f>
        <v/>
      </c>
      <c r="AT2471" s="86">
        <f>+IF($AG2471=AT$22,MONTH($D2471),"")</f>
        <v>3</v>
      </c>
      <c r="AU2471" s="86" t="str">
        <f>+IF($AG2471=AU$22,MONTH($D2471),"")</f>
        <v/>
      </c>
      <c r="AV2471" s="86" t="str">
        <f>+IF($AG2471=AV$22,MONTH($D2471),"")</f>
        <v/>
      </c>
      <c r="AW2471" s="86" t="str">
        <f>+IF($AG2471=AW$22,MONTH($D2471),"")</f>
        <v/>
      </c>
      <c r="AX2471" s="86" t="str">
        <f>+IF($AG2471=AX$22,MONTH($D2471),"")</f>
        <v/>
      </c>
      <c r="AY2471" s="89"/>
      <c r="AZ2471" s="89"/>
      <c r="BA2471" s="89"/>
      <c r="BB2471" s="89"/>
      <c r="BC2471" s="89"/>
      <c r="BD2471" s="89"/>
      <c r="BE2471" s="89"/>
      <c r="BF2471" s="89"/>
      <c r="BG2471" s="89"/>
      <c r="BH2471" s="89"/>
      <c r="BI2471" s="89"/>
      <c r="BJ2471" s="89"/>
      <c r="BK2471" s="89"/>
      <c r="BL2471" s="89"/>
      <c r="BM2471" s="89"/>
      <c r="BN2471" s="89"/>
      <c r="BO2471" s="89"/>
      <c r="BP2471" s="89"/>
    </row>
    <row r="2472" spans="1:68" s="56" customFormat="1" ht="19.5" hidden="1" customHeight="1">
      <c r="A2472" s="204" t="str">
        <f>+IFERROR(VALUE(MID(AB2472,4,4)),"")</f>
        <v/>
      </c>
      <c r="B2472" s="204">
        <f>VALUE(RIGHT(C2472,LEN(C2472)-2))</f>
        <v>259</v>
      </c>
      <c r="C2472" s="74" t="s">
        <v>8396</v>
      </c>
      <c r="D2472" s="75">
        <v>41694</v>
      </c>
      <c r="E2472" s="70" t="s">
        <v>848</v>
      </c>
      <c r="F2472" s="70" t="s">
        <v>848</v>
      </c>
      <c r="G2472" s="68" t="s">
        <v>8397</v>
      </c>
      <c r="H2472" s="59"/>
      <c r="I2472" s="162" t="s">
        <v>8398</v>
      </c>
      <c r="J2472" s="162"/>
      <c r="K2472" s="68" t="s">
        <v>45</v>
      </c>
      <c r="L2472" s="69" t="s">
        <v>120</v>
      </c>
      <c r="M2472" s="69" t="s">
        <v>141</v>
      </c>
      <c r="N2472" s="69" t="e" vm="1">
        <v>#VALUE!</v>
      </c>
      <c r="O2472" s="164">
        <v>41696</v>
      </c>
      <c r="P2472" s="72" t="s">
        <v>4567</v>
      </c>
      <c r="Q2472" s="72"/>
      <c r="R2472" s="162"/>
      <c r="S2472" s="146"/>
      <c r="T2472" s="68" t="s">
        <v>165</v>
      </c>
      <c r="U2472" s="87"/>
      <c r="V2472" s="183">
        <v>41696</v>
      </c>
      <c r="W2472" s="73">
        <v>90</v>
      </c>
      <c r="X2472" s="73">
        <v>6.2275</v>
      </c>
      <c r="Y2472" s="73">
        <f>IF(SUM(W2472:W2472)&gt;0,X2472/SUM(W2472:W2472)*1000000,"N/A")</f>
        <v>69194.444444444453</v>
      </c>
      <c r="Z2472" s="183"/>
      <c r="AA2472" s="183"/>
      <c r="AB2472" s="223"/>
      <c r="AC2472" s="153"/>
      <c r="AD2472" s="331"/>
      <c r="AE2472" s="57"/>
      <c r="AF2472" s="88" t="s">
        <v>8391</v>
      </c>
      <c r="AG2472" s="182">
        <f>YEAR(D2472)</f>
        <v>2014</v>
      </c>
      <c r="AH2472" s="86" t="str">
        <f>+IF(AE2472=$AJ$22,MONTH(T2472),"")</f>
        <v/>
      </c>
      <c r="AI2472" s="86" t="str">
        <f>+IF(AF2472=$AJ$22,MONTH(U2472),"")</f>
        <v/>
      </c>
      <c r="AJ2472" s="86" t="str">
        <f>+IF(AG2472=$AJ$22,MONTH(V2472),"")</f>
        <v/>
      </c>
      <c r="AK2472" s="86" t="str">
        <f>+IF(AG2472=$AK$22,MONTH(V2472),"")</f>
        <v/>
      </c>
      <c r="AL2472" s="86" t="str">
        <f>+IF(AG2472=$AL$22,MONTH(V2472),"")</f>
        <v/>
      </c>
      <c r="AM2472" s="86" t="str">
        <f>+IF($AG2472=$AM$22,MONTH($D2472),"")</f>
        <v/>
      </c>
      <c r="AN2472" s="89" t="str">
        <f>+IF($AG2472=AN$22,MONTH($D2472),"")</f>
        <v/>
      </c>
      <c r="AO2472" s="184" t="str">
        <f>+IF($AG2472=AO$22,MONTH($D2472),"")</f>
        <v/>
      </c>
      <c r="AP2472" s="184" t="str">
        <f>+IF($AG2472=AP$22,MONTH($D2472),"")</f>
        <v/>
      </c>
      <c r="AQ2472" s="184" t="str">
        <f>+IF($AG2472=AQ$22,MONTH($D2472),"")</f>
        <v/>
      </c>
      <c r="AR2472" s="184" t="str">
        <f>+IF($AG2472=AR$22,MONTH($D2472),"")</f>
        <v/>
      </c>
      <c r="AS2472" s="184" t="str">
        <f>+IF($AG2472=AS$22,MONTH($D2472),"")</f>
        <v/>
      </c>
      <c r="AT2472" s="86">
        <f>+IF($AG2472=AT$22,MONTH($D2472),"")</f>
        <v>2</v>
      </c>
      <c r="AU2472" s="86" t="str">
        <f>+IF($AG2472=AU$22,MONTH($D2472),"")</f>
        <v/>
      </c>
      <c r="AV2472" s="86" t="str">
        <f>+IF($AG2472=AV$22,MONTH($D2472),"")</f>
        <v/>
      </c>
      <c r="AW2472" s="86" t="str">
        <f>+IF($AG2472=AW$22,MONTH($D2472),"")</f>
        <v/>
      </c>
      <c r="AX2472" s="86" t="str">
        <f>+IF($AG2472=AX$22,MONTH($D2472),"")</f>
        <v/>
      </c>
      <c r="AY2472" s="89"/>
      <c r="AZ2472" s="89"/>
      <c r="BA2472" s="89"/>
      <c r="BB2472" s="89"/>
      <c r="BC2472" s="89"/>
      <c r="BD2472" s="89"/>
      <c r="BE2472" s="89"/>
      <c r="BF2472" s="89"/>
      <c r="BG2472" s="89"/>
      <c r="BH2472" s="89"/>
      <c r="BI2472" s="89"/>
      <c r="BJ2472" s="89"/>
      <c r="BK2472" s="89"/>
      <c r="BL2472" s="89"/>
      <c r="BM2472" s="89"/>
      <c r="BN2472" s="89"/>
      <c r="BO2472" s="89"/>
      <c r="BP2472" s="89"/>
    </row>
    <row r="2473" spans="1:68" s="56" customFormat="1" ht="19.5" hidden="1" customHeight="1">
      <c r="A2473" s="204" t="str">
        <f>+IFERROR(VALUE(MID(AB2473,4,4)),"")</f>
        <v/>
      </c>
      <c r="B2473" s="204">
        <f>VALUE(RIGHT(C2473,LEN(C2473)-2))</f>
        <v>258</v>
      </c>
      <c r="C2473" s="74" t="s">
        <v>8399</v>
      </c>
      <c r="D2473" s="75">
        <v>41694</v>
      </c>
      <c r="E2473" s="70" t="s">
        <v>848</v>
      </c>
      <c r="F2473" s="70" t="s">
        <v>848</v>
      </c>
      <c r="G2473" s="68" t="s">
        <v>8397</v>
      </c>
      <c r="H2473" s="59"/>
      <c r="I2473" s="162" t="s">
        <v>8400</v>
      </c>
      <c r="J2473" s="162"/>
      <c r="K2473" s="68" t="s">
        <v>45</v>
      </c>
      <c r="L2473" s="69" t="s">
        <v>120</v>
      </c>
      <c r="M2473" s="69" t="s">
        <v>141</v>
      </c>
      <c r="N2473" s="69" t="e" vm="1">
        <v>#VALUE!</v>
      </c>
      <c r="O2473" s="164">
        <v>41696</v>
      </c>
      <c r="P2473" s="72" t="s">
        <v>4567</v>
      </c>
      <c r="Q2473" s="72"/>
      <c r="R2473" s="162"/>
      <c r="S2473" s="146"/>
      <c r="T2473" s="68" t="s">
        <v>165</v>
      </c>
      <c r="U2473" s="87"/>
      <c r="V2473" s="183">
        <v>41696</v>
      </c>
      <c r="W2473" s="73">
        <v>160</v>
      </c>
      <c r="X2473" s="73">
        <v>11.1625</v>
      </c>
      <c r="Y2473" s="73">
        <f>IF(SUM(W2473:W2473)&gt;0,X2473/SUM(W2473:W2473)*1000000,"N/A")</f>
        <v>69765.625</v>
      </c>
      <c r="Z2473" s="183"/>
      <c r="AA2473" s="183"/>
      <c r="AB2473" s="223"/>
      <c r="AC2473" s="153"/>
      <c r="AD2473" s="331"/>
      <c r="AE2473" s="57"/>
      <c r="AF2473" s="88"/>
      <c r="AG2473" s="182">
        <f>YEAR(D2473)</f>
        <v>2014</v>
      </c>
      <c r="AH2473" s="86" t="str">
        <f>+IF(AE2473=$AJ$22,MONTH(T2473),"")</f>
        <v/>
      </c>
      <c r="AI2473" s="86" t="str">
        <f>+IF(AF2473=$AJ$22,MONTH(U2473),"")</f>
        <v/>
      </c>
      <c r="AJ2473" s="86" t="str">
        <f>+IF(AG2473=$AJ$22,MONTH(V2473),"")</f>
        <v/>
      </c>
      <c r="AK2473" s="86" t="str">
        <f>+IF(AG2473=$AK$22,MONTH(V2473),"")</f>
        <v/>
      </c>
      <c r="AL2473" s="86" t="str">
        <f>+IF(AG2473=$AL$22,MONTH(V2473),"")</f>
        <v/>
      </c>
      <c r="AM2473" s="86" t="str">
        <f>+IF($AG2473=$AM$22,MONTH($D2473),"")</f>
        <v/>
      </c>
      <c r="AN2473" s="89" t="str">
        <f>+IF($AG2473=AN$22,MONTH($D2473),"")</f>
        <v/>
      </c>
      <c r="AO2473" s="184" t="str">
        <f>+IF($AG2473=AO$22,MONTH($D2473),"")</f>
        <v/>
      </c>
      <c r="AP2473" s="184" t="str">
        <f>+IF($AG2473=AP$22,MONTH($D2473),"")</f>
        <v/>
      </c>
      <c r="AQ2473" s="184" t="str">
        <f>+IF($AG2473=AQ$22,MONTH($D2473),"")</f>
        <v/>
      </c>
      <c r="AR2473" s="184" t="str">
        <f>+IF($AG2473=AR$22,MONTH($D2473),"")</f>
        <v/>
      </c>
      <c r="AS2473" s="184" t="str">
        <f>+IF($AG2473=AS$22,MONTH($D2473),"")</f>
        <v/>
      </c>
      <c r="AT2473" s="86">
        <f>+IF($AG2473=AT$22,MONTH($D2473),"")</f>
        <v>2</v>
      </c>
      <c r="AU2473" s="86" t="str">
        <f>+IF($AG2473=AU$22,MONTH($D2473),"")</f>
        <v/>
      </c>
      <c r="AV2473" s="86" t="str">
        <f>+IF($AG2473=AV$22,MONTH($D2473),"")</f>
        <v/>
      </c>
      <c r="AW2473" s="86" t="str">
        <f>+IF($AG2473=AW$22,MONTH($D2473),"")</f>
        <v/>
      </c>
      <c r="AX2473" s="86" t="str">
        <f>+IF($AG2473=AX$22,MONTH($D2473),"")</f>
        <v/>
      </c>
      <c r="AY2473" s="89"/>
      <c r="AZ2473" s="89"/>
      <c r="BA2473" s="89"/>
      <c r="BB2473" s="89"/>
      <c r="BC2473" s="89"/>
      <c r="BD2473" s="89"/>
      <c r="BE2473" s="89"/>
      <c r="BF2473" s="89"/>
      <c r="BG2473" s="89"/>
      <c r="BH2473" s="89"/>
      <c r="BI2473" s="89"/>
      <c r="BJ2473" s="89"/>
      <c r="BK2473" s="89"/>
      <c r="BL2473" s="89"/>
      <c r="BM2473" s="89"/>
      <c r="BN2473" s="89"/>
      <c r="BO2473" s="89"/>
      <c r="BP2473" s="89"/>
    </row>
    <row r="2474" spans="1:68" s="56" customFormat="1" ht="19.5" hidden="1" customHeight="1">
      <c r="A2474" s="204" t="str">
        <f>+IFERROR(VALUE(MID(AB2474,4,4)),"")</f>
        <v/>
      </c>
      <c r="B2474" s="204">
        <f>VALUE(RIGHT(C2474,LEN(C2474)-2))</f>
        <v>257</v>
      </c>
      <c r="C2474" s="74" t="s">
        <v>8401</v>
      </c>
      <c r="D2474" s="75">
        <v>41684</v>
      </c>
      <c r="E2474" s="70" t="s">
        <v>107</v>
      </c>
      <c r="F2474" s="70" t="s">
        <v>313</v>
      </c>
      <c r="G2474" s="68" t="s">
        <v>8402</v>
      </c>
      <c r="H2474" s="59"/>
      <c r="I2474" s="162" t="s">
        <v>8403</v>
      </c>
      <c r="J2474" s="162"/>
      <c r="K2474" s="68" t="s">
        <v>13</v>
      </c>
      <c r="L2474" s="69" t="s">
        <v>120</v>
      </c>
      <c r="M2474" s="69" t="s">
        <v>141</v>
      </c>
      <c r="N2474" s="69" t="e" vm="1">
        <v>#VALUE!</v>
      </c>
      <c r="O2474" s="164">
        <v>41696</v>
      </c>
      <c r="P2474" s="72" t="s">
        <v>7372</v>
      </c>
      <c r="Q2474" s="72"/>
      <c r="R2474" s="162"/>
      <c r="S2474" s="146"/>
      <c r="T2474" s="68" t="s">
        <v>165</v>
      </c>
      <c r="U2474" s="87"/>
      <c r="V2474" s="183">
        <v>41696</v>
      </c>
      <c r="W2474" s="73">
        <v>3193</v>
      </c>
      <c r="X2474" s="73">
        <v>100.9817944845</v>
      </c>
      <c r="Y2474" s="73">
        <f>IF(SUM(W2474:W2474)&gt;0,X2474/SUM(W2474:W2474)*1000000,"N/A")</f>
        <v>31625.992635295959</v>
      </c>
      <c r="Z2474" s="183"/>
      <c r="AA2474" s="183"/>
      <c r="AB2474" s="223"/>
      <c r="AC2474" s="153"/>
      <c r="AD2474" s="331"/>
      <c r="AE2474" s="57"/>
      <c r="AF2474" s="88"/>
      <c r="AG2474" s="182">
        <f>YEAR(D2474)</f>
        <v>2014</v>
      </c>
      <c r="AH2474" s="86" t="str">
        <f>+IF(AE2474=$AJ$22,MONTH(T2474),"")</f>
        <v/>
      </c>
      <c r="AI2474" s="86" t="str">
        <f>+IF(AF2474=$AJ$22,MONTH(U2474),"")</f>
        <v/>
      </c>
      <c r="AJ2474" s="86" t="str">
        <f>+IF(AG2474=$AJ$22,MONTH(V2474),"")</f>
        <v/>
      </c>
      <c r="AK2474" s="86" t="str">
        <f>+IF(AG2474=$AK$22,MONTH(V2474),"")</f>
        <v/>
      </c>
      <c r="AL2474" s="86" t="str">
        <f>+IF(AG2474=$AL$22,MONTH(V2474),"")</f>
        <v/>
      </c>
      <c r="AM2474" s="86" t="str">
        <f>+IF($AG2474=$AM$22,MONTH($D2474),"")</f>
        <v/>
      </c>
      <c r="AN2474" s="89" t="str">
        <f>+IF($AG2474=AN$22,MONTH($D2474),"")</f>
        <v/>
      </c>
      <c r="AO2474" s="184" t="str">
        <f>+IF($AG2474=AO$22,MONTH($D2474),"")</f>
        <v/>
      </c>
      <c r="AP2474" s="184" t="str">
        <f>+IF($AG2474=AP$22,MONTH($D2474),"")</f>
        <v/>
      </c>
      <c r="AQ2474" s="184" t="str">
        <f>+IF($AG2474=AQ$22,MONTH($D2474),"")</f>
        <v/>
      </c>
      <c r="AR2474" s="184" t="str">
        <f>+IF($AG2474=AR$22,MONTH($D2474),"")</f>
        <v/>
      </c>
      <c r="AS2474" s="184" t="str">
        <f>+IF($AG2474=AS$22,MONTH($D2474),"")</f>
        <v/>
      </c>
      <c r="AT2474" s="86">
        <f>+IF($AG2474=AT$22,MONTH($D2474),"")</f>
        <v>2</v>
      </c>
      <c r="AU2474" s="86" t="str">
        <f>+IF($AG2474=AU$22,MONTH($D2474),"")</f>
        <v/>
      </c>
      <c r="AV2474" s="86" t="str">
        <f>+IF($AG2474=AV$22,MONTH($D2474),"")</f>
        <v/>
      </c>
      <c r="AW2474" s="86" t="str">
        <f>+IF($AG2474=AW$22,MONTH($D2474),"")</f>
        <v/>
      </c>
      <c r="AX2474" s="86" t="str">
        <f>+IF($AG2474=AX$22,MONTH($D2474),"")</f>
        <v/>
      </c>
      <c r="AY2474" s="89"/>
      <c r="AZ2474" s="89"/>
      <c r="BA2474" s="89"/>
      <c r="BB2474" s="89"/>
      <c r="BC2474" s="89"/>
      <c r="BD2474" s="89"/>
      <c r="BE2474" s="89"/>
      <c r="BF2474" s="89"/>
      <c r="BG2474" s="89"/>
      <c r="BH2474" s="89"/>
      <c r="BI2474" s="89"/>
      <c r="BJ2474" s="89"/>
      <c r="BK2474" s="89"/>
      <c r="BL2474" s="89"/>
      <c r="BM2474" s="89"/>
      <c r="BN2474" s="89"/>
      <c r="BO2474" s="89"/>
      <c r="BP2474" s="89"/>
    </row>
    <row r="2475" spans="1:68" s="56" customFormat="1" ht="19.5" hidden="1" customHeight="1">
      <c r="A2475" s="204">
        <f>+IFERROR(VALUE(MID(AB2475,4,4)),"")</f>
        <v>88</v>
      </c>
      <c r="B2475" s="204">
        <f>VALUE(RIGHT(C2475,LEN(C2475)-2))</f>
        <v>256</v>
      </c>
      <c r="C2475" s="74" t="s">
        <v>8404</v>
      </c>
      <c r="D2475" s="75">
        <v>41688</v>
      </c>
      <c r="E2475" s="70" t="s">
        <v>63</v>
      </c>
      <c r="F2475" s="70" t="s">
        <v>8405</v>
      </c>
      <c r="G2475" s="68" t="s">
        <v>5340</v>
      </c>
      <c r="H2475" s="59" t="s">
        <v>7971</v>
      </c>
      <c r="I2475" s="162" t="s">
        <v>8406</v>
      </c>
      <c r="J2475" s="162"/>
      <c r="K2475" s="68" t="s">
        <v>12</v>
      </c>
      <c r="L2475" s="69" t="s">
        <v>120</v>
      </c>
      <c r="M2475" s="69" t="s">
        <v>141</v>
      </c>
      <c r="N2475" s="69" t="e" vm="1">
        <v>#VALUE!</v>
      </c>
      <c r="O2475" s="164">
        <v>41688</v>
      </c>
      <c r="P2475" s="72" t="s">
        <v>4567</v>
      </c>
      <c r="Q2475" s="72"/>
      <c r="R2475" s="162"/>
      <c r="S2475" s="146"/>
      <c r="T2475" s="68" t="s">
        <v>3</v>
      </c>
      <c r="U2475" s="87"/>
      <c r="V2475" s="183">
        <v>41696</v>
      </c>
      <c r="W2475" s="73">
        <v>120</v>
      </c>
      <c r="X2475" s="73">
        <f>175*23500/1000000</f>
        <v>4.1124999999999998</v>
      </c>
      <c r="Y2475" s="73">
        <f>IF(SUM(W2475:W2475)&gt;0,X2475/SUM(W2475:W2475)*1000000,"N/A")</f>
        <v>34270.833333333336</v>
      </c>
      <c r="Z2475" s="183"/>
      <c r="AA2475" s="183"/>
      <c r="AB2475" s="223" t="s">
        <v>8407</v>
      </c>
      <c r="AC2475" s="153"/>
      <c r="AD2475" s="331"/>
      <c r="AE2475" s="57"/>
      <c r="AF2475" s="88"/>
      <c r="AG2475" s="182">
        <f>YEAR(D2475)</f>
        <v>2014</v>
      </c>
      <c r="AH2475" s="86" t="str">
        <f>+IF(AE2475=$AJ$22,MONTH(T2475),"")</f>
        <v/>
      </c>
      <c r="AI2475" s="86" t="str">
        <f>+IF(AF2475=$AJ$22,MONTH(U2475),"")</f>
        <v/>
      </c>
      <c r="AJ2475" s="86" t="str">
        <f>+IF(AG2475=$AJ$22,MONTH(V2475),"")</f>
        <v/>
      </c>
      <c r="AK2475" s="86" t="str">
        <f>+IF(AG2475=$AK$22,MONTH(V2475),"")</f>
        <v/>
      </c>
      <c r="AL2475" s="86" t="str">
        <f>+IF(AG2475=$AL$22,MONTH(V2475),"")</f>
        <v/>
      </c>
      <c r="AM2475" s="86" t="str">
        <f>+IF($AG2475=$AM$22,MONTH($D2475),"")</f>
        <v/>
      </c>
      <c r="AN2475" s="89" t="str">
        <f>+IF($AG2475=AN$22,MONTH($D2475),"")</f>
        <v/>
      </c>
      <c r="AO2475" s="86" t="str">
        <f>+IF($AG2475=AO$22,MONTH($D2475),"")</f>
        <v/>
      </c>
      <c r="AP2475" s="86" t="str">
        <f>+IF($AG2475=AP$22,MONTH($D2475),"")</f>
        <v/>
      </c>
      <c r="AQ2475" s="86" t="str">
        <f>+IF($AG2475=AQ$22,MONTH($D2475),"")</f>
        <v/>
      </c>
      <c r="AR2475" s="86" t="str">
        <f>+IF($AG2475=AR$22,MONTH($D2475),"")</f>
        <v/>
      </c>
      <c r="AS2475" s="86" t="str">
        <f>+IF($AG2475=AS$22,MONTH($D2475),"")</f>
        <v/>
      </c>
      <c r="AT2475" s="86">
        <f>+IF($AG2475=AT$22,MONTH($D2475),"")</f>
        <v>2</v>
      </c>
      <c r="AU2475" s="86" t="str">
        <f>+IF($AG2475=AU$22,MONTH($D2475),"")</f>
        <v/>
      </c>
      <c r="AV2475" s="86" t="str">
        <f>+IF($AG2475=AV$22,MONTH($D2475),"")</f>
        <v/>
      </c>
      <c r="AW2475" s="86" t="str">
        <f>+IF($AG2475=AW$22,MONTH($D2475),"")</f>
        <v/>
      </c>
      <c r="AX2475" s="86" t="str">
        <f>+IF($AG2475=AX$22,MONTH($D2475),"")</f>
        <v/>
      </c>
      <c r="AY2475" s="89"/>
      <c r="AZ2475" s="89"/>
      <c r="BA2475" s="89"/>
      <c r="BB2475" s="89"/>
      <c r="BC2475" s="89"/>
      <c r="BD2475" s="89"/>
      <c r="BE2475" s="89"/>
      <c r="BF2475" s="89"/>
      <c r="BG2475" s="89"/>
      <c r="BH2475" s="89"/>
      <c r="BI2475" s="89"/>
      <c r="BJ2475" s="89"/>
      <c r="BK2475" s="89"/>
      <c r="BL2475" s="89"/>
      <c r="BM2475" s="89"/>
      <c r="BN2475" s="89"/>
      <c r="BO2475" s="89"/>
      <c r="BP2475" s="89"/>
    </row>
    <row r="2476" spans="1:68" s="51" customFormat="1" ht="19.5" hidden="1" customHeight="1">
      <c r="A2476" s="204" t="str">
        <f>+IFERROR(VALUE(MID(AB2476,4,4)),"")</f>
        <v/>
      </c>
      <c r="B2476" s="204">
        <f>VALUE(RIGHT(C2476,LEN(C2476)-2))</f>
        <v>255</v>
      </c>
      <c r="C2476" s="74" t="s">
        <v>8408</v>
      </c>
      <c r="D2476" s="75">
        <v>41684</v>
      </c>
      <c r="E2476" s="70" t="s">
        <v>6761</v>
      </c>
      <c r="F2476" s="70" t="s">
        <v>313</v>
      </c>
      <c r="G2476" s="68" t="s">
        <v>8409</v>
      </c>
      <c r="H2476" s="59"/>
      <c r="I2476" s="162" t="s">
        <v>8403</v>
      </c>
      <c r="J2476" s="272"/>
      <c r="K2476" s="71" t="s">
        <v>13</v>
      </c>
      <c r="L2476" s="69" t="s">
        <v>123</v>
      </c>
      <c r="M2476" s="69" t="s">
        <v>141</v>
      </c>
      <c r="N2476" s="69" t="e" vm="1">
        <v>#VALUE!</v>
      </c>
      <c r="O2476" s="164">
        <v>41697</v>
      </c>
      <c r="P2476" s="72" t="s">
        <v>4567</v>
      </c>
      <c r="Q2476" s="72"/>
      <c r="R2476" s="162"/>
      <c r="S2476" s="146"/>
      <c r="T2476" s="68" t="s">
        <v>165</v>
      </c>
      <c r="U2476" s="87"/>
      <c r="V2476" s="183">
        <v>41702</v>
      </c>
      <c r="W2476" s="73">
        <v>3193</v>
      </c>
      <c r="X2476" s="73">
        <v>94.513740999999996</v>
      </c>
      <c r="Y2476" s="73">
        <f>IF(SUM(W2476:W2476)&gt;0,X2476/SUM(W2476:W2476)*1000000,"N/A")</f>
        <v>29600.294707171939</v>
      </c>
      <c r="Z2476" s="183"/>
      <c r="AA2476" s="183"/>
      <c r="AB2476" s="223"/>
      <c r="AC2476" s="153"/>
      <c r="AD2476" s="331"/>
      <c r="AE2476" s="57"/>
      <c r="AF2476" s="151"/>
      <c r="AG2476" s="182">
        <f>YEAR(D2476)</f>
        <v>2014</v>
      </c>
      <c r="AH2476" s="86" t="str">
        <f>+IF(AE2476=$AJ$22,MONTH(T2476),"")</f>
        <v/>
      </c>
      <c r="AI2476" s="86" t="str">
        <f>+IF(AF2476=$AJ$22,MONTH(U2476),"")</f>
        <v/>
      </c>
      <c r="AJ2476" s="86" t="str">
        <f>+IF(AG2476=$AJ$22,MONTH(V2476),"")</f>
        <v/>
      </c>
      <c r="AK2476" s="86" t="str">
        <f>+IF(AG2476=$AK$22,MONTH(V2476),"")</f>
        <v/>
      </c>
      <c r="AL2476" s="86" t="str">
        <f>+IF(AG2476=$AL$22,MONTH(V2476),"")</f>
        <v/>
      </c>
      <c r="AM2476" s="86" t="str">
        <f>+IF($AG2476=$AM$22,MONTH($D2476),"")</f>
        <v/>
      </c>
      <c r="AN2476" s="89" t="str">
        <f>+IF($AG2476=AN$22,MONTH($D2476),"")</f>
        <v/>
      </c>
      <c r="AO2476" s="184" t="str">
        <f>+IF($AG2476=AO$22,MONTH($D2476),"")</f>
        <v/>
      </c>
      <c r="AP2476" s="184" t="str">
        <f>+IF($AG2476=AP$22,MONTH($D2476),"")</f>
        <v/>
      </c>
      <c r="AQ2476" s="184" t="str">
        <f>+IF($AG2476=AQ$22,MONTH($D2476),"")</f>
        <v/>
      </c>
      <c r="AR2476" s="184" t="str">
        <f>+IF($AG2476=AR$22,MONTH($D2476),"")</f>
        <v/>
      </c>
      <c r="AS2476" s="184" t="str">
        <f>+IF($AG2476=AS$22,MONTH($D2476),"")</f>
        <v/>
      </c>
      <c r="AT2476" s="86">
        <f>+IF($AG2476=AT$22,MONTH($D2476),"")</f>
        <v>2</v>
      </c>
      <c r="AU2476" s="86" t="str">
        <f>+IF($AG2476=AU$22,MONTH($D2476),"")</f>
        <v/>
      </c>
      <c r="AV2476" s="86" t="str">
        <f>+IF($AG2476=AV$22,MONTH($D2476),"")</f>
        <v/>
      </c>
      <c r="AW2476" s="86" t="str">
        <f>+IF($AG2476=AW$22,MONTH($D2476),"")</f>
        <v/>
      </c>
      <c r="AX2476" s="86" t="str">
        <f>+IF($AG2476=AX$22,MONTH($D2476),"")</f>
        <v/>
      </c>
      <c r="AY2476" s="89"/>
      <c r="AZ2476" s="89"/>
      <c r="BA2476" s="89"/>
      <c r="BB2476" s="89"/>
      <c r="BC2476" s="89"/>
      <c r="BD2476" s="89"/>
      <c r="BE2476" s="89"/>
      <c r="BF2476" s="89"/>
      <c r="BG2476" s="89"/>
      <c r="BH2476" s="89"/>
      <c r="BI2476" s="89"/>
      <c r="BJ2476" s="182"/>
      <c r="BK2476" s="182"/>
      <c r="BL2476" s="182"/>
      <c r="BM2476" s="182"/>
      <c r="BN2476" s="182"/>
      <c r="BO2476" s="182"/>
      <c r="BP2476" s="182"/>
    </row>
    <row r="2477" spans="1:68" s="56" customFormat="1" ht="19.5" hidden="1" customHeight="1">
      <c r="A2477" s="204" t="str">
        <f>+IFERROR(VALUE(MID(AB2477,4,4)),"")</f>
        <v/>
      </c>
      <c r="B2477" s="204">
        <f>VALUE(RIGHT(C2477,LEN(C2477)-2))</f>
        <v>254</v>
      </c>
      <c r="C2477" s="74" t="s">
        <v>8410</v>
      </c>
      <c r="D2477" s="75">
        <v>41684</v>
      </c>
      <c r="E2477" s="70" t="s">
        <v>34</v>
      </c>
      <c r="F2477" s="70" t="s">
        <v>34</v>
      </c>
      <c r="G2477" s="68" t="s">
        <v>7729</v>
      </c>
      <c r="H2477" s="59"/>
      <c r="I2477" s="162" t="s">
        <v>8411</v>
      </c>
      <c r="J2477" s="162"/>
      <c r="K2477" s="68" t="s">
        <v>12</v>
      </c>
      <c r="L2477" s="69" t="s">
        <v>120</v>
      </c>
      <c r="M2477" s="69" t="s">
        <v>141</v>
      </c>
      <c r="N2477" s="69" t="e" vm="1">
        <v>#VALUE!</v>
      </c>
      <c r="O2477" s="164">
        <v>41688</v>
      </c>
      <c r="P2477" s="72" t="s">
        <v>4567</v>
      </c>
      <c r="Q2477" s="72"/>
      <c r="R2477" s="162"/>
      <c r="S2477" s="146"/>
      <c r="T2477" s="68" t="s">
        <v>165</v>
      </c>
      <c r="U2477" s="87"/>
      <c r="V2477" s="183">
        <v>41702</v>
      </c>
      <c r="W2477" s="73">
        <v>550</v>
      </c>
      <c r="X2477" s="73">
        <f>1300*23500/1000000</f>
        <v>30.55</v>
      </c>
      <c r="Y2477" s="73">
        <f>IF(SUM(W2477:W2477)&gt;0,X2477/SUM(W2477:W2477)*1000000,"N/A")</f>
        <v>55545.454545454544</v>
      </c>
      <c r="Z2477" s="183"/>
      <c r="AA2477" s="183"/>
      <c r="AB2477" s="223"/>
      <c r="AC2477" s="153"/>
      <c r="AD2477" s="331"/>
      <c r="AE2477" s="57"/>
      <c r="AF2477" s="88"/>
      <c r="AG2477" s="182">
        <f>YEAR(D2477)</f>
        <v>2014</v>
      </c>
      <c r="AH2477" s="86" t="str">
        <f>+IF(AE2477=$AJ$22,MONTH(T2477),"")</f>
        <v/>
      </c>
      <c r="AI2477" s="86" t="str">
        <f>+IF(AF2477=$AJ$22,MONTH(U2477),"")</f>
        <v/>
      </c>
      <c r="AJ2477" s="86" t="str">
        <f>+IF(AG2477=$AJ$22,MONTH(V2477),"")</f>
        <v/>
      </c>
      <c r="AK2477" s="86" t="str">
        <f>+IF(AG2477=$AK$22,MONTH(V2477),"")</f>
        <v/>
      </c>
      <c r="AL2477" s="86" t="str">
        <f>+IF(AG2477=$AL$22,MONTH(V2477),"")</f>
        <v/>
      </c>
      <c r="AM2477" s="86" t="str">
        <f>+IF($AG2477=$AM$22,MONTH($D2477),"")</f>
        <v/>
      </c>
      <c r="AN2477" s="89" t="str">
        <f>+IF($AG2477=AN$22,MONTH($D2477),"")</f>
        <v/>
      </c>
      <c r="AO2477" s="184" t="str">
        <f>+IF($AG2477=AO$22,MONTH($D2477),"")</f>
        <v/>
      </c>
      <c r="AP2477" s="184" t="str">
        <f>+IF($AG2477=AP$22,MONTH($D2477),"")</f>
        <v/>
      </c>
      <c r="AQ2477" s="184" t="str">
        <f>+IF($AG2477=AQ$22,MONTH($D2477),"")</f>
        <v/>
      </c>
      <c r="AR2477" s="184" t="str">
        <f>+IF($AG2477=AR$22,MONTH($D2477),"")</f>
        <v/>
      </c>
      <c r="AS2477" s="184" t="str">
        <f>+IF($AG2477=AS$22,MONTH($D2477),"")</f>
        <v/>
      </c>
      <c r="AT2477" s="86">
        <f>+IF($AG2477=AT$22,MONTH($D2477),"")</f>
        <v>2</v>
      </c>
      <c r="AU2477" s="86" t="str">
        <f>+IF($AG2477=AU$22,MONTH($D2477),"")</f>
        <v/>
      </c>
      <c r="AV2477" s="86" t="str">
        <f>+IF($AG2477=AV$22,MONTH($D2477),"")</f>
        <v/>
      </c>
      <c r="AW2477" s="86" t="str">
        <f>+IF($AG2477=AW$22,MONTH($D2477),"")</f>
        <v/>
      </c>
      <c r="AX2477" s="86" t="str">
        <f>+IF($AG2477=AX$22,MONTH($D2477),"")</f>
        <v/>
      </c>
      <c r="AY2477" s="89"/>
      <c r="AZ2477" s="89"/>
      <c r="BA2477" s="89"/>
      <c r="BB2477" s="89"/>
      <c r="BC2477" s="89"/>
      <c r="BD2477" s="89"/>
      <c r="BE2477" s="89"/>
      <c r="BF2477" s="89"/>
      <c r="BG2477" s="89"/>
      <c r="BH2477" s="89"/>
      <c r="BI2477" s="89"/>
      <c r="BJ2477" s="89"/>
      <c r="BK2477" s="89"/>
      <c r="BL2477" s="89"/>
      <c r="BM2477" s="89"/>
      <c r="BN2477" s="89"/>
      <c r="BO2477" s="89"/>
      <c r="BP2477" s="89"/>
    </row>
    <row r="2478" spans="1:68" s="56" customFormat="1" ht="19.5" hidden="1" customHeight="1">
      <c r="A2478" s="204" t="str">
        <f>+IFERROR(VALUE(MID(AB2478,4,4)),"")</f>
        <v/>
      </c>
      <c r="B2478" s="204">
        <f>VALUE(RIGHT(C2478,LEN(C2478)-2))</f>
        <v>253</v>
      </c>
      <c r="C2478" s="74" t="s">
        <v>8412</v>
      </c>
      <c r="D2478" s="75">
        <v>41681</v>
      </c>
      <c r="E2478" s="70" t="s">
        <v>107</v>
      </c>
      <c r="F2478" s="70" t="s">
        <v>53</v>
      </c>
      <c r="G2478" s="68" t="s">
        <v>8402</v>
      </c>
      <c r="H2478" s="59"/>
      <c r="I2478" s="162" t="s">
        <v>8413</v>
      </c>
      <c r="J2478" s="162"/>
      <c r="K2478" s="68" t="s">
        <v>25</v>
      </c>
      <c r="L2478" s="69" t="s">
        <v>120</v>
      </c>
      <c r="M2478" s="69" t="s">
        <v>141</v>
      </c>
      <c r="N2478" s="69" t="e" vm="1">
        <v>#VALUE!</v>
      </c>
      <c r="O2478" s="164">
        <v>41709</v>
      </c>
      <c r="P2478" s="72" t="s">
        <v>8414</v>
      </c>
      <c r="Q2478" s="72"/>
      <c r="R2478" s="162"/>
      <c r="S2478" s="146"/>
      <c r="T2478" s="68" t="s">
        <v>155</v>
      </c>
      <c r="U2478" s="87"/>
      <c r="V2478" s="183">
        <v>42481</v>
      </c>
      <c r="W2478" s="73"/>
      <c r="X2478" s="73"/>
      <c r="Y2478" s="73"/>
      <c r="Z2478" s="183"/>
      <c r="AA2478" s="183"/>
      <c r="AB2478" s="223"/>
      <c r="AC2478" s="153"/>
      <c r="AD2478" s="331"/>
      <c r="AE2478" s="57"/>
      <c r="AF2478" s="88"/>
      <c r="AG2478" s="182">
        <f>YEAR(D2478)</f>
        <v>2014</v>
      </c>
      <c r="AH2478" s="86" t="str">
        <f>+IF(AE2478=$AJ$22,MONTH(T2478),"")</f>
        <v/>
      </c>
      <c r="AI2478" s="86" t="str">
        <f>+IF(AF2478=$AJ$22,MONTH(U2478),"")</f>
        <v/>
      </c>
      <c r="AJ2478" s="86" t="str">
        <f>+IF(AG2478=$AJ$22,MONTH(V2478),"")</f>
        <v/>
      </c>
      <c r="AK2478" s="86" t="str">
        <f>+IF(AG2478=$AK$22,MONTH(V2478),"")</f>
        <v/>
      </c>
      <c r="AL2478" s="86" t="str">
        <f>+IF(AG2478=$AL$22,MONTH(V2478),"")</f>
        <v/>
      </c>
      <c r="AM2478" s="86" t="str">
        <f>+IF($AG2478=$AM$22,MONTH($D2478),"")</f>
        <v/>
      </c>
      <c r="AN2478" s="89" t="str">
        <f>+IF($AG2478=AN$22,MONTH($D2478),"")</f>
        <v/>
      </c>
      <c r="AO2478" s="184" t="str">
        <f>+IF($AG2478=AO$22,MONTH($D2478),"")</f>
        <v/>
      </c>
      <c r="AP2478" s="184" t="str">
        <f>+IF($AG2478=AP$22,MONTH($D2478),"")</f>
        <v/>
      </c>
      <c r="AQ2478" s="184" t="str">
        <f>+IF($AG2478=AQ$22,MONTH($D2478),"")</f>
        <v/>
      </c>
      <c r="AR2478" s="184" t="str">
        <f>+IF($AG2478=AR$22,MONTH($D2478),"")</f>
        <v/>
      </c>
      <c r="AS2478" s="184" t="str">
        <f>+IF($AG2478=AS$22,MONTH($D2478),"")</f>
        <v/>
      </c>
      <c r="AT2478" s="86">
        <f>+IF($AG2478=AT$22,MONTH($D2478),"")</f>
        <v>2</v>
      </c>
      <c r="AU2478" s="86" t="str">
        <f>+IF($AG2478=AU$22,MONTH($D2478),"")</f>
        <v/>
      </c>
      <c r="AV2478" s="86" t="str">
        <f>+IF($AG2478=AV$22,MONTH($D2478),"")</f>
        <v/>
      </c>
      <c r="AW2478" s="86" t="str">
        <f>+IF($AG2478=AW$22,MONTH($D2478),"")</f>
        <v/>
      </c>
      <c r="AX2478" s="86" t="str">
        <f>+IF($AG2478=AX$22,MONTH($D2478),"")</f>
        <v/>
      </c>
      <c r="AY2478" s="89"/>
      <c r="AZ2478" s="89"/>
      <c r="BA2478" s="89"/>
      <c r="BB2478" s="89"/>
      <c r="BC2478" s="89"/>
      <c r="BD2478" s="89"/>
      <c r="BE2478" s="89"/>
      <c r="BF2478" s="89"/>
      <c r="BG2478" s="89"/>
      <c r="BH2478" s="89"/>
      <c r="BI2478" s="89"/>
      <c r="BJ2478" s="89"/>
      <c r="BK2478" s="89"/>
      <c r="BL2478" s="89"/>
      <c r="BM2478" s="89"/>
      <c r="BN2478" s="89"/>
      <c r="BO2478" s="89"/>
      <c r="BP2478" s="89"/>
    </row>
    <row r="2479" spans="1:68" s="56" customFormat="1" ht="19.5" hidden="1" customHeight="1">
      <c r="A2479" s="204" t="str">
        <f>+IFERROR(VALUE(MID(AB2479,4,4)),"")</f>
        <v/>
      </c>
      <c r="B2479" s="204">
        <f>VALUE(RIGHT(C2479,LEN(C2479)-2))</f>
        <v>252</v>
      </c>
      <c r="C2479" s="74" t="s">
        <v>8415</v>
      </c>
      <c r="D2479" s="75">
        <v>41681</v>
      </c>
      <c r="E2479" s="70" t="s">
        <v>8359</v>
      </c>
      <c r="F2479" s="70" t="s">
        <v>313</v>
      </c>
      <c r="G2479" s="68" t="s">
        <v>8361</v>
      </c>
      <c r="H2479" s="59"/>
      <c r="I2479" s="162" t="s">
        <v>8416</v>
      </c>
      <c r="J2479" s="162"/>
      <c r="K2479" s="68" t="s">
        <v>8417</v>
      </c>
      <c r="L2479" s="69" t="s">
        <v>120</v>
      </c>
      <c r="M2479" s="69" t="s">
        <v>141</v>
      </c>
      <c r="N2479" s="69" t="e" vm="1">
        <v>#VALUE!</v>
      </c>
      <c r="O2479" s="164">
        <v>41681</v>
      </c>
      <c r="P2479" s="72" t="s">
        <v>4567</v>
      </c>
      <c r="Q2479" s="72"/>
      <c r="R2479" s="162"/>
      <c r="S2479" s="146"/>
      <c r="T2479" s="68" t="s">
        <v>165</v>
      </c>
      <c r="U2479" s="87"/>
      <c r="V2479" s="183">
        <v>41956</v>
      </c>
      <c r="W2479" s="73">
        <v>428</v>
      </c>
      <c r="X2479" s="73">
        <f>520*23400/1000000</f>
        <v>12.167999999999999</v>
      </c>
      <c r="Y2479" s="73">
        <f>IF(SUM(W2479:W2479)&gt;0,X2479/SUM(W2479:W2479)*1000000,"N/A")</f>
        <v>28429.906542056073</v>
      </c>
      <c r="Z2479" s="183"/>
      <c r="AA2479" s="183"/>
      <c r="AB2479" s="223"/>
      <c r="AC2479" s="153"/>
      <c r="AD2479" s="331"/>
      <c r="AE2479" s="57"/>
      <c r="AF2479" s="88" t="s">
        <v>8418</v>
      </c>
      <c r="AG2479" s="182">
        <f>YEAR(D2479)</f>
        <v>2014</v>
      </c>
      <c r="AH2479" s="86" t="str">
        <f>+IF(AE2479=$AJ$22,MONTH(T2479),"")</f>
        <v/>
      </c>
      <c r="AI2479" s="86" t="str">
        <f>+IF(AF2479=$AJ$22,MONTH(U2479),"")</f>
        <v/>
      </c>
      <c r="AJ2479" s="86" t="str">
        <f>+IF(AG2479=$AJ$22,MONTH(V2479),"")</f>
        <v/>
      </c>
      <c r="AK2479" s="86" t="str">
        <f>+IF(AG2479=$AK$22,MONTH(V2479),"")</f>
        <v/>
      </c>
      <c r="AL2479" s="86" t="str">
        <f>+IF(AG2479=$AL$22,MONTH(V2479),"")</f>
        <v/>
      </c>
      <c r="AM2479" s="86" t="str">
        <f>+IF($AG2479=$AM$22,MONTH($D2479),"")</f>
        <v/>
      </c>
      <c r="AN2479" s="89" t="str">
        <f>+IF($AG2479=AN$22,MONTH($D2479),"")</f>
        <v/>
      </c>
      <c r="AO2479" s="184" t="str">
        <f>+IF($AG2479=AO$22,MONTH($D2479),"")</f>
        <v/>
      </c>
      <c r="AP2479" s="184" t="str">
        <f>+IF($AG2479=AP$22,MONTH($D2479),"")</f>
        <v/>
      </c>
      <c r="AQ2479" s="184" t="str">
        <f>+IF($AG2479=AQ$22,MONTH($D2479),"")</f>
        <v/>
      </c>
      <c r="AR2479" s="184" t="str">
        <f>+IF($AG2479=AR$22,MONTH($D2479),"")</f>
        <v/>
      </c>
      <c r="AS2479" s="184" t="str">
        <f>+IF($AG2479=AS$22,MONTH($D2479),"")</f>
        <v/>
      </c>
      <c r="AT2479" s="86">
        <f>+IF($AG2479=AT$22,MONTH($D2479),"")</f>
        <v>2</v>
      </c>
      <c r="AU2479" s="86" t="str">
        <f>+IF($AG2479=AU$22,MONTH($D2479),"")</f>
        <v/>
      </c>
      <c r="AV2479" s="86" t="str">
        <f>+IF($AG2479=AV$22,MONTH($D2479),"")</f>
        <v/>
      </c>
      <c r="AW2479" s="86" t="str">
        <f>+IF($AG2479=AW$22,MONTH($D2479),"")</f>
        <v/>
      </c>
      <c r="AX2479" s="86" t="str">
        <f>+IF($AG2479=AX$22,MONTH($D2479),"")</f>
        <v/>
      </c>
      <c r="AY2479" s="89"/>
      <c r="AZ2479" s="89"/>
      <c r="BA2479" s="89"/>
      <c r="BB2479" s="89"/>
      <c r="BC2479" s="89"/>
      <c r="BD2479" s="89"/>
      <c r="BE2479" s="89"/>
      <c r="BF2479" s="89"/>
      <c r="BG2479" s="89"/>
      <c r="BH2479" s="89"/>
      <c r="BI2479" s="89"/>
      <c r="BJ2479" s="89"/>
      <c r="BK2479" s="89"/>
      <c r="BL2479" s="89"/>
      <c r="BM2479" s="89"/>
      <c r="BN2479" s="89"/>
      <c r="BO2479" s="89"/>
      <c r="BP2479" s="89"/>
    </row>
    <row r="2480" spans="1:68" s="56" customFormat="1" ht="19.5" hidden="1" customHeight="1">
      <c r="A2480" s="204" t="str">
        <f>+IFERROR(VALUE(MID(AB2480,4,4)),"")</f>
        <v/>
      </c>
      <c r="B2480" s="204">
        <f>VALUE(RIGHT(C2480,LEN(C2480)-2))</f>
        <v>251</v>
      </c>
      <c r="C2480" s="74" t="s">
        <v>8419</v>
      </c>
      <c r="D2480" s="75">
        <v>41674</v>
      </c>
      <c r="E2480" s="70" t="s">
        <v>96</v>
      </c>
      <c r="F2480" s="70" t="s">
        <v>96</v>
      </c>
      <c r="G2480" s="68" t="s">
        <v>8420</v>
      </c>
      <c r="H2480" s="59"/>
      <c r="I2480" s="162" t="s">
        <v>8421</v>
      </c>
      <c r="J2480" s="162"/>
      <c r="K2480" s="68" t="s">
        <v>11</v>
      </c>
      <c r="L2480" s="69" t="s">
        <v>123</v>
      </c>
      <c r="M2480" s="69" t="s">
        <v>141</v>
      </c>
      <c r="N2480" s="69" t="e" vm="1">
        <v>#VALUE!</v>
      </c>
      <c r="O2480" s="164">
        <v>41667</v>
      </c>
      <c r="P2480" s="72" t="s">
        <v>4567</v>
      </c>
      <c r="Q2480" s="72"/>
      <c r="R2480" s="162"/>
      <c r="S2480" s="146"/>
      <c r="T2480" s="68" t="s">
        <v>165</v>
      </c>
      <c r="U2480" s="87"/>
      <c r="V2480" s="183">
        <v>42023</v>
      </c>
      <c r="W2480" s="73">
        <v>712</v>
      </c>
      <c r="X2480" s="73">
        <f>986*23500/1000000</f>
        <v>23.170999999999999</v>
      </c>
      <c r="Y2480" s="73">
        <f>IF(SUM(W2480:W2480)&gt;0,X2480/SUM(W2480:W2480)*1000000,"N/A")</f>
        <v>32543.539325842696</v>
      </c>
      <c r="Z2480" s="183"/>
      <c r="AA2480" s="183"/>
      <c r="AB2480" s="223"/>
      <c r="AC2480" s="153"/>
      <c r="AD2480" s="331"/>
      <c r="AE2480" s="57"/>
      <c r="AF2480" s="88"/>
      <c r="AG2480" s="182">
        <f>YEAR(D2480)</f>
        <v>2014</v>
      </c>
      <c r="AH2480" s="86" t="str">
        <f>+IF(AE2480=$AJ$22,MONTH(T2480),"")</f>
        <v/>
      </c>
      <c r="AI2480" s="86" t="str">
        <f>+IF(AF2480=$AJ$22,MONTH(U2480),"")</f>
        <v/>
      </c>
      <c r="AJ2480" s="86" t="str">
        <f>+IF(AG2480=$AJ$22,MONTH(V2480),"")</f>
        <v/>
      </c>
      <c r="AK2480" s="86" t="str">
        <f>+IF(AG2480=$AK$22,MONTH(V2480),"")</f>
        <v/>
      </c>
      <c r="AL2480" s="86" t="str">
        <f>+IF(AG2480=$AL$22,MONTH(V2480),"")</f>
        <v/>
      </c>
      <c r="AM2480" s="86" t="str">
        <f>+IF($AG2480=$AM$22,MONTH($D2480),"")</f>
        <v/>
      </c>
      <c r="AN2480" s="89" t="str">
        <f>+IF($AG2480=AN$22,MONTH($D2480),"")</f>
        <v/>
      </c>
      <c r="AO2480" s="184" t="str">
        <f>+IF($AG2480=AO$22,MONTH($D2480),"")</f>
        <v/>
      </c>
      <c r="AP2480" s="184" t="str">
        <f>+IF($AG2480=AP$22,MONTH($D2480),"")</f>
        <v/>
      </c>
      <c r="AQ2480" s="184" t="str">
        <f>+IF($AG2480=AQ$22,MONTH($D2480),"")</f>
        <v/>
      </c>
      <c r="AR2480" s="184" t="str">
        <f>+IF($AG2480=AR$22,MONTH($D2480),"")</f>
        <v/>
      </c>
      <c r="AS2480" s="184" t="str">
        <f>+IF($AG2480=AS$22,MONTH($D2480),"")</f>
        <v/>
      </c>
      <c r="AT2480" s="86">
        <f>+IF($AG2480=AT$22,MONTH($D2480),"")</f>
        <v>2</v>
      </c>
      <c r="AU2480" s="86" t="str">
        <f>+IF($AG2480=AU$22,MONTH($D2480),"")</f>
        <v/>
      </c>
      <c r="AV2480" s="86" t="str">
        <f>+IF($AG2480=AV$22,MONTH($D2480),"")</f>
        <v/>
      </c>
      <c r="AW2480" s="86" t="str">
        <f>+IF($AG2480=AW$22,MONTH($D2480),"")</f>
        <v/>
      </c>
      <c r="AX2480" s="86" t="str">
        <f>+IF($AG2480=AX$22,MONTH($D2480),"")</f>
        <v/>
      </c>
      <c r="AY2480" s="89"/>
      <c r="AZ2480" s="89"/>
      <c r="BA2480" s="89"/>
      <c r="BB2480" s="89"/>
      <c r="BC2480" s="89"/>
      <c r="BD2480" s="89"/>
      <c r="BE2480" s="89"/>
      <c r="BF2480" s="89"/>
      <c r="BG2480" s="89"/>
      <c r="BH2480" s="89"/>
      <c r="BI2480" s="89"/>
      <c r="BJ2480" s="89"/>
      <c r="BK2480" s="89"/>
      <c r="BL2480" s="89"/>
      <c r="BM2480" s="89"/>
      <c r="BN2480" s="89"/>
      <c r="BO2480" s="89"/>
      <c r="BP2480" s="89"/>
    </row>
    <row r="2481" spans="1:68" s="56" customFormat="1" ht="19.5" hidden="1" customHeight="1">
      <c r="A2481" s="204">
        <f>+IFERROR(VALUE(MID(AB2481,4,4)),"")</f>
        <v>87</v>
      </c>
      <c r="B2481" s="204">
        <f>VALUE(RIGHT(C2481,LEN(C2481)-2))</f>
        <v>250</v>
      </c>
      <c r="C2481" s="74" t="s">
        <v>8422</v>
      </c>
      <c r="D2481" s="75">
        <v>41672</v>
      </c>
      <c r="E2481" s="70" t="s">
        <v>332</v>
      </c>
      <c r="F2481" s="70" t="s">
        <v>332</v>
      </c>
      <c r="G2481" s="68" t="s">
        <v>8423</v>
      </c>
      <c r="H2481" s="59"/>
      <c r="I2481" s="162" t="s">
        <v>8424</v>
      </c>
      <c r="J2481" s="162"/>
      <c r="K2481" s="68" t="s">
        <v>13</v>
      </c>
      <c r="L2481" s="69" t="s">
        <v>120</v>
      </c>
      <c r="M2481" s="69" t="s">
        <v>141</v>
      </c>
      <c r="N2481" s="69" t="e" vm="1">
        <v>#VALUE!</v>
      </c>
      <c r="O2481" s="164">
        <v>41680</v>
      </c>
      <c r="P2481" s="72" t="s">
        <v>402</v>
      </c>
      <c r="Q2481" s="72"/>
      <c r="R2481" s="162"/>
      <c r="S2481" s="146" t="s">
        <v>8425</v>
      </c>
      <c r="T2481" s="68" t="s">
        <v>3</v>
      </c>
      <c r="U2481" s="87"/>
      <c r="V2481" s="183">
        <v>41680</v>
      </c>
      <c r="W2481" s="73">
        <v>4868</v>
      </c>
      <c r="X2481" s="73">
        <f>7435*23400/1000000</f>
        <v>173.97900000000001</v>
      </c>
      <c r="Y2481" s="73">
        <f>IF(SUM(W2481:W2481)&gt;0,X2481/SUM(W2481:W2481)*1000000,"N/A")</f>
        <v>35739.317995069847</v>
      </c>
      <c r="Z2481" s="183"/>
      <c r="AA2481" s="183"/>
      <c r="AB2481" s="223" t="s">
        <v>7997</v>
      </c>
      <c r="AC2481" s="153"/>
      <c r="AD2481" s="331"/>
      <c r="AE2481" s="57"/>
      <c r="AF2481" s="88"/>
      <c r="AG2481" s="182">
        <f>YEAR(D2481)</f>
        <v>2014</v>
      </c>
      <c r="AH2481" s="86" t="str">
        <f>+IF(AE2481=$AJ$22,MONTH(T2481),"")</f>
        <v/>
      </c>
      <c r="AI2481" s="86" t="str">
        <f>+IF(AF2481=$AJ$22,MONTH(U2481),"")</f>
        <v/>
      </c>
      <c r="AJ2481" s="86" t="str">
        <f>+IF(AG2481=$AJ$22,MONTH(V2481),"")</f>
        <v/>
      </c>
      <c r="AK2481" s="86" t="str">
        <f>+IF(AG2481=$AK$22,MONTH(V2481),"")</f>
        <v/>
      </c>
      <c r="AL2481" s="86" t="str">
        <f>+IF(AG2481=$AL$22,MONTH(V2481),"")</f>
        <v/>
      </c>
      <c r="AM2481" s="86" t="str">
        <f>+IF($AG2481=$AM$22,MONTH($D2481),"")</f>
        <v/>
      </c>
      <c r="AN2481" s="89" t="str">
        <f>+IF($AG2481=AN$22,MONTH($D2481),"")</f>
        <v/>
      </c>
      <c r="AO2481" s="86" t="str">
        <f>+IF($AG2481=AO$22,MONTH($D2481),"")</f>
        <v/>
      </c>
      <c r="AP2481" s="86" t="str">
        <f>+IF($AG2481=AP$22,MONTH($D2481),"")</f>
        <v/>
      </c>
      <c r="AQ2481" s="86" t="str">
        <f>+IF($AG2481=AQ$22,MONTH($D2481),"")</f>
        <v/>
      </c>
      <c r="AR2481" s="86" t="str">
        <f>+IF($AG2481=AR$22,MONTH($D2481),"")</f>
        <v/>
      </c>
      <c r="AS2481" s="86" t="str">
        <f>+IF($AG2481=AS$22,MONTH($D2481),"")</f>
        <v/>
      </c>
      <c r="AT2481" s="86">
        <f>+IF($AG2481=AT$22,MONTH($D2481),"")</f>
        <v>2</v>
      </c>
      <c r="AU2481" s="86" t="str">
        <f>+IF($AG2481=AU$22,MONTH($D2481),"")</f>
        <v/>
      </c>
      <c r="AV2481" s="86" t="str">
        <f>+IF($AG2481=AV$22,MONTH($D2481),"")</f>
        <v/>
      </c>
      <c r="AW2481" s="86" t="str">
        <f>+IF($AG2481=AW$22,MONTH($D2481),"")</f>
        <v/>
      </c>
      <c r="AX2481" s="86" t="str">
        <f>+IF($AG2481=AX$22,MONTH($D2481),"")</f>
        <v/>
      </c>
      <c r="AY2481" s="89"/>
      <c r="AZ2481" s="89"/>
      <c r="BA2481" s="89"/>
      <c r="BB2481" s="89"/>
      <c r="BC2481" s="89"/>
      <c r="BD2481" s="89"/>
      <c r="BE2481" s="89"/>
      <c r="BF2481" s="89"/>
      <c r="BG2481" s="89"/>
      <c r="BH2481" s="89"/>
      <c r="BI2481" s="89"/>
      <c r="BJ2481" s="89"/>
      <c r="BK2481" s="89"/>
      <c r="BL2481" s="89"/>
      <c r="BM2481" s="89"/>
      <c r="BN2481" s="89"/>
      <c r="BO2481" s="89"/>
      <c r="BP2481" s="89"/>
    </row>
    <row r="2482" spans="1:68" s="56" customFormat="1" ht="19.5" hidden="1" customHeight="1">
      <c r="A2482" s="204" t="str">
        <f>+IFERROR(VALUE(MID(AB2482,4,4)),"")</f>
        <v/>
      </c>
      <c r="B2482" s="204">
        <f>VALUE(RIGHT(C2482,LEN(C2482)-2))</f>
        <v>249</v>
      </c>
      <c r="C2482" s="74" t="s">
        <v>8426</v>
      </c>
      <c r="D2482" s="75">
        <v>41677</v>
      </c>
      <c r="E2482" s="70" t="s">
        <v>53</v>
      </c>
      <c r="F2482" s="70" t="s">
        <v>460</v>
      </c>
      <c r="G2482" s="68" t="s">
        <v>8382</v>
      </c>
      <c r="H2482" s="59"/>
      <c r="I2482" s="162" t="s">
        <v>8427</v>
      </c>
      <c r="J2482" s="272"/>
      <c r="K2482" s="71" t="s">
        <v>12</v>
      </c>
      <c r="L2482" s="69" t="s">
        <v>120</v>
      </c>
      <c r="M2482" s="69" t="s">
        <v>141</v>
      </c>
      <c r="N2482" s="69" t="e" vm="1">
        <v>#VALUE!</v>
      </c>
      <c r="O2482" s="164">
        <v>41677</v>
      </c>
      <c r="P2482" s="72" t="s">
        <v>4567</v>
      </c>
      <c r="Q2482" s="72"/>
      <c r="R2482" s="162"/>
      <c r="S2482" s="146"/>
      <c r="T2482" s="68" t="s">
        <v>165</v>
      </c>
      <c r="U2482" s="87"/>
      <c r="V2482" s="183">
        <v>41680</v>
      </c>
      <c r="W2482" s="73">
        <v>470</v>
      </c>
      <c r="X2482" s="73">
        <f>971*23400/1000000</f>
        <v>22.721399999999999</v>
      </c>
      <c r="Y2482" s="73">
        <f>IF(SUM(W2482:W2482)&gt;0,X2482/SUM(W2482:W2482)*1000000,"N/A")</f>
        <v>48343.404255319147</v>
      </c>
      <c r="Z2482" s="183"/>
      <c r="AA2482" s="183"/>
      <c r="AB2482" s="223"/>
      <c r="AC2482" s="153"/>
      <c r="AD2482" s="331"/>
      <c r="AE2482" s="57"/>
      <c r="AF2482" s="88" t="s">
        <v>8418</v>
      </c>
      <c r="AG2482" s="182">
        <f>YEAR(D2482)</f>
        <v>2014</v>
      </c>
      <c r="AH2482" s="86" t="str">
        <f>+IF(AE2482=$AJ$22,MONTH(T2482),"")</f>
        <v/>
      </c>
      <c r="AI2482" s="86" t="str">
        <f>+IF(AF2482=$AJ$22,MONTH(U2482),"")</f>
        <v/>
      </c>
      <c r="AJ2482" s="86" t="str">
        <f>+IF(AG2482=$AJ$22,MONTH(V2482),"")</f>
        <v/>
      </c>
      <c r="AK2482" s="86" t="str">
        <f>+IF(AG2482=$AK$22,MONTH(V2482),"")</f>
        <v/>
      </c>
      <c r="AL2482" s="86" t="str">
        <f>+IF(AG2482=$AL$22,MONTH(V2482),"")</f>
        <v/>
      </c>
      <c r="AM2482" s="86" t="str">
        <f>+IF($AG2482=$AM$22,MONTH($D2482),"")</f>
        <v/>
      </c>
      <c r="AN2482" s="89" t="str">
        <f>+IF($AG2482=AN$22,MONTH($D2482),"")</f>
        <v/>
      </c>
      <c r="AO2482" s="184" t="str">
        <f>+IF($AG2482=AO$22,MONTH($D2482),"")</f>
        <v/>
      </c>
      <c r="AP2482" s="184" t="str">
        <f>+IF($AG2482=AP$22,MONTH($D2482),"")</f>
        <v/>
      </c>
      <c r="AQ2482" s="184" t="str">
        <f>+IF($AG2482=AQ$22,MONTH($D2482),"")</f>
        <v/>
      </c>
      <c r="AR2482" s="184" t="str">
        <f>+IF($AG2482=AR$22,MONTH($D2482),"")</f>
        <v/>
      </c>
      <c r="AS2482" s="184" t="str">
        <f>+IF($AG2482=AS$22,MONTH($D2482),"")</f>
        <v/>
      </c>
      <c r="AT2482" s="86">
        <f>+IF($AG2482=AT$22,MONTH($D2482),"")</f>
        <v>2</v>
      </c>
      <c r="AU2482" s="86" t="str">
        <f>+IF($AG2482=AU$22,MONTH($D2482),"")</f>
        <v/>
      </c>
      <c r="AV2482" s="86" t="str">
        <f>+IF($AG2482=AV$22,MONTH($D2482),"")</f>
        <v/>
      </c>
      <c r="AW2482" s="86" t="str">
        <f>+IF($AG2482=AW$22,MONTH($D2482),"")</f>
        <v/>
      </c>
      <c r="AX2482" s="86" t="str">
        <f>+IF($AG2482=AX$22,MONTH($D2482),"")</f>
        <v/>
      </c>
      <c r="AY2482" s="89"/>
      <c r="AZ2482" s="89"/>
      <c r="BA2482" s="89"/>
      <c r="BB2482" s="89"/>
      <c r="BC2482" s="89"/>
      <c r="BD2482" s="89"/>
      <c r="BE2482" s="89"/>
      <c r="BF2482" s="89"/>
      <c r="BG2482" s="89"/>
      <c r="BH2482" s="89"/>
      <c r="BI2482" s="89"/>
      <c r="BJ2482" s="89"/>
      <c r="BK2482" s="89"/>
      <c r="BL2482" s="89"/>
      <c r="BM2482" s="89"/>
      <c r="BN2482" s="89"/>
      <c r="BO2482" s="89"/>
      <c r="BP2482" s="89"/>
    </row>
    <row r="2483" spans="1:68" s="56" customFormat="1" ht="19.5" hidden="1" customHeight="1">
      <c r="A2483" s="204" t="str">
        <f>+IFERROR(VALUE(MID(AB2483,4,4)),"")</f>
        <v/>
      </c>
      <c r="B2483" s="204">
        <f>VALUE(RIGHT(C2483,LEN(C2483)-2))</f>
        <v>248</v>
      </c>
      <c r="C2483" s="74" t="s">
        <v>8428</v>
      </c>
      <c r="D2483" s="75">
        <v>41675</v>
      </c>
      <c r="E2483" s="70" t="s">
        <v>8429</v>
      </c>
      <c r="F2483" s="70" t="s">
        <v>8429</v>
      </c>
      <c r="G2483" s="68" t="s">
        <v>1437</v>
      </c>
      <c r="H2483" s="59"/>
      <c r="I2483" s="162" t="s">
        <v>8430</v>
      </c>
      <c r="J2483" s="272"/>
      <c r="K2483" s="71" t="s">
        <v>12</v>
      </c>
      <c r="L2483" s="69" t="s">
        <v>120</v>
      </c>
      <c r="M2483" s="69" t="s">
        <v>141</v>
      </c>
      <c r="N2483" s="69" t="e" vm="1">
        <v>#VALUE!</v>
      </c>
      <c r="O2483" s="164">
        <v>41675</v>
      </c>
      <c r="P2483" s="72" t="s">
        <v>7772</v>
      </c>
      <c r="Q2483" s="72"/>
      <c r="R2483" s="162"/>
      <c r="S2483" s="146"/>
      <c r="T2483" s="68" t="s">
        <v>165</v>
      </c>
      <c r="U2483" s="87"/>
      <c r="V2483" s="183">
        <v>41956</v>
      </c>
      <c r="W2483" s="73">
        <v>3305</v>
      </c>
      <c r="X2483" s="73">
        <f>5455*23400/1000000</f>
        <v>127.64700000000001</v>
      </c>
      <c r="Y2483" s="73">
        <f>IF(SUM(W2483:W2483)&gt;0,X2483/SUM(W2483:W2483)*1000000,"N/A")</f>
        <v>38622.390317700454</v>
      </c>
      <c r="Z2483" s="183"/>
      <c r="AA2483" s="183"/>
      <c r="AB2483" s="223"/>
      <c r="AC2483" s="153"/>
      <c r="AD2483" s="331"/>
      <c r="AE2483" s="57"/>
      <c r="AF2483" s="88"/>
      <c r="AG2483" s="182">
        <f>YEAR(D2483)</f>
        <v>2014</v>
      </c>
      <c r="AH2483" s="86" t="str">
        <f>+IF(AE2483=$AJ$22,MONTH(T2483),"")</f>
        <v/>
      </c>
      <c r="AI2483" s="86" t="str">
        <f>+IF(AF2483=$AJ$22,MONTH(U2483),"")</f>
        <v/>
      </c>
      <c r="AJ2483" s="86" t="str">
        <f>+IF(AG2483=$AJ$22,MONTH(V2483),"")</f>
        <v/>
      </c>
      <c r="AK2483" s="86" t="str">
        <f>+IF(AG2483=$AK$22,MONTH(V2483),"")</f>
        <v/>
      </c>
      <c r="AL2483" s="86" t="str">
        <f>+IF(AG2483=$AL$22,MONTH(V2483),"")</f>
        <v/>
      </c>
      <c r="AM2483" s="86" t="str">
        <f>+IF($AG2483=$AM$22,MONTH($D2483),"")</f>
        <v/>
      </c>
      <c r="AN2483" s="89" t="str">
        <f>+IF($AG2483=AN$22,MONTH($D2483),"")</f>
        <v/>
      </c>
      <c r="AO2483" s="184" t="str">
        <f>+IF($AG2483=AO$22,MONTH($D2483),"")</f>
        <v/>
      </c>
      <c r="AP2483" s="184" t="str">
        <f>+IF($AG2483=AP$22,MONTH($D2483),"")</f>
        <v/>
      </c>
      <c r="AQ2483" s="184" t="str">
        <f>+IF($AG2483=AQ$22,MONTH($D2483),"")</f>
        <v/>
      </c>
      <c r="AR2483" s="184" t="str">
        <f>+IF($AG2483=AR$22,MONTH($D2483),"")</f>
        <v/>
      </c>
      <c r="AS2483" s="184" t="str">
        <f>+IF($AG2483=AS$22,MONTH($D2483),"")</f>
        <v/>
      </c>
      <c r="AT2483" s="86">
        <f>+IF($AG2483=AT$22,MONTH($D2483),"")</f>
        <v>2</v>
      </c>
      <c r="AU2483" s="86" t="str">
        <f>+IF($AG2483=AU$22,MONTH($D2483),"")</f>
        <v/>
      </c>
      <c r="AV2483" s="86" t="str">
        <f>+IF($AG2483=AV$22,MONTH($D2483),"")</f>
        <v/>
      </c>
      <c r="AW2483" s="86" t="str">
        <f>+IF($AG2483=AW$22,MONTH($D2483),"")</f>
        <v/>
      </c>
      <c r="AX2483" s="86" t="str">
        <f>+IF($AG2483=AX$22,MONTH($D2483),"")</f>
        <v/>
      </c>
      <c r="AY2483" s="89"/>
      <c r="AZ2483" s="89"/>
      <c r="BA2483" s="89"/>
      <c r="BB2483" s="89"/>
      <c r="BC2483" s="89"/>
      <c r="BD2483" s="89"/>
      <c r="BE2483" s="89"/>
      <c r="BF2483" s="89"/>
      <c r="BG2483" s="89"/>
      <c r="BH2483" s="89"/>
      <c r="BI2483" s="89"/>
      <c r="BJ2483" s="89"/>
      <c r="BK2483" s="89"/>
      <c r="BL2483" s="89"/>
      <c r="BM2483" s="89"/>
      <c r="BN2483" s="89"/>
      <c r="BO2483" s="89"/>
      <c r="BP2483" s="89"/>
    </row>
    <row r="2484" spans="1:68" s="56" customFormat="1" ht="19.5" hidden="1" customHeight="1">
      <c r="A2484" s="204" t="str">
        <f>+IFERROR(VALUE(MID(AB2484,4,4)),"")</f>
        <v/>
      </c>
      <c r="B2484" s="204">
        <f>VALUE(RIGHT(C2484,LEN(C2484)-2))</f>
        <v>247</v>
      </c>
      <c r="C2484" s="74" t="s">
        <v>8431</v>
      </c>
      <c r="D2484" s="75">
        <v>41663</v>
      </c>
      <c r="E2484" s="70" t="s">
        <v>53</v>
      </c>
      <c r="F2484" s="70" t="s">
        <v>460</v>
      </c>
      <c r="G2484" s="68" t="s">
        <v>8382</v>
      </c>
      <c r="H2484" s="59"/>
      <c r="I2484" s="162" t="s">
        <v>8432</v>
      </c>
      <c r="J2484" s="162"/>
      <c r="K2484" s="68" t="s">
        <v>13</v>
      </c>
      <c r="L2484" s="69" t="s">
        <v>120</v>
      </c>
      <c r="M2484" s="71" t="s">
        <v>141</v>
      </c>
      <c r="N2484" s="69" t="e" vm="1">
        <v>#VALUE!</v>
      </c>
      <c r="O2484" s="164">
        <v>41666</v>
      </c>
      <c r="P2484" s="72" t="s">
        <v>7372</v>
      </c>
      <c r="Q2484" s="72"/>
      <c r="R2484" s="162"/>
      <c r="S2484" s="146"/>
      <c r="T2484" s="68" t="s">
        <v>165</v>
      </c>
      <c r="U2484" s="87"/>
      <c r="V2484" s="183">
        <v>41667</v>
      </c>
      <c r="W2484" s="73">
        <v>619</v>
      </c>
      <c r="X2484" s="73">
        <f>998*23300/1000000</f>
        <v>23.253399999999999</v>
      </c>
      <c r="Y2484" s="73">
        <f>IF(SUM(W2484:W2484)&gt;0,X2484/SUM(W2484:W2484)*1000000,"N/A")</f>
        <v>37566.074313408717</v>
      </c>
      <c r="Z2484" s="183"/>
      <c r="AA2484" s="183"/>
      <c r="AB2484" s="223"/>
      <c r="AC2484" s="153"/>
      <c r="AD2484" s="331"/>
      <c r="AE2484" s="57"/>
      <c r="AF2484" s="88" t="s">
        <v>8433</v>
      </c>
      <c r="AG2484" s="182">
        <f>YEAR(D2484)</f>
        <v>2014</v>
      </c>
      <c r="AH2484" s="86" t="str">
        <f>+IF(AE2484=$AJ$22,MONTH(T2484),"")</f>
        <v/>
      </c>
      <c r="AI2484" s="86" t="str">
        <f>+IF(AF2484=$AJ$22,MONTH(U2484),"")</f>
        <v/>
      </c>
      <c r="AJ2484" s="86" t="str">
        <f>+IF(AG2484=$AJ$22,MONTH(V2484),"")</f>
        <v/>
      </c>
      <c r="AK2484" s="86" t="str">
        <f>+IF(AG2484=$AK$22,MONTH(V2484),"")</f>
        <v/>
      </c>
      <c r="AL2484" s="86" t="str">
        <f>+IF(AG2484=$AL$22,MONTH(V2484),"")</f>
        <v/>
      </c>
      <c r="AM2484" s="86" t="str">
        <f>+IF($AG2484=$AM$22,MONTH($D2484),"")</f>
        <v/>
      </c>
      <c r="AN2484" s="89" t="str">
        <f>+IF($AG2484=AN$22,MONTH($D2484),"")</f>
        <v/>
      </c>
      <c r="AO2484" s="184" t="str">
        <f>+IF($AG2484=AO$22,MONTH($D2484),"")</f>
        <v/>
      </c>
      <c r="AP2484" s="184" t="str">
        <f>+IF($AG2484=AP$22,MONTH($D2484),"")</f>
        <v/>
      </c>
      <c r="AQ2484" s="184" t="str">
        <f>+IF($AG2484=AQ$22,MONTH($D2484),"")</f>
        <v/>
      </c>
      <c r="AR2484" s="184" t="str">
        <f>+IF($AG2484=AR$22,MONTH($D2484),"")</f>
        <v/>
      </c>
      <c r="AS2484" s="184" t="str">
        <f>+IF($AG2484=AS$22,MONTH($D2484),"")</f>
        <v/>
      </c>
      <c r="AT2484" s="86">
        <f>+IF($AG2484=AT$22,MONTH($D2484),"")</f>
        <v>1</v>
      </c>
      <c r="AU2484" s="86" t="str">
        <f>+IF($AG2484=AU$22,MONTH($D2484),"")</f>
        <v/>
      </c>
      <c r="AV2484" s="86" t="str">
        <f>+IF($AG2484=AV$22,MONTH($D2484),"")</f>
        <v/>
      </c>
      <c r="AW2484" s="86" t="str">
        <f>+IF($AG2484=AW$22,MONTH($D2484),"")</f>
        <v/>
      </c>
      <c r="AX2484" s="86" t="str">
        <f>+IF($AG2484=AX$22,MONTH($D2484),"")</f>
        <v/>
      </c>
      <c r="AY2484" s="89"/>
      <c r="AZ2484" s="89"/>
      <c r="BA2484" s="89"/>
      <c r="BB2484" s="89"/>
      <c r="BC2484" s="89"/>
      <c r="BD2484" s="89"/>
      <c r="BE2484" s="89"/>
      <c r="BF2484" s="89"/>
      <c r="BG2484" s="89"/>
      <c r="BH2484" s="89"/>
      <c r="BI2484" s="89"/>
      <c r="BJ2484" s="89"/>
      <c r="BK2484" s="89"/>
      <c r="BL2484" s="89"/>
      <c r="BM2484" s="89"/>
      <c r="BN2484" s="89"/>
      <c r="BO2484" s="89"/>
      <c r="BP2484" s="89"/>
    </row>
    <row r="2485" spans="1:68" s="56" customFormat="1" ht="19.5" hidden="1" customHeight="1">
      <c r="A2485" s="204" t="str">
        <f>+IFERROR(VALUE(MID(AB2485,4,4)),"")</f>
        <v/>
      </c>
      <c r="B2485" s="204">
        <f>VALUE(RIGHT(C2485,LEN(C2485)-2))</f>
        <v>246</v>
      </c>
      <c r="C2485" s="74" t="s">
        <v>8434</v>
      </c>
      <c r="D2485" s="75">
        <v>41663</v>
      </c>
      <c r="E2485" s="70" t="s">
        <v>53</v>
      </c>
      <c r="F2485" s="70" t="s">
        <v>460</v>
      </c>
      <c r="G2485" s="68" t="s">
        <v>8382</v>
      </c>
      <c r="H2485" s="59"/>
      <c r="I2485" s="162" t="s">
        <v>8435</v>
      </c>
      <c r="J2485" s="162"/>
      <c r="K2485" s="68" t="s">
        <v>30</v>
      </c>
      <c r="L2485" s="69" t="s">
        <v>120</v>
      </c>
      <c r="M2485" s="71" t="s">
        <v>141</v>
      </c>
      <c r="N2485" s="69" t="e" vm="1">
        <v>#VALUE!</v>
      </c>
      <c r="O2485" s="164">
        <v>41666</v>
      </c>
      <c r="P2485" s="72" t="s">
        <v>402</v>
      </c>
      <c r="Q2485" s="72"/>
      <c r="R2485" s="162"/>
      <c r="S2485" s="146"/>
      <c r="T2485" s="68" t="s">
        <v>165</v>
      </c>
      <c r="U2485" s="87"/>
      <c r="V2485" s="183">
        <v>41667</v>
      </c>
      <c r="W2485" s="73">
        <v>426</v>
      </c>
      <c r="X2485" s="73">
        <f>768*23300/1000000</f>
        <v>17.894400000000001</v>
      </c>
      <c r="Y2485" s="73">
        <f>IF(SUM(W2485:W2485)&gt;0,X2485/SUM(W2485:W2485)*1000000,"N/A")</f>
        <v>42005.633802816905</v>
      </c>
      <c r="Z2485" s="183"/>
      <c r="AA2485" s="183"/>
      <c r="AB2485" s="223"/>
      <c r="AC2485" s="153"/>
      <c r="AD2485" s="331"/>
      <c r="AE2485" s="57"/>
      <c r="AF2485" s="88" t="s">
        <v>8418</v>
      </c>
      <c r="AG2485" s="182">
        <f>YEAR(D2485)</f>
        <v>2014</v>
      </c>
      <c r="AH2485" s="86" t="str">
        <f>+IF(AE2485=$AJ$22,MONTH(T2485),"")</f>
        <v/>
      </c>
      <c r="AI2485" s="86" t="str">
        <f>+IF(AF2485=$AJ$22,MONTH(U2485),"")</f>
        <v/>
      </c>
      <c r="AJ2485" s="86" t="str">
        <f>+IF(AG2485=$AJ$22,MONTH(V2485),"")</f>
        <v/>
      </c>
      <c r="AK2485" s="86" t="str">
        <f>+IF(AG2485=$AK$22,MONTH(V2485),"")</f>
        <v/>
      </c>
      <c r="AL2485" s="86" t="str">
        <f>+IF(AG2485=$AL$22,MONTH(V2485),"")</f>
        <v/>
      </c>
      <c r="AM2485" s="86" t="str">
        <f>+IF($AG2485=$AM$22,MONTH($D2485),"")</f>
        <v/>
      </c>
      <c r="AN2485" s="89" t="str">
        <f>+IF($AG2485=AN$22,MONTH($D2485),"")</f>
        <v/>
      </c>
      <c r="AO2485" s="184" t="str">
        <f>+IF($AG2485=AO$22,MONTH($D2485),"")</f>
        <v/>
      </c>
      <c r="AP2485" s="184" t="str">
        <f>+IF($AG2485=AP$22,MONTH($D2485),"")</f>
        <v/>
      </c>
      <c r="AQ2485" s="184" t="str">
        <f>+IF($AG2485=AQ$22,MONTH($D2485),"")</f>
        <v/>
      </c>
      <c r="AR2485" s="184" t="str">
        <f>+IF($AG2485=AR$22,MONTH($D2485),"")</f>
        <v/>
      </c>
      <c r="AS2485" s="184" t="str">
        <f>+IF($AG2485=AS$22,MONTH($D2485),"")</f>
        <v/>
      </c>
      <c r="AT2485" s="86">
        <f>+IF($AG2485=AT$22,MONTH($D2485),"")</f>
        <v>1</v>
      </c>
      <c r="AU2485" s="86" t="str">
        <f>+IF($AG2485=AU$22,MONTH($D2485),"")</f>
        <v/>
      </c>
      <c r="AV2485" s="86" t="str">
        <f>+IF($AG2485=AV$22,MONTH($D2485),"")</f>
        <v/>
      </c>
      <c r="AW2485" s="86" t="str">
        <f>+IF($AG2485=AW$22,MONTH($D2485),"")</f>
        <v/>
      </c>
      <c r="AX2485" s="86" t="str">
        <f>+IF($AG2485=AX$22,MONTH($D2485),"")</f>
        <v/>
      </c>
      <c r="AY2485" s="89"/>
      <c r="AZ2485" s="89"/>
      <c r="BA2485" s="89"/>
      <c r="BB2485" s="89"/>
      <c r="BC2485" s="89"/>
      <c r="BD2485" s="89"/>
      <c r="BE2485" s="89"/>
      <c r="BF2485" s="89"/>
      <c r="BG2485" s="89"/>
      <c r="BH2485" s="89"/>
      <c r="BI2485" s="89"/>
      <c r="BJ2485" s="89"/>
      <c r="BK2485" s="89"/>
      <c r="BL2485" s="89"/>
      <c r="BM2485" s="89"/>
      <c r="BN2485" s="89"/>
      <c r="BO2485" s="89"/>
      <c r="BP2485" s="89"/>
    </row>
    <row r="2486" spans="1:68" s="56" customFormat="1" ht="19.5" hidden="1" customHeight="1">
      <c r="A2486" s="204" t="str">
        <f>+IFERROR(VALUE(MID(AB2486,4,4)),"")</f>
        <v/>
      </c>
      <c r="B2486" s="204">
        <f>VALUE(RIGHT(C2486,LEN(C2486)-2))</f>
        <v>245</v>
      </c>
      <c r="C2486" s="74" t="s">
        <v>8436</v>
      </c>
      <c r="D2486" s="75">
        <v>41656</v>
      </c>
      <c r="E2486" s="70" t="s">
        <v>8437</v>
      </c>
      <c r="F2486" s="70" t="s">
        <v>8438</v>
      </c>
      <c r="G2486" s="68" t="s">
        <v>7740</v>
      </c>
      <c r="H2486" s="59"/>
      <c r="I2486" s="76" t="s">
        <v>8439</v>
      </c>
      <c r="J2486" s="162"/>
      <c r="K2486" s="69" t="s">
        <v>12</v>
      </c>
      <c r="L2486" s="71" t="s">
        <v>120</v>
      </c>
      <c r="M2486" s="69" t="s">
        <v>141</v>
      </c>
      <c r="N2486" s="69" t="e" vm="1">
        <v>#VALUE!</v>
      </c>
      <c r="O2486" s="164">
        <v>41663</v>
      </c>
      <c r="P2486" s="72" t="s">
        <v>402</v>
      </c>
      <c r="Q2486" s="72"/>
      <c r="R2486" s="162"/>
      <c r="S2486" s="146"/>
      <c r="T2486" s="68" t="s">
        <v>165</v>
      </c>
      <c r="U2486" s="87"/>
      <c r="V2486" s="183">
        <v>42023</v>
      </c>
      <c r="W2486" s="73">
        <v>407</v>
      </c>
      <c r="X2486" s="73">
        <f>562*23500/1000000</f>
        <v>13.207000000000001</v>
      </c>
      <c r="Y2486" s="73">
        <f>IF(SUM(W2486:W2486)&gt;0,X2486/SUM(W2486:W2486)*1000000,"N/A")</f>
        <v>32449.631449631448</v>
      </c>
      <c r="Z2486" s="183"/>
      <c r="AA2486" s="183"/>
      <c r="AB2486" s="223"/>
      <c r="AC2486" s="153"/>
      <c r="AD2486" s="331"/>
      <c r="AE2486" s="57"/>
      <c r="AF2486" s="151"/>
      <c r="AG2486" s="182">
        <f>YEAR(D2486)</f>
        <v>2014</v>
      </c>
      <c r="AH2486" s="86" t="str">
        <f>+IF(AE2486=$AJ$22,MONTH(T2486),"")</f>
        <v/>
      </c>
      <c r="AI2486" s="86" t="str">
        <f>+IF(AF2486=$AJ$22,MONTH(U2486),"")</f>
        <v/>
      </c>
      <c r="AJ2486" s="86" t="str">
        <f>+IF(AG2486=$AJ$22,MONTH(V2486),"")</f>
        <v/>
      </c>
      <c r="AK2486" s="86" t="str">
        <f>+IF(AG2486=$AK$22,MONTH(V2486),"")</f>
        <v/>
      </c>
      <c r="AL2486" s="86" t="str">
        <f>+IF(AG2486=$AL$22,MONTH(V2486),"")</f>
        <v/>
      </c>
      <c r="AM2486" s="86" t="str">
        <f>+IF($AG2486=$AM$22,MONTH($D2486),"")</f>
        <v/>
      </c>
      <c r="AN2486" s="89" t="str">
        <f>+IF($AG2486=AN$22,MONTH($D2486),"")</f>
        <v/>
      </c>
      <c r="AO2486" s="184" t="str">
        <f>+IF($AG2486=AO$22,MONTH($D2486),"")</f>
        <v/>
      </c>
      <c r="AP2486" s="184" t="str">
        <f>+IF($AG2486=AP$22,MONTH($D2486),"")</f>
        <v/>
      </c>
      <c r="AQ2486" s="184" t="str">
        <f>+IF($AG2486=AQ$22,MONTH($D2486),"")</f>
        <v/>
      </c>
      <c r="AR2486" s="184" t="str">
        <f>+IF($AG2486=AR$22,MONTH($D2486),"")</f>
        <v/>
      </c>
      <c r="AS2486" s="184" t="str">
        <f>+IF($AG2486=AS$22,MONTH($D2486),"")</f>
        <v/>
      </c>
      <c r="AT2486" s="86">
        <f>+IF($AG2486=AT$22,MONTH($D2486),"")</f>
        <v>1</v>
      </c>
      <c r="AU2486" s="86" t="str">
        <f>+IF($AG2486=AU$22,MONTH($D2486),"")</f>
        <v/>
      </c>
      <c r="AV2486" s="86" t="str">
        <f>+IF($AG2486=AV$22,MONTH($D2486),"")</f>
        <v/>
      </c>
      <c r="AW2486" s="86" t="str">
        <f>+IF($AG2486=AW$22,MONTH($D2486),"")</f>
        <v/>
      </c>
      <c r="AX2486" s="86" t="str">
        <f>+IF($AG2486=AX$22,MONTH($D2486),"")</f>
        <v/>
      </c>
      <c r="AY2486" s="89"/>
      <c r="AZ2486" s="89"/>
      <c r="BA2486" s="89"/>
      <c r="BB2486" s="89"/>
      <c r="BC2486" s="89"/>
      <c r="BD2486" s="89"/>
      <c r="BE2486" s="89"/>
      <c r="BF2486" s="89"/>
      <c r="BG2486" s="89"/>
      <c r="BH2486" s="89"/>
      <c r="BI2486" s="89"/>
      <c r="BJ2486" s="89"/>
      <c r="BK2486" s="89"/>
      <c r="BL2486" s="89"/>
      <c r="BM2486" s="89"/>
      <c r="BN2486" s="89"/>
      <c r="BO2486" s="89"/>
      <c r="BP2486" s="89"/>
    </row>
    <row r="2487" spans="1:68" s="56" customFormat="1" ht="19.5" hidden="1" customHeight="1">
      <c r="A2487" s="204" t="str">
        <f>+IFERROR(VALUE(MID(AB2487,4,4)),"")</f>
        <v/>
      </c>
      <c r="B2487" s="204">
        <f>VALUE(RIGHT(C2487,LEN(C2487)-2))</f>
        <v>244</v>
      </c>
      <c r="C2487" s="74" t="s">
        <v>8440</v>
      </c>
      <c r="D2487" s="75">
        <v>41655</v>
      </c>
      <c r="E2487" s="70" t="s">
        <v>8429</v>
      </c>
      <c r="F2487" s="70" t="s">
        <v>8429</v>
      </c>
      <c r="G2487" s="68" t="s">
        <v>1437</v>
      </c>
      <c r="H2487" s="59"/>
      <c r="I2487" s="162" t="s">
        <v>8441</v>
      </c>
      <c r="J2487" s="272"/>
      <c r="K2487" s="71" t="s">
        <v>30</v>
      </c>
      <c r="L2487" s="69" t="s">
        <v>120</v>
      </c>
      <c r="M2487" s="69" t="s">
        <v>141</v>
      </c>
      <c r="N2487" s="69" t="e" vm="1">
        <v>#VALUE!</v>
      </c>
      <c r="O2487" s="164">
        <v>41661</v>
      </c>
      <c r="P2487" s="72" t="s">
        <v>402</v>
      </c>
      <c r="Q2487" s="72"/>
      <c r="R2487" s="162"/>
      <c r="S2487" s="146"/>
      <c r="T2487" s="68" t="s">
        <v>165</v>
      </c>
      <c r="U2487" s="87"/>
      <c r="V2487" s="183">
        <v>42023</v>
      </c>
      <c r="W2487" s="73">
        <v>644</v>
      </c>
      <c r="X2487" s="73">
        <f>983*23400/1000000</f>
        <v>23.002199999999998</v>
      </c>
      <c r="Y2487" s="73">
        <f>IF(SUM(W2487:W2487)&gt;0,X2487/SUM(W2487:W2487)*1000000,"N/A")</f>
        <v>35717.701863354028</v>
      </c>
      <c r="Z2487" s="183"/>
      <c r="AA2487" s="183"/>
      <c r="AB2487" s="223"/>
      <c r="AC2487" s="153"/>
      <c r="AD2487" s="331"/>
      <c r="AE2487" s="57"/>
      <c r="AF2487" s="151"/>
      <c r="AG2487" s="182">
        <f>YEAR(D2487)</f>
        <v>2014</v>
      </c>
      <c r="AH2487" s="86" t="str">
        <f>+IF(AE2487=$AJ$22,MONTH(T2487),"")</f>
        <v/>
      </c>
      <c r="AI2487" s="86" t="str">
        <f>+IF(AF2487=$AJ$22,MONTH(U2487),"")</f>
        <v/>
      </c>
      <c r="AJ2487" s="86" t="str">
        <f>+IF(AG2487=$AJ$22,MONTH(V2487),"")</f>
        <v/>
      </c>
      <c r="AK2487" s="86" t="str">
        <f>+IF(AG2487=$AK$22,MONTH(V2487),"")</f>
        <v/>
      </c>
      <c r="AL2487" s="86" t="str">
        <f>+IF(AG2487=$AL$22,MONTH(V2487),"")</f>
        <v/>
      </c>
      <c r="AM2487" s="86" t="str">
        <f>+IF($AG2487=$AM$22,MONTH($D2487),"")</f>
        <v/>
      </c>
      <c r="AN2487" s="89" t="str">
        <f>+IF($AG2487=AN$22,MONTH($D2487),"")</f>
        <v/>
      </c>
      <c r="AO2487" s="184" t="str">
        <f>+IF($AG2487=AO$22,MONTH($D2487),"")</f>
        <v/>
      </c>
      <c r="AP2487" s="184" t="str">
        <f>+IF($AG2487=AP$22,MONTH($D2487),"")</f>
        <v/>
      </c>
      <c r="AQ2487" s="184" t="str">
        <f>+IF($AG2487=AQ$22,MONTH($D2487),"")</f>
        <v/>
      </c>
      <c r="AR2487" s="184" t="str">
        <f>+IF($AG2487=AR$22,MONTH($D2487),"")</f>
        <v/>
      </c>
      <c r="AS2487" s="184" t="str">
        <f>+IF($AG2487=AS$22,MONTH($D2487),"")</f>
        <v/>
      </c>
      <c r="AT2487" s="86">
        <f>+IF($AG2487=AT$22,MONTH($D2487),"")</f>
        <v>1</v>
      </c>
      <c r="AU2487" s="86" t="str">
        <f>+IF($AG2487=AU$22,MONTH($D2487),"")</f>
        <v/>
      </c>
      <c r="AV2487" s="86" t="str">
        <f>+IF($AG2487=AV$22,MONTH($D2487),"")</f>
        <v/>
      </c>
      <c r="AW2487" s="86" t="str">
        <f>+IF($AG2487=AW$22,MONTH($D2487),"")</f>
        <v/>
      </c>
      <c r="AX2487" s="86" t="str">
        <f>+IF($AG2487=AX$22,MONTH($D2487),"")</f>
        <v/>
      </c>
      <c r="AY2487" s="89"/>
      <c r="AZ2487" s="89"/>
      <c r="BA2487" s="89"/>
      <c r="BB2487" s="89"/>
      <c r="BC2487" s="89"/>
      <c r="BD2487" s="89"/>
      <c r="BE2487" s="89"/>
      <c r="BF2487" s="89"/>
      <c r="BG2487" s="89"/>
      <c r="BH2487" s="89"/>
      <c r="BI2487" s="89"/>
      <c r="BJ2487" s="89"/>
      <c r="BK2487" s="89"/>
      <c r="BL2487" s="89"/>
      <c r="BM2487" s="89"/>
      <c r="BN2487" s="89"/>
      <c r="BO2487" s="89"/>
      <c r="BP2487" s="89"/>
    </row>
    <row r="2488" spans="1:68" s="56" customFormat="1" ht="19.5" hidden="1" customHeight="1">
      <c r="A2488" s="204" t="str">
        <f>+IFERROR(VALUE(MID(AB2488,4,4)),"")</f>
        <v/>
      </c>
      <c r="B2488" s="204">
        <f>VALUE(RIGHT(C2488,LEN(C2488)-2))</f>
        <v>243</v>
      </c>
      <c r="C2488" s="74" t="s">
        <v>8442</v>
      </c>
      <c r="D2488" s="75">
        <v>41649</v>
      </c>
      <c r="E2488" s="70" t="s">
        <v>8359</v>
      </c>
      <c r="F2488" s="70" t="s">
        <v>313</v>
      </c>
      <c r="G2488" s="68" t="s">
        <v>8361</v>
      </c>
      <c r="H2488" s="59"/>
      <c r="I2488" s="162" t="s">
        <v>8443</v>
      </c>
      <c r="J2488" s="272"/>
      <c r="K2488" s="71" t="s">
        <v>13</v>
      </c>
      <c r="L2488" s="69" t="s">
        <v>120</v>
      </c>
      <c r="M2488" s="69" t="s">
        <v>141</v>
      </c>
      <c r="N2488" s="69" t="e" vm="1">
        <v>#VALUE!</v>
      </c>
      <c r="O2488" s="164">
        <v>41661</v>
      </c>
      <c r="P2488" s="72" t="s">
        <v>402</v>
      </c>
      <c r="Q2488" s="72"/>
      <c r="R2488" s="162"/>
      <c r="S2488" s="146"/>
      <c r="T2488" s="68" t="s">
        <v>165</v>
      </c>
      <c r="U2488" s="87"/>
      <c r="V2488" s="183">
        <v>41956</v>
      </c>
      <c r="W2488" s="73">
        <v>1251</v>
      </c>
      <c r="X2488" s="73">
        <f>1775*23300/1000000</f>
        <v>41.357500000000002</v>
      </c>
      <c r="Y2488" s="73">
        <f>IF(SUM(W2488:W2488)&gt;0,X2488/SUM(W2488:W2488)*1000000,"N/A")</f>
        <v>33059.552358113513</v>
      </c>
      <c r="Z2488" s="183"/>
      <c r="AA2488" s="183"/>
      <c r="AB2488" s="223"/>
      <c r="AC2488" s="210"/>
      <c r="AD2488" s="334"/>
      <c r="AE2488" s="62"/>
      <c r="AF2488" s="151"/>
      <c r="AG2488" s="182">
        <f>YEAR(D2488)</f>
        <v>2014</v>
      </c>
      <c r="AH2488" s="86" t="str">
        <f>+IF(AE2488=$AJ$22,MONTH(T2488),"")</f>
        <v/>
      </c>
      <c r="AI2488" s="86" t="str">
        <f>+IF(AF2488=$AJ$22,MONTH(U2488),"")</f>
        <v/>
      </c>
      <c r="AJ2488" s="86" t="str">
        <f>+IF(AG2488=$AJ$22,MONTH(V2488),"")</f>
        <v/>
      </c>
      <c r="AK2488" s="86" t="str">
        <f>+IF(AG2488=$AK$22,MONTH(V2488),"")</f>
        <v/>
      </c>
      <c r="AL2488" s="86" t="str">
        <f>+IF(AG2488=$AL$22,MONTH(V2488),"")</f>
        <v/>
      </c>
      <c r="AM2488" s="86" t="str">
        <f>+IF($AG2488=$AM$22,MONTH($D2488),"")</f>
        <v/>
      </c>
      <c r="AN2488" s="89" t="str">
        <f>+IF($AG2488=AN$22,MONTH($D2488),"")</f>
        <v/>
      </c>
      <c r="AO2488" s="184" t="str">
        <f>+IF($AG2488=AO$22,MONTH($D2488),"")</f>
        <v/>
      </c>
      <c r="AP2488" s="184" t="str">
        <f>+IF($AG2488=AP$22,MONTH($D2488),"")</f>
        <v/>
      </c>
      <c r="AQ2488" s="184" t="str">
        <f>+IF($AG2488=AQ$22,MONTH($D2488),"")</f>
        <v/>
      </c>
      <c r="AR2488" s="184" t="str">
        <f>+IF($AG2488=AR$22,MONTH($D2488),"")</f>
        <v/>
      </c>
      <c r="AS2488" s="184" t="str">
        <f>+IF($AG2488=AS$22,MONTH($D2488),"")</f>
        <v/>
      </c>
      <c r="AT2488" s="86">
        <f>+IF($AG2488=AT$22,MONTH($D2488),"")</f>
        <v>1</v>
      </c>
      <c r="AU2488" s="86" t="str">
        <f>+IF($AG2488=AU$22,MONTH($D2488),"")</f>
        <v/>
      </c>
      <c r="AV2488" s="86" t="str">
        <f>+IF($AG2488=AV$22,MONTH($D2488),"")</f>
        <v/>
      </c>
      <c r="AW2488" s="86" t="str">
        <f>+IF($AG2488=AW$22,MONTH($D2488),"")</f>
        <v/>
      </c>
      <c r="AX2488" s="86" t="str">
        <f>+IF($AG2488=AX$22,MONTH($D2488),"")</f>
        <v/>
      </c>
      <c r="AY2488" s="89"/>
      <c r="AZ2488" s="89"/>
      <c r="BA2488" s="89"/>
      <c r="BB2488" s="89"/>
      <c r="BC2488" s="89"/>
      <c r="BD2488" s="89"/>
      <c r="BE2488" s="89"/>
      <c r="BF2488" s="89"/>
      <c r="BG2488" s="89"/>
      <c r="BH2488" s="89"/>
      <c r="BI2488" s="89"/>
      <c r="BJ2488" s="89"/>
      <c r="BK2488" s="89"/>
      <c r="BL2488" s="89"/>
      <c r="BM2488" s="89"/>
      <c r="BN2488" s="89"/>
      <c r="BO2488" s="89"/>
      <c r="BP2488" s="89"/>
    </row>
    <row r="2489" spans="1:68" s="56" customFormat="1" ht="19.5" hidden="1" customHeight="1">
      <c r="A2489" s="204" t="str">
        <f>+IFERROR(VALUE(MID(AB2489,4,4)),"")</f>
        <v/>
      </c>
      <c r="B2489" s="204">
        <f>VALUE(RIGHT(C2489,LEN(C2489)-2))</f>
        <v>242</v>
      </c>
      <c r="C2489" s="74" t="s">
        <v>8444</v>
      </c>
      <c r="D2489" s="75">
        <v>41631</v>
      </c>
      <c r="E2489" s="70" t="s">
        <v>346</v>
      </c>
      <c r="F2489" s="70" t="s">
        <v>346</v>
      </c>
      <c r="G2489" s="68" t="s">
        <v>8322</v>
      </c>
      <c r="H2489" s="59"/>
      <c r="I2489" s="162" t="s">
        <v>8445</v>
      </c>
      <c r="J2489" s="272"/>
      <c r="K2489" s="71" t="s">
        <v>11</v>
      </c>
      <c r="L2489" s="69" t="s">
        <v>120</v>
      </c>
      <c r="M2489" s="69" t="s">
        <v>141</v>
      </c>
      <c r="N2489" s="69" t="e" vm="1">
        <v>#VALUE!</v>
      </c>
      <c r="O2489" s="164">
        <v>41652</v>
      </c>
      <c r="P2489" s="72" t="s">
        <v>7372</v>
      </c>
      <c r="Q2489" s="72"/>
      <c r="R2489" s="162"/>
      <c r="S2489" s="146"/>
      <c r="T2489" s="68" t="s">
        <v>165</v>
      </c>
      <c r="U2489" s="87"/>
      <c r="V2489" s="183">
        <v>41661</v>
      </c>
      <c r="W2489" s="73">
        <v>1320</v>
      </c>
      <c r="X2489" s="73">
        <v>41.535499999999999</v>
      </c>
      <c r="Y2489" s="73">
        <f>IF(SUM(W2489:W2489)&gt;0,X2489/SUM(W2489:W2489)*1000000,"N/A")</f>
        <v>31466.28787878788</v>
      </c>
      <c r="Z2489" s="183"/>
      <c r="AA2489" s="183"/>
      <c r="AB2489" s="223"/>
      <c r="AC2489" s="153"/>
      <c r="AD2489" s="331"/>
      <c r="AE2489" s="57"/>
      <c r="AF2489" s="151"/>
      <c r="AG2489" s="182">
        <f>YEAR(D2489)</f>
        <v>2013</v>
      </c>
      <c r="AH2489" s="86" t="str">
        <f>+IF(AE2489=$AJ$22,MONTH(T2489),"")</f>
        <v/>
      </c>
      <c r="AI2489" s="86" t="str">
        <f>+IF(AF2489=$AJ$22,MONTH(U2489),"")</f>
        <v/>
      </c>
      <c r="AJ2489" s="86" t="str">
        <f>+IF(AG2489=$AJ$22,MONTH(V2489),"")</f>
        <v/>
      </c>
      <c r="AK2489" s="86" t="str">
        <f>+IF(AG2489=$AK$22,MONTH(V2489),"")</f>
        <v/>
      </c>
      <c r="AL2489" s="86" t="str">
        <f>+IF(AG2489=$AL$22,MONTH(V2489),"")</f>
        <v/>
      </c>
      <c r="AM2489" s="86" t="str">
        <f>+IF($AG2489=$AM$22,MONTH($D2489),"")</f>
        <v/>
      </c>
      <c r="AN2489" s="89" t="str">
        <f>+IF($AG2489=AN$22,MONTH($D2489),"")</f>
        <v/>
      </c>
      <c r="AO2489" s="184" t="str">
        <f>+IF($AG2489=AO$22,MONTH($D2489),"")</f>
        <v/>
      </c>
      <c r="AP2489" s="184" t="str">
        <f>+IF($AG2489=AP$22,MONTH($D2489),"")</f>
        <v/>
      </c>
      <c r="AQ2489" s="184" t="str">
        <f>+IF($AG2489=AQ$22,MONTH($D2489),"")</f>
        <v/>
      </c>
      <c r="AR2489" s="184" t="str">
        <f>+IF($AG2489=AR$22,MONTH($D2489),"")</f>
        <v/>
      </c>
      <c r="AS2489" s="184" t="str">
        <f>+IF($AG2489=AS$22,MONTH($D2489),"")</f>
        <v/>
      </c>
      <c r="AT2489" s="86" t="str">
        <f>+IF($AG2489=AT$22,MONTH($D2489),"")</f>
        <v/>
      </c>
      <c r="AU2489" s="86">
        <f>+IF($AG2489=AU$22,MONTH($D2489),"")</f>
        <v>12</v>
      </c>
      <c r="AV2489" s="86" t="str">
        <f>+IF($AG2489=AV$22,MONTH($D2489),"")</f>
        <v/>
      </c>
      <c r="AW2489" s="86" t="str">
        <f>+IF($AG2489=AW$22,MONTH($D2489),"")</f>
        <v/>
      </c>
      <c r="AX2489" s="86" t="str">
        <f>+IF($AG2489=AX$22,MONTH($D2489),"")</f>
        <v/>
      </c>
      <c r="AY2489" s="89"/>
      <c r="AZ2489" s="89"/>
      <c r="BA2489" s="89"/>
      <c r="BB2489" s="89"/>
      <c r="BC2489" s="89"/>
      <c r="BD2489" s="89"/>
      <c r="BE2489" s="89"/>
      <c r="BF2489" s="89"/>
      <c r="BG2489" s="89"/>
      <c r="BH2489" s="89"/>
      <c r="BI2489" s="89"/>
      <c r="BJ2489" s="89"/>
      <c r="BK2489" s="89"/>
      <c r="BL2489" s="89"/>
      <c r="BM2489" s="89"/>
      <c r="BN2489" s="89"/>
      <c r="BO2489" s="89"/>
      <c r="BP2489" s="89"/>
    </row>
    <row r="2490" spans="1:68" s="56" customFormat="1" ht="19.5" hidden="1" customHeight="1">
      <c r="A2490" s="204" t="str">
        <f>+IFERROR(VALUE(MID(AB2490,4,4)),"")</f>
        <v/>
      </c>
      <c r="B2490" s="204">
        <f>VALUE(RIGHT(C2490,LEN(C2490)-2))</f>
        <v>241</v>
      </c>
      <c r="C2490" s="74" t="s">
        <v>8446</v>
      </c>
      <c r="D2490" s="75">
        <v>41641</v>
      </c>
      <c r="E2490" s="70" t="s">
        <v>8429</v>
      </c>
      <c r="F2490" s="70" t="s">
        <v>8429</v>
      </c>
      <c r="G2490" s="68" t="s">
        <v>1437</v>
      </c>
      <c r="H2490" s="152"/>
      <c r="I2490" s="189" t="s">
        <v>8447</v>
      </c>
      <c r="J2490" s="189"/>
      <c r="K2490" s="71" t="s">
        <v>30</v>
      </c>
      <c r="L2490" s="69" t="s">
        <v>120</v>
      </c>
      <c r="M2490" s="69" t="s">
        <v>141</v>
      </c>
      <c r="N2490" s="69" t="e" vm="1">
        <v>#VALUE!</v>
      </c>
      <c r="O2490" s="160">
        <v>41678</v>
      </c>
      <c r="P2490" s="72" t="s">
        <v>8414</v>
      </c>
      <c r="Q2490" s="72"/>
      <c r="R2490" s="162"/>
      <c r="S2490" s="146"/>
      <c r="T2490" s="68" t="s">
        <v>165</v>
      </c>
      <c r="U2490" s="87"/>
      <c r="V2490" s="183">
        <v>41647</v>
      </c>
      <c r="W2490" s="73">
        <v>1571</v>
      </c>
      <c r="X2490" s="73">
        <f>2230*23300/1000000</f>
        <v>51.959000000000003</v>
      </c>
      <c r="Y2490" s="73">
        <f>IF(SUM(W2490:W2490)&gt;0,X2490/SUM(W2490:W2490)*1000000,"N/A")</f>
        <v>33073.83831954169</v>
      </c>
      <c r="Z2490" s="183"/>
      <c r="AA2490" s="183"/>
      <c r="AB2490" s="223"/>
      <c r="AC2490" s="153"/>
      <c r="AD2490" s="331"/>
      <c r="AE2490" s="57"/>
      <c r="AF2490" s="151"/>
      <c r="AG2490" s="182">
        <f>YEAR(D2490)</f>
        <v>2014</v>
      </c>
      <c r="AH2490" s="86" t="str">
        <f>+IF(AE2490=$AJ$22,MONTH(T2490),"")</f>
        <v/>
      </c>
      <c r="AI2490" s="86" t="str">
        <f>+IF(AF2490=$AJ$22,MONTH(U2490),"")</f>
        <v/>
      </c>
      <c r="AJ2490" s="86" t="str">
        <f>+IF(AG2490=$AJ$22,MONTH(V2490),"")</f>
        <v/>
      </c>
      <c r="AK2490" s="86" t="str">
        <f>+IF(AG2490=$AK$22,MONTH(V2490),"")</f>
        <v/>
      </c>
      <c r="AL2490" s="86" t="str">
        <f>+IF(AG2490=$AL$22,MONTH(V2490),"")</f>
        <v/>
      </c>
      <c r="AM2490" s="86" t="str">
        <f>+IF($AG2490=$AM$22,MONTH($D2490),"")</f>
        <v/>
      </c>
      <c r="AN2490" s="89" t="str">
        <f>+IF($AG2490=AN$22,MONTH($D2490),"")</f>
        <v/>
      </c>
      <c r="AO2490" s="184" t="str">
        <f>+IF($AG2490=AO$22,MONTH($D2490),"")</f>
        <v/>
      </c>
      <c r="AP2490" s="184" t="str">
        <f>+IF($AG2490=AP$22,MONTH($D2490),"")</f>
        <v/>
      </c>
      <c r="AQ2490" s="184" t="str">
        <f>+IF($AG2490=AQ$22,MONTH($D2490),"")</f>
        <v/>
      </c>
      <c r="AR2490" s="184" t="str">
        <f>+IF($AG2490=AR$22,MONTH($D2490),"")</f>
        <v/>
      </c>
      <c r="AS2490" s="184" t="str">
        <f>+IF($AG2490=AS$22,MONTH($D2490),"")</f>
        <v/>
      </c>
      <c r="AT2490" s="86">
        <f>+IF($AG2490=AT$22,MONTH($D2490),"")</f>
        <v>1</v>
      </c>
      <c r="AU2490" s="86" t="str">
        <f>+IF($AG2490=AU$22,MONTH($D2490),"")</f>
        <v/>
      </c>
      <c r="AV2490" s="86" t="str">
        <f>+IF($AG2490=AV$22,MONTH($D2490),"")</f>
        <v/>
      </c>
      <c r="AW2490" s="86" t="str">
        <f>+IF($AG2490=AW$22,MONTH($D2490),"")</f>
        <v/>
      </c>
      <c r="AX2490" s="86" t="str">
        <f>+IF($AG2490=AX$22,MONTH($D2490),"")</f>
        <v/>
      </c>
      <c r="AY2490" s="89"/>
      <c r="AZ2490" s="89"/>
      <c r="BA2490" s="89"/>
      <c r="BB2490" s="89"/>
      <c r="BC2490" s="89"/>
      <c r="BD2490" s="89"/>
      <c r="BE2490" s="89"/>
      <c r="BF2490" s="89"/>
      <c r="BG2490" s="89"/>
      <c r="BH2490" s="89"/>
      <c r="BI2490" s="89"/>
      <c r="BJ2490" s="89"/>
      <c r="BK2490" s="89"/>
      <c r="BL2490" s="89"/>
      <c r="BM2490" s="89"/>
      <c r="BN2490" s="89"/>
      <c r="BO2490" s="89"/>
      <c r="BP2490" s="89"/>
    </row>
    <row r="2491" spans="1:68" s="56" customFormat="1" ht="19.5" hidden="1" customHeight="1">
      <c r="A2491" s="204" t="str">
        <f>+IFERROR(VALUE(MID(AB2491,4,4)),"")</f>
        <v/>
      </c>
      <c r="B2491" s="204">
        <f>VALUE(RIGHT(C2491,LEN(C2491)-2))</f>
        <v>240</v>
      </c>
      <c r="C2491" s="74" t="s">
        <v>8448</v>
      </c>
      <c r="D2491" s="75">
        <v>41995</v>
      </c>
      <c r="E2491" s="70" t="s">
        <v>63</v>
      </c>
      <c r="F2491" s="70" t="s">
        <v>8405</v>
      </c>
      <c r="G2491" s="68" t="s">
        <v>5340</v>
      </c>
      <c r="H2491" s="59" t="s">
        <v>8245</v>
      </c>
      <c r="I2491" s="162" t="s">
        <v>8449</v>
      </c>
      <c r="J2491" s="272"/>
      <c r="K2491" s="71" t="s">
        <v>12</v>
      </c>
      <c r="L2491" s="69" t="s">
        <v>120</v>
      </c>
      <c r="M2491" s="69" t="s">
        <v>141</v>
      </c>
      <c r="N2491" s="69" t="e" vm="1">
        <v>#VALUE!</v>
      </c>
      <c r="O2491" s="164">
        <v>41996</v>
      </c>
      <c r="P2491" s="72" t="s">
        <v>4567</v>
      </c>
      <c r="Q2491" s="72"/>
      <c r="R2491" s="162"/>
      <c r="S2491" s="146"/>
      <c r="T2491" s="68" t="s">
        <v>165</v>
      </c>
      <c r="U2491" s="87"/>
      <c r="V2491" s="183">
        <v>41645</v>
      </c>
      <c r="W2491" s="73">
        <v>75</v>
      </c>
      <c r="X2491" s="73">
        <f>100*23300/1000000</f>
        <v>2.33</v>
      </c>
      <c r="Y2491" s="73">
        <f>IF(SUM(W2491:W2491)&gt;0,X2491/SUM(W2491:W2491)*1000000,"N/A")</f>
        <v>31066.666666666664</v>
      </c>
      <c r="Z2491" s="183"/>
      <c r="AA2491" s="183"/>
      <c r="AB2491" s="223"/>
      <c r="AC2491" s="153"/>
      <c r="AD2491" s="331"/>
      <c r="AE2491" s="57"/>
      <c r="AF2491" s="151"/>
      <c r="AG2491" s="182">
        <f>YEAR(D2491)</f>
        <v>2014</v>
      </c>
      <c r="AH2491" s="86" t="str">
        <f>+IF(AE2491=$AJ$22,MONTH(T2491),"")</f>
        <v/>
      </c>
      <c r="AI2491" s="86" t="str">
        <f>+IF(AF2491=$AJ$22,MONTH(U2491),"")</f>
        <v/>
      </c>
      <c r="AJ2491" s="86" t="str">
        <f>+IF(AG2491=$AJ$22,MONTH(V2491),"")</f>
        <v/>
      </c>
      <c r="AK2491" s="86" t="str">
        <f>+IF(AG2491=$AK$22,MONTH(V2491),"")</f>
        <v/>
      </c>
      <c r="AL2491" s="86" t="str">
        <f>+IF(AG2491=$AL$22,MONTH(V2491),"")</f>
        <v/>
      </c>
      <c r="AM2491" s="86" t="str">
        <f>+IF($AG2491=$AM$22,MONTH($D2491),"")</f>
        <v/>
      </c>
      <c r="AN2491" s="89" t="str">
        <f>+IF($AG2491=AN$22,MONTH($D2491),"")</f>
        <v/>
      </c>
      <c r="AO2491" s="86" t="str">
        <f>+IF($AG2491=AO$22,MONTH($D2491),"")</f>
        <v/>
      </c>
      <c r="AP2491" s="86" t="str">
        <f>+IF($AG2491=AP$22,MONTH($D2491),"")</f>
        <v/>
      </c>
      <c r="AQ2491" s="86" t="str">
        <f>+IF($AG2491=AQ$22,MONTH($D2491),"")</f>
        <v/>
      </c>
      <c r="AR2491" s="86" t="str">
        <f>+IF($AG2491=AR$22,MONTH($D2491),"")</f>
        <v/>
      </c>
      <c r="AS2491" s="86" t="str">
        <f>+IF($AG2491=AS$22,MONTH($D2491),"")</f>
        <v/>
      </c>
      <c r="AT2491" s="86">
        <f>+IF($AG2491=AT$22,MONTH($D2491),"")</f>
        <v>12</v>
      </c>
      <c r="AU2491" s="86" t="str">
        <f>+IF($AG2491=AU$22,MONTH($D2491),"")</f>
        <v/>
      </c>
      <c r="AV2491" s="86" t="str">
        <f>+IF($AG2491=AV$22,MONTH($D2491),"")</f>
        <v/>
      </c>
      <c r="AW2491" s="86" t="str">
        <f>+IF($AG2491=AW$22,MONTH($D2491),"")</f>
        <v/>
      </c>
      <c r="AX2491" s="86" t="str">
        <f>+IF($AG2491=AX$22,MONTH($D2491),"")</f>
        <v/>
      </c>
      <c r="AY2491" s="89"/>
      <c r="AZ2491" s="89"/>
      <c r="BA2491" s="89"/>
      <c r="BB2491" s="89"/>
      <c r="BC2491" s="89"/>
      <c r="BD2491" s="89"/>
      <c r="BE2491" s="89"/>
      <c r="BF2491" s="89"/>
      <c r="BG2491" s="89"/>
      <c r="BH2491" s="89"/>
      <c r="BI2491" s="89"/>
      <c r="BJ2491" s="89"/>
      <c r="BK2491" s="89"/>
      <c r="BL2491" s="89"/>
      <c r="BM2491" s="89"/>
      <c r="BN2491" s="89"/>
      <c r="BO2491" s="89"/>
      <c r="BP2491" s="89"/>
    </row>
    <row r="2492" spans="1:68" s="56" customFormat="1" ht="19.5" hidden="1" customHeight="1">
      <c r="A2492" s="204" t="str">
        <f>+IFERROR(VALUE(MID(AB2492,4,4)),"")</f>
        <v/>
      </c>
      <c r="B2492" s="204">
        <f>VALUE(RIGHT(C2492,LEN(C2492)-2))</f>
        <v>239</v>
      </c>
      <c r="C2492" s="74" t="s">
        <v>8450</v>
      </c>
      <c r="D2492" s="75">
        <v>41623</v>
      </c>
      <c r="E2492" s="70" t="s">
        <v>346</v>
      </c>
      <c r="F2492" s="70" t="s">
        <v>346</v>
      </c>
      <c r="G2492" s="68" t="s">
        <v>8322</v>
      </c>
      <c r="H2492" s="59"/>
      <c r="I2492" s="162" t="s">
        <v>8451</v>
      </c>
      <c r="J2492" s="272"/>
      <c r="K2492" s="71" t="s">
        <v>11</v>
      </c>
      <c r="L2492" s="69" t="s">
        <v>120</v>
      </c>
      <c r="M2492" s="69" t="s">
        <v>141</v>
      </c>
      <c r="N2492" s="69" t="e" vm="1">
        <v>#VALUE!</v>
      </c>
      <c r="O2492" s="164">
        <v>41645</v>
      </c>
      <c r="P2492" s="72" t="s">
        <v>7372</v>
      </c>
      <c r="Q2492" s="72"/>
      <c r="R2492" s="162"/>
      <c r="S2492" s="146"/>
      <c r="T2492" s="68" t="s">
        <v>165</v>
      </c>
      <c r="U2492" s="87"/>
      <c r="V2492" s="183">
        <v>41680</v>
      </c>
      <c r="W2492" s="73">
        <v>1005</v>
      </c>
      <c r="X2492" s="73">
        <v>35.390999999999998</v>
      </c>
      <c r="Y2492" s="73">
        <f>IF(SUM(W2492:W2492)&gt;0,X2492/SUM(W2492:W2492)*1000000,"N/A")</f>
        <v>35214.92537313432</v>
      </c>
      <c r="Z2492" s="183"/>
      <c r="AA2492" s="183"/>
      <c r="AB2492" s="223"/>
      <c r="AC2492" s="153"/>
      <c r="AD2492" s="331"/>
      <c r="AE2492" s="57"/>
      <c r="AF2492" s="151"/>
      <c r="AG2492" s="182">
        <f>YEAR(D2492)</f>
        <v>2013</v>
      </c>
      <c r="AH2492" s="86" t="str">
        <f>+IF(AE2492=$AJ$22,MONTH(T2492),"")</f>
        <v/>
      </c>
      <c r="AI2492" s="86" t="str">
        <f>+IF(AF2492=$AJ$22,MONTH(U2492),"")</f>
        <v/>
      </c>
      <c r="AJ2492" s="86" t="str">
        <f>+IF(AG2492=$AJ$22,MONTH(V2492),"")</f>
        <v/>
      </c>
      <c r="AK2492" s="86" t="str">
        <f>+IF(AG2492=$AK$22,MONTH(V2492),"")</f>
        <v/>
      </c>
      <c r="AL2492" s="86" t="str">
        <f>+IF(AG2492=$AL$22,MONTH(V2492),"")</f>
        <v/>
      </c>
      <c r="AM2492" s="86" t="str">
        <f>+IF($AG2492=$AM$22,MONTH($D2492),"")</f>
        <v/>
      </c>
      <c r="AN2492" s="89" t="str">
        <f>+IF($AG2492=AN$22,MONTH($D2492),"")</f>
        <v/>
      </c>
      <c r="AO2492" s="184" t="str">
        <f>+IF($AG2492=AO$22,MONTH($D2492),"")</f>
        <v/>
      </c>
      <c r="AP2492" s="184" t="str">
        <f>+IF($AG2492=AP$22,MONTH($D2492),"")</f>
        <v/>
      </c>
      <c r="AQ2492" s="184" t="str">
        <f>+IF($AG2492=AQ$22,MONTH($D2492),"")</f>
        <v/>
      </c>
      <c r="AR2492" s="184" t="str">
        <f>+IF($AG2492=AR$22,MONTH($D2492),"")</f>
        <v/>
      </c>
      <c r="AS2492" s="184" t="str">
        <f>+IF($AG2492=AS$22,MONTH($D2492),"")</f>
        <v/>
      </c>
      <c r="AT2492" s="86" t="str">
        <f>+IF($AG2492=AT$22,MONTH($D2492),"")</f>
        <v/>
      </c>
      <c r="AU2492" s="86">
        <f>+IF($AG2492=AU$22,MONTH($D2492),"")</f>
        <v>12</v>
      </c>
      <c r="AV2492" s="86" t="str">
        <f>+IF($AG2492=AV$22,MONTH($D2492),"")</f>
        <v/>
      </c>
      <c r="AW2492" s="86" t="str">
        <f>+IF($AG2492=AW$22,MONTH($D2492),"")</f>
        <v/>
      </c>
      <c r="AX2492" s="86" t="str">
        <f>+IF($AG2492=AX$22,MONTH($D2492),"")</f>
        <v/>
      </c>
      <c r="AY2492" s="89"/>
      <c r="AZ2492" s="89"/>
      <c r="BA2492" s="89"/>
      <c r="BB2492" s="89"/>
      <c r="BC2492" s="89"/>
      <c r="BD2492" s="89"/>
      <c r="BE2492" s="89"/>
      <c r="BF2492" s="89"/>
      <c r="BG2492" s="89"/>
      <c r="BH2492" s="89"/>
      <c r="BI2492" s="89"/>
      <c r="BJ2492" s="89"/>
      <c r="BK2492" s="89"/>
      <c r="BL2492" s="89"/>
      <c r="BM2492" s="89"/>
      <c r="BN2492" s="89"/>
      <c r="BO2492" s="89"/>
      <c r="BP2492" s="89"/>
    </row>
    <row r="2493" spans="1:68" s="56" customFormat="1" ht="19.5" hidden="1" customHeight="1">
      <c r="A2493" s="204" t="str">
        <f>+IFERROR(VALUE(MID(AB2493,4,4)),"")</f>
        <v/>
      </c>
      <c r="B2493" s="204">
        <f>VALUE(RIGHT(C2493,LEN(C2493)-2))</f>
        <v>238</v>
      </c>
      <c r="C2493" s="74" t="s">
        <v>8452</v>
      </c>
      <c r="D2493" s="75">
        <v>41624</v>
      </c>
      <c r="E2493" s="70" t="s">
        <v>5662</v>
      </c>
      <c r="F2493" s="70" t="s">
        <v>7705</v>
      </c>
      <c r="G2493" s="68" t="s">
        <v>7892</v>
      </c>
      <c r="H2493" s="59" t="s">
        <v>7971</v>
      </c>
      <c r="I2493" s="162" t="s">
        <v>8453</v>
      </c>
      <c r="J2493" s="272"/>
      <c r="K2493" s="71" t="s">
        <v>12</v>
      </c>
      <c r="L2493" s="69" t="s">
        <v>120</v>
      </c>
      <c r="M2493" s="69" t="s">
        <v>141</v>
      </c>
      <c r="N2493" s="69" t="e" vm="1">
        <v>#VALUE!</v>
      </c>
      <c r="O2493" s="164">
        <v>41628</v>
      </c>
      <c r="P2493" s="72" t="s">
        <v>4567</v>
      </c>
      <c r="Q2493" s="72"/>
      <c r="R2493" s="162"/>
      <c r="S2493" s="146"/>
      <c r="T2493" s="68" t="s">
        <v>165</v>
      </c>
      <c r="U2493" s="87"/>
      <c r="V2493" s="183">
        <v>41956</v>
      </c>
      <c r="W2493" s="73">
        <v>1978</v>
      </c>
      <c r="X2493" s="73">
        <f>3058/1000000*23300</f>
        <v>71.251400000000004</v>
      </c>
      <c r="Y2493" s="73">
        <f>IF(SUM(W2493:W2493)&gt;0,X2493/SUM(W2493:W2493)*1000000,"N/A")</f>
        <v>36021.941354903945</v>
      </c>
      <c r="Z2493" s="183"/>
      <c r="AA2493" s="183"/>
      <c r="AB2493" s="223"/>
      <c r="AC2493" s="153"/>
      <c r="AD2493" s="331"/>
      <c r="AE2493" s="57"/>
      <c r="AF2493" s="151"/>
      <c r="AG2493" s="182">
        <f>YEAR(D2493)</f>
        <v>2013</v>
      </c>
      <c r="AH2493" s="86" t="str">
        <f>+IF(AE2493=$AJ$22,MONTH(T2493),"")</f>
        <v/>
      </c>
      <c r="AI2493" s="86" t="str">
        <f>+IF(AF2493=$AJ$22,MONTH(U2493),"")</f>
        <v/>
      </c>
      <c r="AJ2493" s="86" t="str">
        <f>+IF(AG2493=$AJ$22,MONTH(V2493),"")</f>
        <v/>
      </c>
      <c r="AK2493" s="86" t="str">
        <f>+IF(AG2493=$AK$22,MONTH(V2493),"")</f>
        <v/>
      </c>
      <c r="AL2493" s="86" t="str">
        <f>+IF(AG2493=$AL$22,MONTH(V2493),"")</f>
        <v/>
      </c>
      <c r="AM2493" s="86" t="str">
        <f>+IF($AG2493=$AM$22,MONTH($D2493),"")</f>
        <v/>
      </c>
      <c r="AN2493" s="89" t="str">
        <f>+IF($AG2493=AN$22,MONTH($D2493),"")</f>
        <v/>
      </c>
      <c r="AO2493" s="184" t="str">
        <f>+IF($AG2493=AO$22,MONTH($D2493),"")</f>
        <v/>
      </c>
      <c r="AP2493" s="184" t="str">
        <f>+IF($AG2493=AP$22,MONTH($D2493),"")</f>
        <v/>
      </c>
      <c r="AQ2493" s="184" t="str">
        <f>+IF($AG2493=AQ$22,MONTH($D2493),"")</f>
        <v/>
      </c>
      <c r="AR2493" s="184" t="str">
        <f>+IF($AG2493=AR$22,MONTH($D2493),"")</f>
        <v/>
      </c>
      <c r="AS2493" s="184" t="str">
        <f>+IF($AG2493=AS$22,MONTH($D2493),"")</f>
        <v/>
      </c>
      <c r="AT2493" s="86" t="str">
        <f>+IF($AG2493=AT$22,MONTH($D2493),"")</f>
        <v/>
      </c>
      <c r="AU2493" s="86">
        <f>+IF($AG2493=AU$22,MONTH($D2493),"")</f>
        <v>12</v>
      </c>
      <c r="AV2493" s="86" t="str">
        <f>+IF($AG2493=AV$22,MONTH($D2493),"")</f>
        <v/>
      </c>
      <c r="AW2493" s="86" t="str">
        <f>+IF($AG2493=AW$22,MONTH($D2493),"")</f>
        <v/>
      </c>
      <c r="AX2493" s="86" t="str">
        <f>+IF($AG2493=AX$22,MONTH($D2493),"")</f>
        <v/>
      </c>
      <c r="AY2493" s="89"/>
      <c r="AZ2493" s="89"/>
      <c r="BA2493" s="89"/>
      <c r="BB2493" s="89"/>
      <c r="BC2493" s="89"/>
      <c r="BD2493" s="89"/>
      <c r="BE2493" s="89"/>
      <c r="BF2493" s="89"/>
      <c r="BG2493" s="89"/>
      <c r="BH2493" s="89"/>
      <c r="BI2493" s="89"/>
      <c r="BJ2493" s="89"/>
      <c r="BK2493" s="89"/>
      <c r="BL2493" s="89"/>
      <c r="BM2493" s="89"/>
      <c r="BN2493" s="89"/>
      <c r="BO2493" s="89"/>
      <c r="BP2493" s="89"/>
    </row>
    <row r="2494" spans="1:68" s="56" customFormat="1" ht="24.75" hidden="1" customHeight="1">
      <c r="A2494" s="204">
        <f>+IFERROR(VALUE(MID(AB2494,4,4)),"")</f>
        <v>92</v>
      </c>
      <c r="B2494" s="204">
        <f>VALUE(RIGHT(C2494,LEN(C2494)-2))</f>
        <v>237</v>
      </c>
      <c r="C2494" s="74" t="s">
        <v>8454</v>
      </c>
      <c r="D2494" s="75">
        <v>41618</v>
      </c>
      <c r="E2494" s="70" t="s">
        <v>107</v>
      </c>
      <c r="F2494" s="70" t="s">
        <v>107</v>
      </c>
      <c r="G2494" s="68" t="s">
        <v>8402</v>
      </c>
      <c r="H2494" s="59"/>
      <c r="I2494" s="162" t="s">
        <v>8455</v>
      </c>
      <c r="J2494" s="272"/>
      <c r="K2494" s="71" t="s">
        <v>13</v>
      </c>
      <c r="L2494" s="69" t="s">
        <v>120</v>
      </c>
      <c r="M2494" s="69" t="s">
        <v>141</v>
      </c>
      <c r="N2494" s="69" t="e" vm="1">
        <v>#VALUE!</v>
      </c>
      <c r="O2494" s="164">
        <v>41618</v>
      </c>
      <c r="P2494" s="72" t="s">
        <v>4567</v>
      </c>
      <c r="Q2494" s="72"/>
      <c r="R2494" s="162"/>
      <c r="S2494" s="146"/>
      <c r="T2494" s="68" t="s">
        <v>3</v>
      </c>
      <c r="U2494" s="87"/>
      <c r="V2494" s="183">
        <v>41724</v>
      </c>
      <c r="W2494" s="73">
        <v>2951</v>
      </c>
      <c r="X2494" s="73">
        <f>135*24500/1000000</f>
        <v>3.3075000000000001</v>
      </c>
      <c r="Y2494" s="73">
        <f>IF(SUM(W2494:W2494)&gt;0,X2494/SUM(W2494:W2494)*1000000,"N/A")</f>
        <v>1120.8065062690614</v>
      </c>
      <c r="Z2494" s="183"/>
      <c r="AA2494" s="183"/>
      <c r="AB2494" s="223" t="s">
        <v>8456</v>
      </c>
      <c r="AC2494" s="153"/>
      <c r="AD2494" s="331"/>
      <c r="AE2494" s="57"/>
      <c r="AF2494" s="151"/>
      <c r="AG2494" s="182">
        <f>YEAR(D2494)</f>
        <v>2013</v>
      </c>
      <c r="AH2494" s="86" t="str">
        <f>+IF(AE2494=$AJ$22,MONTH(T2494),"")</f>
        <v/>
      </c>
      <c r="AI2494" s="86" t="str">
        <f>+IF(AF2494=$AJ$22,MONTH(U2494),"")</f>
        <v/>
      </c>
      <c r="AJ2494" s="86" t="str">
        <f>+IF(AG2494=$AJ$22,MONTH(V2494),"")</f>
        <v/>
      </c>
      <c r="AK2494" s="86" t="str">
        <f>+IF(AG2494=$AK$22,MONTH(V2494),"")</f>
        <v/>
      </c>
      <c r="AL2494" s="86" t="str">
        <f>+IF(AG2494=$AL$22,MONTH(V2494),"")</f>
        <v/>
      </c>
      <c r="AM2494" s="86" t="str">
        <f>+IF($AG2494=$AM$22,MONTH($D2494),"")</f>
        <v/>
      </c>
      <c r="AN2494" s="89" t="str">
        <f>+IF($AG2494=AN$22,MONTH($D2494),"")</f>
        <v/>
      </c>
      <c r="AO2494" s="86" t="str">
        <f>+IF($AG2494=AO$22,MONTH($D2494),"")</f>
        <v/>
      </c>
      <c r="AP2494" s="86" t="str">
        <f>+IF($AG2494=AP$22,MONTH($D2494),"")</f>
        <v/>
      </c>
      <c r="AQ2494" s="86" t="str">
        <f>+IF($AG2494=AQ$22,MONTH($D2494),"")</f>
        <v/>
      </c>
      <c r="AR2494" s="86" t="str">
        <f>+IF($AG2494=AR$22,MONTH($D2494),"")</f>
        <v/>
      </c>
      <c r="AS2494" s="86" t="str">
        <f>+IF($AG2494=AS$22,MONTH($D2494),"")</f>
        <v/>
      </c>
      <c r="AT2494" s="86" t="str">
        <f>+IF($AG2494=AT$22,MONTH($D2494),"")</f>
        <v/>
      </c>
      <c r="AU2494" s="86">
        <f>+IF($AG2494=AU$22,MONTH($D2494),"")</f>
        <v>12</v>
      </c>
      <c r="AV2494" s="86" t="str">
        <f>+IF($AG2494=AV$22,MONTH($D2494),"")</f>
        <v/>
      </c>
      <c r="AW2494" s="86" t="str">
        <f>+IF($AG2494=AW$22,MONTH($D2494),"")</f>
        <v/>
      </c>
      <c r="AX2494" s="86" t="str">
        <f>+IF($AG2494=AX$22,MONTH($D2494),"")</f>
        <v/>
      </c>
      <c r="AY2494" s="89"/>
      <c r="AZ2494" s="89"/>
      <c r="BA2494" s="89"/>
      <c r="BB2494" s="89"/>
      <c r="BC2494" s="89"/>
      <c r="BD2494" s="89"/>
      <c r="BE2494" s="89"/>
      <c r="BF2494" s="89"/>
      <c r="BG2494" s="89"/>
      <c r="BH2494" s="89"/>
      <c r="BI2494" s="89"/>
      <c r="BJ2494" s="89"/>
      <c r="BK2494" s="89"/>
      <c r="BL2494" s="89"/>
      <c r="BM2494" s="89"/>
      <c r="BN2494" s="89"/>
      <c r="BO2494" s="89"/>
      <c r="BP2494" s="89"/>
    </row>
    <row r="2495" spans="1:68" s="56" customFormat="1" ht="19.5" hidden="1" customHeight="1">
      <c r="A2495" s="204" t="str">
        <f>+IFERROR(VALUE(MID(AB2495,4,4)),"")</f>
        <v/>
      </c>
      <c r="B2495" s="204">
        <f>VALUE(RIGHT(C2495,LEN(C2495)-2))</f>
        <v>236</v>
      </c>
      <c r="C2495" s="74" t="s">
        <v>8457</v>
      </c>
      <c r="D2495" s="75">
        <v>41582</v>
      </c>
      <c r="E2495" s="70" t="s">
        <v>346</v>
      </c>
      <c r="F2495" s="70" t="s">
        <v>346</v>
      </c>
      <c r="G2495" s="68" t="s">
        <v>7922</v>
      </c>
      <c r="H2495" s="59"/>
      <c r="I2495" s="162" t="s">
        <v>8458</v>
      </c>
      <c r="J2495" s="272"/>
      <c r="K2495" s="71" t="s">
        <v>12</v>
      </c>
      <c r="L2495" s="69" t="s">
        <v>120</v>
      </c>
      <c r="M2495" s="69" t="s">
        <v>141</v>
      </c>
      <c r="N2495" s="69" t="e" vm="1">
        <v>#VALUE!</v>
      </c>
      <c r="O2495" s="164">
        <v>41617</v>
      </c>
      <c r="P2495" s="72" t="s">
        <v>8414</v>
      </c>
      <c r="Q2495" s="72"/>
      <c r="R2495" s="162"/>
      <c r="S2495" s="146"/>
      <c r="T2495" s="68" t="s">
        <v>165</v>
      </c>
      <c r="U2495" s="87"/>
      <c r="V2495" s="183">
        <v>41991</v>
      </c>
      <c r="W2495" s="73">
        <v>975</v>
      </c>
      <c r="X2495" s="73">
        <v>32.674999999999997</v>
      </c>
      <c r="Y2495" s="73">
        <f>IF(SUM(W2495:W2495)&gt;0,X2495/SUM(W2495:W2495)*1000000,"N/A")</f>
        <v>33512.820512820508</v>
      </c>
      <c r="Z2495" s="183"/>
      <c r="AA2495" s="183"/>
      <c r="AB2495" s="223"/>
      <c r="AC2495" s="153"/>
      <c r="AD2495" s="331"/>
      <c r="AE2495" s="57"/>
      <c r="AF2495" s="151"/>
      <c r="AG2495" s="182">
        <f>YEAR(D2495)</f>
        <v>2013</v>
      </c>
      <c r="AH2495" s="86" t="str">
        <f>+IF(AE2495=$AJ$22,MONTH(T2495),"")</f>
        <v/>
      </c>
      <c r="AI2495" s="86" t="str">
        <f>+IF(AF2495=$AJ$22,MONTH(U2495),"")</f>
        <v/>
      </c>
      <c r="AJ2495" s="86" t="str">
        <f>+IF(AG2495=$AJ$22,MONTH(V2495),"")</f>
        <v/>
      </c>
      <c r="AK2495" s="86" t="str">
        <f>+IF(AG2495=$AK$22,MONTH(V2495),"")</f>
        <v/>
      </c>
      <c r="AL2495" s="86" t="str">
        <f>+IF(AG2495=$AL$22,MONTH(V2495),"")</f>
        <v/>
      </c>
      <c r="AM2495" s="86" t="str">
        <f>+IF($AG2495=$AM$22,MONTH($D2495),"")</f>
        <v/>
      </c>
      <c r="AN2495" s="89" t="str">
        <f>+IF($AG2495=AN$22,MONTH($D2495),"")</f>
        <v/>
      </c>
      <c r="AO2495" s="184" t="str">
        <f>+IF($AG2495=AO$22,MONTH($D2495),"")</f>
        <v/>
      </c>
      <c r="AP2495" s="184" t="str">
        <f>+IF($AG2495=AP$22,MONTH($D2495),"")</f>
        <v/>
      </c>
      <c r="AQ2495" s="184" t="str">
        <f>+IF($AG2495=AQ$22,MONTH($D2495),"")</f>
        <v/>
      </c>
      <c r="AR2495" s="184" t="str">
        <f>+IF($AG2495=AR$22,MONTH($D2495),"")</f>
        <v/>
      </c>
      <c r="AS2495" s="184" t="str">
        <f>+IF($AG2495=AS$22,MONTH($D2495),"")</f>
        <v/>
      </c>
      <c r="AT2495" s="86" t="str">
        <f>+IF($AG2495=AT$22,MONTH($D2495),"")</f>
        <v/>
      </c>
      <c r="AU2495" s="86">
        <f>+IF($AG2495=AU$22,MONTH($D2495),"")</f>
        <v>11</v>
      </c>
      <c r="AV2495" s="86" t="str">
        <f>+IF($AG2495=AV$22,MONTH($D2495),"")</f>
        <v/>
      </c>
      <c r="AW2495" s="86" t="str">
        <f>+IF($AG2495=AW$22,MONTH($D2495),"")</f>
        <v/>
      </c>
      <c r="AX2495" s="86" t="str">
        <f>+IF($AG2495=AX$22,MONTH($D2495),"")</f>
        <v/>
      </c>
      <c r="AY2495" s="89"/>
      <c r="AZ2495" s="89"/>
      <c r="BA2495" s="89"/>
      <c r="BB2495" s="89"/>
      <c r="BC2495" s="89"/>
      <c r="BD2495" s="89"/>
      <c r="BE2495" s="89"/>
      <c r="BF2495" s="89"/>
      <c r="BG2495" s="89"/>
      <c r="BH2495" s="89"/>
      <c r="BI2495" s="89"/>
      <c r="BJ2495" s="89"/>
      <c r="BK2495" s="89"/>
      <c r="BL2495" s="89"/>
      <c r="BM2495" s="89"/>
      <c r="BN2495" s="89"/>
      <c r="BO2495" s="89"/>
      <c r="BP2495" s="89"/>
    </row>
    <row r="2496" spans="1:68" s="56" customFormat="1" ht="19.5" hidden="1" customHeight="1">
      <c r="A2496" s="204">
        <f>+IFERROR(VALUE(MID(AB2496,4,4)),"")</f>
        <v>97</v>
      </c>
      <c r="B2496" s="204">
        <f>VALUE(RIGHT(C2496,LEN(C2496)-2))</f>
        <v>235</v>
      </c>
      <c r="C2496" s="74" t="s">
        <v>8459</v>
      </c>
      <c r="D2496" s="75">
        <v>41598</v>
      </c>
      <c r="E2496" s="70" t="s">
        <v>2961</v>
      </c>
      <c r="F2496" s="70" t="s">
        <v>2961</v>
      </c>
      <c r="G2496" s="68" t="s">
        <v>364</v>
      </c>
      <c r="H2496" s="59" t="s">
        <v>8245</v>
      </c>
      <c r="I2496" s="162" t="s">
        <v>8460</v>
      </c>
      <c r="J2496" s="162"/>
      <c r="K2496" s="68" t="s">
        <v>212</v>
      </c>
      <c r="L2496" s="69" t="s">
        <v>120</v>
      </c>
      <c r="M2496" s="69" t="s">
        <v>141</v>
      </c>
      <c r="N2496" s="69" t="e" vm="1">
        <v>#VALUE!</v>
      </c>
      <c r="O2496" s="164">
        <v>41596</v>
      </c>
      <c r="P2496" s="72" t="s">
        <v>402</v>
      </c>
      <c r="Q2496" s="72"/>
      <c r="R2496" s="162"/>
      <c r="S2496" s="146" t="s">
        <v>8461</v>
      </c>
      <c r="T2496" s="68" t="s">
        <v>3</v>
      </c>
      <c r="U2496" s="87"/>
      <c r="V2496" s="183"/>
      <c r="W2496" s="73">
        <v>254</v>
      </c>
      <c r="X2496" s="73">
        <f>524*23619/1000000</f>
        <v>12.376355999999999</v>
      </c>
      <c r="Y2496" s="73">
        <f>IF(SUM(W2496:W2496)&gt;0,X2496/SUM(W2496:W2496)*1000000,"N/A")</f>
        <v>48725.811023622045</v>
      </c>
      <c r="Z2496" s="183"/>
      <c r="AA2496" s="183"/>
      <c r="AB2496" s="223" t="s">
        <v>8462</v>
      </c>
      <c r="AC2496" s="153"/>
      <c r="AD2496" s="331"/>
      <c r="AE2496" s="57"/>
      <c r="AF2496" s="151"/>
      <c r="AG2496" s="182">
        <f>YEAR(D2496)</f>
        <v>2013</v>
      </c>
      <c r="AH2496" s="86" t="str">
        <f>+IF(AE2496=$AJ$22,MONTH(T2496),"")</f>
        <v/>
      </c>
      <c r="AI2496" s="86" t="str">
        <f>+IF(AF2496=$AJ$22,MONTH(U2496),"")</f>
        <v/>
      </c>
      <c r="AJ2496" s="86" t="str">
        <f>+IF(AG2496=$AJ$22,MONTH(V2496),"")</f>
        <v/>
      </c>
      <c r="AK2496" s="86" t="str">
        <f>+IF(AG2496=$AK$22,MONTH(V2496),"")</f>
        <v/>
      </c>
      <c r="AL2496" s="86" t="str">
        <f>+IF(AG2496=$AL$22,MONTH(V2496),"")</f>
        <v/>
      </c>
      <c r="AM2496" s="86" t="str">
        <f>+IF($AG2496=$AM$22,MONTH($D2496),"")</f>
        <v/>
      </c>
      <c r="AN2496" s="89" t="str">
        <f>+IF($AG2496=AN$22,MONTH($D2496),"")</f>
        <v/>
      </c>
      <c r="AO2496" s="86" t="str">
        <f>+IF($AG2496=AO$22,MONTH($D2496),"")</f>
        <v/>
      </c>
      <c r="AP2496" s="86" t="str">
        <f>+IF($AG2496=AP$22,MONTH($D2496),"")</f>
        <v/>
      </c>
      <c r="AQ2496" s="86" t="str">
        <f>+IF($AG2496=AQ$22,MONTH($D2496),"")</f>
        <v/>
      </c>
      <c r="AR2496" s="86" t="str">
        <f>+IF($AG2496=AR$22,MONTH($D2496),"")</f>
        <v/>
      </c>
      <c r="AS2496" s="86" t="str">
        <f>+IF($AG2496=AS$22,MONTH($D2496),"")</f>
        <v/>
      </c>
      <c r="AT2496" s="86" t="str">
        <f>+IF($AG2496=AT$22,MONTH($D2496),"")</f>
        <v/>
      </c>
      <c r="AU2496" s="86">
        <f>+IF($AG2496=AU$22,MONTH($D2496),"")</f>
        <v>11</v>
      </c>
      <c r="AV2496" s="86" t="str">
        <f>+IF($AG2496=AV$22,MONTH($D2496),"")</f>
        <v/>
      </c>
      <c r="AW2496" s="86" t="str">
        <f>+IF($AG2496=AW$22,MONTH($D2496),"")</f>
        <v/>
      </c>
      <c r="AX2496" s="86" t="str">
        <f>+IF($AG2496=AX$22,MONTH($D2496),"")</f>
        <v/>
      </c>
      <c r="AY2496" s="89"/>
      <c r="AZ2496" s="89"/>
      <c r="BA2496" s="89"/>
      <c r="BB2496" s="89"/>
      <c r="BC2496" s="89"/>
      <c r="BD2496" s="89"/>
      <c r="BE2496" s="89"/>
      <c r="BF2496" s="89"/>
      <c r="BG2496" s="89"/>
      <c r="BH2496" s="89"/>
      <c r="BI2496" s="89"/>
      <c r="BJ2496" s="89"/>
      <c r="BK2496" s="89"/>
      <c r="BL2496" s="89"/>
      <c r="BM2496" s="89"/>
      <c r="BN2496" s="89"/>
      <c r="BO2496" s="89"/>
      <c r="BP2496" s="89"/>
    </row>
    <row r="2497" spans="1:68" s="51" customFormat="1" ht="19.5" hidden="1" customHeight="1">
      <c r="A2497" s="204" t="str">
        <f>+IFERROR(VALUE(MID(AB2497,4,4)),"")</f>
        <v/>
      </c>
      <c r="B2497" s="204">
        <f>VALUE(RIGHT(C2497,LEN(C2497)-2))</f>
        <v>234</v>
      </c>
      <c r="C2497" s="74" t="s">
        <v>8463</v>
      </c>
      <c r="D2497" s="75">
        <v>41598</v>
      </c>
      <c r="E2497" s="70" t="s">
        <v>6761</v>
      </c>
      <c r="F2497" s="70" t="s">
        <v>313</v>
      </c>
      <c r="G2497" s="68" t="s">
        <v>8464</v>
      </c>
      <c r="H2497" s="59"/>
      <c r="I2497" s="162" t="s">
        <v>8465</v>
      </c>
      <c r="J2497" s="272"/>
      <c r="K2497" s="71" t="s">
        <v>12</v>
      </c>
      <c r="L2497" s="69" t="s">
        <v>120</v>
      </c>
      <c r="M2497" s="69" t="s">
        <v>141</v>
      </c>
      <c r="N2497" s="69" t="e" vm="1">
        <v>#VALUE!</v>
      </c>
      <c r="O2497" s="164">
        <v>41598</v>
      </c>
      <c r="P2497" s="72" t="s">
        <v>8414</v>
      </c>
      <c r="Q2497" s="72"/>
      <c r="R2497" s="162"/>
      <c r="S2497" s="146"/>
      <c r="T2497" s="68" t="s">
        <v>165</v>
      </c>
      <c r="U2497" s="87"/>
      <c r="V2497" s="183">
        <v>41599</v>
      </c>
      <c r="W2497" s="73">
        <v>270</v>
      </c>
      <c r="X2497" s="73">
        <f>500*23300/1000000</f>
        <v>11.65</v>
      </c>
      <c r="Y2497" s="73">
        <f>IF(SUM(W2497:W2497)&gt;0,X2497/SUM(W2497:W2497)*1000000,"N/A")</f>
        <v>43148.148148148153</v>
      </c>
      <c r="Z2497" s="183"/>
      <c r="AA2497" s="183"/>
      <c r="AB2497" s="223"/>
      <c r="AC2497" s="153"/>
      <c r="AD2497" s="331"/>
      <c r="AE2497" s="57"/>
      <c r="AF2497" s="151"/>
      <c r="AG2497" s="182">
        <f>YEAR(D2497)</f>
        <v>2013</v>
      </c>
      <c r="AH2497" s="86" t="str">
        <f>+IF(AE2497=$AJ$22,MONTH(T2497),"")</f>
        <v/>
      </c>
      <c r="AI2497" s="86" t="str">
        <f>+IF(AF2497=$AJ$22,MONTH(U2497),"")</f>
        <v/>
      </c>
      <c r="AJ2497" s="86" t="str">
        <f>+IF(AG2497=$AJ$22,MONTH(V2497),"")</f>
        <v/>
      </c>
      <c r="AK2497" s="86" t="str">
        <f>+IF(AG2497=$AK$22,MONTH(V2497),"")</f>
        <v/>
      </c>
      <c r="AL2497" s="86" t="str">
        <f>+IF(AG2497=$AL$22,MONTH(V2497),"")</f>
        <v/>
      </c>
      <c r="AM2497" s="86" t="str">
        <f>+IF($AG2497=$AM$22,MONTH($D2497),"")</f>
        <v/>
      </c>
      <c r="AN2497" s="89" t="str">
        <f>+IF($AG2497=AN$22,MONTH($D2497),"")</f>
        <v/>
      </c>
      <c r="AO2497" s="184" t="str">
        <f>+IF($AG2497=AO$22,MONTH($D2497),"")</f>
        <v/>
      </c>
      <c r="AP2497" s="184" t="str">
        <f>+IF($AG2497=AP$22,MONTH($D2497),"")</f>
        <v/>
      </c>
      <c r="AQ2497" s="184" t="str">
        <f>+IF($AG2497=AQ$22,MONTH($D2497),"")</f>
        <v/>
      </c>
      <c r="AR2497" s="184" t="str">
        <f>+IF($AG2497=AR$22,MONTH($D2497),"")</f>
        <v/>
      </c>
      <c r="AS2497" s="184" t="str">
        <f>+IF($AG2497=AS$22,MONTH($D2497),"")</f>
        <v/>
      </c>
      <c r="AT2497" s="86" t="str">
        <f>+IF($AG2497=AT$22,MONTH($D2497),"")</f>
        <v/>
      </c>
      <c r="AU2497" s="86">
        <f>+IF($AG2497=AU$22,MONTH($D2497),"")</f>
        <v>11</v>
      </c>
      <c r="AV2497" s="86" t="str">
        <f>+IF($AG2497=AV$22,MONTH($D2497),"")</f>
        <v/>
      </c>
      <c r="AW2497" s="86" t="str">
        <f>+IF($AG2497=AW$22,MONTH($D2497),"")</f>
        <v/>
      </c>
      <c r="AX2497" s="86" t="str">
        <f>+IF($AG2497=AX$22,MONTH($D2497),"")</f>
        <v/>
      </c>
      <c r="AY2497" s="89"/>
      <c r="AZ2497" s="89"/>
      <c r="BA2497" s="89"/>
      <c r="BB2497" s="89"/>
      <c r="BC2497" s="89"/>
      <c r="BD2497" s="89"/>
      <c r="BE2497" s="89"/>
      <c r="BF2497" s="89"/>
      <c r="BG2497" s="89"/>
      <c r="BH2497" s="89"/>
      <c r="BI2497" s="89"/>
      <c r="BJ2497" s="182"/>
      <c r="BK2497" s="182"/>
      <c r="BL2497" s="182"/>
      <c r="BM2497" s="182"/>
      <c r="BN2497" s="182"/>
      <c r="BO2497" s="182"/>
      <c r="BP2497" s="182"/>
    </row>
    <row r="2498" spans="1:68" s="51" customFormat="1" ht="19.5" hidden="1" customHeight="1">
      <c r="A2498" s="204" t="str">
        <f>+IFERROR(VALUE(MID(AB2498,4,4)),"")</f>
        <v/>
      </c>
      <c r="B2498" s="204">
        <f>VALUE(RIGHT(C2498,LEN(C2498)-2))</f>
        <v>233</v>
      </c>
      <c r="C2498" s="74" t="s">
        <v>8466</v>
      </c>
      <c r="D2498" s="75">
        <v>41597</v>
      </c>
      <c r="E2498" s="70" t="s">
        <v>106</v>
      </c>
      <c r="F2498" s="70" t="s">
        <v>106</v>
      </c>
      <c r="G2498" s="68" t="s">
        <v>7513</v>
      </c>
      <c r="H2498" s="59" t="s">
        <v>7514</v>
      </c>
      <c r="I2498" s="162" t="s">
        <v>8467</v>
      </c>
      <c r="J2498" s="272"/>
      <c r="K2498" s="71" t="s">
        <v>13</v>
      </c>
      <c r="L2498" s="69" t="s">
        <v>123</v>
      </c>
      <c r="M2498" s="69" t="s">
        <v>141</v>
      </c>
      <c r="N2498" s="69" t="e" vm="1">
        <v>#VALUE!</v>
      </c>
      <c r="O2498" s="164">
        <v>41606</v>
      </c>
      <c r="P2498" s="72" t="s">
        <v>7372</v>
      </c>
      <c r="Q2498" s="72"/>
      <c r="R2498" s="162"/>
      <c r="S2498" s="146" t="s">
        <v>8468</v>
      </c>
      <c r="T2498" s="68" t="s">
        <v>165</v>
      </c>
      <c r="U2498" s="87"/>
      <c r="V2498" s="183">
        <v>41956</v>
      </c>
      <c r="W2498" s="73">
        <v>598</v>
      </c>
      <c r="X2498" s="73">
        <v>20.515799999999999</v>
      </c>
      <c r="Y2498" s="73">
        <f>IF(SUM(W2498:W2498)&gt;0,X2498/SUM(W2498:W2498)*1000000,"N/A")</f>
        <v>34307.357859531767</v>
      </c>
      <c r="Z2498" s="183"/>
      <c r="AA2498" s="183"/>
      <c r="AB2498" s="223"/>
      <c r="AC2498" s="153"/>
      <c r="AD2498" s="331"/>
      <c r="AE2498" s="57"/>
      <c r="AF2498" s="151"/>
      <c r="AG2498" s="182">
        <f>YEAR(D2498)</f>
        <v>2013</v>
      </c>
      <c r="AH2498" s="86" t="str">
        <f>+IF(AE2498=$AJ$22,MONTH(T2498),"")</f>
        <v/>
      </c>
      <c r="AI2498" s="86" t="str">
        <f>+IF(AF2498=$AJ$22,MONTH(U2498),"")</f>
        <v/>
      </c>
      <c r="AJ2498" s="86" t="str">
        <f>+IF(AG2498=$AJ$22,MONTH(V2498),"")</f>
        <v/>
      </c>
      <c r="AK2498" s="86" t="str">
        <f>+IF(AG2498=$AK$22,MONTH(V2498),"")</f>
        <v/>
      </c>
      <c r="AL2498" s="86" t="str">
        <f>+IF(AG2498=$AL$22,MONTH(V2498),"")</f>
        <v/>
      </c>
      <c r="AM2498" s="86" t="str">
        <f>+IF($AG2498=$AM$22,MONTH($D2498),"")</f>
        <v/>
      </c>
      <c r="AN2498" s="89" t="str">
        <f>+IF($AG2498=AN$22,MONTH($D2498),"")</f>
        <v/>
      </c>
      <c r="AO2498" s="184" t="str">
        <f>+IF($AG2498=AO$22,MONTH($D2498),"")</f>
        <v/>
      </c>
      <c r="AP2498" s="184" t="str">
        <f>+IF($AG2498=AP$22,MONTH($D2498),"")</f>
        <v/>
      </c>
      <c r="AQ2498" s="184" t="str">
        <f>+IF($AG2498=AQ$22,MONTH($D2498),"")</f>
        <v/>
      </c>
      <c r="AR2498" s="184" t="str">
        <f>+IF($AG2498=AR$22,MONTH($D2498),"")</f>
        <v/>
      </c>
      <c r="AS2498" s="184" t="str">
        <f>+IF($AG2498=AS$22,MONTH($D2498),"")</f>
        <v/>
      </c>
      <c r="AT2498" s="86" t="str">
        <f>+IF($AG2498=AT$22,MONTH($D2498),"")</f>
        <v/>
      </c>
      <c r="AU2498" s="86">
        <f>+IF($AG2498=AU$22,MONTH($D2498),"")</f>
        <v>11</v>
      </c>
      <c r="AV2498" s="86" t="str">
        <f>+IF($AG2498=AV$22,MONTH($D2498),"")</f>
        <v/>
      </c>
      <c r="AW2498" s="86" t="str">
        <f>+IF($AG2498=AW$22,MONTH($D2498),"")</f>
        <v/>
      </c>
      <c r="AX2498" s="86" t="str">
        <f>+IF($AG2498=AX$22,MONTH($D2498),"")</f>
        <v/>
      </c>
      <c r="AY2498" s="89"/>
      <c r="AZ2498" s="89"/>
      <c r="BA2498" s="89"/>
      <c r="BB2498" s="89"/>
      <c r="BC2498" s="89"/>
      <c r="BD2498" s="89"/>
      <c r="BE2498" s="89"/>
      <c r="BF2498" s="89"/>
      <c r="BG2498" s="89"/>
      <c r="BH2498" s="89"/>
      <c r="BI2498" s="89"/>
      <c r="BJ2498" s="182"/>
      <c r="BK2498" s="182"/>
      <c r="BL2498" s="182"/>
      <c r="BM2498" s="182"/>
      <c r="BN2498" s="182"/>
      <c r="BO2498" s="182"/>
      <c r="BP2498" s="182"/>
    </row>
    <row r="2499" spans="1:68" s="51" customFormat="1" ht="19.5" hidden="1" customHeight="1">
      <c r="A2499" s="204">
        <f>+IFERROR(VALUE(MID(AB2499,4,4)),"")</f>
        <v>89</v>
      </c>
      <c r="B2499" s="204">
        <f>VALUE(RIGHT(C2499,LEN(C2499)-2))</f>
        <v>232</v>
      </c>
      <c r="C2499" s="74" t="s">
        <v>8469</v>
      </c>
      <c r="D2499" s="75">
        <v>41597</v>
      </c>
      <c r="E2499" s="70" t="s">
        <v>346</v>
      </c>
      <c r="F2499" s="70" t="s">
        <v>346</v>
      </c>
      <c r="G2499" s="68" t="s">
        <v>8470</v>
      </c>
      <c r="H2499" s="59"/>
      <c r="I2499" s="162" t="s">
        <v>8471</v>
      </c>
      <c r="J2499" s="272"/>
      <c r="K2499" s="71" t="s">
        <v>11</v>
      </c>
      <c r="L2499" s="69" t="s">
        <v>123</v>
      </c>
      <c r="M2499" s="69" t="s">
        <v>141</v>
      </c>
      <c r="N2499" s="69" t="e" vm="1">
        <v>#VALUE!</v>
      </c>
      <c r="O2499" s="164">
        <v>41611</v>
      </c>
      <c r="P2499" s="72" t="s">
        <v>402</v>
      </c>
      <c r="Q2499" s="72"/>
      <c r="R2499" s="162"/>
      <c r="S2499" s="146" t="s">
        <v>8472</v>
      </c>
      <c r="T2499" s="68" t="s">
        <v>3</v>
      </c>
      <c r="U2499" s="87"/>
      <c r="V2499" s="183">
        <v>41626</v>
      </c>
      <c r="W2499" s="73">
        <v>637</v>
      </c>
      <c r="X2499" s="73">
        <v>27.295000000000002</v>
      </c>
      <c r="Y2499" s="73">
        <f>IF(SUM(W2499:W2499)&gt;0,X2499/SUM(W2499:W2499)*1000000,"N/A")</f>
        <v>42849.293563579275</v>
      </c>
      <c r="Z2499" s="183"/>
      <c r="AA2499" s="183"/>
      <c r="AB2499" s="223" t="s">
        <v>8473</v>
      </c>
      <c r="AC2499" s="153"/>
      <c r="AD2499" s="331"/>
      <c r="AE2499" s="57"/>
      <c r="AF2499" s="151"/>
      <c r="AG2499" s="182">
        <f>YEAR(D2499)</f>
        <v>2013</v>
      </c>
      <c r="AH2499" s="86" t="str">
        <f>+IF(AE2499=$AJ$22,MONTH(T2499),"")</f>
        <v/>
      </c>
      <c r="AI2499" s="86" t="str">
        <f>+IF(AF2499=$AJ$22,MONTH(U2499),"")</f>
        <v/>
      </c>
      <c r="AJ2499" s="86" t="str">
        <f>+IF(AG2499=$AJ$22,MONTH(V2499),"")</f>
        <v/>
      </c>
      <c r="AK2499" s="86" t="str">
        <f>+IF(AG2499=$AK$22,MONTH(V2499),"")</f>
        <v/>
      </c>
      <c r="AL2499" s="86" t="str">
        <f>+IF(AG2499=$AL$22,MONTH(V2499),"")</f>
        <v/>
      </c>
      <c r="AM2499" s="86" t="str">
        <f>+IF($AG2499=$AM$22,MONTH($D2499),"")</f>
        <v/>
      </c>
      <c r="AN2499" s="89" t="str">
        <f>+IF($AG2499=AN$22,MONTH($D2499),"")</f>
        <v/>
      </c>
      <c r="AO2499" s="86" t="str">
        <f>+IF($AG2499=AO$22,MONTH($D2499),"")</f>
        <v/>
      </c>
      <c r="AP2499" s="86" t="str">
        <f>+IF($AG2499=AP$22,MONTH($D2499),"")</f>
        <v/>
      </c>
      <c r="AQ2499" s="86" t="str">
        <f>+IF($AG2499=AQ$22,MONTH($D2499),"")</f>
        <v/>
      </c>
      <c r="AR2499" s="86" t="str">
        <f>+IF($AG2499=AR$22,MONTH($D2499),"")</f>
        <v/>
      </c>
      <c r="AS2499" s="86" t="str">
        <f>+IF($AG2499=AS$22,MONTH($D2499),"")</f>
        <v/>
      </c>
      <c r="AT2499" s="86" t="str">
        <f>+IF($AG2499=AT$22,MONTH($D2499),"")</f>
        <v/>
      </c>
      <c r="AU2499" s="86">
        <f>+IF($AG2499=AU$22,MONTH($D2499),"")</f>
        <v>11</v>
      </c>
      <c r="AV2499" s="86" t="str">
        <f>+IF($AG2499=AV$22,MONTH($D2499),"")</f>
        <v/>
      </c>
      <c r="AW2499" s="86" t="str">
        <f>+IF($AG2499=AW$22,MONTH($D2499),"")</f>
        <v/>
      </c>
      <c r="AX2499" s="86" t="str">
        <f>+IF($AG2499=AX$22,MONTH($D2499),"")</f>
        <v/>
      </c>
      <c r="AY2499" s="89"/>
      <c r="AZ2499" s="89"/>
      <c r="BA2499" s="89"/>
      <c r="BB2499" s="89"/>
      <c r="BC2499" s="89"/>
      <c r="BD2499" s="89"/>
      <c r="BE2499" s="89"/>
      <c r="BF2499" s="89"/>
      <c r="BG2499" s="89"/>
      <c r="BH2499" s="89"/>
      <c r="BI2499" s="89"/>
      <c r="BJ2499" s="182"/>
      <c r="BK2499" s="182"/>
      <c r="BL2499" s="182"/>
      <c r="BM2499" s="182"/>
      <c r="BN2499" s="182"/>
      <c r="BO2499" s="182"/>
      <c r="BP2499" s="182"/>
    </row>
    <row r="2500" spans="1:68" s="51" customFormat="1" ht="19.5" hidden="1" customHeight="1">
      <c r="A2500" s="204">
        <f>+IFERROR(VALUE(MID(AB2500,4,4)),"")</f>
        <v>83</v>
      </c>
      <c r="B2500" s="204">
        <f>VALUE(RIGHT(C2500,LEN(C2500)-2))</f>
        <v>231</v>
      </c>
      <c r="C2500" s="74" t="s">
        <v>8474</v>
      </c>
      <c r="D2500" s="75">
        <v>41598</v>
      </c>
      <c r="E2500" s="70" t="s">
        <v>97</v>
      </c>
      <c r="F2500" s="70" t="s">
        <v>332</v>
      </c>
      <c r="G2500" s="68" t="s">
        <v>8475</v>
      </c>
      <c r="H2500" s="59"/>
      <c r="I2500" s="162" t="s">
        <v>8476</v>
      </c>
      <c r="J2500" s="272"/>
      <c r="K2500" s="71" t="s">
        <v>13</v>
      </c>
      <c r="L2500" s="69" t="s">
        <v>120</v>
      </c>
      <c r="M2500" s="69" t="s">
        <v>141</v>
      </c>
      <c r="N2500" s="69" t="e" vm="1">
        <v>#VALUE!</v>
      </c>
      <c r="O2500" s="164">
        <v>41598</v>
      </c>
      <c r="P2500" s="72" t="s">
        <v>402</v>
      </c>
      <c r="Q2500" s="72"/>
      <c r="R2500" s="162"/>
      <c r="S2500" s="146"/>
      <c r="T2500" s="68" t="s">
        <v>3</v>
      </c>
      <c r="U2500" s="87"/>
      <c r="V2500" s="183">
        <v>41598</v>
      </c>
      <c r="W2500" s="73">
        <v>1110</v>
      </c>
      <c r="X2500" s="73">
        <f>1953*23500/1000000</f>
        <v>45.895499999999998</v>
      </c>
      <c r="Y2500" s="73">
        <f>IF(SUM(W2500:W2500)&gt;0,X2500/SUM(W2500:W2500)*1000000,"N/A")</f>
        <v>41347.297297297293</v>
      </c>
      <c r="Z2500" s="183"/>
      <c r="AA2500" s="183"/>
      <c r="AB2500" s="223" t="s">
        <v>8477</v>
      </c>
      <c r="AC2500" s="153"/>
      <c r="AD2500" s="331"/>
      <c r="AE2500" s="57"/>
      <c r="AF2500" s="151"/>
      <c r="AG2500" s="182">
        <f>YEAR(D2500)</f>
        <v>2013</v>
      </c>
      <c r="AH2500" s="86" t="str">
        <f>+IF(AE2500=$AJ$22,MONTH(T2500),"")</f>
        <v/>
      </c>
      <c r="AI2500" s="86" t="str">
        <f>+IF(AF2500=$AJ$22,MONTH(U2500),"")</f>
        <v/>
      </c>
      <c r="AJ2500" s="86" t="str">
        <f>+IF(AG2500=$AJ$22,MONTH(V2500),"")</f>
        <v/>
      </c>
      <c r="AK2500" s="86" t="str">
        <f>+IF(AG2500=$AK$22,MONTH(V2500),"")</f>
        <v/>
      </c>
      <c r="AL2500" s="86" t="str">
        <f>+IF(AG2500=$AL$22,MONTH(V2500),"")</f>
        <v/>
      </c>
      <c r="AM2500" s="86" t="str">
        <f>+IF($AG2500=$AM$22,MONTH($D2500),"")</f>
        <v/>
      </c>
      <c r="AN2500" s="89" t="str">
        <f>+IF($AG2500=AN$22,MONTH($D2500),"")</f>
        <v/>
      </c>
      <c r="AO2500" s="86" t="str">
        <f>+IF($AG2500=AO$22,MONTH($D2500),"")</f>
        <v/>
      </c>
      <c r="AP2500" s="86" t="str">
        <f>+IF($AG2500=AP$22,MONTH($D2500),"")</f>
        <v/>
      </c>
      <c r="AQ2500" s="86" t="str">
        <f>+IF($AG2500=AQ$22,MONTH($D2500),"")</f>
        <v/>
      </c>
      <c r="AR2500" s="86" t="str">
        <f>+IF($AG2500=AR$22,MONTH($D2500),"")</f>
        <v/>
      </c>
      <c r="AS2500" s="86" t="str">
        <f>+IF($AG2500=AS$22,MONTH($D2500),"")</f>
        <v/>
      </c>
      <c r="AT2500" s="86" t="str">
        <f>+IF($AG2500=AT$22,MONTH($D2500),"")</f>
        <v/>
      </c>
      <c r="AU2500" s="86">
        <f>+IF($AG2500=AU$22,MONTH($D2500),"")</f>
        <v>11</v>
      </c>
      <c r="AV2500" s="86" t="str">
        <f>+IF($AG2500=AV$22,MONTH($D2500),"")</f>
        <v/>
      </c>
      <c r="AW2500" s="86" t="str">
        <f>+IF($AG2500=AW$22,MONTH($D2500),"")</f>
        <v/>
      </c>
      <c r="AX2500" s="86" t="str">
        <f>+IF($AG2500=AX$22,MONTH($D2500),"")</f>
        <v/>
      </c>
      <c r="AY2500" s="89"/>
      <c r="AZ2500" s="89"/>
      <c r="BA2500" s="89"/>
      <c r="BB2500" s="89"/>
      <c r="BC2500" s="89"/>
      <c r="BD2500" s="89"/>
      <c r="BE2500" s="89"/>
      <c r="BF2500" s="89"/>
      <c r="BG2500" s="89"/>
      <c r="BH2500" s="89"/>
      <c r="BI2500" s="89"/>
      <c r="BJ2500" s="182"/>
      <c r="BK2500" s="182"/>
      <c r="BL2500" s="182"/>
      <c r="BM2500" s="182"/>
      <c r="BN2500" s="182"/>
      <c r="BO2500" s="182"/>
      <c r="BP2500" s="182"/>
    </row>
    <row r="2501" spans="1:68" s="51" customFormat="1" ht="19.5" hidden="1" customHeight="1">
      <c r="A2501" s="204" t="str">
        <f>+IFERROR(VALUE(MID(AB2501,4,4)),"")</f>
        <v/>
      </c>
      <c r="B2501" s="204">
        <f>VALUE(RIGHT(C2501,LEN(C2501)-2))</f>
        <v>230</v>
      </c>
      <c r="C2501" s="74" t="s">
        <v>8478</v>
      </c>
      <c r="D2501" s="75">
        <v>41554</v>
      </c>
      <c r="E2501" s="70" t="s">
        <v>1321</v>
      </c>
      <c r="F2501" s="70" t="s">
        <v>394</v>
      </c>
      <c r="G2501" s="68" t="s">
        <v>1322</v>
      </c>
      <c r="H2501" s="59"/>
      <c r="I2501" s="162" t="s">
        <v>8479</v>
      </c>
      <c r="J2501" s="272"/>
      <c r="K2501" s="71" t="s">
        <v>12</v>
      </c>
      <c r="L2501" s="69" t="s">
        <v>120</v>
      </c>
      <c r="M2501" s="69" t="s">
        <v>141</v>
      </c>
      <c r="N2501" s="69" t="e" vm="1">
        <v>#VALUE!</v>
      </c>
      <c r="O2501" s="164">
        <v>41558</v>
      </c>
      <c r="P2501" s="72" t="s">
        <v>402</v>
      </c>
      <c r="Q2501" s="72"/>
      <c r="R2501" s="162"/>
      <c r="S2501" s="146" t="s">
        <v>8480</v>
      </c>
      <c r="T2501" s="68" t="s">
        <v>155</v>
      </c>
      <c r="U2501" s="87"/>
      <c r="V2501" s="183">
        <v>41956</v>
      </c>
      <c r="W2501" s="73"/>
      <c r="X2501" s="73"/>
      <c r="Y2501" s="73" t="str">
        <f>IF(SUM(W2501:W2501)&gt;0,X2501/SUM(W2501:W2501)*1000000,"N/A")</f>
        <v>N/A</v>
      </c>
      <c r="Z2501" s="183"/>
      <c r="AA2501" s="183"/>
      <c r="AB2501" s="223"/>
      <c r="AC2501" s="153"/>
      <c r="AD2501" s="331"/>
      <c r="AE2501" s="57"/>
      <c r="AF2501" s="151"/>
      <c r="AG2501" s="182">
        <f>YEAR(D2501)</f>
        <v>2013</v>
      </c>
      <c r="AH2501" s="86" t="str">
        <f>+IF(AE2501=$AJ$22,MONTH(T2501),"")</f>
        <v/>
      </c>
      <c r="AI2501" s="86" t="str">
        <f>+IF(AF2501=$AJ$22,MONTH(U2501),"")</f>
        <v/>
      </c>
      <c r="AJ2501" s="86" t="str">
        <f>+IF(AG2501=$AJ$22,MONTH(V2501),"")</f>
        <v/>
      </c>
      <c r="AK2501" s="86" t="str">
        <f>+IF(AG2501=$AK$22,MONTH(V2501),"")</f>
        <v/>
      </c>
      <c r="AL2501" s="86" t="str">
        <f>+IF(AG2501=$AL$22,MONTH(V2501),"")</f>
        <v/>
      </c>
      <c r="AM2501" s="86" t="str">
        <f>+IF($AG2501=$AM$22,MONTH($D2501),"")</f>
        <v/>
      </c>
      <c r="AN2501" s="89" t="str">
        <f>+IF($AG2501=AN$22,MONTH($D2501),"")</f>
        <v/>
      </c>
      <c r="AO2501" s="184" t="str">
        <f>+IF($AG2501=AO$22,MONTH($D2501),"")</f>
        <v/>
      </c>
      <c r="AP2501" s="184" t="str">
        <f>+IF($AG2501=AP$22,MONTH($D2501),"")</f>
        <v/>
      </c>
      <c r="AQ2501" s="184" t="str">
        <f>+IF($AG2501=AQ$22,MONTH($D2501),"")</f>
        <v/>
      </c>
      <c r="AR2501" s="184" t="str">
        <f>+IF($AG2501=AR$22,MONTH($D2501),"")</f>
        <v/>
      </c>
      <c r="AS2501" s="184" t="str">
        <f>+IF($AG2501=AS$22,MONTH($D2501),"")</f>
        <v/>
      </c>
      <c r="AT2501" s="86" t="str">
        <f>+IF($AG2501=AT$22,MONTH($D2501),"")</f>
        <v/>
      </c>
      <c r="AU2501" s="86">
        <f>+IF($AG2501=AU$22,MONTH($D2501),"")</f>
        <v>10</v>
      </c>
      <c r="AV2501" s="86" t="str">
        <f>+IF($AG2501=AV$22,MONTH($D2501),"")</f>
        <v/>
      </c>
      <c r="AW2501" s="86" t="str">
        <f>+IF($AG2501=AW$22,MONTH($D2501),"")</f>
        <v/>
      </c>
      <c r="AX2501" s="86" t="str">
        <f>+IF($AG2501=AX$22,MONTH($D2501),"")</f>
        <v/>
      </c>
      <c r="AY2501" s="89"/>
      <c r="AZ2501" s="89"/>
      <c r="BA2501" s="89"/>
      <c r="BB2501" s="89"/>
      <c r="BC2501" s="89"/>
      <c r="BD2501" s="89"/>
      <c r="BE2501" s="89"/>
      <c r="BF2501" s="89"/>
      <c r="BG2501" s="89"/>
      <c r="BH2501" s="89"/>
      <c r="BI2501" s="89"/>
      <c r="BJ2501" s="182"/>
      <c r="BK2501" s="182"/>
      <c r="BL2501" s="182"/>
      <c r="BM2501" s="182"/>
      <c r="BN2501" s="182"/>
      <c r="BO2501" s="182"/>
      <c r="BP2501" s="182"/>
    </row>
    <row r="2502" spans="1:68" s="51" customFormat="1" ht="19.5" hidden="1" customHeight="1">
      <c r="A2502" s="204" t="str">
        <f>+IFERROR(VALUE(MID(AB2502,4,4)),"")</f>
        <v/>
      </c>
      <c r="B2502" s="204">
        <f>VALUE(RIGHT(C2502,LEN(C2502)-2))</f>
        <v>229</v>
      </c>
      <c r="C2502" s="74" t="s">
        <v>8481</v>
      </c>
      <c r="D2502" s="75">
        <v>41572</v>
      </c>
      <c r="E2502" s="70" t="s">
        <v>7</v>
      </c>
      <c r="F2502" s="70" t="s">
        <v>8482</v>
      </c>
      <c r="G2502" s="68" t="s">
        <v>8293</v>
      </c>
      <c r="H2502" s="59"/>
      <c r="I2502" s="162" t="s">
        <v>8483</v>
      </c>
      <c r="J2502" s="272"/>
      <c r="K2502" s="71" t="s">
        <v>13</v>
      </c>
      <c r="L2502" s="69" t="s">
        <v>120</v>
      </c>
      <c r="M2502" s="69" t="s">
        <v>141</v>
      </c>
      <c r="N2502" s="69" t="e" vm="1">
        <v>#VALUE!</v>
      </c>
      <c r="O2502" s="164">
        <v>41577</v>
      </c>
      <c r="P2502" s="72" t="s">
        <v>649</v>
      </c>
      <c r="Q2502" s="72"/>
      <c r="R2502" s="162"/>
      <c r="S2502" s="146" t="s">
        <v>8484</v>
      </c>
      <c r="T2502" s="68" t="s">
        <v>165</v>
      </c>
      <c r="U2502" s="87"/>
      <c r="V2502" s="183">
        <v>41589</v>
      </c>
      <c r="W2502" s="73">
        <v>975</v>
      </c>
      <c r="X2502" s="73">
        <f>2212*23100/1000000</f>
        <v>51.097200000000001</v>
      </c>
      <c r="Y2502" s="73">
        <f>IF(SUM(W2502:W2502)&gt;0,X2502/SUM(W2502:W2502)*1000000,"N/A")</f>
        <v>52407.384615384617</v>
      </c>
      <c r="Z2502" s="183"/>
      <c r="AA2502" s="183"/>
      <c r="AB2502" s="223"/>
      <c r="AC2502" s="153"/>
      <c r="AD2502" s="331"/>
      <c r="AE2502" s="57"/>
      <c r="AF2502" s="151"/>
      <c r="AG2502" s="182">
        <f>YEAR(D2502)</f>
        <v>2013</v>
      </c>
      <c r="AH2502" s="86" t="str">
        <f>+IF(AE2502=$AJ$22,MONTH(T2502),"")</f>
        <v/>
      </c>
      <c r="AI2502" s="86" t="str">
        <f>+IF(AF2502=$AJ$22,MONTH(U2502),"")</f>
        <v/>
      </c>
      <c r="AJ2502" s="86" t="str">
        <f>+IF(AG2502=$AJ$22,MONTH(V2502),"")</f>
        <v/>
      </c>
      <c r="AK2502" s="86" t="str">
        <f>+IF(AG2502=$AK$22,MONTH(V2502),"")</f>
        <v/>
      </c>
      <c r="AL2502" s="86" t="str">
        <f>+IF(AG2502=$AL$22,MONTH(V2502),"")</f>
        <v/>
      </c>
      <c r="AM2502" s="86" t="str">
        <f>+IF($AG2502=$AM$22,MONTH($D2502),"")</f>
        <v/>
      </c>
      <c r="AN2502" s="89" t="str">
        <f>+IF($AG2502=AN$22,MONTH($D2502),"")</f>
        <v/>
      </c>
      <c r="AO2502" s="184" t="str">
        <f>+IF($AG2502=AO$22,MONTH($D2502),"")</f>
        <v/>
      </c>
      <c r="AP2502" s="184" t="str">
        <f>+IF($AG2502=AP$22,MONTH($D2502),"")</f>
        <v/>
      </c>
      <c r="AQ2502" s="184" t="str">
        <f>+IF($AG2502=AQ$22,MONTH($D2502),"")</f>
        <v/>
      </c>
      <c r="AR2502" s="184" t="str">
        <f>+IF($AG2502=AR$22,MONTH($D2502),"")</f>
        <v/>
      </c>
      <c r="AS2502" s="184" t="str">
        <f>+IF($AG2502=AS$22,MONTH($D2502),"")</f>
        <v/>
      </c>
      <c r="AT2502" s="86" t="str">
        <f>+IF($AG2502=AT$22,MONTH($D2502),"")</f>
        <v/>
      </c>
      <c r="AU2502" s="86">
        <f>+IF($AG2502=AU$22,MONTH($D2502),"")</f>
        <v>10</v>
      </c>
      <c r="AV2502" s="86" t="str">
        <f>+IF($AG2502=AV$22,MONTH($D2502),"")</f>
        <v/>
      </c>
      <c r="AW2502" s="86" t="str">
        <f>+IF($AG2502=AW$22,MONTH($D2502),"")</f>
        <v/>
      </c>
      <c r="AX2502" s="86" t="str">
        <f>+IF($AG2502=AX$22,MONTH($D2502),"")</f>
        <v/>
      </c>
      <c r="AY2502" s="89"/>
      <c r="AZ2502" s="89"/>
      <c r="BA2502" s="89"/>
      <c r="BB2502" s="89"/>
      <c r="BC2502" s="89"/>
      <c r="BD2502" s="89"/>
      <c r="BE2502" s="89"/>
      <c r="BF2502" s="89"/>
      <c r="BG2502" s="89"/>
      <c r="BH2502" s="89"/>
      <c r="BI2502" s="89"/>
      <c r="BJ2502" s="182"/>
      <c r="BK2502" s="182"/>
      <c r="BL2502" s="182"/>
      <c r="BM2502" s="182"/>
      <c r="BN2502" s="182"/>
      <c r="BO2502" s="182"/>
      <c r="BP2502" s="182"/>
    </row>
    <row r="2503" spans="1:68" s="51" customFormat="1" ht="19.5" hidden="1" customHeight="1">
      <c r="A2503" s="204" t="str">
        <f>+IFERROR(VALUE(MID(AB2503,4,4)),"")</f>
        <v/>
      </c>
      <c r="B2503" s="204">
        <f>VALUE(RIGHT(C2503,LEN(C2503)-2))</f>
        <v>228</v>
      </c>
      <c r="C2503" s="74" t="s">
        <v>8485</v>
      </c>
      <c r="D2503" s="75">
        <v>41568</v>
      </c>
      <c r="E2503" s="70" t="s">
        <v>34</v>
      </c>
      <c r="F2503" s="70" t="s">
        <v>34</v>
      </c>
      <c r="G2503" s="68" t="s">
        <v>7729</v>
      </c>
      <c r="H2503" s="59"/>
      <c r="I2503" s="162" t="s">
        <v>8486</v>
      </c>
      <c r="J2503" s="272"/>
      <c r="K2503" s="71" t="s">
        <v>13</v>
      </c>
      <c r="L2503" s="69" t="s">
        <v>120</v>
      </c>
      <c r="M2503" s="69" t="s">
        <v>141</v>
      </c>
      <c r="N2503" s="69" t="e" vm="1">
        <v>#VALUE!</v>
      </c>
      <c r="O2503" s="164">
        <v>41577</v>
      </c>
      <c r="P2503" s="72" t="s">
        <v>402</v>
      </c>
      <c r="Q2503" s="72"/>
      <c r="R2503" s="162"/>
      <c r="S2503" s="146"/>
      <c r="T2503" s="68" t="s">
        <v>165</v>
      </c>
      <c r="U2503" s="87"/>
      <c r="V2503" s="183">
        <v>41589</v>
      </c>
      <c r="W2503" s="73">
        <v>649</v>
      </c>
      <c r="X2503" s="73">
        <v>20.692499999999999</v>
      </c>
      <c r="Y2503" s="73">
        <f>IF(SUM(W2503:W2503)&gt;0,X2503/SUM(W2503:W2503)*1000000,"N/A")</f>
        <v>31883.667180277345</v>
      </c>
      <c r="Z2503" s="183"/>
      <c r="AA2503" s="183"/>
      <c r="AB2503" s="223"/>
      <c r="AC2503" s="153"/>
      <c r="AD2503" s="331"/>
      <c r="AE2503" s="57"/>
      <c r="AF2503" s="151"/>
      <c r="AG2503" s="182">
        <f>YEAR(D2503)</f>
        <v>2013</v>
      </c>
      <c r="AH2503" s="86" t="str">
        <f>+IF(AE2503=$AJ$22,MONTH(T2503),"")</f>
        <v/>
      </c>
      <c r="AI2503" s="86" t="str">
        <f>+IF(AF2503=$AJ$22,MONTH(U2503),"")</f>
        <v/>
      </c>
      <c r="AJ2503" s="86" t="str">
        <f>+IF(AG2503=$AJ$22,MONTH(V2503),"")</f>
        <v/>
      </c>
      <c r="AK2503" s="86" t="str">
        <f>+IF(AG2503=$AK$22,MONTH(V2503),"")</f>
        <v/>
      </c>
      <c r="AL2503" s="86" t="str">
        <f>+IF(AG2503=$AL$22,MONTH(V2503),"")</f>
        <v/>
      </c>
      <c r="AM2503" s="86" t="str">
        <f>+IF($AG2503=$AM$22,MONTH($D2503),"")</f>
        <v/>
      </c>
      <c r="AN2503" s="89" t="str">
        <f>+IF($AG2503=AN$22,MONTH($D2503),"")</f>
        <v/>
      </c>
      <c r="AO2503" s="184" t="str">
        <f>+IF($AG2503=AO$22,MONTH($D2503),"")</f>
        <v/>
      </c>
      <c r="AP2503" s="184" t="str">
        <f>+IF($AG2503=AP$22,MONTH($D2503),"")</f>
        <v/>
      </c>
      <c r="AQ2503" s="184" t="str">
        <f>+IF($AG2503=AQ$22,MONTH($D2503),"")</f>
        <v/>
      </c>
      <c r="AR2503" s="184" t="str">
        <f>+IF($AG2503=AR$22,MONTH($D2503),"")</f>
        <v/>
      </c>
      <c r="AS2503" s="184" t="str">
        <f>+IF($AG2503=AS$22,MONTH($D2503),"")</f>
        <v/>
      </c>
      <c r="AT2503" s="86" t="str">
        <f>+IF($AG2503=AT$22,MONTH($D2503),"")</f>
        <v/>
      </c>
      <c r="AU2503" s="86">
        <f>+IF($AG2503=AU$22,MONTH($D2503),"")</f>
        <v>10</v>
      </c>
      <c r="AV2503" s="86" t="str">
        <f>+IF($AG2503=AV$22,MONTH($D2503),"")</f>
        <v/>
      </c>
      <c r="AW2503" s="86" t="str">
        <f>+IF($AG2503=AW$22,MONTH($D2503),"")</f>
        <v/>
      </c>
      <c r="AX2503" s="86" t="str">
        <f>+IF($AG2503=AX$22,MONTH($D2503),"")</f>
        <v/>
      </c>
      <c r="AY2503" s="89"/>
      <c r="AZ2503" s="89"/>
      <c r="BA2503" s="89"/>
      <c r="BB2503" s="89"/>
      <c r="BC2503" s="89"/>
      <c r="BD2503" s="89"/>
      <c r="BE2503" s="89"/>
      <c r="BF2503" s="89"/>
      <c r="BG2503" s="89"/>
      <c r="BH2503" s="89"/>
      <c r="BI2503" s="89"/>
      <c r="BJ2503" s="182"/>
      <c r="BK2503" s="182"/>
      <c r="BL2503" s="182"/>
      <c r="BM2503" s="182"/>
      <c r="BN2503" s="182"/>
      <c r="BO2503" s="182"/>
      <c r="BP2503" s="182"/>
    </row>
    <row r="2504" spans="1:68" s="51" customFormat="1" ht="19.5" hidden="1" customHeight="1">
      <c r="A2504" s="204">
        <f>+IFERROR(VALUE(MID(AB2504,4,4)),"")</f>
        <v>84</v>
      </c>
      <c r="B2504" s="204">
        <f>VALUE(RIGHT(C2504,LEN(C2504)-2))</f>
        <v>227</v>
      </c>
      <c r="C2504" s="74" t="s">
        <v>8487</v>
      </c>
      <c r="D2504" s="75">
        <v>41569</v>
      </c>
      <c r="E2504" s="70" t="s">
        <v>7</v>
      </c>
      <c r="F2504" s="70" t="s">
        <v>7</v>
      </c>
      <c r="G2504" s="68" t="s">
        <v>8293</v>
      </c>
      <c r="H2504" s="59"/>
      <c r="I2504" s="162" t="s">
        <v>8488</v>
      </c>
      <c r="J2504" s="272"/>
      <c r="K2504" s="71" t="s">
        <v>9</v>
      </c>
      <c r="L2504" s="69" t="s">
        <v>120</v>
      </c>
      <c r="M2504" s="69" t="s">
        <v>141</v>
      </c>
      <c r="N2504" s="69" t="e" vm="1">
        <v>#VALUE!</v>
      </c>
      <c r="O2504" s="164">
        <v>41575</v>
      </c>
      <c r="P2504" s="72" t="s">
        <v>4567</v>
      </c>
      <c r="Q2504" s="72"/>
      <c r="R2504" s="162"/>
      <c r="S2504" s="146"/>
      <c r="T2504" s="68" t="s">
        <v>3</v>
      </c>
      <c r="U2504" s="87"/>
      <c r="V2504" s="183">
        <v>41589</v>
      </c>
      <c r="W2504" s="73">
        <v>19</v>
      </c>
      <c r="X2504" s="73">
        <f>29*23100/1000000</f>
        <v>0.66990000000000005</v>
      </c>
      <c r="Y2504" s="73">
        <f>IF(SUM(W2504:W2504)&gt;0,X2504/SUM(W2504:W2504)*1000000,"N/A")</f>
        <v>35257.894736842107</v>
      </c>
      <c r="Z2504" s="183"/>
      <c r="AA2504" s="183"/>
      <c r="AB2504" s="223" t="s">
        <v>8489</v>
      </c>
      <c r="AC2504" s="153"/>
      <c r="AD2504" s="331"/>
      <c r="AE2504" s="57"/>
      <c r="AF2504" s="151"/>
      <c r="AG2504" s="182">
        <f>YEAR(D2504)</f>
        <v>2013</v>
      </c>
      <c r="AH2504" s="86" t="str">
        <f>+IF(AE2504=$AJ$22,MONTH(T2504),"")</f>
        <v/>
      </c>
      <c r="AI2504" s="86" t="str">
        <f>+IF(AF2504=$AJ$22,MONTH(U2504),"")</f>
        <v/>
      </c>
      <c r="AJ2504" s="86" t="str">
        <f>+IF(AG2504=$AJ$22,MONTH(V2504),"")</f>
        <v/>
      </c>
      <c r="AK2504" s="86" t="str">
        <f>+IF(AG2504=$AK$22,MONTH(V2504),"")</f>
        <v/>
      </c>
      <c r="AL2504" s="86" t="str">
        <f>+IF(AG2504=$AL$22,MONTH(V2504),"")</f>
        <v/>
      </c>
      <c r="AM2504" s="86" t="str">
        <f>+IF($AG2504=$AM$22,MONTH($D2504),"")</f>
        <v/>
      </c>
      <c r="AN2504" s="89" t="str">
        <f>+IF($AG2504=AN$22,MONTH($D2504),"")</f>
        <v/>
      </c>
      <c r="AO2504" s="86" t="str">
        <f>+IF($AG2504=AO$22,MONTH($D2504),"")</f>
        <v/>
      </c>
      <c r="AP2504" s="86" t="str">
        <f>+IF($AG2504=AP$22,MONTH($D2504),"")</f>
        <v/>
      </c>
      <c r="AQ2504" s="86" t="str">
        <f>+IF($AG2504=AQ$22,MONTH($D2504),"")</f>
        <v/>
      </c>
      <c r="AR2504" s="86" t="str">
        <f>+IF($AG2504=AR$22,MONTH($D2504),"")</f>
        <v/>
      </c>
      <c r="AS2504" s="86" t="str">
        <f>+IF($AG2504=AS$22,MONTH($D2504),"")</f>
        <v/>
      </c>
      <c r="AT2504" s="86" t="str">
        <f>+IF($AG2504=AT$22,MONTH($D2504),"")</f>
        <v/>
      </c>
      <c r="AU2504" s="86">
        <f>+IF($AG2504=AU$22,MONTH($D2504),"")</f>
        <v>10</v>
      </c>
      <c r="AV2504" s="86" t="str">
        <f>+IF($AG2504=AV$22,MONTH($D2504),"")</f>
        <v/>
      </c>
      <c r="AW2504" s="86" t="str">
        <f>+IF($AG2504=AW$22,MONTH($D2504),"")</f>
        <v/>
      </c>
      <c r="AX2504" s="86" t="str">
        <f>+IF($AG2504=AX$22,MONTH($D2504),"")</f>
        <v/>
      </c>
      <c r="AY2504" s="89"/>
      <c r="AZ2504" s="89"/>
      <c r="BA2504" s="89"/>
      <c r="BB2504" s="89"/>
      <c r="BC2504" s="89"/>
      <c r="BD2504" s="89"/>
      <c r="BE2504" s="89"/>
      <c r="BF2504" s="89"/>
      <c r="BG2504" s="89"/>
      <c r="BH2504" s="89"/>
      <c r="BI2504" s="89"/>
      <c r="BJ2504" s="182"/>
      <c r="BK2504" s="182"/>
      <c r="BL2504" s="182"/>
      <c r="BM2504" s="182"/>
      <c r="BN2504" s="182"/>
      <c r="BO2504" s="182"/>
      <c r="BP2504" s="182"/>
    </row>
    <row r="2505" spans="1:68" s="51" customFormat="1" ht="19.5" hidden="1" customHeight="1">
      <c r="A2505" s="204" t="str">
        <f>+IFERROR(VALUE(MID(AB2505,4,4)),"")</f>
        <v/>
      </c>
      <c r="B2505" s="204">
        <f>VALUE(RIGHT(C2505,LEN(C2505)-2))</f>
        <v>226</v>
      </c>
      <c r="C2505" s="74" t="s">
        <v>8490</v>
      </c>
      <c r="D2505" s="75">
        <v>41568</v>
      </c>
      <c r="E2505" s="70" t="s">
        <v>34</v>
      </c>
      <c r="F2505" s="70" t="s">
        <v>34</v>
      </c>
      <c r="G2505" s="68" t="s">
        <v>7729</v>
      </c>
      <c r="H2505" s="59"/>
      <c r="I2505" s="162" t="s">
        <v>8491</v>
      </c>
      <c r="J2505" s="272"/>
      <c r="K2505" s="71" t="s">
        <v>12</v>
      </c>
      <c r="L2505" s="69" t="s">
        <v>120</v>
      </c>
      <c r="M2505" s="69" t="s">
        <v>141</v>
      </c>
      <c r="N2505" s="69" t="e" vm="1">
        <v>#VALUE!</v>
      </c>
      <c r="O2505" s="164">
        <v>41572</v>
      </c>
      <c r="P2505" s="72" t="s">
        <v>8414</v>
      </c>
      <c r="Q2505" s="72"/>
      <c r="R2505" s="162"/>
      <c r="S2505" s="146"/>
      <c r="T2505" s="68" t="s">
        <v>165</v>
      </c>
      <c r="U2505" s="87"/>
      <c r="V2505" s="183">
        <v>41575</v>
      </c>
      <c r="W2505" s="73">
        <v>380</v>
      </c>
      <c r="X2505" s="73">
        <v>12.885</v>
      </c>
      <c r="Y2505" s="73">
        <f>IF(SUM(W2505:W2505)&gt;0,X2505/SUM(W2505:W2505)*1000000,"N/A")</f>
        <v>33907.8947368421</v>
      </c>
      <c r="Z2505" s="183"/>
      <c r="AA2505" s="183"/>
      <c r="AB2505" s="223"/>
      <c r="AC2505" s="153"/>
      <c r="AD2505" s="331"/>
      <c r="AE2505" s="57"/>
      <c r="AF2505" s="151"/>
      <c r="AG2505" s="182">
        <f>YEAR(D2505)</f>
        <v>2013</v>
      </c>
      <c r="AH2505" s="86" t="str">
        <f>+IF(AE2505=$AJ$22,MONTH(T2505),"")</f>
        <v/>
      </c>
      <c r="AI2505" s="86" t="str">
        <f>+IF(AF2505=$AJ$22,MONTH(U2505),"")</f>
        <v/>
      </c>
      <c r="AJ2505" s="86" t="str">
        <f>+IF(AG2505=$AJ$22,MONTH(V2505),"")</f>
        <v/>
      </c>
      <c r="AK2505" s="86" t="str">
        <f>+IF(AG2505=$AK$22,MONTH(V2505),"")</f>
        <v/>
      </c>
      <c r="AL2505" s="86" t="str">
        <f>+IF(AG2505=$AL$22,MONTH(V2505),"")</f>
        <v/>
      </c>
      <c r="AM2505" s="86" t="str">
        <f>+IF($AG2505=$AM$22,MONTH($D2505),"")</f>
        <v/>
      </c>
      <c r="AN2505" s="89" t="str">
        <f>+IF($AG2505=AN$22,MONTH($D2505),"")</f>
        <v/>
      </c>
      <c r="AO2505" s="184" t="str">
        <f>+IF($AG2505=AO$22,MONTH($D2505),"")</f>
        <v/>
      </c>
      <c r="AP2505" s="184" t="str">
        <f>+IF($AG2505=AP$22,MONTH($D2505),"")</f>
        <v/>
      </c>
      <c r="AQ2505" s="184" t="str">
        <f>+IF($AG2505=AQ$22,MONTH($D2505),"")</f>
        <v/>
      </c>
      <c r="AR2505" s="184" t="str">
        <f>+IF($AG2505=AR$22,MONTH($D2505),"")</f>
        <v/>
      </c>
      <c r="AS2505" s="184" t="str">
        <f>+IF($AG2505=AS$22,MONTH($D2505),"")</f>
        <v/>
      </c>
      <c r="AT2505" s="86" t="str">
        <f>+IF($AG2505=AT$22,MONTH($D2505),"")</f>
        <v/>
      </c>
      <c r="AU2505" s="86">
        <f>+IF($AG2505=AU$22,MONTH($D2505),"")</f>
        <v>10</v>
      </c>
      <c r="AV2505" s="86" t="str">
        <f>+IF($AG2505=AV$22,MONTH($D2505),"")</f>
        <v/>
      </c>
      <c r="AW2505" s="86" t="str">
        <f>+IF($AG2505=AW$22,MONTH($D2505),"")</f>
        <v/>
      </c>
      <c r="AX2505" s="86" t="str">
        <f>+IF($AG2505=AX$22,MONTH($D2505),"")</f>
        <v/>
      </c>
      <c r="AY2505" s="89"/>
      <c r="AZ2505" s="89"/>
      <c r="BA2505" s="89"/>
      <c r="BB2505" s="89"/>
      <c r="BC2505" s="89"/>
      <c r="BD2505" s="89"/>
      <c r="BE2505" s="89"/>
      <c r="BF2505" s="89"/>
      <c r="BG2505" s="89"/>
      <c r="BH2505" s="89"/>
      <c r="BI2505" s="89"/>
      <c r="BJ2505" s="182"/>
      <c r="BK2505" s="182"/>
      <c r="BL2505" s="182"/>
      <c r="BM2505" s="182"/>
      <c r="BN2505" s="182"/>
      <c r="BO2505" s="182"/>
      <c r="BP2505" s="182"/>
    </row>
    <row r="2506" spans="1:68" s="51" customFormat="1" ht="19.5" hidden="1" customHeight="1">
      <c r="A2506" s="204" t="str">
        <f>+IFERROR(VALUE(MID(AB2506,4,4)),"")</f>
        <v/>
      </c>
      <c r="B2506" s="204">
        <f>VALUE(RIGHT(C2506,LEN(C2506)-2))</f>
        <v>225</v>
      </c>
      <c r="C2506" s="74" t="s">
        <v>8492</v>
      </c>
      <c r="D2506" s="75">
        <v>41568</v>
      </c>
      <c r="E2506" s="70" t="s">
        <v>346</v>
      </c>
      <c r="F2506" s="70" t="s">
        <v>346</v>
      </c>
      <c r="G2506" s="68" t="s">
        <v>7922</v>
      </c>
      <c r="H2506" s="59"/>
      <c r="I2506" s="162" t="s">
        <v>8493</v>
      </c>
      <c r="J2506" s="272"/>
      <c r="K2506" s="71" t="s">
        <v>12</v>
      </c>
      <c r="L2506" s="69" t="s">
        <v>120</v>
      </c>
      <c r="M2506" s="69" t="s">
        <v>141</v>
      </c>
      <c r="N2506" s="69" t="e" vm="1">
        <v>#VALUE!</v>
      </c>
      <c r="O2506" s="164">
        <v>41577</v>
      </c>
      <c r="P2506" s="72" t="s">
        <v>8414</v>
      </c>
      <c r="Q2506" s="72"/>
      <c r="R2506" s="162"/>
      <c r="S2506" s="146" t="s">
        <v>8494</v>
      </c>
      <c r="T2506" s="68" t="s">
        <v>155</v>
      </c>
      <c r="U2506" s="87"/>
      <c r="V2506" s="183"/>
      <c r="W2506" s="73"/>
      <c r="X2506" s="73"/>
      <c r="Y2506" s="73" t="str">
        <f>IF(SUM(W2506:W2506)&gt;0,X2506/SUM(W2506:W2506)*1000000,"N/A")</f>
        <v>N/A</v>
      </c>
      <c r="Z2506" s="183"/>
      <c r="AA2506" s="183"/>
      <c r="AB2506" s="223"/>
      <c r="AC2506" s="153"/>
      <c r="AD2506" s="331"/>
      <c r="AE2506" s="57"/>
      <c r="AF2506" s="151"/>
      <c r="AG2506" s="182">
        <f>YEAR(D2506)</f>
        <v>2013</v>
      </c>
      <c r="AH2506" s="86" t="str">
        <f>+IF(AE2506=$AJ$22,MONTH(T2506),"")</f>
        <v/>
      </c>
      <c r="AI2506" s="86" t="str">
        <f>+IF(AF2506=$AJ$22,MONTH(U2506),"")</f>
        <v/>
      </c>
      <c r="AJ2506" s="86" t="str">
        <f>+IF(AG2506=$AJ$22,MONTH(V2506),"")</f>
        <v/>
      </c>
      <c r="AK2506" s="86" t="str">
        <f>+IF(AG2506=$AK$22,MONTH(V2506),"")</f>
        <v/>
      </c>
      <c r="AL2506" s="86" t="str">
        <f>+IF(AG2506=$AL$22,MONTH(V2506),"")</f>
        <v/>
      </c>
      <c r="AM2506" s="86" t="str">
        <f>+IF($AG2506=$AM$22,MONTH($D2506),"")</f>
        <v/>
      </c>
      <c r="AN2506" s="89" t="str">
        <f>+IF($AG2506=AN$22,MONTH($D2506),"")</f>
        <v/>
      </c>
      <c r="AO2506" s="184" t="str">
        <f>+IF($AG2506=AO$22,MONTH($D2506),"")</f>
        <v/>
      </c>
      <c r="AP2506" s="184" t="str">
        <f>+IF($AG2506=AP$22,MONTH($D2506),"")</f>
        <v/>
      </c>
      <c r="AQ2506" s="184" t="str">
        <f>+IF($AG2506=AQ$22,MONTH($D2506),"")</f>
        <v/>
      </c>
      <c r="AR2506" s="184" t="str">
        <f>+IF($AG2506=AR$22,MONTH($D2506),"")</f>
        <v/>
      </c>
      <c r="AS2506" s="184" t="str">
        <f>+IF($AG2506=AS$22,MONTH($D2506),"")</f>
        <v/>
      </c>
      <c r="AT2506" s="86" t="str">
        <f>+IF($AG2506=AT$22,MONTH($D2506),"")</f>
        <v/>
      </c>
      <c r="AU2506" s="86">
        <f>+IF($AG2506=AU$22,MONTH($D2506),"")</f>
        <v>10</v>
      </c>
      <c r="AV2506" s="86" t="str">
        <f>+IF($AG2506=AV$22,MONTH($D2506),"")</f>
        <v/>
      </c>
      <c r="AW2506" s="86" t="str">
        <f>+IF($AG2506=AW$22,MONTH($D2506),"")</f>
        <v/>
      </c>
      <c r="AX2506" s="86" t="str">
        <f>+IF($AG2506=AX$22,MONTH($D2506),"")</f>
        <v/>
      </c>
      <c r="AY2506" s="89"/>
      <c r="AZ2506" s="89"/>
      <c r="BA2506" s="89"/>
      <c r="BB2506" s="89"/>
      <c r="BC2506" s="89"/>
      <c r="BD2506" s="89"/>
      <c r="BE2506" s="89"/>
      <c r="BF2506" s="89"/>
      <c r="BG2506" s="89"/>
      <c r="BH2506" s="89"/>
      <c r="BI2506" s="89"/>
      <c r="BJ2506" s="182"/>
      <c r="BK2506" s="182"/>
      <c r="BL2506" s="182"/>
      <c r="BM2506" s="182"/>
      <c r="BN2506" s="182"/>
      <c r="BO2506" s="182"/>
      <c r="BP2506" s="182"/>
    </row>
    <row r="2507" spans="1:68" s="51" customFormat="1" ht="19.5" hidden="1" customHeight="1">
      <c r="A2507" s="204" t="str">
        <f>+IFERROR(VALUE(MID(AB2507,4,4)),"")</f>
        <v/>
      </c>
      <c r="B2507" s="204">
        <f>VALUE(RIGHT(C2507,LEN(C2507)-2))</f>
        <v>224</v>
      </c>
      <c r="C2507" s="74" t="s">
        <v>8495</v>
      </c>
      <c r="D2507" s="75">
        <v>41568</v>
      </c>
      <c r="E2507" s="70" t="s">
        <v>346</v>
      </c>
      <c r="F2507" s="70" t="s">
        <v>346</v>
      </c>
      <c r="G2507" s="68" t="s">
        <v>7922</v>
      </c>
      <c r="H2507" s="59"/>
      <c r="I2507" s="162" t="s">
        <v>8496</v>
      </c>
      <c r="J2507" s="272"/>
      <c r="K2507" s="71" t="s">
        <v>12</v>
      </c>
      <c r="L2507" s="69" t="s">
        <v>120</v>
      </c>
      <c r="M2507" s="69" t="s">
        <v>141</v>
      </c>
      <c r="N2507" s="69" t="e" vm="1">
        <v>#VALUE!</v>
      </c>
      <c r="O2507" s="164">
        <v>41577</v>
      </c>
      <c r="P2507" s="72" t="s">
        <v>8414</v>
      </c>
      <c r="Q2507" s="72"/>
      <c r="R2507" s="162"/>
      <c r="S2507" s="146"/>
      <c r="T2507" s="68" t="s">
        <v>155</v>
      </c>
      <c r="U2507" s="87"/>
      <c r="V2507" s="183"/>
      <c r="W2507" s="73"/>
      <c r="X2507" s="73"/>
      <c r="Y2507" s="73" t="str">
        <f>IF(SUM(W2507:W2507)&gt;0,X2507/SUM(W2507:W2507)*1000000,"N/A")</f>
        <v>N/A</v>
      </c>
      <c r="Z2507" s="183"/>
      <c r="AA2507" s="183"/>
      <c r="AB2507" s="223"/>
      <c r="AC2507" s="153"/>
      <c r="AD2507" s="331"/>
      <c r="AE2507" s="57"/>
      <c r="AF2507" s="151"/>
      <c r="AG2507" s="182">
        <f>YEAR(D2507)</f>
        <v>2013</v>
      </c>
      <c r="AH2507" s="86" t="str">
        <f>+IF(AE2507=$AJ$22,MONTH(T2507),"")</f>
        <v/>
      </c>
      <c r="AI2507" s="86" t="str">
        <f>+IF(AF2507=$AJ$22,MONTH(U2507),"")</f>
        <v/>
      </c>
      <c r="AJ2507" s="86" t="str">
        <f>+IF(AG2507=$AJ$22,MONTH(V2507),"")</f>
        <v/>
      </c>
      <c r="AK2507" s="86" t="str">
        <f>+IF(AG2507=$AK$22,MONTH(V2507),"")</f>
        <v/>
      </c>
      <c r="AL2507" s="86" t="str">
        <f>+IF(AG2507=$AL$22,MONTH(V2507),"")</f>
        <v/>
      </c>
      <c r="AM2507" s="86" t="str">
        <f>+IF($AG2507=$AM$22,MONTH($D2507),"")</f>
        <v/>
      </c>
      <c r="AN2507" s="89" t="str">
        <f>+IF($AG2507=AN$22,MONTH($D2507),"")</f>
        <v/>
      </c>
      <c r="AO2507" s="184" t="str">
        <f>+IF($AG2507=AO$22,MONTH($D2507),"")</f>
        <v/>
      </c>
      <c r="AP2507" s="184" t="str">
        <f>+IF($AG2507=AP$22,MONTH($D2507),"")</f>
        <v/>
      </c>
      <c r="AQ2507" s="184" t="str">
        <f>+IF($AG2507=AQ$22,MONTH($D2507),"")</f>
        <v/>
      </c>
      <c r="AR2507" s="184" t="str">
        <f>+IF($AG2507=AR$22,MONTH($D2507),"")</f>
        <v/>
      </c>
      <c r="AS2507" s="184" t="str">
        <f>+IF($AG2507=AS$22,MONTH($D2507),"")</f>
        <v/>
      </c>
      <c r="AT2507" s="86" t="str">
        <f>+IF($AG2507=AT$22,MONTH($D2507),"")</f>
        <v/>
      </c>
      <c r="AU2507" s="86">
        <f>+IF($AG2507=AU$22,MONTH($D2507),"")</f>
        <v>10</v>
      </c>
      <c r="AV2507" s="86" t="str">
        <f>+IF($AG2507=AV$22,MONTH($D2507),"")</f>
        <v/>
      </c>
      <c r="AW2507" s="86" t="str">
        <f>+IF($AG2507=AW$22,MONTH($D2507),"")</f>
        <v/>
      </c>
      <c r="AX2507" s="86" t="str">
        <f>+IF($AG2507=AX$22,MONTH($D2507),"")</f>
        <v/>
      </c>
      <c r="AY2507" s="89"/>
      <c r="AZ2507" s="89"/>
      <c r="BA2507" s="89"/>
      <c r="BB2507" s="89"/>
      <c r="BC2507" s="89"/>
      <c r="BD2507" s="89"/>
      <c r="BE2507" s="89"/>
      <c r="BF2507" s="89"/>
      <c r="BG2507" s="89"/>
      <c r="BH2507" s="89"/>
      <c r="BI2507" s="89"/>
      <c r="BJ2507" s="182"/>
      <c r="BK2507" s="182"/>
      <c r="BL2507" s="182"/>
      <c r="BM2507" s="182"/>
      <c r="BN2507" s="182"/>
      <c r="BO2507" s="182"/>
      <c r="BP2507" s="182"/>
    </row>
    <row r="2508" spans="1:68" s="51" customFormat="1" ht="19.5" hidden="1" customHeight="1">
      <c r="A2508" s="204" t="str">
        <f>+IFERROR(VALUE(MID(AB2508,4,4)),"")</f>
        <v/>
      </c>
      <c r="B2508" s="204">
        <f>VALUE(RIGHT(C2508,LEN(C2508)-2))</f>
        <v>223</v>
      </c>
      <c r="C2508" s="74" t="s">
        <v>8497</v>
      </c>
      <c r="D2508" s="75">
        <v>41564</v>
      </c>
      <c r="E2508" s="70" t="s">
        <v>8498</v>
      </c>
      <c r="F2508" s="70" t="s">
        <v>8498</v>
      </c>
      <c r="G2508" s="68" t="s">
        <v>8499</v>
      </c>
      <c r="H2508" s="59"/>
      <c r="I2508" s="162" t="s">
        <v>8500</v>
      </c>
      <c r="J2508" s="272"/>
      <c r="K2508" s="71" t="s">
        <v>13</v>
      </c>
      <c r="L2508" s="69" t="s">
        <v>123</v>
      </c>
      <c r="M2508" s="69" t="s">
        <v>141</v>
      </c>
      <c r="N2508" s="69" t="e" vm="1">
        <v>#VALUE!</v>
      </c>
      <c r="O2508" s="164">
        <v>41568</v>
      </c>
      <c r="P2508" s="72" t="s">
        <v>402</v>
      </c>
      <c r="Q2508" s="72"/>
      <c r="R2508" s="162"/>
      <c r="S2508" s="146"/>
      <c r="T2508" s="68" t="s">
        <v>165</v>
      </c>
      <c r="U2508" s="87"/>
      <c r="V2508" s="183">
        <v>41575</v>
      </c>
      <c r="W2508" s="73">
        <v>984</v>
      </c>
      <c r="X2508" s="73">
        <v>32.380000000000003</v>
      </c>
      <c r="Y2508" s="73">
        <f>IF(SUM(W2508:W2508)&gt;0,X2508/SUM(W2508:W2508)*1000000,"N/A")</f>
        <v>32906.504065040652</v>
      </c>
      <c r="Z2508" s="183"/>
      <c r="AA2508" s="183"/>
      <c r="AB2508" s="223"/>
      <c r="AC2508" s="153"/>
      <c r="AD2508" s="331"/>
      <c r="AE2508" s="57"/>
      <c r="AF2508" s="151"/>
      <c r="AG2508" s="182">
        <f>YEAR(D2508)</f>
        <v>2013</v>
      </c>
      <c r="AH2508" s="86" t="str">
        <f>+IF(AE2508=$AJ$22,MONTH(T2508),"")</f>
        <v/>
      </c>
      <c r="AI2508" s="86" t="str">
        <f>+IF(AF2508=$AJ$22,MONTH(U2508),"")</f>
        <v/>
      </c>
      <c r="AJ2508" s="86" t="str">
        <f>+IF(AG2508=$AJ$22,MONTH(V2508),"")</f>
        <v/>
      </c>
      <c r="AK2508" s="86" t="str">
        <f>+IF(AG2508=$AK$22,MONTH(V2508),"")</f>
        <v/>
      </c>
      <c r="AL2508" s="86" t="str">
        <f>+IF(AG2508=$AL$22,MONTH(V2508),"")</f>
        <v/>
      </c>
      <c r="AM2508" s="86" t="str">
        <f>+IF($AG2508=$AM$22,MONTH($D2508),"")</f>
        <v/>
      </c>
      <c r="AN2508" s="89" t="str">
        <f>+IF($AG2508=AN$22,MONTH($D2508),"")</f>
        <v/>
      </c>
      <c r="AO2508" s="184" t="str">
        <f>+IF($AG2508=AO$22,MONTH($D2508),"")</f>
        <v/>
      </c>
      <c r="AP2508" s="184" t="str">
        <f>+IF($AG2508=AP$22,MONTH($D2508),"")</f>
        <v/>
      </c>
      <c r="AQ2508" s="184" t="str">
        <f>+IF($AG2508=AQ$22,MONTH($D2508),"")</f>
        <v/>
      </c>
      <c r="AR2508" s="184" t="str">
        <f>+IF($AG2508=AR$22,MONTH($D2508),"")</f>
        <v/>
      </c>
      <c r="AS2508" s="184" t="str">
        <f>+IF($AG2508=AS$22,MONTH($D2508),"")</f>
        <v/>
      </c>
      <c r="AT2508" s="86" t="str">
        <f>+IF($AG2508=AT$22,MONTH($D2508),"")</f>
        <v/>
      </c>
      <c r="AU2508" s="86">
        <f>+IF($AG2508=AU$22,MONTH($D2508),"")</f>
        <v>10</v>
      </c>
      <c r="AV2508" s="86" t="str">
        <f>+IF($AG2508=AV$22,MONTH($D2508),"")</f>
        <v/>
      </c>
      <c r="AW2508" s="86" t="str">
        <f>+IF($AG2508=AW$22,MONTH($D2508),"")</f>
        <v/>
      </c>
      <c r="AX2508" s="86" t="str">
        <f>+IF($AG2508=AX$22,MONTH($D2508),"")</f>
        <v/>
      </c>
      <c r="AY2508" s="89"/>
      <c r="AZ2508" s="89"/>
      <c r="BA2508" s="89"/>
      <c r="BB2508" s="89"/>
      <c r="BC2508" s="89"/>
      <c r="BD2508" s="89"/>
      <c r="BE2508" s="89"/>
      <c r="BF2508" s="89"/>
      <c r="BG2508" s="89"/>
      <c r="BH2508" s="89"/>
      <c r="BI2508" s="89"/>
      <c r="BJ2508" s="182"/>
      <c r="BK2508" s="182"/>
      <c r="BL2508" s="182"/>
      <c r="BM2508" s="182"/>
      <c r="BN2508" s="182"/>
      <c r="BO2508" s="182"/>
      <c r="BP2508" s="182"/>
    </row>
    <row r="2509" spans="1:68" s="51" customFormat="1" ht="19.5" hidden="1" customHeight="1">
      <c r="A2509" s="204">
        <f>+IFERROR(VALUE(MID(AB2509,4,4)),"")</f>
        <v>85</v>
      </c>
      <c r="B2509" s="204">
        <f>VALUE(RIGHT(C2509,LEN(C2509)-2))</f>
        <v>222</v>
      </c>
      <c r="C2509" s="74" t="s">
        <v>8501</v>
      </c>
      <c r="D2509" s="75">
        <v>41563</v>
      </c>
      <c r="E2509" s="70" t="s">
        <v>346</v>
      </c>
      <c r="F2509" s="70" t="s">
        <v>346</v>
      </c>
      <c r="G2509" s="68" t="s">
        <v>7922</v>
      </c>
      <c r="H2509" s="59"/>
      <c r="I2509" s="162" t="s">
        <v>8502</v>
      </c>
      <c r="J2509" s="272"/>
      <c r="K2509" s="71" t="s">
        <v>12</v>
      </c>
      <c r="L2509" s="69" t="s">
        <v>120</v>
      </c>
      <c r="M2509" s="69" t="s">
        <v>141</v>
      </c>
      <c r="N2509" s="69" t="e" vm="1">
        <v>#VALUE!</v>
      </c>
      <c r="O2509" s="164">
        <v>41563</v>
      </c>
      <c r="P2509" s="72" t="s">
        <v>402</v>
      </c>
      <c r="Q2509" s="72"/>
      <c r="R2509" s="162"/>
      <c r="S2509" s="146"/>
      <c r="T2509" s="68" t="s">
        <v>3</v>
      </c>
      <c r="U2509" s="87"/>
      <c r="V2509" s="183">
        <v>41563</v>
      </c>
      <c r="W2509" s="73">
        <v>574</v>
      </c>
      <c r="X2509" s="73">
        <v>19.510000000000002</v>
      </c>
      <c r="Y2509" s="73">
        <f>IF(SUM(W2509:W2509)&gt;0,X2509/SUM(W2509:W2509)*1000000,"N/A")</f>
        <v>33989.547038327531</v>
      </c>
      <c r="Z2509" s="183"/>
      <c r="AA2509" s="183"/>
      <c r="AB2509" s="223" t="s">
        <v>8503</v>
      </c>
      <c r="AC2509" s="153"/>
      <c r="AD2509" s="331"/>
      <c r="AE2509" s="57"/>
      <c r="AF2509" s="151"/>
      <c r="AG2509" s="182">
        <f>YEAR(D2509)</f>
        <v>2013</v>
      </c>
      <c r="AH2509" s="86" t="str">
        <f>+IF(AE2509=$AJ$22,MONTH(T2509),"")</f>
        <v/>
      </c>
      <c r="AI2509" s="86" t="str">
        <f>+IF(AF2509=$AJ$22,MONTH(U2509),"")</f>
        <v/>
      </c>
      <c r="AJ2509" s="86" t="str">
        <f>+IF(AG2509=$AJ$22,MONTH(V2509),"")</f>
        <v/>
      </c>
      <c r="AK2509" s="86" t="str">
        <f>+IF(AG2509=$AK$22,MONTH(V2509),"")</f>
        <v/>
      </c>
      <c r="AL2509" s="86" t="str">
        <f>+IF(AG2509=$AL$22,MONTH(V2509),"")</f>
        <v/>
      </c>
      <c r="AM2509" s="86" t="str">
        <f>+IF($AG2509=$AM$22,MONTH($D2509),"")</f>
        <v/>
      </c>
      <c r="AN2509" s="89" t="str">
        <f>+IF($AG2509=AN$22,MONTH($D2509),"")</f>
        <v/>
      </c>
      <c r="AO2509" s="86" t="str">
        <f>+IF($AG2509=AO$22,MONTH($D2509),"")</f>
        <v/>
      </c>
      <c r="AP2509" s="86" t="str">
        <f>+IF($AG2509=AP$22,MONTH($D2509),"")</f>
        <v/>
      </c>
      <c r="AQ2509" s="86" t="str">
        <f>+IF($AG2509=AQ$22,MONTH($D2509),"")</f>
        <v/>
      </c>
      <c r="AR2509" s="86" t="str">
        <f>+IF($AG2509=AR$22,MONTH($D2509),"")</f>
        <v/>
      </c>
      <c r="AS2509" s="86" t="str">
        <f>+IF($AG2509=AS$22,MONTH($D2509),"")</f>
        <v/>
      </c>
      <c r="AT2509" s="86" t="str">
        <f>+IF($AG2509=AT$22,MONTH($D2509),"")</f>
        <v/>
      </c>
      <c r="AU2509" s="86">
        <f>+IF($AG2509=AU$22,MONTH($D2509),"")</f>
        <v>10</v>
      </c>
      <c r="AV2509" s="86" t="str">
        <f>+IF($AG2509=AV$22,MONTH($D2509),"")</f>
        <v/>
      </c>
      <c r="AW2509" s="86" t="str">
        <f>+IF($AG2509=AW$22,MONTH($D2509),"")</f>
        <v/>
      </c>
      <c r="AX2509" s="86" t="str">
        <f>+IF($AG2509=AX$22,MONTH($D2509),"")</f>
        <v/>
      </c>
      <c r="AY2509" s="89"/>
      <c r="AZ2509" s="89"/>
      <c r="BA2509" s="89"/>
      <c r="BB2509" s="89"/>
      <c r="BC2509" s="89"/>
      <c r="BD2509" s="89"/>
      <c r="BE2509" s="89"/>
      <c r="BF2509" s="89"/>
      <c r="BG2509" s="89"/>
      <c r="BH2509" s="89"/>
      <c r="BI2509" s="89"/>
      <c r="BJ2509" s="182"/>
      <c r="BK2509" s="182"/>
      <c r="BL2509" s="182"/>
      <c r="BM2509" s="182"/>
      <c r="BN2509" s="182"/>
      <c r="BO2509" s="182"/>
      <c r="BP2509" s="182"/>
    </row>
    <row r="2510" spans="1:68" s="51" customFormat="1" ht="19.5" hidden="1" customHeight="1">
      <c r="A2510" s="204" t="str">
        <f>+IFERROR(VALUE(MID(AB2510,4,4)),"")</f>
        <v/>
      </c>
      <c r="B2510" s="204">
        <f>VALUE(RIGHT(C2510,LEN(C2510)-2))</f>
        <v>221</v>
      </c>
      <c r="C2510" s="74" t="s">
        <v>8504</v>
      </c>
      <c r="D2510" s="75">
        <v>41554</v>
      </c>
      <c r="E2510" s="70" t="s">
        <v>5662</v>
      </c>
      <c r="F2510" s="70" t="s">
        <v>394</v>
      </c>
      <c r="G2510" s="68" t="s">
        <v>7892</v>
      </c>
      <c r="H2510" s="59" t="s">
        <v>7971</v>
      </c>
      <c r="I2510" s="162" t="s">
        <v>8479</v>
      </c>
      <c r="J2510" s="272"/>
      <c r="K2510" s="71" t="s">
        <v>12</v>
      </c>
      <c r="L2510" s="69" t="s">
        <v>123</v>
      </c>
      <c r="M2510" s="69" t="s">
        <v>141</v>
      </c>
      <c r="N2510" s="69" t="e" vm="1">
        <v>#VALUE!</v>
      </c>
      <c r="O2510" s="164">
        <v>41571</v>
      </c>
      <c r="P2510" s="72" t="s">
        <v>402</v>
      </c>
      <c r="Q2510" s="72"/>
      <c r="R2510" s="162"/>
      <c r="S2510" s="146"/>
      <c r="T2510" s="68" t="s">
        <v>165</v>
      </c>
      <c r="U2510" s="87"/>
      <c r="V2510" s="183">
        <v>41956</v>
      </c>
      <c r="W2510" s="73">
        <v>896</v>
      </c>
      <c r="X2510" s="73">
        <f>1525*23100/1000000</f>
        <v>35.227499999999999</v>
      </c>
      <c r="Y2510" s="73">
        <f>IF(SUM(W2510:W2510)&gt;0,X2510/SUM(W2510:W2510)*1000000,"N/A")</f>
        <v>39316.40625</v>
      </c>
      <c r="Z2510" s="183"/>
      <c r="AA2510" s="183"/>
      <c r="AB2510" s="223"/>
      <c r="AC2510" s="153"/>
      <c r="AD2510" s="331"/>
      <c r="AE2510" s="57"/>
      <c r="AF2510" s="151"/>
      <c r="AG2510" s="182">
        <f>YEAR(D2510)</f>
        <v>2013</v>
      </c>
      <c r="AH2510" s="86" t="str">
        <f>+IF(AE2510=$AJ$22,MONTH(T2510),"")</f>
        <v/>
      </c>
      <c r="AI2510" s="86" t="str">
        <f>+IF(AF2510=$AJ$22,MONTH(U2510),"")</f>
        <v/>
      </c>
      <c r="AJ2510" s="86" t="str">
        <f>+IF(AG2510=$AJ$22,MONTH(V2510),"")</f>
        <v/>
      </c>
      <c r="AK2510" s="86" t="str">
        <f>+IF(AG2510=$AK$22,MONTH(V2510),"")</f>
        <v/>
      </c>
      <c r="AL2510" s="86" t="str">
        <f>+IF(AG2510=$AL$22,MONTH(V2510),"")</f>
        <v/>
      </c>
      <c r="AM2510" s="86" t="str">
        <f>+IF($AG2510=$AM$22,MONTH($D2510),"")</f>
        <v/>
      </c>
      <c r="AN2510" s="89" t="str">
        <f>+IF($AG2510=AN$22,MONTH($D2510),"")</f>
        <v/>
      </c>
      <c r="AO2510" s="184" t="str">
        <f>+IF($AG2510=AO$22,MONTH($D2510),"")</f>
        <v/>
      </c>
      <c r="AP2510" s="184" t="str">
        <f>+IF($AG2510=AP$22,MONTH($D2510),"")</f>
        <v/>
      </c>
      <c r="AQ2510" s="184" t="str">
        <f>+IF($AG2510=AQ$22,MONTH($D2510),"")</f>
        <v/>
      </c>
      <c r="AR2510" s="184" t="str">
        <f>+IF($AG2510=AR$22,MONTH($D2510),"")</f>
        <v/>
      </c>
      <c r="AS2510" s="184" t="str">
        <f>+IF($AG2510=AS$22,MONTH($D2510),"")</f>
        <v/>
      </c>
      <c r="AT2510" s="86" t="str">
        <f>+IF($AG2510=AT$22,MONTH($D2510),"")</f>
        <v/>
      </c>
      <c r="AU2510" s="86">
        <f>+IF($AG2510=AU$22,MONTH($D2510),"")</f>
        <v>10</v>
      </c>
      <c r="AV2510" s="86" t="str">
        <f>+IF($AG2510=AV$22,MONTH($D2510),"")</f>
        <v/>
      </c>
      <c r="AW2510" s="86" t="str">
        <f>+IF($AG2510=AW$22,MONTH($D2510),"")</f>
        <v/>
      </c>
      <c r="AX2510" s="86" t="str">
        <f>+IF($AG2510=AX$22,MONTH($D2510),"")</f>
        <v/>
      </c>
      <c r="AY2510" s="89"/>
      <c r="AZ2510" s="89"/>
      <c r="BA2510" s="89"/>
      <c r="BB2510" s="89"/>
      <c r="BC2510" s="89"/>
      <c r="BD2510" s="89"/>
      <c r="BE2510" s="89"/>
      <c r="BF2510" s="89"/>
      <c r="BG2510" s="89"/>
      <c r="BH2510" s="89"/>
      <c r="BI2510" s="89"/>
      <c r="BJ2510" s="182"/>
      <c r="BK2510" s="182"/>
      <c r="BL2510" s="182"/>
      <c r="BM2510" s="182"/>
      <c r="BN2510" s="182"/>
      <c r="BO2510" s="182"/>
      <c r="BP2510" s="182"/>
    </row>
    <row r="2511" spans="1:68" s="51" customFormat="1" ht="19.5" hidden="1" customHeight="1">
      <c r="A2511" s="204" t="str">
        <f>+IFERROR(VALUE(MID(AB2511,4,4)),"")</f>
        <v/>
      </c>
      <c r="B2511" s="204">
        <f>VALUE(RIGHT(C2511,LEN(C2511)-2))</f>
        <v>220</v>
      </c>
      <c r="C2511" s="74" t="s">
        <v>8505</v>
      </c>
      <c r="D2511" s="75">
        <v>41527</v>
      </c>
      <c r="E2511" s="70" t="s">
        <v>106</v>
      </c>
      <c r="F2511" s="70" t="s">
        <v>106</v>
      </c>
      <c r="G2511" s="68" t="s">
        <v>5655</v>
      </c>
      <c r="H2511" s="59" t="s">
        <v>7624</v>
      </c>
      <c r="I2511" s="162" t="s">
        <v>8506</v>
      </c>
      <c r="J2511" s="162"/>
      <c r="K2511" s="68" t="s">
        <v>212</v>
      </c>
      <c r="L2511" s="69" t="s">
        <v>123</v>
      </c>
      <c r="M2511" s="69" t="s">
        <v>141</v>
      </c>
      <c r="N2511" s="69" t="e" vm="1">
        <v>#VALUE!</v>
      </c>
      <c r="O2511" s="164">
        <v>41549</v>
      </c>
      <c r="P2511" s="72" t="s">
        <v>402</v>
      </c>
      <c r="Q2511" s="72"/>
      <c r="R2511" s="162"/>
      <c r="S2511" s="146"/>
      <c r="T2511" s="68" t="s">
        <v>165</v>
      </c>
      <c r="U2511" s="87"/>
      <c r="V2511" s="183">
        <v>41956</v>
      </c>
      <c r="W2511" s="73">
        <v>174</v>
      </c>
      <c r="X2511" s="73">
        <f>9018*500/1000000</f>
        <v>4.5090000000000003</v>
      </c>
      <c r="Y2511" s="73">
        <f>IF(SUM(W2511:W2511)&gt;0,X2511/SUM(W2511:W2511)*1000000,"N/A")</f>
        <v>25913.793103448279</v>
      </c>
      <c r="Z2511" s="183"/>
      <c r="AA2511" s="183"/>
      <c r="AB2511" s="223"/>
      <c r="AC2511" s="153"/>
      <c r="AD2511" s="331"/>
      <c r="AE2511" s="57"/>
      <c r="AF2511" s="151"/>
      <c r="AG2511" s="182">
        <f>YEAR(D2511)</f>
        <v>2013</v>
      </c>
      <c r="AH2511" s="86" t="str">
        <f>+IF(AE2511=$AJ$22,MONTH(T2511),"")</f>
        <v/>
      </c>
      <c r="AI2511" s="86" t="str">
        <f>+IF(AF2511=$AJ$22,MONTH(U2511),"")</f>
        <v/>
      </c>
      <c r="AJ2511" s="86" t="str">
        <f>+IF(AG2511=$AJ$22,MONTH(V2511),"")</f>
        <v/>
      </c>
      <c r="AK2511" s="86" t="str">
        <f>+IF(AG2511=$AK$22,MONTH(V2511),"")</f>
        <v/>
      </c>
      <c r="AL2511" s="86" t="str">
        <f>+IF(AG2511=$AL$22,MONTH(V2511),"")</f>
        <v/>
      </c>
      <c r="AM2511" s="86" t="str">
        <f>+IF($AG2511=$AM$22,MONTH($D2511),"")</f>
        <v/>
      </c>
      <c r="AN2511" s="89" t="str">
        <f>+IF($AG2511=AN$22,MONTH($D2511),"")</f>
        <v/>
      </c>
      <c r="AO2511" s="184" t="str">
        <f>+IF($AG2511=AO$22,MONTH($D2511),"")</f>
        <v/>
      </c>
      <c r="AP2511" s="184" t="str">
        <f>+IF($AG2511=AP$22,MONTH($D2511),"")</f>
        <v/>
      </c>
      <c r="AQ2511" s="184" t="str">
        <f>+IF($AG2511=AQ$22,MONTH($D2511),"")</f>
        <v/>
      </c>
      <c r="AR2511" s="184" t="str">
        <f>+IF($AG2511=AR$22,MONTH($D2511),"")</f>
        <v/>
      </c>
      <c r="AS2511" s="184" t="str">
        <f>+IF($AG2511=AS$22,MONTH($D2511),"")</f>
        <v/>
      </c>
      <c r="AT2511" s="86" t="str">
        <f>+IF($AG2511=AT$22,MONTH($D2511),"")</f>
        <v/>
      </c>
      <c r="AU2511" s="86">
        <f>+IF($AG2511=AU$22,MONTH($D2511),"")</f>
        <v>9</v>
      </c>
      <c r="AV2511" s="86" t="str">
        <f>+IF($AG2511=AV$22,MONTH($D2511),"")</f>
        <v/>
      </c>
      <c r="AW2511" s="86" t="str">
        <f>+IF($AG2511=AW$22,MONTH($D2511),"")</f>
        <v/>
      </c>
      <c r="AX2511" s="86" t="str">
        <f>+IF($AG2511=AX$22,MONTH($D2511),"")</f>
        <v/>
      </c>
      <c r="AY2511" s="89"/>
      <c r="AZ2511" s="89"/>
      <c r="BA2511" s="89"/>
      <c r="BB2511" s="89"/>
      <c r="BC2511" s="89"/>
      <c r="BD2511" s="89"/>
      <c r="BE2511" s="89"/>
      <c r="BF2511" s="89"/>
      <c r="BG2511" s="89"/>
      <c r="BH2511" s="89"/>
      <c r="BI2511" s="89"/>
      <c r="BJ2511" s="182"/>
      <c r="BK2511" s="182"/>
      <c r="BL2511" s="182"/>
      <c r="BM2511" s="182"/>
      <c r="BN2511" s="182"/>
      <c r="BO2511" s="182"/>
      <c r="BP2511" s="182"/>
    </row>
    <row r="2512" spans="1:68" s="51" customFormat="1" ht="19.5" hidden="1" customHeight="1">
      <c r="A2512" s="204">
        <f>+IFERROR(VALUE(MID(AB2512,4,4)),"")</f>
        <v>82</v>
      </c>
      <c r="B2512" s="204">
        <f>VALUE(RIGHT(C2512,LEN(C2512)-2))</f>
        <v>219</v>
      </c>
      <c r="C2512" s="74" t="s">
        <v>8507</v>
      </c>
      <c r="D2512" s="75">
        <v>41549</v>
      </c>
      <c r="E2512" s="70" t="s">
        <v>87</v>
      </c>
      <c r="F2512" s="70" t="s">
        <v>87</v>
      </c>
      <c r="G2512" s="68" t="s">
        <v>8508</v>
      </c>
      <c r="H2512" s="59"/>
      <c r="I2512" s="162" t="s">
        <v>8509</v>
      </c>
      <c r="J2512" s="272"/>
      <c r="K2512" s="71" t="s">
        <v>14</v>
      </c>
      <c r="L2512" s="69" t="s">
        <v>120</v>
      </c>
      <c r="M2512" s="69" t="s">
        <v>141</v>
      </c>
      <c r="N2512" s="69" t="e" vm="1">
        <v>#VALUE!</v>
      </c>
      <c r="O2512" s="164">
        <v>41550</v>
      </c>
      <c r="P2512" s="72" t="s">
        <v>402</v>
      </c>
      <c r="Q2512" s="72"/>
      <c r="R2512" s="162"/>
      <c r="S2512" s="146"/>
      <c r="T2512" s="68" t="s">
        <v>3</v>
      </c>
      <c r="U2512" s="87"/>
      <c r="V2512" s="183">
        <v>41562</v>
      </c>
      <c r="W2512" s="73">
        <v>340</v>
      </c>
      <c r="X2512" s="73">
        <f>500*23000/1000000</f>
        <v>11.5</v>
      </c>
      <c r="Y2512" s="73">
        <f>IF(SUM(W2512:W2512)&gt;0,X2512/SUM(W2512:W2512)*1000000,"N/A")</f>
        <v>33823.529411764706</v>
      </c>
      <c r="Z2512" s="183"/>
      <c r="AA2512" s="183"/>
      <c r="AB2512" s="223" t="s">
        <v>8510</v>
      </c>
      <c r="AC2512" s="153"/>
      <c r="AD2512" s="331"/>
      <c r="AE2512" s="57"/>
      <c r="AF2512" s="151"/>
      <c r="AG2512" s="182">
        <f>YEAR(D2512)</f>
        <v>2013</v>
      </c>
      <c r="AH2512" s="86" t="str">
        <f>+IF(AE2512=$AJ$22,MONTH(T2512),"")</f>
        <v/>
      </c>
      <c r="AI2512" s="86" t="str">
        <f>+IF(AF2512=$AJ$22,MONTH(U2512),"")</f>
        <v/>
      </c>
      <c r="AJ2512" s="86" t="str">
        <f>+IF(AG2512=$AJ$22,MONTH(V2512),"")</f>
        <v/>
      </c>
      <c r="AK2512" s="86" t="str">
        <f>+IF(AG2512=$AK$22,MONTH(V2512),"")</f>
        <v/>
      </c>
      <c r="AL2512" s="86" t="str">
        <f>+IF(AG2512=$AL$22,MONTH(V2512),"")</f>
        <v/>
      </c>
      <c r="AM2512" s="86" t="str">
        <f>+IF($AG2512=$AM$22,MONTH($D2512),"")</f>
        <v/>
      </c>
      <c r="AN2512" s="89" t="str">
        <f>+IF($AG2512=AN$22,MONTH($D2512),"")</f>
        <v/>
      </c>
      <c r="AO2512" s="86" t="str">
        <f>+IF($AG2512=AO$22,MONTH($D2512),"")</f>
        <v/>
      </c>
      <c r="AP2512" s="86" t="str">
        <f>+IF($AG2512=AP$22,MONTH($D2512),"")</f>
        <v/>
      </c>
      <c r="AQ2512" s="86" t="str">
        <f>+IF($AG2512=AQ$22,MONTH($D2512),"")</f>
        <v/>
      </c>
      <c r="AR2512" s="86" t="str">
        <f>+IF($AG2512=AR$22,MONTH($D2512),"")</f>
        <v/>
      </c>
      <c r="AS2512" s="86" t="str">
        <f>+IF($AG2512=AS$22,MONTH($D2512),"")</f>
        <v/>
      </c>
      <c r="AT2512" s="86" t="str">
        <f>+IF($AG2512=AT$22,MONTH($D2512),"")</f>
        <v/>
      </c>
      <c r="AU2512" s="86">
        <f>+IF($AG2512=AU$22,MONTH($D2512),"")</f>
        <v>10</v>
      </c>
      <c r="AV2512" s="86" t="str">
        <f>+IF($AG2512=AV$22,MONTH($D2512),"")</f>
        <v/>
      </c>
      <c r="AW2512" s="86" t="str">
        <f>+IF($AG2512=AW$22,MONTH($D2512),"")</f>
        <v/>
      </c>
      <c r="AX2512" s="86" t="str">
        <f>+IF($AG2512=AX$22,MONTH($D2512),"")</f>
        <v/>
      </c>
      <c r="AY2512" s="89"/>
      <c r="AZ2512" s="89"/>
      <c r="BA2512" s="89"/>
      <c r="BB2512" s="89"/>
      <c r="BC2512" s="89"/>
      <c r="BD2512" s="89"/>
      <c r="BE2512" s="89"/>
      <c r="BF2512" s="89"/>
      <c r="BG2512" s="89"/>
      <c r="BH2512" s="89"/>
      <c r="BI2512" s="89"/>
      <c r="BJ2512" s="182"/>
      <c r="BK2512" s="182"/>
      <c r="BL2512" s="182"/>
      <c r="BM2512" s="182"/>
      <c r="BN2512" s="182"/>
      <c r="BO2512" s="182"/>
      <c r="BP2512" s="182"/>
    </row>
    <row r="2513" spans="1:68" s="51" customFormat="1" ht="19.5" hidden="1" customHeight="1">
      <c r="A2513" s="204" t="str">
        <f>+IFERROR(VALUE(MID(AB2513,4,4)),"")</f>
        <v/>
      </c>
      <c r="B2513" s="204">
        <f>VALUE(RIGHT(C2513,LEN(C2513)-2))</f>
        <v>218</v>
      </c>
      <c r="C2513" s="74" t="s">
        <v>8511</v>
      </c>
      <c r="D2513" s="75">
        <v>41540</v>
      </c>
      <c r="E2513" s="70" t="s">
        <v>60</v>
      </c>
      <c r="F2513" s="70" t="s">
        <v>1379</v>
      </c>
      <c r="G2513" s="68" t="s">
        <v>8338</v>
      </c>
      <c r="H2513" s="59"/>
      <c r="I2513" s="162" t="s">
        <v>8512</v>
      </c>
      <c r="J2513" s="272"/>
      <c r="K2513" s="71" t="s">
        <v>13</v>
      </c>
      <c r="L2513" s="69" t="s">
        <v>123</v>
      </c>
      <c r="M2513" s="69" t="s">
        <v>141</v>
      </c>
      <c r="N2513" s="69" t="e" vm="1">
        <v>#VALUE!</v>
      </c>
      <c r="O2513" s="164">
        <v>41577</v>
      </c>
      <c r="P2513" s="72" t="s">
        <v>402</v>
      </c>
      <c r="Q2513" s="72"/>
      <c r="R2513" s="162"/>
      <c r="S2513" s="146"/>
      <c r="T2513" s="68" t="s">
        <v>165</v>
      </c>
      <c r="U2513" s="87"/>
      <c r="V2513" s="183">
        <v>41606</v>
      </c>
      <c r="W2513" s="73">
        <v>22828</v>
      </c>
      <c r="X2513" s="73">
        <f>706033392.824/1000000</f>
        <v>706.03339282399998</v>
      </c>
      <c r="Y2513" s="73">
        <f>IF(SUM(W2513:W2513)&gt;0,X2513/SUM(W2513:W2513)*1000000,"N/A")</f>
        <v>30928.394639214999</v>
      </c>
      <c r="Z2513" s="183"/>
      <c r="AA2513" s="183"/>
      <c r="AB2513" s="223"/>
      <c r="AC2513" s="153"/>
      <c r="AD2513" s="331"/>
      <c r="AE2513" s="57"/>
      <c r="AF2513" s="151"/>
      <c r="AG2513" s="182">
        <f>YEAR(D2513)</f>
        <v>2013</v>
      </c>
      <c r="AH2513" s="86" t="str">
        <f>+IF(AE2513=$AJ$22,MONTH(T2513),"")</f>
        <v/>
      </c>
      <c r="AI2513" s="86" t="str">
        <f>+IF(AF2513=$AJ$22,MONTH(U2513),"")</f>
        <v/>
      </c>
      <c r="AJ2513" s="86" t="str">
        <f>+IF(AG2513=$AJ$22,MONTH(V2513),"")</f>
        <v/>
      </c>
      <c r="AK2513" s="86" t="str">
        <f>+IF(AG2513=$AK$22,MONTH(V2513),"")</f>
        <v/>
      </c>
      <c r="AL2513" s="86" t="str">
        <f>+IF(AG2513=$AL$22,MONTH(V2513),"")</f>
        <v/>
      </c>
      <c r="AM2513" s="86" t="str">
        <f>+IF($AG2513=$AM$22,MONTH($D2513),"")</f>
        <v/>
      </c>
      <c r="AN2513" s="89" t="str">
        <f>+IF($AG2513=AN$22,MONTH($D2513),"")</f>
        <v/>
      </c>
      <c r="AO2513" s="184" t="str">
        <f>+IF($AG2513=AO$22,MONTH($D2513),"")</f>
        <v/>
      </c>
      <c r="AP2513" s="184" t="str">
        <f>+IF($AG2513=AP$22,MONTH($D2513),"")</f>
        <v/>
      </c>
      <c r="AQ2513" s="184" t="str">
        <f>+IF($AG2513=AQ$22,MONTH($D2513),"")</f>
        <v/>
      </c>
      <c r="AR2513" s="184" t="str">
        <f>+IF($AG2513=AR$22,MONTH($D2513),"")</f>
        <v/>
      </c>
      <c r="AS2513" s="184" t="str">
        <f>+IF($AG2513=AS$22,MONTH($D2513),"")</f>
        <v/>
      </c>
      <c r="AT2513" s="86" t="str">
        <f>+IF($AG2513=AT$22,MONTH($D2513),"")</f>
        <v/>
      </c>
      <c r="AU2513" s="86">
        <f>+IF($AG2513=AU$22,MONTH($D2513),"")</f>
        <v>9</v>
      </c>
      <c r="AV2513" s="86" t="str">
        <f>+IF($AG2513=AV$22,MONTH($D2513),"")</f>
        <v/>
      </c>
      <c r="AW2513" s="86" t="str">
        <f>+IF($AG2513=AW$22,MONTH($D2513),"")</f>
        <v/>
      </c>
      <c r="AX2513" s="86" t="str">
        <f>+IF($AG2513=AX$22,MONTH($D2513),"")</f>
        <v/>
      </c>
      <c r="AY2513" s="89"/>
      <c r="AZ2513" s="89"/>
      <c r="BA2513" s="89"/>
      <c r="BB2513" s="89"/>
      <c r="BC2513" s="89"/>
      <c r="BD2513" s="89"/>
      <c r="BE2513" s="89"/>
      <c r="BF2513" s="89"/>
      <c r="BG2513" s="89"/>
      <c r="BH2513" s="89"/>
      <c r="BI2513" s="89"/>
      <c r="BJ2513" s="182"/>
      <c r="BK2513" s="182"/>
      <c r="BL2513" s="182"/>
      <c r="BM2513" s="182"/>
      <c r="BN2513" s="182"/>
      <c r="BO2513" s="182"/>
      <c r="BP2513" s="182"/>
    </row>
    <row r="2514" spans="1:68" s="51" customFormat="1" ht="19.5" hidden="1" customHeight="1">
      <c r="A2514" s="204" t="str">
        <f>+IFERROR(VALUE(MID(AB2514,4,4)),"")</f>
        <v/>
      </c>
      <c r="B2514" s="204">
        <f>VALUE(RIGHT(C2514,LEN(C2514)-2))</f>
        <v>217</v>
      </c>
      <c r="C2514" s="74" t="s">
        <v>8513</v>
      </c>
      <c r="D2514" s="75">
        <v>41527</v>
      </c>
      <c r="E2514" s="70" t="s">
        <v>332</v>
      </c>
      <c r="F2514" s="70" t="s">
        <v>332</v>
      </c>
      <c r="G2514" s="68" t="s">
        <v>8475</v>
      </c>
      <c r="H2514" s="59"/>
      <c r="I2514" s="162" t="s">
        <v>8514</v>
      </c>
      <c r="J2514" s="272"/>
      <c r="K2514" s="71" t="s">
        <v>45</v>
      </c>
      <c r="L2514" s="69" t="s">
        <v>120</v>
      </c>
      <c r="M2514" s="69" t="s">
        <v>141</v>
      </c>
      <c r="N2514" s="69" t="e" vm="1">
        <v>#VALUE!</v>
      </c>
      <c r="O2514" s="164"/>
      <c r="P2514" s="72" t="s">
        <v>402</v>
      </c>
      <c r="Q2514" s="72"/>
      <c r="R2514" s="162"/>
      <c r="S2514" s="146"/>
      <c r="T2514" s="68" t="s">
        <v>165</v>
      </c>
      <c r="U2514" s="87"/>
      <c r="V2514" s="183">
        <v>41649</v>
      </c>
      <c r="W2514" s="73">
        <v>2619</v>
      </c>
      <c r="X2514" s="73">
        <v>39.775226864244701</v>
      </c>
      <c r="Y2514" s="73">
        <f>IF(SUM(W2514:W2514)&gt;0,X2514/SUM(W2514:W2514)*1000000,"N/A")</f>
        <v>15187.180933274036</v>
      </c>
      <c r="Z2514" s="183"/>
      <c r="AA2514" s="183"/>
      <c r="AB2514" s="223"/>
      <c r="AC2514" s="153"/>
      <c r="AD2514" s="331"/>
      <c r="AE2514" s="57"/>
      <c r="AF2514" s="151"/>
      <c r="AG2514" s="182">
        <f>YEAR(D2514)</f>
        <v>2013</v>
      </c>
      <c r="AH2514" s="86" t="str">
        <f>+IF(AE2514=$AJ$22,MONTH(T2514),"")</f>
        <v/>
      </c>
      <c r="AI2514" s="86" t="str">
        <f>+IF(AF2514=$AJ$22,MONTH(U2514),"")</f>
        <v/>
      </c>
      <c r="AJ2514" s="86" t="str">
        <f>+IF(AG2514=$AJ$22,MONTH(V2514),"")</f>
        <v/>
      </c>
      <c r="AK2514" s="86" t="str">
        <f>+IF(AG2514=$AK$22,MONTH(V2514),"")</f>
        <v/>
      </c>
      <c r="AL2514" s="86" t="str">
        <f>+IF(AG2514=$AL$22,MONTH(V2514),"")</f>
        <v/>
      </c>
      <c r="AM2514" s="86" t="str">
        <f>+IF($AG2514=$AM$22,MONTH($D2514),"")</f>
        <v/>
      </c>
      <c r="AN2514" s="89" t="str">
        <f>+IF($AG2514=AN$22,MONTH($D2514),"")</f>
        <v/>
      </c>
      <c r="AO2514" s="184" t="str">
        <f>+IF($AG2514=AO$22,MONTH($D2514),"")</f>
        <v/>
      </c>
      <c r="AP2514" s="184" t="str">
        <f>+IF($AG2514=AP$22,MONTH($D2514),"")</f>
        <v/>
      </c>
      <c r="AQ2514" s="184" t="str">
        <f>+IF($AG2514=AQ$22,MONTH($D2514),"")</f>
        <v/>
      </c>
      <c r="AR2514" s="184" t="str">
        <f>+IF($AG2514=AR$22,MONTH($D2514),"")</f>
        <v/>
      </c>
      <c r="AS2514" s="184" t="str">
        <f>+IF($AG2514=AS$22,MONTH($D2514),"")</f>
        <v/>
      </c>
      <c r="AT2514" s="86" t="str">
        <f>+IF($AG2514=AT$22,MONTH($D2514),"")</f>
        <v/>
      </c>
      <c r="AU2514" s="86">
        <f>+IF($AG2514=AU$22,MONTH($D2514),"")</f>
        <v>9</v>
      </c>
      <c r="AV2514" s="86" t="str">
        <f>+IF($AG2514=AV$22,MONTH($D2514),"")</f>
        <v/>
      </c>
      <c r="AW2514" s="86" t="str">
        <f>+IF($AG2514=AW$22,MONTH($D2514),"")</f>
        <v/>
      </c>
      <c r="AX2514" s="86" t="str">
        <f>+IF($AG2514=AX$22,MONTH($D2514),"")</f>
        <v/>
      </c>
      <c r="AY2514" s="89"/>
      <c r="AZ2514" s="89"/>
      <c r="BA2514" s="89"/>
      <c r="BB2514" s="89"/>
      <c r="BC2514" s="89"/>
      <c r="BD2514" s="89"/>
      <c r="BE2514" s="89"/>
      <c r="BF2514" s="89"/>
      <c r="BG2514" s="89"/>
      <c r="BH2514" s="89"/>
      <c r="BI2514" s="89"/>
      <c r="BJ2514" s="182"/>
      <c r="BK2514" s="182"/>
      <c r="BL2514" s="182"/>
      <c r="BM2514" s="182"/>
      <c r="BN2514" s="182"/>
      <c r="BO2514" s="182"/>
      <c r="BP2514" s="182"/>
    </row>
    <row r="2515" spans="1:68" s="51" customFormat="1" ht="19.5" hidden="1" customHeight="1">
      <c r="A2515" s="204">
        <f>+IFERROR(VALUE(MID(AB2515,4,4)),"")</f>
        <v>81</v>
      </c>
      <c r="B2515" s="204">
        <f>VALUE(RIGHT(C2515,LEN(C2515)-2))</f>
        <v>216</v>
      </c>
      <c r="C2515" s="74" t="s">
        <v>8515</v>
      </c>
      <c r="D2515" s="75">
        <v>41519</v>
      </c>
      <c r="E2515" s="70" t="s">
        <v>88</v>
      </c>
      <c r="F2515" s="70" t="s">
        <v>88</v>
      </c>
      <c r="G2515" s="68" t="s">
        <v>7949</v>
      </c>
      <c r="H2515" s="59"/>
      <c r="I2515" s="162" t="s">
        <v>8516</v>
      </c>
      <c r="J2515" s="272"/>
      <c r="K2515" s="71" t="s">
        <v>13</v>
      </c>
      <c r="L2515" s="69" t="s">
        <v>120</v>
      </c>
      <c r="M2515" s="69" t="s">
        <v>141</v>
      </c>
      <c r="N2515" s="69" t="e" vm="1">
        <v>#VALUE!</v>
      </c>
      <c r="O2515" s="164">
        <v>41527</v>
      </c>
      <c r="P2515" s="72" t="s">
        <v>402</v>
      </c>
      <c r="Q2515" s="72"/>
      <c r="R2515" s="162"/>
      <c r="S2515" s="146"/>
      <c r="T2515" s="68" t="s">
        <v>3</v>
      </c>
      <c r="U2515" s="87"/>
      <c r="V2515" s="183">
        <v>41562</v>
      </c>
      <c r="W2515" s="73">
        <v>1075</v>
      </c>
      <c r="X2515" s="73">
        <f>38.9873*0.85</f>
        <v>33.139204999999997</v>
      </c>
      <c r="Y2515" s="73">
        <f>IF(SUM(W2515:W2515)&gt;0,X2515/SUM(W2515:W2515)*1000000,"N/A")</f>
        <v>30827.167441860463</v>
      </c>
      <c r="Z2515" s="183"/>
      <c r="AA2515" s="183"/>
      <c r="AB2515" s="223" t="s">
        <v>8517</v>
      </c>
      <c r="AC2515" s="153"/>
      <c r="AD2515" s="331"/>
      <c r="AE2515" s="57"/>
      <c r="AF2515" s="151"/>
      <c r="AG2515" s="182">
        <f>YEAR(D2515)</f>
        <v>2013</v>
      </c>
      <c r="AH2515" s="86" t="str">
        <f>+IF(AE2515=$AJ$22,MONTH(T2515),"")</f>
        <v/>
      </c>
      <c r="AI2515" s="86" t="str">
        <f>+IF(AF2515=$AJ$22,MONTH(U2515),"")</f>
        <v/>
      </c>
      <c r="AJ2515" s="86" t="str">
        <f>+IF(AG2515=$AJ$22,MONTH(V2515),"")</f>
        <v/>
      </c>
      <c r="AK2515" s="86" t="str">
        <f>+IF(AG2515=$AK$22,MONTH(V2515),"")</f>
        <v/>
      </c>
      <c r="AL2515" s="86" t="str">
        <f>+IF(AG2515=$AL$22,MONTH(V2515),"")</f>
        <v/>
      </c>
      <c r="AM2515" s="86" t="str">
        <f>+IF($AG2515=$AM$22,MONTH($D2515),"")</f>
        <v/>
      </c>
      <c r="AN2515" s="89" t="str">
        <f>+IF($AG2515=AN$22,MONTH($D2515),"")</f>
        <v/>
      </c>
      <c r="AO2515" s="86" t="str">
        <f>+IF($AG2515=AO$22,MONTH($D2515),"")</f>
        <v/>
      </c>
      <c r="AP2515" s="86" t="str">
        <f>+IF($AG2515=AP$22,MONTH($D2515),"")</f>
        <v/>
      </c>
      <c r="AQ2515" s="86" t="str">
        <f>+IF($AG2515=AQ$22,MONTH($D2515),"")</f>
        <v/>
      </c>
      <c r="AR2515" s="86" t="str">
        <f>+IF($AG2515=AR$22,MONTH($D2515),"")</f>
        <v/>
      </c>
      <c r="AS2515" s="86" t="str">
        <f>+IF($AG2515=AS$22,MONTH($D2515),"")</f>
        <v/>
      </c>
      <c r="AT2515" s="86" t="str">
        <f>+IF($AG2515=AT$22,MONTH($D2515),"")</f>
        <v/>
      </c>
      <c r="AU2515" s="86">
        <f>+IF($AG2515=AU$22,MONTH($D2515),"")</f>
        <v>9</v>
      </c>
      <c r="AV2515" s="86" t="str">
        <f>+IF($AG2515=AV$22,MONTH($D2515),"")</f>
        <v/>
      </c>
      <c r="AW2515" s="86" t="str">
        <f>+IF($AG2515=AW$22,MONTH($D2515),"")</f>
        <v/>
      </c>
      <c r="AX2515" s="86" t="str">
        <f>+IF($AG2515=AX$22,MONTH($D2515),"")</f>
        <v/>
      </c>
      <c r="AY2515" s="89"/>
      <c r="AZ2515" s="89"/>
      <c r="BA2515" s="89"/>
      <c r="BB2515" s="89"/>
      <c r="BC2515" s="89"/>
      <c r="BD2515" s="89"/>
      <c r="BE2515" s="89"/>
      <c r="BF2515" s="89"/>
      <c r="BG2515" s="89"/>
      <c r="BH2515" s="89"/>
      <c r="BI2515" s="89"/>
      <c r="BJ2515" s="182"/>
      <c r="BK2515" s="182"/>
      <c r="BL2515" s="182"/>
      <c r="BM2515" s="182"/>
      <c r="BN2515" s="182"/>
      <c r="BO2515" s="182"/>
      <c r="BP2515" s="182"/>
    </row>
    <row r="2516" spans="1:68" s="51" customFormat="1" ht="19.5" hidden="1" customHeight="1">
      <c r="A2516" s="204" t="str">
        <f>+IFERROR(VALUE(MID(AB2516,4,4)),"")</f>
        <v/>
      </c>
      <c r="B2516" s="204">
        <f>VALUE(RIGHT(C2516,LEN(C2516)-2))</f>
        <v>215</v>
      </c>
      <c r="C2516" s="74" t="s">
        <v>8518</v>
      </c>
      <c r="D2516" s="75">
        <v>41521</v>
      </c>
      <c r="E2516" s="70" t="s">
        <v>4512</v>
      </c>
      <c r="F2516" s="70" t="s">
        <v>4426</v>
      </c>
      <c r="G2516" s="68" t="s">
        <v>8519</v>
      </c>
      <c r="H2516" s="59"/>
      <c r="I2516" s="162" t="s">
        <v>8520</v>
      </c>
      <c r="J2516" s="272"/>
      <c r="K2516" s="71" t="s">
        <v>30</v>
      </c>
      <c r="L2516" s="69" t="s">
        <v>120</v>
      </c>
      <c r="M2516" s="69" t="s">
        <v>141</v>
      </c>
      <c r="N2516" s="69" t="e" vm="1">
        <v>#VALUE!</v>
      </c>
      <c r="O2516" s="164">
        <v>41532</v>
      </c>
      <c r="P2516" s="72" t="s">
        <v>8414</v>
      </c>
      <c r="Q2516" s="72"/>
      <c r="R2516" s="162"/>
      <c r="S2516" s="146" t="s">
        <v>8521</v>
      </c>
      <c r="T2516" s="68" t="s">
        <v>155</v>
      </c>
      <c r="U2516" s="87"/>
      <c r="V2516" s="183">
        <v>41737</v>
      </c>
      <c r="W2516" s="73"/>
      <c r="X2516" s="73"/>
      <c r="Y2516" s="73" t="str">
        <f>IF(SUM(W2516:W2516)&gt;0,X2516/SUM(W2516:W2516)*1000000,"N/A")</f>
        <v>N/A</v>
      </c>
      <c r="Z2516" s="183"/>
      <c r="AA2516" s="183"/>
      <c r="AB2516" s="223"/>
      <c r="AC2516" s="153"/>
      <c r="AD2516" s="331"/>
      <c r="AE2516" s="57"/>
      <c r="AF2516" s="151"/>
      <c r="AG2516" s="182">
        <f>YEAR(D2516)</f>
        <v>2013</v>
      </c>
      <c r="AH2516" s="86" t="str">
        <f>+IF(AE2516=$AJ$22,MONTH(T2516),"")</f>
        <v/>
      </c>
      <c r="AI2516" s="86" t="str">
        <f>+IF(AF2516=$AJ$22,MONTH(U2516),"")</f>
        <v/>
      </c>
      <c r="AJ2516" s="86" t="str">
        <f>+IF(AG2516=$AJ$22,MONTH(V2516),"")</f>
        <v/>
      </c>
      <c r="AK2516" s="86" t="str">
        <f>+IF(AG2516=$AK$22,MONTH(V2516),"")</f>
        <v/>
      </c>
      <c r="AL2516" s="86" t="str">
        <f>+IF(AG2516=$AL$22,MONTH(V2516),"")</f>
        <v/>
      </c>
      <c r="AM2516" s="86" t="str">
        <f>+IF($AG2516=$AM$22,MONTH($D2516),"")</f>
        <v/>
      </c>
      <c r="AN2516" s="89" t="str">
        <f>+IF($AG2516=AN$22,MONTH($D2516),"")</f>
        <v/>
      </c>
      <c r="AO2516" s="184" t="str">
        <f>+IF($AG2516=AO$22,MONTH($D2516),"")</f>
        <v/>
      </c>
      <c r="AP2516" s="184" t="str">
        <f>+IF($AG2516=AP$22,MONTH($D2516),"")</f>
        <v/>
      </c>
      <c r="AQ2516" s="184" t="str">
        <f>+IF($AG2516=AQ$22,MONTH($D2516),"")</f>
        <v/>
      </c>
      <c r="AR2516" s="184" t="str">
        <f>+IF($AG2516=AR$22,MONTH($D2516),"")</f>
        <v/>
      </c>
      <c r="AS2516" s="184" t="str">
        <f>+IF($AG2516=AS$22,MONTH($D2516),"")</f>
        <v/>
      </c>
      <c r="AT2516" s="86" t="str">
        <f>+IF($AG2516=AT$22,MONTH($D2516),"")</f>
        <v/>
      </c>
      <c r="AU2516" s="86">
        <f>+IF($AG2516=AU$22,MONTH($D2516),"")</f>
        <v>9</v>
      </c>
      <c r="AV2516" s="86" t="str">
        <f>+IF($AG2516=AV$22,MONTH($D2516),"")</f>
        <v/>
      </c>
      <c r="AW2516" s="86" t="str">
        <f>+IF($AG2516=AW$22,MONTH($D2516),"")</f>
        <v/>
      </c>
      <c r="AX2516" s="86" t="str">
        <f>+IF($AG2516=AX$22,MONTH($D2516),"")</f>
        <v/>
      </c>
      <c r="AY2516" s="89"/>
      <c r="AZ2516" s="89"/>
      <c r="BA2516" s="89"/>
      <c r="BB2516" s="89"/>
      <c r="BC2516" s="89"/>
      <c r="BD2516" s="89"/>
      <c r="BE2516" s="89"/>
      <c r="BF2516" s="89"/>
      <c r="BG2516" s="89"/>
      <c r="BH2516" s="89"/>
      <c r="BI2516" s="89"/>
      <c r="BJ2516" s="182"/>
      <c r="BK2516" s="182"/>
      <c r="BL2516" s="182"/>
      <c r="BM2516" s="182"/>
      <c r="BN2516" s="182"/>
      <c r="BO2516" s="182"/>
      <c r="BP2516" s="182"/>
    </row>
    <row r="2517" spans="1:68" s="51" customFormat="1" ht="19.5" hidden="1" customHeight="1">
      <c r="A2517" s="204" t="str">
        <f>+IFERROR(VALUE(MID(AB2517,4,4)),"")</f>
        <v/>
      </c>
      <c r="B2517" s="204">
        <f>VALUE(RIGHT(C2517,LEN(C2517)-2))</f>
        <v>214</v>
      </c>
      <c r="C2517" s="74" t="s">
        <v>8522</v>
      </c>
      <c r="D2517" s="75">
        <v>41514</v>
      </c>
      <c r="E2517" s="70" t="s">
        <v>8523</v>
      </c>
      <c r="F2517" s="70" t="s">
        <v>8523</v>
      </c>
      <c r="G2517" s="68" t="s">
        <v>8524</v>
      </c>
      <c r="H2517" s="59"/>
      <c r="I2517" s="162" t="s">
        <v>8525</v>
      </c>
      <c r="J2517" s="272"/>
      <c r="K2517" s="71" t="s">
        <v>33</v>
      </c>
      <c r="L2517" s="69" t="s">
        <v>120</v>
      </c>
      <c r="M2517" s="69" t="s">
        <v>113</v>
      </c>
      <c r="N2517" s="69" t="e" vm="4">
        <v>#VALUE!</v>
      </c>
      <c r="O2517" s="164">
        <v>41532</v>
      </c>
      <c r="P2517" s="72" t="s">
        <v>4567</v>
      </c>
      <c r="Q2517" s="72"/>
      <c r="R2517" s="162"/>
      <c r="S2517" s="146" t="s">
        <v>8526</v>
      </c>
      <c r="T2517" s="68" t="s">
        <v>155</v>
      </c>
      <c r="U2517" s="87"/>
      <c r="V2517" s="183">
        <v>41526</v>
      </c>
      <c r="W2517" s="73"/>
      <c r="X2517" s="73"/>
      <c r="Y2517" s="73" t="str">
        <f>IF(SUM(W2517:W2517)&gt;0,X2517/SUM(W2517:W2517)*1000000,"N/A")</f>
        <v>N/A</v>
      </c>
      <c r="Z2517" s="183"/>
      <c r="AA2517" s="183"/>
      <c r="AB2517" s="223"/>
      <c r="AC2517" s="153"/>
      <c r="AD2517" s="331"/>
      <c r="AE2517" s="57"/>
      <c r="AF2517" s="151"/>
      <c r="AG2517" s="182">
        <f>YEAR(D2517)</f>
        <v>2013</v>
      </c>
      <c r="AH2517" s="86" t="str">
        <f>+IF(AE2517=$AJ$22,MONTH(T2517),"")</f>
        <v/>
      </c>
      <c r="AI2517" s="86" t="str">
        <f>+IF(AF2517=$AJ$22,MONTH(U2517),"")</f>
        <v/>
      </c>
      <c r="AJ2517" s="86" t="str">
        <f>+IF(AG2517=$AJ$22,MONTH(V2517),"")</f>
        <v/>
      </c>
      <c r="AK2517" s="86" t="str">
        <f>+IF(AG2517=$AK$22,MONTH(V2517),"")</f>
        <v/>
      </c>
      <c r="AL2517" s="86" t="str">
        <f>+IF(AG2517=$AL$22,MONTH(V2517),"")</f>
        <v/>
      </c>
      <c r="AM2517" s="86" t="str">
        <f>+IF($AG2517=$AM$22,MONTH($D2517),"")</f>
        <v/>
      </c>
      <c r="AN2517" s="89" t="str">
        <f>+IF($AG2517=AN$22,MONTH($D2517),"")</f>
        <v/>
      </c>
      <c r="AO2517" s="184" t="str">
        <f>+IF($AG2517=AO$22,MONTH($D2517),"")</f>
        <v/>
      </c>
      <c r="AP2517" s="184" t="str">
        <f>+IF($AG2517=AP$22,MONTH($D2517),"")</f>
        <v/>
      </c>
      <c r="AQ2517" s="184" t="str">
        <f>+IF($AG2517=AQ$22,MONTH($D2517),"")</f>
        <v/>
      </c>
      <c r="AR2517" s="184" t="str">
        <f>+IF($AG2517=AR$22,MONTH($D2517),"")</f>
        <v/>
      </c>
      <c r="AS2517" s="184" t="str">
        <f>+IF($AG2517=AS$22,MONTH($D2517),"")</f>
        <v/>
      </c>
      <c r="AT2517" s="86" t="str">
        <f>+IF($AG2517=AT$22,MONTH($D2517),"")</f>
        <v/>
      </c>
      <c r="AU2517" s="86">
        <f>+IF($AG2517=AU$22,MONTH($D2517),"")</f>
        <v>8</v>
      </c>
      <c r="AV2517" s="86" t="str">
        <f>+IF($AG2517=AV$22,MONTH($D2517),"")</f>
        <v/>
      </c>
      <c r="AW2517" s="86" t="str">
        <f>+IF($AG2517=AW$22,MONTH($D2517),"")</f>
        <v/>
      </c>
      <c r="AX2517" s="86" t="str">
        <f>+IF($AG2517=AX$22,MONTH($D2517),"")</f>
        <v/>
      </c>
      <c r="AY2517" s="89"/>
      <c r="AZ2517" s="89"/>
      <c r="BA2517" s="89"/>
      <c r="BB2517" s="89"/>
      <c r="BC2517" s="89"/>
      <c r="BD2517" s="89"/>
      <c r="BE2517" s="89"/>
      <c r="BF2517" s="89"/>
      <c r="BG2517" s="89"/>
      <c r="BH2517" s="89"/>
      <c r="BI2517" s="89"/>
      <c r="BJ2517" s="182"/>
      <c r="BK2517" s="182"/>
      <c r="BL2517" s="182"/>
      <c r="BM2517" s="182"/>
      <c r="BN2517" s="182"/>
      <c r="BO2517" s="182"/>
      <c r="BP2517" s="182"/>
    </row>
    <row r="2518" spans="1:68" s="51" customFormat="1" ht="19.5" hidden="1" customHeight="1">
      <c r="A2518" s="204" t="str">
        <f>+IFERROR(VALUE(MID(AB2518,4,4)),"")</f>
        <v/>
      </c>
      <c r="B2518" s="204">
        <f>VALUE(RIGHT(C2518,LEN(C2518)-2))</f>
        <v>213</v>
      </c>
      <c r="C2518" s="74" t="s">
        <v>8527</v>
      </c>
      <c r="D2518" s="75">
        <v>41509</v>
      </c>
      <c r="E2518" s="70" t="s">
        <v>1321</v>
      </c>
      <c r="F2518" s="70" t="s">
        <v>4426</v>
      </c>
      <c r="G2518" s="68" t="s">
        <v>1322</v>
      </c>
      <c r="H2518" s="59"/>
      <c r="I2518" s="162" t="s">
        <v>8528</v>
      </c>
      <c r="J2518" s="272"/>
      <c r="K2518" s="71" t="s">
        <v>12</v>
      </c>
      <c r="L2518" s="69" t="s">
        <v>123</v>
      </c>
      <c r="M2518" s="69" t="s">
        <v>141</v>
      </c>
      <c r="N2518" s="69" t="e" vm="1">
        <v>#VALUE!</v>
      </c>
      <c r="O2518" s="164">
        <v>41516</v>
      </c>
      <c r="P2518" s="72" t="s">
        <v>402</v>
      </c>
      <c r="Q2518" s="72"/>
      <c r="R2518" s="162"/>
      <c r="S2518" s="146" t="s">
        <v>8529</v>
      </c>
      <c r="T2518" s="68" t="s">
        <v>165</v>
      </c>
      <c r="U2518" s="87"/>
      <c r="V2518" s="183">
        <v>41526</v>
      </c>
      <c r="W2518" s="73">
        <v>885</v>
      </c>
      <c r="X2518" s="73">
        <f>1483*23000/1000000</f>
        <v>34.109000000000002</v>
      </c>
      <c r="Y2518" s="73">
        <f>IF(SUM(W2518:W2518)&gt;0,X2518/SUM(W2518:W2518)*1000000,"N/A")</f>
        <v>38541.242937853109</v>
      </c>
      <c r="Z2518" s="183"/>
      <c r="AA2518" s="183"/>
      <c r="AB2518" s="223"/>
      <c r="AC2518" s="153"/>
      <c r="AD2518" s="331"/>
      <c r="AE2518" s="57"/>
      <c r="AF2518" s="151"/>
      <c r="AG2518" s="182">
        <f>YEAR(D2518)</f>
        <v>2013</v>
      </c>
      <c r="AH2518" s="86" t="str">
        <f>+IF(AE2518=$AJ$22,MONTH(T2518),"")</f>
        <v/>
      </c>
      <c r="AI2518" s="86" t="str">
        <f>+IF(AF2518=$AJ$22,MONTH(U2518),"")</f>
        <v/>
      </c>
      <c r="AJ2518" s="86" t="str">
        <f>+IF(AG2518=$AJ$22,MONTH(V2518),"")</f>
        <v/>
      </c>
      <c r="AK2518" s="86" t="str">
        <f>+IF(AG2518=$AK$22,MONTH(V2518),"")</f>
        <v/>
      </c>
      <c r="AL2518" s="86" t="str">
        <f>+IF(AG2518=$AL$22,MONTH(V2518),"")</f>
        <v/>
      </c>
      <c r="AM2518" s="86" t="str">
        <f>+IF($AG2518=$AM$22,MONTH($D2518),"")</f>
        <v/>
      </c>
      <c r="AN2518" s="89" t="str">
        <f>+IF($AG2518=AN$22,MONTH($D2518),"")</f>
        <v/>
      </c>
      <c r="AO2518" s="184" t="str">
        <f>+IF($AG2518=AO$22,MONTH($D2518),"")</f>
        <v/>
      </c>
      <c r="AP2518" s="184" t="str">
        <f>+IF($AG2518=AP$22,MONTH($D2518),"")</f>
        <v/>
      </c>
      <c r="AQ2518" s="184" t="str">
        <f>+IF($AG2518=AQ$22,MONTH($D2518),"")</f>
        <v/>
      </c>
      <c r="AR2518" s="184" t="str">
        <f>+IF($AG2518=AR$22,MONTH($D2518),"")</f>
        <v/>
      </c>
      <c r="AS2518" s="184" t="str">
        <f>+IF($AG2518=AS$22,MONTH($D2518),"")</f>
        <v/>
      </c>
      <c r="AT2518" s="86" t="str">
        <f>+IF($AG2518=AT$22,MONTH($D2518),"")</f>
        <v/>
      </c>
      <c r="AU2518" s="86">
        <f>+IF($AG2518=AU$22,MONTH($D2518),"")</f>
        <v>8</v>
      </c>
      <c r="AV2518" s="86" t="str">
        <f>+IF($AG2518=AV$22,MONTH($D2518),"")</f>
        <v/>
      </c>
      <c r="AW2518" s="86" t="str">
        <f>+IF($AG2518=AW$22,MONTH($D2518),"")</f>
        <v/>
      </c>
      <c r="AX2518" s="86" t="str">
        <f>+IF($AG2518=AX$22,MONTH($D2518),"")</f>
        <v/>
      </c>
      <c r="AY2518" s="89"/>
      <c r="AZ2518" s="89"/>
      <c r="BA2518" s="89"/>
      <c r="BB2518" s="89"/>
      <c r="BC2518" s="89"/>
      <c r="BD2518" s="89"/>
      <c r="BE2518" s="89"/>
      <c r="BF2518" s="89"/>
      <c r="BG2518" s="89"/>
      <c r="BH2518" s="89"/>
      <c r="BI2518" s="89"/>
      <c r="BJ2518" s="182"/>
      <c r="BK2518" s="182"/>
      <c r="BL2518" s="182"/>
      <c r="BM2518" s="182"/>
      <c r="BN2518" s="182"/>
      <c r="BO2518" s="182"/>
      <c r="BP2518" s="182"/>
    </row>
    <row r="2519" spans="1:68" s="51" customFormat="1" ht="19.5" hidden="1" customHeight="1">
      <c r="A2519" s="204" t="str">
        <f>+IFERROR(VALUE(MID(AB2519,4,4)),"")</f>
        <v/>
      </c>
      <c r="B2519" s="204">
        <f>VALUE(RIGHT(C2519,LEN(C2519)-2))</f>
        <v>212</v>
      </c>
      <c r="C2519" s="74" t="s">
        <v>8530</v>
      </c>
      <c r="D2519" s="75">
        <v>41500</v>
      </c>
      <c r="E2519" s="70" t="s">
        <v>8531</v>
      </c>
      <c r="F2519" s="70" t="s">
        <v>8531</v>
      </c>
      <c r="G2519" s="68" t="s">
        <v>8532</v>
      </c>
      <c r="H2519" s="59"/>
      <c r="I2519" s="162" t="s">
        <v>8533</v>
      </c>
      <c r="J2519" s="272"/>
      <c r="K2519" s="71" t="s">
        <v>30</v>
      </c>
      <c r="L2519" s="69" t="s">
        <v>120</v>
      </c>
      <c r="M2519" s="69" t="s">
        <v>113</v>
      </c>
      <c r="N2519" s="69" t="e" vm="3">
        <v>#VALUE!</v>
      </c>
      <c r="O2519" s="164">
        <v>41502</v>
      </c>
      <c r="P2519" s="72" t="s">
        <v>402</v>
      </c>
      <c r="Q2519" s="72"/>
      <c r="R2519" s="162"/>
      <c r="S2519" s="146" t="s">
        <v>8534</v>
      </c>
      <c r="T2519" s="68" t="s">
        <v>155</v>
      </c>
      <c r="U2519" s="87"/>
      <c r="V2519" s="183">
        <v>41737</v>
      </c>
      <c r="W2519" s="73"/>
      <c r="X2519" s="73"/>
      <c r="Y2519" s="73" t="str">
        <f>IF(SUM(W2519:W2519)&gt;0,X2519/SUM(W2519:W2519)*1000000,"N/A")</f>
        <v>N/A</v>
      </c>
      <c r="Z2519" s="183"/>
      <c r="AA2519" s="183"/>
      <c r="AB2519" s="223"/>
      <c r="AC2519" s="153"/>
      <c r="AD2519" s="331"/>
      <c r="AE2519" s="57"/>
      <c r="AF2519" s="151"/>
      <c r="AG2519" s="182">
        <f>YEAR(D2519)</f>
        <v>2013</v>
      </c>
      <c r="AH2519" s="86" t="str">
        <f>+IF(AE2519=$AJ$22,MONTH(T2519),"")</f>
        <v/>
      </c>
      <c r="AI2519" s="86" t="str">
        <f>+IF(AF2519=$AJ$22,MONTH(U2519),"")</f>
        <v/>
      </c>
      <c r="AJ2519" s="86" t="str">
        <f>+IF(AG2519=$AJ$22,MONTH(V2519),"")</f>
        <v/>
      </c>
      <c r="AK2519" s="86" t="str">
        <f>+IF(AG2519=$AK$22,MONTH(V2519),"")</f>
        <v/>
      </c>
      <c r="AL2519" s="86" t="str">
        <f>+IF(AG2519=$AL$22,MONTH(V2519),"")</f>
        <v/>
      </c>
      <c r="AM2519" s="86" t="str">
        <f>+IF($AG2519=$AM$22,MONTH($D2519),"")</f>
        <v/>
      </c>
      <c r="AN2519" s="89" t="str">
        <f>+IF($AG2519=AN$22,MONTH($D2519),"")</f>
        <v/>
      </c>
      <c r="AO2519" s="184" t="str">
        <f>+IF($AG2519=AO$22,MONTH($D2519),"")</f>
        <v/>
      </c>
      <c r="AP2519" s="184" t="str">
        <f>+IF($AG2519=AP$22,MONTH($D2519),"")</f>
        <v/>
      </c>
      <c r="AQ2519" s="184" t="str">
        <f>+IF($AG2519=AQ$22,MONTH($D2519),"")</f>
        <v/>
      </c>
      <c r="AR2519" s="184" t="str">
        <f>+IF($AG2519=AR$22,MONTH($D2519),"")</f>
        <v/>
      </c>
      <c r="AS2519" s="184" t="str">
        <f>+IF($AG2519=AS$22,MONTH($D2519),"")</f>
        <v/>
      </c>
      <c r="AT2519" s="86" t="str">
        <f>+IF($AG2519=AT$22,MONTH($D2519),"")</f>
        <v/>
      </c>
      <c r="AU2519" s="86">
        <f>+IF($AG2519=AU$22,MONTH($D2519),"")</f>
        <v>8</v>
      </c>
      <c r="AV2519" s="86" t="str">
        <f>+IF($AG2519=AV$22,MONTH($D2519),"")</f>
        <v/>
      </c>
      <c r="AW2519" s="86" t="str">
        <f>+IF($AG2519=AW$22,MONTH($D2519),"")</f>
        <v/>
      </c>
      <c r="AX2519" s="86" t="str">
        <f>+IF($AG2519=AX$22,MONTH($D2519),"")</f>
        <v/>
      </c>
      <c r="AY2519" s="89"/>
      <c r="AZ2519" s="89"/>
      <c r="BA2519" s="89"/>
      <c r="BB2519" s="89"/>
      <c r="BC2519" s="89"/>
      <c r="BD2519" s="89"/>
      <c r="BE2519" s="89"/>
      <c r="BF2519" s="89"/>
      <c r="BG2519" s="89"/>
      <c r="BH2519" s="89"/>
      <c r="BI2519" s="89"/>
      <c r="BJ2519" s="182"/>
      <c r="BK2519" s="182"/>
      <c r="BL2519" s="182"/>
      <c r="BM2519" s="182"/>
      <c r="BN2519" s="182"/>
      <c r="BO2519" s="182"/>
      <c r="BP2519" s="182"/>
    </row>
    <row r="2520" spans="1:68" s="51" customFormat="1" ht="19.5" hidden="1" customHeight="1">
      <c r="A2520" s="204" t="str">
        <f>+IFERROR(VALUE(MID(AB2520,4,4)),"")</f>
        <v/>
      </c>
      <c r="B2520" s="204">
        <f>VALUE(RIGHT(C2520,LEN(C2520)-2))</f>
        <v>211</v>
      </c>
      <c r="C2520" s="74" t="s">
        <v>8535</v>
      </c>
      <c r="D2520" s="75">
        <v>41488</v>
      </c>
      <c r="E2520" s="70" t="s">
        <v>97</v>
      </c>
      <c r="F2520" s="70" t="s">
        <v>53</v>
      </c>
      <c r="G2520" s="68" t="s">
        <v>8536</v>
      </c>
      <c r="H2520" s="59"/>
      <c r="I2520" s="162" t="s">
        <v>8537</v>
      </c>
      <c r="J2520" s="272"/>
      <c r="K2520" s="71" t="s">
        <v>25</v>
      </c>
      <c r="L2520" s="69" t="s">
        <v>120</v>
      </c>
      <c r="M2520" s="69" t="s">
        <v>141</v>
      </c>
      <c r="N2520" s="69" t="e" vm="1">
        <v>#VALUE!</v>
      </c>
      <c r="O2520" s="164">
        <v>41491</v>
      </c>
      <c r="P2520" s="72" t="s">
        <v>7372</v>
      </c>
      <c r="Q2520" s="72"/>
      <c r="R2520" s="162"/>
      <c r="S2520" s="146" t="s">
        <v>8538</v>
      </c>
      <c r="T2520" s="68" t="s">
        <v>165</v>
      </c>
      <c r="U2520" s="87"/>
      <c r="V2520" s="183">
        <v>41506</v>
      </c>
      <c r="W2520" s="73">
        <v>100</v>
      </c>
      <c r="X2520" s="73">
        <v>5.5</v>
      </c>
      <c r="Y2520" s="73">
        <f>IF(SUM(W2520:W2520)&gt;0,X2520/SUM(W2520:W2520)*1000000,"N/A")</f>
        <v>55000</v>
      </c>
      <c r="Z2520" s="183"/>
      <c r="AA2520" s="183"/>
      <c r="AB2520" s="223"/>
      <c r="AC2520" s="153"/>
      <c r="AD2520" s="331"/>
      <c r="AE2520" s="57"/>
      <c r="AF2520" s="151"/>
      <c r="AG2520" s="182">
        <f>YEAR(D2520)</f>
        <v>2013</v>
      </c>
      <c r="AH2520" s="86" t="str">
        <f>+IF(AE2520=$AJ$22,MONTH(T2520),"")</f>
        <v/>
      </c>
      <c r="AI2520" s="86" t="str">
        <f>+IF(AF2520=$AJ$22,MONTH(U2520),"")</f>
        <v/>
      </c>
      <c r="AJ2520" s="86" t="str">
        <f>+IF(AG2520=$AJ$22,MONTH(V2520),"")</f>
        <v/>
      </c>
      <c r="AK2520" s="86" t="str">
        <f>+IF(AG2520=$AK$22,MONTH(V2520),"")</f>
        <v/>
      </c>
      <c r="AL2520" s="86" t="str">
        <f>+IF(AG2520=$AL$22,MONTH(V2520),"")</f>
        <v/>
      </c>
      <c r="AM2520" s="86" t="str">
        <f>+IF($AG2520=$AM$22,MONTH($D2520),"")</f>
        <v/>
      </c>
      <c r="AN2520" s="89" t="str">
        <f>+IF($AG2520=AN$22,MONTH($D2520),"")</f>
        <v/>
      </c>
      <c r="AO2520" s="184" t="str">
        <f>+IF($AG2520=AO$22,MONTH($D2520),"")</f>
        <v/>
      </c>
      <c r="AP2520" s="184" t="str">
        <f>+IF($AG2520=AP$22,MONTH($D2520),"")</f>
        <v/>
      </c>
      <c r="AQ2520" s="184" t="str">
        <f>+IF($AG2520=AQ$22,MONTH($D2520),"")</f>
        <v/>
      </c>
      <c r="AR2520" s="184" t="str">
        <f>+IF($AG2520=AR$22,MONTH($D2520),"")</f>
        <v/>
      </c>
      <c r="AS2520" s="184" t="str">
        <f>+IF($AG2520=AS$22,MONTH($D2520),"")</f>
        <v/>
      </c>
      <c r="AT2520" s="86" t="str">
        <f>+IF($AG2520=AT$22,MONTH($D2520),"")</f>
        <v/>
      </c>
      <c r="AU2520" s="86">
        <f>+IF($AG2520=AU$22,MONTH($D2520),"")</f>
        <v>8</v>
      </c>
      <c r="AV2520" s="86" t="str">
        <f>+IF($AG2520=AV$22,MONTH($D2520),"")</f>
        <v/>
      </c>
      <c r="AW2520" s="86" t="str">
        <f>+IF($AG2520=AW$22,MONTH($D2520),"")</f>
        <v/>
      </c>
      <c r="AX2520" s="86" t="str">
        <f>+IF($AG2520=AX$22,MONTH($D2520),"")</f>
        <v/>
      </c>
      <c r="AY2520" s="89"/>
      <c r="AZ2520" s="89"/>
      <c r="BA2520" s="89"/>
      <c r="BB2520" s="89"/>
      <c r="BC2520" s="89"/>
      <c r="BD2520" s="89"/>
      <c r="BE2520" s="89"/>
      <c r="BF2520" s="89"/>
      <c r="BG2520" s="89"/>
      <c r="BH2520" s="89"/>
      <c r="BI2520" s="89"/>
      <c r="BJ2520" s="182"/>
      <c r="BK2520" s="182"/>
      <c r="BL2520" s="182"/>
      <c r="BM2520" s="182"/>
      <c r="BN2520" s="182"/>
      <c r="BO2520" s="182"/>
      <c r="BP2520" s="182"/>
    </row>
    <row r="2521" spans="1:68" s="56" customFormat="1" ht="19.5" hidden="1" customHeight="1">
      <c r="A2521" s="204" t="str">
        <f>+IFERROR(VALUE(MID(AB2521,4,4)),"")</f>
        <v/>
      </c>
      <c r="B2521" s="204">
        <f>VALUE(RIGHT(C2521,LEN(C2521)-2))</f>
        <v>210</v>
      </c>
      <c r="C2521" s="74" t="s">
        <v>8539</v>
      </c>
      <c r="D2521" s="75">
        <v>41484</v>
      </c>
      <c r="E2521" s="70" t="s">
        <v>8540</v>
      </c>
      <c r="F2521" s="70" t="s">
        <v>8540</v>
      </c>
      <c r="G2521" s="68"/>
      <c r="H2521" s="59"/>
      <c r="I2521" s="162" t="s">
        <v>8541</v>
      </c>
      <c r="J2521" s="162"/>
      <c r="K2521" s="68" t="s">
        <v>16</v>
      </c>
      <c r="L2521" s="69" t="s">
        <v>120</v>
      </c>
      <c r="M2521" s="71" t="s">
        <v>113</v>
      </c>
      <c r="N2521" s="69" t="e" vm="2">
        <v>#VALUE!</v>
      </c>
      <c r="O2521" s="164"/>
      <c r="P2521" s="72" t="s">
        <v>8542</v>
      </c>
      <c r="Q2521" s="72"/>
      <c r="R2521" s="162"/>
      <c r="S2521" s="146" t="s">
        <v>8543</v>
      </c>
      <c r="T2521" s="68" t="s">
        <v>155</v>
      </c>
      <c r="U2521" s="87"/>
      <c r="V2521" s="183">
        <v>41547</v>
      </c>
      <c r="W2521" s="73">
        <v>1800</v>
      </c>
      <c r="X2521" s="73">
        <f>53846670/1000000</f>
        <v>53.846670000000003</v>
      </c>
      <c r="Y2521" s="73">
        <f>IF(SUM(W2521:W2521)&gt;0,X2521/SUM(W2521:W2521)*1000000,"N/A")</f>
        <v>29914.816666666669</v>
      </c>
      <c r="Z2521" s="183"/>
      <c r="AA2521" s="183"/>
      <c r="AB2521" s="223"/>
      <c r="AC2521" s="153"/>
      <c r="AD2521" s="331"/>
      <c r="AE2521" s="57"/>
      <c r="AF2521" s="88"/>
      <c r="AG2521" s="182">
        <f>YEAR(D2521)</f>
        <v>2013</v>
      </c>
      <c r="AH2521" s="86" t="str">
        <f>+IF(AE2521=$AJ$22,MONTH(T2521),"")</f>
        <v/>
      </c>
      <c r="AI2521" s="86" t="str">
        <f>+IF(AF2521=$AJ$22,MONTH(U2521),"")</f>
        <v/>
      </c>
      <c r="AJ2521" s="86" t="str">
        <f>+IF(AG2521=$AJ$22,MONTH(V2521),"")</f>
        <v/>
      </c>
      <c r="AK2521" s="86" t="str">
        <f>+IF(AG2521=$AK$22,MONTH(V2521),"")</f>
        <v/>
      </c>
      <c r="AL2521" s="86" t="str">
        <f>+IF(AG2521=$AL$22,MONTH(V2521),"")</f>
        <v/>
      </c>
      <c r="AM2521" s="86" t="str">
        <f>+IF($AG2521=$AM$22,MONTH($D2521),"")</f>
        <v/>
      </c>
      <c r="AN2521" s="89" t="str">
        <f>+IF($AG2521=AN$22,MONTH($D2521),"")</f>
        <v/>
      </c>
      <c r="AO2521" s="184" t="str">
        <f>+IF($AG2521=AO$22,MONTH($D2521),"")</f>
        <v/>
      </c>
      <c r="AP2521" s="184" t="str">
        <f>+IF($AG2521=AP$22,MONTH($D2521),"")</f>
        <v/>
      </c>
      <c r="AQ2521" s="184" t="str">
        <f>+IF($AG2521=AQ$22,MONTH($D2521),"")</f>
        <v/>
      </c>
      <c r="AR2521" s="184" t="str">
        <f>+IF($AG2521=AR$22,MONTH($D2521),"")</f>
        <v/>
      </c>
      <c r="AS2521" s="184" t="str">
        <f>+IF($AG2521=AS$22,MONTH($D2521),"")</f>
        <v/>
      </c>
      <c r="AT2521" s="86" t="str">
        <f>+IF($AG2521=AT$22,MONTH($D2521),"")</f>
        <v/>
      </c>
      <c r="AU2521" s="86">
        <f>+IF($AG2521=AU$22,MONTH($D2521),"")</f>
        <v>7</v>
      </c>
      <c r="AV2521" s="86" t="str">
        <f>+IF($AG2521=AV$22,MONTH($D2521),"")</f>
        <v/>
      </c>
      <c r="AW2521" s="86" t="str">
        <f>+IF($AG2521=AW$22,MONTH($D2521),"")</f>
        <v/>
      </c>
      <c r="AX2521" s="86" t="str">
        <f>+IF($AG2521=AX$22,MONTH($D2521),"")</f>
        <v/>
      </c>
      <c r="AY2521" s="89"/>
      <c r="AZ2521" s="89"/>
      <c r="BA2521" s="89"/>
      <c r="BB2521" s="89"/>
      <c r="BC2521" s="89"/>
      <c r="BD2521" s="89"/>
      <c r="BE2521" s="89"/>
      <c r="BF2521" s="89"/>
      <c r="BG2521" s="89"/>
      <c r="BH2521" s="89"/>
      <c r="BI2521" s="89"/>
      <c r="BJ2521" s="89"/>
      <c r="BK2521" s="89"/>
      <c r="BL2521" s="89"/>
      <c r="BM2521" s="89"/>
      <c r="BN2521" s="89"/>
      <c r="BO2521" s="89"/>
      <c r="BP2521" s="89"/>
    </row>
    <row r="2522" spans="1:68" s="51" customFormat="1" ht="19.5" hidden="1" customHeight="1">
      <c r="A2522" s="204" t="str">
        <f>+IFERROR(VALUE(MID(AB2522,4,4)),"")</f>
        <v/>
      </c>
      <c r="B2522" s="204">
        <f>VALUE(RIGHT(C2522,LEN(C2522)-2))</f>
        <v>209</v>
      </c>
      <c r="C2522" s="74" t="s">
        <v>8544</v>
      </c>
      <c r="D2522" s="75">
        <v>41484</v>
      </c>
      <c r="E2522" s="70" t="s">
        <v>8545</v>
      </c>
      <c r="F2522" s="70" t="s">
        <v>8545</v>
      </c>
      <c r="G2522" s="68" t="s">
        <v>8546</v>
      </c>
      <c r="H2522" s="59"/>
      <c r="I2522" s="162" t="s">
        <v>8547</v>
      </c>
      <c r="J2522" s="272"/>
      <c r="K2522" s="71" t="s">
        <v>12</v>
      </c>
      <c r="L2522" s="69" t="s">
        <v>120</v>
      </c>
      <c r="M2522" s="69" t="s">
        <v>113</v>
      </c>
      <c r="N2522" s="69" t="e" vm="15">
        <v>#VALUE!</v>
      </c>
      <c r="O2522" s="164">
        <v>41488</v>
      </c>
      <c r="P2522" s="72" t="s">
        <v>4567</v>
      </c>
      <c r="Q2522" s="72"/>
      <c r="R2522" s="162"/>
      <c r="S2522" s="146" t="s">
        <v>8548</v>
      </c>
      <c r="T2522" s="68" t="s">
        <v>165</v>
      </c>
      <c r="U2522" s="87"/>
      <c r="V2522" s="183">
        <v>41512</v>
      </c>
      <c r="W2522" s="73">
        <v>560</v>
      </c>
      <c r="X2522" s="73">
        <f>48110*500/1000000</f>
        <v>24.055</v>
      </c>
      <c r="Y2522" s="73">
        <f>IF(SUM(W2522:W2522)&gt;0,X2522/SUM(W2522:W2522)*1000000,"N/A")</f>
        <v>42955.357142857145</v>
      </c>
      <c r="Z2522" s="183"/>
      <c r="AA2522" s="183"/>
      <c r="AB2522" s="223"/>
      <c r="AC2522" s="153"/>
      <c r="AD2522" s="331"/>
      <c r="AE2522" s="57"/>
      <c r="AF2522" s="151"/>
      <c r="AG2522" s="182">
        <f>YEAR(D2522)</f>
        <v>2013</v>
      </c>
      <c r="AH2522" s="86" t="str">
        <f>+IF(AE2522=$AJ$22,MONTH(T2522),"")</f>
        <v/>
      </c>
      <c r="AI2522" s="86" t="str">
        <f>+IF(AF2522=$AJ$22,MONTH(U2522),"")</f>
        <v/>
      </c>
      <c r="AJ2522" s="86" t="str">
        <f>+IF(AG2522=$AJ$22,MONTH(V2522),"")</f>
        <v/>
      </c>
      <c r="AK2522" s="86" t="str">
        <f>+IF(AG2522=$AK$22,MONTH(V2522),"")</f>
        <v/>
      </c>
      <c r="AL2522" s="86" t="str">
        <f>+IF(AG2522=$AL$22,MONTH(V2522),"")</f>
        <v/>
      </c>
      <c r="AM2522" s="86" t="str">
        <f>+IF($AG2522=$AM$22,MONTH($D2522),"")</f>
        <v/>
      </c>
      <c r="AN2522" s="89" t="str">
        <f>+IF($AG2522=AN$22,MONTH($D2522),"")</f>
        <v/>
      </c>
      <c r="AO2522" s="184" t="str">
        <f>+IF($AG2522=AO$22,MONTH($D2522),"")</f>
        <v/>
      </c>
      <c r="AP2522" s="184" t="str">
        <f>+IF($AG2522=AP$22,MONTH($D2522),"")</f>
        <v/>
      </c>
      <c r="AQ2522" s="184" t="str">
        <f>+IF($AG2522=AQ$22,MONTH($D2522),"")</f>
        <v/>
      </c>
      <c r="AR2522" s="184" t="str">
        <f>+IF($AG2522=AR$22,MONTH($D2522),"")</f>
        <v/>
      </c>
      <c r="AS2522" s="184" t="str">
        <f>+IF($AG2522=AS$22,MONTH($D2522),"")</f>
        <v/>
      </c>
      <c r="AT2522" s="86" t="str">
        <f>+IF($AG2522=AT$22,MONTH($D2522),"")</f>
        <v/>
      </c>
      <c r="AU2522" s="86">
        <f>+IF($AG2522=AU$22,MONTH($D2522),"")</f>
        <v>7</v>
      </c>
      <c r="AV2522" s="86" t="str">
        <f>+IF($AG2522=AV$22,MONTH($D2522),"")</f>
        <v/>
      </c>
      <c r="AW2522" s="86" t="str">
        <f>+IF($AG2522=AW$22,MONTH($D2522),"")</f>
        <v/>
      </c>
      <c r="AX2522" s="86" t="str">
        <f>+IF($AG2522=AX$22,MONTH($D2522),"")</f>
        <v/>
      </c>
      <c r="AY2522" s="89"/>
      <c r="AZ2522" s="89"/>
      <c r="BA2522" s="89"/>
      <c r="BB2522" s="89"/>
      <c r="BC2522" s="89"/>
      <c r="BD2522" s="89"/>
      <c r="BE2522" s="89"/>
      <c r="BF2522" s="89"/>
      <c r="BG2522" s="89"/>
      <c r="BH2522" s="89"/>
      <c r="BI2522" s="89"/>
      <c r="BJ2522" s="182"/>
      <c r="BK2522" s="182"/>
      <c r="BL2522" s="182"/>
      <c r="BM2522" s="182"/>
      <c r="BN2522" s="182"/>
      <c r="BO2522" s="182"/>
      <c r="BP2522" s="182"/>
    </row>
    <row r="2523" spans="1:68" s="51" customFormat="1" ht="19.5" hidden="1" customHeight="1">
      <c r="A2523" s="204" t="str">
        <f>+IFERROR(VALUE(MID(AB2523,4,4)),"")</f>
        <v/>
      </c>
      <c r="B2523" s="204">
        <f>VALUE(RIGHT(C2523,LEN(C2523)-2))</f>
        <v>208</v>
      </c>
      <c r="C2523" s="74" t="s">
        <v>8549</v>
      </c>
      <c r="D2523" s="75">
        <v>41502</v>
      </c>
      <c r="E2523" s="70" t="s">
        <v>8550</v>
      </c>
      <c r="F2523" s="70" t="s">
        <v>8550</v>
      </c>
      <c r="G2523" s="68" t="s">
        <v>8551</v>
      </c>
      <c r="H2523" s="59"/>
      <c r="I2523" s="162" t="s">
        <v>8552</v>
      </c>
      <c r="J2523" s="272"/>
      <c r="K2523" s="71" t="s">
        <v>30</v>
      </c>
      <c r="L2523" s="69" t="s">
        <v>120</v>
      </c>
      <c r="M2523" s="69" t="s">
        <v>141</v>
      </c>
      <c r="N2523" s="69" t="e" vm="1">
        <v>#VALUE!</v>
      </c>
      <c r="O2523" s="164">
        <v>41505</v>
      </c>
      <c r="P2523" s="72" t="s">
        <v>402</v>
      </c>
      <c r="Q2523" s="72"/>
      <c r="R2523" s="162"/>
      <c r="S2523" s="146" t="s">
        <v>7708</v>
      </c>
      <c r="T2523" s="68" t="s">
        <v>165</v>
      </c>
      <c r="U2523" s="87"/>
      <c r="V2523" s="183">
        <v>41506</v>
      </c>
      <c r="W2523" s="73">
        <v>275</v>
      </c>
      <c r="X2523" s="73">
        <f>538*23000/1000000</f>
        <v>12.374000000000001</v>
      </c>
      <c r="Y2523" s="73">
        <f>IF(SUM(W2523:W2523)&gt;0,X2523/SUM(W2523:W2523)*1000000,"N/A")</f>
        <v>44996.36363636364</v>
      </c>
      <c r="Z2523" s="183"/>
      <c r="AA2523" s="183"/>
      <c r="AB2523" s="223"/>
      <c r="AC2523" s="153"/>
      <c r="AD2523" s="331"/>
      <c r="AE2523" s="57"/>
      <c r="AF2523" s="151"/>
      <c r="AG2523" s="182">
        <f>YEAR(D2523)</f>
        <v>2013</v>
      </c>
      <c r="AH2523" s="86" t="str">
        <f>+IF(AE2523=$AJ$22,MONTH(T2523),"")</f>
        <v/>
      </c>
      <c r="AI2523" s="86" t="str">
        <f>+IF(AF2523=$AJ$22,MONTH(U2523),"")</f>
        <v/>
      </c>
      <c r="AJ2523" s="86" t="str">
        <f>+IF(AG2523=$AJ$22,MONTH(V2523),"")</f>
        <v/>
      </c>
      <c r="AK2523" s="86" t="str">
        <f>+IF(AG2523=$AK$22,MONTH(V2523),"")</f>
        <v/>
      </c>
      <c r="AL2523" s="86" t="str">
        <f>+IF(AG2523=$AL$22,MONTH(V2523),"")</f>
        <v/>
      </c>
      <c r="AM2523" s="86" t="str">
        <f>+IF($AG2523=$AM$22,MONTH($D2523),"")</f>
        <v/>
      </c>
      <c r="AN2523" s="89" t="str">
        <f>+IF($AG2523=AN$22,MONTH($D2523),"")</f>
        <v/>
      </c>
      <c r="AO2523" s="184" t="str">
        <f>+IF($AG2523=AO$22,MONTH($D2523),"")</f>
        <v/>
      </c>
      <c r="AP2523" s="184" t="str">
        <f>+IF($AG2523=AP$22,MONTH($D2523),"")</f>
        <v/>
      </c>
      <c r="AQ2523" s="184" t="str">
        <f>+IF($AG2523=AQ$22,MONTH($D2523),"")</f>
        <v/>
      </c>
      <c r="AR2523" s="184" t="str">
        <f>+IF($AG2523=AR$22,MONTH($D2523),"")</f>
        <v/>
      </c>
      <c r="AS2523" s="184" t="str">
        <f>+IF($AG2523=AS$22,MONTH($D2523),"")</f>
        <v/>
      </c>
      <c r="AT2523" s="86" t="str">
        <f>+IF($AG2523=AT$22,MONTH($D2523),"")</f>
        <v/>
      </c>
      <c r="AU2523" s="86">
        <f>+IF($AG2523=AU$22,MONTH($D2523),"")</f>
        <v>8</v>
      </c>
      <c r="AV2523" s="86" t="str">
        <f>+IF($AG2523=AV$22,MONTH($D2523),"")</f>
        <v/>
      </c>
      <c r="AW2523" s="86" t="str">
        <f>+IF($AG2523=AW$22,MONTH($D2523),"")</f>
        <v/>
      </c>
      <c r="AX2523" s="86" t="str">
        <f>+IF($AG2523=AX$22,MONTH($D2523),"")</f>
        <v/>
      </c>
      <c r="AY2523" s="89"/>
      <c r="AZ2523" s="89"/>
      <c r="BA2523" s="89"/>
      <c r="BB2523" s="89"/>
      <c r="BC2523" s="89"/>
      <c r="BD2523" s="89"/>
      <c r="BE2523" s="89"/>
      <c r="BF2523" s="89"/>
      <c r="BG2523" s="89"/>
      <c r="BH2523" s="89"/>
      <c r="BI2523" s="89"/>
      <c r="BJ2523" s="182"/>
      <c r="BK2523" s="182"/>
      <c r="BL2523" s="182"/>
      <c r="BM2523" s="182"/>
      <c r="BN2523" s="182"/>
      <c r="BO2523" s="182"/>
      <c r="BP2523" s="182"/>
    </row>
    <row r="2524" spans="1:68" s="51" customFormat="1" ht="19.5" hidden="1" customHeight="1">
      <c r="A2524" s="204" t="str">
        <f>+IFERROR(VALUE(MID(AB2524,4,4)),"")</f>
        <v/>
      </c>
      <c r="B2524" s="204">
        <f>VALUE(RIGHT(C2524,LEN(C2524)-2))</f>
        <v>207</v>
      </c>
      <c r="C2524" s="74" t="s">
        <v>8553</v>
      </c>
      <c r="D2524" s="75">
        <v>41472</v>
      </c>
      <c r="E2524" s="70" t="s">
        <v>8554</v>
      </c>
      <c r="F2524" s="70" t="s">
        <v>8554</v>
      </c>
      <c r="G2524" s="68"/>
      <c r="H2524" s="59"/>
      <c r="I2524" s="162" t="s">
        <v>8555</v>
      </c>
      <c r="J2524" s="272"/>
      <c r="K2524" s="71" t="s">
        <v>13</v>
      </c>
      <c r="L2524" s="69" t="s">
        <v>120</v>
      </c>
      <c r="M2524" s="69" t="s">
        <v>141</v>
      </c>
      <c r="N2524" s="69" t="e" vm="1">
        <v>#VALUE!</v>
      </c>
      <c r="O2524" s="164">
        <v>41482</v>
      </c>
      <c r="P2524" s="72" t="s">
        <v>4567</v>
      </c>
      <c r="Q2524" s="72"/>
      <c r="R2524" s="162"/>
      <c r="S2524" s="146" t="s">
        <v>8556</v>
      </c>
      <c r="T2524" s="68" t="s">
        <v>165</v>
      </c>
      <c r="U2524" s="87"/>
      <c r="V2524" s="183">
        <v>41484</v>
      </c>
      <c r="W2524" s="73">
        <v>1223</v>
      </c>
      <c r="X2524" s="73">
        <f>800*23000/1000000</f>
        <v>18.399999999999999</v>
      </c>
      <c r="Y2524" s="73">
        <f>IF(SUM(W2524:W2524)&gt;0,X2524/SUM(W2524:W2524)*1000000,"N/A")</f>
        <v>15044.971381847914</v>
      </c>
      <c r="Z2524" s="183"/>
      <c r="AA2524" s="183"/>
      <c r="AB2524" s="223"/>
      <c r="AC2524" s="153"/>
      <c r="AD2524" s="331"/>
      <c r="AE2524" s="57"/>
      <c r="AF2524" s="151"/>
      <c r="AG2524" s="182">
        <f>YEAR(D2524)</f>
        <v>2013</v>
      </c>
      <c r="AH2524" s="86" t="str">
        <f>+IF(AE2524=$AJ$22,MONTH(T2524),"")</f>
        <v/>
      </c>
      <c r="AI2524" s="86" t="str">
        <f>+IF(AF2524=$AJ$22,MONTH(U2524),"")</f>
        <v/>
      </c>
      <c r="AJ2524" s="86" t="str">
        <f>+IF(AG2524=$AJ$22,MONTH(V2524),"")</f>
        <v/>
      </c>
      <c r="AK2524" s="86" t="str">
        <f>+IF(AG2524=$AK$22,MONTH(V2524),"")</f>
        <v/>
      </c>
      <c r="AL2524" s="86" t="str">
        <f>+IF(AG2524=$AL$22,MONTH(V2524),"")</f>
        <v/>
      </c>
      <c r="AM2524" s="86" t="str">
        <f>+IF($AG2524=$AM$22,MONTH($D2524),"")</f>
        <v/>
      </c>
      <c r="AN2524" s="89" t="str">
        <f>+IF($AG2524=AN$22,MONTH($D2524),"")</f>
        <v/>
      </c>
      <c r="AO2524" s="184" t="str">
        <f>+IF($AG2524=AO$22,MONTH($D2524),"")</f>
        <v/>
      </c>
      <c r="AP2524" s="184" t="str">
        <f>+IF($AG2524=AP$22,MONTH($D2524),"")</f>
        <v/>
      </c>
      <c r="AQ2524" s="184" t="str">
        <f>+IF($AG2524=AQ$22,MONTH($D2524),"")</f>
        <v/>
      </c>
      <c r="AR2524" s="184" t="str">
        <f>+IF($AG2524=AR$22,MONTH($D2524),"")</f>
        <v/>
      </c>
      <c r="AS2524" s="184" t="str">
        <f>+IF($AG2524=AS$22,MONTH($D2524),"")</f>
        <v/>
      </c>
      <c r="AT2524" s="86" t="str">
        <f>+IF($AG2524=AT$22,MONTH($D2524),"")</f>
        <v/>
      </c>
      <c r="AU2524" s="86">
        <f>+IF($AG2524=AU$22,MONTH($D2524),"")</f>
        <v>7</v>
      </c>
      <c r="AV2524" s="86" t="str">
        <f>+IF($AG2524=AV$22,MONTH($D2524),"")</f>
        <v/>
      </c>
      <c r="AW2524" s="86" t="str">
        <f>+IF($AG2524=AW$22,MONTH($D2524),"")</f>
        <v/>
      </c>
      <c r="AX2524" s="86" t="str">
        <f>+IF($AG2524=AX$22,MONTH($D2524),"")</f>
        <v/>
      </c>
      <c r="AY2524" s="89"/>
      <c r="AZ2524" s="89"/>
      <c r="BA2524" s="89"/>
      <c r="BB2524" s="89"/>
      <c r="BC2524" s="89"/>
      <c r="BD2524" s="89"/>
      <c r="BE2524" s="89"/>
      <c r="BF2524" s="89"/>
      <c r="BG2524" s="89"/>
      <c r="BH2524" s="89"/>
      <c r="BI2524" s="89"/>
      <c r="BJ2524" s="182"/>
      <c r="BK2524" s="182"/>
      <c r="BL2524" s="182"/>
      <c r="BM2524" s="182"/>
      <c r="BN2524" s="182"/>
      <c r="BO2524" s="182"/>
      <c r="BP2524" s="182"/>
    </row>
    <row r="2525" spans="1:68" s="51" customFormat="1" ht="19.5" hidden="1" customHeight="1">
      <c r="A2525" s="204" t="str">
        <f>+IFERROR(VALUE(MID(AB2525,4,4)),"")</f>
        <v/>
      </c>
      <c r="B2525" s="204">
        <f>VALUE(RIGHT(C2525,LEN(C2525)-2))</f>
        <v>206</v>
      </c>
      <c r="C2525" s="74" t="s">
        <v>8557</v>
      </c>
      <c r="D2525" s="75">
        <v>41449</v>
      </c>
      <c r="E2525" s="70" t="s">
        <v>7883</v>
      </c>
      <c r="F2525" s="70" t="s">
        <v>6483</v>
      </c>
      <c r="G2525" s="68" t="s">
        <v>8101</v>
      </c>
      <c r="H2525" s="59" t="s">
        <v>8102</v>
      </c>
      <c r="I2525" s="162" t="s">
        <v>8558</v>
      </c>
      <c r="J2525" s="272"/>
      <c r="K2525" s="71" t="s">
        <v>13</v>
      </c>
      <c r="L2525" s="69" t="s">
        <v>120</v>
      </c>
      <c r="M2525" s="69" t="s">
        <v>141</v>
      </c>
      <c r="N2525" s="69" t="e" vm="1">
        <v>#VALUE!</v>
      </c>
      <c r="O2525" s="164"/>
      <c r="P2525" s="72" t="s">
        <v>402</v>
      </c>
      <c r="Q2525" s="72"/>
      <c r="R2525" s="162"/>
      <c r="S2525" s="146" t="s">
        <v>8559</v>
      </c>
      <c r="T2525" s="68" t="s">
        <v>155</v>
      </c>
      <c r="U2525" s="87"/>
      <c r="V2525" s="183">
        <v>41956</v>
      </c>
      <c r="W2525" s="73"/>
      <c r="X2525" s="73"/>
      <c r="Y2525" s="73" t="str">
        <f>IF(SUM(W2525:W2525)&gt;0,X2525/SUM(W2525:W2525)*1000000,"N/A")</f>
        <v>N/A</v>
      </c>
      <c r="Z2525" s="183"/>
      <c r="AA2525" s="183"/>
      <c r="AB2525" s="223"/>
      <c r="AC2525" s="153"/>
      <c r="AD2525" s="331"/>
      <c r="AE2525" s="57"/>
      <c r="AF2525" s="151"/>
      <c r="AG2525" s="182">
        <f>YEAR(D2525)</f>
        <v>2013</v>
      </c>
      <c r="AH2525" s="86" t="str">
        <f>+IF(AE2525=$AJ$22,MONTH(T2525),"")</f>
        <v/>
      </c>
      <c r="AI2525" s="86" t="str">
        <f>+IF(AF2525=$AJ$22,MONTH(U2525),"")</f>
        <v/>
      </c>
      <c r="AJ2525" s="86" t="str">
        <f>+IF(AG2525=$AJ$22,MONTH(V2525),"")</f>
        <v/>
      </c>
      <c r="AK2525" s="86" t="str">
        <f>+IF(AG2525=$AK$22,MONTH(V2525),"")</f>
        <v/>
      </c>
      <c r="AL2525" s="86" t="str">
        <f>+IF(AG2525=$AL$22,MONTH(V2525),"")</f>
        <v/>
      </c>
      <c r="AM2525" s="86" t="str">
        <f>+IF($AG2525=$AM$22,MONTH($D2525),"")</f>
        <v/>
      </c>
      <c r="AN2525" s="89" t="str">
        <f>+IF($AG2525=AN$22,MONTH($D2525),"")</f>
        <v/>
      </c>
      <c r="AO2525" s="184" t="str">
        <f>+IF($AG2525=AO$22,MONTH($D2525),"")</f>
        <v/>
      </c>
      <c r="AP2525" s="184" t="str">
        <f>+IF($AG2525=AP$22,MONTH($D2525),"")</f>
        <v/>
      </c>
      <c r="AQ2525" s="184" t="str">
        <f>+IF($AG2525=AQ$22,MONTH($D2525),"")</f>
        <v/>
      </c>
      <c r="AR2525" s="184" t="str">
        <f>+IF($AG2525=AR$22,MONTH($D2525),"")</f>
        <v/>
      </c>
      <c r="AS2525" s="184" t="str">
        <f>+IF($AG2525=AS$22,MONTH($D2525),"")</f>
        <v/>
      </c>
      <c r="AT2525" s="86" t="str">
        <f>+IF($AG2525=AT$22,MONTH($D2525),"")</f>
        <v/>
      </c>
      <c r="AU2525" s="86">
        <f>+IF($AG2525=AU$22,MONTH($D2525),"")</f>
        <v>6</v>
      </c>
      <c r="AV2525" s="86" t="str">
        <f>+IF($AG2525=AV$22,MONTH($D2525),"")</f>
        <v/>
      </c>
      <c r="AW2525" s="86" t="str">
        <f>+IF($AG2525=AW$22,MONTH($D2525),"")</f>
        <v/>
      </c>
      <c r="AX2525" s="86" t="str">
        <f>+IF($AG2525=AX$22,MONTH($D2525),"")</f>
        <v/>
      </c>
      <c r="AY2525" s="89"/>
      <c r="AZ2525" s="89"/>
      <c r="BA2525" s="89"/>
      <c r="BB2525" s="89"/>
      <c r="BC2525" s="89"/>
      <c r="BD2525" s="89"/>
      <c r="BE2525" s="89"/>
      <c r="BF2525" s="89"/>
      <c r="BG2525" s="89"/>
      <c r="BH2525" s="89"/>
      <c r="BI2525" s="89"/>
      <c r="BJ2525" s="182"/>
      <c r="BK2525" s="182"/>
      <c r="BL2525" s="182"/>
      <c r="BM2525" s="182"/>
      <c r="BN2525" s="182"/>
      <c r="BO2525" s="182"/>
      <c r="BP2525" s="182"/>
    </row>
    <row r="2526" spans="1:68" s="51" customFormat="1" ht="19.5" hidden="1" customHeight="1">
      <c r="A2526" s="204" t="str">
        <f>+IFERROR(VALUE(MID(AB2526,4,4)),"")</f>
        <v/>
      </c>
      <c r="B2526" s="204">
        <f>VALUE(RIGHT(C2526,LEN(C2526)-2))</f>
        <v>205</v>
      </c>
      <c r="C2526" s="74" t="s">
        <v>8560</v>
      </c>
      <c r="D2526" s="75">
        <v>41456</v>
      </c>
      <c r="E2526" s="70" t="s">
        <v>8369</v>
      </c>
      <c r="F2526" s="70" t="s">
        <v>8369</v>
      </c>
      <c r="G2526" s="68"/>
      <c r="H2526" s="59"/>
      <c r="I2526" s="162" t="s">
        <v>8561</v>
      </c>
      <c r="J2526" s="272"/>
      <c r="K2526" s="71" t="s">
        <v>11</v>
      </c>
      <c r="L2526" s="69" t="s">
        <v>123</v>
      </c>
      <c r="M2526" s="69" t="s">
        <v>141</v>
      </c>
      <c r="N2526" s="69" t="e" vm="1">
        <v>#VALUE!</v>
      </c>
      <c r="O2526" s="164"/>
      <c r="P2526" s="72" t="s">
        <v>402</v>
      </c>
      <c r="Q2526" s="72"/>
      <c r="R2526" s="162"/>
      <c r="S2526" s="146" t="s">
        <v>8562</v>
      </c>
      <c r="T2526" s="68" t="s">
        <v>155</v>
      </c>
      <c r="U2526" s="87"/>
      <c r="V2526" s="183">
        <v>41547</v>
      </c>
      <c r="W2526" s="73"/>
      <c r="X2526" s="73"/>
      <c r="Y2526" s="73" t="str">
        <f>IF(SUM(W2526:W2526)&gt;0,X2526/SUM(W2526:W2526)*1000000,"N/A")</f>
        <v>N/A</v>
      </c>
      <c r="Z2526" s="183"/>
      <c r="AA2526" s="183"/>
      <c r="AB2526" s="223"/>
      <c r="AC2526" s="153"/>
      <c r="AD2526" s="331"/>
      <c r="AE2526" s="57"/>
      <c r="AF2526" s="151"/>
      <c r="AG2526" s="182">
        <f>YEAR(D2526)</f>
        <v>2013</v>
      </c>
      <c r="AH2526" s="86" t="str">
        <f>+IF(AE2526=$AJ$22,MONTH(T2526),"")</f>
        <v/>
      </c>
      <c r="AI2526" s="86" t="str">
        <f>+IF(AF2526=$AJ$22,MONTH(U2526),"")</f>
        <v/>
      </c>
      <c r="AJ2526" s="86" t="str">
        <f>+IF(AG2526=$AJ$22,MONTH(V2526),"")</f>
        <v/>
      </c>
      <c r="AK2526" s="86" t="str">
        <f>+IF(AG2526=$AK$22,MONTH(V2526),"")</f>
        <v/>
      </c>
      <c r="AL2526" s="86" t="str">
        <f>+IF(AG2526=$AL$22,MONTH(V2526),"")</f>
        <v/>
      </c>
      <c r="AM2526" s="86" t="str">
        <f>+IF($AG2526=$AM$22,MONTH($D2526),"")</f>
        <v/>
      </c>
      <c r="AN2526" s="89" t="str">
        <f>+IF($AG2526=AN$22,MONTH($D2526),"")</f>
        <v/>
      </c>
      <c r="AO2526" s="184" t="str">
        <f>+IF($AG2526=AO$22,MONTH($D2526),"")</f>
        <v/>
      </c>
      <c r="AP2526" s="184" t="str">
        <f>+IF($AG2526=AP$22,MONTH($D2526),"")</f>
        <v/>
      </c>
      <c r="AQ2526" s="184" t="str">
        <f>+IF($AG2526=AQ$22,MONTH($D2526),"")</f>
        <v/>
      </c>
      <c r="AR2526" s="184" t="str">
        <f>+IF($AG2526=AR$22,MONTH($D2526),"")</f>
        <v/>
      </c>
      <c r="AS2526" s="184" t="str">
        <f>+IF($AG2526=AS$22,MONTH($D2526),"")</f>
        <v/>
      </c>
      <c r="AT2526" s="86" t="str">
        <f>+IF($AG2526=AT$22,MONTH($D2526),"")</f>
        <v/>
      </c>
      <c r="AU2526" s="86">
        <f>+IF($AG2526=AU$22,MONTH($D2526),"")</f>
        <v>7</v>
      </c>
      <c r="AV2526" s="86" t="str">
        <f>+IF($AG2526=AV$22,MONTH($D2526),"")</f>
        <v/>
      </c>
      <c r="AW2526" s="86" t="str">
        <f>+IF($AG2526=AW$22,MONTH($D2526),"")</f>
        <v/>
      </c>
      <c r="AX2526" s="86" t="str">
        <f>+IF($AG2526=AX$22,MONTH($D2526),"")</f>
        <v/>
      </c>
      <c r="AY2526" s="89"/>
      <c r="AZ2526" s="89"/>
      <c r="BA2526" s="89"/>
      <c r="BB2526" s="89"/>
      <c r="BC2526" s="89"/>
      <c r="BD2526" s="89"/>
      <c r="BE2526" s="89"/>
      <c r="BF2526" s="89"/>
      <c r="BG2526" s="89"/>
      <c r="BH2526" s="89"/>
      <c r="BI2526" s="89"/>
      <c r="BJ2526" s="182"/>
      <c r="BK2526" s="182"/>
      <c r="BL2526" s="182"/>
      <c r="BM2526" s="182"/>
      <c r="BN2526" s="182"/>
      <c r="BO2526" s="182"/>
      <c r="BP2526" s="182"/>
    </row>
    <row r="2527" spans="1:68" s="51" customFormat="1" ht="19.5" hidden="1" customHeight="1">
      <c r="A2527" s="204" t="str">
        <f>+IFERROR(VALUE(MID(AB2527,4,4)),"")</f>
        <v/>
      </c>
      <c r="B2527" s="204">
        <f>VALUE(RIGHT(C2527,LEN(C2527)-2))</f>
        <v>204</v>
      </c>
      <c r="C2527" s="74" t="s">
        <v>8563</v>
      </c>
      <c r="D2527" s="75">
        <v>41456</v>
      </c>
      <c r="E2527" s="70" t="s">
        <v>6761</v>
      </c>
      <c r="F2527" s="70" t="s">
        <v>313</v>
      </c>
      <c r="G2527" s="68"/>
      <c r="H2527" s="59"/>
      <c r="I2527" s="162" t="s">
        <v>8564</v>
      </c>
      <c r="J2527" s="272"/>
      <c r="K2527" s="71" t="s">
        <v>13</v>
      </c>
      <c r="L2527" s="69" t="s">
        <v>123</v>
      </c>
      <c r="M2527" s="69" t="s">
        <v>141</v>
      </c>
      <c r="N2527" s="69" t="e" vm="1">
        <v>#VALUE!</v>
      </c>
      <c r="O2527" s="164"/>
      <c r="P2527" s="72" t="s">
        <v>402</v>
      </c>
      <c r="Q2527" s="72"/>
      <c r="R2527" s="162"/>
      <c r="S2527" s="146" t="s">
        <v>8565</v>
      </c>
      <c r="T2527" s="68" t="s">
        <v>155</v>
      </c>
      <c r="U2527" s="87"/>
      <c r="V2527" s="183">
        <v>41956</v>
      </c>
      <c r="W2527" s="73"/>
      <c r="X2527" s="73"/>
      <c r="Y2527" s="73" t="str">
        <f>IF(SUM(W2527:W2527)&gt;0,X2527/SUM(W2527:W2527)*1000000,"N/A")</f>
        <v>N/A</v>
      </c>
      <c r="Z2527" s="183"/>
      <c r="AA2527" s="183"/>
      <c r="AB2527" s="223"/>
      <c r="AC2527" s="153"/>
      <c r="AD2527" s="331"/>
      <c r="AE2527" s="57"/>
      <c r="AF2527" s="151"/>
      <c r="AG2527" s="182">
        <f>YEAR(D2527)</f>
        <v>2013</v>
      </c>
      <c r="AH2527" s="86" t="str">
        <f>+IF(AE2527=$AJ$22,MONTH(T2527),"")</f>
        <v/>
      </c>
      <c r="AI2527" s="86" t="str">
        <f>+IF(AF2527=$AJ$22,MONTH(U2527),"")</f>
        <v/>
      </c>
      <c r="AJ2527" s="86" t="str">
        <f>+IF(AG2527=$AJ$22,MONTH(V2527),"")</f>
        <v/>
      </c>
      <c r="AK2527" s="86" t="str">
        <f>+IF(AG2527=$AK$22,MONTH(V2527),"")</f>
        <v/>
      </c>
      <c r="AL2527" s="86" t="str">
        <f>+IF(AG2527=$AL$22,MONTH(V2527),"")</f>
        <v/>
      </c>
      <c r="AM2527" s="86" t="str">
        <f>+IF($AG2527=$AM$22,MONTH($D2527),"")</f>
        <v/>
      </c>
      <c r="AN2527" s="89" t="str">
        <f>+IF($AG2527=AN$22,MONTH($D2527),"")</f>
        <v/>
      </c>
      <c r="AO2527" s="184" t="str">
        <f>+IF($AG2527=AO$22,MONTH($D2527),"")</f>
        <v/>
      </c>
      <c r="AP2527" s="184" t="str">
        <f>+IF($AG2527=AP$22,MONTH($D2527),"")</f>
        <v/>
      </c>
      <c r="AQ2527" s="184" t="str">
        <f>+IF($AG2527=AQ$22,MONTH($D2527),"")</f>
        <v/>
      </c>
      <c r="AR2527" s="184" t="str">
        <f>+IF($AG2527=AR$22,MONTH($D2527),"")</f>
        <v/>
      </c>
      <c r="AS2527" s="184" t="str">
        <f>+IF($AG2527=AS$22,MONTH($D2527),"")</f>
        <v/>
      </c>
      <c r="AT2527" s="86" t="str">
        <f>+IF($AG2527=AT$22,MONTH($D2527),"")</f>
        <v/>
      </c>
      <c r="AU2527" s="86">
        <f>+IF($AG2527=AU$22,MONTH($D2527),"")</f>
        <v>7</v>
      </c>
      <c r="AV2527" s="86" t="str">
        <f>+IF($AG2527=AV$22,MONTH($D2527),"")</f>
        <v/>
      </c>
      <c r="AW2527" s="86" t="str">
        <f>+IF($AG2527=AW$22,MONTH($D2527),"")</f>
        <v/>
      </c>
      <c r="AX2527" s="86" t="str">
        <f>+IF($AG2527=AX$22,MONTH($D2527),"")</f>
        <v/>
      </c>
      <c r="AY2527" s="89"/>
      <c r="AZ2527" s="89"/>
      <c r="BA2527" s="89"/>
      <c r="BB2527" s="89"/>
      <c r="BC2527" s="89"/>
      <c r="BD2527" s="89"/>
      <c r="BE2527" s="89"/>
      <c r="BF2527" s="89"/>
      <c r="BG2527" s="89"/>
      <c r="BH2527" s="89"/>
      <c r="BI2527" s="89"/>
      <c r="BJ2527" s="182"/>
      <c r="BK2527" s="182"/>
      <c r="BL2527" s="182"/>
      <c r="BM2527" s="182"/>
      <c r="BN2527" s="182"/>
      <c r="BO2527" s="182"/>
      <c r="BP2527" s="182"/>
    </row>
    <row r="2528" spans="1:68" s="51" customFormat="1" ht="19.5" hidden="1" customHeight="1">
      <c r="A2528" s="204" t="str">
        <f>+IFERROR(VALUE(MID(AB2528,4,4)),"")</f>
        <v/>
      </c>
      <c r="B2528" s="204">
        <f>VALUE(RIGHT(C2528,LEN(C2528)-2))</f>
        <v>203</v>
      </c>
      <c r="C2528" s="74" t="s">
        <v>8566</v>
      </c>
      <c r="D2528" s="75">
        <v>41458</v>
      </c>
      <c r="E2528" s="70" t="s">
        <v>6850</v>
      </c>
      <c r="F2528" s="70" t="s">
        <v>53</v>
      </c>
      <c r="G2528" s="68"/>
      <c r="H2528" s="59"/>
      <c r="I2528" s="162" t="s">
        <v>8567</v>
      </c>
      <c r="J2528" s="272"/>
      <c r="K2528" s="71" t="s">
        <v>13</v>
      </c>
      <c r="L2528" s="69" t="s">
        <v>120</v>
      </c>
      <c r="M2528" s="69" t="s">
        <v>141</v>
      </c>
      <c r="N2528" s="69" t="e" vm="1">
        <v>#VALUE!</v>
      </c>
      <c r="O2528" s="164">
        <v>41477</v>
      </c>
      <c r="P2528" s="72" t="s">
        <v>402</v>
      </c>
      <c r="Q2528" s="72"/>
      <c r="R2528" s="162"/>
      <c r="S2528" s="146" t="s">
        <v>8568</v>
      </c>
      <c r="T2528" s="68" t="s">
        <v>165</v>
      </c>
      <c r="U2528" s="87"/>
      <c r="V2528" s="183">
        <v>41626</v>
      </c>
      <c r="W2528" s="73">
        <v>725</v>
      </c>
      <c r="X2528" s="73">
        <v>30.772088</v>
      </c>
      <c r="Y2528" s="73">
        <f>IF(SUM(W2528:W2528)&gt;0,X2528/SUM(W2528:W2528)*1000000,"N/A")</f>
        <v>42444.259310344823</v>
      </c>
      <c r="Z2528" s="183"/>
      <c r="AA2528" s="183"/>
      <c r="AB2528" s="223"/>
      <c r="AC2528" s="153"/>
      <c r="AD2528" s="331"/>
      <c r="AE2528" s="57"/>
      <c r="AF2528" s="151"/>
      <c r="AG2528" s="182">
        <f>YEAR(D2528)</f>
        <v>2013</v>
      </c>
      <c r="AH2528" s="86" t="str">
        <f>+IF(AE2528=$AJ$22,MONTH(T2528),"")</f>
        <v/>
      </c>
      <c r="AI2528" s="86" t="str">
        <f>+IF(AF2528=$AJ$22,MONTH(U2528),"")</f>
        <v/>
      </c>
      <c r="AJ2528" s="86" t="str">
        <f>+IF(AG2528=$AJ$22,MONTH(V2528),"")</f>
        <v/>
      </c>
      <c r="AK2528" s="86" t="str">
        <f>+IF(AG2528=$AK$22,MONTH(V2528),"")</f>
        <v/>
      </c>
      <c r="AL2528" s="86" t="str">
        <f>+IF(AG2528=$AL$22,MONTH(V2528),"")</f>
        <v/>
      </c>
      <c r="AM2528" s="86" t="str">
        <f>+IF($AG2528=$AM$22,MONTH($D2528),"")</f>
        <v/>
      </c>
      <c r="AN2528" s="89" t="str">
        <f>+IF($AG2528=AN$22,MONTH($D2528),"")</f>
        <v/>
      </c>
      <c r="AO2528" s="184" t="str">
        <f>+IF($AG2528=AO$22,MONTH($D2528),"")</f>
        <v/>
      </c>
      <c r="AP2528" s="184" t="str">
        <f>+IF($AG2528=AP$22,MONTH($D2528),"")</f>
        <v/>
      </c>
      <c r="AQ2528" s="184" t="str">
        <f>+IF($AG2528=AQ$22,MONTH($D2528),"")</f>
        <v/>
      </c>
      <c r="AR2528" s="184" t="str">
        <f>+IF($AG2528=AR$22,MONTH($D2528),"")</f>
        <v/>
      </c>
      <c r="AS2528" s="184" t="str">
        <f>+IF($AG2528=AS$22,MONTH($D2528),"")</f>
        <v/>
      </c>
      <c r="AT2528" s="86" t="str">
        <f>+IF($AG2528=AT$22,MONTH($D2528),"")</f>
        <v/>
      </c>
      <c r="AU2528" s="86">
        <f>+IF($AG2528=AU$22,MONTH($D2528),"")</f>
        <v>7</v>
      </c>
      <c r="AV2528" s="86" t="str">
        <f>+IF($AG2528=AV$22,MONTH($D2528),"")</f>
        <v/>
      </c>
      <c r="AW2528" s="86" t="str">
        <f>+IF($AG2528=AW$22,MONTH($D2528),"")</f>
        <v/>
      </c>
      <c r="AX2528" s="86" t="str">
        <f>+IF($AG2528=AX$22,MONTH($D2528),"")</f>
        <v/>
      </c>
      <c r="AY2528" s="89"/>
      <c r="AZ2528" s="89"/>
      <c r="BA2528" s="89"/>
      <c r="BB2528" s="89"/>
      <c r="BC2528" s="89"/>
      <c r="BD2528" s="89"/>
      <c r="BE2528" s="89"/>
      <c r="BF2528" s="89"/>
      <c r="BG2528" s="89"/>
      <c r="BH2528" s="89"/>
      <c r="BI2528" s="89"/>
      <c r="BJ2528" s="182"/>
      <c r="BK2528" s="182"/>
      <c r="BL2528" s="182"/>
      <c r="BM2528" s="182"/>
      <c r="BN2528" s="182"/>
      <c r="BO2528" s="182"/>
      <c r="BP2528" s="182"/>
    </row>
    <row r="2529" spans="1:68" s="51" customFormat="1" ht="19.5" hidden="1" customHeight="1">
      <c r="A2529" s="204" t="str">
        <f>+IFERROR(VALUE(MID(AB2529,4,4)),"")</f>
        <v/>
      </c>
      <c r="B2529" s="204">
        <f>VALUE(RIGHT(C2529,LEN(C2529)-2))</f>
        <v>202</v>
      </c>
      <c r="C2529" s="74" t="s">
        <v>8569</v>
      </c>
      <c r="D2529" s="75">
        <v>41443</v>
      </c>
      <c r="E2529" s="70" t="s">
        <v>8570</v>
      </c>
      <c r="F2529" s="70" t="s">
        <v>8570</v>
      </c>
      <c r="G2529" s="68" t="s">
        <v>8571</v>
      </c>
      <c r="H2529" s="59"/>
      <c r="I2529" s="162" t="s">
        <v>8572</v>
      </c>
      <c r="J2529" s="272"/>
      <c r="K2529" s="71" t="s">
        <v>8</v>
      </c>
      <c r="L2529" s="69" t="s">
        <v>120</v>
      </c>
      <c r="M2529" s="69" t="s">
        <v>141</v>
      </c>
      <c r="N2529" s="69" t="e" vm="1">
        <v>#VALUE!</v>
      </c>
      <c r="O2529" s="164">
        <v>41456</v>
      </c>
      <c r="P2529" s="72" t="s">
        <v>402</v>
      </c>
      <c r="Q2529" s="72"/>
      <c r="R2529" s="162"/>
      <c r="S2529" s="146" t="s">
        <v>8573</v>
      </c>
      <c r="T2529" s="68" t="s">
        <v>165</v>
      </c>
      <c r="U2529" s="87"/>
      <c r="V2529" s="183">
        <v>41473</v>
      </c>
      <c r="W2529" s="73">
        <v>240</v>
      </c>
      <c r="X2529" s="73">
        <f>324*22900/1000000</f>
        <v>7.4196</v>
      </c>
      <c r="Y2529" s="73">
        <f>IF(SUM(W2529:W2529)&gt;0,X2529/SUM(W2529:W2529)*1000000,"N/A")</f>
        <v>30915</v>
      </c>
      <c r="Z2529" s="183"/>
      <c r="AA2529" s="183"/>
      <c r="AB2529" s="223"/>
      <c r="AC2529" s="153"/>
      <c r="AD2529" s="331"/>
      <c r="AE2529" s="57"/>
      <c r="AF2529" s="151"/>
      <c r="AG2529" s="182">
        <f>YEAR(D2529)</f>
        <v>2013</v>
      </c>
      <c r="AH2529" s="86" t="str">
        <f>+IF(AE2529=$AJ$22,MONTH(T2529),"")</f>
        <v/>
      </c>
      <c r="AI2529" s="86" t="str">
        <f>+IF(AF2529=$AJ$22,MONTH(U2529),"")</f>
        <v/>
      </c>
      <c r="AJ2529" s="86" t="str">
        <f>+IF(AG2529=$AJ$22,MONTH(V2529),"")</f>
        <v/>
      </c>
      <c r="AK2529" s="86" t="str">
        <f>+IF(AG2529=$AK$22,MONTH(V2529),"")</f>
        <v/>
      </c>
      <c r="AL2529" s="86" t="str">
        <f>+IF(AG2529=$AL$22,MONTH(V2529),"")</f>
        <v/>
      </c>
      <c r="AM2529" s="86" t="str">
        <f>+IF($AG2529=$AM$22,MONTH($D2529),"")</f>
        <v/>
      </c>
      <c r="AN2529" s="89" t="str">
        <f>+IF($AG2529=AN$22,MONTH($D2529),"")</f>
        <v/>
      </c>
      <c r="AO2529" s="184" t="str">
        <f>+IF($AG2529=AO$22,MONTH($D2529),"")</f>
        <v/>
      </c>
      <c r="AP2529" s="184" t="str">
        <f>+IF($AG2529=AP$22,MONTH($D2529),"")</f>
        <v/>
      </c>
      <c r="AQ2529" s="184" t="str">
        <f>+IF($AG2529=AQ$22,MONTH($D2529),"")</f>
        <v/>
      </c>
      <c r="AR2529" s="184" t="str">
        <f>+IF($AG2529=AR$22,MONTH($D2529),"")</f>
        <v/>
      </c>
      <c r="AS2529" s="184" t="str">
        <f>+IF($AG2529=AS$22,MONTH($D2529),"")</f>
        <v/>
      </c>
      <c r="AT2529" s="86" t="str">
        <f>+IF($AG2529=AT$22,MONTH($D2529),"")</f>
        <v/>
      </c>
      <c r="AU2529" s="86">
        <f>+IF($AG2529=AU$22,MONTH($D2529),"")</f>
        <v>6</v>
      </c>
      <c r="AV2529" s="86" t="str">
        <f>+IF($AG2529=AV$22,MONTH($D2529),"")</f>
        <v/>
      </c>
      <c r="AW2529" s="86" t="str">
        <f>+IF($AG2529=AW$22,MONTH($D2529),"")</f>
        <v/>
      </c>
      <c r="AX2529" s="86" t="str">
        <f>+IF($AG2529=AX$22,MONTH($D2529),"")</f>
        <v/>
      </c>
      <c r="AY2529" s="89"/>
      <c r="AZ2529" s="89"/>
      <c r="BA2529" s="89"/>
      <c r="BB2529" s="89"/>
      <c r="BC2529" s="89"/>
      <c r="BD2529" s="89"/>
      <c r="BE2529" s="89"/>
      <c r="BF2529" s="89"/>
      <c r="BG2529" s="89"/>
      <c r="BH2529" s="89"/>
      <c r="BI2529" s="89"/>
      <c r="BJ2529" s="182"/>
      <c r="BK2529" s="182"/>
      <c r="BL2529" s="182"/>
      <c r="BM2529" s="182"/>
      <c r="BN2529" s="182"/>
      <c r="BO2529" s="182"/>
      <c r="BP2529" s="182"/>
    </row>
    <row r="2530" spans="1:68" s="51" customFormat="1" ht="19.5" hidden="1" customHeight="1">
      <c r="A2530" s="204" t="str">
        <f>+IFERROR(VALUE(MID(AB2530,4,4)),"")</f>
        <v/>
      </c>
      <c r="B2530" s="204">
        <f>VALUE(RIGHT(C2530,LEN(C2530)-2))</f>
        <v>201</v>
      </c>
      <c r="C2530" s="74" t="s">
        <v>8574</v>
      </c>
      <c r="D2530" s="75">
        <v>41438</v>
      </c>
      <c r="E2530" s="70" t="s">
        <v>20</v>
      </c>
      <c r="F2530" s="70" t="s">
        <v>20</v>
      </c>
      <c r="G2530" s="68" t="s">
        <v>8575</v>
      </c>
      <c r="H2530" s="59" t="s">
        <v>8576</v>
      </c>
      <c r="I2530" s="162" t="s">
        <v>8577</v>
      </c>
      <c r="J2530" s="272"/>
      <c r="K2530" s="71" t="s">
        <v>16</v>
      </c>
      <c r="L2530" s="69" t="s">
        <v>120</v>
      </c>
      <c r="M2530" s="69" t="s">
        <v>141</v>
      </c>
      <c r="N2530" s="69" t="e" vm="1">
        <v>#VALUE!</v>
      </c>
      <c r="O2530" s="164">
        <v>41468</v>
      </c>
      <c r="P2530" s="72" t="s">
        <v>402</v>
      </c>
      <c r="Q2530" s="72"/>
      <c r="R2530" s="162"/>
      <c r="S2530" s="146"/>
      <c r="T2530" s="68" t="s">
        <v>165</v>
      </c>
      <c r="U2530" s="87"/>
      <c r="V2530" s="183">
        <v>41473</v>
      </c>
      <c r="W2530" s="73">
        <v>95</v>
      </c>
      <c r="X2530" s="73">
        <f>148*22900/1000000</f>
        <v>3.3892000000000002</v>
      </c>
      <c r="Y2530" s="73">
        <f>IF(SUM(W2530:W2530)&gt;0,X2530/SUM(W2530:W2530)*1000000,"N/A")</f>
        <v>35675.789473684206</v>
      </c>
      <c r="Z2530" s="183"/>
      <c r="AA2530" s="183"/>
      <c r="AB2530" s="223"/>
      <c r="AC2530" s="153"/>
      <c r="AD2530" s="331"/>
      <c r="AE2530" s="57"/>
      <c r="AF2530" s="151"/>
      <c r="AG2530" s="182">
        <f>YEAR(D2530)</f>
        <v>2013</v>
      </c>
      <c r="AH2530" s="86" t="str">
        <f>+IF(AE2530=$AJ$22,MONTH(T2530),"")</f>
        <v/>
      </c>
      <c r="AI2530" s="86" t="str">
        <f>+IF(AF2530=$AJ$22,MONTH(U2530),"")</f>
        <v/>
      </c>
      <c r="AJ2530" s="86" t="str">
        <f>+IF(AG2530=$AJ$22,MONTH(V2530),"")</f>
        <v/>
      </c>
      <c r="AK2530" s="86" t="str">
        <f>+IF(AG2530=$AK$22,MONTH(V2530),"")</f>
        <v/>
      </c>
      <c r="AL2530" s="86" t="str">
        <f>+IF(AG2530=$AL$22,MONTH(V2530),"")</f>
        <v/>
      </c>
      <c r="AM2530" s="86" t="str">
        <f>+IF($AG2530=$AM$22,MONTH($D2530),"")</f>
        <v/>
      </c>
      <c r="AN2530" s="89" t="str">
        <f>+IF($AG2530=AN$22,MONTH($D2530),"")</f>
        <v/>
      </c>
      <c r="AO2530" s="184" t="str">
        <f>+IF($AG2530=AO$22,MONTH($D2530),"")</f>
        <v/>
      </c>
      <c r="AP2530" s="184" t="str">
        <f>+IF($AG2530=AP$22,MONTH($D2530),"")</f>
        <v/>
      </c>
      <c r="AQ2530" s="184" t="str">
        <f>+IF($AG2530=AQ$22,MONTH($D2530),"")</f>
        <v/>
      </c>
      <c r="AR2530" s="184" t="str">
        <f>+IF($AG2530=AR$22,MONTH($D2530),"")</f>
        <v/>
      </c>
      <c r="AS2530" s="184" t="str">
        <f>+IF($AG2530=AS$22,MONTH($D2530),"")</f>
        <v/>
      </c>
      <c r="AT2530" s="86" t="str">
        <f>+IF($AG2530=AT$22,MONTH($D2530),"")</f>
        <v/>
      </c>
      <c r="AU2530" s="86">
        <f>+IF($AG2530=AU$22,MONTH($D2530),"")</f>
        <v>6</v>
      </c>
      <c r="AV2530" s="86" t="str">
        <f>+IF($AG2530=AV$22,MONTH($D2530),"")</f>
        <v/>
      </c>
      <c r="AW2530" s="86" t="str">
        <f>+IF($AG2530=AW$22,MONTH($D2530),"")</f>
        <v/>
      </c>
      <c r="AX2530" s="86" t="str">
        <f>+IF($AG2530=AX$22,MONTH($D2530),"")</f>
        <v/>
      </c>
      <c r="AY2530" s="89"/>
      <c r="AZ2530" s="89"/>
      <c r="BA2530" s="89"/>
      <c r="BB2530" s="89"/>
      <c r="BC2530" s="89"/>
      <c r="BD2530" s="89"/>
      <c r="BE2530" s="89"/>
      <c r="BF2530" s="89"/>
      <c r="BG2530" s="89"/>
      <c r="BH2530" s="89"/>
      <c r="BI2530" s="89"/>
      <c r="BJ2530" s="182"/>
      <c r="BK2530" s="182"/>
      <c r="BL2530" s="182"/>
      <c r="BM2530" s="182"/>
      <c r="BN2530" s="182"/>
      <c r="BO2530" s="182"/>
      <c r="BP2530" s="182"/>
    </row>
    <row r="2531" spans="1:68" s="51" customFormat="1" ht="19.5" hidden="1" customHeight="1">
      <c r="A2531" s="204" t="str">
        <f>+IFERROR(VALUE(MID(AB2531,4,4)),"")</f>
        <v/>
      </c>
      <c r="B2531" s="204">
        <f>VALUE(RIGHT(C2531,LEN(C2531)-2))</f>
        <v>200</v>
      </c>
      <c r="C2531" s="74" t="s">
        <v>8578</v>
      </c>
      <c r="D2531" s="75">
        <v>41461</v>
      </c>
      <c r="E2531" s="70" t="s">
        <v>8579</v>
      </c>
      <c r="F2531" s="70" t="s">
        <v>8579</v>
      </c>
      <c r="G2531" s="68" t="s">
        <v>8580</v>
      </c>
      <c r="H2531" s="59"/>
      <c r="I2531" s="162" t="s">
        <v>8581</v>
      </c>
      <c r="J2531" s="272"/>
      <c r="K2531" s="71" t="s">
        <v>12</v>
      </c>
      <c r="L2531" s="69" t="s">
        <v>123</v>
      </c>
      <c r="M2531" s="69" t="s">
        <v>113</v>
      </c>
      <c r="N2531" s="69" t="e" vm="2">
        <v>#VALUE!</v>
      </c>
      <c r="O2531" s="164">
        <v>41468</v>
      </c>
      <c r="P2531" s="72" t="s">
        <v>402</v>
      </c>
      <c r="Q2531" s="72"/>
      <c r="R2531" s="162"/>
      <c r="S2531" s="146" t="s">
        <v>8582</v>
      </c>
      <c r="T2531" s="68" t="s">
        <v>165</v>
      </c>
      <c r="U2531" s="87"/>
      <c r="V2531" s="183">
        <v>41512</v>
      </c>
      <c r="W2531" s="73">
        <v>1637</v>
      </c>
      <c r="X2531" s="73">
        <f>205490*200/1000000</f>
        <v>41.097999999999999</v>
      </c>
      <c r="Y2531" s="73">
        <f>IF(SUM(W2531:W2531)&gt;0,X2531/SUM(W2531:W2531)*1000000,"N/A")</f>
        <v>25105.681124007329</v>
      </c>
      <c r="Z2531" s="183"/>
      <c r="AA2531" s="183"/>
      <c r="AB2531" s="223"/>
      <c r="AC2531" s="153"/>
      <c r="AD2531" s="331"/>
      <c r="AE2531" s="57"/>
      <c r="AF2531" s="151"/>
      <c r="AG2531" s="182">
        <f>YEAR(D2531)</f>
        <v>2013</v>
      </c>
      <c r="AH2531" s="86" t="str">
        <f>+IF(AE2531=$AJ$22,MONTH(T2531),"")</f>
        <v/>
      </c>
      <c r="AI2531" s="86" t="str">
        <f>+IF(AF2531=$AJ$22,MONTH(U2531),"")</f>
        <v/>
      </c>
      <c r="AJ2531" s="86" t="str">
        <f>+IF(AG2531=$AJ$22,MONTH(V2531),"")</f>
        <v/>
      </c>
      <c r="AK2531" s="86" t="str">
        <f>+IF(AG2531=$AK$22,MONTH(V2531),"")</f>
        <v/>
      </c>
      <c r="AL2531" s="86" t="str">
        <f>+IF(AG2531=$AL$22,MONTH(V2531),"")</f>
        <v/>
      </c>
      <c r="AM2531" s="86" t="str">
        <f>+IF($AG2531=$AM$22,MONTH($D2531),"")</f>
        <v/>
      </c>
      <c r="AN2531" s="89" t="str">
        <f>+IF($AG2531=AN$22,MONTH($D2531),"")</f>
        <v/>
      </c>
      <c r="AO2531" s="184" t="str">
        <f>+IF($AG2531=AO$22,MONTH($D2531),"")</f>
        <v/>
      </c>
      <c r="AP2531" s="184" t="str">
        <f>+IF($AG2531=AP$22,MONTH($D2531),"")</f>
        <v/>
      </c>
      <c r="AQ2531" s="184" t="str">
        <f>+IF($AG2531=AQ$22,MONTH($D2531),"")</f>
        <v/>
      </c>
      <c r="AR2531" s="184" t="str">
        <f>+IF($AG2531=AR$22,MONTH($D2531),"")</f>
        <v/>
      </c>
      <c r="AS2531" s="184" t="str">
        <f>+IF($AG2531=AS$22,MONTH($D2531),"")</f>
        <v/>
      </c>
      <c r="AT2531" s="86" t="str">
        <f>+IF($AG2531=AT$22,MONTH($D2531),"")</f>
        <v/>
      </c>
      <c r="AU2531" s="86">
        <f>+IF($AG2531=AU$22,MONTH($D2531),"")</f>
        <v>7</v>
      </c>
      <c r="AV2531" s="86" t="str">
        <f>+IF($AG2531=AV$22,MONTH($D2531),"")</f>
        <v/>
      </c>
      <c r="AW2531" s="86" t="str">
        <f>+IF($AG2531=AW$22,MONTH($D2531),"")</f>
        <v/>
      </c>
      <c r="AX2531" s="86" t="str">
        <f>+IF($AG2531=AX$22,MONTH($D2531),"")</f>
        <v/>
      </c>
      <c r="AY2531" s="89"/>
      <c r="AZ2531" s="89"/>
      <c r="BA2531" s="89"/>
      <c r="BB2531" s="89"/>
      <c r="BC2531" s="89"/>
      <c r="BD2531" s="89"/>
      <c r="BE2531" s="89"/>
      <c r="BF2531" s="89"/>
      <c r="BG2531" s="89"/>
      <c r="BH2531" s="89"/>
      <c r="BI2531" s="89"/>
      <c r="BJ2531" s="182"/>
      <c r="BK2531" s="182"/>
      <c r="BL2531" s="182"/>
      <c r="BM2531" s="182"/>
      <c r="BN2531" s="182"/>
      <c r="BO2531" s="182"/>
      <c r="BP2531" s="182"/>
    </row>
    <row r="2532" spans="1:68" s="51" customFormat="1" ht="19.5" hidden="1" customHeight="1">
      <c r="A2532" s="204" t="str">
        <f>+IFERROR(VALUE(MID(AB2532,4,4)),"")</f>
        <v/>
      </c>
      <c r="B2532" s="204">
        <f>VALUE(RIGHT(C2532,LEN(C2532)-2))</f>
        <v>199</v>
      </c>
      <c r="C2532" s="74" t="s">
        <v>8583</v>
      </c>
      <c r="D2532" s="75">
        <v>41379</v>
      </c>
      <c r="E2532" s="70" t="s">
        <v>1668</v>
      </c>
      <c r="F2532" s="70" t="s">
        <v>1668</v>
      </c>
      <c r="G2532" s="68" t="s">
        <v>8584</v>
      </c>
      <c r="H2532" s="59"/>
      <c r="I2532" s="162" t="s">
        <v>8585</v>
      </c>
      <c r="J2532" s="272"/>
      <c r="K2532" s="71" t="s">
        <v>12</v>
      </c>
      <c r="L2532" s="69" t="s">
        <v>120</v>
      </c>
      <c r="M2532" s="69" t="s">
        <v>113</v>
      </c>
      <c r="N2532" s="69" t="e" vm="4">
        <v>#VALUE!</v>
      </c>
      <c r="O2532" s="164">
        <v>41400</v>
      </c>
      <c r="P2532" s="72" t="s">
        <v>8586</v>
      </c>
      <c r="Q2532" s="72"/>
      <c r="R2532" s="162"/>
      <c r="S2532" s="146" t="s">
        <v>8587</v>
      </c>
      <c r="T2532" s="68" t="s">
        <v>165</v>
      </c>
      <c r="U2532" s="87"/>
      <c r="V2532" s="183">
        <v>41526</v>
      </c>
      <c r="W2532" s="73">
        <v>985</v>
      </c>
      <c r="X2532" s="73">
        <f>114150*500/1000000</f>
        <v>57.075000000000003</v>
      </c>
      <c r="Y2532" s="73">
        <f>IF(SUM(W2532:W2532)&gt;0,X2532/SUM(W2532:W2532)*1000000,"N/A")</f>
        <v>57944.162436548228</v>
      </c>
      <c r="Z2532" s="183"/>
      <c r="AA2532" s="183"/>
      <c r="AB2532" s="223"/>
      <c r="AC2532" s="153"/>
      <c r="AD2532" s="331"/>
      <c r="AE2532" s="57"/>
      <c r="AF2532" s="151"/>
      <c r="AG2532" s="182">
        <f>YEAR(D2532)</f>
        <v>2013</v>
      </c>
      <c r="AH2532" s="86" t="str">
        <f>+IF(AE2532=$AJ$22,MONTH(T2532),"")</f>
        <v/>
      </c>
      <c r="AI2532" s="86" t="str">
        <f>+IF(AF2532=$AJ$22,MONTH(U2532),"")</f>
        <v/>
      </c>
      <c r="AJ2532" s="86" t="str">
        <f>+IF(AG2532=$AJ$22,MONTH(V2532),"")</f>
        <v/>
      </c>
      <c r="AK2532" s="86" t="str">
        <f>+IF(AG2532=$AK$22,MONTH(V2532),"")</f>
        <v/>
      </c>
      <c r="AL2532" s="86" t="str">
        <f>+IF(AG2532=$AL$22,MONTH(V2532),"")</f>
        <v/>
      </c>
      <c r="AM2532" s="86" t="str">
        <f>+IF($AG2532=$AM$22,MONTH($D2532),"")</f>
        <v/>
      </c>
      <c r="AN2532" s="89" t="str">
        <f>+IF($AG2532=AN$22,MONTH($D2532),"")</f>
        <v/>
      </c>
      <c r="AO2532" s="184" t="str">
        <f>+IF($AG2532=AO$22,MONTH($D2532),"")</f>
        <v/>
      </c>
      <c r="AP2532" s="184" t="str">
        <f>+IF($AG2532=AP$22,MONTH($D2532),"")</f>
        <v/>
      </c>
      <c r="AQ2532" s="184" t="str">
        <f>+IF($AG2532=AQ$22,MONTH($D2532),"")</f>
        <v/>
      </c>
      <c r="AR2532" s="184" t="str">
        <f>+IF($AG2532=AR$22,MONTH($D2532),"")</f>
        <v/>
      </c>
      <c r="AS2532" s="184" t="str">
        <f>+IF($AG2532=AS$22,MONTH($D2532),"")</f>
        <v/>
      </c>
      <c r="AT2532" s="86" t="str">
        <f>+IF($AG2532=AT$22,MONTH($D2532),"")</f>
        <v/>
      </c>
      <c r="AU2532" s="86">
        <f>+IF($AG2532=AU$22,MONTH($D2532),"")</f>
        <v>4</v>
      </c>
      <c r="AV2532" s="86" t="str">
        <f>+IF($AG2532=AV$22,MONTH($D2532),"")</f>
        <v/>
      </c>
      <c r="AW2532" s="86" t="str">
        <f>+IF($AG2532=AW$22,MONTH($D2532),"")</f>
        <v/>
      </c>
      <c r="AX2532" s="86" t="str">
        <f>+IF($AG2532=AX$22,MONTH($D2532),"")</f>
        <v/>
      </c>
      <c r="AY2532" s="89"/>
      <c r="AZ2532" s="89"/>
      <c r="BA2532" s="89"/>
      <c r="BB2532" s="89"/>
      <c r="BC2532" s="89"/>
      <c r="BD2532" s="89"/>
      <c r="BE2532" s="89"/>
      <c r="BF2532" s="89"/>
      <c r="BG2532" s="89"/>
      <c r="BH2532" s="89"/>
      <c r="BI2532" s="89"/>
      <c r="BJ2532" s="182"/>
      <c r="BK2532" s="182"/>
      <c r="BL2532" s="182"/>
      <c r="BM2532" s="182"/>
      <c r="BN2532" s="182"/>
      <c r="BO2532" s="182"/>
      <c r="BP2532" s="182"/>
    </row>
    <row r="2533" spans="1:68" s="51" customFormat="1" ht="19.5" hidden="1" customHeight="1">
      <c r="A2533" s="204">
        <f>+IFERROR(VALUE(MID(AB2533,4,4)),"")</f>
        <v>71</v>
      </c>
      <c r="B2533" s="204">
        <f>VALUE(RIGHT(C2533,LEN(C2533)-2))</f>
        <v>198</v>
      </c>
      <c r="C2533" s="74" t="s">
        <v>8588</v>
      </c>
      <c r="D2533" s="75">
        <v>41410</v>
      </c>
      <c r="E2533" s="70" t="s">
        <v>1321</v>
      </c>
      <c r="F2533" s="70" t="s">
        <v>2065</v>
      </c>
      <c r="G2533" s="68" t="s">
        <v>1322</v>
      </c>
      <c r="H2533" s="59"/>
      <c r="I2533" s="162" t="s">
        <v>8589</v>
      </c>
      <c r="J2533" s="272"/>
      <c r="K2533" s="71" t="s">
        <v>12</v>
      </c>
      <c r="L2533" s="69" t="s">
        <v>120</v>
      </c>
      <c r="M2533" s="69" t="s">
        <v>141</v>
      </c>
      <c r="N2533" s="69" t="e" vm="1">
        <v>#VALUE!</v>
      </c>
      <c r="O2533" s="164">
        <v>41410</v>
      </c>
      <c r="P2533" s="72" t="s">
        <v>402</v>
      </c>
      <c r="Q2533" s="72"/>
      <c r="R2533" s="162"/>
      <c r="S2533" s="146" t="s">
        <v>8590</v>
      </c>
      <c r="T2533" s="68" t="s">
        <v>3</v>
      </c>
      <c r="U2533" s="87"/>
      <c r="V2533" s="183">
        <v>41506</v>
      </c>
      <c r="W2533" s="73">
        <v>145</v>
      </c>
      <c r="X2533" s="73">
        <f>234*22900/1000000</f>
        <v>5.3586</v>
      </c>
      <c r="Y2533" s="73">
        <f>IF(SUM(W2533:W2533)&gt;0,X2533/SUM(W2533:W2533)*1000000,"N/A")</f>
        <v>36955.862068965522</v>
      </c>
      <c r="Z2533" s="183"/>
      <c r="AA2533" s="183"/>
      <c r="AB2533" s="223" t="s">
        <v>8591</v>
      </c>
      <c r="AC2533" s="153"/>
      <c r="AD2533" s="331"/>
      <c r="AE2533" s="57"/>
      <c r="AF2533" s="151"/>
      <c r="AG2533" s="182">
        <f>YEAR(D2533)</f>
        <v>2013</v>
      </c>
      <c r="AH2533" s="86" t="str">
        <f>+IF(AE2533=$AJ$22,MONTH(T2533),"")</f>
        <v/>
      </c>
      <c r="AI2533" s="86" t="str">
        <f>+IF(AF2533=$AJ$22,MONTH(U2533),"")</f>
        <v/>
      </c>
      <c r="AJ2533" s="86" t="str">
        <f>+IF(AG2533=$AJ$22,MONTH(V2533),"")</f>
        <v/>
      </c>
      <c r="AK2533" s="86" t="str">
        <f>+IF(AG2533=$AK$22,MONTH(V2533),"")</f>
        <v/>
      </c>
      <c r="AL2533" s="86" t="str">
        <f>+IF(AG2533=$AL$22,MONTH(V2533),"")</f>
        <v/>
      </c>
      <c r="AM2533" s="86" t="str">
        <f>+IF($AG2533=$AM$22,MONTH($D2533),"")</f>
        <v/>
      </c>
      <c r="AN2533" s="89" t="str">
        <f>+IF($AG2533=AN$22,MONTH($D2533),"")</f>
        <v/>
      </c>
      <c r="AO2533" s="86" t="str">
        <f>+IF($AG2533=AO$22,MONTH($D2533),"")</f>
        <v/>
      </c>
      <c r="AP2533" s="86" t="str">
        <f>+IF($AG2533=AP$22,MONTH($D2533),"")</f>
        <v/>
      </c>
      <c r="AQ2533" s="86" t="str">
        <f>+IF($AG2533=AQ$22,MONTH($D2533),"")</f>
        <v/>
      </c>
      <c r="AR2533" s="86" t="str">
        <f>+IF($AG2533=AR$22,MONTH($D2533),"")</f>
        <v/>
      </c>
      <c r="AS2533" s="86" t="str">
        <f>+IF($AG2533=AS$22,MONTH($D2533),"")</f>
        <v/>
      </c>
      <c r="AT2533" s="86" t="str">
        <f>+IF($AG2533=AT$22,MONTH($D2533),"")</f>
        <v/>
      </c>
      <c r="AU2533" s="86">
        <f>+IF($AG2533=AU$22,MONTH($D2533),"")</f>
        <v>5</v>
      </c>
      <c r="AV2533" s="86" t="str">
        <f>+IF($AG2533=AV$22,MONTH($D2533),"")</f>
        <v/>
      </c>
      <c r="AW2533" s="86" t="str">
        <f>+IF($AG2533=AW$22,MONTH($D2533),"")</f>
        <v/>
      </c>
      <c r="AX2533" s="86" t="str">
        <f>+IF($AG2533=AX$22,MONTH($D2533),"")</f>
        <v/>
      </c>
      <c r="AY2533" s="89"/>
      <c r="AZ2533" s="89"/>
      <c r="BA2533" s="89"/>
      <c r="BB2533" s="89"/>
      <c r="BC2533" s="89"/>
      <c r="BD2533" s="89"/>
      <c r="BE2533" s="89"/>
      <c r="BF2533" s="89"/>
      <c r="BG2533" s="89"/>
      <c r="BH2533" s="89"/>
      <c r="BI2533" s="89"/>
      <c r="BJ2533" s="182"/>
      <c r="BK2533" s="182"/>
      <c r="BL2533" s="182"/>
      <c r="BM2533" s="182"/>
      <c r="BN2533" s="182"/>
      <c r="BO2533" s="182"/>
      <c r="BP2533" s="182"/>
    </row>
    <row r="2534" spans="1:68" s="51" customFormat="1" ht="19.5" hidden="1" customHeight="1">
      <c r="A2534" s="204" t="str">
        <f>+IFERROR(VALUE(MID(AB2534,4,4)),"")</f>
        <v/>
      </c>
      <c r="B2534" s="204">
        <f>VALUE(RIGHT(C2534,LEN(C2534)-2))</f>
        <v>197</v>
      </c>
      <c r="C2534" s="74" t="s">
        <v>8592</v>
      </c>
      <c r="D2534" s="75">
        <v>41440</v>
      </c>
      <c r="E2534" s="70" t="s">
        <v>8593</v>
      </c>
      <c r="F2534" s="70" t="s">
        <v>62</v>
      </c>
      <c r="G2534" s="68" t="s">
        <v>8594</v>
      </c>
      <c r="H2534" s="59"/>
      <c r="I2534" s="162" t="s">
        <v>8595</v>
      </c>
      <c r="J2534" s="272"/>
      <c r="K2534" s="71" t="s">
        <v>12</v>
      </c>
      <c r="L2534" s="69" t="s">
        <v>120</v>
      </c>
      <c r="M2534" s="69" t="s">
        <v>141</v>
      </c>
      <c r="N2534" s="69" t="e" vm="1">
        <v>#VALUE!</v>
      </c>
      <c r="O2534" s="164">
        <v>41422</v>
      </c>
      <c r="P2534" s="72" t="s">
        <v>402</v>
      </c>
      <c r="Q2534" s="72"/>
      <c r="R2534" s="162"/>
      <c r="S2534" s="146" t="s">
        <v>8596</v>
      </c>
      <c r="T2534" s="68" t="s">
        <v>165</v>
      </c>
      <c r="U2534" s="87"/>
      <c r="V2534" s="183">
        <v>41512</v>
      </c>
      <c r="W2534" s="73">
        <v>2300</v>
      </c>
      <c r="X2534" s="73">
        <f>4132*22900/1000000</f>
        <v>94.622799999999998</v>
      </c>
      <c r="Y2534" s="73">
        <f>IF(SUM(W2534:W2534)&gt;0,X2534/SUM(W2534:W2534)*1000000,"N/A")</f>
        <v>41140.34782608696</v>
      </c>
      <c r="Z2534" s="183"/>
      <c r="AA2534" s="183"/>
      <c r="AB2534" s="223"/>
      <c r="AC2534" s="153"/>
      <c r="AD2534" s="331"/>
      <c r="AE2534" s="57"/>
      <c r="AF2534" s="151"/>
      <c r="AG2534" s="182">
        <f>YEAR(D2534)</f>
        <v>2013</v>
      </c>
      <c r="AH2534" s="86" t="str">
        <f>+IF(AE2534=$AJ$22,MONTH(T2534),"")</f>
        <v/>
      </c>
      <c r="AI2534" s="86" t="str">
        <f>+IF(AF2534=$AJ$22,MONTH(U2534),"")</f>
        <v/>
      </c>
      <c r="AJ2534" s="86" t="str">
        <f>+IF(AG2534=$AJ$22,MONTH(V2534),"")</f>
        <v/>
      </c>
      <c r="AK2534" s="86" t="str">
        <f>+IF(AG2534=$AK$22,MONTH(V2534),"")</f>
        <v/>
      </c>
      <c r="AL2534" s="86" t="str">
        <f>+IF(AG2534=$AL$22,MONTH(V2534),"")</f>
        <v/>
      </c>
      <c r="AM2534" s="86" t="str">
        <f>+IF($AG2534=$AM$22,MONTH($D2534),"")</f>
        <v/>
      </c>
      <c r="AN2534" s="89" t="str">
        <f>+IF($AG2534=AN$22,MONTH($D2534),"")</f>
        <v/>
      </c>
      <c r="AO2534" s="184" t="str">
        <f>+IF($AG2534=AO$22,MONTH($D2534),"")</f>
        <v/>
      </c>
      <c r="AP2534" s="184" t="str">
        <f>+IF($AG2534=AP$22,MONTH($D2534),"")</f>
        <v/>
      </c>
      <c r="AQ2534" s="184" t="str">
        <f>+IF($AG2534=AQ$22,MONTH($D2534),"")</f>
        <v/>
      </c>
      <c r="AR2534" s="184" t="str">
        <f>+IF($AG2534=AR$22,MONTH($D2534),"")</f>
        <v/>
      </c>
      <c r="AS2534" s="184" t="str">
        <f>+IF($AG2534=AS$22,MONTH($D2534),"")</f>
        <v/>
      </c>
      <c r="AT2534" s="86" t="str">
        <f>+IF($AG2534=AT$22,MONTH($D2534),"")</f>
        <v/>
      </c>
      <c r="AU2534" s="86">
        <f>+IF($AG2534=AU$22,MONTH($D2534),"")</f>
        <v>6</v>
      </c>
      <c r="AV2534" s="86" t="str">
        <f>+IF($AG2534=AV$22,MONTH($D2534),"")</f>
        <v/>
      </c>
      <c r="AW2534" s="86" t="str">
        <f>+IF($AG2534=AW$22,MONTH($D2534),"")</f>
        <v/>
      </c>
      <c r="AX2534" s="86" t="str">
        <f>+IF($AG2534=AX$22,MONTH($D2534),"")</f>
        <v/>
      </c>
      <c r="AY2534" s="89"/>
      <c r="AZ2534" s="89"/>
      <c r="BA2534" s="89"/>
      <c r="BB2534" s="89"/>
      <c r="BC2534" s="89"/>
      <c r="BD2534" s="89"/>
      <c r="BE2534" s="89"/>
      <c r="BF2534" s="89"/>
      <c r="BG2534" s="89"/>
      <c r="BH2534" s="89"/>
      <c r="BI2534" s="89"/>
      <c r="BJ2534" s="182"/>
      <c r="BK2534" s="182"/>
      <c r="BL2534" s="182"/>
      <c r="BM2534" s="182"/>
      <c r="BN2534" s="182"/>
      <c r="BO2534" s="182"/>
      <c r="BP2534" s="182"/>
    </row>
    <row r="2535" spans="1:68" s="51" customFormat="1" ht="19.5" hidden="1" customHeight="1">
      <c r="A2535" s="204" t="str">
        <f>+IFERROR(VALUE(MID(AB2535,4,4)),"")</f>
        <v/>
      </c>
      <c r="B2535" s="204">
        <f>VALUE(RIGHT(C2535,LEN(C2535)-2))</f>
        <v>196</v>
      </c>
      <c r="C2535" s="74" t="s">
        <v>8597</v>
      </c>
      <c r="D2535" s="75">
        <v>41423</v>
      </c>
      <c r="E2535" s="70" t="s">
        <v>15</v>
      </c>
      <c r="F2535" s="70" t="s">
        <v>8579</v>
      </c>
      <c r="G2535" s="68" t="s">
        <v>8598</v>
      </c>
      <c r="H2535" s="59"/>
      <c r="I2535" s="162" t="s">
        <v>8599</v>
      </c>
      <c r="J2535" s="272"/>
      <c r="K2535" s="71" t="s">
        <v>13</v>
      </c>
      <c r="L2535" s="69" t="s">
        <v>120</v>
      </c>
      <c r="M2535" s="69" t="s">
        <v>113</v>
      </c>
      <c r="N2535" s="69" t="e" vm="2">
        <v>#VALUE!</v>
      </c>
      <c r="O2535" s="164">
        <v>41423</v>
      </c>
      <c r="P2535" s="72" t="s">
        <v>402</v>
      </c>
      <c r="Q2535" s="72"/>
      <c r="R2535" s="162"/>
      <c r="S2535" s="146" t="s">
        <v>8600</v>
      </c>
      <c r="T2535" s="68" t="s">
        <v>165</v>
      </c>
      <c r="U2535" s="87"/>
      <c r="V2535" s="183">
        <v>41512</v>
      </c>
      <c r="W2535" s="73">
        <v>150</v>
      </c>
      <c r="X2535" s="73">
        <v>5</v>
      </c>
      <c r="Y2535" s="73">
        <f>IF(SUM(W2535:W2535)&gt;0,X2535/SUM(W2535:W2535)*1000000,"N/A")</f>
        <v>33333.333333333336</v>
      </c>
      <c r="Z2535" s="183"/>
      <c r="AA2535" s="183"/>
      <c r="AB2535" s="223"/>
      <c r="AC2535" s="153"/>
      <c r="AD2535" s="331"/>
      <c r="AE2535" s="57"/>
      <c r="AF2535" s="151"/>
      <c r="AG2535" s="182">
        <f>YEAR(D2535)</f>
        <v>2013</v>
      </c>
      <c r="AH2535" s="86" t="str">
        <f>+IF(AE2535=$AJ$22,MONTH(T2535),"")</f>
        <v/>
      </c>
      <c r="AI2535" s="86" t="str">
        <f>+IF(AF2535=$AJ$22,MONTH(U2535),"")</f>
        <v/>
      </c>
      <c r="AJ2535" s="86" t="str">
        <f>+IF(AG2535=$AJ$22,MONTH(V2535),"")</f>
        <v/>
      </c>
      <c r="AK2535" s="86" t="str">
        <f>+IF(AG2535=$AK$22,MONTH(V2535),"")</f>
        <v/>
      </c>
      <c r="AL2535" s="86" t="str">
        <f>+IF(AG2535=$AL$22,MONTH(V2535),"")</f>
        <v/>
      </c>
      <c r="AM2535" s="86" t="str">
        <f>+IF($AG2535=$AM$22,MONTH($D2535),"")</f>
        <v/>
      </c>
      <c r="AN2535" s="89" t="str">
        <f>+IF($AG2535=AN$22,MONTH($D2535),"")</f>
        <v/>
      </c>
      <c r="AO2535" s="184" t="str">
        <f>+IF($AG2535=AO$22,MONTH($D2535),"")</f>
        <v/>
      </c>
      <c r="AP2535" s="184" t="str">
        <f>+IF($AG2535=AP$22,MONTH($D2535),"")</f>
        <v/>
      </c>
      <c r="AQ2535" s="184" t="str">
        <f>+IF($AG2535=AQ$22,MONTH($D2535),"")</f>
        <v/>
      </c>
      <c r="AR2535" s="184" t="str">
        <f>+IF($AG2535=AR$22,MONTH($D2535),"")</f>
        <v/>
      </c>
      <c r="AS2535" s="184" t="str">
        <f>+IF($AG2535=AS$22,MONTH($D2535),"")</f>
        <v/>
      </c>
      <c r="AT2535" s="86" t="str">
        <f>+IF($AG2535=AT$22,MONTH($D2535),"")</f>
        <v/>
      </c>
      <c r="AU2535" s="86">
        <f>+IF($AG2535=AU$22,MONTH($D2535),"")</f>
        <v>5</v>
      </c>
      <c r="AV2535" s="86" t="str">
        <f>+IF($AG2535=AV$22,MONTH($D2535),"")</f>
        <v/>
      </c>
      <c r="AW2535" s="86" t="str">
        <f>+IF($AG2535=AW$22,MONTH($D2535),"")</f>
        <v/>
      </c>
      <c r="AX2535" s="86" t="str">
        <f>+IF($AG2535=AX$22,MONTH($D2535),"")</f>
        <v/>
      </c>
      <c r="AY2535" s="89"/>
      <c r="AZ2535" s="89"/>
      <c r="BA2535" s="89"/>
      <c r="BB2535" s="89"/>
      <c r="BC2535" s="89"/>
      <c r="BD2535" s="89"/>
      <c r="BE2535" s="89"/>
      <c r="BF2535" s="89"/>
      <c r="BG2535" s="89"/>
      <c r="BH2535" s="89"/>
      <c r="BI2535" s="89"/>
      <c r="BJ2535" s="182"/>
      <c r="BK2535" s="182"/>
      <c r="BL2535" s="182"/>
      <c r="BM2535" s="182"/>
      <c r="BN2535" s="182"/>
      <c r="BO2535" s="182"/>
      <c r="BP2535" s="182"/>
    </row>
    <row r="2536" spans="1:68" s="51" customFormat="1" ht="19.5" hidden="1" customHeight="1">
      <c r="A2536" s="204">
        <f>+IFERROR(VALUE(MID(AB2536,4,4)),"")</f>
        <v>79</v>
      </c>
      <c r="B2536" s="204">
        <f>VALUE(RIGHT(C2536,LEN(C2536)-2))</f>
        <v>195</v>
      </c>
      <c r="C2536" s="74" t="s">
        <v>8601</v>
      </c>
      <c r="D2536" s="75">
        <v>41422</v>
      </c>
      <c r="E2536" s="70" t="s">
        <v>72</v>
      </c>
      <c r="F2536" s="70" t="s">
        <v>8602</v>
      </c>
      <c r="G2536" s="68" t="s">
        <v>6896</v>
      </c>
      <c r="H2536" s="59"/>
      <c r="I2536" s="162" t="s">
        <v>8603</v>
      </c>
      <c r="J2536" s="272"/>
      <c r="K2536" s="71" t="s">
        <v>12</v>
      </c>
      <c r="L2536" s="69" t="s">
        <v>120</v>
      </c>
      <c r="M2536" s="69" t="s">
        <v>141</v>
      </c>
      <c r="N2536" s="69" t="e" vm="1">
        <v>#VALUE!</v>
      </c>
      <c r="O2536" s="164">
        <v>41422</v>
      </c>
      <c r="P2536" s="72" t="s">
        <v>402</v>
      </c>
      <c r="Q2536" s="72"/>
      <c r="R2536" s="162"/>
      <c r="S2536" s="146" t="s">
        <v>8604</v>
      </c>
      <c r="T2536" s="68" t="s">
        <v>3</v>
      </c>
      <c r="U2536" s="87"/>
      <c r="V2536" s="183">
        <v>41433</v>
      </c>
      <c r="W2536" s="73">
        <v>100</v>
      </c>
      <c r="X2536" s="73">
        <f>150*22900/1000000</f>
        <v>3.4350000000000001</v>
      </c>
      <c r="Y2536" s="73">
        <f>IF(SUM(W2536:W2536)&gt;0,X2536/SUM(W2536:W2536)*1000000,"N/A")</f>
        <v>34350</v>
      </c>
      <c r="Z2536" s="183"/>
      <c r="AA2536" s="183"/>
      <c r="AB2536" s="223" t="s">
        <v>8605</v>
      </c>
      <c r="AC2536" s="153"/>
      <c r="AD2536" s="331"/>
      <c r="AE2536" s="57"/>
      <c r="AF2536" s="151"/>
      <c r="AG2536" s="182">
        <f>YEAR(D2536)</f>
        <v>2013</v>
      </c>
      <c r="AH2536" s="86" t="str">
        <f>+IF(AE2536=$AJ$22,MONTH(T2536),"")</f>
        <v/>
      </c>
      <c r="AI2536" s="86" t="str">
        <f>+IF(AF2536=$AJ$22,MONTH(U2536),"")</f>
        <v/>
      </c>
      <c r="AJ2536" s="86" t="str">
        <f>+IF(AG2536=$AJ$22,MONTH(V2536),"")</f>
        <v/>
      </c>
      <c r="AK2536" s="86" t="str">
        <f>+IF(AG2536=$AK$22,MONTH(V2536),"")</f>
        <v/>
      </c>
      <c r="AL2536" s="86" t="str">
        <f>+IF(AG2536=$AL$22,MONTH(V2536),"")</f>
        <v/>
      </c>
      <c r="AM2536" s="86" t="str">
        <f>+IF($AG2536=$AM$22,MONTH($D2536),"")</f>
        <v/>
      </c>
      <c r="AN2536" s="89" t="str">
        <f>+IF($AG2536=AN$22,MONTH($D2536),"")</f>
        <v/>
      </c>
      <c r="AO2536" s="86" t="str">
        <f>+IF($AG2536=AO$22,MONTH($D2536),"")</f>
        <v/>
      </c>
      <c r="AP2536" s="86" t="str">
        <f>+IF($AG2536=AP$22,MONTH($D2536),"")</f>
        <v/>
      </c>
      <c r="AQ2536" s="86" t="str">
        <f>+IF($AG2536=AQ$22,MONTH($D2536),"")</f>
        <v/>
      </c>
      <c r="AR2536" s="86" t="str">
        <f>+IF($AG2536=AR$22,MONTH($D2536),"")</f>
        <v/>
      </c>
      <c r="AS2536" s="86" t="str">
        <f>+IF($AG2536=AS$22,MONTH($D2536),"")</f>
        <v/>
      </c>
      <c r="AT2536" s="86" t="str">
        <f>+IF($AG2536=AT$22,MONTH($D2536),"")</f>
        <v/>
      </c>
      <c r="AU2536" s="86">
        <f>+IF($AG2536=AU$22,MONTH($D2536),"")</f>
        <v>5</v>
      </c>
      <c r="AV2536" s="86" t="str">
        <f>+IF($AG2536=AV$22,MONTH($D2536),"")</f>
        <v/>
      </c>
      <c r="AW2536" s="86" t="str">
        <f>+IF($AG2536=AW$22,MONTH($D2536),"")</f>
        <v/>
      </c>
      <c r="AX2536" s="86" t="str">
        <f>+IF($AG2536=AX$22,MONTH($D2536),"")</f>
        <v/>
      </c>
      <c r="AY2536" s="89"/>
      <c r="AZ2536" s="89"/>
      <c r="BA2536" s="89"/>
      <c r="BB2536" s="89"/>
      <c r="BC2536" s="89"/>
      <c r="BD2536" s="89"/>
      <c r="BE2536" s="89"/>
      <c r="BF2536" s="89"/>
      <c r="BG2536" s="89"/>
      <c r="BH2536" s="89"/>
      <c r="BI2536" s="89"/>
      <c r="BJ2536" s="182"/>
      <c r="BK2536" s="182"/>
      <c r="BL2536" s="182"/>
      <c r="BM2536" s="182"/>
      <c r="BN2536" s="182"/>
      <c r="BO2536" s="182"/>
      <c r="BP2536" s="182"/>
    </row>
    <row r="2537" spans="1:68" s="51" customFormat="1" ht="19.5" hidden="1" customHeight="1">
      <c r="A2537" s="204" t="str">
        <f>+IFERROR(VALUE(MID(AB2537,4,4)),"")</f>
        <v/>
      </c>
      <c r="B2537" s="204">
        <f>VALUE(RIGHT(C2537,LEN(C2537)-2))</f>
        <v>194</v>
      </c>
      <c r="C2537" s="74" t="s">
        <v>8606</v>
      </c>
      <c r="D2537" s="75">
        <v>41409</v>
      </c>
      <c r="E2537" s="70" t="s">
        <v>8607</v>
      </c>
      <c r="F2537" s="70" t="s">
        <v>8607</v>
      </c>
      <c r="G2537" s="68"/>
      <c r="H2537" s="59"/>
      <c r="I2537" s="162" t="s">
        <v>8608</v>
      </c>
      <c r="J2537" s="272"/>
      <c r="K2537" s="71" t="s">
        <v>90</v>
      </c>
      <c r="L2537" s="69" t="s">
        <v>120</v>
      </c>
      <c r="M2537" s="69" t="s">
        <v>113</v>
      </c>
      <c r="N2537" s="69" t="e" vm="16">
        <v>#VALUE!</v>
      </c>
      <c r="O2537" s="164">
        <v>41423</v>
      </c>
      <c r="P2537" s="72" t="s">
        <v>8609</v>
      </c>
      <c r="Q2537" s="72"/>
      <c r="R2537" s="162"/>
      <c r="S2537" s="146" t="s">
        <v>8610</v>
      </c>
      <c r="T2537" s="68" t="s">
        <v>165</v>
      </c>
      <c r="U2537" s="87"/>
      <c r="V2537" s="183">
        <v>41506</v>
      </c>
      <c r="W2537" s="73">
        <v>885</v>
      </c>
      <c r="X2537" s="73">
        <f>20267173/1000000</f>
        <v>20.267173</v>
      </c>
      <c r="Y2537" s="73">
        <f>IF(SUM(W2537:W2537)&gt;0,X2537/SUM(W2537:W2537)*1000000,"N/A")</f>
        <v>22900.760451977399</v>
      </c>
      <c r="Z2537" s="183"/>
      <c r="AA2537" s="183"/>
      <c r="AB2537" s="223"/>
      <c r="AC2537" s="153"/>
      <c r="AD2537" s="331"/>
      <c r="AE2537" s="57"/>
      <c r="AF2537" s="151"/>
      <c r="AG2537" s="182">
        <f>YEAR(D2537)</f>
        <v>2013</v>
      </c>
      <c r="AH2537" s="86" t="str">
        <f>+IF(AE2537=$AJ$22,MONTH(T2537),"")</f>
        <v/>
      </c>
      <c r="AI2537" s="86" t="str">
        <f>+IF(AF2537=$AJ$22,MONTH(U2537),"")</f>
        <v/>
      </c>
      <c r="AJ2537" s="86" t="str">
        <f>+IF(AG2537=$AJ$22,MONTH(V2537),"")</f>
        <v/>
      </c>
      <c r="AK2537" s="86" t="str">
        <f>+IF(AG2537=$AK$22,MONTH(V2537),"")</f>
        <v/>
      </c>
      <c r="AL2537" s="86" t="str">
        <f>+IF(AG2537=$AL$22,MONTH(V2537),"")</f>
        <v/>
      </c>
      <c r="AM2537" s="86" t="str">
        <f>+IF($AG2537=$AM$22,MONTH($D2537),"")</f>
        <v/>
      </c>
      <c r="AN2537" s="89" t="str">
        <f>+IF($AG2537=AN$22,MONTH($D2537),"")</f>
        <v/>
      </c>
      <c r="AO2537" s="184" t="str">
        <f>+IF($AG2537=AO$22,MONTH($D2537),"")</f>
        <v/>
      </c>
      <c r="AP2537" s="184" t="str">
        <f>+IF($AG2537=AP$22,MONTH($D2537),"")</f>
        <v/>
      </c>
      <c r="AQ2537" s="184" t="str">
        <f>+IF($AG2537=AQ$22,MONTH($D2537),"")</f>
        <v/>
      </c>
      <c r="AR2537" s="184" t="str">
        <f>+IF($AG2537=AR$22,MONTH($D2537),"")</f>
        <v/>
      </c>
      <c r="AS2537" s="184" t="str">
        <f>+IF($AG2537=AS$22,MONTH($D2537),"")</f>
        <v/>
      </c>
      <c r="AT2537" s="86" t="str">
        <f>+IF($AG2537=AT$22,MONTH($D2537),"")</f>
        <v/>
      </c>
      <c r="AU2537" s="86">
        <f>+IF($AG2537=AU$22,MONTH($D2537),"")</f>
        <v>5</v>
      </c>
      <c r="AV2537" s="86" t="str">
        <f>+IF($AG2537=AV$22,MONTH($D2537),"")</f>
        <v/>
      </c>
      <c r="AW2537" s="86" t="str">
        <f>+IF($AG2537=AW$22,MONTH($D2537),"")</f>
        <v/>
      </c>
      <c r="AX2537" s="86" t="str">
        <f>+IF($AG2537=AX$22,MONTH($D2537),"")</f>
        <v/>
      </c>
      <c r="AY2537" s="89"/>
      <c r="AZ2537" s="89"/>
      <c r="BA2537" s="89"/>
      <c r="BB2537" s="89"/>
      <c r="BC2537" s="89"/>
      <c r="BD2537" s="89"/>
      <c r="BE2537" s="89"/>
      <c r="BF2537" s="89"/>
      <c r="BG2537" s="89"/>
      <c r="BH2537" s="89"/>
      <c r="BI2537" s="89"/>
      <c r="BJ2537" s="182"/>
      <c r="BK2537" s="182"/>
      <c r="BL2537" s="182"/>
      <c r="BM2537" s="182"/>
      <c r="BN2537" s="182"/>
      <c r="BO2537" s="182"/>
      <c r="BP2537" s="182"/>
    </row>
    <row r="2538" spans="1:68" s="51" customFormat="1" ht="19.5" hidden="1" customHeight="1">
      <c r="A2538" s="204" t="str">
        <f>+IFERROR(VALUE(MID(AB2538,4,4)),"")</f>
        <v/>
      </c>
      <c r="B2538" s="204">
        <f>VALUE(RIGHT(C2538,LEN(C2538)-2))</f>
        <v>193</v>
      </c>
      <c r="C2538" s="74" t="s">
        <v>8611</v>
      </c>
      <c r="D2538" s="75">
        <v>41409</v>
      </c>
      <c r="E2538" s="70" t="s">
        <v>8612</v>
      </c>
      <c r="F2538" s="70" t="s">
        <v>479</v>
      </c>
      <c r="G2538" s="68" t="s">
        <v>8613</v>
      </c>
      <c r="H2538" s="59"/>
      <c r="I2538" s="162" t="s">
        <v>8614</v>
      </c>
      <c r="J2538" s="272"/>
      <c r="K2538" s="71" t="s">
        <v>11</v>
      </c>
      <c r="L2538" s="69" t="s">
        <v>120</v>
      </c>
      <c r="M2538" s="69" t="s">
        <v>141</v>
      </c>
      <c r="N2538" s="69" t="e" vm="1">
        <v>#VALUE!</v>
      </c>
      <c r="O2538" s="164">
        <v>41417</v>
      </c>
      <c r="P2538" s="72" t="s">
        <v>402</v>
      </c>
      <c r="Q2538" s="72"/>
      <c r="R2538" s="162"/>
      <c r="S2538" s="146" t="s">
        <v>8615</v>
      </c>
      <c r="T2538" s="68" t="s">
        <v>165</v>
      </c>
      <c r="U2538" s="87"/>
      <c r="V2538" s="183">
        <v>41506</v>
      </c>
      <c r="W2538" s="73">
        <v>7019</v>
      </c>
      <c r="X2538" s="73">
        <f>2222845*230/1000000</f>
        <v>511.25434999999999</v>
      </c>
      <c r="Y2538" s="73">
        <f>IF(SUM(W2538:W2538)&gt;0,X2538/SUM(W2538:W2538)*1000000,"N/A")</f>
        <v>72838.630859096738</v>
      </c>
      <c r="Z2538" s="183"/>
      <c r="AA2538" s="183"/>
      <c r="AB2538" s="223"/>
      <c r="AC2538" s="153"/>
      <c r="AD2538" s="331"/>
      <c r="AE2538" s="57"/>
      <c r="AF2538" s="151"/>
      <c r="AG2538" s="182">
        <f>YEAR(D2538)</f>
        <v>2013</v>
      </c>
      <c r="AH2538" s="86" t="str">
        <f>+IF(AE2538=$AJ$22,MONTH(T2538),"")</f>
        <v/>
      </c>
      <c r="AI2538" s="86" t="str">
        <f>+IF(AF2538=$AJ$22,MONTH(U2538),"")</f>
        <v/>
      </c>
      <c r="AJ2538" s="86" t="str">
        <f>+IF(AG2538=$AJ$22,MONTH(V2538),"")</f>
        <v/>
      </c>
      <c r="AK2538" s="86" t="str">
        <f>+IF(AG2538=$AK$22,MONTH(V2538),"")</f>
        <v/>
      </c>
      <c r="AL2538" s="86" t="str">
        <f>+IF(AG2538=$AL$22,MONTH(V2538),"")</f>
        <v/>
      </c>
      <c r="AM2538" s="86" t="str">
        <f>+IF($AG2538=$AM$22,MONTH($D2538),"")</f>
        <v/>
      </c>
      <c r="AN2538" s="89" t="str">
        <f>+IF($AG2538=AN$22,MONTH($D2538),"")</f>
        <v/>
      </c>
      <c r="AO2538" s="184" t="str">
        <f>+IF($AG2538=AO$22,MONTH($D2538),"")</f>
        <v/>
      </c>
      <c r="AP2538" s="184" t="str">
        <f>+IF($AG2538=AP$22,MONTH($D2538),"")</f>
        <v/>
      </c>
      <c r="AQ2538" s="184" t="str">
        <f>+IF($AG2538=AQ$22,MONTH($D2538),"")</f>
        <v/>
      </c>
      <c r="AR2538" s="184" t="str">
        <f>+IF($AG2538=AR$22,MONTH($D2538),"")</f>
        <v/>
      </c>
      <c r="AS2538" s="184" t="str">
        <f>+IF($AG2538=AS$22,MONTH($D2538),"")</f>
        <v/>
      </c>
      <c r="AT2538" s="86" t="str">
        <f>+IF($AG2538=AT$22,MONTH($D2538),"")</f>
        <v/>
      </c>
      <c r="AU2538" s="86">
        <f>+IF($AG2538=AU$22,MONTH($D2538),"")</f>
        <v>5</v>
      </c>
      <c r="AV2538" s="86" t="str">
        <f>+IF($AG2538=AV$22,MONTH($D2538),"")</f>
        <v/>
      </c>
      <c r="AW2538" s="86" t="str">
        <f>+IF($AG2538=AW$22,MONTH($D2538),"")</f>
        <v/>
      </c>
      <c r="AX2538" s="86" t="str">
        <f>+IF($AG2538=AX$22,MONTH($D2538),"")</f>
        <v/>
      </c>
      <c r="AY2538" s="89"/>
      <c r="AZ2538" s="89"/>
      <c r="BA2538" s="89"/>
      <c r="BB2538" s="89"/>
      <c r="BC2538" s="89"/>
      <c r="BD2538" s="89"/>
      <c r="BE2538" s="89"/>
      <c r="BF2538" s="89"/>
      <c r="BG2538" s="89"/>
      <c r="BH2538" s="89"/>
      <c r="BI2538" s="89"/>
      <c r="BJ2538" s="182"/>
      <c r="BK2538" s="182"/>
      <c r="BL2538" s="182"/>
      <c r="BM2538" s="182"/>
      <c r="BN2538" s="182"/>
      <c r="BO2538" s="182"/>
      <c r="BP2538" s="182"/>
    </row>
    <row r="2539" spans="1:68" s="51" customFormat="1" ht="19.5" hidden="1" customHeight="1">
      <c r="A2539" s="204">
        <f>+IFERROR(VALUE(MID(AB2539,4,4)),"")</f>
        <v>72</v>
      </c>
      <c r="B2539" s="204">
        <f>VALUE(RIGHT(C2539,LEN(C2539)-2))</f>
        <v>192</v>
      </c>
      <c r="C2539" s="74" t="s">
        <v>8616</v>
      </c>
      <c r="D2539" s="75">
        <v>41404</v>
      </c>
      <c r="E2539" s="70" t="s">
        <v>97</v>
      </c>
      <c r="F2539" s="70" t="s">
        <v>332</v>
      </c>
      <c r="G2539" s="68" t="s">
        <v>4175</v>
      </c>
      <c r="H2539" s="59"/>
      <c r="I2539" s="162" t="s">
        <v>8617</v>
      </c>
      <c r="J2539" s="272"/>
      <c r="K2539" s="71" t="s">
        <v>45</v>
      </c>
      <c r="L2539" s="69" t="s">
        <v>120</v>
      </c>
      <c r="M2539" s="69" t="s">
        <v>141</v>
      </c>
      <c r="N2539" s="69" t="e" vm="1">
        <v>#VALUE!</v>
      </c>
      <c r="O2539" s="164">
        <v>41408</v>
      </c>
      <c r="P2539" s="72" t="s">
        <v>402</v>
      </c>
      <c r="Q2539" s="72"/>
      <c r="R2539" s="162"/>
      <c r="S2539" s="146"/>
      <c r="T2539" s="68" t="s">
        <v>3</v>
      </c>
      <c r="U2539" s="87"/>
      <c r="V2539" s="183">
        <v>41433</v>
      </c>
      <c r="W2539" s="73">
        <v>50</v>
      </c>
      <c r="X2539" s="73">
        <f>109*22900/1000000</f>
        <v>2.4961000000000002</v>
      </c>
      <c r="Y2539" s="73">
        <f>IF(SUM(W2539:W2539)&gt;0,X2539/SUM(W2539:W2539)*1000000,"N/A")</f>
        <v>49922</v>
      </c>
      <c r="Z2539" s="183"/>
      <c r="AA2539" s="183"/>
      <c r="AB2539" s="223" t="s">
        <v>8618</v>
      </c>
      <c r="AC2539" s="153"/>
      <c r="AD2539" s="331"/>
      <c r="AE2539" s="57"/>
      <c r="AF2539" s="151"/>
      <c r="AG2539" s="182">
        <f>YEAR(D2539)</f>
        <v>2013</v>
      </c>
      <c r="AH2539" s="86" t="str">
        <f>+IF(AE2539=$AJ$22,MONTH(T2539),"")</f>
        <v/>
      </c>
      <c r="AI2539" s="86" t="str">
        <f>+IF(AF2539=$AJ$22,MONTH(U2539),"")</f>
        <v/>
      </c>
      <c r="AJ2539" s="86" t="str">
        <f>+IF(AG2539=$AJ$22,MONTH(V2539),"")</f>
        <v/>
      </c>
      <c r="AK2539" s="86" t="str">
        <f>+IF(AG2539=$AK$22,MONTH(V2539),"")</f>
        <v/>
      </c>
      <c r="AL2539" s="86" t="str">
        <f>+IF(AG2539=$AL$22,MONTH(V2539),"")</f>
        <v/>
      </c>
      <c r="AM2539" s="86" t="str">
        <f>+IF($AG2539=$AM$22,MONTH($D2539),"")</f>
        <v/>
      </c>
      <c r="AN2539" s="89" t="str">
        <f>+IF($AG2539=AN$22,MONTH($D2539),"")</f>
        <v/>
      </c>
      <c r="AO2539" s="86" t="str">
        <f>+IF($AG2539=AO$22,MONTH($D2539),"")</f>
        <v/>
      </c>
      <c r="AP2539" s="86" t="str">
        <f>+IF($AG2539=AP$22,MONTH($D2539),"")</f>
        <v/>
      </c>
      <c r="AQ2539" s="86" t="str">
        <f>+IF($AG2539=AQ$22,MONTH($D2539),"")</f>
        <v/>
      </c>
      <c r="AR2539" s="86" t="str">
        <f>+IF($AG2539=AR$22,MONTH($D2539),"")</f>
        <v/>
      </c>
      <c r="AS2539" s="86" t="str">
        <f>+IF($AG2539=AS$22,MONTH($D2539),"")</f>
        <v/>
      </c>
      <c r="AT2539" s="86" t="str">
        <f>+IF($AG2539=AT$22,MONTH($D2539),"")</f>
        <v/>
      </c>
      <c r="AU2539" s="86">
        <f>+IF($AG2539=AU$22,MONTH($D2539),"")</f>
        <v>5</v>
      </c>
      <c r="AV2539" s="86" t="str">
        <f>+IF($AG2539=AV$22,MONTH($D2539),"")</f>
        <v/>
      </c>
      <c r="AW2539" s="86" t="str">
        <f>+IF($AG2539=AW$22,MONTH($D2539),"")</f>
        <v/>
      </c>
      <c r="AX2539" s="86" t="str">
        <f>+IF($AG2539=AX$22,MONTH($D2539),"")</f>
        <v/>
      </c>
      <c r="AY2539" s="89"/>
      <c r="AZ2539" s="89"/>
      <c r="BA2539" s="89"/>
      <c r="BB2539" s="89"/>
      <c r="BC2539" s="89"/>
      <c r="BD2539" s="89"/>
      <c r="BE2539" s="89"/>
      <c r="BF2539" s="89"/>
      <c r="BG2539" s="89"/>
      <c r="BH2539" s="89"/>
      <c r="BI2539" s="89"/>
      <c r="BJ2539" s="182"/>
      <c r="BK2539" s="182"/>
      <c r="BL2539" s="182"/>
      <c r="BM2539" s="182"/>
      <c r="BN2539" s="182"/>
      <c r="BO2539" s="182"/>
      <c r="BP2539" s="182"/>
    </row>
    <row r="2540" spans="1:68" s="51" customFormat="1" ht="19.5" hidden="1" customHeight="1">
      <c r="A2540" s="204">
        <f>+IFERROR(VALUE(MID(AB2540,4,4)),"")</f>
        <v>96</v>
      </c>
      <c r="B2540" s="204">
        <f>VALUE(RIGHT(C2540,LEN(C2540)-2))</f>
        <v>191</v>
      </c>
      <c r="C2540" s="74" t="s">
        <v>8619</v>
      </c>
      <c r="D2540" s="75">
        <v>41404</v>
      </c>
      <c r="E2540" s="70" t="s">
        <v>97</v>
      </c>
      <c r="F2540" s="70" t="s">
        <v>332</v>
      </c>
      <c r="G2540" s="68" t="s">
        <v>4175</v>
      </c>
      <c r="H2540" s="59"/>
      <c r="I2540" s="162" t="s">
        <v>8620</v>
      </c>
      <c r="J2540" s="272"/>
      <c r="K2540" s="71" t="s">
        <v>13</v>
      </c>
      <c r="L2540" s="69" t="s">
        <v>120</v>
      </c>
      <c r="M2540" s="69" t="s">
        <v>141</v>
      </c>
      <c r="N2540" s="69" t="e" vm="1">
        <v>#VALUE!</v>
      </c>
      <c r="O2540" s="164">
        <v>41416</v>
      </c>
      <c r="P2540" s="72" t="s">
        <v>7372</v>
      </c>
      <c r="Q2540" s="72"/>
      <c r="R2540" s="162"/>
      <c r="S2540" s="146"/>
      <c r="T2540" s="68" t="s">
        <v>3</v>
      </c>
      <c r="U2540" s="87"/>
      <c r="V2540" s="183">
        <v>41433</v>
      </c>
      <c r="W2540" s="73">
        <v>209</v>
      </c>
      <c r="X2540" s="73">
        <f>333*22900/1000000</f>
        <v>7.6257000000000001</v>
      </c>
      <c r="Y2540" s="73">
        <f>IF(SUM(W2540:W2540)&gt;0,X2540/SUM(W2540:W2540)*1000000,"N/A")</f>
        <v>36486.602870813404</v>
      </c>
      <c r="Z2540" s="183"/>
      <c r="AA2540" s="183"/>
      <c r="AB2540" s="223" t="s">
        <v>8621</v>
      </c>
      <c r="AC2540" s="153"/>
      <c r="AD2540" s="331"/>
      <c r="AE2540" s="57"/>
      <c r="AF2540" s="151"/>
      <c r="AG2540" s="182">
        <f>YEAR(D2540)</f>
        <v>2013</v>
      </c>
      <c r="AH2540" s="86" t="str">
        <f>+IF(AE2540=$AJ$22,MONTH(T2540),"")</f>
        <v/>
      </c>
      <c r="AI2540" s="86" t="str">
        <f>+IF(AF2540=$AJ$22,MONTH(U2540),"")</f>
        <v/>
      </c>
      <c r="AJ2540" s="86" t="str">
        <f>+IF(AG2540=$AJ$22,MONTH(V2540),"")</f>
        <v/>
      </c>
      <c r="AK2540" s="86" t="str">
        <f>+IF(AG2540=$AK$22,MONTH(V2540),"")</f>
        <v/>
      </c>
      <c r="AL2540" s="86" t="str">
        <f>+IF(AG2540=$AL$22,MONTH(V2540),"")</f>
        <v/>
      </c>
      <c r="AM2540" s="86" t="str">
        <f>+IF($AG2540=$AM$22,MONTH($D2540),"")</f>
        <v/>
      </c>
      <c r="AN2540" s="89" t="str">
        <f>+IF($AG2540=AN$22,MONTH($D2540),"")</f>
        <v/>
      </c>
      <c r="AO2540" s="86" t="str">
        <f>+IF($AG2540=AO$22,MONTH($D2540),"")</f>
        <v/>
      </c>
      <c r="AP2540" s="86" t="str">
        <f>+IF($AG2540=AP$22,MONTH($D2540),"")</f>
        <v/>
      </c>
      <c r="AQ2540" s="86" t="str">
        <f>+IF($AG2540=AQ$22,MONTH($D2540),"")</f>
        <v/>
      </c>
      <c r="AR2540" s="86" t="str">
        <f>+IF($AG2540=AR$22,MONTH($D2540),"")</f>
        <v/>
      </c>
      <c r="AS2540" s="86" t="str">
        <f>+IF($AG2540=AS$22,MONTH($D2540),"")</f>
        <v/>
      </c>
      <c r="AT2540" s="86" t="str">
        <f>+IF($AG2540=AT$22,MONTH($D2540),"")</f>
        <v/>
      </c>
      <c r="AU2540" s="86">
        <f>+IF($AG2540=AU$22,MONTH($D2540),"")</f>
        <v>5</v>
      </c>
      <c r="AV2540" s="86" t="str">
        <f>+IF($AG2540=AV$22,MONTH($D2540),"")</f>
        <v/>
      </c>
      <c r="AW2540" s="86" t="str">
        <f>+IF($AG2540=AW$22,MONTH($D2540),"")</f>
        <v/>
      </c>
      <c r="AX2540" s="86" t="str">
        <f>+IF($AG2540=AX$22,MONTH($D2540),"")</f>
        <v/>
      </c>
      <c r="AY2540" s="89"/>
      <c r="AZ2540" s="89"/>
      <c r="BA2540" s="89"/>
      <c r="BB2540" s="89"/>
      <c r="BC2540" s="89"/>
      <c r="BD2540" s="89"/>
      <c r="BE2540" s="89"/>
      <c r="BF2540" s="89"/>
      <c r="BG2540" s="89"/>
      <c r="BH2540" s="89"/>
      <c r="BI2540" s="89"/>
      <c r="BJ2540" s="182"/>
      <c r="BK2540" s="182"/>
      <c r="BL2540" s="182"/>
      <c r="BM2540" s="182"/>
      <c r="BN2540" s="182"/>
      <c r="BO2540" s="182"/>
      <c r="BP2540" s="182"/>
    </row>
    <row r="2541" spans="1:68" s="51" customFormat="1" ht="26.45" hidden="1" customHeight="1">
      <c r="A2541" s="204" t="str">
        <f>+IFERROR(VALUE(MID(AB2541,4,4)),"")</f>
        <v/>
      </c>
      <c r="B2541" s="204">
        <f>VALUE(RIGHT(C2541,LEN(C2541)-2))</f>
        <v>190</v>
      </c>
      <c r="C2541" s="74" t="s">
        <v>8622</v>
      </c>
      <c r="D2541" s="75">
        <v>41396</v>
      </c>
      <c r="E2541" s="68" t="s">
        <v>2961</v>
      </c>
      <c r="F2541" s="70" t="s">
        <v>848</v>
      </c>
      <c r="G2541" s="68" t="s">
        <v>8623</v>
      </c>
      <c r="H2541" s="69"/>
      <c r="I2541" s="69" t="s">
        <v>8624</v>
      </c>
      <c r="J2541" s="81"/>
      <c r="K2541" s="71" t="s">
        <v>12</v>
      </c>
      <c r="L2541" s="69" t="s">
        <v>120</v>
      </c>
      <c r="M2541" s="69" t="s">
        <v>141</v>
      </c>
      <c r="N2541" s="69" t="e" vm="1">
        <v>#VALUE!</v>
      </c>
      <c r="O2541" s="82">
        <v>41396</v>
      </c>
      <c r="P2541" s="69" t="s">
        <v>402</v>
      </c>
      <c r="Q2541" s="69"/>
      <c r="R2541" s="69"/>
      <c r="S2541" s="146" t="s">
        <v>8625</v>
      </c>
      <c r="T2541" s="68" t="s">
        <v>165</v>
      </c>
      <c r="U2541" s="87"/>
      <c r="V2541" s="183">
        <v>41506</v>
      </c>
      <c r="W2541" s="73">
        <v>100</v>
      </c>
      <c r="X2541" s="216">
        <f>250*22900/1000000</f>
        <v>5.7249999999999996</v>
      </c>
      <c r="Y2541" s="73">
        <f>IF(SUM(W2541:W2541)&gt;0,X2541/SUM(W2541:W2541)*1000000,"N/A")</f>
        <v>57249.999999999993</v>
      </c>
      <c r="Z2541" s="70"/>
      <c r="AA2541" s="70"/>
      <c r="AB2541" s="223"/>
      <c r="AC2541" s="75"/>
      <c r="AD2541" s="332"/>
      <c r="AE2541" s="68"/>
      <c r="AF2541" s="148"/>
      <c r="AG2541" s="182">
        <f>YEAR(D2541)</f>
        <v>2013</v>
      </c>
      <c r="AH2541" s="86" t="str">
        <f>+IF(AE2541=$AJ$22,MONTH(T2541),"")</f>
        <v/>
      </c>
      <c r="AI2541" s="86" t="str">
        <f>+IF(AF2541=$AJ$22,MONTH(U2541),"")</f>
        <v/>
      </c>
      <c r="AJ2541" s="86" t="str">
        <f>+IF(AG2541=$AJ$22,MONTH(V2541),"")</f>
        <v/>
      </c>
      <c r="AK2541" s="86" t="str">
        <f>+IF(AG2541=$AK$22,MONTH(V2541),"")</f>
        <v/>
      </c>
      <c r="AL2541" s="86" t="str">
        <f>+IF(AG2541=$AL$22,MONTH(V2541),"")</f>
        <v/>
      </c>
      <c r="AM2541" s="86" t="str">
        <f>+IF($AG2541=$AM$22,MONTH($D2541),"")</f>
        <v/>
      </c>
      <c r="AN2541" s="89" t="str">
        <f>+IF($AG2541=AN$22,MONTH($D2541),"")</f>
        <v/>
      </c>
      <c r="AO2541" s="184" t="str">
        <f>+IF($AG2541=AO$22,MONTH($D2541),"")</f>
        <v/>
      </c>
      <c r="AP2541" s="184" t="str">
        <f>+IF($AG2541=AP$22,MONTH($D2541),"")</f>
        <v/>
      </c>
      <c r="AQ2541" s="184" t="str">
        <f>+IF($AG2541=AQ$22,MONTH($D2541),"")</f>
        <v/>
      </c>
      <c r="AR2541" s="184" t="str">
        <f>+IF($AG2541=AR$22,MONTH($D2541),"")</f>
        <v/>
      </c>
      <c r="AS2541" s="184" t="str">
        <f>+IF($AG2541=AS$22,MONTH($D2541),"")</f>
        <v/>
      </c>
      <c r="AT2541" s="86" t="str">
        <f>+IF($AG2541=AT$22,MONTH($D2541),"")</f>
        <v/>
      </c>
      <c r="AU2541" s="86">
        <f>+IF($AG2541=AU$22,MONTH($D2541),"")</f>
        <v>5</v>
      </c>
      <c r="AV2541" s="86" t="str">
        <f>+IF($AG2541=AV$22,MONTH($D2541),"")</f>
        <v/>
      </c>
      <c r="AW2541" s="86" t="str">
        <f>+IF($AG2541=AW$22,MONTH($D2541),"")</f>
        <v/>
      </c>
      <c r="AX2541" s="86" t="str">
        <f>+IF($AG2541=AX$22,MONTH($D2541),"")</f>
        <v/>
      </c>
      <c r="AY2541" s="89"/>
      <c r="AZ2541" s="89"/>
      <c r="BA2541" s="89"/>
      <c r="BB2541" s="89"/>
      <c r="BC2541" s="89"/>
      <c r="BD2541" s="89"/>
      <c r="BE2541" s="89"/>
      <c r="BF2541" s="89"/>
      <c r="BG2541" s="89"/>
      <c r="BH2541" s="89"/>
      <c r="BI2541" s="89"/>
      <c r="BJ2541" s="182"/>
      <c r="BK2541" s="182"/>
      <c r="BL2541" s="182"/>
      <c r="BM2541" s="182"/>
      <c r="BN2541" s="182"/>
      <c r="BO2541" s="182"/>
      <c r="BP2541" s="182"/>
    </row>
    <row r="2542" spans="1:68" s="51" customFormat="1" ht="19.5" hidden="1" customHeight="1">
      <c r="A2542" s="204" t="str">
        <f>+IFERROR(VALUE(MID(AB2542,4,4)),"")</f>
        <v/>
      </c>
      <c r="B2542" s="204">
        <f>VALUE(RIGHT(C2542,LEN(C2542)-2))</f>
        <v>189</v>
      </c>
      <c r="C2542" s="74" t="s">
        <v>8626</v>
      </c>
      <c r="D2542" s="75">
        <v>41374</v>
      </c>
      <c r="E2542" s="68" t="s">
        <v>8627</v>
      </c>
      <c r="F2542" s="68" t="s">
        <v>8628</v>
      </c>
      <c r="G2542" s="68" t="s">
        <v>8629</v>
      </c>
      <c r="H2542" s="69"/>
      <c r="I2542" s="69" t="s">
        <v>8630</v>
      </c>
      <c r="J2542" s="81"/>
      <c r="K2542" s="71" t="s">
        <v>12</v>
      </c>
      <c r="L2542" s="69" t="s">
        <v>120</v>
      </c>
      <c r="M2542" s="69" t="s">
        <v>113</v>
      </c>
      <c r="N2542" s="69" t="e" vm="2">
        <v>#VALUE!</v>
      </c>
      <c r="O2542" s="82">
        <v>41384</v>
      </c>
      <c r="P2542" s="69" t="s">
        <v>402</v>
      </c>
      <c r="Q2542" s="69"/>
      <c r="R2542" s="69"/>
      <c r="S2542" s="146"/>
      <c r="T2542" s="68" t="s">
        <v>155</v>
      </c>
      <c r="U2542" s="87"/>
      <c r="V2542" s="183">
        <v>41382</v>
      </c>
      <c r="W2542" s="73">
        <v>240</v>
      </c>
      <c r="X2542" s="216">
        <f>1194020/1000000</f>
        <v>1.1940200000000001</v>
      </c>
      <c r="Y2542" s="73">
        <f>IF(SUM(W2542:W2542)&gt;0,X2542/SUM(W2542:W2542)*1000000,"N/A")</f>
        <v>4975.0833333333339</v>
      </c>
      <c r="Z2542" s="70"/>
      <c r="AA2542" s="70"/>
      <c r="AB2542" s="223"/>
      <c r="AC2542" s="75"/>
      <c r="AD2542" s="332"/>
      <c r="AE2542" s="68"/>
      <c r="AF2542" s="148"/>
      <c r="AG2542" s="182">
        <f>YEAR(D2542)</f>
        <v>2013</v>
      </c>
      <c r="AH2542" s="86" t="str">
        <f>+IF(AE2542=$AJ$22,MONTH(T2542),"")</f>
        <v/>
      </c>
      <c r="AI2542" s="86" t="str">
        <f>+IF(AF2542=$AJ$22,MONTH(U2542),"")</f>
        <v/>
      </c>
      <c r="AJ2542" s="86" t="str">
        <f>+IF(AG2542=$AJ$22,MONTH(V2542),"")</f>
        <v/>
      </c>
      <c r="AK2542" s="86" t="str">
        <f>+IF(AG2542=$AK$22,MONTH(V2542),"")</f>
        <v/>
      </c>
      <c r="AL2542" s="86" t="str">
        <f>+IF(AG2542=$AL$22,MONTH(V2542),"")</f>
        <v/>
      </c>
      <c r="AM2542" s="86" t="str">
        <f>+IF($AG2542=$AM$22,MONTH($D2542),"")</f>
        <v/>
      </c>
      <c r="AN2542" s="89" t="str">
        <f>+IF($AG2542=AN$22,MONTH($D2542),"")</f>
        <v/>
      </c>
      <c r="AO2542" s="184" t="str">
        <f>+IF($AG2542=AO$22,MONTH($D2542),"")</f>
        <v/>
      </c>
      <c r="AP2542" s="184" t="str">
        <f>+IF($AG2542=AP$22,MONTH($D2542),"")</f>
        <v/>
      </c>
      <c r="AQ2542" s="184" t="str">
        <f>+IF($AG2542=AQ$22,MONTH($D2542),"")</f>
        <v/>
      </c>
      <c r="AR2542" s="184" t="str">
        <f>+IF($AG2542=AR$22,MONTH($D2542),"")</f>
        <v/>
      </c>
      <c r="AS2542" s="184" t="str">
        <f>+IF($AG2542=AS$22,MONTH($D2542),"")</f>
        <v/>
      </c>
      <c r="AT2542" s="86" t="str">
        <f>+IF($AG2542=AT$22,MONTH($D2542),"")</f>
        <v/>
      </c>
      <c r="AU2542" s="86">
        <f>+IF($AG2542=AU$22,MONTH($D2542),"")</f>
        <v>4</v>
      </c>
      <c r="AV2542" s="86" t="str">
        <f>+IF($AG2542=AV$22,MONTH($D2542),"")</f>
        <v/>
      </c>
      <c r="AW2542" s="86" t="str">
        <f>+IF($AG2542=AW$22,MONTH($D2542),"")</f>
        <v/>
      </c>
      <c r="AX2542" s="86" t="str">
        <f>+IF($AG2542=AX$22,MONTH($D2542),"")</f>
        <v/>
      </c>
      <c r="AY2542" s="89"/>
      <c r="AZ2542" s="89"/>
      <c r="BA2542" s="89"/>
      <c r="BB2542" s="89"/>
      <c r="BC2542" s="89"/>
      <c r="BD2542" s="89"/>
      <c r="BE2542" s="89"/>
      <c r="BF2542" s="89"/>
      <c r="BG2542" s="89"/>
      <c r="BH2542" s="89"/>
      <c r="BI2542" s="89"/>
      <c r="BJ2542" s="182"/>
      <c r="BK2542" s="182"/>
      <c r="BL2542" s="182"/>
      <c r="BM2542" s="182"/>
      <c r="BN2542" s="182"/>
      <c r="BO2542" s="182"/>
      <c r="BP2542" s="182"/>
    </row>
    <row r="2543" spans="1:68" s="51" customFormat="1" ht="19.5" hidden="1" customHeight="1">
      <c r="A2543" s="204" t="str">
        <f>+IFERROR(VALUE(MID(AB2543,4,4)),"")</f>
        <v/>
      </c>
      <c r="B2543" s="204">
        <f>VALUE(RIGHT(C2543,LEN(C2543)-2))</f>
        <v>188</v>
      </c>
      <c r="C2543" s="74" t="s">
        <v>8631</v>
      </c>
      <c r="D2543" s="75">
        <v>41374</v>
      </c>
      <c r="E2543" s="68" t="s">
        <v>8627</v>
      </c>
      <c r="F2543" s="68" t="s">
        <v>8632</v>
      </c>
      <c r="G2543" s="68" t="s">
        <v>8629</v>
      </c>
      <c r="H2543" s="69"/>
      <c r="I2543" s="69" t="s">
        <v>8633</v>
      </c>
      <c r="J2543" s="81"/>
      <c r="K2543" s="71" t="s">
        <v>12</v>
      </c>
      <c r="L2543" s="69" t="s">
        <v>120</v>
      </c>
      <c r="M2543" s="69" t="s">
        <v>113</v>
      </c>
      <c r="N2543" s="69" t="e" vm="2">
        <v>#VALUE!</v>
      </c>
      <c r="O2543" s="82">
        <v>41390</v>
      </c>
      <c r="P2543" s="69" t="s">
        <v>8414</v>
      </c>
      <c r="Q2543" s="69"/>
      <c r="R2543" s="69"/>
      <c r="S2543" s="146" t="s">
        <v>8634</v>
      </c>
      <c r="T2543" s="68" t="s">
        <v>165</v>
      </c>
      <c r="U2543" s="87"/>
      <c r="V2543" s="183">
        <v>41506</v>
      </c>
      <c r="W2543" s="73">
        <v>510</v>
      </c>
      <c r="X2543" s="216">
        <f>17202060/1000000</f>
        <v>17.202059999999999</v>
      </c>
      <c r="Y2543" s="73">
        <f>IF(SUM(W2543:W2543)&gt;0,X2543/SUM(W2543:W2543)*1000000,"N/A")</f>
        <v>33729.529411764706</v>
      </c>
      <c r="Z2543" s="70"/>
      <c r="AA2543" s="70"/>
      <c r="AB2543" s="223"/>
      <c r="AC2543" s="75"/>
      <c r="AD2543" s="332"/>
      <c r="AE2543" s="68"/>
      <c r="AF2543" s="148"/>
      <c r="AG2543" s="182">
        <f>YEAR(D2543)</f>
        <v>2013</v>
      </c>
      <c r="AH2543" s="86" t="str">
        <f>+IF(AE2543=$AJ$22,MONTH(T2543),"")</f>
        <v/>
      </c>
      <c r="AI2543" s="86" t="str">
        <f>+IF(AF2543=$AJ$22,MONTH(U2543),"")</f>
        <v/>
      </c>
      <c r="AJ2543" s="86" t="str">
        <f>+IF(AG2543=$AJ$22,MONTH(V2543),"")</f>
        <v/>
      </c>
      <c r="AK2543" s="86" t="str">
        <f>+IF(AG2543=$AK$22,MONTH(V2543),"")</f>
        <v/>
      </c>
      <c r="AL2543" s="86" t="str">
        <f>+IF(AG2543=$AL$22,MONTH(V2543),"")</f>
        <v/>
      </c>
      <c r="AM2543" s="86" t="str">
        <f>+IF($AG2543=$AM$22,MONTH($D2543),"")</f>
        <v/>
      </c>
      <c r="AN2543" s="89" t="str">
        <f>+IF($AG2543=AN$22,MONTH($D2543),"")</f>
        <v/>
      </c>
      <c r="AO2543" s="184" t="str">
        <f>+IF($AG2543=AO$22,MONTH($D2543),"")</f>
        <v/>
      </c>
      <c r="AP2543" s="184" t="str">
        <f>+IF($AG2543=AP$22,MONTH($D2543),"")</f>
        <v/>
      </c>
      <c r="AQ2543" s="184" t="str">
        <f>+IF($AG2543=AQ$22,MONTH($D2543),"")</f>
        <v/>
      </c>
      <c r="AR2543" s="184" t="str">
        <f>+IF($AG2543=AR$22,MONTH($D2543),"")</f>
        <v/>
      </c>
      <c r="AS2543" s="184" t="str">
        <f>+IF($AG2543=AS$22,MONTH($D2543),"")</f>
        <v/>
      </c>
      <c r="AT2543" s="86" t="str">
        <f>+IF($AG2543=AT$22,MONTH($D2543),"")</f>
        <v/>
      </c>
      <c r="AU2543" s="86">
        <f>+IF($AG2543=AU$22,MONTH($D2543),"")</f>
        <v>4</v>
      </c>
      <c r="AV2543" s="86" t="str">
        <f>+IF($AG2543=AV$22,MONTH($D2543),"")</f>
        <v/>
      </c>
      <c r="AW2543" s="86" t="str">
        <f>+IF($AG2543=AW$22,MONTH($D2543),"")</f>
        <v/>
      </c>
      <c r="AX2543" s="86" t="str">
        <f>+IF($AG2543=AX$22,MONTH($D2543),"")</f>
        <v/>
      </c>
      <c r="AY2543" s="89"/>
      <c r="AZ2543" s="89"/>
      <c r="BA2543" s="89"/>
      <c r="BB2543" s="89"/>
      <c r="BC2543" s="89"/>
      <c r="BD2543" s="89"/>
      <c r="BE2543" s="89"/>
      <c r="BF2543" s="89"/>
      <c r="BG2543" s="89"/>
      <c r="BH2543" s="89"/>
      <c r="BI2543" s="89"/>
      <c r="BJ2543" s="182"/>
      <c r="BK2543" s="182"/>
      <c r="BL2543" s="182"/>
      <c r="BM2543" s="182"/>
      <c r="BN2543" s="182"/>
      <c r="BO2543" s="182"/>
      <c r="BP2543" s="182"/>
    </row>
    <row r="2544" spans="1:68" s="51" customFormat="1" ht="19.5" hidden="1" customHeight="1">
      <c r="A2544" s="204" t="str">
        <f>+IFERROR(VALUE(MID(AB2544,4,4)),"")</f>
        <v/>
      </c>
      <c r="B2544" s="204">
        <f>VALUE(RIGHT(C2544,LEN(C2544)-2))</f>
        <v>187</v>
      </c>
      <c r="C2544" s="74" t="s">
        <v>8635</v>
      </c>
      <c r="D2544" s="75">
        <v>41374</v>
      </c>
      <c r="E2544" s="68" t="s">
        <v>8627</v>
      </c>
      <c r="F2544" s="68" t="s">
        <v>8628</v>
      </c>
      <c r="G2544" s="68" t="s">
        <v>8629</v>
      </c>
      <c r="H2544" s="69"/>
      <c r="I2544" s="69" t="s">
        <v>8636</v>
      </c>
      <c r="J2544" s="81"/>
      <c r="K2544" s="71" t="s">
        <v>12</v>
      </c>
      <c r="L2544" s="69" t="s">
        <v>120</v>
      </c>
      <c r="M2544" s="69" t="s">
        <v>113</v>
      </c>
      <c r="N2544" s="69" t="e" vm="2">
        <v>#VALUE!</v>
      </c>
      <c r="O2544" s="82">
        <v>41390</v>
      </c>
      <c r="P2544" s="69" t="s">
        <v>8414</v>
      </c>
      <c r="Q2544" s="69"/>
      <c r="R2544" s="69"/>
      <c r="S2544" s="146" t="s">
        <v>8634</v>
      </c>
      <c r="T2544" s="68" t="s">
        <v>165</v>
      </c>
      <c r="U2544" s="87"/>
      <c r="V2544" s="183">
        <v>41506</v>
      </c>
      <c r="W2544" s="73">
        <v>557</v>
      </c>
      <c r="X2544" s="216">
        <f>18377920/1000000</f>
        <v>18.37792</v>
      </c>
      <c r="Y2544" s="73">
        <f>IF(SUM(W2544:W2544)&gt;0,X2544/SUM(W2544:W2544)*1000000,"N/A")</f>
        <v>32994.470377019745</v>
      </c>
      <c r="Z2544" s="70"/>
      <c r="AA2544" s="70"/>
      <c r="AB2544" s="223"/>
      <c r="AC2544" s="75"/>
      <c r="AD2544" s="332"/>
      <c r="AE2544" s="68"/>
      <c r="AF2544" s="148"/>
      <c r="AG2544" s="182">
        <f>YEAR(D2544)</f>
        <v>2013</v>
      </c>
      <c r="AH2544" s="86" t="str">
        <f>+IF(AE2544=$AJ$22,MONTH(T2544),"")</f>
        <v/>
      </c>
      <c r="AI2544" s="86" t="str">
        <f>+IF(AF2544=$AJ$22,MONTH(U2544),"")</f>
        <v/>
      </c>
      <c r="AJ2544" s="86" t="str">
        <f>+IF(AG2544=$AJ$22,MONTH(V2544),"")</f>
        <v/>
      </c>
      <c r="AK2544" s="86" t="str">
        <f>+IF(AG2544=$AK$22,MONTH(V2544),"")</f>
        <v/>
      </c>
      <c r="AL2544" s="86" t="str">
        <f>+IF(AG2544=$AL$22,MONTH(V2544),"")</f>
        <v/>
      </c>
      <c r="AM2544" s="86" t="str">
        <f>+IF($AG2544=$AM$22,MONTH($D2544),"")</f>
        <v/>
      </c>
      <c r="AN2544" s="89" t="str">
        <f>+IF($AG2544=AN$22,MONTH($D2544),"")</f>
        <v/>
      </c>
      <c r="AO2544" s="184" t="str">
        <f>+IF($AG2544=AO$22,MONTH($D2544),"")</f>
        <v/>
      </c>
      <c r="AP2544" s="184" t="str">
        <f>+IF($AG2544=AP$22,MONTH($D2544),"")</f>
        <v/>
      </c>
      <c r="AQ2544" s="184" t="str">
        <f>+IF($AG2544=AQ$22,MONTH($D2544),"")</f>
        <v/>
      </c>
      <c r="AR2544" s="184" t="str">
        <f>+IF($AG2544=AR$22,MONTH($D2544),"")</f>
        <v/>
      </c>
      <c r="AS2544" s="184" t="str">
        <f>+IF($AG2544=AS$22,MONTH($D2544),"")</f>
        <v/>
      </c>
      <c r="AT2544" s="86" t="str">
        <f>+IF($AG2544=AT$22,MONTH($D2544),"")</f>
        <v/>
      </c>
      <c r="AU2544" s="86">
        <f>+IF($AG2544=AU$22,MONTH($D2544),"")</f>
        <v>4</v>
      </c>
      <c r="AV2544" s="86" t="str">
        <f>+IF($AG2544=AV$22,MONTH($D2544),"")</f>
        <v/>
      </c>
      <c r="AW2544" s="86" t="str">
        <f>+IF($AG2544=AW$22,MONTH($D2544),"")</f>
        <v/>
      </c>
      <c r="AX2544" s="86" t="str">
        <f>+IF($AG2544=AX$22,MONTH($D2544),"")</f>
        <v/>
      </c>
      <c r="AY2544" s="89"/>
      <c r="AZ2544" s="89"/>
      <c r="BA2544" s="89"/>
      <c r="BB2544" s="89"/>
      <c r="BC2544" s="89"/>
      <c r="BD2544" s="89"/>
      <c r="BE2544" s="89"/>
      <c r="BF2544" s="89"/>
      <c r="BG2544" s="89"/>
      <c r="BH2544" s="89"/>
      <c r="BI2544" s="89"/>
      <c r="BJ2544" s="182"/>
      <c r="BK2544" s="182"/>
      <c r="BL2544" s="182"/>
      <c r="BM2544" s="182"/>
      <c r="BN2544" s="182"/>
      <c r="BO2544" s="182"/>
      <c r="BP2544" s="182"/>
    </row>
    <row r="2545" spans="1:68" s="51" customFormat="1" ht="19.5" hidden="1" customHeight="1">
      <c r="A2545" s="204">
        <f>+IFERROR(VALUE(MID(AB2545,4,4)),"")</f>
        <v>80</v>
      </c>
      <c r="B2545" s="204">
        <f>VALUE(RIGHT(C2545,LEN(C2545)-2))</f>
        <v>186</v>
      </c>
      <c r="C2545" s="74" t="s">
        <v>8637</v>
      </c>
      <c r="D2545" s="75">
        <v>41374</v>
      </c>
      <c r="E2545" s="68" t="s">
        <v>111</v>
      </c>
      <c r="F2545" s="68" t="s">
        <v>111</v>
      </c>
      <c r="G2545" s="68" t="s">
        <v>8638</v>
      </c>
      <c r="H2545" s="69"/>
      <c r="I2545" s="69" t="s">
        <v>8639</v>
      </c>
      <c r="J2545" s="81"/>
      <c r="K2545" s="71" t="s">
        <v>90</v>
      </c>
      <c r="L2545" s="69" t="s">
        <v>120</v>
      </c>
      <c r="M2545" s="69" t="s">
        <v>113</v>
      </c>
      <c r="N2545" s="69" t="e" vm="2">
        <v>#VALUE!</v>
      </c>
      <c r="O2545" s="82">
        <v>41374</v>
      </c>
      <c r="P2545" s="69" t="s">
        <v>402</v>
      </c>
      <c r="Q2545" s="69"/>
      <c r="R2545" s="69"/>
      <c r="S2545" s="146"/>
      <c r="T2545" s="68" t="s">
        <v>3</v>
      </c>
      <c r="U2545" s="87"/>
      <c r="V2545" s="183">
        <v>41389</v>
      </c>
      <c r="W2545" s="73">
        <v>50</v>
      </c>
      <c r="X2545" s="216">
        <v>0</v>
      </c>
      <c r="Y2545" s="73">
        <f>IF(SUM(W2545:W2545)&gt;0,X2545/SUM(W2545:W2545)*1000000,"N/A")</f>
        <v>0</v>
      </c>
      <c r="Z2545" s="70"/>
      <c r="AA2545" s="70"/>
      <c r="AB2545" s="223" t="s">
        <v>8640</v>
      </c>
      <c r="AC2545" s="75"/>
      <c r="AD2545" s="332"/>
      <c r="AE2545" s="68"/>
      <c r="AF2545" s="148"/>
      <c r="AG2545" s="182">
        <f>YEAR(D2545)</f>
        <v>2013</v>
      </c>
      <c r="AH2545" s="86" t="str">
        <f>+IF(AE2545=$AJ$22,MONTH(T2545),"")</f>
        <v/>
      </c>
      <c r="AI2545" s="86" t="str">
        <f>+IF(AF2545=$AJ$22,MONTH(U2545),"")</f>
        <v/>
      </c>
      <c r="AJ2545" s="86" t="str">
        <f>+IF(AG2545=$AJ$22,MONTH(V2545),"")</f>
        <v/>
      </c>
      <c r="AK2545" s="86" t="str">
        <f>+IF(AG2545=$AK$22,MONTH(V2545),"")</f>
        <v/>
      </c>
      <c r="AL2545" s="86" t="str">
        <f>+IF(AG2545=$AL$22,MONTH(V2545),"")</f>
        <v/>
      </c>
      <c r="AM2545" s="86" t="str">
        <f>+IF($AG2545=$AM$22,MONTH($D2545),"")</f>
        <v/>
      </c>
      <c r="AN2545" s="89" t="str">
        <f>+IF($AG2545=AN$22,MONTH($D2545),"")</f>
        <v/>
      </c>
      <c r="AO2545" s="86" t="str">
        <f>+IF($AG2545=AO$22,MONTH($D2545),"")</f>
        <v/>
      </c>
      <c r="AP2545" s="86" t="str">
        <f>+IF($AG2545=AP$22,MONTH($D2545),"")</f>
        <v/>
      </c>
      <c r="AQ2545" s="86" t="str">
        <f>+IF($AG2545=AQ$22,MONTH($D2545),"")</f>
        <v/>
      </c>
      <c r="AR2545" s="86" t="str">
        <f>+IF($AG2545=AR$22,MONTH($D2545),"")</f>
        <v/>
      </c>
      <c r="AS2545" s="86" t="str">
        <f>+IF($AG2545=AS$22,MONTH($D2545),"")</f>
        <v/>
      </c>
      <c r="AT2545" s="86" t="str">
        <f>+IF($AG2545=AT$22,MONTH($D2545),"")</f>
        <v/>
      </c>
      <c r="AU2545" s="86">
        <f>+IF($AG2545=AU$22,MONTH($D2545),"")</f>
        <v>4</v>
      </c>
      <c r="AV2545" s="86" t="str">
        <f>+IF($AG2545=AV$22,MONTH($D2545),"")</f>
        <v/>
      </c>
      <c r="AW2545" s="86" t="str">
        <f>+IF($AG2545=AW$22,MONTH($D2545),"")</f>
        <v/>
      </c>
      <c r="AX2545" s="86" t="str">
        <f>+IF($AG2545=AX$22,MONTH($D2545),"")</f>
        <v/>
      </c>
      <c r="AY2545" s="89"/>
      <c r="AZ2545" s="89"/>
      <c r="BA2545" s="89"/>
      <c r="BB2545" s="89"/>
      <c r="BC2545" s="89"/>
      <c r="BD2545" s="89"/>
      <c r="BE2545" s="89"/>
      <c r="BF2545" s="89"/>
      <c r="BG2545" s="89"/>
      <c r="BH2545" s="89"/>
      <c r="BI2545" s="89"/>
      <c r="BJ2545" s="182"/>
      <c r="BK2545" s="182"/>
      <c r="BL2545" s="182"/>
      <c r="BM2545" s="182"/>
      <c r="BN2545" s="182"/>
      <c r="BO2545" s="182"/>
      <c r="BP2545" s="182"/>
    </row>
    <row r="2546" spans="1:68" s="51" customFormat="1" ht="19.5" hidden="1" customHeight="1">
      <c r="A2546" s="204" t="str">
        <f>+IFERROR(VALUE(MID(AB2546,4,4)),"")</f>
        <v/>
      </c>
      <c r="B2546" s="204">
        <f>VALUE(RIGHT(C2546,LEN(C2546)-2))</f>
        <v>185</v>
      </c>
      <c r="C2546" s="74" t="s">
        <v>8641</v>
      </c>
      <c r="D2546" s="75">
        <v>41374</v>
      </c>
      <c r="E2546" s="68" t="s">
        <v>8642</v>
      </c>
      <c r="F2546" s="68" t="s">
        <v>8643</v>
      </c>
      <c r="G2546" s="68" t="s">
        <v>8644</v>
      </c>
      <c r="H2546" s="69"/>
      <c r="I2546" s="69" t="s">
        <v>8645</v>
      </c>
      <c r="J2546" s="81"/>
      <c r="K2546" s="71" t="s">
        <v>45</v>
      </c>
      <c r="L2546" s="69" t="s">
        <v>120</v>
      </c>
      <c r="M2546" s="69" t="s">
        <v>113</v>
      </c>
      <c r="N2546" s="69" t="e" vm="4">
        <v>#VALUE!</v>
      </c>
      <c r="O2546" s="82">
        <v>41374</v>
      </c>
      <c r="P2546" s="69" t="s">
        <v>402</v>
      </c>
      <c r="Q2546" s="69"/>
      <c r="R2546" s="69"/>
      <c r="S2546" s="146" t="s">
        <v>8646</v>
      </c>
      <c r="T2546" s="68" t="s">
        <v>165</v>
      </c>
      <c r="U2546" s="87"/>
      <c r="V2546" s="183"/>
      <c r="W2546" s="73">
        <v>65</v>
      </c>
      <c r="X2546" s="216">
        <v>2.2000000000000002</v>
      </c>
      <c r="Y2546" s="73">
        <f>IF(SUM(W2546:W2546)&gt;0,X2546/SUM(W2546:W2546)*1000000,"N/A")</f>
        <v>33846.153846153851</v>
      </c>
      <c r="Z2546" s="70"/>
      <c r="AA2546" s="70"/>
      <c r="AB2546" s="223"/>
      <c r="AC2546" s="75"/>
      <c r="AD2546" s="332"/>
      <c r="AE2546" s="68"/>
      <c r="AF2546" s="148"/>
      <c r="AG2546" s="182">
        <f>YEAR(D2546)</f>
        <v>2013</v>
      </c>
      <c r="AH2546" s="86" t="str">
        <f>+IF(AE2546=$AJ$22,MONTH(T2546),"")</f>
        <v/>
      </c>
      <c r="AI2546" s="86" t="str">
        <f>+IF(AF2546=$AJ$22,MONTH(U2546),"")</f>
        <v/>
      </c>
      <c r="AJ2546" s="86" t="str">
        <f>+IF(AG2546=$AJ$22,MONTH(V2546),"")</f>
        <v/>
      </c>
      <c r="AK2546" s="86" t="str">
        <f>+IF(AG2546=$AK$22,MONTH(V2546),"")</f>
        <v/>
      </c>
      <c r="AL2546" s="86" t="str">
        <f>+IF(AG2546=$AL$22,MONTH(V2546),"")</f>
        <v/>
      </c>
      <c r="AM2546" s="86" t="str">
        <f>+IF($AG2546=$AM$22,MONTH($D2546),"")</f>
        <v/>
      </c>
      <c r="AN2546" s="89" t="str">
        <f>+IF($AG2546=AN$22,MONTH($D2546),"")</f>
        <v/>
      </c>
      <c r="AO2546" s="184" t="str">
        <f>+IF($AG2546=AO$22,MONTH($D2546),"")</f>
        <v/>
      </c>
      <c r="AP2546" s="184" t="str">
        <f>+IF($AG2546=AP$22,MONTH($D2546),"")</f>
        <v/>
      </c>
      <c r="AQ2546" s="184" t="str">
        <f>+IF($AG2546=AQ$22,MONTH($D2546),"")</f>
        <v/>
      </c>
      <c r="AR2546" s="184" t="str">
        <f>+IF($AG2546=AR$22,MONTH($D2546),"")</f>
        <v/>
      </c>
      <c r="AS2546" s="184" t="str">
        <f>+IF($AG2546=AS$22,MONTH($D2546),"")</f>
        <v/>
      </c>
      <c r="AT2546" s="86" t="str">
        <f>+IF($AG2546=AT$22,MONTH($D2546),"")</f>
        <v/>
      </c>
      <c r="AU2546" s="86">
        <f>+IF($AG2546=AU$22,MONTH($D2546),"")</f>
        <v>4</v>
      </c>
      <c r="AV2546" s="86" t="str">
        <f>+IF($AG2546=AV$22,MONTH($D2546),"")</f>
        <v/>
      </c>
      <c r="AW2546" s="86" t="str">
        <f>+IF($AG2546=AW$22,MONTH($D2546),"")</f>
        <v/>
      </c>
      <c r="AX2546" s="86" t="str">
        <f>+IF($AG2546=AX$22,MONTH($D2546),"")</f>
        <v/>
      </c>
      <c r="AY2546" s="89"/>
      <c r="AZ2546" s="89"/>
      <c r="BA2546" s="89"/>
      <c r="BB2546" s="89"/>
      <c r="BC2546" s="89"/>
      <c r="BD2546" s="89"/>
      <c r="BE2546" s="89"/>
      <c r="BF2546" s="89"/>
      <c r="BG2546" s="89"/>
      <c r="BH2546" s="89"/>
      <c r="BI2546" s="89"/>
      <c r="BJ2546" s="182"/>
      <c r="BK2546" s="182"/>
      <c r="BL2546" s="182"/>
      <c r="BM2546" s="182"/>
      <c r="BN2546" s="182"/>
      <c r="BO2546" s="182"/>
      <c r="BP2546" s="182"/>
    </row>
    <row r="2547" spans="1:68" s="51" customFormat="1" ht="19.5" hidden="1" customHeight="1">
      <c r="A2547" s="204" t="str">
        <f>+IFERROR(VALUE(MID(AB2547,4,4)),"")</f>
        <v/>
      </c>
      <c r="B2547" s="204">
        <f>VALUE(RIGHT(C2547,LEN(C2547)-2))</f>
        <v>184</v>
      </c>
      <c r="C2547" s="74" t="s">
        <v>8647</v>
      </c>
      <c r="D2547" s="75">
        <v>41366</v>
      </c>
      <c r="E2547" s="70" t="s">
        <v>15</v>
      </c>
      <c r="F2547" s="68" t="s">
        <v>8648</v>
      </c>
      <c r="G2547" s="68" t="s">
        <v>8649</v>
      </c>
      <c r="H2547" s="69"/>
      <c r="I2547" s="69" t="s">
        <v>8650</v>
      </c>
      <c r="J2547" s="81"/>
      <c r="K2547" s="71" t="s">
        <v>16</v>
      </c>
      <c r="L2547" s="69" t="s">
        <v>120</v>
      </c>
      <c r="M2547" s="69" t="s">
        <v>113</v>
      </c>
      <c r="N2547" s="69" t="e" vm="2">
        <v>#VALUE!</v>
      </c>
      <c r="O2547" s="82">
        <v>41368</v>
      </c>
      <c r="P2547" s="69" t="s">
        <v>402</v>
      </c>
      <c r="Q2547" s="69"/>
      <c r="R2547" s="69"/>
      <c r="S2547" s="146" t="s">
        <v>8651</v>
      </c>
      <c r="T2547" s="68" t="s">
        <v>165</v>
      </c>
      <c r="U2547" s="87"/>
      <c r="V2547" s="183">
        <v>41368</v>
      </c>
      <c r="W2547" s="73">
        <v>2820</v>
      </c>
      <c r="X2547" s="216">
        <f>648600*230/1000000</f>
        <v>149.178</v>
      </c>
      <c r="Y2547" s="73">
        <f>IF(SUM(W2547:W2547)&gt;0,X2547/SUM(W2547:W2547)*1000000,"N/A")</f>
        <v>52899.999999999993</v>
      </c>
      <c r="Z2547" s="70"/>
      <c r="AA2547" s="70"/>
      <c r="AB2547" s="223"/>
      <c r="AC2547" s="75"/>
      <c r="AD2547" s="332"/>
      <c r="AE2547" s="68"/>
      <c r="AF2547" s="148"/>
      <c r="AG2547" s="182">
        <f>YEAR(D2547)</f>
        <v>2013</v>
      </c>
      <c r="AH2547" s="86" t="str">
        <f>+IF(AE2547=$AJ$22,MONTH(T2547),"")</f>
        <v/>
      </c>
      <c r="AI2547" s="86" t="str">
        <f>+IF(AF2547=$AJ$22,MONTH(U2547),"")</f>
        <v/>
      </c>
      <c r="AJ2547" s="86" t="str">
        <f>+IF(AG2547=$AJ$22,MONTH(V2547),"")</f>
        <v/>
      </c>
      <c r="AK2547" s="86" t="str">
        <f>+IF(AG2547=$AK$22,MONTH(V2547),"")</f>
        <v/>
      </c>
      <c r="AL2547" s="86" t="str">
        <f>+IF(AG2547=$AL$22,MONTH(V2547),"")</f>
        <v/>
      </c>
      <c r="AM2547" s="86" t="str">
        <f>+IF($AG2547=$AM$22,MONTH($D2547),"")</f>
        <v/>
      </c>
      <c r="AN2547" s="89" t="str">
        <f>+IF($AG2547=AN$22,MONTH($D2547),"")</f>
        <v/>
      </c>
      <c r="AO2547" s="184" t="str">
        <f>+IF($AG2547=AO$22,MONTH($D2547),"")</f>
        <v/>
      </c>
      <c r="AP2547" s="184" t="str">
        <f>+IF($AG2547=AP$22,MONTH($D2547),"")</f>
        <v/>
      </c>
      <c r="AQ2547" s="184" t="str">
        <f>+IF($AG2547=AQ$22,MONTH($D2547),"")</f>
        <v/>
      </c>
      <c r="AR2547" s="184" t="str">
        <f>+IF($AG2547=AR$22,MONTH($D2547),"")</f>
        <v/>
      </c>
      <c r="AS2547" s="184" t="str">
        <f>+IF($AG2547=AS$22,MONTH($D2547),"")</f>
        <v/>
      </c>
      <c r="AT2547" s="86" t="str">
        <f>+IF($AG2547=AT$22,MONTH($D2547),"")</f>
        <v/>
      </c>
      <c r="AU2547" s="86">
        <f>+IF($AG2547=AU$22,MONTH($D2547),"")</f>
        <v>4</v>
      </c>
      <c r="AV2547" s="86" t="str">
        <f>+IF($AG2547=AV$22,MONTH($D2547),"")</f>
        <v/>
      </c>
      <c r="AW2547" s="86" t="str">
        <f>+IF($AG2547=AW$22,MONTH($D2547),"")</f>
        <v/>
      </c>
      <c r="AX2547" s="86" t="str">
        <f>+IF($AG2547=AX$22,MONTH($D2547),"")</f>
        <v/>
      </c>
      <c r="AY2547" s="89"/>
      <c r="AZ2547" s="89"/>
      <c r="BA2547" s="89"/>
      <c r="BB2547" s="89"/>
      <c r="BC2547" s="89"/>
      <c r="BD2547" s="89"/>
      <c r="BE2547" s="89"/>
      <c r="BF2547" s="89"/>
      <c r="BG2547" s="89"/>
      <c r="BH2547" s="89"/>
      <c r="BI2547" s="89"/>
      <c r="BJ2547" s="182"/>
      <c r="BK2547" s="182"/>
      <c r="BL2547" s="182"/>
      <c r="BM2547" s="182"/>
      <c r="BN2547" s="182"/>
      <c r="BO2547" s="182"/>
      <c r="BP2547" s="182"/>
    </row>
    <row r="2548" spans="1:68" s="51" customFormat="1" ht="19.5" hidden="1" customHeight="1">
      <c r="A2548" s="204" t="str">
        <f>+IFERROR(VALUE(MID(AB2548,4,4)),"")</f>
        <v/>
      </c>
      <c r="B2548" s="204">
        <f>VALUE(RIGHT(C2548,LEN(C2548)-2))</f>
        <v>183</v>
      </c>
      <c r="C2548" s="74" t="s">
        <v>8652</v>
      </c>
      <c r="D2548" s="75">
        <v>41361</v>
      </c>
      <c r="E2548" s="68" t="s">
        <v>8482</v>
      </c>
      <c r="F2548" s="68" t="s">
        <v>8482</v>
      </c>
      <c r="G2548" s="68" t="s">
        <v>8653</v>
      </c>
      <c r="H2548" s="69"/>
      <c r="I2548" s="69" t="s">
        <v>8483</v>
      </c>
      <c r="J2548" s="81"/>
      <c r="K2548" s="71" t="s">
        <v>13</v>
      </c>
      <c r="L2548" s="69" t="s">
        <v>120</v>
      </c>
      <c r="M2548" s="69" t="s">
        <v>141</v>
      </c>
      <c r="N2548" s="69" t="e" vm="1">
        <v>#VALUE!</v>
      </c>
      <c r="O2548" s="82">
        <v>41365</v>
      </c>
      <c r="P2548" s="69" t="s">
        <v>649</v>
      </c>
      <c r="Q2548" s="69"/>
      <c r="R2548" s="69"/>
      <c r="S2548" s="146" t="s">
        <v>8654</v>
      </c>
      <c r="T2548" s="68" t="s">
        <v>165</v>
      </c>
      <c r="U2548" s="87"/>
      <c r="V2548" s="183">
        <v>41368</v>
      </c>
      <c r="W2548" s="73">
        <v>1843</v>
      </c>
      <c r="X2548" s="216">
        <f>3050*22800/1000000</f>
        <v>69.540000000000006</v>
      </c>
      <c r="Y2548" s="73">
        <f>IF(SUM(W2548:W2548)&gt;0,X2548/SUM(W2548:W2548)*1000000,"N/A")</f>
        <v>37731.958762886607</v>
      </c>
      <c r="Z2548" s="70"/>
      <c r="AA2548" s="70"/>
      <c r="AB2548" s="223"/>
      <c r="AC2548" s="75"/>
      <c r="AD2548" s="332"/>
      <c r="AE2548" s="68"/>
      <c r="AF2548" s="148"/>
      <c r="AG2548" s="182">
        <f>YEAR(D2548)</f>
        <v>2013</v>
      </c>
      <c r="AH2548" s="86" t="str">
        <f>+IF(AE2548=$AJ$22,MONTH(T2548),"")</f>
        <v/>
      </c>
      <c r="AI2548" s="86" t="str">
        <f>+IF(AF2548=$AJ$22,MONTH(U2548),"")</f>
        <v/>
      </c>
      <c r="AJ2548" s="86" t="str">
        <f>+IF(AG2548=$AJ$22,MONTH(V2548),"")</f>
        <v/>
      </c>
      <c r="AK2548" s="86" t="str">
        <f>+IF(AG2548=$AK$22,MONTH(V2548),"")</f>
        <v/>
      </c>
      <c r="AL2548" s="86" t="str">
        <f>+IF(AG2548=$AL$22,MONTH(V2548),"")</f>
        <v/>
      </c>
      <c r="AM2548" s="86" t="str">
        <f>+IF($AG2548=$AM$22,MONTH($D2548),"")</f>
        <v/>
      </c>
      <c r="AN2548" s="89" t="str">
        <f>+IF($AG2548=AN$22,MONTH($D2548),"")</f>
        <v/>
      </c>
      <c r="AO2548" s="184" t="str">
        <f>+IF($AG2548=AO$22,MONTH($D2548),"")</f>
        <v/>
      </c>
      <c r="AP2548" s="184" t="str">
        <f>+IF($AG2548=AP$22,MONTH($D2548),"")</f>
        <v/>
      </c>
      <c r="AQ2548" s="184" t="str">
        <f>+IF($AG2548=AQ$22,MONTH($D2548),"")</f>
        <v/>
      </c>
      <c r="AR2548" s="184" t="str">
        <f>+IF($AG2548=AR$22,MONTH($D2548),"")</f>
        <v/>
      </c>
      <c r="AS2548" s="184" t="str">
        <f>+IF($AG2548=AS$22,MONTH($D2548),"")</f>
        <v/>
      </c>
      <c r="AT2548" s="86" t="str">
        <f>+IF($AG2548=AT$22,MONTH($D2548),"")</f>
        <v/>
      </c>
      <c r="AU2548" s="86">
        <f>+IF($AG2548=AU$22,MONTH($D2548),"")</f>
        <v>3</v>
      </c>
      <c r="AV2548" s="86" t="str">
        <f>+IF($AG2548=AV$22,MONTH($D2548),"")</f>
        <v/>
      </c>
      <c r="AW2548" s="86" t="str">
        <f>+IF($AG2548=AW$22,MONTH($D2548),"")</f>
        <v/>
      </c>
      <c r="AX2548" s="86" t="str">
        <f>+IF($AG2548=AX$22,MONTH($D2548),"")</f>
        <v/>
      </c>
      <c r="AY2548" s="89"/>
      <c r="AZ2548" s="89"/>
      <c r="BA2548" s="89"/>
      <c r="BB2548" s="89"/>
      <c r="BC2548" s="89"/>
      <c r="BD2548" s="89"/>
      <c r="BE2548" s="89"/>
      <c r="BF2548" s="89"/>
      <c r="BG2548" s="89"/>
      <c r="BH2548" s="89"/>
      <c r="BI2548" s="89"/>
      <c r="BJ2548" s="182"/>
      <c r="BK2548" s="182"/>
      <c r="BL2548" s="182"/>
      <c r="BM2548" s="182"/>
      <c r="BN2548" s="182"/>
      <c r="BO2548" s="182"/>
      <c r="BP2548" s="182"/>
    </row>
    <row r="2549" spans="1:68" s="51" customFormat="1" ht="19.5" hidden="1" customHeight="1">
      <c r="A2549" s="204" t="str">
        <f>+IFERROR(VALUE(MID(AB2549,4,4)),"")</f>
        <v/>
      </c>
      <c r="B2549" s="204">
        <f>VALUE(RIGHT(C2549,LEN(C2549)-2))</f>
        <v>182</v>
      </c>
      <c r="C2549" s="74" t="s">
        <v>8655</v>
      </c>
      <c r="D2549" s="75">
        <v>41390</v>
      </c>
      <c r="E2549" s="68" t="s">
        <v>63</v>
      </c>
      <c r="F2549" s="70" t="s">
        <v>262</v>
      </c>
      <c r="G2549" s="68" t="s">
        <v>5340</v>
      </c>
      <c r="H2549" s="59" t="s">
        <v>8245</v>
      </c>
      <c r="I2549" s="69" t="s">
        <v>8656</v>
      </c>
      <c r="J2549" s="81"/>
      <c r="K2549" s="71" t="s">
        <v>12</v>
      </c>
      <c r="L2549" s="69" t="s">
        <v>120</v>
      </c>
      <c r="M2549" s="69" t="s">
        <v>141</v>
      </c>
      <c r="N2549" s="69" t="e" vm="1">
        <v>#VALUE!</v>
      </c>
      <c r="O2549" s="82">
        <v>41365</v>
      </c>
      <c r="P2549" s="69" t="s">
        <v>4567</v>
      </c>
      <c r="Q2549" s="69"/>
      <c r="R2549" s="69"/>
      <c r="S2549" s="146" t="s">
        <v>8657</v>
      </c>
      <c r="T2549" s="68" t="s">
        <v>165</v>
      </c>
      <c r="U2549" s="87"/>
      <c r="V2549" s="183">
        <v>41368</v>
      </c>
      <c r="W2549" s="73">
        <v>70</v>
      </c>
      <c r="X2549" s="216">
        <f>100*22800/1000000</f>
        <v>2.2799999999999998</v>
      </c>
      <c r="Y2549" s="73">
        <f>IF(SUM(W2549:W2549)&gt;0,X2549/SUM(W2549:W2549)*1000000,"N/A")</f>
        <v>32571.428571428569</v>
      </c>
      <c r="Z2549" s="70"/>
      <c r="AA2549" s="70"/>
      <c r="AB2549" s="223"/>
      <c r="AC2549" s="75"/>
      <c r="AD2549" s="332"/>
      <c r="AE2549" s="68"/>
      <c r="AF2549" s="148"/>
      <c r="AG2549" s="182">
        <f>YEAR(D2549)</f>
        <v>2013</v>
      </c>
      <c r="AH2549" s="86" t="str">
        <f>+IF(AE2549=$AJ$22,MONTH(T2549),"")</f>
        <v/>
      </c>
      <c r="AI2549" s="86" t="str">
        <f>+IF(AF2549=$AJ$22,MONTH(U2549),"")</f>
        <v/>
      </c>
      <c r="AJ2549" s="86" t="str">
        <f>+IF(AG2549=$AJ$22,MONTH(V2549),"")</f>
        <v/>
      </c>
      <c r="AK2549" s="86" t="str">
        <f>+IF(AG2549=$AK$22,MONTH(V2549),"")</f>
        <v/>
      </c>
      <c r="AL2549" s="86" t="str">
        <f>+IF(AG2549=$AL$22,MONTH(V2549),"")</f>
        <v/>
      </c>
      <c r="AM2549" s="86" t="str">
        <f>+IF($AG2549=$AM$22,MONTH($D2549),"")</f>
        <v/>
      </c>
      <c r="AN2549" s="89" t="str">
        <f>+IF($AG2549=AN$22,MONTH($D2549),"")</f>
        <v/>
      </c>
      <c r="AO2549" s="184" t="str">
        <f>+IF($AG2549=AO$22,MONTH($D2549),"")</f>
        <v/>
      </c>
      <c r="AP2549" s="184" t="str">
        <f>+IF($AG2549=AP$22,MONTH($D2549),"")</f>
        <v/>
      </c>
      <c r="AQ2549" s="184" t="str">
        <f>+IF($AG2549=AQ$22,MONTH($D2549),"")</f>
        <v/>
      </c>
      <c r="AR2549" s="184" t="str">
        <f>+IF($AG2549=AR$22,MONTH($D2549),"")</f>
        <v/>
      </c>
      <c r="AS2549" s="184" t="str">
        <f>+IF($AG2549=AS$22,MONTH($D2549),"")</f>
        <v/>
      </c>
      <c r="AT2549" s="86" t="str">
        <f>+IF($AG2549=AT$22,MONTH($D2549),"")</f>
        <v/>
      </c>
      <c r="AU2549" s="86">
        <f>+IF($AG2549=AU$22,MONTH($D2549),"")</f>
        <v>4</v>
      </c>
      <c r="AV2549" s="86" t="str">
        <f>+IF($AG2549=AV$22,MONTH($D2549),"")</f>
        <v/>
      </c>
      <c r="AW2549" s="86" t="str">
        <f>+IF($AG2549=AW$22,MONTH($D2549),"")</f>
        <v/>
      </c>
      <c r="AX2549" s="86" t="str">
        <f>+IF($AG2549=AX$22,MONTH($D2549),"")</f>
        <v/>
      </c>
      <c r="AY2549" s="89"/>
      <c r="AZ2549" s="89"/>
      <c r="BA2549" s="89"/>
      <c r="BB2549" s="89"/>
      <c r="BC2549" s="89"/>
      <c r="BD2549" s="89"/>
      <c r="BE2549" s="89"/>
      <c r="BF2549" s="89"/>
      <c r="BG2549" s="89"/>
      <c r="BH2549" s="89"/>
      <c r="BI2549" s="89"/>
      <c r="BJ2549" s="182"/>
      <c r="BK2549" s="182"/>
      <c r="BL2549" s="182"/>
      <c r="BM2549" s="182"/>
      <c r="BN2549" s="182"/>
      <c r="BO2549" s="182"/>
      <c r="BP2549" s="182"/>
    </row>
    <row r="2550" spans="1:68" s="51" customFormat="1" ht="19.5" hidden="1" customHeight="1">
      <c r="A2550" s="204">
        <f>+IFERROR(VALUE(MID(AB2550,4,4)),"")</f>
        <v>74</v>
      </c>
      <c r="B2550" s="204">
        <f>VALUE(RIGHT(C2550,LEN(C2550)-2))</f>
        <v>181</v>
      </c>
      <c r="C2550" s="74" t="s">
        <v>8658</v>
      </c>
      <c r="D2550" s="75">
        <v>41359</v>
      </c>
      <c r="E2550" s="68" t="s">
        <v>82</v>
      </c>
      <c r="F2550" s="70" t="s">
        <v>479</v>
      </c>
      <c r="G2550" s="68" t="s">
        <v>8542</v>
      </c>
      <c r="H2550" s="69"/>
      <c r="I2550" s="69" t="s">
        <v>8659</v>
      </c>
      <c r="J2550" s="81"/>
      <c r="K2550" s="71" t="s">
        <v>45</v>
      </c>
      <c r="L2550" s="69" t="s">
        <v>120</v>
      </c>
      <c r="M2550" s="69" t="s">
        <v>113</v>
      </c>
      <c r="N2550" s="69" t="e" vm="2">
        <v>#VALUE!</v>
      </c>
      <c r="O2550" s="82">
        <v>41372</v>
      </c>
      <c r="P2550" s="69" t="s">
        <v>402</v>
      </c>
      <c r="Q2550" s="69"/>
      <c r="R2550" s="69"/>
      <c r="S2550" s="146"/>
      <c r="T2550" s="68" t="s">
        <v>3</v>
      </c>
      <c r="U2550" s="87"/>
      <c r="V2550" s="183">
        <v>41368</v>
      </c>
      <c r="W2550" s="73">
        <v>42.5</v>
      </c>
      <c r="X2550" s="216">
        <f>7542.2*235/1000000</f>
        <v>1.7724169999999999</v>
      </c>
      <c r="Y2550" s="73">
        <f>IF(SUM(W2550:W2550)&gt;0,X2550/SUM(W2550:W2550)*1000000,"N/A")</f>
        <v>41703.929411764708</v>
      </c>
      <c r="Z2550" s="70"/>
      <c r="AA2550" s="70"/>
      <c r="AB2550" s="223" t="s">
        <v>8660</v>
      </c>
      <c r="AC2550" s="75"/>
      <c r="AD2550" s="332"/>
      <c r="AE2550" s="68"/>
      <c r="AF2550" s="148"/>
      <c r="AG2550" s="182">
        <f>YEAR(D2550)</f>
        <v>2013</v>
      </c>
      <c r="AH2550" s="86" t="str">
        <f>+IF(AE2550=$AJ$22,MONTH(T2550),"")</f>
        <v/>
      </c>
      <c r="AI2550" s="86" t="str">
        <f>+IF(AF2550=$AJ$22,MONTH(U2550),"")</f>
        <v/>
      </c>
      <c r="AJ2550" s="86" t="str">
        <f>+IF(AG2550=$AJ$22,MONTH(V2550),"")</f>
        <v/>
      </c>
      <c r="AK2550" s="86" t="str">
        <f>+IF(AG2550=$AK$22,MONTH(V2550),"")</f>
        <v/>
      </c>
      <c r="AL2550" s="86" t="str">
        <f>+IF(AG2550=$AL$22,MONTH(V2550),"")</f>
        <v/>
      </c>
      <c r="AM2550" s="86" t="str">
        <f>+IF($AG2550=$AM$22,MONTH($D2550),"")</f>
        <v/>
      </c>
      <c r="AN2550" s="89" t="str">
        <f>+IF($AG2550=AN$22,MONTH($D2550),"")</f>
        <v/>
      </c>
      <c r="AO2550" s="86" t="str">
        <f>+IF($AG2550=AO$22,MONTH($D2550),"")</f>
        <v/>
      </c>
      <c r="AP2550" s="86" t="str">
        <f>+IF($AG2550=AP$22,MONTH($D2550),"")</f>
        <v/>
      </c>
      <c r="AQ2550" s="86" t="str">
        <f>+IF($AG2550=AQ$22,MONTH($D2550),"")</f>
        <v/>
      </c>
      <c r="AR2550" s="86" t="str">
        <f>+IF($AG2550=AR$22,MONTH($D2550),"")</f>
        <v/>
      </c>
      <c r="AS2550" s="86" t="str">
        <f>+IF($AG2550=AS$22,MONTH($D2550),"")</f>
        <v/>
      </c>
      <c r="AT2550" s="86" t="str">
        <f>+IF($AG2550=AT$22,MONTH($D2550),"")</f>
        <v/>
      </c>
      <c r="AU2550" s="86">
        <f>+IF($AG2550=AU$22,MONTH($D2550),"")</f>
        <v>3</v>
      </c>
      <c r="AV2550" s="86" t="str">
        <f>+IF($AG2550=AV$22,MONTH($D2550),"")</f>
        <v/>
      </c>
      <c r="AW2550" s="86" t="str">
        <f>+IF($AG2550=AW$22,MONTH($D2550),"")</f>
        <v/>
      </c>
      <c r="AX2550" s="86" t="str">
        <f>+IF($AG2550=AX$22,MONTH($D2550),"")</f>
        <v/>
      </c>
      <c r="AY2550" s="89"/>
      <c r="AZ2550" s="89"/>
      <c r="BA2550" s="89"/>
      <c r="BB2550" s="89"/>
      <c r="BC2550" s="89"/>
      <c r="BD2550" s="89"/>
      <c r="BE2550" s="89"/>
      <c r="BF2550" s="89"/>
      <c r="BG2550" s="89"/>
      <c r="BH2550" s="89"/>
      <c r="BI2550" s="89"/>
      <c r="BJ2550" s="182"/>
      <c r="BK2550" s="182"/>
      <c r="BL2550" s="182"/>
      <c r="BM2550" s="182"/>
      <c r="BN2550" s="182"/>
      <c r="BO2550" s="182"/>
      <c r="BP2550" s="182"/>
    </row>
    <row r="2551" spans="1:68" s="51" customFormat="1" ht="19.5" hidden="1" customHeight="1">
      <c r="A2551" s="204" t="str">
        <f>+IFERROR(VALUE(MID(AB2551,4,4)),"")</f>
        <v/>
      </c>
      <c r="B2551" s="204">
        <f>VALUE(RIGHT(C2551,LEN(C2551)-2))</f>
        <v>180</v>
      </c>
      <c r="C2551" s="74" t="s">
        <v>8661</v>
      </c>
      <c r="D2551" s="75">
        <v>41359</v>
      </c>
      <c r="E2551" s="68" t="s">
        <v>8662</v>
      </c>
      <c r="F2551" s="68" t="s">
        <v>8662</v>
      </c>
      <c r="G2551" s="68" t="s">
        <v>8663</v>
      </c>
      <c r="H2551" s="69"/>
      <c r="I2551" s="69" t="s">
        <v>8664</v>
      </c>
      <c r="J2551" s="81"/>
      <c r="K2551" s="71" t="s">
        <v>9</v>
      </c>
      <c r="L2551" s="69" t="s">
        <v>120</v>
      </c>
      <c r="M2551" s="69" t="s">
        <v>113</v>
      </c>
      <c r="N2551" s="69" t="e" vm="2">
        <v>#VALUE!</v>
      </c>
      <c r="O2551" s="82">
        <v>41367</v>
      </c>
      <c r="P2551" s="69" t="s">
        <v>402</v>
      </c>
      <c r="Q2551" s="69"/>
      <c r="R2551" s="69"/>
      <c r="S2551" s="146"/>
      <c r="T2551" s="68" t="s">
        <v>165</v>
      </c>
      <c r="U2551" s="87"/>
      <c r="V2551" s="183">
        <v>41368</v>
      </c>
      <c r="W2551" s="73">
        <f>250*25</f>
        <v>6250</v>
      </c>
      <c r="X2551" s="216">
        <f>1000000*230/1000000</f>
        <v>230</v>
      </c>
      <c r="Y2551" s="73">
        <f>IF(SUM(W2551:W2551)&gt;0,X2551/SUM(W2551:W2551)*1000000,"N/A")</f>
        <v>36800</v>
      </c>
      <c r="Z2551" s="70"/>
      <c r="AA2551" s="70"/>
      <c r="AB2551" s="223"/>
      <c r="AC2551" s="75"/>
      <c r="AD2551" s="332"/>
      <c r="AE2551" s="68"/>
      <c r="AF2551" s="148"/>
      <c r="AG2551" s="182">
        <f>YEAR(D2551)</f>
        <v>2013</v>
      </c>
      <c r="AH2551" s="86" t="str">
        <f>+IF(AE2551=$AJ$22,MONTH(T2551),"")</f>
        <v/>
      </c>
      <c r="AI2551" s="86" t="str">
        <f>+IF(AF2551=$AJ$22,MONTH(U2551),"")</f>
        <v/>
      </c>
      <c r="AJ2551" s="86" t="str">
        <f>+IF(AG2551=$AJ$22,MONTH(V2551),"")</f>
        <v/>
      </c>
      <c r="AK2551" s="86" t="str">
        <f>+IF(AG2551=$AK$22,MONTH(V2551),"")</f>
        <v/>
      </c>
      <c r="AL2551" s="86" t="str">
        <f>+IF(AG2551=$AL$22,MONTH(V2551),"")</f>
        <v/>
      </c>
      <c r="AM2551" s="86" t="str">
        <f>+IF($AG2551=$AM$22,MONTH($D2551),"")</f>
        <v/>
      </c>
      <c r="AN2551" s="89" t="str">
        <f>+IF($AG2551=AN$22,MONTH($D2551),"")</f>
        <v/>
      </c>
      <c r="AO2551" s="184" t="str">
        <f>+IF($AG2551=AO$22,MONTH($D2551),"")</f>
        <v/>
      </c>
      <c r="AP2551" s="184" t="str">
        <f>+IF($AG2551=AP$22,MONTH($D2551),"")</f>
        <v/>
      </c>
      <c r="AQ2551" s="184" t="str">
        <f>+IF($AG2551=AQ$22,MONTH($D2551),"")</f>
        <v/>
      </c>
      <c r="AR2551" s="184" t="str">
        <f>+IF($AG2551=AR$22,MONTH($D2551),"")</f>
        <v/>
      </c>
      <c r="AS2551" s="184" t="str">
        <f>+IF($AG2551=AS$22,MONTH($D2551),"")</f>
        <v/>
      </c>
      <c r="AT2551" s="86" t="str">
        <f>+IF($AG2551=AT$22,MONTH($D2551),"")</f>
        <v/>
      </c>
      <c r="AU2551" s="86">
        <f>+IF($AG2551=AU$22,MONTH($D2551),"")</f>
        <v>3</v>
      </c>
      <c r="AV2551" s="86" t="str">
        <f>+IF($AG2551=AV$22,MONTH($D2551),"")</f>
        <v/>
      </c>
      <c r="AW2551" s="86" t="str">
        <f>+IF($AG2551=AW$22,MONTH($D2551),"")</f>
        <v/>
      </c>
      <c r="AX2551" s="86" t="str">
        <f>+IF($AG2551=AX$22,MONTH($D2551),"")</f>
        <v/>
      </c>
      <c r="AY2551" s="89"/>
      <c r="AZ2551" s="89"/>
      <c r="BA2551" s="89"/>
      <c r="BB2551" s="89"/>
      <c r="BC2551" s="89"/>
      <c r="BD2551" s="89"/>
      <c r="BE2551" s="89"/>
      <c r="BF2551" s="89"/>
      <c r="BG2551" s="89"/>
      <c r="BH2551" s="89"/>
      <c r="BI2551" s="89"/>
      <c r="BJ2551" s="182"/>
      <c r="BK2551" s="182"/>
      <c r="BL2551" s="182"/>
      <c r="BM2551" s="182"/>
      <c r="BN2551" s="182"/>
      <c r="BO2551" s="182"/>
      <c r="BP2551" s="182"/>
    </row>
    <row r="2552" spans="1:68" s="51" customFormat="1" ht="19.5" hidden="1" customHeight="1">
      <c r="A2552" s="204" t="str">
        <f>+IFERROR(VALUE(MID(AB2552,4,4)),"")</f>
        <v/>
      </c>
      <c r="B2552" s="204">
        <f>VALUE(RIGHT(C2552,LEN(C2552)-2))</f>
        <v>179</v>
      </c>
      <c r="C2552" s="74" t="s">
        <v>8665</v>
      </c>
      <c r="D2552" s="75">
        <v>41347</v>
      </c>
      <c r="E2552" s="68" t="s">
        <v>3741</v>
      </c>
      <c r="F2552" s="68" t="s">
        <v>642</v>
      </c>
      <c r="G2552" s="68" t="s">
        <v>8666</v>
      </c>
      <c r="H2552" s="69"/>
      <c r="I2552" s="69" t="s">
        <v>8667</v>
      </c>
      <c r="J2552" s="81"/>
      <c r="K2552" s="71" t="s">
        <v>25</v>
      </c>
      <c r="L2552" s="69" t="s">
        <v>120</v>
      </c>
      <c r="M2552" s="69" t="s">
        <v>141</v>
      </c>
      <c r="N2552" s="69" t="e" vm="1">
        <v>#VALUE!</v>
      </c>
      <c r="O2552" s="82">
        <v>41347</v>
      </c>
      <c r="P2552" s="69" t="s">
        <v>4567</v>
      </c>
      <c r="Q2552" s="69"/>
      <c r="R2552" s="69"/>
      <c r="S2552" s="146"/>
      <c r="T2552" s="68" t="s">
        <v>155</v>
      </c>
      <c r="U2552" s="87"/>
      <c r="V2552" s="183">
        <v>41368</v>
      </c>
      <c r="W2552" s="73"/>
      <c r="X2552" s="216"/>
      <c r="Y2552" s="73" t="str">
        <f>IF(SUM(W2552:W2552)&gt;0,X2552/SUM(W2552:W2552)*1000000,"N/A")</f>
        <v>N/A</v>
      </c>
      <c r="Z2552" s="70"/>
      <c r="AA2552" s="70"/>
      <c r="AB2552" s="223"/>
      <c r="AC2552" s="75"/>
      <c r="AD2552" s="332"/>
      <c r="AE2552" s="68"/>
      <c r="AF2552" s="148"/>
      <c r="AG2552" s="182">
        <f>YEAR(D2552)</f>
        <v>2013</v>
      </c>
      <c r="AH2552" s="86" t="str">
        <f>+IF(AE2552=$AJ$22,MONTH(T2552),"")</f>
        <v/>
      </c>
      <c r="AI2552" s="86" t="str">
        <f>+IF(AF2552=$AJ$22,MONTH(U2552),"")</f>
        <v/>
      </c>
      <c r="AJ2552" s="86" t="str">
        <f>+IF(AG2552=$AJ$22,MONTH(V2552),"")</f>
        <v/>
      </c>
      <c r="AK2552" s="86" t="str">
        <f>+IF(AG2552=$AK$22,MONTH(V2552),"")</f>
        <v/>
      </c>
      <c r="AL2552" s="86" t="str">
        <f>+IF(AG2552=$AL$22,MONTH(V2552),"")</f>
        <v/>
      </c>
      <c r="AM2552" s="86" t="str">
        <f>+IF($AG2552=$AM$22,MONTH($D2552),"")</f>
        <v/>
      </c>
      <c r="AN2552" s="89" t="str">
        <f>+IF($AG2552=AN$22,MONTH($D2552),"")</f>
        <v/>
      </c>
      <c r="AO2552" s="184" t="str">
        <f>+IF($AG2552=AO$22,MONTH($D2552),"")</f>
        <v/>
      </c>
      <c r="AP2552" s="184" t="str">
        <f>+IF($AG2552=AP$22,MONTH($D2552),"")</f>
        <v/>
      </c>
      <c r="AQ2552" s="184" t="str">
        <f>+IF($AG2552=AQ$22,MONTH($D2552),"")</f>
        <v/>
      </c>
      <c r="AR2552" s="184" t="str">
        <f>+IF($AG2552=AR$22,MONTH($D2552),"")</f>
        <v/>
      </c>
      <c r="AS2552" s="184" t="str">
        <f>+IF($AG2552=AS$22,MONTH($D2552),"")</f>
        <v/>
      </c>
      <c r="AT2552" s="86" t="str">
        <f>+IF($AG2552=AT$22,MONTH($D2552),"")</f>
        <v/>
      </c>
      <c r="AU2552" s="86">
        <f>+IF($AG2552=AU$22,MONTH($D2552),"")</f>
        <v>3</v>
      </c>
      <c r="AV2552" s="86" t="str">
        <f>+IF($AG2552=AV$22,MONTH($D2552),"")</f>
        <v/>
      </c>
      <c r="AW2552" s="86" t="str">
        <f>+IF($AG2552=AW$22,MONTH($D2552),"")</f>
        <v/>
      </c>
      <c r="AX2552" s="86" t="str">
        <f>+IF($AG2552=AX$22,MONTH($D2552),"")</f>
        <v/>
      </c>
      <c r="AY2552" s="89"/>
      <c r="AZ2552" s="89"/>
      <c r="BA2552" s="89"/>
      <c r="BB2552" s="89"/>
      <c r="BC2552" s="89"/>
      <c r="BD2552" s="89"/>
      <c r="BE2552" s="89"/>
      <c r="BF2552" s="89"/>
      <c r="BG2552" s="89"/>
      <c r="BH2552" s="89"/>
      <c r="BI2552" s="89"/>
      <c r="BJ2552" s="182"/>
      <c r="BK2552" s="182"/>
      <c r="BL2552" s="182"/>
      <c r="BM2552" s="182"/>
      <c r="BN2552" s="182"/>
      <c r="BO2552" s="182"/>
      <c r="BP2552" s="182"/>
    </row>
    <row r="2553" spans="1:68" s="51" customFormat="1" ht="19.5" hidden="1" customHeight="1">
      <c r="A2553" s="204">
        <f>+IFERROR(VALUE(MID(AB2553,4,4)),"")</f>
        <v>72</v>
      </c>
      <c r="B2553" s="204">
        <f>VALUE(RIGHT(C2553,LEN(C2553)-2))</f>
        <v>178</v>
      </c>
      <c r="C2553" s="74" t="s">
        <v>8668</v>
      </c>
      <c r="D2553" s="75">
        <v>41348</v>
      </c>
      <c r="E2553" s="70" t="s">
        <v>332</v>
      </c>
      <c r="F2553" s="70" t="s">
        <v>332</v>
      </c>
      <c r="G2553" s="68" t="s">
        <v>7970</v>
      </c>
      <c r="H2553" s="59" t="s">
        <v>7971</v>
      </c>
      <c r="I2553" s="69" t="s">
        <v>8669</v>
      </c>
      <c r="J2553" s="81"/>
      <c r="K2553" s="71" t="s">
        <v>13</v>
      </c>
      <c r="L2553" s="69" t="s">
        <v>120</v>
      </c>
      <c r="M2553" s="69" t="s">
        <v>141</v>
      </c>
      <c r="N2553" s="69" t="e" vm="1">
        <v>#VALUE!</v>
      </c>
      <c r="O2553" s="82">
        <v>41348</v>
      </c>
      <c r="P2553" s="69" t="s">
        <v>4567</v>
      </c>
      <c r="Q2553" s="69"/>
      <c r="R2553" s="69"/>
      <c r="S2553" s="146"/>
      <c r="T2553" s="68" t="s">
        <v>3</v>
      </c>
      <c r="U2553" s="87"/>
      <c r="V2553" s="183">
        <v>41368</v>
      </c>
      <c r="W2553" s="73">
        <v>1756</v>
      </c>
      <c r="X2553" s="216">
        <f>(2732)*22800/1000000</f>
        <v>62.2896</v>
      </c>
      <c r="Y2553" s="73">
        <f>IF(SUM(W2553:W2553)&gt;0,X2553/SUM(W2553:W2553)*1000000,"N/A")</f>
        <v>35472.437357630981</v>
      </c>
      <c r="Z2553" s="70"/>
      <c r="AA2553" s="70"/>
      <c r="AB2553" s="223" t="s">
        <v>8618</v>
      </c>
      <c r="AC2553" s="75"/>
      <c r="AD2553" s="332"/>
      <c r="AE2553" s="68"/>
      <c r="AF2553" s="148"/>
      <c r="AG2553" s="182">
        <f>YEAR(D2553)</f>
        <v>2013</v>
      </c>
      <c r="AH2553" s="86" t="str">
        <f>+IF(AE2553=$AJ$22,MONTH(T2553),"")</f>
        <v/>
      </c>
      <c r="AI2553" s="86" t="str">
        <f>+IF(AF2553=$AJ$22,MONTH(U2553),"")</f>
        <v/>
      </c>
      <c r="AJ2553" s="86" t="str">
        <f>+IF(AG2553=$AJ$22,MONTH(V2553),"")</f>
        <v/>
      </c>
      <c r="AK2553" s="86" t="str">
        <f>+IF(AG2553=$AK$22,MONTH(V2553),"")</f>
        <v/>
      </c>
      <c r="AL2553" s="86" t="str">
        <f>+IF(AG2553=$AL$22,MONTH(V2553),"")</f>
        <v/>
      </c>
      <c r="AM2553" s="86" t="str">
        <f>+IF($AG2553=$AM$22,MONTH($D2553),"")</f>
        <v/>
      </c>
      <c r="AN2553" s="89" t="str">
        <f>+IF($AG2553=AN$22,MONTH($D2553),"")</f>
        <v/>
      </c>
      <c r="AO2553" s="86" t="str">
        <f>+IF($AG2553=AO$22,MONTH($D2553),"")</f>
        <v/>
      </c>
      <c r="AP2553" s="86" t="str">
        <f>+IF($AG2553=AP$22,MONTH($D2553),"")</f>
        <v/>
      </c>
      <c r="AQ2553" s="86" t="str">
        <f>+IF($AG2553=AQ$22,MONTH($D2553),"")</f>
        <v/>
      </c>
      <c r="AR2553" s="86" t="str">
        <f>+IF($AG2553=AR$22,MONTH($D2553),"")</f>
        <v/>
      </c>
      <c r="AS2553" s="86" t="str">
        <f>+IF($AG2553=AS$22,MONTH($D2553),"")</f>
        <v/>
      </c>
      <c r="AT2553" s="86" t="str">
        <f>+IF($AG2553=AT$22,MONTH($D2553),"")</f>
        <v/>
      </c>
      <c r="AU2553" s="86">
        <f>+IF($AG2553=AU$22,MONTH($D2553),"")</f>
        <v>3</v>
      </c>
      <c r="AV2553" s="86" t="str">
        <f>+IF($AG2553=AV$22,MONTH($D2553),"")</f>
        <v/>
      </c>
      <c r="AW2553" s="86" t="str">
        <f>+IF($AG2553=AW$22,MONTH($D2553),"")</f>
        <v/>
      </c>
      <c r="AX2553" s="86" t="str">
        <f>+IF($AG2553=AX$22,MONTH($D2553),"")</f>
        <v/>
      </c>
      <c r="AY2553" s="89"/>
      <c r="AZ2553" s="89"/>
      <c r="BA2553" s="89"/>
      <c r="BB2553" s="89"/>
      <c r="BC2553" s="89"/>
      <c r="BD2553" s="89"/>
      <c r="BE2553" s="89"/>
      <c r="BF2553" s="89"/>
      <c r="BG2553" s="89"/>
      <c r="BH2553" s="89"/>
      <c r="BI2553" s="89"/>
      <c r="BJ2553" s="182"/>
      <c r="BK2553" s="182"/>
      <c r="BL2553" s="182"/>
      <c r="BM2553" s="182"/>
      <c r="BN2553" s="182"/>
      <c r="BO2553" s="182"/>
      <c r="BP2553" s="182"/>
    </row>
    <row r="2554" spans="1:68" s="51" customFormat="1" ht="19.5" hidden="1" customHeight="1">
      <c r="A2554" s="204" t="str">
        <f>+IFERROR(VALUE(MID(AB2554,4,4)),"")</f>
        <v/>
      </c>
      <c r="B2554" s="204">
        <f>VALUE(RIGHT(C2554,LEN(C2554)-2))</f>
        <v>177</v>
      </c>
      <c r="C2554" s="74" t="s">
        <v>8670</v>
      </c>
      <c r="D2554" s="75">
        <v>41344</v>
      </c>
      <c r="E2554" s="68" t="s">
        <v>107</v>
      </c>
      <c r="F2554" s="68" t="s">
        <v>88</v>
      </c>
      <c r="G2554" s="68"/>
      <c r="H2554" s="69"/>
      <c r="I2554" s="69" t="s">
        <v>8671</v>
      </c>
      <c r="J2554" s="81"/>
      <c r="K2554" s="71" t="s">
        <v>11</v>
      </c>
      <c r="L2554" s="69" t="s">
        <v>120</v>
      </c>
      <c r="M2554" s="69" t="s">
        <v>141</v>
      </c>
      <c r="N2554" s="69" t="e" vm="1">
        <v>#VALUE!</v>
      </c>
      <c r="O2554" s="82">
        <v>41344</v>
      </c>
      <c r="P2554" s="69" t="s">
        <v>402</v>
      </c>
      <c r="Q2554" s="69"/>
      <c r="R2554" s="69"/>
      <c r="S2554" s="146"/>
      <c r="T2554" s="68" t="s">
        <v>165</v>
      </c>
      <c r="U2554" s="87"/>
      <c r="V2554" s="183">
        <v>41368</v>
      </c>
      <c r="W2554" s="73">
        <f>2155+2447</f>
        <v>4602</v>
      </c>
      <c r="X2554" s="216">
        <f>8363*22800/1000000</f>
        <v>190.6764</v>
      </c>
      <c r="Y2554" s="73">
        <f>IF(SUM(W2554:W2554)&gt;0,X2554/SUM(W2554:W2554)*1000000,"N/A")</f>
        <v>41433.376792698822</v>
      </c>
      <c r="Z2554" s="70"/>
      <c r="AA2554" s="70"/>
      <c r="AB2554" s="223"/>
      <c r="AC2554" s="75"/>
      <c r="AD2554" s="332"/>
      <c r="AE2554" s="68"/>
      <c r="AF2554" s="148"/>
      <c r="AG2554" s="182">
        <f>YEAR(D2554)</f>
        <v>2013</v>
      </c>
      <c r="AH2554" s="86" t="str">
        <f>+IF(AE2554=$AJ$22,MONTH(T2554),"")</f>
        <v/>
      </c>
      <c r="AI2554" s="86" t="str">
        <f>+IF(AF2554=$AJ$22,MONTH(U2554),"")</f>
        <v/>
      </c>
      <c r="AJ2554" s="86" t="str">
        <f>+IF(AG2554=$AJ$22,MONTH(V2554),"")</f>
        <v/>
      </c>
      <c r="AK2554" s="86" t="str">
        <f>+IF(AG2554=$AK$22,MONTH(V2554),"")</f>
        <v/>
      </c>
      <c r="AL2554" s="86" t="str">
        <f>+IF(AG2554=$AL$22,MONTH(V2554),"")</f>
        <v/>
      </c>
      <c r="AM2554" s="86" t="str">
        <f>+IF($AG2554=$AM$22,MONTH($D2554),"")</f>
        <v/>
      </c>
      <c r="AN2554" s="89" t="str">
        <f>+IF($AG2554=AN$22,MONTH($D2554),"")</f>
        <v/>
      </c>
      <c r="AO2554" s="184" t="str">
        <f>+IF($AG2554=AO$22,MONTH($D2554),"")</f>
        <v/>
      </c>
      <c r="AP2554" s="184" t="str">
        <f>+IF($AG2554=AP$22,MONTH($D2554),"")</f>
        <v/>
      </c>
      <c r="AQ2554" s="184" t="str">
        <f>+IF($AG2554=AQ$22,MONTH($D2554),"")</f>
        <v/>
      </c>
      <c r="AR2554" s="184" t="str">
        <f>+IF($AG2554=AR$22,MONTH($D2554),"")</f>
        <v/>
      </c>
      <c r="AS2554" s="184" t="str">
        <f>+IF($AG2554=AS$22,MONTH($D2554),"")</f>
        <v/>
      </c>
      <c r="AT2554" s="86" t="str">
        <f>+IF($AG2554=AT$22,MONTH($D2554),"")</f>
        <v/>
      </c>
      <c r="AU2554" s="86">
        <f>+IF($AG2554=AU$22,MONTH($D2554),"")</f>
        <v>3</v>
      </c>
      <c r="AV2554" s="86" t="str">
        <f>+IF($AG2554=AV$22,MONTH($D2554),"")</f>
        <v/>
      </c>
      <c r="AW2554" s="86" t="str">
        <f>+IF($AG2554=AW$22,MONTH($D2554),"")</f>
        <v/>
      </c>
      <c r="AX2554" s="86" t="str">
        <f>+IF($AG2554=AX$22,MONTH($D2554),"")</f>
        <v/>
      </c>
      <c r="AY2554" s="89"/>
      <c r="AZ2554" s="89"/>
      <c r="BA2554" s="89"/>
      <c r="BB2554" s="89"/>
      <c r="BC2554" s="89"/>
      <c r="BD2554" s="89"/>
      <c r="BE2554" s="89"/>
      <c r="BF2554" s="89"/>
      <c r="BG2554" s="89"/>
      <c r="BH2554" s="89"/>
      <c r="BI2554" s="89"/>
      <c r="BJ2554" s="182"/>
      <c r="BK2554" s="182"/>
      <c r="BL2554" s="182"/>
      <c r="BM2554" s="182"/>
      <c r="BN2554" s="182"/>
      <c r="BO2554" s="182"/>
      <c r="BP2554" s="182"/>
    </row>
    <row r="2555" spans="1:68" s="51" customFormat="1" ht="19.5" hidden="1" customHeight="1">
      <c r="A2555" s="204">
        <f>+IFERROR(VALUE(MID(AB2555,4,4)),"")</f>
        <v>73</v>
      </c>
      <c r="B2555" s="204">
        <f>VALUE(RIGHT(C2555,LEN(C2555)-2))</f>
        <v>176</v>
      </c>
      <c r="C2555" s="74" t="s">
        <v>8672</v>
      </c>
      <c r="D2555" s="75">
        <v>41339</v>
      </c>
      <c r="E2555" s="68" t="s">
        <v>7</v>
      </c>
      <c r="F2555" s="68" t="s">
        <v>7</v>
      </c>
      <c r="G2555" s="68" t="s">
        <v>8673</v>
      </c>
      <c r="H2555" s="69"/>
      <c r="I2555" s="69" t="s">
        <v>8674</v>
      </c>
      <c r="J2555" s="81"/>
      <c r="K2555" s="71" t="s">
        <v>8</v>
      </c>
      <c r="L2555" s="69" t="s">
        <v>120</v>
      </c>
      <c r="M2555" s="69" t="s">
        <v>141</v>
      </c>
      <c r="N2555" s="69" t="e" vm="1">
        <v>#VALUE!</v>
      </c>
      <c r="O2555" s="82">
        <v>41340</v>
      </c>
      <c r="P2555" s="69" t="s">
        <v>4567</v>
      </c>
      <c r="Q2555" s="69"/>
      <c r="R2555" s="69"/>
      <c r="S2555" s="146"/>
      <c r="T2555" s="68" t="s">
        <v>3</v>
      </c>
      <c r="U2555" s="87"/>
      <c r="V2555" s="183">
        <v>41368</v>
      </c>
      <c r="W2555" s="73">
        <v>22</v>
      </c>
      <c r="X2555" s="216">
        <f>37*22800/1000000</f>
        <v>0.84360000000000002</v>
      </c>
      <c r="Y2555" s="73">
        <f>IF(SUM(W2555:W2555)&gt;0,X2555/SUM(W2555:W2555)*1000000,"N/A")</f>
        <v>38345.454545454544</v>
      </c>
      <c r="Z2555" s="70"/>
      <c r="AA2555" s="70"/>
      <c r="AB2555" s="223" t="s">
        <v>8675</v>
      </c>
      <c r="AC2555" s="75"/>
      <c r="AD2555" s="332"/>
      <c r="AE2555" s="68"/>
      <c r="AF2555" s="148"/>
      <c r="AG2555" s="182">
        <f>YEAR(D2555)</f>
        <v>2013</v>
      </c>
      <c r="AH2555" s="86" t="str">
        <f>+IF(AE2555=$AJ$22,MONTH(T2555),"")</f>
        <v/>
      </c>
      <c r="AI2555" s="86" t="str">
        <f>+IF(AF2555=$AJ$22,MONTH(U2555),"")</f>
        <v/>
      </c>
      <c r="AJ2555" s="86" t="str">
        <f>+IF(AG2555=$AJ$22,MONTH(V2555),"")</f>
        <v/>
      </c>
      <c r="AK2555" s="86" t="str">
        <f>+IF(AG2555=$AK$22,MONTH(V2555),"")</f>
        <v/>
      </c>
      <c r="AL2555" s="86" t="str">
        <f>+IF(AG2555=$AL$22,MONTH(V2555),"")</f>
        <v/>
      </c>
      <c r="AM2555" s="86" t="str">
        <f>+IF($AG2555=$AM$22,MONTH($D2555),"")</f>
        <v/>
      </c>
      <c r="AN2555" s="89" t="str">
        <f>+IF($AG2555=AN$22,MONTH($D2555),"")</f>
        <v/>
      </c>
      <c r="AO2555" s="86" t="str">
        <f>+IF($AG2555=AO$22,MONTH($D2555),"")</f>
        <v/>
      </c>
      <c r="AP2555" s="86" t="str">
        <f>+IF($AG2555=AP$22,MONTH($D2555),"")</f>
        <v/>
      </c>
      <c r="AQ2555" s="86" t="str">
        <f>+IF($AG2555=AQ$22,MONTH($D2555),"")</f>
        <v/>
      </c>
      <c r="AR2555" s="86" t="str">
        <f>+IF($AG2555=AR$22,MONTH($D2555),"")</f>
        <v/>
      </c>
      <c r="AS2555" s="86" t="str">
        <f>+IF($AG2555=AS$22,MONTH($D2555),"")</f>
        <v/>
      </c>
      <c r="AT2555" s="86" t="str">
        <f>+IF($AG2555=AT$22,MONTH($D2555),"")</f>
        <v/>
      </c>
      <c r="AU2555" s="86">
        <f>+IF($AG2555=AU$22,MONTH($D2555),"")</f>
        <v>3</v>
      </c>
      <c r="AV2555" s="86" t="str">
        <f>+IF($AG2555=AV$22,MONTH($D2555),"")</f>
        <v/>
      </c>
      <c r="AW2555" s="86" t="str">
        <f>+IF($AG2555=AW$22,MONTH($D2555),"")</f>
        <v/>
      </c>
      <c r="AX2555" s="86" t="str">
        <f>+IF($AG2555=AX$22,MONTH($D2555),"")</f>
        <v/>
      </c>
      <c r="AY2555" s="89"/>
      <c r="AZ2555" s="89"/>
      <c r="BA2555" s="89"/>
      <c r="BB2555" s="89"/>
      <c r="BC2555" s="89"/>
      <c r="BD2555" s="89"/>
      <c r="BE2555" s="89"/>
      <c r="BF2555" s="89"/>
      <c r="BG2555" s="89"/>
      <c r="BH2555" s="89"/>
      <c r="BI2555" s="89"/>
      <c r="BJ2555" s="182"/>
      <c r="BK2555" s="182"/>
      <c r="BL2555" s="182"/>
      <c r="BM2555" s="182"/>
      <c r="BN2555" s="182"/>
      <c r="BO2555" s="182"/>
      <c r="BP2555" s="182"/>
    </row>
    <row r="2556" spans="1:68" s="51" customFormat="1" ht="19.5" hidden="1" customHeight="1">
      <c r="A2556" s="204" t="str">
        <f>+IFERROR(VALUE(MID(AB2556,4,4)),"")</f>
        <v/>
      </c>
      <c r="B2556" s="204">
        <f>VALUE(RIGHT(C2556,LEN(C2556)-2))</f>
        <v>175</v>
      </c>
      <c r="C2556" s="74" t="s">
        <v>8676</v>
      </c>
      <c r="D2556" s="75">
        <v>41338</v>
      </c>
      <c r="E2556" s="68" t="s">
        <v>1259</v>
      </c>
      <c r="F2556" s="68" t="s">
        <v>8677</v>
      </c>
      <c r="G2556" s="68" t="s">
        <v>8678</v>
      </c>
      <c r="H2556" s="69"/>
      <c r="I2556" s="69" t="s">
        <v>8679</v>
      </c>
      <c r="J2556" s="81"/>
      <c r="K2556" s="71" t="s">
        <v>28</v>
      </c>
      <c r="L2556" s="69" t="s">
        <v>120</v>
      </c>
      <c r="M2556" s="69" t="s">
        <v>141</v>
      </c>
      <c r="N2556" s="69" t="e" vm="1">
        <v>#VALUE!</v>
      </c>
      <c r="O2556" s="82">
        <v>41368</v>
      </c>
      <c r="P2556" s="69" t="s">
        <v>4567</v>
      </c>
      <c r="Q2556" s="69"/>
      <c r="R2556" s="69"/>
      <c r="S2556" s="146"/>
      <c r="T2556" s="68" t="s">
        <v>165</v>
      </c>
      <c r="U2556" s="87"/>
      <c r="V2556" s="183">
        <v>41368</v>
      </c>
      <c r="W2556" s="73">
        <v>10</v>
      </c>
      <c r="X2556" s="216">
        <f>10*3*22800/1000000</f>
        <v>0.68400000000000005</v>
      </c>
      <c r="Y2556" s="73">
        <f>IF(SUM(W2556:W2556)&gt;0,X2556/SUM(W2556:W2556)*1000000,"N/A")</f>
        <v>68400</v>
      </c>
      <c r="Z2556" s="70"/>
      <c r="AA2556" s="70"/>
      <c r="AB2556" s="223"/>
      <c r="AC2556" s="75"/>
      <c r="AD2556" s="332"/>
      <c r="AE2556" s="68"/>
      <c r="AF2556" s="148"/>
      <c r="AG2556" s="182">
        <f>YEAR(D2556)</f>
        <v>2013</v>
      </c>
      <c r="AH2556" s="86" t="str">
        <f>+IF(AE2556=$AJ$22,MONTH(T2556),"")</f>
        <v/>
      </c>
      <c r="AI2556" s="86" t="str">
        <f>+IF(AF2556=$AJ$22,MONTH(U2556),"")</f>
        <v/>
      </c>
      <c r="AJ2556" s="86" t="str">
        <f>+IF(AG2556=$AJ$22,MONTH(V2556),"")</f>
        <v/>
      </c>
      <c r="AK2556" s="86" t="str">
        <f>+IF(AG2556=$AK$22,MONTH(V2556),"")</f>
        <v/>
      </c>
      <c r="AL2556" s="86" t="str">
        <f>+IF(AG2556=$AL$22,MONTH(V2556),"")</f>
        <v/>
      </c>
      <c r="AM2556" s="86" t="str">
        <f>+IF($AG2556=$AM$22,MONTH($D2556),"")</f>
        <v/>
      </c>
      <c r="AN2556" s="89" t="str">
        <f>+IF($AG2556=AN$22,MONTH($D2556),"")</f>
        <v/>
      </c>
      <c r="AO2556" s="184" t="str">
        <f>+IF($AG2556=AO$22,MONTH($D2556),"")</f>
        <v/>
      </c>
      <c r="AP2556" s="184" t="str">
        <f>+IF($AG2556=AP$22,MONTH($D2556),"")</f>
        <v/>
      </c>
      <c r="AQ2556" s="184" t="str">
        <f>+IF($AG2556=AQ$22,MONTH($D2556),"")</f>
        <v/>
      </c>
      <c r="AR2556" s="184" t="str">
        <f>+IF($AG2556=AR$22,MONTH($D2556),"")</f>
        <v/>
      </c>
      <c r="AS2556" s="184" t="str">
        <f>+IF($AG2556=AS$22,MONTH($D2556),"")</f>
        <v/>
      </c>
      <c r="AT2556" s="86" t="str">
        <f>+IF($AG2556=AT$22,MONTH($D2556),"")</f>
        <v/>
      </c>
      <c r="AU2556" s="86">
        <f>+IF($AG2556=AU$22,MONTH($D2556),"")</f>
        <v>3</v>
      </c>
      <c r="AV2556" s="86" t="str">
        <f>+IF($AG2556=AV$22,MONTH($D2556),"")</f>
        <v/>
      </c>
      <c r="AW2556" s="86" t="str">
        <f>+IF($AG2556=AW$22,MONTH($D2556),"")</f>
        <v/>
      </c>
      <c r="AX2556" s="86" t="str">
        <f>+IF($AG2556=AX$22,MONTH($D2556),"")</f>
        <v/>
      </c>
      <c r="AY2556" s="89"/>
      <c r="AZ2556" s="89"/>
      <c r="BA2556" s="89"/>
      <c r="BB2556" s="89"/>
      <c r="BC2556" s="89"/>
      <c r="BD2556" s="89"/>
      <c r="BE2556" s="89"/>
      <c r="BF2556" s="89"/>
      <c r="BG2556" s="89"/>
      <c r="BH2556" s="89"/>
      <c r="BI2556" s="89"/>
      <c r="BJ2556" s="182"/>
      <c r="BK2556" s="182"/>
      <c r="BL2556" s="182"/>
      <c r="BM2556" s="182"/>
      <c r="BN2556" s="182"/>
      <c r="BO2556" s="182"/>
      <c r="BP2556" s="182"/>
    </row>
    <row r="2557" spans="1:68" s="51" customFormat="1" ht="19.5" hidden="1" customHeight="1">
      <c r="A2557" s="204" t="str">
        <f>+IFERROR(VALUE(MID(AB2557,4,4)),"")</f>
        <v/>
      </c>
      <c r="B2557" s="204">
        <f>VALUE(RIGHT(C2557,LEN(C2557)-2))</f>
        <v>174</v>
      </c>
      <c r="C2557" s="74" t="s">
        <v>8680</v>
      </c>
      <c r="D2557" s="75">
        <v>41338</v>
      </c>
      <c r="E2557" s="68" t="s">
        <v>685</v>
      </c>
      <c r="F2557" s="68" t="s">
        <v>685</v>
      </c>
      <c r="G2557" s="68" t="s">
        <v>4567</v>
      </c>
      <c r="H2557" s="69"/>
      <c r="I2557" s="69" t="s">
        <v>8681</v>
      </c>
      <c r="J2557" s="81"/>
      <c r="K2557" s="71" t="s">
        <v>30</v>
      </c>
      <c r="L2557" s="69" t="s">
        <v>120</v>
      </c>
      <c r="M2557" s="69" t="s">
        <v>141</v>
      </c>
      <c r="N2557" s="69" t="e" vm="1">
        <v>#VALUE!</v>
      </c>
      <c r="O2557" s="82">
        <v>41419</v>
      </c>
      <c r="P2557" s="69" t="s">
        <v>402</v>
      </c>
      <c r="Q2557" s="69"/>
      <c r="R2557" s="69"/>
      <c r="S2557" s="146" t="s">
        <v>8682</v>
      </c>
      <c r="T2557" s="68" t="s">
        <v>165</v>
      </c>
      <c r="U2557" s="87"/>
      <c r="V2557" s="183">
        <v>41478</v>
      </c>
      <c r="W2557" s="73">
        <v>4800</v>
      </c>
      <c r="X2557" s="216">
        <v>150</v>
      </c>
      <c r="Y2557" s="73">
        <f>IF(SUM(W2557:W2557)&gt;0,X2557/SUM(W2557:W2557)*1000000,"N/A")</f>
        <v>31250</v>
      </c>
      <c r="Z2557" s="70"/>
      <c r="AA2557" s="70"/>
      <c r="AB2557" s="223"/>
      <c r="AC2557" s="75"/>
      <c r="AD2557" s="332"/>
      <c r="AE2557" s="68"/>
      <c r="AF2557" s="148"/>
      <c r="AG2557" s="182">
        <f>YEAR(D2557)</f>
        <v>2013</v>
      </c>
      <c r="AH2557" s="86" t="str">
        <f>+IF(AE2557=$AJ$22,MONTH(T2557),"")</f>
        <v/>
      </c>
      <c r="AI2557" s="86" t="str">
        <f>+IF(AF2557=$AJ$22,MONTH(U2557),"")</f>
        <v/>
      </c>
      <c r="AJ2557" s="86" t="str">
        <f>+IF(AG2557=$AJ$22,MONTH(V2557),"")</f>
        <v/>
      </c>
      <c r="AK2557" s="86" t="str">
        <f>+IF(AG2557=$AK$22,MONTH(V2557),"")</f>
        <v/>
      </c>
      <c r="AL2557" s="86" t="str">
        <f>+IF(AG2557=$AL$22,MONTH(V2557),"")</f>
        <v/>
      </c>
      <c r="AM2557" s="86" t="str">
        <f>+IF($AG2557=$AM$22,MONTH($D2557),"")</f>
        <v/>
      </c>
      <c r="AN2557" s="89" t="str">
        <f>+IF($AG2557=AN$22,MONTH($D2557),"")</f>
        <v/>
      </c>
      <c r="AO2557" s="184" t="str">
        <f>+IF($AG2557=AO$22,MONTH($D2557),"")</f>
        <v/>
      </c>
      <c r="AP2557" s="184" t="str">
        <f>+IF($AG2557=AP$22,MONTH($D2557),"")</f>
        <v/>
      </c>
      <c r="AQ2557" s="184" t="str">
        <f>+IF($AG2557=AQ$22,MONTH($D2557),"")</f>
        <v/>
      </c>
      <c r="AR2557" s="184" t="str">
        <f>+IF($AG2557=AR$22,MONTH($D2557),"")</f>
        <v/>
      </c>
      <c r="AS2557" s="184" t="str">
        <f>+IF($AG2557=AS$22,MONTH($D2557),"")</f>
        <v/>
      </c>
      <c r="AT2557" s="86" t="str">
        <f>+IF($AG2557=AT$22,MONTH($D2557),"")</f>
        <v/>
      </c>
      <c r="AU2557" s="86">
        <f>+IF($AG2557=AU$22,MONTH($D2557),"")</f>
        <v>3</v>
      </c>
      <c r="AV2557" s="86" t="str">
        <f>+IF($AG2557=AV$22,MONTH($D2557),"")</f>
        <v/>
      </c>
      <c r="AW2557" s="86" t="str">
        <f>+IF($AG2557=AW$22,MONTH($D2557),"")</f>
        <v/>
      </c>
      <c r="AX2557" s="86" t="str">
        <f>+IF($AG2557=AX$22,MONTH($D2557),"")</f>
        <v/>
      </c>
      <c r="AY2557" s="89"/>
      <c r="AZ2557" s="89"/>
      <c r="BA2557" s="89"/>
      <c r="BB2557" s="89"/>
      <c r="BC2557" s="89"/>
      <c r="BD2557" s="89"/>
      <c r="BE2557" s="89"/>
      <c r="BF2557" s="89"/>
      <c r="BG2557" s="89"/>
      <c r="BH2557" s="89"/>
      <c r="BI2557" s="89"/>
      <c r="BJ2557" s="182"/>
      <c r="BK2557" s="182"/>
      <c r="BL2557" s="182"/>
      <c r="BM2557" s="182"/>
      <c r="BN2557" s="182"/>
      <c r="BO2557" s="182"/>
      <c r="BP2557" s="182"/>
    </row>
    <row r="2558" spans="1:68" s="51" customFormat="1" ht="19.5" hidden="1" customHeight="1">
      <c r="A2558" s="204" t="str">
        <f>+IFERROR(VALUE(MID(AB2558,4,4)),"")</f>
        <v/>
      </c>
      <c r="B2558" s="204">
        <f>VALUE(RIGHT(C2558,LEN(C2558)-2))</f>
        <v>173</v>
      </c>
      <c r="C2558" s="74" t="s">
        <v>8683</v>
      </c>
      <c r="D2558" s="75">
        <v>41344</v>
      </c>
      <c r="E2558" s="68" t="s">
        <v>5662</v>
      </c>
      <c r="F2558" s="70" t="s">
        <v>848</v>
      </c>
      <c r="G2558" s="68" t="s">
        <v>7892</v>
      </c>
      <c r="H2558" s="59" t="s">
        <v>7971</v>
      </c>
      <c r="I2558" s="69" t="s">
        <v>8684</v>
      </c>
      <c r="J2558" s="81"/>
      <c r="K2558" s="71" t="s">
        <v>11</v>
      </c>
      <c r="L2558" s="69" t="s">
        <v>120</v>
      </c>
      <c r="M2558" s="69" t="s">
        <v>141</v>
      </c>
      <c r="N2558" s="69" t="e" vm="1">
        <v>#VALUE!</v>
      </c>
      <c r="O2558" s="82">
        <v>41368</v>
      </c>
      <c r="P2558" s="69" t="s">
        <v>402</v>
      </c>
      <c r="Q2558" s="69"/>
      <c r="R2558" s="69"/>
      <c r="S2558" s="146" t="s">
        <v>8685</v>
      </c>
      <c r="T2558" s="68" t="s">
        <v>165</v>
      </c>
      <c r="U2558" s="87"/>
      <c r="V2558" s="183">
        <v>41368</v>
      </c>
      <c r="W2558" s="73">
        <v>1342</v>
      </c>
      <c r="X2558" s="216">
        <f>2276*22800/1000000</f>
        <v>51.892800000000001</v>
      </c>
      <c r="Y2558" s="73">
        <f>IF(SUM(W2558:W2558)&gt;0,X2558/SUM(W2558:W2558)*1000000,"N/A")</f>
        <v>38668.256333830104</v>
      </c>
      <c r="Z2558" s="70"/>
      <c r="AA2558" s="70"/>
      <c r="AB2558" s="223"/>
      <c r="AC2558" s="75"/>
      <c r="AD2558" s="332"/>
      <c r="AE2558" s="68"/>
      <c r="AF2558" s="148"/>
      <c r="AG2558" s="182">
        <f>YEAR(D2558)</f>
        <v>2013</v>
      </c>
      <c r="AH2558" s="86" t="str">
        <f>+IF(AE2558=$AJ$22,MONTH(T2558),"")</f>
        <v/>
      </c>
      <c r="AI2558" s="86" t="str">
        <f>+IF(AF2558=$AJ$22,MONTH(U2558),"")</f>
        <v/>
      </c>
      <c r="AJ2558" s="86" t="str">
        <f>+IF(AG2558=$AJ$22,MONTH(V2558),"")</f>
        <v/>
      </c>
      <c r="AK2558" s="86" t="str">
        <f>+IF(AG2558=$AK$22,MONTH(V2558),"")</f>
        <v/>
      </c>
      <c r="AL2558" s="86" t="str">
        <f>+IF(AG2558=$AL$22,MONTH(V2558),"")</f>
        <v/>
      </c>
      <c r="AM2558" s="86" t="str">
        <f>+IF($AG2558=$AM$22,MONTH($D2558),"")</f>
        <v/>
      </c>
      <c r="AN2558" s="89" t="str">
        <f>+IF($AG2558=AN$22,MONTH($D2558),"")</f>
        <v/>
      </c>
      <c r="AO2558" s="184" t="str">
        <f>+IF($AG2558=AO$22,MONTH($D2558),"")</f>
        <v/>
      </c>
      <c r="AP2558" s="184" t="str">
        <f>+IF($AG2558=AP$22,MONTH($D2558),"")</f>
        <v/>
      </c>
      <c r="AQ2558" s="184" t="str">
        <f>+IF($AG2558=AQ$22,MONTH($D2558),"")</f>
        <v/>
      </c>
      <c r="AR2558" s="184" t="str">
        <f>+IF($AG2558=AR$22,MONTH($D2558),"")</f>
        <v/>
      </c>
      <c r="AS2558" s="184" t="str">
        <f>+IF($AG2558=AS$22,MONTH($D2558),"")</f>
        <v/>
      </c>
      <c r="AT2558" s="86" t="str">
        <f>+IF($AG2558=AT$22,MONTH($D2558),"")</f>
        <v/>
      </c>
      <c r="AU2558" s="86">
        <f>+IF($AG2558=AU$22,MONTH($D2558),"")</f>
        <v>3</v>
      </c>
      <c r="AV2558" s="86" t="str">
        <f>+IF($AG2558=AV$22,MONTH($D2558),"")</f>
        <v/>
      </c>
      <c r="AW2558" s="86" t="str">
        <f>+IF($AG2558=AW$22,MONTH($D2558),"")</f>
        <v/>
      </c>
      <c r="AX2558" s="86" t="str">
        <f>+IF($AG2558=AX$22,MONTH($D2558),"")</f>
        <v/>
      </c>
      <c r="AY2558" s="89"/>
      <c r="AZ2558" s="89"/>
      <c r="BA2558" s="89"/>
      <c r="BB2558" s="89"/>
      <c r="BC2558" s="89"/>
      <c r="BD2558" s="89"/>
      <c r="BE2558" s="89"/>
      <c r="BF2558" s="89"/>
      <c r="BG2558" s="89"/>
      <c r="BH2558" s="89"/>
      <c r="BI2558" s="89"/>
      <c r="BJ2558" s="182"/>
      <c r="BK2558" s="182"/>
      <c r="BL2558" s="182"/>
      <c r="BM2558" s="182"/>
      <c r="BN2558" s="182"/>
      <c r="BO2558" s="182"/>
      <c r="BP2558" s="182"/>
    </row>
    <row r="2559" spans="1:68" s="51" customFormat="1" ht="19.5" hidden="1" customHeight="1">
      <c r="A2559" s="204" t="str">
        <f>+IFERROR(VALUE(MID(AB2559,4,4)),"")</f>
        <v/>
      </c>
      <c r="B2559" s="204">
        <f>VALUE(RIGHT(C2559,LEN(C2559)-2))</f>
        <v>172</v>
      </c>
      <c r="C2559" s="74" t="s">
        <v>8686</v>
      </c>
      <c r="D2559" s="75">
        <v>41345</v>
      </c>
      <c r="E2559" s="70" t="s">
        <v>1321</v>
      </c>
      <c r="F2559" s="68" t="s">
        <v>8687</v>
      </c>
      <c r="G2559" s="68" t="s">
        <v>1322</v>
      </c>
      <c r="H2559" s="69"/>
      <c r="I2559" s="69" t="s">
        <v>8688</v>
      </c>
      <c r="J2559" s="81"/>
      <c r="K2559" s="71" t="s">
        <v>12</v>
      </c>
      <c r="L2559" s="69" t="s">
        <v>120</v>
      </c>
      <c r="M2559" s="69" t="s">
        <v>141</v>
      </c>
      <c r="N2559" s="69" t="e" vm="1">
        <v>#VALUE!</v>
      </c>
      <c r="O2559" s="82">
        <v>41353</v>
      </c>
      <c r="P2559" s="69" t="s">
        <v>4567</v>
      </c>
      <c r="Q2559" s="69"/>
      <c r="R2559" s="69"/>
      <c r="S2559" s="146"/>
      <c r="T2559" s="68" t="s">
        <v>165</v>
      </c>
      <c r="U2559" s="87"/>
      <c r="V2559" s="183">
        <v>41368</v>
      </c>
      <c r="W2559" s="73">
        <v>1935</v>
      </c>
      <c r="X2559" s="216">
        <f>179008*470/1000000</f>
        <v>84.133759999999995</v>
      </c>
      <c r="Y2559" s="73">
        <f>IF(SUM(W2559:W2559)&gt;0,X2559/SUM(W2559:W2559)*1000000,"N/A")</f>
        <v>43479.979328165369</v>
      </c>
      <c r="Z2559" s="70"/>
      <c r="AA2559" s="70"/>
      <c r="AB2559" s="223"/>
      <c r="AC2559" s="75"/>
      <c r="AD2559" s="332"/>
      <c r="AE2559" s="68"/>
      <c r="AF2559" s="148"/>
      <c r="AG2559" s="182">
        <f>YEAR(D2559)</f>
        <v>2013</v>
      </c>
      <c r="AH2559" s="86" t="str">
        <f>+IF(AE2559=$AJ$22,MONTH(T2559),"")</f>
        <v/>
      </c>
      <c r="AI2559" s="86" t="str">
        <f>+IF(AF2559=$AJ$22,MONTH(U2559),"")</f>
        <v/>
      </c>
      <c r="AJ2559" s="86" t="str">
        <f>+IF(AG2559=$AJ$22,MONTH(V2559),"")</f>
        <v/>
      </c>
      <c r="AK2559" s="86" t="str">
        <f>+IF(AG2559=$AK$22,MONTH(V2559),"")</f>
        <v/>
      </c>
      <c r="AL2559" s="86" t="str">
        <f>+IF(AG2559=$AL$22,MONTH(V2559),"")</f>
        <v/>
      </c>
      <c r="AM2559" s="86" t="str">
        <f>+IF($AG2559=$AM$22,MONTH($D2559),"")</f>
        <v/>
      </c>
      <c r="AN2559" s="89" t="str">
        <f>+IF($AG2559=AN$22,MONTH($D2559),"")</f>
        <v/>
      </c>
      <c r="AO2559" s="184" t="str">
        <f>+IF($AG2559=AO$22,MONTH($D2559),"")</f>
        <v/>
      </c>
      <c r="AP2559" s="184" t="str">
        <f>+IF($AG2559=AP$22,MONTH($D2559),"")</f>
        <v/>
      </c>
      <c r="AQ2559" s="184" t="str">
        <f>+IF($AG2559=AQ$22,MONTH($D2559),"")</f>
        <v/>
      </c>
      <c r="AR2559" s="184" t="str">
        <f>+IF($AG2559=AR$22,MONTH($D2559),"")</f>
        <v/>
      </c>
      <c r="AS2559" s="184" t="str">
        <f>+IF($AG2559=AS$22,MONTH($D2559),"")</f>
        <v/>
      </c>
      <c r="AT2559" s="86" t="str">
        <f>+IF($AG2559=AT$22,MONTH($D2559),"")</f>
        <v/>
      </c>
      <c r="AU2559" s="86">
        <f>+IF($AG2559=AU$22,MONTH($D2559),"")</f>
        <v>3</v>
      </c>
      <c r="AV2559" s="86" t="str">
        <f>+IF($AG2559=AV$22,MONTH($D2559),"")</f>
        <v/>
      </c>
      <c r="AW2559" s="86" t="str">
        <f>+IF($AG2559=AW$22,MONTH($D2559),"")</f>
        <v/>
      </c>
      <c r="AX2559" s="86" t="str">
        <f>+IF($AG2559=AX$22,MONTH($D2559),"")</f>
        <v/>
      </c>
      <c r="AY2559" s="89"/>
      <c r="AZ2559" s="89"/>
      <c r="BA2559" s="89"/>
      <c r="BB2559" s="89"/>
      <c r="BC2559" s="89"/>
      <c r="BD2559" s="89"/>
      <c r="BE2559" s="89"/>
      <c r="BF2559" s="89"/>
      <c r="BG2559" s="89"/>
      <c r="BH2559" s="89"/>
      <c r="BI2559" s="89"/>
      <c r="BJ2559" s="182"/>
      <c r="BK2559" s="182"/>
      <c r="BL2559" s="182"/>
      <c r="BM2559" s="182"/>
      <c r="BN2559" s="182"/>
      <c r="BO2559" s="182"/>
      <c r="BP2559" s="182"/>
    </row>
    <row r="2560" spans="1:68" s="51" customFormat="1" ht="19.5" hidden="1" customHeight="1">
      <c r="A2560" s="204">
        <f>+IFERROR(VALUE(MID(AB2560,4,4)),"")</f>
        <v>77</v>
      </c>
      <c r="B2560" s="204">
        <f>VALUE(RIGHT(C2560,LEN(C2560)-2))</f>
        <v>171</v>
      </c>
      <c r="C2560" s="74" t="s">
        <v>8689</v>
      </c>
      <c r="D2560" s="75">
        <v>41337</v>
      </c>
      <c r="E2560" s="68" t="s">
        <v>86</v>
      </c>
      <c r="F2560" s="70" t="s">
        <v>479</v>
      </c>
      <c r="G2560" s="68" t="s">
        <v>8690</v>
      </c>
      <c r="H2560" s="69"/>
      <c r="I2560" s="69" t="s">
        <v>8691</v>
      </c>
      <c r="J2560" s="81"/>
      <c r="K2560" s="71" t="s">
        <v>16</v>
      </c>
      <c r="L2560" s="69" t="s">
        <v>120</v>
      </c>
      <c r="M2560" s="69" t="s">
        <v>141</v>
      </c>
      <c r="N2560" s="69" t="e" vm="1">
        <v>#VALUE!</v>
      </c>
      <c r="O2560" s="82">
        <v>41367</v>
      </c>
      <c r="P2560" s="69" t="s">
        <v>402</v>
      </c>
      <c r="Q2560" s="69"/>
      <c r="R2560" s="69"/>
      <c r="S2560" s="146"/>
      <c r="T2560" s="68" t="s">
        <v>3</v>
      </c>
      <c r="U2560" s="87"/>
      <c r="V2560" s="183">
        <v>41368</v>
      </c>
      <c r="W2560" s="73">
        <v>432</v>
      </c>
      <c r="X2560" s="216">
        <f>90000*230/1000000</f>
        <v>20.7</v>
      </c>
      <c r="Y2560" s="73">
        <f>IF(SUM(W2560:W2560)&gt;0,X2560/SUM(W2560:W2560)*1000000,"N/A")</f>
        <v>47916.666666666664</v>
      </c>
      <c r="Z2560" s="70"/>
      <c r="AA2560" s="70"/>
      <c r="AB2560" s="223" t="s">
        <v>8692</v>
      </c>
      <c r="AC2560" s="75"/>
      <c r="AD2560" s="332"/>
      <c r="AE2560" s="68"/>
      <c r="AF2560" s="148"/>
      <c r="AG2560" s="182">
        <f>YEAR(D2560)</f>
        <v>2013</v>
      </c>
      <c r="AH2560" s="86" t="str">
        <f>+IF(AE2560=$AJ$22,MONTH(T2560),"")</f>
        <v/>
      </c>
      <c r="AI2560" s="86" t="str">
        <f>+IF(AF2560=$AJ$22,MONTH(U2560),"")</f>
        <v/>
      </c>
      <c r="AJ2560" s="86" t="str">
        <f>+IF(AG2560=$AJ$22,MONTH(V2560),"")</f>
        <v/>
      </c>
      <c r="AK2560" s="86" t="str">
        <f>+IF(AG2560=$AK$22,MONTH(V2560),"")</f>
        <v/>
      </c>
      <c r="AL2560" s="86" t="str">
        <f>+IF(AG2560=$AL$22,MONTH(V2560),"")</f>
        <v/>
      </c>
      <c r="AM2560" s="86" t="str">
        <f>+IF($AG2560=$AM$22,MONTH($D2560),"")</f>
        <v/>
      </c>
      <c r="AN2560" s="89" t="str">
        <f>+IF($AG2560=AN$22,MONTH($D2560),"")</f>
        <v/>
      </c>
      <c r="AO2560" s="86" t="str">
        <f>+IF($AG2560=AO$22,MONTH($D2560),"")</f>
        <v/>
      </c>
      <c r="AP2560" s="86" t="str">
        <f>+IF($AG2560=AP$22,MONTH($D2560),"")</f>
        <v/>
      </c>
      <c r="AQ2560" s="86" t="str">
        <f>+IF($AG2560=AQ$22,MONTH($D2560),"")</f>
        <v/>
      </c>
      <c r="AR2560" s="86" t="str">
        <f>+IF($AG2560=AR$22,MONTH($D2560),"")</f>
        <v/>
      </c>
      <c r="AS2560" s="86" t="str">
        <f>+IF($AG2560=AS$22,MONTH($D2560),"")</f>
        <v/>
      </c>
      <c r="AT2560" s="86" t="str">
        <f>+IF($AG2560=AT$22,MONTH($D2560),"")</f>
        <v/>
      </c>
      <c r="AU2560" s="86">
        <f>+IF($AG2560=AU$22,MONTH($D2560),"")</f>
        <v>3</v>
      </c>
      <c r="AV2560" s="86" t="str">
        <f>+IF($AG2560=AV$22,MONTH($D2560),"")</f>
        <v/>
      </c>
      <c r="AW2560" s="86" t="str">
        <f>+IF($AG2560=AW$22,MONTH($D2560),"")</f>
        <v/>
      </c>
      <c r="AX2560" s="86" t="str">
        <f>+IF($AG2560=AX$22,MONTH($D2560),"")</f>
        <v/>
      </c>
      <c r="AY2560" s="89"/>
      <c r="AZ2560" s="89"/>
      <c r="BA2560" s="89"/>
      <c r="BB2560" s="89"/>
      <c r="BC2560" s="89"/>
      <c r="BD2560" s="89"/>
      <c r="BE2560" s="89"/>
      <c r="BF2560" s="89"/>
      <c r="BG2560" s="89"/>
      <c r="BH2560" s="89"/>
      <c r="BI2560" s="89"/>
      <c r="BJ2560" s="182"/>
      <c r="BK2560" s="182"/>
      <c r="BL2560" s="182"/>
      <c r="BM2560" s="182"/>
      <c r="BN2560" s="182"/>
      <c r="BO2560" s="182"/>
      <c r="BP2560" s="182"/>
    </row>
    <row r="2561" spans="1:68" s="51" customFormat="1" ht="19.5" hidden="1" customHeight="1">
      <c r="A2561" s="204">
        <f>+IFERROR(VALUE(MID(AB2561,4,4)),"")</f>
        <v>64</v>
      </c>
      <c r="B2561" s="204">
        <f>VALUE(RIGHT(C2561,LEN(C2561)-2))</f>
        <v>170</v>
      </c>
      <c r="C2561" s="74" t="s">
        <v>8693</v>
      </c>
      <c r="D2561" s="75">
        <v>41337</v>
      </c>
      <c r="E2561" s="70" t="s">
        <v>332</v>
      </c>
      <c r="F2561" s="70" t="s">
        <v>332</v>
      </c>
      <c r="G2561" s="68" t="s">
        <v>7970</v>
      </c>
      <c r="H2561" s="59" t="s">
        <v>7971</v>
      </c>
      <c r="I2561" s="69" t="s">
        <v>8694</v>
      </c>
      <c r="J2561" s="81"/>
      <c r="K2561" s="71" t="s">
        <v>45</v>
      </c>
      <c r="L2561" s="69" t="s">
        <v>120</v>
      </c>
      <c r="M2561" s="69" t="s">
        <v>141</v>
      </c>
      <c r="N2561" s="69" t="e" vm="1">
        <v>#VALUE!</v>
      </c>
      <c r="O2561" s="82">
        <v>41337</v>
      </c>
      <c r="P2561" s="69" t="s">
        <v>4567</v>
      </c>
      <c r="Q2561" s="69"/>
      <c r="R2561" s="69"/>
      <c r="S2561" s="146"/>
      <c r="T2561" s="68" t="s">
        <v>3</v>
      </c>
      <c r="U2561" s="87"/>
      <c r="V2561" s="183">
        <v>41368</v>
      </c>
      <c r="W2561" s="73">
        <f>12*5*4</f>
        <v>240</v>
      </c>
      <c r="X2561" s="216">
        <f>240*22800/1000000</f>
        <v>5.4720000000000004</v>
      </c>
      <c r="Y2561" s="73">
        <f>IF(SUM(W2561:W2561)&gt;0,X2561/SUM(W2561:W2561)*1000000,"N/A")</f>
        <v>22800</v>
      </c>
      <c r="Z2561" s="70"/>
      <c r="AA2561" s="70"/>
      <c r="AB2561" s="223" t="s">
        <v>8695</v>
      </c>
      <c r="AC2561" s="75"/>
      <c r="AD2561" s="332"/>
      <c r="AE2561" s="68"/>
      <c r="AF2561" s="148"/>
      <c r="AG2561" s="182">
        <f>YEAR(D2561)</f>
        <v>2013</v>
      </c>
      <c r="AH2561" s="86" t="str">
        <f>+IF(AE2561=$AJ$22,MONTH(T2561),"")</f>
        <v/>
      </c>
      <c r="AI2561" s="86" t="str">
        <f>+IF(AF2561=$AJ$22,MONTH(U2561),"")</f>
        <v/>
      </c>
      <c r="AJ2561" s="86" t="str">
        <f>+IF(AG2561=$AJ$22,MONTH(V2561),"")</f>
        <v/>
      </c>
      <c r="AK2561" s="86" t="str">
        <f>+IF(AG2561=$AK$22,MONTH(V2561),"")</f>
        <v/>
      </c>
      <c r="AL2561" s="86" t="str">
        <f>+IF(AG2561=$AL$22,MONTH(V2561),"")</f>
        <v/>
      </c>
      <c r="AM2561" s="86" t="str">
        <f>+IF($AG2561=$AM$22,MONTH($D2561),"")</f>
        <v/>
      </c>
      <c r="AN2561" s="89" t="str">
        <f>+IF($AG2561=AN$22,MONTH($D2561),"")</f>
        <v/>
      </c>
      <c r="AO2561" s="86" t="str">
        <f>+IF($AG2561=AO$22,MONTH($D2561),"")</f>
        <v/>
      </c>
      <c r="AP2561" s="86" t="str">
        <f>+IF($AG2561=AP$22,MONTH($D2561),"")</f>
        <v/>
      </c>
      <c r="AQ2561" s="86" t="str">
        <f>+IF($AG2561=AQ$22,MONTH($D2561),"")</f>
        <v/>
      </c>
      <c r="AR2561" s="86" t="str">
        <f>+IF($AG2561=AR$22,MONTH($D2561),"")</f>
        <v/>
      </c>
      <c r="AS2561" s="86" t="str">
        <f>+IF($AG2561=AS$22,MONTH($D2561),"")</f>
        <v/>
      </c>
      <c r="AT2561" s="86" t="str">
        <f>+IF($AG2561=AT$22,MONTH($D2561),"")</f>
        <v/>
      </c>
      <c r="AU2561" s="86">
        <f>+IF($AG2561=AU$22,MONTH($D2561),"")</f>
        <v>3</v>
      </c>
      <c r="AV2561" s="86" t="str">
        <f>+IF($AG2561=AV$22,MONTH($D2561),"")</f>
        <v/>
      </c>
      <c r="AW2561" s="86" t="str">
        <f>+IF($AG2561=AW$22,MONTH($D2561),"")</f>
        <v/>
      </c>
      <c r="AX2561" s="86" t="str">
        <f>+IF($AG2561=AX$22,MONTH($D2561),"")</f>
        <v/>
      </c>
      <c r="AY2561" s="89"/>
      <c r="AZ2561" s="89"/>
      <c r="BA2561" s="89"/>
      <c r="BB2561" s="89"/>
      <c r="BC2561" s="89"/>
      <c r="BD2561" s="89"/>
      <c r="BE2561" s="89"/>
      <c r="BF2561" s="89"/>
      <c r="BG2561" s="89"/>
      <c r="BH2561" s="89"/>
      <c r="BI2561" s="89"/>
      <c r="BJ2561" s="182"/>
      <c r="BK2561" s="182"/>
      <c r="BL2561" s="182"/>
      <c r="BM2561" s="182"/>
      <c r="BN2561" s="182"/>
      <c r="BO2561" s="182"/>
      <c r="BP2561" s="182"/>
    </row>
    <row r="2562" spans="1:68" s="51" customFormat="1" ht="19.5" hidden="1" customHeight="1">
      <c r="A2562" s="204">
        <f>+IFERROR(VALUE(MID(AB2562,4,4)),"")</f>
        <v>73</v>
      </c>
      <c r="B2562" s="204">
        <f>VALUE(RIGHT(C2562,LEN(C2562)-2))</f>
        <v>169</v>
      </c>
      <c r="C2562" s="74" t="s">
        <v>8696</v>
      </c>
      <c r="D2562" s="75">
        <v>41330</v>
      </c>
      <c r="E2562" s="70" t="s">
        <v>7928</v>
      </c>
      <c r="F2562" s="68" t="s">
        <v>8697</v>
      </c>
      <c r="G2562" s="68"/>
      <c r="H2562" s="69"/>
      <c r="I2562" s="69" t="s">
        <v>8698</v>
      </c>
      <c r="J2562" s="81"/>
      <c r="K2562" s="71" t="s">
        <v>28</v>
      </c>
      <c r="L2562" s="69" t="s">
        <v>120</v>
      </c>
      <c r="M2562" s="69" t="s">
        <v>141</v>
      </c>
      <c r="N2562" s="69" t="e" vm="1">
        <v>#VALUE!</v>
      </c>
      <c r="O2562" s="82">
        <v>41330</v>
      </c>
      <c r="P2562" s="69" t="s">
        <v>4567</v>
      </c>
      <c r="Q2562" s="69"/>
      <c r="R2562" s="69"/>
      <c r="S2562" s="146"/>
      <c r="T2562" s="68" t="s">
        <v>3</v>
      </c>
      <c r="U2562" s="87"/>
      <c r="V2562" s="183">
        <v>41330</v>
      </c>
      <c r="W2562" s="73">
        <v>21</v>
      </c>
      <c r="X2562" s="216">
        <f>21*2.7*22800/1000000</f>
        <v>1.2927599999999999</v>
      </c>
      <c r="Y2562" s="73">
        <f>IF(SUM(W2562:W2562)&gt;0,X2562/SUM(W2562:W2562)*1000000,"N/A")</f>
        <v>61560</v>
      </c>
      <c r="Z2562" s="70"/>
      <c r="AA2562" s="70"/>
      <c r="AB2562" s="223" t="s">
        <v>8675</v>
      </c>
      <c r="AC2562" s="75"/>
      <c r="AD2562" s="332"/>
      <c r="AE2562" s="68"/>
      <c r="AF2562" s="148"/>
      <c r="AG2562" s="182">
        <f>YEAR(D2562)</f>
        <v>2013</v>
      </c>
      <c r="AH2562" s="86" t="str">
        <f>+IF(AE2562=$AJ$22,MONTH(T2562),"")</f>
        <v/>
      </c>
      <c r="AI2562" s="86" t="str">
        <f>+IF(AF2562=$AJ$22,MONTH(U2562),"")</f>
        <v/>
      </c>
      <c r="AJ2562" s="86" t="str">
        <f>+IF(AG2562=$AJ$22,MONTH(V2562),"")</f>
        <v/>
      </c>
      <c r="AK2562" s="86" t="str">
        <f>+IF(AG2562=$AK$22,MONTH(V2562),"")</f>
        <v/>
      </c>
      <c r="AL2562" s="86" t="str">
        <f>+IF(AG2562=$AL$22,MONTH(V2562),"")</f>
        <v/>
      </c>
      <c r="AM2562" s="86" t="str">
        <f>+IF($AG2562=$AM$22,MONTH($D2562),"")</f>
        <v/>
      </c>
      <c r="AN2562" s="89" t="str">
        <f>+IF($AG2562=AN$22,MONTH($D2562),"")</f>
        <v/>
      </c>
      <c r="AO2562" s="86" t="str">
        <f>+IF($AG2562=AO$22,MONTH($D2562),"")</f>
        <v/>
      </c>
      <c r="AP2562" s="86" t="str">
        <f>+IF($AG2562=AP$22,MONTH($D2562),"")</f>
        <v/>
      </c>
      <c r="AQ2562" s="86" t="str">
        <f>+IF($AG2562=AQ$22,MONTH($D2562),"")</f>
        <v/>
      </c>
      <c r="AR2562" s="86" t="str">
        <f>+IF($AG2562=AR$22,MONTH($D2562),"")</f>
        <v/>
      </c>
      <c r="AS2562" s="86" t="str">
        <f>+IF($AG2562=AS$22,MONTH($D2562),"")</f>
        <v/>
      </c>
      <c r="AT2562" s="86" t="str">
        <f>+IF($AG2562=AT$22,MONTH($D2562),"")</f>
        <v/>
      </c>
      <c r="AU2562" s="86">
        <f>+IF($AG2562=AU$22,MONTH($D2562),"")</f>
        <v>2</v>
      </c>
      <c r="AV2562" s="86" t="str">
        <f>+IF($AG2562=AV$22,MONTH($D2562),"")</f>
        <v/>
      </c>
      <c r="AW2562" s="86" t="str">
        <f>+IF($AG2562=AW$22,MONTH($D2562),"")</f>
        <v/>
      </c>
      <c r="AX2562" s="86" t="str">
        <f>+IF($AG2562=AX$22,MONTH($D2562),"")</f>
        <v/>
      </c>
      <c r="AY2562" s="89"/>
      <c r="AZ2562" s="89"/>
      <c r="BA2562" s="89"/>
      <c r="BB2562" s="89"/>
      <c r="BC2562" s="89"/>
      <c r="BD2562" s="89"/>
      <c r="BE2562" s="89"/>
      <c r="BF2562" s="89"/>
      <c r="BG2562" s="89"/>
      <c r="BH2562" s="89"/>
      <c r="BI2562" s="89"/>
      <c r="BJ2562" s="182"/>
      <c r="BK2562" s="182"/>
      <c r="BL2562" s="182"/>
      <c r="BM2562" s="182"/>
      <c r="BN2562" s="182"/>
      <c r="BO2562" s="182"/>
      <c r="BP2562" s="182"/>
    </row>
    <row r="2563" spans="1:68" s="51" customFormat="1" ht="19.5" hidden="1" customHeight="1">
      <c r="A2563" s="204" t="str">
        <f>+IFERROR(VALUE(MID(AB2563,4,4)),"")</f>
        <v/>
      </c>
      <c r="B2563" s="204">
        <f>VALUE(RIGHT(C2563,LEN(C2563)-2))</f>
        <v>168</v>
      </c>
      <c r="C2563" s="74" t="s">
        <v>8699</v>
      </c>
      <c r="D2563" s="75">
        <v>41304</v>
      </c>
      <c r="E2563" s="68" t="s">
        <v>2961</v>
      </c>
      <c r="F2563" s="68" t="s">
        <v>2961</v>
      </c>
      <c r="G2563" s="68"/>
      <c r="H2563" s="69"/>
      <c r="I2563" s="69" t="s">
        <v>8700</v>
      </c>
      <c r="J2563" s="69"/>
      <c r="K2563" s="68" t="s">
        <v>212</v>
      </c>
      <c r="L2563" s="69" t="s">
        <v>120</v>
      </c>
      <c r="M2563" s="69" t="s">
        <v>141</v>
      </c>
      <c r="N2563" s="69" t="e" vm="1">
        <v>#VALUE!</v>
      </c>
      <c r="O2563" s="82">
        <v>41325</v>
      </c>
      <c r="P2563" s="69" t="s">
        <v>402</v>
      </c>
      <c r="Q2563" s="69"/>
      <c r="R2563" s="69"/>
      <c r="S2563" s="146" t="s">
        <v>8701</v>
      </c>
      <c r="T2563" s="68" t="s">
        <v>155</v>
      </c>
      <c r="U2563" s="87"/>
      <c r="V2563" s="183">
        <v>41506</v>
      </c>
      <c r="W2563" s="73"/>
      <c r="X2563" s="216"/>
      <c r="Y2563" s="73" t="str">
        <f>IF(SUM(W2563:W2563)&gt;0,X2563/SUM(W2563:W2563)*1000000,"N/A")</f>
        <v>N/A</v>
      </c>
      <c r="Z2563" s="70"/>
      <c r="AA2563" s="70"/>
      <c r="AB2563" s="223"/>
      <c r="AC2563" s="75"/>
      <c r="AD2563" s="332"/>
      <c r="AE2563" s="68"/>
      <c r="AF2563" s="148"/>
      <c r="AG2563" s="182">
        <f>YEAR(D2563)</f>
        <v>2013</v>
      </c>
      <c r="AH2563" s="86" t="str">
        <f>+IF(AE2563=$AJ$22,MONTH(T2563),"")</f>
        <v/>
      </c>
      <c r="AI2563" s="86" t="str">
        <f>+IF(AF2563=$AJ$22,MONTH(U2563),"")</f>
        <v/>
      </c>
      <c r="AJ2563" s="86" t="str">
        <f>+IF(AG2563=$AJ$22,MONTH(V2563),"")</f>
        <v/>
      </c>
      <c r="AK2563" s="86" t="str">
        <f>+IF(AG2563=$AK$22,MONTH(V2563),"")</f>
        <v/>
      </c>
      <c r="AL2563" s="86" t="str">
        <f>+IF(AG2563=$AL$22,MONTH(V2563),"")</f>
        <v/>
      </c>
      <c r="AM2563" s="86" t="str">
        <f>+IF($AG2563=$AM$22,MONTH($D2563),"")</f>
        <v/>
      </c>
      <c r="AN2563" s="89" t="str">
        <f>+IF($AG2563=AN$22,MONTH($D2563),"")</f>
        <v/>
      </c>
      <c r="AO2563" s="184" t="str">
        <f>+IF($AG2563=AO$22,MONTH($D2563),"")</f>
        <v/>
      </c>
      <c r="AP2563" s="184" t="str">
        <f>+IF($AG2563=AP$22,MONTH($D2563),"")</f>
        <v/>
      </c>
      <c r="AQ2563" s="184" t="str">
        <f>+IF($AG2563=AQ$22,MONTH($D2563),"")</f>
        <v/>
      </c>
      <c r="AR2563" s="184" t="str">
        <f>+IF($AG2563=AR$22,MONTH($D2563),"")</f>
        <v/>
      </c>
      <c r="AS2563" s="184" t="str">
        <f>+IF($AG2563=AS$22,MONTH($D2563),"")</f>
        <v/>
      </c>
      <c r="AT2563" s="86" t="str">
        <f>+IF($AG2563=AT$22,MONTH($D2563),"")</f>
        <v/>
      </c>
      <c r="AU2563" s="86">
        <f>+IF($AG2563=AU$22,MONTH($D2563),"")</f>
        <v>1</v>
      </c>
      <c r="AV2563" s="86" t="str">
        <f>+IF($AG2563=AV$22,MONTH($D2563),"")</f>
        <v/>
      </c>
      <c r="AW2563" s="86" t="str">
        <f>+IF($AG2563=AW$22,MONTH($D2563),"")</f>
        <v/>
      </c>
      <c r="AX2563" s="86" t="str">
        <f>+IF($AG2563=AX$22,MONTH($D2563),"")</f>
        <v/>
      </c>
      <c r="AY2563" s="89"/>
      <c r="AZ2563" s="89"/>
      <c r="BA2563" s="89"/>
      <c r="BB2563" s="89"/>
      <c r="BC2563" s="89"/>
      <c r="BD2563" s="89"/>
      <c r="BE2563" s="89"/>
      <c r="BF2563" s="89"/>
      <c r="BG2563" s="89"/>
      <c r="BH2563" s="89"/>
      <c r="BI2563" s="89"/>
      <c r="BJ2563" s="182"/>
      <c r="BK2563" s="182"/>
      <c r="BL2563" s="182"/>
      <c r="BM2563" s="182"/>
      <c r="BN2563" s="182"/>
      <c r="BO2563" s="182"/>
      <c r="BP2563" s="182"/>
    </row>
    <row r="2564" spans="1:68" s="51" customFormat="1" ht="19.5" hidden="1" customHeight="1">
      <c r="A2564" s="204" t="str">
        <f>+IFERROR(VALUE(MID(AB2564,4,4)),"")</f>
        <v/>
      </c>
      <c r="B2564" s="204">
        <f>VALUE(RIGHT(C2564,LEN(C2564)-2))</f>
        <v>167</v>
      </c>
      <c r="C2564" s="74" t="s">
        <v>8702</v>
      </c>
      <c r="D2564" s="75">
        <v>41318</v>
      </c>
      <c r="E2564" s="68" t="s">
        <v>62</v>
      </c>
      <c r="F2564" s="70" t="s">
        <v>1379</v>
      </c>
      <c r="G2564" s="68" t="s">
        <v>8703</v>
      </c>
      <c r="H2564" s="69"/>
      <c r="I2564" s="69" t="s">
        <v>8704</v>
      </c>
      <c r="J2564" s="81"/>
      <c r="K2564" s="71" t="s">
        <v>12</v>
      </c>
      <c r="L2564" s="69" t="s">
        <v>120</v>
      </c>
      <c r="M2564" s="69" t="s">
        <v>141</v>
      </c>
      <c r="N2564" s="69" t="e" vm="1">
        <v>#VALUE!</v>
      </c>
      <c r="O2564" s="82">
        <v>41325</v>
      </c>
      <c r="P2564" s="69" t="s">
        <v>4567</v>
      </c>
      <c r="Q2564" s="69"/>
      <c r="R2564" s="69"/>
      <c r="S2564" s="146"/>
      <c r="T2564" s="68" t="s">
        <v>155</v>
      </c>
      <c r="U2564" s="87"/>
      <c r="V2564" s="183">
        <v>41323</v>
      </c>
      <c r="W2564" s="73"/>
      <c r="X2564" s="216"/>
      <c r="Y2564" s="73" t="str">
        <f>IF(SUM(W2564:W2564)&gt;0,X2564/SUM(W2564:W2564)*1000000,"N/A")</f>
        <v>N/A</v>
      </c>
      <c r="Z2564" s="70"/>
      <c r="AA2564" s="70"/>
      <c r="AB2564" s="223"/>
      <c r="AC2564" s="75"/>
      <c r="AD2564" s="332"/>
      <c r="AE2564" s="68"/>
      <c r="AF2564" s="148"/>
      <c r="AG2564" s="182">
        <f>YEAR(D2564)</f>
        <v>2013</v>
      </c>
      <c r="AH2564" s="86" t="str">
        <f>+IF(AE2564=$AJ$22,MONTH(T2564),"")</f>
        <v/>
      </c>
      <c r="AI2564" s="86" t="str">
        <f>+IF(AF2564=$AJ$22,MONTH(U2564),"")</f>
        <v/>
      </c>
      <c r="AJ2564" s="86" t="str">
        <f>+IF(AG2564=$AJ$22,MONTH(V2564),"")</f>
        <v/>
      </c>
      <c r="AK2564" s="86" t="str">
        <f>+IF(AG2564=$AK$22,MONTH(V2564),"")</f>
        <v/>
      </c>
      <c r="AL2564" s="86" t="str">
        <f>+IF(AG2564=$AL$22,MONTH(V2564),"")</f>
        <v/>
      </c>
      <c r="AM2564" s="86" t="str">
        <f>+IF($AG2564=$AM$22,MONTH($D2564),"")</f>
        <v/>
      </c>
      <c r="AN2564" s="89" t="str">
        <f>+IF($AG2564=AN$22,MONTH($D2564),"")</f>
        <v/>
      </c>
      <c r="AO2564" s="184" t="str">
        <f>+IF($AG2564=AO$22,MONTH($D2564),"")</f>
        <v/>
      </c>
      <c r="AP2564" s="184" t="str">
        <f>+IF($AG2564=AP$22,MONTH($D2564),"")</f>
        <v/>
      </c>
      <c r="AQ2564" s="184" t="str">
        <f>+IF($AG2564=AQ$22,MONTH($D2564),"")</f>
        <v/>
      </c>
      <c r="AR2564" s="184" t="str">
        <f>+IF($AG2564=AR$22,MONTH($D2564),"")</f>
        <v/>
      </c>
      <c r="AS2564" s="184" t="str">
        <f>+IF($AG2564=AS$22,MONTH($D2564),"")</f>
        <v/>
      </c>
      <c r="AT2564" s="86" t="str">
        <f>+IF($AG2564=AT$22,MONTH($D2564),"")</f>
        <v/>
      </c>
      <c r="AU2564" s="86">
        <f>+IF($AG2564=AU$22,MONTH($D2564),"")</f>
        <v>2</v>
      </c>
      <c r="AV2564" s="86" t="str">
        <f>+IF($AG2564=AV$22,MONTH($D2564),"")</f>
        <v/>
      </c>
      <c r="AW2564" s="86" t="str">
        <f>+IF($AG2564=AW$22,MONTH($D2564),"")</f>
        <v/>
      </c>
      <c r="AX2564" s="86" t="str">
        <f>+IF($AG2564=AX$22,MONTH($D2564),"")</f>
        <v/>
      </c>
      <c r="AY2564" s="89"/>
      <c r="AZ2564" s="89"/>
      <c r="BA2564" s="89"/>
      <c r="BB2564" s="89"/>
      <c r="BC2564" s="89"/>
      <c r="BD2564" s="89"/>
      <c r="BE2564" s="89"/>
      <c r="BF2564" s="89"/>
      <c r="BG2564" s="89"/>
      <c r="BH2564" s="89"/>
      <c r="BI2564" s="89"/>
      <c r="BJ2564" s="182"/>
      <c r="BK2564" s="182"/>
      <c r="BL2564" s="182"/>
      <c r="BM2564" s="182"/>
      <c r="BN2564" s="182"/>
      <c r="BO2564" s="182"/>
      <c r="BP2564" s="182"/>
    </row>
    <row r="2565" spans="1:68" s="51" customFormat="1" ht="19.5" hidden="1" customHeight="1">
      <c r="A2565" s="204">
        <f>+IFERROR(VALUE(MID(AB2565,4,4)),"")</f>
        <v>69</v>
      </c>
      <c r="B2565" s="204">
        <f>VALUE(RIGHT(C2565,LEN(C2565)-2))</f>
        <v>166</v>
      </c>
      <c r="C2565" s="74" t="s">
        <v>8705</v>
      </c>
      <c r="D2565" s="75">
        <v>41304</v>
      </c>
      <c r="E2565" s="68" t="s">
        <v>116</v>
      </c>
      <c r="F2565" s="68" t="s">
        <v>116</v>
      </c>
      <c r="G2565" s="68"/>
      <c r="H2565" s="69"/>
      <c r="I2565" s="69" t="s">
        <v>8706</v>
      </c>
      <c r="J2565" s="81"/>
      <c r="K2565" s="71" t="s">
        <v>12</v>
      </c>
      <c r="L2565" s="69" t="s">
        <v>120</v>
      </c>
      <c r="M2565" s="69" t="s">
        <v>113</v>
      </c>
      <c r="N2565" s="69" t="e" vm="17">
        <v>#VALUE!</v>
      </c>
      <c r="O2565" s="82">
        <v>41316</v>
      </c>
      <c r="P2565" s="69" t="s">
        <v>4567</v>
      </c>
      <c r="Q2565" s="69"/>
      <c r="R2565" s="69"/>
      <c r="S2565" s="146"/>
      <c r="T2565" s="68" t="s">
        <v>3</v>
      </c>
      <c r="U2565" s="87"/>
      <c r="V2565" s="183"/>
      <c r="W2565" s="73">
        <f>25*54</f>
        <v>1350</v>
      </c>
      <c r="X2565" s="216">
        <f>32400*2*550/1000000</f>
        <v>35.64</v>
      </c>
      <c r="Y2565" s="73">
        <f>IF(SUM(W2565:W2565)&gt;0,X2565/SUM(W2565:W2565)*1000000,"N/A")</f>
        <v>26400</v>
      </c>
      <c r="Z2565" s="70"/>
      <c r="AA2565" s="70"/>
      <c r="AB2565" s="223" t="s">
        <v>8707</v>
      </c>
      <c r="AC2565" s="75"/>
      <c r="AD2565" s="332"/>
      <c r="AE2565" s="68"/>
      <c r="AF2565" s="148"/>
      <c r="AG2565" s="182">
        <f>YEAR(D2565)</f>
        <v>2013</v>
      </c>
      <c r="AH2565" s="86" t="str">
        <f>+IF(AE2565=$AJ$22,MONTH(T2565),"")</f>
        <v/>
      </c>
      <c r="AI2565" s="86" t="str">
        <f>+IF(AF2565=$AJ$22,MONTH(U2565),"")</f>
        <v/>
      </c>
      <c r="AJ2565" s="86" t="str">
        <f>+IF(AG2565=$AJ$22,MONTH(V2565),"")</f>
        <v/>
      </c>
      <c r="AK2565" s="86" t="str">
        <f>+IF(AG2565=$AK$22,MONTH(V2565),"")</f>
        <v/>
      </c>
      <c r="AL2565" s="86" t="str">
        <f>+IF(AG2565=$AL$22,MONTH(V2565),"")</f>
        <v/>
      </c>
      <c r="AM2565" s="86" t="str">
        <f>+IF($AG2565=$AM$22,MONTH($D2565),"")</f>
        <v/>
      </c>
      <c r="AN2565" s="89" t="str">
        <f>+IF($AG2565=AN$22,MONTH($D2565),"")</f>
        <v/>
      </c>
      <c r="AO2565" s="86" t="str">
        <f>+IF($AG2565=AO$22,MONTH($D2565),"")</f>
        <v/>
      </c>
      <c r="AP2565" s="86" t="str">
        <f>+IF($AG2565=AP$22,MONTH($D2565),"")</f>
        <v/>
      </c>
      <c r="AQ2565" s="86" t="str">
        <f>+IF($AG2565=AQ$22,MONTH($D2565),"")</f>
        <v/>
      </c>
      <c r="AR2565" s="86" t="str">
        <f>+IF($AG2565=AR$22,MONTH($D2565),"")</f>
        <v/>
      </c>
      <c r="AS2565" s="86" t="str">
        <f>+IF($AG2565=AS$22,MONTH($D2565),"")</f>
        <v/>
      </c>
      <c r="AT2565" s="86" t="str">
        <f>+IF($AG2565=AT$22,MONTH($D2565),"")</f>
        <v/>
      </c>
      <c r="AU2565" s="86">
        <f>+IF($AG2565=AU$22,MONTH($D2565),"")</f>
        <v>1</v>
      </c>
      <c r="AV2565" s="86" t="str">
        <f>+IF($AG2565=AV$22,MONTH($D2565),"")</f>
        <v/>
      </c>
      <c r="AW2565" s="86" t="str">
        <f>+IF($AG2565=AW$22,MONTH($D2565),"")</f>
        <v/>
      </c>
      <c r="AX2565" s="86" t="str">
        <f>+IF($AG2565=AX$22,MONTH($D2565),"")</f>
        <v/>
      </c>
      <c r="AY2565" s="89"/>
      <c r="AZ2565" s="89"/>
      <c r="BA2565" s="89"/>
      <c r="BB2565" s="89"/>
      <c r="BC2565" s="89"/>
      <c r="BD2565" s="89"/>
      <c r="BE2565" s="89"/>
      <c r="BF2565" s="89"/>
      <c r="BG2565" s="89"/>
      <c r="BH2565" s="89"/>
      <c r="BI2565" s="89"/>
      <c r="BJ2565" s="182"/>
      <c r="BK2565" s="182"/>
      <c r="BL2565" s="182"/>
      <c r="BM2565" s="182"/>
      <c r="BN2565" s="182"/>
      <c r="BO2565" s="182"/>
      <c r="BP2565" s="182"/>
    </row>
    <row r="2566" spans="1:68" s="51" customFormat="1" ht="19.5" hidden="1" customHeight="1">
      <c r="A2566" s="204">
        <f>+IFERROR(VALUE(MID(AB2566,4,4)),"")</f>
        <v>68</v>
      </c>
      <c r="B2566" s="204">
        <f>VALUE(RIGHT(C2566,LEN(C2566)-2))</f>
        <v>165</v>
      </c>
      <c r="C2566" s="74" t="s">
        <v>8708</v>
      </c>
      <c r="D2566" s="75">
        <v>41301</v>
      </c>
      <c r="E2566" s="68" t="s">
        <v>2961</v>
      </c>
      <c r="F2566" s="68" t="s">
        <v>332</v>
      </c>
      <c r="G2566" s="68" t="s">
        <v>8709</v>
      </c>
      <c r="H2566" s="69"/>
      <c r="I2566" s="69" t="s">
        <v>8710</v>
      </c>
      <c r="J2566" s="81"/>
      <c r="K2566" s="71" t="s">
        <v>8</v>
      </c>
      <c r="L2566" s="69" t="s">
        <v>120</v>
      </c>
      <c r="M2566" s="69" t="s">
        <v>141</v>
      </c>
      <c r="N2566" s="69" t="e" vm="1">
        <v>#VALUE!</v>
      </c>
      <c r="O2566" s="82">
        <v>41304</v>
      </c>
      <c r="P2566" s="69" t="s">
        <v>4567</v>
      </c>
      <c r="Q2566" s="69"/>
      <c r="R2566" s="69"/>
      <c r="S2566" s="146"/>
      <c r="T2566" s="68" t="s">
        <v>3</v>
      </c>
      <c r="U2566" s="87"/>
      <c r="V2566" s="183">
        <v>41323</v>
      </c>
      <c r="W2566" s="73">
        <v>235</v>
      </c>
      <c r="X2566" s="216">
        <f>378*22800/1000000</f>
        <v>8.6183999999999994</v>
      </c>
      <c r="Y2566" s="73">
        <f>IF(SUM(W2566:W2566)&gt;0,X2566/SUM(W2566:W2566)*1000000,"N/A")</f>
        <v>36674.042553191488</v>
      </c>
      <c r="Z2566" s="70"/>
      <c r="AA2566" s="70"/>
      <c r="AB2566" s="223" t="s">
        <v>8711</v>
      </c>
      <c r="AC2566" s="75"/>
      <c r="AD2566" s="332"/>
      <c r="AE2566" s="68"/>
      <c r="AF2566" s="148"/>
      <c r="AG2566" s="182">
        <f>YEAR(D2566)</f>
        <v>2013</v>
      </c>
      <c r="AH2566" s="86" t="str">
        <f>+IF(AE2566=$AJ$22,MONTH(T2566),"")</f>
        <v/>
      </c>
      <c r="AI2566" s="86" t="str">
        <f>+IF(AF2566=$AJ$22,MONTH(U2566),"")</f>
        <v/>
      </c>
      <c r="AJ2566" s="86" t="str">
        <f>+IF(AG2566=$AJ$22,MONTH(V2566),"")</f>
        <v/>
      </c>
      <c r="AK2566" s="86" t="str">
        <f>+IF(AG2566=$AK$22,MONTH(V2566),"")</f>
        <v/>
      </c>
      <c r="AL2566" s="86" t="str">
        <f>+IF(AG2566=$AL$22,MONTH(V2566),"")</f>
        <v/>
      </c>
      <c r="AM2566" s="86" t="str">
        <f>+IF($AG2566=$AM$22,MONTH($D2566),"")</f>
        <v/>
      </c>
      <c r="AN2566" s="89" t="str">
        <f>+IF($AG2566=AN$22,MONTH($D2566),"")</f>
        <v/>
      </c>
      <c r="AO2566" s="86" t="str">
        <f>+IF($AG2566=AO$22,MONTH($D2566),"")</f>
        <v/>
      </c>
      <c r="AP2566" s="86" t="str">
        <f>+IF($AG2566=AP$22,MONTH($D2566),"")</f>
        <v/>
      </c>
      <c r="AQ2566" s="86" t="str">
        <f>+IF($AG2566=AQ$22,MONTH($D2566),"")</f>
        <v/>
      </c>
      <c r="AR2566" s="86" t="str">
        <f>+IF($AG2566=AR$22,MONTH($D2566),"")</f>
        <v/>
      </c>
      <c r="AS2566" s="86" t="str">
        <f>+IF($AG2566=AS$22,MONTH($D2566),"")</f>
        <v/>
      </c>
      <c r="AT2566" s="86" t="str">
        <f>+IF($AG2566=AT$22,MONTH($D2566),"")</f>
        <v/>
      </c>
      <c r="AU2566" s="86">
        <f>+IF($AG2566=AU$22,MONTH($D2566),"")</f>
        <v>1</v>
      </c>
      <c r="AV2566" s="86" t="str">
        <f>+IF($AG2566=AV$22,MONTH($D2566),"")</f>
        <v/>
      </c>
      <c r="AW2566" s="86" t="str">
        <f>+IF($AG2566=AW$22,MONTH($D2566),"")</f>
        <v/>
      </c>
      <c r="AX2566" s="86" t="str">
        <f>+IF($AG2566=AX$22,MONTH($D2566),"")</f>
        <v/>
      </c>
      <c r="AY2566" s="89"/>
      <c r="AZ2566" s="89"/>
      <c r="BA2566" s="89"/>
      <c r="BB2566" s="89"/>
      <c r="BC2566" s="89"/>
      <c r="BD2566" s="89"/>
      <c r="BE2566" s="89"/>
      <c r="BF2566" s="89"/>
      <c r="BG2566" s="89"/>
      <c r="BH2566" s="89"/>
      <c r="BI2566" s="89"/>
      <c r="BJ2566" s="182"/>
      <c r="BK2566" s="182"/>
      <c r="BL2566" s="182"/>
      <c r="BM2566" s="182"/>
      <c r="BN2566" s="182"/>
      <c r="BO2566" s="182"/>
      <c r="BP2566" s="182"/>
    </row>
    <row r="2567" spans="1:68" s="51" customFormat="1" ht="19.5" hidden="1" customHeight="1">
      <c r="A2567" s="204" t="str">
        <f>+IFERROR(VALUE(MID(AB2567,4,4)),"")</f>
        <v/>
      </c>
      <c r="B2567" s="204">
        <f>VALUE(RIGHT(C2567,LEN(C2567)-2))</f>
        <v>164</v>
      </c>
      <c r="C2567" s="74" t="s">
        <v>8712</v>
      </c>
      <c r="D2567" s="75">
        <v>41295</v>
      </c>
      <c r="E2567" s="68" t="s">
        <v>8713</v>
      </c>
      <c r="F2567" s="68" t="s">
        <v>8714</v>
      </c>
      <c r="G2567" s="68" t="s">
        <v>8715</v>
      </c>
      <c r="H2567" s="69"/>
      <c r="I2567" s="69" t="s">
        <v>8716</v>
      </c>
      <c r="J2567" s="81"/>
      <c r="K2567" s="71" t="s">
        <v>14</v>
      </c>
      <c r="L2567" s="69" t="s">
        <v>123</v>
      </c>
      <c r="M2567" s="69" t="s">
        <v>141</v>
      </c>
      <c r="N2567" s="69" t="e" vm="1">
        <v>#VALUE!</v>
      </c>
      <c r="O2567" s="82">
        <v>41309</v>
      </c>
      <c r="P2567" s="69" t="s">
        <v>402</v>
      </c>
      <c r="Q2567" s="69"/>
      <c r="R2567" s="69"/>
      <c r="S2567" s="146"/>
      <c r="T2567" s="68" t="s">
        <v>165</v>
      </c>
      <c r="U2567" s="87"/>
      <c r="V2567" s="183">
        <v>41323</v>
      </c>
      <c r="W2567" s="73">
        <v>4415</v>
      </c>
      <c r="X2567" s="216">
        <v>155.76271800000001</v>
      </c>
      <c r="Y2567" s="73">
        <f>IF(SUM(W2567:W2567)&gt;0,X2567/SUM(W2567:W2567)*1000000,"N/A")</f>
        <v>35280.343827859571</v>
      </c>
      <c r="Z2567" s="70"/>
      <c r="AA2567" s="70"/>
      <c r="AB2567" s="223"/>
      <c r="AC2567" s="75"/>
      <c r="AD2567" s="332"/>
      <c r="AE2567" s="68"/>
      <c r="AF2567" s="148"/>
      <c r="AG2567" s="182">
        <f>YEAR(D2567)</f>
        <v>2013</v>
      </c>
      <c r="AH2567" s="86" t="str">
        <f>+IF(AE2567=$AJ$22,MONTH(T2567),"")</f>
        <v/>
      </c>
      <c r="AI2567" s="86" t="str">
        <f>+IF(AF2567=$AJ$22,MONTH(U2567),"")</f>
        <v/>
      </c>
      <c r="AJ2567" s="86" t="str">
        <f>+IF(AG2567=$AJ$22,MONTH(V2567),"")</f>
        <v/>
      </c>
      <c r="AK2567" s="86" t="str">
        <f>+IF(AG2567=$AK$22,MONTH(V2567),"")</f>
        <v/>
      </c>
      <c r="AL2567" s="86" t="str">
        <f>+IF(AG2567=$AL$22,MONTH(V2567),"")</f>
        <v/>
      </c>
      <c r="AM2567" s="86" t="str">
        <f>+IF($AG2567=$AM$22,MONTH($D2567),"")</f>
        <v/>
      </c>
      <c r="AN2567" s="89" t="str">
        <f>+IF($AG2567=AN$22,MONTH($D2567),"")</f>
        <v/>
      </c>
      <c r="AO2567" s="184" t="str">
        <f>+IF($AG2567=AO$22,MONTH($D2567),"")</f>
        <v/>
      </c>
      <c r="AP2567" s="184" t="str">
        <f>+IF($AG2567=AP$22,MONTH($D2567),"")</f>
        <v/>
      </c>
      <c r="AQ2567" s="184" t="str">
        <f>+IF($AG2567=AQ$22,MONTH($D2567),"")</f>
        <v/>
      </c>
      <c r="AR2567" s="184" t="str">
        <f>+IF($AG2567=AR$22,MONTH($D2567),"")</f>
        <v/>
      </c>
      <c r="AS2567" s="184" t="str">
        <f>+IF($AG2567=AS$22,MONTH($D2567),"")</f>
        <v/>
      </c>
      <c r="AT2567" s="86" t="str">
        <f>+IF($AG2567=AT$22,MONTH($D2567),"")</f>
        <v/>
      </c>
      <c r="AU2567" s="86">
        <f>+IF($AG2567=AU$22,MONTH($D2567),"")</f>
        <v>1</v>
      </c>
      <c r="AV2567" s="86" t="str">
        <f>+IF($AG2567=AV$22,MONTH($D2567),"")</f>
        <v/>
      </c>
      <c r="AW2567" s="86" t="str">
        <f>+IF($AG2567=AW$22,MONTH($D2567),"")</f>
        <v/>
      </c>
      <c r="AX2567" s="86" t="str">
        <f>+IF($AG2567=AX$22,MONTH($D2567),"")</f>
        <v/>
      </c>
      <c r="AY2567" s="89"/>
      <c r="AZ2567" s="89"/>
      <c r="BA2567" s="89"/>
      <c r="BB2567" s="89"/>
      <c r="BC2567" s="89"/>
      <c r="BD2567" s="89"/>
      <c r="BE2567" s="89"/>
      <c r="BF2567" s="89"/>
      <c r="BG2567" s="89"/>
      <c r="BH2567" s="89"/>
      <c r="BI2567" s="89"/>
      <c r="BJ2567" s="182"/>
      <c r="BK2567" s="182"/>
      <c r="BL2567" s="182"/>
      <c r="BM2567" s="182"/>
      <c r="BN2567" s="182"/>
      <c r="BO2567" s="182"/>
      <c r="BP2567" s="182"/>
    </row>
    <row r="2568" spans="1:68" s="51" customFormat="1" ht="19.5" hidden="1" customHeight="1">
      <c r="A2568" s="204" t="str">
        <f>+IFERROR(VALUE(MID(AB2568,4,4)),"")</f>
        <v/>
      </c>
      <c r="B2568" s="204">
        <f>VALUE(RIGHT(C2568,LEN(C2568)-2))</f>
        <v>163</v>
      </c>
      <c r="C2568" s="74" t="s">
        <v>8717</v>
      </c>
      <c r="D2568" s="75">
        <v>41299</v>
      </c>
      <c r="E2568" s="68" t="s">
        <v>7883</v>
      </c>
      <c r="F2568" s="68" t="s">
        <v>8482</v>
      </c>
      <c r="G2568" s="68" t="s">
        <v>8101</v>
      </c>
      <c r="H2568" s="59" t="s">
        <v>8102</v>
      </c>
      <c r="I2568" s="69" t="s">
        <v>8718</v>
      </c>
      <c r="J2568" s="81"/>
      <c r="K2568" s="71" t="s">
        <v>30</v>
      </c>
      <c r="L2568" s="69" t="s">
        <v>120</v>
      </c>
      <c r="M2568" s="69" t="s">
        <v>141</v>
      </c>
      <c r="N2568" s="69" t="e" vm="1">
        <v>#VALUE!</v>
      </c>
      <c r="O2568" s="82">
        <v>41299</v>
      </c>
      <c r="P2568" s="69" t="s">
        <v>4567</v>
      </c>
      <c r="Q2568" s="69"/>
      <c r="R2568" s="69"/>
      <c r="S2568" s="146" t="s">
        <v>8719</v>
      </c>
      <c r="T2568" s="68" t="s">
        <v>165</v>
      </c>
      <c r="U2568" s="87"/>
      <c r="V2568" s="183">
        <v>41323</v>
      </c>
      <c r="W2568" s="73">
        <v>990</v>
      </c>
      <c r="X2568" s="216">
        <f>1915*22800/1000000</f>
        <v>43.661999999999999</v>
      </c>
      <c r="Y2568" s="73">
        <f>IF(SUM(W2568:W2568)&gt;0,X2568/SUM(W2568:W2568)*1000000,"N/A")</f>
        <v>44103.030303030304</v>
      </c>
      <c r="Z2568" s="70"/>
      <c r="AA2568" s="70"/>
      <c r="AB2568" s="223"/>
      <c r="AC2568" s="75"/>
      <c r="AD2568" s="332"/>
      <c r="AE2568" s="68"/>
      <c r="AF2568" s="148"/>
      <c r="AG2568" s="182">
        <f>YEAR(D2568)</f>
        <v>2013</v>
      </c>
      <c r="AH2568" s="86" t="str">
        <f>+IF(AE2568=$AJ$22,MONTH(T2568),"")</f>
        <v/>
      </c>
      <c r="AI2568" s="86" t="str">
        <f>+IF(AF2568=$AJ$22,MONTH(U2568),"")</f>
        <v/>
      </c>
      <c r="AJ2568" s="86" t="str">
        <f>+IF(AG2568=$AJ$22,MONTH(V2568),"")</f>
        <v/>
      </c>
      <c r="AK2568" s="86" t="str">
        <f>+IF(AG2568=$AK$22,MONTH(V2568),"")</f>
        <v/>
      </c>
      <c r="AL2568" s="86" t="str">
        <f>+IF(AG2568=$AL$22,MONTH(V2568),"")</f>
        <v/>
      </c>
      <c r="AM2568" s="86" t="str">
        <f>+IF($AG2568=$AM$22,MONTH($D2568),"")</f>
        <v/>
      </c>
      <c r="AN2568" s="89" t="str">
        <f>+IF($AG2568=AN$22,MONTH($D2568),"")</f>
        <v/>
      </c>
      <c r="AO2568" s="184" t="str">
        <f>+IF($AG2568=AO$22,MONTH($D2568),"")</f>
        <v/>
      </c>
      <c r="AP2568" s="184" t="str">
        <f>+IF($AG2568=AP$22,MONTH($D2568),"")</f>
        <v/>
      </c>
      <c r="AQ2568" s="184" t="str">
        <f>+IF($AG2568=AQ$22,MONTH($D2568),"")</f>
        <v/>
      </c>
      <c r="AR2568" s="184" t="str">
        <f>+IF($AG2568=AR$22,MONTH($D2568),"")</f>
        <v/>
      </c>
      <c r="AS2568" s="184" t="str">
        <f>+IF($AG2568=AS$22,MONTH($D2568),"")</f>
        <v/>
      </c>
      <c r="AT2568" s="86" t="str">
        <f>+IF($AG2568=AT$22,MONTH($D2568),"")</f>
        <v/>
      </c>
      <c r="AU2568" s="86">
        <f>+IF($AG2568=AU$22,MONTH($D2568),"")</f>
        <v>1</v>
      </c>
      <c r="AV2568" s="86" t="str">
        <f>+IF($AG2568=AV$22,MONTH($D2568),"")</f>
        <v/>
      </c>
      <c r="AW2568" s="86" t="str">
        <f>+IF($AG2568=AW$22,MONTH($D2568),"")</f>
        <v/>
      </c>
      <c r="AX2568" s="86" t="str">
        <f>+IF($AG2568=AX$22,MONTH($D2568),"")</f>
        <v/>
      </c>
      <c r="AY2568" s="89"/>
      <c r="AZ2568" s="89"/>
      <c r="BA2568" s="89"/>
      <c r="BB2568" s="89"/>
      <c r="BC2568" s="89"/>
      <c r="BD2568" s="89"/>
      <c r="BE2568" s="89"/>
      <c r="BF2568" s="89"/>
      <c r="BG2568" s="89"/>
      <c r="BH2568" s="89"/>
      <c r="BI2568" s="89"/>
      <c r="BJ2568" s="182"/>
      <c r="BK2568" s="182"/>
      <c r="BL2568" s="182"/>
      <c r="BM2568" s="182"/>
      <c r="BN2568" s="182"/>
      <c r="BO2568" s="182"/>
      <c r="BP2568" s="182"/>
    </row>
    <row r="2569" spans="1:68" s="51" customFormat="1" ht="19.5" hidden="1" customHeight="1">
      <c r="A2569" s="204" t="str">
        <f>+IFERROR(VALUE(MID(AB2569,4,4)),"")</f>
        <v/>
      </c>
      <c r="B2569" s="204">
        <f>VALUE(RIGHT(C2569,LEN(C2569)-2))</f>
        <v>162</v>
      </c>
      <c r="C2569" s="74" t="s">
        <v>8720</v>
      </c>
      <c r="D2569" s="75">
        <v>41298</v>
      </c>
      <c r="E2569" s="68" t="s">
        <v>7</v>
      </c>
      <c r="F2569" s="68" t="s">
        <v>685</v>
      </c>
      <c r="G2569" s="68" t="s">
        <v>8293</v>
      </c>
      <c r="H2569" s="69"/>
      <c r="I2569" s="69" t="s">
        <v>8721</v>
      </c>
      <c r="J2569" s="81"/>
      <c r="K2569" s="71" t="s">
        <v>13</v>
      </c>
      <c r="L2569" s="69" t="s">
        <v>120</v>
      </c>
      <c r="M2569" s="69" t="s">
        <v>141</v>
      </c>
      <c r="N2569" s="69" t="e" vm="1">
        <v>#VALUE!</v>
      </c>
      <c r="O2569" s="82">
        <v>41602</v>
      </c>
      <c r="P2569" s="69" t="s">
        <v>4567</v>
      </c>
      <c r="Q2569" s="69"/>
      <c r="R2569" s="69"/>
      <c r="S2569" s="146" t="s">
        <v>8722</v>
      </c>
      <c r="T2569" s="68" t="s">
        <v>165</v>
      </c>
      <c r="U2569" s="87"/>
      <c r="V2569" s="183">
        <v>41506</v>
      </c>
      <c r="W2569" s="73">
        <v>1079</v>
      </c>
      <c r="X2569" s="216">
        <f>1621*22800/1000000</f>
        <v>36.958799999999997</v>
      </c>
      <c r="Y2569" s="73">
        <f>IF(SUM(W2569:W2569)&gt;0,X2569/SUM(W2569:W2569)*1000000,"N/A")</f>
        <v>34252.826691380906</v>
      </c>
      <c r="Z2569" s="70"/>
      <c r="AA2569" s="70"/>
      <c r="AB2569" s="223"/>
      <c r="AC2569" s="75"/>
      <c r="AD2569" s="332"/>
      <c r="AE2569" s="68"/>
      <c r="AF2569" s="148"/>
      <c r="AG2569" s="182">
        <f>YEAR(D2569)</f>
        <v>2013</v>
      </c>
      <c r="AH2569" s="86" t="str">
        <f>+IF(AE2569=$AJ$22,MONTH(T2569),"")</f>
        <v/>
      </c>
      <c r="AI2569" s="86" t="str">
        <f>+IF(AF2569=$AJ$22,MONTH(U2569),"")</f>
        <v/>
      </c>
      <c r="AJ2569" s="86" t="str">
        <f>+IF(AG2569=$AJ$22,MONTH(V2569),"")</f>
        <v/>
      </c>
      <c r="AK2569" s="86" t="str">
        <f>+IF(AG2569=$AK$22,MONTH(V2569),"")</f>
        <v/>
      </c>
      <c r="AL2569" s="86" t="str">
        <f>+IF(AG2569=$AL$22,MONTH(V2569),"")</f>
        <v/>
      </c>
      <c r="AM2569" s="86" t="str">
        <f>+IF($AG2569=$AM$22,MONTH($D2569),"")</f>
        <v/>
      </c>
      <c r="AN2569" s="89" t="str">
        <f>+IF($AG2569=AN$22,MONTH($D2569),"")</f>
        <v/>
      </c>
      <c r="AO2569" s="184" t="str">
        <f>+IF($AG2569=AO$22,MONTH($D2569),"")</f>
        <v/>
      </c>
      <c r="AP2569" s="184" t="str">
        <f>+IF($AG2569=AP$22,MONTH($D2569),"")</f>
        <v/>
      </c>
      <c r="AQ2569" s="184" t="str">
        <f>+IF($AG2569=AQ$22,MONTH($D2569),"")</f>
        <v/>
      </c>
      <c r="AR2569" s="184" t="str">
        <f>+IF($AG2569=AR$22,MONTH($D2569),"")</f>
        <v/>
      </c>
      <c r="AS2569" s="184" t="str">
        <f>+IF($AG2569=AS$22,MONTH($D2569),"")</f>
        <v/>
      </c>
      <c r="AT2569" s="86" t="str">
        <f>+IF($AG2569=AT$22,MONTH($D2569),"")</f>
        <v/>
      </c>
      <c r="AU2569" s="86">
        <f>+IF($AG2569=AU$22,MONTH($D2569),"")</f>
        <v>1</v>
      </c>
      <c r="AV2569" s="86" t="str">
        <f>+IF($AG2569=AV$22,MONTH($D2569),"")</f>
        <v/>
      </c>
      <c r="AW2569" s="86" t="str">
        <f>+IF($AG2569=AW$22,MONTH($D2569),"")</f>
        <v/>
      </c>
      <c r="AX2569" s="86" t="str">
        <f>+IF($AG2569=AX$22,MONTH($D2569),"")</f>
        <v/>
      </c>
      <c r="AY2569" s="89"/>
      <c r="AZ2569" s="89"/>
      <c r="BA2569" s="89"/>
      <c r="BB2569" s="89"/>
      <c r="BC2569" s="89"/>
      <c r="BD2569" s="89"/>
      <c r="BE2569" s="89"/>
      <c r="BF2569" s="89"/>
      <c r="BG2569" s="89"/>
      <c r="BH2569" s="89"/>
      <c r="BI2569" s="89"/>
      <c r="BJ2569" s="182"/>
      <c r="BK2569" s="182"/>
      <c r="BL2569" s="182"/>
      <c r="BM2569" s="182"/>
      <c r="BN2569" s="182"/>
      <c r="BO2569" s="182"/>
      <c r="BP2569" s="182"/>
    </row>
    <row r="2570" spans="1:68" s="51" customFormat="1" ht="19.5" hidden="1" customHeight="1">
      <c r="A2570" s="204" t="str">
        <f>+IFERROR(VALUE(MID(AB2570,4,4)),"")</f>
        <v/>
      </c>
      <c r="B2570" s="204">
        <f>VALUE(RIGHT(C2570,LEN(C2570)-2))</f>
        <v>161</v>
      </c>
      <c r="C2570" s="74" t="s">
        <v>8723</v>
      </c>
      <c r="D2570" s="75">
        <v>41285</v>
      </c>
      <c r="E2570" s="70" t="s">
        <v>15</v>
      </c>
      <c r="F2570" s="68" t="s">
        <v>8714</v>
      </c>
      <c r="G2570" s="68" t="s">
        <v>8724</v>
      </c>
      <c r="H2570" s="69"/>
      <c r="I2570" s="69" t="s">
        <v>8725</v>
      </c>
      <c r="J2570" s="81"/>
      <c r="K2570" s="71" t="s">
        <v>12</v>
      </c>
      <c r="L2570" s="69" t="s">
        <v>120</v>
      </c>
      <c r="M2570" s="69" t="s">
        <v>141</v>
      </c>
      <c r="N2570" s="69" t="e" vm="1">
        <v>#VALUE!</v>
      </c>
      <c r="O2570" s="82">
        <v>41298</v>
      </c>
      <c r="P2570" s="69" t="s">
        <v>402</v>
      </c>
      <c r="Q2570" s="69"/>
      <c r="R2570" s="69"/>
      <c r="S2570" s="146"/>
      <c r="T2570" s="68" t="s">
        <v>155</v>
      </c>
      <c r="U2570" s="87"/>
      <c r="V2570" s="183"/>
      <c r="W2570" s="73"/>
      <c r="X2570" s="216"/>
      <c r="Y2570" s="73" t="str">
        <f>IF(SUM(W2570:W2570)&gt;0,X2570/SUM(W2570:W2570)*1000000,"N/A")</f>
        <v>N/A</v>
      </c>
      <c r="Z2570" s="70"/>
      <c r="AA2570" s="70"/>
      <c r="AB2570" s="223"/>
      <c r="AC2570" s="75"/>
      <c r="AD2570" s="332"/>
      <c r="AE2570" s="68"/>
      <c r="AF2570" s="148"/>
      <c r="AG2570" s="182">
        <f>YEAR(D2570)</f>
        <v>2013</v>
      </c>
      <c r="AH2570" s="86" t="str">
        <f>+IF(AE2570=$AJ$22,MONTH(T2570),"")</f>
        <v/>
      </c>
      <c r="AI2570" s="86" t="str">
        <f>+IF(AF2570=$AJ$22,MONTH(U2570),"")</f>
        <v/>
      </c>
      <c r="AJ2570" s="86" t="str">
        <f>+IF(AG2570=$AJ$22,MONTH(V2570),"")</f>
        <v/>
      </c>
      <c r="AK2570" s="86" t="str">
        <f>+IF(AG2570=$AK$22,MONTH(V2570),"")</f>
        <v/>
      </c>
      <c r="AL2570" s="86" t="str">
        <f>+IF(AG2570=$AL$22,MONTH(V2570),"")</f>
        <v/>
      </c>
      <c r="AM2570" s="86" t="str">
        <f>+IF($AG2570=$AM$22,MONTH($D2570),"")</f>
        <v/>
      </c>
      <c r="AN2570" s="89" t="str">
        <f>+IF($AG2570=AN$22,MONTH($D2570),"")</f>
        <v/>
      </c>
      <c r="AO2570" s="184" t="str">
        <f>+IF($AG2570=AO$22,MONTH($D2570),"")</f>
        <v/>
      </c>
      <c r="AP2570" s="184" t="str">
        <f>+IF($AG2570=AP$22,MONTH($D2570),"")</f>
        <v/>
      </c>
      <c r="AQ2570" s="184" t="str">
        <f>+IF($AG2570=AQ$22,MONTH($D2570),"")</f>
        <v/>
      </c>
      <c r="AR2570" s="184" t="str">
        <f>+IF($AG2570=AR$22,MONTH($D2570),"")</f>
        <v/>
      </c>
      <c r="AS2570" s="184" t="str">
        <f>+IF($AG2570=AS$22,MONTH($D2570),"")</f>
        <v/>
      </c>
      <c r="AT2570" s="86" t="str">
        <f>+IF($AG2570=AT$22,MONTH($D2570),"")</f>
        <v/>
      </c>
      <c r="AU2570" s="86">
        <f>+IF($AG2570=AU$22,MONTH($D2570),"")</f>
        <v>1</v>
      </c>
      <c r="AV2570" s="86" t="str">
        <f>+IF($AG2570=AV$22,MONTH($D2570),"")</f>
        <v/>
      </c>
      <c r="AW2570" s="86" t="str">
        <f>+IF($AG2570=AW$22,MONTH($D2570),"")</f>
        <v/>
      </c>
      <c r="AX2570" s="86" t="str">
        <f>+IF($AG2570=AX$22,MONTH($D2570),"")</f>
        <v/>
      </c>
      <c r="AY2570" s="89"/>
      <c r="AZ2570" s="89"/>
      <c r="BA2570" s="89"/>
      <c r="BB2570" s="89"/>
      <c r="BC2570" s="89"/>
      <c r="BD2570" s="89"/>
      <c r="BE2570" s="89"/>
      <c r="BF2570" s="89"/>
      <c r="BG2570" s="89"/>
      <c r="BH2570" s="89"/>
      <c r="BI2570" s="89"/>
      <c r="BJ2570" s="182"/>
      <c r="BK2570" s="182"/>
      <c r="BL2570" s="182"/>
      <c r="BM2570" s="182"/>
      <c r="BN2570" s="182"/>
      <c r="BO2570" s="182"/>
      <c r="BP2570" s="182"/>
    </row>
    <row r="2571" spans="1:68" s="51" customFormat="1" ht="30.75" hidden="1" customHeight="1">
      <c r="A2571" s="204" t="str">
        <f>+IFERROR(VALUE(MID(AB2571,4,4)),"")</f>
        <v/>
      </c>
      <c r="B2571" s="204">
        <f>VALUE(RIGHT(C2571,LEN(C2571)-2))</f>
        <v>160</v>
      </c>
      <c r="C2571" s="74" t="s">
        <v>8726</v>
      </c>
      <c r="D2571" s="75">
        <v>41281</v>
      </c>
      <c r="E2571" s="68" t="s">
        <v>2961</v>
      </c>
      <c r="F2571" s="68" t="s">
        <v>3873</v>
      </c>
      <c r="G2571" s="68" t="s">
        <v>8727</v>
      </c>
      <c r="H2571" s="69"/>
      <c r="I2571" s="69" t="s">
        <v>8728</v>
      </c>
      <c r="J2571" s="81"/>
      <c r="K2571" s="71" t="s">
        <v>8</v>
      </c>
      <c r="L2571" s="69" t="s">
        <v>120</v>
      </c>
      <c r="M2571" s="69" t="s">
        <v>141</v>
      </c>
      <c r="N2571" s="69" t="e" vm="1">
        <v>#VALUE!</v>
      </c>
      <c r="O2571" s="82">
        <v>41288</v>
      </c>
      <c r="P2571" s="69" t="s">
        <v>4567</v>
      </c>
      <c r="Q2571" s="69"/>
      <c r="R2571" s="69"/>
      <c r="S2571" s="146"/>
      <c r="T2571" s="68" t="s">
        <v>165</v>
      </c>
      <c r="U2571" s="87"/>
      <c r="V2571" s="183">
        <v>41288</v>
      </c>
      <c r="W2571" s="73">
        <v>148</v>
      </c>
      <c r="X2571" s="216">
        <f>248*22800/1000000</f>
        <v>5.6543999999999999</v>
      </c>
      <c r="Y2571" s="73">
        <f>IF(SUM(W2571:W2571)&gt;0,X2571/SUM(W2571:W2571)*1000000,"N/A")</f>
        <v>38205.4054054054</v>
      </c>
      <c r="Z2571" s="70"/>
      <c r="AA2571" s="70"/>
      <c r="AB2571" s="223"/>
      <c r="AC2571" s="75"/>
      <c r="AD2571" s="332"/>
      <c r="AE2571" s="68"/>
      <c r="AF2571" s="148"/>
      <c r="AG2571" s="182">
        <f>YEAR(D2571)</f>
        <v>2013</v>
      </c>
      <c r="AH2571" s="86" t="str">
        <f>+IF(AE2571=$AJ$22,MONTH(T2571),"")</f>
        <v/>
      </c>
      <c r="AI2571" s="86" t="str">
        <f>+IF(AF2571=$AJ$22,MONTH(U2571),"")</f>
        <v/>
      </c>
      <c r="AJ2571" s="86" t="str">
        <f>+IF(AG2571=$AJ$22,MONTH(V2571),"")</f>
        <v/>
      </c>
      <c r="AK2571" s="86" t="str">
        <f>+IF(AG2571=$AK$22,MONTH(V2571),"")</f>
        <v/>
      </c>
      <c r="AL2571" s="86" t="str">
        <f>+IF(AG2571=$AL$22,MONTH(V2571),"")</f>
        <v/>
      </c>
      <c r="AM2571" s="86" t="str">
        <f>+IF($AG2571=$AM$22,MONTH($D2571),"")</f>
        <v/>
      </c>
      <c r="AN2571" s="89" t="str">
        <f>+IF($AG2571=AN$22,MONTH($D2571),"")</f>
        <v/>
      </c>
      <c r="AO2571" s="184" t="str">
        <f>+IF($AG2571=AO$22,MONTH($D2571),"")</f>
        <v/>
      </c>
      <c r="AP2571" s="184" t="str">
        <f>+IF($AG2571=AP$22,MONTH($D2571),"")</f>
        <v/>
      </c>
      <c r="AQ2571" s="184" t="str">
        <f>+IF($AG2571=AQ$22,MONTH($D2571),"")</f>
        <v/>
      </c>
      <c r="AR2571" s="184" t="str">
        <f>+IF($AG2571=AR$22,MONTH($D2571),"")</f>
        <v/>
      </c>
      <c r="AS2571" s="184" t="str">
        <f>+IF($AG2571=AS$22,MONTH($D2571),"")</f>
        <v/>
      </c>
      <c r="AT2571" s="86" t="str">
        <f>+IF($AG2571=AT$22,MONTH($D2571),"")</f>
        <v/>
      </c>
      <c r="AU2571" s="86">
        <f>+IF($AG2571=AU$22,MONTH($D2571),"")</f>
        <v>1</v>
      </c>
      <c r="AV2571" s="86" t="str">
        <f>+IF($AG2571=AV$22,MONTH($D2571),"")</f>
        <v/>
      </c>
      <c r="AW2571" s="86" t="str">
        <f>+IF($AG2571=AW$22,MONTH($D2571),"")</f>
        <v/>
      </c>
      <c r="AX2571" s="86" t="str">
        <f>+IF($AG2571=AX$22,MONTH($D2571),"")</f>
        <v/>
      </c>
      <c r="AY2571" s="89"/>
      <c r="AZ2571" s="89"/>
      <c r="BA2571" s="89"/>
      <c r="BB2571" s="89"/>
      <c r="BC2571" s="89"/>
      <c r="BD2571" s="89"/>
      <c r="BE2571" s="89"/>
      <c r="BF2571" s="89"/>
      <c r="BG2571" s="89"/>
      <c r="BH2571" s="89"/>
      <c r="BI2571" s="89"/>
      <c r="BJ2571" s="182"/>
      <c r="BK2571" s="182"/>
      <c r="BL2571" s="182"/>
      <c r="BM2571" s="182"/>
      <c r="BN2571" s="182"/>
      <c r="BO2571" s="182"/>
      <c r="BP2571" s="182"/>
    </row>
    <row r="2572" spans="1:68" s="51" customFormat="1" ht="19.5" hidden="1" customHeight="1">
      <c r="A2572" s="204" t="str">
        <f>+IFERROR(VALUE(MID(AB2572,4,4)),"")</f>
        <v/>
      </c>
      <c r="B2572" s="204">
        <f>VALUE(RIGHT(C2572,LEN(C2572)-2))</f>
        <v>159</v>
      </c>
      <c r="C2572" s="74" t="s">
        <v>8729</v>
      </c>
      <c r="D2572" s="75">
        <v>41277</v>
      </c>
      <c r="E2572" s="70" t="s">
        <v>15</v>
      </c>
      <c r="F2572" s="68" t="s">
        <v>8579</v>
      </c>
      <c r="G2572" s="68" t="s">
        <v>8730</v>
      </c>
      <c r="H2572" s="69"/>
      <c r="I2572" s="69" t="s">
        <v>8731</v>
      </c>
      <c r="J2572" s="81"/>
      <c r="K2572" s="71" t="s">
        <v>14</v>
      </c>
      <c r="L2572" s="69" t="s">
        <v>120</v>
      </c>
      <c r="M2572" s="69" t="s">
        <v>113</v>
      </c>
      <c r="N2572" s="69" t="e" vm="1">
        <v>#VALUE!</v>
      </c>
      <c r="O2572" s="82">
        <v>41277</v>
      </c>
      <c r="P2572" s="69" t="s">
        <v>402</v>
      </c>
      <c r="Q2572" s="69"/>
      <c r="R2572" s="69"/>
      <c r="S2572" s="146" t="s">
        <v>8732</v>
      </c>
      <c r="T2572" s="68" t="s">
        <v>165</v>
      </c>
      <c r="U2572" s="87"/>
      <c r="V2572" s="183">
        <v>41512</v>
      </c>
      <c r="W2572" s="73">
        <v>160</v>
      </c>
      <c r="X2572" s="216">
        <f>36800*230/1000000</f>
        <v>8.4640000000000004</v>
      </c>
      <c r="Y2572" s="73">
        <f>IF(SUM(W2572:W2572)&gt;0,X2572/SUM(W2572:W2572)*1000000,"N/A")</f>
        <v>52900</v>
      </c>
      <c r="Z2572" s="70"/>
      <c r="AA2572" s="70"/>
      <c r="AB2572" s="223"/>
      <c r="AC2572" s="75"/>
      <c r="AD2572" s="332"/>
      <c r="AE2572" s="68"/>
      <c r="AF2572" s="148"/>
      <c r="AG2572" s="182">
        <f>YEAR(D2572)</f>
        <v>2013</v>
      </c>
      <c r="AH2572" s="86" t="str">
        <f>+IF(AE2572=$AJ$22,MONTH(T2572),"")</f>
        <v/>
      </c>
      <c r="AI2572" s="86" t="str">
        <f>+IF(AF2572=$AJ$22,MONTH(U2572),"")</f>
        <v/>
      </c>
      <c r="AJ2572" s="86" t="str">
        <f>+IF(AG2572=$AJ$22,MONTH(V2572),"")</f>
        <v/>
      </c>
      <c r="AK2572" s="86" t="str">
        <f>+IF(AG2572=$AK$22,MONTH(V2572),"")</f>
        <v/>
      </c>
      <c r="AL2572" s="86" t="str">
        <f>+IF(AG2572=$AL$22,MONTH(V2572),"")</f>
        <v/>
      </c>
      <c r="AM2572" s="86" t="str">
        <f>+IF($AG2572=$AM$22,MONTH($D2572),"")</f>
        <v/>
      </c>
      <c r="AN2572" s="89" t="str">
        <f>+IF($AG2572=AN$22,MONTH($D2572),"")</f>
        <v/>
      </c>
      <c r="AO2572" s="184" t="str">
        <f>+IF($AG2572=AO$22,MONTH($D2572),"")</f>
        <v/>
      </c>
      <c r="AP2572" s="184" t="str">
        <f>+IF($AG2572=AP$22,MONTH($D2572),"")</f>
        <v/>
      </c>
      <c r="AQ2572" s="184" t="str">
        <f>+IF($AG2572=AQ$22,MONTH($D2572),"")</f>
        <v/>
      </c>
      <c r="AR2572" s="184" t="str">
        <f>+IF($AG2572=AR$22,MONTH($D2572),"")</f>
        <v/>
      </c>
      <c r="AS2572" s="184" t="str">
        <f>+IF($AG2572=AS$22,MONTH($D2572),"")</f>
        <v/>
      </c>
      <c r="AT2572" s="86" t="str">
        <f>+IF($AG2572=AT$22,MONTH($D2572),"")</f>
        <v/>
      </c>
      <c r="AU2572" s="86">
        <f>+IF($AG2572=AU$22,MONTH($D2572),"")</f>
        <v>1</v>
      </c>
      <c r="AV2572" s="86" t="str">
        <f>+IF($AG2572=AV$22,MONTH($D2572),"")</f>
        <v/>
      </c>
      <c r="AW2572" s="86" t="str">
        <f>+IF($AG2572=AW$22,MONTH($D2572),"")</f>
        <v/>
      </c>
      <c r="AX2572" s="86" t="str">
        <f>+IF($AG2572=AX$22,MONTH($D2572),"")</f>
        <v/>
      </c>
      <c r="AY2572" s="89"/>
      <c r="AZ2572" s="89"/>
      <c r="BA2572" s="89"/>
      <c r="BB2572" s="89"/>
      <c r="BC2572" s="89"/>
      <c r="BD2572" s="89"/>
      <c r="BE2572" s="89"/>
      <c r="BF2572" s="89"/>
      <c r="BG2572" s="89"/>
      <c r="BH2572" s="89"/>
      <c r="BI2572" s="89"/>
      <c r="BJ2572" s="182"/>
      <c r="BK2572" s="182"/>
      <c r="BL2572" s="182"/>
      <c r="BM2572" s="182"/>
      <c r="BN2572" s="182"/>
      <c r="BO2572" s="182"/>
      <c r="BP2572" s="182"/>
    </row>
    <row r="2573" spans="1:68" s="51" customFormat="1" ht="19.5" hidden="1" customHeight="1">
      <c r="A2573" s="204" t="str">
        <f>+IFERROR(VALUE(MID(AB2573,4,4)),"")</f>
        <v/>
      </c>
      <c r="B2573" s="204">
        <f>VALUE(RIGHT(C2573,LEN(C2573)-2))</f>
        <v>158</v>
      </c>
      <c r="C2573" s="74" t="s">
        <v>8733</v>
      </c>
      <c r="D2573" s="75">
        <v>41277</v>
      </c>
      <c r="E2573" s="68" t="s">
        <v>3741</v>
      </c>
      <c r="F2573" s="68" t="s">
        <v>3741</v>
      </c>
      <c r="G2573" s="68" t="s">
        <v>8734</v>
      </c>
      <c r="H2573" s="69"/>
      <c r="I2573" s="69" t="s">
        <v>8735</v>
      </c>
      <c r="J2573" s="81"/>
      <c r="K2573" s="71" t="s">
        <v>25</v>
      </c>
      <c r="L2573" s="69" t="s">
        <v>120</v>
      </c>
      <c r="M2573" s="69" t="s">
        <v>113</v>
      </c>
      <c r="N2573" s="69" t="e" vm="1">
        <v>#VALUE!</v>
      </c>
      <c r="O2573" s="82">
        <v>41277</v>
      </c>
      <c r="P2573" s="69" t="s">
        <v>402</v>
      </c>
      <c r="Q2573" s="69"/>
      <c r="R2573" s="69"/>
      <c r="S2573" s="146"/>
      <c r="T2573" s="68" t="s">
        <v>165</v>
      </c>
      <c r="U2573" s="87"/>
      <c r="V2573" s="183">
        <v>41277</v>
      </c>
      <c r="W2573" s="73">
        <v>180</v>
      </c>
      <c r="X2573" s="216">
        <f>230*180*230/1000000</f>
        <v>9.5220000000000002</v>
      </c>
      <c r="Y2573" s="73">
        <f>IF(SUM(W2573:W2573)&gt;0,X2573/SUM(W2573:W2573)*1000000,"N/A")</f>
        <v>52900</v>
      </c>
      <c r="Z2573" s="70"/>
      <c r="AA2573" s="70"/>
      <c r="AB2573" s="223"/>
      <c r="AC2573" s="75"/>
      <c r="AD2573" s="332"/>
      <c r="AE2573" s="68"/>
      <c r="AF2573" s="148"/>
      <c r="AG2573" s="182">
        <f>YEAR(D2573)</f>
        <v>2013</v>
      </c>
      <c r="AH2573" s="86" t="str">
        <f>+IF(AE2573=$AJ$22,MONTH(T2573),"")</f>
        <v/>
      </c>
      <c r="AI2573" s="86" t="str">
        <f>+IF(AF2573=$AJ$22,MONTH(U2573),"")</f>
        <v/>
      </c>
      <c r="AJ2573" s="86" t="str">
        <f>+IF(AG2573=$AJ$22,MONTH(V2573),"")</f>
        <v/>
      </c>
      <c r="AK2573" s="86" t="str">
        <f>+IF(AG2573=$AK$22,MONTH(V2573),"")</f>
        <v/>
      </c>
      <c r="AL2573" s="86" t="str">
        <f>+IF(AG2573=$AL$22,MONTH(V2573),"")</f>
        <v/>
      </c>
      <c r="AM2573" s="86" t="str">
        <f>+IF($AG2573=$AM$22,MONTH($D2573),"")</f>
        <v/>
      </c>
      <c r="AN2573" s="89" t="str">
        <f>+IF($AG2573=AN$22,MONTH($D2573),"")</f>
        <v/>
      </c>
      <c r="AO2573" s="184" t="str">
        <f>+IF($AG2573=AO$22,MONTH($D2573),"")</f>
        <v/>
      </c>
      <c r="AP2573" s="184" t="str">
        <f>+IF($AG2573=AP$22,MONTH($D2573),"")</f>
        <v/>
      </c>
      <c r="AQ2573" s="184" t="str">
        <f>+IF($AG2573=AQ$22,MONTH($D2573),"")</f>
        <v/>
      </c>
      <c r="AR2573" s="184" t="str">
        <f>+IF($AG2573=AR$22,MONTH($D2573),"")</f>
        <v/>
      </c>
      <c r="AS2573" s="184" t="str">
        <f>+IF($AG2573=AS$22,MONTH($D2573),"")</f>
        <v/>
      </c>
      <c r="AT2573" s="86" t="str">
        <f>+IF($AG2573=AT$22,MONTH($D2573),"")</f>
        <v/>
      </c>
      <c r="AU2573" s="86">
        <f>+IF($AG2573=AU$22,MONTH($D2573),"")</f>
        <v>1</v>
      </c>
      <c r="AV2573" s="86" t="str">
        <f>+IF($AG2573=AV$22,MONTH($D2573),"")</f>
        <v/>
      </c>
      <c r="AW2573" s="86" t="str">
        <f>+IF($AG2573=AW$22,MONTH($D2573),"")</f>
        <v/>
      </c>
      <c r="AX2573" s="86" t="str">
        <f>+IF($AG2573=AX$22,MONTH($D2573),"")</f>
        <v/>
      </c>
      <c r="AY2573" s="89"/>
      <c r="AZ2573" s="89"/>
      <c r="BA2573" s="89"/>
      <c r="BB2573" s="89"/>
      <c r="BC2573" s="89"/>
      <c r="BD2573" s="89"/>
      <c r="BE2573" s="89"/>
      <c r="BF2573" s="89"/>
      <c r="BG2573" s="89"/>
      <c r="BH2573" s="89"/>
      <c r="BI2573" s="89"/>
      <c r="BJ2573" s="182"/>
      <c r="BK2573" s="182"/>
      <c r="BL2573" s="182"/>
      <c r="BM2573" s="182"/>
      <c r="BN2573" s="182"/>
      <c r="BO2573" s="182"/>
      <c r="BP2573" s="182"/>
    </row>
    <row r="2574" spans="1:68" s="51" customFormat="1" ht="19.5" hidden="1" customHeight="1">
      <c r="A2574" s="204">
        <f>+IFERROR(VALUE(MID(AB2574,4,4)),"")</f>
        <v>64</v>
      </c>
      <c r="B2574" s="204">
        <f>VALUE(RIGHT(C2574,LEN(C2574)-2))</f>
        <v>157</v>
      </c>
      <c r="C2574" s="74" t="s">
        <v>8736</v>
      </c>
      <c r="D2574" s="75">
        <v>41255</v>
      </c>
      <c r="E2574" s="70" t="s">
        <v>332</v>
      </c>
      <c r="F2574" s="70" t="s">
        <v>332</v>
      </c>
      <c r="G2574" s="68" t="s">
        <v>7970</v>
      </c>
      <c r="H2574" s="59" t="s">
        <v>7971</v>
      </c>
      <c r="I2574" s="69" t="s">
        <v>8737</v>
      </c>
      <c r="J2574" s="81"/>
      <c r="K2574" s="71" t="s">
        <v>13</v>
      </c>
      <c r="L2574" s="69" t="s">
        <v>120</v>
      </c>
      <c r="M2574" s="69" t="s">
        <v>141</v>
      </c>
      <c r="N2574" s="69" t="e" vm="1">
        <v>#VALUE!</v>
      </c>
      <c r="O2574" s="164">
        <v>41271</v>
      </c>
      <c r="P2574" s="69" t="s">
        <v>402</v>
      </c>
      <c r="Q2574" s="69"/>
      <c r="R2574" s="69"/>
      <c r="S2574" s="146"/>
      <c r="T2574" s="68" t="s">
        <v>3</v>
      </c>
      <c r="U2574" s="87"/>
      <c r="V2574" s="183">
        <v>41276</v>
      </c>
      <c r="W2574" s="73">
        <f>1424+500+25+60+85</f>
        <v>2094</v>
      </c>
      <c r="X2574" s="216">
        <f>3395*22800/1000000</f>
        <v>77.406000000000006</v>
      </c>
      <c r="Y2574" s="73">
        <f>IF(SUM(W2574:W2574)&gt;0,X2574/SUM(W2574:W2574)*1000000,"N/A")</f>
        <v>36965.616045845272</v>
      </c>
      <c r="Z2574" s="70"/>
      <c r="AA2574" s="70"/>
      <c r="AB2574" s="223" t="s">
        <v>8695</v>
      </c>
      <c r="AC2574" s="75"/>
      <c r="AD2574" s="332"/>
      <c r="AE2574" s="68"/>
      <c r="AF2574" s="148"/>
      <c r="AG2574" s="182">
        <f>YEAR(D2574)</f>
        <v>2012</v>
      </c>
      <c r="AH2574" s="86" t="str">
        <f>+IF(AE2574=$AJ$22,MONTH(T2574),"")</f>
        <v/>
      </c>
      <c r="AI2574" s="86" t="str">
        <f>+IF(AF2574=$AJ$22,MONTH(U2574),"")</f>
        <v/>
      </c>
      <c r="AJ2574" s="86" t="str">
        <f>+IF(AG2574=$AJ$22,MONTH(V2574),"")</f>
        <v/>
      </c>
      <c r="AK2574" s="86" t="str">
        <f>+IF(AG2574=$AK$22,MONTH(V2574),"")</f>
        <v/>
      </c>
      <c r="AL2574" s="86" t="str">
        <f>+IF(AG2574=$AL$22,MONTH(V2574),"")</f>
        <v/>
      </c>
      <c r="AM2574" s="86" t="str">
        <f>+IF($AG2574=$AM$22,MONTH($D2574),"")</f>
        <v/>
      </c>
      <c r="AN2574" s="89" t="str">
        <f>+IF($AG2574=AN$22,MONTH($D2574),"")</f>
        <v/>
      </c>
      <c r="AO2574" s="86" t="str">
        <f>+IF($AG2574=AO$22,MONTH($D2574),"")</f>
        <v/>
      </c>
      <c r="AP2574" s="86" t="str">
        <f>+IF($AG2574=AP$22,MONTH($D2574),"")</f>
        <v/>
      </c>
      <c r="AQ2574" s="86" t="str">
        <f>+IF($AG2574=AQ$22,MONTH($D2574),"")</f>
        <v/>
      </c>
      <c r="AR2574" s="86" t="str">
        <f>+IF($AG2574=AR$22,MONTH($D2574),"")</f>
        <v/>
      </c>
      <c r="AS2574" s="86" t="str">
        <f>+IF($AG2574=AS$22,MONTH($D2574),"")</f>
        <v/>
      </c>
      <c r="AT2574" s="86" t="str">
        <f>+IF($AG2574=AT$22,MONTH($D2574),"")</f>
        <v/>
      </c>
      <c r="AU2574" s="86" t="str">
        <f>+IF($AG2574=AU$22,MONTH($D2574),"")</f>
        <v/>
      </c>
      <c r="AV2574" s="86">
        <f>+IF($AG2574=AV$22,MONTH($D2574),"")</f>
        <v>12</v>
      </c>
      <c r="AW2574" s="86" t="str">
        <f>+IF($AG2574=AW$22,MONTH($D2574),"")</f>
        <v/>
      </c>
      <c r="AX2574" s="86" t="str">
        <f>+IF($AG2574=AX$22,MONTH($D2574),"")</f>
        <v/>
      </c>
      <c r="AY2574" s="89"/>
      <c r="AZ2574" s="89"/>
      <c r="BA2574" s="89"/>
      <c r="BB2574" s="89"/>
      <c r="BC2574" s="89"/>
      <c r="BD2574" s="89"/>
      <c r="BE2574" s="89"/>
      <c r="BF2574" s="89"/>
      <c r="BG2574" s="89"/>
      <c r="BH2574" s="89"/>
      <c r="BI2574" s="89"/>
      <c r="BJ2574" s="182"/>
      <c r="BK2574" s="182"/>
      <c r="BL2574" s="182"/>
      <c r="BM2574" s="182"/>
      <c r="BN2574" s="182"/>
      <c r="BO2574" s="182"/>
      <c r="BP2574" s="182"/>
    </row>
    <row r="2575" spans="1:68" s="51" customFormat="1" ht="19.5" hidden="1" customHeight="1">
      <c r="A2575" s="204" t="str">
        <f>+IFERROR(VALUE(MID(AB2575,4,4)),"")</f>
        <v/>
      </c>
      <c r="B2575" s="204">
        <f>VALUE(RIGHT(C2575,LEN(C2575)-2))</f>
        <v>156</v>
      </c>
      <c r="C2575" s="74" t="s">
        <v>8738</v>
      </c>
      <c r="D2575" s="75">
        <v>41263</v>
      </c>
      <c r="E2575" s="68" t="s">
        <v>2961</v>
      </c>
      <c r="F2575" s="70" t="s">
        <v>332</v>
      </c>
      <c r="G2575" s="68" t="s">
        <v>8709</v>
      </c>
      <c r="H2575" s="69"/>
      <c r="I2575" s="69" t="s">
        <v>8739</v>
      </c>
      <c r="J2575" s="81"/>
      <c r="K2575" s="71" t="s">
        <v>8</v>
      </c>
      <c r="L2575" s="69" t="s">
        <v>120</v>
      </c>
      <c r="M2575" s="69" t="s">
        <v>141</v>
      </c>
      <c r="N2575" s="69" t="s">
        <v>8740</v>
      </c>
      <c r="O2575" s="82">
        <v>41264</v>
      </c>
      <c r="P2575" s="69" t="s">
        <v>4567</v>
      </c>
      <c r="Q2575" s="69"/>
      <c r="R2575" s="69"/>
      <c r="S2575" s="146" t="s">
        <v>8741</v>
      </c>
      <c r="T2575" s="68" t="s">
        <v>165</v>
      </c>
      <c r="U2575" s="87"/>
      <c r="V2575" s="183">
        <v>41269</v>
      </c>
      <c r="W2575" s="73">
        <v>195</v>
      </c>
      <c r="X2575" s="216">
        <f>320*22800/1000000</f>
        <v>7.2960000000000003</v>
      </c>
      <c r="Y2575" s="73">
        <f>IF(SUM(W2575:W2575)&gt;0,X2575/SUM(W2575:W2575)*1000000,"N/A")</f>
        <v>37415.384615384617</v>
      </c>
      <c r="Z2575" s="70"/>
      <c r="AA2575" s="70"/>
      <c r="AB2575" s="223"/>
      <c r="AC2575" s="75"/>
      <c r="AD2575" s="332"/>
      <c r="AE2575" s="68"/>
      <c r="AF2575" s="148"/>
      <c r="AG2575" s="182">
        <f>YEAR(D2575)</f>
        <v>2012</v>
      </c>
      <c r="AH2575" s="86" t="str">
        <f>+IF(AE2575=$AJ$22,MONTH(T2575),"")</f>
        <v/>
      </c>
      <c r="AI2575" s="86" t="str">
        <f>+IF(AF2575=$AJ$22,MONTH(U2575),"")</f>
        <v/>
      </c>
      <c r="AJ2575" s="86" t="str">
        <f>+IF(AG2575=$AJ$22,MONTH(V2575),"")</f>
        <v/>
      </c>
      <c r="AK2575" s="86" t="str">
        <f>+IF(AG2575=$AK$22,MONTH(V2575),"")</f>
        <v/>
      </c>
      <c r="AL2575" s="86" t="str">
        <f>+IF(AG2575=$AL$22,MONTH(V2575),"")</f>
        <v/>
      </c>
      <c r="AM2575" s="86" t="str">
        <f>+IF($AG2575=$AM$22,MONTH($D2575),"")</f>
        <v/>
      </c>
      <c r="AN2575" s="89" t="str">
        <f>+IF($AG2575=AN$22,MONTH($D2575),"")</f>
        <v/>
      </c>
      <c r="AO2575" s="184" t="str">
        <f>+IF($AG2575=AO$22,MONTH($D2575),"")</f>
        <v/>
      </c>
      <c r="AP2575" s="184" t="str">
        <f>+IF($AG2575=AP$22,MONTH($D2575),"")</f>
        <v/>
      </c>
      <c r="AQ2575" s="184" t="str">
        <f>+IF($AG2575=AQ$22,MONTH($D2575),"")</f>
        <v/>
      </c>
      <c r="AR2575" s="184" t="str">
        <f>+IF($AG2575=AR$22,MONTH($D2575),"")</f>
        <v/>
      </c>
      <c r="AS2575" s="184" t="str">
        <f>+IF($AG2575=AS$22,MONTH($D2575),"")</f>
        <v/>
      </c>
      <c r="AT2575" s="86" t="str">
        <f>+IF($AG2575=AT$22,MONTH($D2575),"")</f>
        <v/>
      </c>
      <c r="AU2575" s="86" t="str">
        <f>+IF($AG2575=AU$22,MONTH($D2575),"")</f>
        <v/>
      </c>
      <c r="AV2575" s="86">
        <f>+IF($AG2575=AV$22,MONTH($D2575),"")</f>
        <v>12</v>
      </c>
      <c r="AW2575" s="86" t="str">
        <f>+IF($AG2575=AW$22,MONTH($D2575),"")</f>
        <v/>
      </c>
      <c r="AX2575" s="86" t="str">
        <f>+IF($AG2575=AX$22,MONTH($D2575),"")</f>
        <v/>
      </c>
      <c r="AY2575" s="89"/>
      <c r="AZ2575" s="89"/>
      <c r="BA2575" s="89"/>
      <c r="BB2575" s="89"/>
      <c r="BC2575" s="89"/>
      <c r="BD2575" s="89"/>
      <c r="BE2575" s="89"/>
      <c r="BF2575" s="89"/>
      <c r="BG2575" s="89"/>
      <c r="BH2575" s="89"/>
      <c r="BI2575" s="89"/>
      <c r="BJ2575" s="182"/>
      <c r="BK2575" s="182"/>
      <c r="BL2575" s="182"/>
      <c r="BM2575" s="182"/>
      <c r="BN2575" s="182"/>
      <c r="BO2575" s="182"/>
      <c r="BP2575" s="182"/>
    </row>
    <row r="2576" spans="1:68" s="51" customFormat="1" ht="19.5" hidden="1" customHeight="1">
      <c r="A2576" s="204">
        <f>+IFERROR(VALUE(MID(AB2576,4,4)),"")</f>
        <v>66</v>
      </c>
      <c r="B2576" s="204">
        <f>VALUE(RIGHT(C2576,LEN(C2576)-2))</f>
        <v>155</v>
      </c>
      <c r="C2576" s="74" t="s">
        <v>8742</v>
      </c>
      <c r="D2576" s="75">
        <v>41264</v>
      </c>
      <c r="E2576" s="70" t="s">
        <v>332</v>
      </c>
      <c r="F2576" s="70" t="s">
        <v>332</v>
      </c>
      <c r="G2576" s="68" t="s">
        <v>7970</v>
      </c>
      <c r="H2576" s="59" t="s">
        <v>7971</v>
      </c>
      <c r="I2576" s="69" t="s">
        <v>8743</v>
      </c>
      <c r="J2576" s="81"/>
      <c r="K2576" s="71" t="s">
        <v>30</v>
      </c>
      <c r="L2576" s="69" t="s">
        <v>120</v>
      </c>
      <c r="M2576" s="69" t="s">
        <v>141</v>
      </c>
      <c r="N2576" s="69" t="e" vm="1">
        <v>#VALUE!</v>
      </c>
      <c r="O2576" s="82">
        <v>41264</v>
      </c>
      <c r="P2576" s="69" t="s">
        <v>402</v>
      </c>
      <c r="Q2576" s="69"/>
      <c r="R2576" s="69"/>
      <c r="S2576" s="146"/>
      <c r="T2576" s="68" t="s">
        <v>3</v>
      </c>
      <c r="U2576" s="87"/>
      <c r="V2576" s="183">
        <v>41269</v>
      </c>
      <c r="W2576" s="73">
        <v>455</v>
      </c>
      <c r="X2576" s="216">
        <f>715*22800/1000000</f>
        <v>16.302</v>
      </c>
      <c r="Y2576" s="73">
        <f>IF(SUM(W2576:W2576)&gt;0,X2576/SUM(W2576:W2576)*1000000,"N/A")</f>
        <v>35828.571428571428</v>
      </c>
      <c r="Z2576" s="70"/>
      <c r="AA2576" s="70"/>
      <c r="AB2576" s="223" t="s">
        <v>8744</v>
      </c>
      <c r="AC2576" s="75"/>
      <c r="AD2576" s="332"/>
      <c r="AE2576" s="68"/>
      <c r="AF2576" s="148"/>
      <c r="AG2576" s="182">
        <f>YEAR(D2576)</f>
        <v>2012</v>
      </c>
      <c r="AH2576" s="86" t="str">
        <f>+IF(AE2576=$AJ$22,MONTH(T2576),"")</f>
        <v/>
      </c>
      <c r="AI2576" s="86" t="str">
        <f>+IF(AF2576=$AJ$22,MONTH(U2576),"")</f>
        <v/>
      </c>
      <c r="AJ2576" s="86" t="str">
        <f>+IF(AG2576=$AJ$22,MONTH(V2576),"")</f>
        <v/>
      </c>
      <c r="AK2576" s="86" t="str">
        <f>+IF(AG2576=$AK$22,MONTH(V2576),"")</f>
        <v/>
      </c>
      <c r="AL2576" s="86" t="str">
        <f>+IF(AG2576=$AL$22,MONTH(V2576),"")</f>
        <v/>
      </c>
      <c r="AM2576" s="86" t="str">
        <f>+IF($AG2576=$AM$22,MONTH($D2576),"")</f>
        <v/>
      </c>
      <c r="AN2576" s="89" t="str">
        <f>+IF($AG2576=AN$22,MONTH($D2576),"")</f>
        <v/>
      </c>
      <c r="AO2576" s="86" t="str">
        <f>+IF($AG2576=AO$22,MONTH($D2576),"")</f>
        <v/>
      </c>
      <c r="AP2576" s="86" t="str">
        <f>+IF($AG2576=AP$22,MONTH($D2576),"")</f>
        <v/>
      </c>
      <c r="AQ2576" s="86" t="str">
        <f>+IF($AG2576=AQ$22,MONTH($D2576),"")</f>
        <v/>
      </c>
      <c r="AR2576" s="86" t="str">
        <f>+IF($AG2576=AR$22,MONTH($D2576),"")</f>
        <v/>
      </c>
      <c r="AS2576" s="86" t="str">
        <f>+IF($AG2576=AS$22,MONTH($D2576),"")</f>
        <v/>
      </c>
      <c r="AT2576" s="86" t="str">
        <f>+IF($AG2576=AT$22,MONTH($D2576),"")</f>
        <v/>
      </c>
      <c r="AU2576" s="86" t="str">
        <f>+IF($AG2576=AU$22,MONTH($D2576),"")</f>
        <v/>
      </c>
      <c r="AV2576" s="86">
        <f>+IF($AG2576=AV$22,MONTH($D2576),"")</f>
        <v>12</v>
      </c>
      <c r="AW2576" s="86" t="str">
        <f>+IF($AG2576=AW$22,MONTH($D2576),"")</f>
        <v/>
      </c>
      <c r="AX2576" s="86" t="str">
        <f>+IF($AG2576=AX$22,MONTH($D2576),"")</f>
        <v/>
      </c>
      <c r="AY2576" s="89"/>
      <c r="AZ2576" s="89"/>
      <c r="BA2576" s="89"/>
      <c r="BB2576" s="89"/>
      <c r="BC2576" s="89"/>
      <c r="BD2576" s="89"/>
      <c r="BE2576" s="89"/>
      <c r="BF2576" s="89"/>
      <c r="BG2576" s="89"/>
      <c r="BH2576" s="89"/>
      <c r="BI2576" s="89"/>
      <c r="BJ2576" s="182"/>
      <c r="BK2576" s="182"/>
      <c r="BL2576" s="182"/>
      <c r="BM2576" s="182"/>
      <c r="BN2576" s="182"/>
      <c r="BO2576" s="182"/>
      <c r="BP2576" s="182"/>
    </row>
    <row r="2577" spans="1:68" s="51" customFormat="1" ht="19.5" hidden="1" customHeight="1">
      <c r="A2577" s="204" t="str">
        <f>+IFERROR(VALUE(MID(AB2577,4,4)),"")</f>
        <v/>
      </c>
      <c r="B2577" s="204">
        <f>VALUE(RIGHT(C2577,LEN(C2577)-2))</f>
        <v>154</v>
      </c>
      <c r="C2577" s="74" t="s">
        <v>8745</v>
      </c>
      <c r="D2577" s="75">
        <v>41255</v>
      </c>
      <c r="E2577" s="68" t="s">
        <v>1259</v>
      </c>
      <c r="F2577" s="68" t="s">
        <v>2065</v>
      </c>
      <c r="G2577" s="68" t="s">
        <v>8746</v>
      </c>
      <c r="H2577" s="59" t="s">
        <v>7971</v>
      </c>
      <c r="I2577" s="69" t="s">
        <v>8747</v>
      </c>
      <c r="J2577" s="81"/>
      <c r="K2577" s="71" t="s">
        <v>12</v>
      </c>
      <c r="L2577" s="69" t="s">
        <v>123</v>
      </c>
      <c r="M2577" s="69" t="s">
        <v>141</v>
      </c>
      <c r="N2577" s="69" t="e" vm="1">
        <v>#VALUE!</v>
      </c>
      <c r="O2577" s="82">
        <v>41255</v>
      </c>
      <c r="P2577" s="69" t="s">
        <v>8748</v>
      </c>
      <c r="Q2577" s="69"/>
      <c r="R2577" s="69"/>
      <c r="S2577" s="146"/>
      <c r="T2577" s="68" t="s">
        <v>165</v>
      </c>
      <c r="U2577" s="87"/>
      <c r="V2577" s="183">
        <v>41269</v>
      </c>
      <c r="W2577" s="73">
        <v>2472</v>
      </c>
      <c r="X2577" s="216">
        <v>74.999944020000001</v>
      </c>
      <c r="Y2577" s="73">
        <f>IF(SUM(W2577:W2577)&gt;0,X2577/SUM(W2577:W2577)*1000000,"N/A")</f>
        <v>30339.783179611652</v>
      </c>
      <c r="Z2577" s="70"/>
      <c r="AA2577" s="70"/>
      <c r="AB2577" s="223"/>
      <c r="AC2577" s="75"/>
      <c r="AD2577" s="332"/>
      <c r="AE2577" s="68"/>
      <c r="AF2577" s="148"/>
      <c r="AG2577" s="182">
        <f>YEAR(D2577)</f>
        <v>2012</v>
      </c>
      <c r="AH2577" s="86" t="str">
        <f>+IF(AE2577=$AJ$22,MONTH(T2577),"")</f>
        <v/>
      </c>
      <c r="AI2577" s="86" t="str">
        <f>+IF(AF2577=$AJ$22,MONTH(U2577),"")</f>
        <v/>
      </c>
      <c r="AJ2577" s="86" t="str">
        <f>+IF(AG2577=$AJ$22,MONTH(V2577),"")</f>
        <v/>
      </c>
      <c r="AK2577" s="86" t="str">
        <f>+IF(AG2577=$AK$22,MONTH(V2577),"")</f>
        <v/>
      </c>
      <c r="AL2577" s="86" t="str">
        <f>+IF(AG2577=$AL$22,MONTH(V2577),"")</f>
        <v/>
      </c>
      <c r="AM2577" s="86" t="str">
        <f>+IF($AG2577=$AM$22,MONTH($D2577),"")</f>
        <v/>
      </c>
      <c r="AN2577" s="89" t="str">
        <f>+IF($AG2577=AN$22,MONTH($D2577),"")</f>
        <v/>
      </c>
      <c r="AO2577" s="184" t="str">
        <f>+IF($AG2577=AO$22,MONTH($D2577),"")</f>
        <v/>
      </c>
      <c r="AP2577" s="184" t="str">
        <f>+IF($AG2577=AP$22,MONTH($D2577),"")</f>
        <v/>
      </c>
      <c r="AQ2577" s="184" t="str">
        <f>+IF($AG2577=AQ$22,MONTH($D2577),"")</f>
        <v/>
      </c>
      <c r="AR2577" s="184" t="str">
        <f>+IF($AG2577=AR$22,MONTH($D2577),"")</f>
        <v/>
      </c>
      <c r="AS2577" s="184" t="str">
        <f>+IF($AG2577=AS$22,MONTH($D2577),"")</f>
        <v/>
      </c>
      <c r="AT2577" s="86" t="str">
        <f>+IF($AG2577=AT$22,MONTH($D2577),"")</f>
        <v/>
      </c>
      <c r="AU2577" s="86" t="str">
        <f>+IF($AG2577=AU$22,MONTH($D2577),"")</f>
        <v/>
      </c>
      <c r="AV2577" s="86">
        <f>+IF($AG2577=AV$22,MONTH($D2577),"")</f>
        <v>12</v>
      </c>
      <c r="AW2577" s="86" t="str">
        <f>+IF($AG2577=AW$22,MONTH($D2577),"")</f>
        <v/>
      </c>
      <c r="AX2577" s="86" t="str">
        <f>+IF($AG2577=AX$22,MONTH($D2577),"")</f>
        <v/>
      </c>
      <c r="AY2577" s="89"/>
      <c r="AZ2577" s="89"/>
      <c r="BA2577" s="89"/>
      <c r="BB2577" s="89"/>
      <c r="BC2577" s="89"/>
      <c r="BD2577" s="89"/>
      <c r="BE2577" s="89"/>
      <c r="BF2577" s="89"/>
      <c r="BG2577" s="89"/>
      <c r="BH2577" s="89"/>
      <c r="BI2577" s="89"/>
      <c r="BJ2577" s="182"/>
      <c r="BK2577" s="182"/>
      <c r="BL2577" s="182"/>
      <c r="BM2577" s="182"/>
      <c r="BN2577" s="182"/>
      <c r="BO2577" s="182"/>
      <c r="BP2577" s="182"/>
    </row>
    <row r="2578" spans="1:68" s="51" customFormat="1" ht="19.5" hidden="1" customHeight="1">
      <c r="A2578" s="204" t="str">
        <f>+IFERROR(VALUE(MID(AB2578,4,4)),"")</f>
        <v/>
      </c>
      <c r="B2578" s="204">
        <f>VALUE(RIGHT(C2578,LEN(C2578)-2))</f>
        <v>153</v>
      </c>
      <c r="C2578" s="74" t="s">
        <v>8749</v>
      </c>
      <c r="D2578" s="75">
        <v>41255</v>
      </c>
      <c r="E2578" s="68" t="s">
        <v>8482</v>
      </c>
      <c r="F2578" s="68" t="s">
        <v>8482</v>
      </c>
      <c r="G2578" s="68" t="s">
        <v>8750</v>
      </c>
      <c r="H2578" s="69"/>
      <c r="I2578" s="69" t="s">
        <v>8751</v>
      </c>
      <c r="J2578" s="81"/>
      <c r="K2578" s="71" t="s">
        <v>30</v>
      </c>
      <c r="L2578" s="69" t="s">
        <v>120</v>
      </c>
      <c r="M2578" s="69" t="s">
        <v>141</v>
      </c>
      <c r="N2578" s="69" t="e" vm="1">
        <v>#VALUE!</v>
      </c>
      <c r="O2578" s="82">
        <v>41260</v>
      </c>
      <c r="P2578" s="69" t="s">
        <v>402</v>
      </c>
      <c r="Q2578" s="69"/>
      <c r="R2578" s="69"/>
      <c r="S2578" s="146" t="s">
        <v>8752</v>
      </c>
      <c r="T2578" s="68" t="s">
        <v>165</v>
      </c>
      <c r="U2578" s="87"/>
      <c r="V2578" s="183">
        <v>41269</v>
      </c>
      <c r="W2578" s="73">
        <v>600</v>
      </c>
      <c r="X2578" s="216">
        <f>958*22800/1000000</f>
        <v>21.842400000000001</v>
      </c>
      <c r="Y2578" s="73">
        <f>IF(SUM(W2578:W2578)&gt;0,X2578/SUM(W2578:W2578)*1000000,"N/A")</f>
        <v>36404</v>
      </c>
      <c r="Z2578" s="70"/>
      <c r="AA2578" s="70"/>
      <c r="AB2578" s="223"/>
      <c r="AC2578" s="75"/>
      <c r="AD2578" s="332"/>
      <c r="AE2578" s="68"/>
      <c r="AF2578" s="148"/>
      <c r="AG2578" s="182">
        <f>YEAR(D2578)</f>
        <v>2012</v>
      </c>
      <c r="AH2578" s="86" t="str">
        <f>+IF(AE2578=$AJ$22,MONTH(T2578),"")</f>
        <v/>
      </c>
      <c r="AI2578" s="86" t="str">
        <f>+IF(AF2578=$AJ$22,MONTH(U2578),"")</f>
        <v/>
      </c>
      <c r="AJ2578" s="86" t="str">
        <f>+IF(AG2578=$AJ$22,MONTH(V2578),"")</f>
        <v/>
      </c>
      <c r="AK2578" s="86" t="str">
        <f>+IF(AG2578=$AK$22,MONTH(V2578),"")</f>
        <v/>
      </c>
      <c r="AL2578" s="86" t="str">
        <f>+IF(AG2578=$AL$22,MONTH(V2578),"")</f>
        <v/>
      </c>
      <c r="AM2578" s="86" t="str">
        <f>+IF($AG2578=$AM$22,MONTH($D2578),"")</f>
        <v/>
      </c>
      <c r="AN2578" s="89" t="str">
        <f>+IF($AG2578=AN$22,MONTH($D2578),"")</f>
        <v/>
      </c>
      <c r="AO2578" s="184" t="str">
        <f>+IF($AG2578=AO$22,MONTH($D2578),"")</f>
        <v/>
      </c>
      <c r="AP2578" s="184" t="str">
        <f>+IF($AG2578=AP$22,MONTH($D2578),"")</f>
        <v/>
      </c>
      <c r="AQ2578" s="184" t="str">
        <f>+IF($AG2578=AQ$22,MONTH($D2578),"")</f>
        <v/>
      </c>
      <c r="AR2578" s="184" t="str">
        <f>+IF($AG2578=AR$22,MONTH($D2578),"")</f>
        <v/>
      </c>
      <c r="AS2578" s="184" t="str">
        <f>+IF($AG2578=AS$22,MONTH($D2578),"")</f>
        <v/>
      </c>
      <c r="AT2578" s="86" t="str">
        <f>+IF($AG2578=AT$22,MONTH($D2578),"")</f>
        <v/>
      </c>
      <c r="AU2578" s="86" t="str">
        <f>+IF($AG2578=AU$22,MONTH($D2578),"")</f>
        <v/>
      </c>
      <c r="AV2578" s="86">
        <f>+IF($AG2578=AV$22,MONTH($D2578),"")</f>
        <v>12</v>
      </c>
      <c r="AW2578" s="86" t="str">
        <f>+IF($AG2578=AW$22,MONTH($D2578),"")</f>
        <v/>
      </c>
      <c r="AX2578" s="86" t="str">
        <f>+IF($AG2578=AX$22,MONTH($D2578),"")</f>
        <v/>
      </c>
      <c r="AY2578" s="89"/>
      <c r="AZ2578" s="89"/>
      <c r="BA2578" s="89"/>
      <c r="BB2578" s="89"/>
      <c r="BC2578" s="89"/>
      <c r="BD2578" s="89"/>
      <c r="BE2578" s="89"/>
      <c r="BF2578" s="89"/>
      <c r="BG2578" s="89"/>
      <c r="BH2578" s="89"/>
      <c r="BI2578" s="89"/>
      <c r="BJ2578" s="182"/>
      <c r="BK2578" s="182"/>
      <c r="BL2578" s="182"/>
      <c r="BM2578" s="182"/>
      <c r="BN2578" s="182"/>
      <c r="BO2578" s="182"/>
      <c r="BP2578" s="182"/>
    </row>
    <row r="2579" spans="1:68" s="51" customFormat="1" ht="19.5" hidden="1" customHeight="1">
      <c r="A2579" s="204" t="str">
        <f>+IFERROR(VALUE(MID(AB2579,4,4)),"")</f>
        <v/>
      </c>
      <c r="B2579" s="204">
        <f>VALUE(RIGHT(C2579,LEN(C2579)-2))</f>
        <v>152</v>
      </c>
      <c r="C2579" s="74" t="s">
        <v>8753</v>
      </c>
      <c r="D2579" s="75">
        <v>41255</v>
      </c>
      <c r="E2579" s="68" t="s">
        <v>8482</v>
      </c>
      <c r="F2579" s="68" t="s">
        <v>8482</v>
      </c>
      <c r="G2579" s="68" t="s">
        <v>8750</v>
      </c>
      <c r="H2579" s="69"/>
      <c r="I2579" s="69" t="s">
        <v>8754</v>
      </c>
      <c r="J2579" s="81"/>
      <c r="K2579" s="71" t="s">
        <v>30</v>
      </c>
      <c r="L2579" s="69" t="s">
        <v>120</v>
      </c>
      <c r="M2579" s="69" t="s">
        <v>141</v>
      </c>
      <c r="N2579" s="69" t="e" vm="1">
        <v>#VALUE!</v>
      </c>
      <c r="O2579" s="82">
        <v>41260</v>
      </c>
      <c r="P2579" s="69" t="s">
        <v>402</v>
      </c>
      <c r="Q2579" s="69"/>
      <c r="R2579" s="69"/>
      <c r="S2579" s="146" t="s">
        <v>8752</v>
      </c>
      <c r="T2579" s="68" t="s">
        <v>165</v>
      </c>
      <c r="U2579" s="87"/>
      <c r="V2579" s="183">
        <v>41269</v>
      </c>
      <c r="W2579" s="73">
        <v>970</v>
      </c>
      <c r="X2579" s="216">
        <f>2015*22800/1000000</f>
        <v>45.942</v>
      </c>
      <c r="Y2579" s="73">
        <f>IF(SUM(W2579:W2579)&gt;0,X2579/SUM(W2579:W2579)*1000000,"N/A")</f>
        <v>47362.886597938144</v>
      </c>
      <c r="Z2579" s="70"/>
      <c r="AA2579" s="70"/>
      <c r="AB2579" s="223"/>
      <c r="AC2579" s="75"/>
      <c r="AD2579" s="332"/>
      <c r="AE2579" s="68"/>
      <c r="AF2579" s="148"/>
      <c r="AG2579" s="182">
        <f>YEAR(D2579)</f>
        <v>2012</v>
      </c>
      <c r="AH2579" s="86" t="str">
        <f>+IF(AE2579=$AJ$22,MONTH(T2579),"")</f>
        <v/>
      </c>
      <c r="AI2579" s="86" t="str">
        <f>+IF(AF2579=$AJ$22,MONTH(U2579),"")</f>
        <v/>
      </c>
      <c r="AJ2579" s="86" t="str">
        <f>+IF(AG2579=$AJ$22,MONTH(V2579),"")</f>
        <v/>
      </c>
      <c r="AK2579" s="86" t="str">
        <f>+IF(AG2579=$AK$22,MONTH(V2579),"")</f>
        <v/>
      </c>
      <c r="AL2579" s="86" t="str">
        <f>+IF(AG2579=$AL$22,MONTH(V2579),"")</f>
        <v/>
      </c>
      <c r="AM2579" s="86" t="str">
        <f>+IF($AG2579=$AM$22,MONTH($D2579),"")</f>
        <v/>
      </c>
      <c r="AN2579" s="89" t="str">
        <f>+IF($AG2579=AN$22,MONTH($D2579),"")</f>
        <v/>
      </c>
      <c r="AO2579" s="184" t="str">
        <f>+IF($AG2579=AO$22,MONTH($D2579),"")</f>
        <v/>
      </c>
      <c r="AP2579" s="184" t="str">
        <f>+IF($AG2579=AP$22,MONTH($D2579),"")</f>
        <v/>
      </c>
      <c r="AQ2579" s="184" t="str">
        <f>+IF($AG2579=AQ$22,MONTH($D2579),"")</f>
        <v/>
      </c>
      <c r="AR2579" s="184" t="str">
        <f>+IF($AG2579=AR$22,MONTH($D2579),"")</f>
        <v/>
      </c>
      <c r="AS2579" s="184" t="str">
        <f>+IF($AG2579=AS$22,MONTH($D2579),"")</f>
        <v/>
      </c>
      <c r="AT2579" s="86" t="str">
        <f>+IF($AG2579=AT$22,MONTH($D2579),"")</f>
        <v/>
      </c>
      <c r="AU2579" s="86" t="str">
        <f>+IF($AG2579=AU$22,MONTH($D2579),"")</f>
        <v/>
      </c>
      <c r="AV2579" s="86">
        <f>+IF($AG2579=AV$22,MONTH($D2579),"")</f>
        <v>12</v>
      </c>
      <c r="AW2579" s="86" t="str">
        <f>+IF($AG2579=AW$22,MONTH($D2579),"")</f>
        <v/>
      </c>
      <c r="AX2579" s="86" t="str">
        <f>+IF($AG2579=AX$22,MONTH($D2579),"")</f>
        <v/>
      </c>
      <c r="AY2579" s="89"/>
      <c r="AZ2579" s="89"/>
      <c r="BA2579" s="89"/>
      <c r="BB2579" s="89"/>
      <c r="BC2579" s="89"/>
      <c r="BD2579" s="89"/>
      <c r="BE2579" s="89"/>
      <c r="BF2579" s="89"/>
      <c r="BG2579" s="89"/>
      <c r="BH2579" s="89"/>
      <c r="BI2579" s="89"/>
      <c r="BJ2579" s="182"/>
      <c r="BK2579" s="182"/>
      <c r="BL2579" s="182"/>
      <c r="BM2579" s="182"/>
      <c r="BN2579" s="182"/>
      <c r="BO2579" s="182"/>
      <c r="BP2579" s="182"/>
    </row>
    <row r="2580" spans="1:68" s="51" customFormat="1" ht="19.5" hidden="1" customHeight="1">
      <c r="A2580" s="204" t="str">
        <f>+IFERROR(VALUE(MID(AB2580,4,4)),"")</f>
        <v/>
      </c>
      <c r="B2580" s="204">
        <f>VALUE(RIGHT(C2580,LEN(C2580)-2))</f>
        <v>151</v>
      </c>
      <c r="C2580" s="74" t="s">
        <v>8755</v>
      </c>
      <c r="D2580" s="75">
        <v>41255</v>
      </c>
      <c r="E2580" s="68" t="s">
        <v>7883</v>
      </c>
      <c r="F2580" s="68" t="s">
        <v>6483</v>
      </c>
      <c r="G2580" s="68" t="s">
        <v>8101</v>
      </c>
      <c r="H2580" s="59" t="s">
        <v>8756</v>
      </c>
      <c r="I2580" s="69" t="s">
        <v>8757</v>
      </c>
      <c r="J2580" s="81"/>
      <c r="K2580" s="71" t="s">
        <v>14</v>
      </c>
      <c r="L2580" s="69" t="s">
        <v>120</v>
      </c>
      <c r="M2580" s="69" t="s">
        <v>141</v>
      </c>
      <c r="N2580" s="69" t="e" vm="1">
        <v>#VALUE!</v>
      </c>
      <c r="O2580" s="82">
        <v>41255</v>
      </c>
      <c r="P2580" s="69" t="s">
        <v>402</v>
      </c>
      <c r="Q2580" s="69"/>
      <c r="R2580" s="69"/>
      <c r="S2580" s="146"/>
      <c r="T2580" s="68" t="s">
        <v>165</v>
      </c>
      <c r="U2580" s="87"/>
      <c r="V2580" s="183">
        <v>41269</v>
      </c>
      <c r="W2580" s="73">
        <v>150</v>
      </c>
      <c r="X2580" s="216">
        <f>250*22800/1000000</f>
        <v>5.7</v>
      </c>
      <c r="Y2580" s="73">
        <f>IF(SUM(W2580:W2580)&gt;0,X2580/SUM(W2580:W2580)*1000000,"N/A")</f>
        <v>38000</v>
      </c>
      <c r="Z2580" s="70"/>
      <c r="AA2580" s="70"/>
      <c r="AB2580" s="223"/>
      <c r="AC2580" s="75"/>
      <c r="AD2580" s="332"/>
      <c r="AE2580" s="68"/>
      <c r="AF2580" s="148"/>
      <c r="AG2580" s="182">
        <f>YEAR(D2580)</f>
        <v>2012</v>
      </c>
      <c r="AH2580" s="86" t="str">
        <f>+IF(AE2580=$AJ$22,MONTH(T2580),"")</f>
        <v/>
      </c>
      <c r="AI2580" s="86" t="str">
        <f>+IF(AF2580=$AJ$22,MONTH(U2580),"")</f>
        <v/>
      </c>
      <c r="AJ2580" s="86" t="str">
        <f>+IF(AG2580=$AJ$22,MONTH(V2580),"")</f>
        <v/>
      </c>
      <c r="AK2580" s="86" t="str">
        <f>+IF(AG2580=$AK$22,MONTH(V2580),"")</f>
        <v/>
      </c>
      <c r="AL2580" s="86" t="str">
        <f>+IF(AG2580=$AL$22,MONTH(V2580),"")</f>
        <v/>
      </c>
      <c r="AM2580" s="86" t="str">
        <f>+IF($AG2580=$AM$22,MONTH($D2580),"")</f>
        <v/>
      </c>
      <c r="AN2580" s="89" t="str">
        <f>+IF($AG2580=AN$22,MONTH($D2580),"")</f>
        <v/>
      </c>
      <c r="AO2580" s="184" t="str">
        <f>+IF($AG2580=AO$22,MONTH($D2580),"")</f>
        <v/>
      </c>
      <c r="AP2580" s="184" t="str">
        <f>+IF($AG2580=AP$22,MONTH($D2580),"")</f>
        <v/>
      </c>
      <c r="AQ2580" s="184" t="str">
        <f>+IF($AG2580=AQ$22,MONTH($D2580),"")</f>
        <v/>
      </c>
      <c r="AR2580" s="184" t="str">
        <f>+IF($AG2580=AR$22,MONTH($D2580),"")</f>
        <v/>
      </c>
      <c r="AS2580" s="184" t="str">
        <f>+IF($AG2580=AS$22,MONTH($D2580),"")</f>
        <v/>
      </c>
      <c r="AT2580" s="86" t="str">
        <f>+IF($AG2580=AT$22,MONTH($D2580),"")</f>
        <v/>
      </c>
      <c r="AU2580" s="86" t="str">
        <f>+IF($AG2580=AU$22,MONTH($D2580),"")</f>
        <v/>
      </c>
      <c r="AV2580" s="86">
        <f>+IF($AG2580=AV$22,MONTH($D2580),"")</f>
        <v>12</v>
      </c>
      <c r="AW2580" s="86" t="str">
        <f>+IF($AG2580=AW$22,MONTH($D2580),"")</f>
        <v/>
      </c>
      <c r="AX2580" s="86" t="str">
        <f>+IF($AG2580=AX$22,MONTH($D2580),"")</f>
        <v/>
      </c>
      <c r="AY2580" s="89"/>
      <c r="AZ2580" s="89"/>
      <c r="BA2580" s="89"/>
      <c r="BB2580" s="89"/>
      <c r="BC2580" s="89"/>
      <c r="BD2580" s="89"/>
      <c r="BE2580" s="89"/>
      <c r="BF2580" s="89"/>
      <c r="BG2580" s="89"/>
      <c r="BH2580" s="89"/>
      <c r="BI2580" s="89"/>
      <c r="BJ2580" s="182"/>
      <c r="BK2580" s="182"/>
      <c r="BL2580" s="182"/>
      <c r="BM2580" s="182"/>
      <c r="BN2580" s="182"/>
      <c r="BO2580" s="182"/>
      <c r="BP2580" s="182"/>
    </row>
    <row r="2581" spans="1:68" s="51" customFormat="1" ht="19.5" hidden="1" customHeight="1">
      <c r="A2581" s="204">
        <f>+IFERROR(VALUE(MID(AB2581,4,4)),"")</f>
        <v>65</v>
      </c>
      <c r="B2581" s="204">
        <f>VALUE(RIGHT(C2581,LEN(C2581)-2))</f>
        <v>150</v>
      </c>
      <c r="C2581" s="74" t="s">
        <v>8758</v>
      </c>
      <c r="D2581" s="75">
        <v>41255</v>
      </c>
      <c r="E2581" s="68" t="s">
        <v>91</v>
      </c>
      <c r="F2581" s="70" t="s">
        <v>848</v>
      </c>
      <c r="G2581" s="68" t="s">
        <v>8759</v>
      </c>
      <c r="H2581" s="59" t="s">
        <v>8756</v>
      </c>
      <c r="I2581" s="69" t="s">
        <v>8760</v>
      </c>
      <c r="J2581" s="81"/>
      <c r="K2581" s="71" t="s">
        <v>30</v>
      </c>
      <c r="L2581" s="69" t="s">
        <v>120</v>
      </c>
      <c r="M2581" s="69" t="s">
        <v>141</v>
      </c>
      <c r="N2581" s="69" t="e" vm="1">
        <v>#VALUE!</v>
      </c>
      <c r="O2581" s="82">
        <v>41263</v>
      </c>
      <c r="P2581" s="69" t="s">
        <v>402</v>
      </c>
      <c r="Q2581" s="69"/>
      <c r="R2581" s="69"/>
      <c r="S2581" s="146"/>
      <c r="T2581" s="68" t="s">
        <v>3</v>
      </c>
      <c r="U2581" s="87"/>
      <c r="V2581" s="183">
        <v>41269</v>
      </c>
      <c r="W2581" s="73">
        <v>170</v>
      </c>
      <c r="X2581" s="216">
        <f>315*22800/1000000</f>
        <v>7.1820000000000004</v>
      </c>
      <c r="Y2581" s="73">
        <f>IF(SUM(W2581:W2581)&gt;0,X2581/SUM(W2581:W2581)*1000000,"N/A")</f>
        <v>42247.058823529413</v>
      </c>
      <c r="Z2581" s="70"/>
      <c r="AA2581" s="70"/>
      <c r="AB2581" s="223" t="s">
        <v>8761</v>
      </c>
      <c r="AC2581" s="75"/>
      <c r="AD2581" s="332"/>
      <c r="AE2581" s="68"/>
      <c r="AF2581" s="148"/>
      <c r="AG2581" s="182">
        <f>YEAR(D2581)</f>
        <v>2012</v>
      </c>
      <c r="AH2581" s="86" t="str">
        <f>+IF(AE2581=$AJ$22,MONTH(T2581),"")</f>
        <v/>
      </c>
      <c r="AI2581" s="86" t="str">
        <f>+IF(AF2581=$AJ$22,MONTH(U2581),"")</f>
        <v/>
      </c>
      <c r="AJ2581" s="86" t="str">
        <f>+IF(AG2581=$AJ$22,MONTH(V2581),"")</f>
        <v/>
      </c>
      <c r="AK2581" s="86" t="str">
        <f>+IF(AG2581=$AK$22,MONTH(V2581),"")</f>
        <v/>
      </c>
      <c r="AL2581" s="86" t="str">
        <f>+IF(AG2581=$AL$22,MONTH(V2581),"")</f>
        <v/>
      </c>
      <c r="AM2581" s="86" t="str">
        <f>+IF($AG2581=$AM$22,MONTH($D2581),"")</f>
        <v/>
      </c>
      <c r="AN2581" s="89" t="str">
        <f>+IF($AG2581=AN$22,MONTH($D2581),"")</f>
        <v/>
      </c>
      <c r="AO2581" s="86" t="str">
        <f>+IF($AG2581=AO$22,MONTH($D2581),"")</f>
        <v/>
      </c>
      <c r="AP2581" s="86" t="str">
        <f>+IF($AG2581=AP$22,MONTH($D2581),"")</f>
        <v/>
      </c>
      <c r="AQ2581" s="86" t="str">
        <f>+IF($AG2581=AQ$22,MONTH($D2581),"")</f>
        <v/>
      </c>
      <c r="AR2581" s="86" t="str">
        <f>+IF($AG2581=AR$22,MONTH($D2581),"")</f>
        <v/>
      </c>
      <c r="AS2581" s="86" t="str">
        <f>+IF($AG2581=AS$22,MONTH($D2581),"")</f>
        <v/>
      </c>
      <c r="AT2581" s="86" t="str">
        <f>+IF($AG2581=AT$22,MONTH($D2581),"")</f>
        <v/>
      </c>
      <c r="AU2581" s="86" t="str">
        <f>+IF($AG2581=AU$22,MONTH($D2581),"")</f>
        <v/>
      </c>
      <c r="AV2581" s="86">
        <f>+IF($AG2581=AV$22,MONTH($D2581),"")</f>
        <v>12</v>
      </c>
      <c r="AW2581" s="86" t="str">
        <f>+IF($AG2581=AW$22,MONTH($D2581),"")</f>
        <v/>
      </c>
      <c r="AX2581" s="86" t="str">
        <f>+IF($AG2581=AX$22,MONTH($D2581),"")</f>
        <v/>
      </c>
      <c r="AY2581" s="89"/>
      <c r="AZ2581" s="89"/>
      <c r="BA2581" s="89"/>
      <c r="BB2581" s="89"/>
      <c r="BC2581" s="89"/>
      <c r="BD2581" s="89"/>
      <c r="BE2581" s="89"/>
      <c r="BF2581" s="89"/>
      <c r="BG2581" s="89"/>
      <c r="BH2581" s="89"/>
      <c r="BI2581" s="89"/>
      <c r="BJ2581" s="182"/>
      <c r="BK2581" s="182"/>
      <c r="BL2581" s="182"/>
      <c r="BM2581" s="182"/>
      <c r="BN2581" s="182"/>
      <c r="BO2581" s="182"/>
      <c r="BP2581" s="182"/>
    </row>
    <row r="2582" spans="1:68" s="51" customFormat="1" ht="19.5" hidden="1" customHeight="1">
      <c r="A2582" s="204" t="str">
        <f>+IFERROR(VALUE(MID(AB2582,4,4)),"")</f>
        <v/>
      </c>
      <c r="B2582" s="204">
        <f>VALUE(RIGHT(C2582,LEN(C2582)-2))</f>
        <v>149</v>
      </c>
      <c r="C2582" s="74" t="s">
        <v>8762</v>
      </c>
      <c r="D2582" s="75">
        <v>41254</v>
      </c>
      <c r="E2582" s="68" t="s">
        <v>685</v>
      </c>
      <c r="F2582" s="68" t="s">
        <v>685</v>
      </c>
      <c r="G2582" s="68" t="s">
        <v>8763</v>
      </c>
      <c r="H2582" s="69"/>
      <c r="I2582" s="69" t="s">
        <v>8764</v>
      </c>
      <c r="J2582" s="81"/>
      <c r="K2582" s="71" t="s">
        <v>30</v>
      </c>
      <c r="L2582" s="69" t="s">
        <v>120</v>
      </c>
      <c r="M2582" s="69" t="s">
        <v>141</v>
      </c>
      <c r="N2582" s="69" t="e" vm="1">
        <v>#VALUE!</v>
      </c>
      <c r="O2582" s="82">
        <v>41254</v>
      </c>
      <c r="P2582" s="69" t="s">
        <v>402</v>
      </c>
      <c r="Q2582" s="69"/>
      <c r="R2582" s="69"/>
      <c r="S2582" s="146"/>
      <c r="T2582" s="68" t="s">
        <v>165</v>
      </c>
      <c r="U2582" s="87"/>
      <c r="V2582" s="183">
        <v>41269</v>
      </c>
      <c r="W2582" s="73">
        <v>883</v>
      </c>
      <c r="X2582" s="216">
        <f>1898*22800/1000000</f>
        <v>43.2744</v>
      </c>
      <c r="Y2582" s="73">
        <f>IF(SUM(W2582:W2582)&gt;0,X2582/SUM(W2582:W2582)*1000000,"N/A")</f>
        <v>49008.380520951301</v>
      </c>
      <c r="Z2582" s="70"/>
      <c r="AA2582" s="70"/>
      <c r="AB2582" s="223"/>
      <c r="AC2582" s="75"/>
      <c r="AD2582" s="332"/>
      <c r="AE2582" s="68"/>
      <c r="AF2582" s="148"/>
      <c r="AG2582" s="182">
        <f>YEAR(D2582)</f>
        <v>2012</v>
      </c>
      <c r="AH2582" s="86" t="str">
        <f>+IF(AE2582=$AJ$22,MONTH(T2582),"")</f>
        <v/>
      </c>
      <c r="AI2582" s="86" t="str">
        <f>+IF(AF2582=$AJ$22,MONTH(U2582),"")</f>
        <v/>
      </c>
      <c r="AJ2582" s="86" t="str">
        <f>+IF(AG2582=$AJ$22,MONTH(V2582),"")</f>
        <v/>
      </c>
      <c r="AK2582" s="86" t="str">
        <f>+IF(AG2582=$AK$22,MONTH(V2582),"")</f>
        <v/>
      </c>
      <c r="AL2582" s="86" t="str">
        <f>+IF(AG2582=$AL$22,MONTH(V2582),"")</f>
        <v/>
      </c>
      <c r="AM2582" s="86" t="str">
        <f>+IF($AG2582=$AM$22,MONTH($D2582),"")</f>
        <v/>
      </c>
      <c r="AN2582" s="89" t="str">
        <f>+IF($AG2582=AN$22,MONTH($D2582),"")</f>
        <v/>
      </c>
      <c r="AO2582" s="184" t="str">
        <f>+IF($AG2582=AO$22,MONTH($D2582),"")</f>
        <v/>
      </c>
      <c r="AP2582" s="184" t="str">
        <f>+IF($AG2582=AP$22,MONTH($D2582),"")</f>
        <v/>
      </c>
      <c r="AQ2582" s="184" t="str">
        <f>+IF($AG2582=AQ$22,MONTH($D2582),"")</f>
        <v/>
      </c>
      <c r="AR2582" s="184" t="str">
        <f>+IF($AG2582=AR$22,MONTH($D2582),"")</f>
        <v/>
      </c>
      <c r="AS2582" s="184" t="str">
        <f>+IF($AG2582=AS$22,MONTH($D2582),"")</f>
        <v/>
      </c>
      <c r="AT2582" s="86" t="str">
        <f>+IF($AG2582=AT$22,MONTH($D2582),"")</f>
        <v/>
      </c>
      <c r="AU2582" s="86" t="str">
        <f>+IF($AG2582=AU$22,MONTH($D2582),"")</f>
        <v/>
      </c>
      <c r="AV2582" s="86">
        <f>+IF($AG2582=AV$22,MONTH($D2582),"")</f>
        <v>12</v>
      </c>
      <c r="AW2582" s="86" t="str">
        <f>+IF($AG2582=AW$22,MONTH($D2582),"")</f>
        <v/>
      </c>
      <c r="AX2582" s="86" t="str">
        <f>+IF($AG2582=AX$22,MONTH($D2582),"")</f>
        <v/>
      </c>
      <c r="AY2582" s="89"/>
      <c r="AZ2582" s="89"/>
      <c r="BA2582" s="89"/>
      <c r="BB2582" s="89"/>
      <c r="BC2582" s="89"/>
      <c r="BD2582" s="89"/>
      <c r="BE2582" s="89"/>
      <c r="BF2582" s="89"/>
      <c r="BG2582" s="89"/>
      <c r="BH2582" s="89"/>
      <c r="BI2582" s="89"/>
      <c r="BJ2582" s="182"/>
      <c r="BK2582" s="182"/>
      <c r="BL2582" s="182"/>
      <c r="BM2582" s="182"/>
      <c r="BN2582" s="182"/>
      <c r="BO2582" s="182"/>
      <c r="BP2582" s="182"/>
    </row>
    <row r="2583" spans="1:68" s="51" customFormat="1" ht="19.5" hidden="1" customHeight="1">
      <c r="A2583" s="204" t="str">
        <f>+IFERROR(VALUE(MID(AB2583,4,4)),"")</f>
        <v/>
      </c>
      <c r="B2583" s="204">
        <f>VALUE(RIGHT(C2583,LEN(C2583)-2))</f>
        <v>148</v>
      </c>
      <c r="C2583" s="74" t="s">
        <v>8765</v>
      </c>
      <c r="D2583" s="75">
        <v>41239</v>
      </c>
      <c r="E2583" s="68" t="s">
        <v>1259</v>
      </c>
      <c r="F2583" s="68" t="s">
        <v>2065</v>
      </c>
      <c r="G2583" s="68" t="s">
        <v>8678</v>
      </c>
      <c r="H2583" s="69"/>
      <c r="I2583" s="69" t="s">
        <v>8766</v>
      </c>
      <c r="J2583" s="81"/>
      <c r="K2583" s="71" t="s">
        <v>12</v>
      </c>
      <c r="L2583" s="69" t="s">
        <v>123</v>
      </c>
      <c r="M2583" s="69" t="s">
        <v>141</v>
      </c>
      <c r="N2583" s="69" t="e" vm="1">
        <v>#VALUE!</v>
      </c>
      <c r="O2583" s="82">
        <v>41239</v>
      </c>
      <c r="P2583" s="69" t="s">
        <v>402</v>
      </c>
      <c r="Q2583" s="69"/>
      <c r="R2583" s="69"/>
      <c r="S2583" s="146"/>
      <c r="T2583" s="68" t="s">
        <v>165</v>
      </c>
      <c r="U2583" s="87"/>
      <c r="V2583" s="183">
        <v>41239</v>
      </c>
      <c r="W2583" s="73">
        <v>300</v>
      </c>
      <c r="X2583" s="216">
        <f>654*22800/1000000</f>
        <v>14.911199999999999</v>
      </c>
      <c r="Y2583" s="73">
        <f>IF(SUM(W2583:W2583)&gt;0,X2583/SUM(W2583:W2583)*1000000,"N/A")</f>
        <v>49704</v>
      </c>
      <c r="Z2583" s="70"/>
      <c r="AA2583" s="70"/>
      <c r="AB2583" s="223"/>
      <c r="AC2583" s="75"/>
      <c r="AD2583" s="332"/>
      <c r="AE2583" s="68"/>
      <c r="AF2583" s="148"/>
      <c r="AG2583" s="182">
        <f>YEAR(D2583)</f>
        <v>2012</v>
      </c>
      <c r="AH2583" s="86" t="str">
        <f>+IF(AE2583=$AJ$22,MONTH(T2583),"")</f>
        <v/>
      </c>
      <c r="AI2583" s="86" t="str">
        <f>+IF(AF2583=$AJ$22,MONTH(U2583),"")</f>
        <v/>
      </c>
      <c r="AJ2583" s="86" t="str">
        <f>+IF(AG2583=$AJ$22,MONTH(V2583),"")</f>
        <v/>
      </c>
      <c r="AK2583" s="86" t="str">
        <f>+IF(AG2583=$AK$22,MONTH(V2583),"")</f>
        <v/>
      </c>
      <c r="AL2583" s="86" t="str">
        <f>+IF(AG2583=$AL$22,MONTH(V2583),"")</f>
        <v/>
      </c>
      <c r="AM2583" s="86" t="str">
        <f>+IF($AG2583=$AM$22,MONTH($D2583),"")</f>
        <v/>
      </c>
      <c r="AN2583" s="89" t="str">
        <f>+IF($AG2583=AN$22,MONTH($D2583),"")</f>
        <v/>
      </c>
      <c r="AO2583" s="184" t="str">
        <f>+IF($AG2583=AO$22,MONTH($D2583),"")</f>
        <v/>
      </c>
      <c r="AP2583" s="184" t="str">
        <f>+IF($AG2583=AP$22,MONTH($D2583),"")</f>
        <v/>
      </c>
      <c r="AQ2583" s="184" t="str">
        <f>+IF($AG2583=AQ$22,MONTH($D2583),"")</f>
        <v/>
      </c>
      <c r="AR2583" s="184" t="str">
        <f>+IF($AG2583=AR$22,MONTH($D2583),"")</f>
        <v/>
      </c>
      <c r="AS2583" s="184" t="str">
        <f>+IF($AG2583=AS$22,MONTH($D2583),"")</f>
        <v/>
      </c>
      <c r="AT2583" s="86" t="str">
        <f>+IF($AG2583=AT$22,MONTH($D2583),"")</f>
        <v/>
      </c>
      <c r="AU2583" s="86" t="str">
        <f>+IF($AG2583=AU$22,MONTH($D2583),"")</f>
        <v/>
      </c>
      <c r="AV2583" s="86">
        <f>+IF($AG2583=AV$22,MONTH($D2583),"")</f>
        <v>11</v>
      </c>
      <c r="AW2583" s="86" t="str">
        <f>+IF($AG2583=AW$22,MONTH($D2583),"")</f>
        <v/>
      </c>
      <c r="AX2583" s="86" t="str">
        <f>+IF($AG2583=AX$22,MONTH($D2583),"")</f>
        <v/>
      </c>
      <c r="AY2583" s="89"/>
      <c r="AZ2583" s="89"/>
      <c r="BA2583" s="89"/>
      <c r="BB2583" s="89"/>
      <c r="BC2583" s="89"/>
      <c r="BD2583" s="89"/>
      <c r="BE2583" s="89"/>
      <c r="BF2583" s="89"/>
      <c r="BG2583" s="89"/>
      <c r="BH2583" s="89"/>
      <c r="BI2583" s="89"/>
      <c r="BJ2583" s="182"/>
      <c r="BK2583" s="182"/>
      <c r="BL2583" s="182"/>
      <c r="BM2583" s="182"/>
      <c r="BN2583" s="182"/>
      <c r="BO2583" s="182"/>
      <c r="BP2583" s="182"/>
    </row>
    <row r="2584" spans="1:68" s="51" customFormat="1" ht="19.5" hidden="1" customHeight="1">
      <c r="A2584" s="204">
        <f>+IFERROR(VALUE(MID(AB2584,4,4)),"")</f>
        <v>63</v>
      </c>
      <c r="B2584" s="204">
        <f>VALUE(RIGHT(C2584,LEN(C2584)-2))</f>
        <v>147</v>
      </c>
      <c r="C2584" s="74" t="s">
        <v>8767</v>
      </c>
      <c r="D2584" s="75">
        <v>41235</v>
      </c>
      <c r="E2584" s="68" t="s">
        <v>2961</v>
      </c>
      <c r="F2584" s="70" t="s">
        <v>332</v>
      </c>
      <c r="G2584" s="68" t="s">
        <v>8709</v>
      </c>
      <c r="H2584" s="69"/>
      <c r="I2584" s="69" t="s">
        <v>8768</v>
      </c>
      <c r="J2584" s="81"/>
      <c r="K2584" s="71" t="s">
        <v>8</v>
      </c>
      <c r="L2584" s="69" t="s">
        <v>120</v>
      </c>
      <c r="M2584" s="69" t="s">
        <v>141</v>
      </c>
      <c r="N2584" s="69" t="e" vm="1">
        <v>#VALUE!</v>
      </c>
      <c r="O2584" s="82">
        <v>41236</v>
      </c>
      <c r="P2584" s="69" t="s">
        <v>4567</v>
      </c>
      <c r="Q2584" s="69"/>
      <c r="R2584" s="69"/>
      <c r="S2584" s="146"/>
      <c r="T2584" s="68" t="s">
        <v>3</v>
      </c>
      <c r="U2584" s="87"/>
      <c r="V2584" s="183">
        <v>41239</v>
      </c>
      <c r="W2584" s="73">
        <v>154</v>
      </c>
      <c r="X2584" s="216">
        <f>253*22800/1000000</f>
        <v>5.7683999999999997</v>
      </c>
      <c r="Y2584" s="73">
        <f>IF(SUM(W2584:W2584)&gt;0,X2584/SUM(W2584:W2584)*1000000,"N/A")</f>
        <v>37457.142857142855</v>
      </c>
      <c r="Z2584" s="70"/>
      <c r="AA2584" s="70"/>
      <c r="AB2584" s="223" t="s">
        <v>8769</v>
      </c>
      <c r="AC2584" s="75"/>
      <c r="AD2584" s="332"/>
      <c r="AE2584" s="68"/>
      <c r="AF2584" s="148"/>
      <c r="AG2584" s="182">
        <f>YEAR(D2584)</f>
        <v>2012</v>
      </c>
      <c r="AH2584" s="86" t="str">
        <f>+IF(AE2584=$AJ$22,MONTH(T2584),"")</f>
        <v/>
      </c>
      <c r="AI2584" s="86" t="str">
        <f>+IF(AF2584=$AJ$22,MONTH(U2584),"")</f>
        <v/>
      </c>
      <c r="AJ2584" s="86" t="str">
        <f>+IF(AG2584=$AJ$22,MONTH(V2584),"")</f>
        <v/>
      </c>
      <c r="AK2584" s="86" t="str">
        <f>+IF(AG2584=$AK$22,MONTH(V2584),"")</f>
        <v/>
      </c>
      <c r="AL2584" s="86" t="str">
        <f>+IF(AG2584=$AL$22,MONTH(V2584),"")</f>
        <v/>
      </c>
      <c r="AM2584" s="86" t="str">
        <f>+IF($AG2584=$AM$22,MONTH($D2584),"")</f>
        <v/>
      </c>
      <c r="AN2584" s="89" t="str">
        <f>+IF($AG2584=AN$22,MONTH($D2584),"")</f>
        <v/>
      </c>
      <c r="AO2584" s="86" t="str">
        <f>+IF($AG2584=AO$22,MONTH($D2584),"")</f>
        <v/>
      </c>
      <c r="AP2584" s="86" t="str">
        <f>+IF($AG2584=AP$22,MONTH($D2584),"")</f>
        <v/>
      </c>
      <c r="AQ2584" s="86" t="str">
        <f>+IF($AG2584=AQ$22,MONTH($D2584),"")</f>
        <v/>
      </c>
      <c r="AR2584" s="86" t="str">
        <f>+IF($AG2584=AR$22,MONTH($D2584),"")</f>
        <v/>
      </c>
      <c r="AS2584" s="86" t="str">
        <f>+IF($AG2584=AS$22,MONTH($D2584),"")</f>
        <v/>
      </c>
      <c r="AT2584" s="86" t="str">
        <f>+IF($AG2584=AT$22,MONTH($D2584),"")</f>
        <v/>
      </c>
      <c r="AU2584" s="86" t="str">
        <f>+IF($AG2584=AU$22,MONTH($D2584),"")</f>
        <v/>
      </c>
      <c r="AV2584" s="86">
        <f>+IF($AG2584=AV$22,MONTH($D2584),"")</f>
        <v>11</v>
      </c>
      <c r="AW2584" s="86" t="str">
        <f>+IF($AG2584=AW$22,MONTH($D2584),"")</f>
        <v/>
      </c>
      <c r="AX2584" s="86" t="str">
        <f>+IF($AG2584=AX$22,MONTH($D2584),"")</f>
        <v/>
      </c>
      <c r="AY2584" s="89"/>
      <c r="AZ2584" s="89"/>
      <c r="BA2584" s="89"/>
      <c r="BB2584" s="89"/>
      <c r="BC2584" s="89"/>
      <c r="BD2584" s="89"/>
      <c r="BE2584" s="89"/>
      <c r="BF2584" s="89"/>
      <c r="BG2584" s="89"/>
      <c r="BH2584" s="89"/>
      <c r="BI2584" s="89"/>
      <c r="BJ2584" s="182"/>
      <c r="BK2584" s="182"/>
      <c r="BL2584" s="182"/>
      <c r="BM2584" s="182"/>
      <c r="BN2584" s="182"/>
      <c r="BO2584" s="182"/>
      <c r="BP2584" s="182"/>
    </row>
    <row r="2585" spans="1:68" s="51" customFormat="1" ht="19.5" hidden="1" customHeight="1">
      <c r="A2585" s="204">
        <f>+IFERROR(VALUE(MID(AB2585,4,4)),"")</f>
        <v>62</v>
      </c>
      <c r="B2585" s="204">
        <f>VALUE(RIGHT(C2585,LEN(C2585)-2))</f>
        <v>146</v>
      </c>
      <c r="C2585" s="74" t="s">
        <v>8770</v>
      </c>
      <c r="D2585" s="75">
        <v>41232</v>
      </c>
      <c r="E2585" s="68" t="s">
        <v>20</v>
      </c>
      <c r="F2585" s="70" t="s">
        <v>1379</v>
      </c>
      <c r="G2585" s="68" t="s">
        <v>8609</v>
      </c>
      <c r="H2585" s="69"/>
      <c r="I2585" s="69" t="s">
        <v>8771</v>
      </c>
      <c r="J2585" s="81"/>
      <c r="K2585" s="71" t="s">
        <v>21</v>
      </c>
      <c r="L2585" s="69" t="s">
        <v>120</v>
      </c>
      <c r="M2585" s="69" t="s">
        <v>141</v>
      </c>
      <c r="N2585" s="69" t="e" vm="1">
        <v>#VALUE!</v>
      </c>
      <c r="O2585" s="82">
        <v>41232</v>
      </c>
      <c r="P2585" s="69" t="s">
        <v>402</v>
      </c>
      <c r="Q2585" s="69"/>
      <c r="R2585" s="69"/>
      <c r="S2585" s="146"/>
      <c r="T2585" s="68" t="s">
        <v>3</v>
      </c>
      <c r="U2585" s="87"/>
      <c r="V2585" s="183">
        <v>41233</v>
      </c>
      <c r="W2585" s="73">
        <v>80</v>
      </c>
      <c r="X2585" s="216">
        <f>130*22800/1000000</f>
        <v>2.964</v>
      </c>
      <c r="Y2585" s="73">
        <f>IF(SUM(W2585:W2585)&gt;0,X2585/SUM(W2585:W2585)*1000000,"N/A")</f>
        <v>37050</v>
      </c>
      <c r="Z2585" s="70"/>
      <c r="AA2585" s="70"/>
      <c r="AB2585" s="223" t="s">
        <v>8772</v>
      </c>
      <c r="AC2585" s="75"/>
      <c r="AD2585" s="332"/>
      <c r="AE2585" s="68"/>
      <c r="AF2585" s="148"/>
      <c r="AG2585" s="182">
        <f>YEAR(D2585)</f>
        <v>2012</v>
      </c>
      <c r="AH2585" s="86" t="str">
        <f>+IF(AE2585=$AJ$22,MONTH(T2585),"")</f>
        <v/>
      </c>
      <c r="AI2585" s="86" t="str">
        <f>+IF(AF2585=$AJ$22,MONTH(U2585),"")</f>
        <v/>
      </c>
      <c r="AJ2585" s="86" t="str">
        <f>+IF(AG2585=$AJ$22,MONTH(V2585),"")</f>
        <v/>
      </c>
      <c r="AK2585" s="86" t="str">
        <f>+IF(AG2585=$AK$22,MONTH(V2585),"")</f>
        <v/>
      </c>
      <c r="AL2585" s="86" t="str">
        <f>+IF(AG2585=$AL$22,MONTH(V2585),"")</f>
        <v/>
      </c>
      <c r="AM2585" s="86" t="str">
        <f>+IF($AG2585=$AM$22,MONTH($D2585),"")</f>
        <v/>
      </c>
      <c r="AN2585" s="89" t="str">
        <f>+IF($AG2585=AN$22,MONTH($D2585),"")</f>
        <v/>
      </c>
      <c r="AO2585" s="86" t="str">
        <f>+IF($AG2585=AO$22,MONTH($D2585),"")</f>
        <v/>
      </c>
      <c r="AP2585" s="86" t="str">
        <f>+IF($AG2585=AP$22,MONTH($D2585),"")</f>
        <v/>
      </c>
      <c r="AQ2585" s="86" t="str">
        <f>+IF($AG2585=AQ$22,MONTH($D2585),"")</f>
        <v/>
      </c>
      <c r="AR2585" s="86" t="str">
        <f>+IF($AG2585=AR$22,MONTH($D2585),"")</f>
        <v/>
      </c>
      <c r="AS2585" s="86" t="str">
        <f>+IF($AG2585=AS$22,MONTH($D2585),"")</f>
        <v/>
      </c>
      <c r="AT2585" s="86" t="str">
        <f>+IF($AG2585=AT$22,MONTH($D2585),"")</f>
        <v/>
      </c>
      <c r="AU2585" s="86" t="str">
        <f>+IF($AG2585=AU$22,MONTH($D2585),"")</f>
        <v/>
      </c>
      <c r="AV2585" s="86">
        <f>+IF($AG2585=AV$22,MONTH($D2585),"")</f>
        <v>11</v>
      </c>
      <c r="AW2585" s="86" t="str">
        <f>+IF($AG2585=AW$22,MONTH($D2585),"")</f>
        <v/>
      </c>
      <c r="AX2585" s="86" t="str">
        <f>+IF($AG2585=AX$22,MONTH($D2585),"")</f>
        <v/>
      </c>
      <c r="AY2585" s="89"/>
      <c r="AZ2585" s="89"/>
      <c r="BA2585" s="89"/>
      <c r="BB2585" s="89"/>
      <c r="BC2585" s="89"/>
      <c r="BD2585" s="89"/>
      <c r="BE2585" s="89"/>
      <c r="BF2585" s="89"/>
      <c r="BG2585" s="89"/>
      <c r="BH2585" s="89"/>
      <c r="BI2585" s="89"/>
      <c r="BJ2585" s="182"/>
      <c r="BK2585" s="182"/>
      <c r="BL2585" s="182"/>
      <c r="BM2585" s="182"/>
      <c r="BN2585" s="182"/>
      <c r="BO2585" s="182"/>
      <c r="BP2585" s="182"/>
    </row>
    <row r="2586" spans="1:68" s="51" customFormat="1" ht="19.5" hidden="1" customHeight="1">
      <c r="A2586" s="204">
        <f>+IFERROR(VALUE(MID(AB2586,4,4)),"")</f>
        <v>64</v>
      </c>
      <c r="B2586" s="204">
        <f>VALUE(RIGHT(C2586,LEN(C2586)-2))</f>
        <v>145</v>
      </c>
      <c r="C2586" s="74" t="s">
        <v>8773</v>
      </c>
      <c r="D2586" s="75">
        <v>41232</v>
      </c>
      <c r="E2586" s="70" t="s">
        <v>332</v>
      </c>
      <c r="F2586" s="70" t="s">
        <v>332</v>
      </c>
      <c r="G2586" s="68" t="s">
        <v>7970</v>
      </c>
      <c r="H2586" s="59" t="s">
        <v>7971</v>
      </c>
      <c r="I2586" s="69" t="s">
        <v>8774</v>
      </c>
      <c r="J2586" s="81"/>
      <c r="K2586" s="71" t="s">
        <v>30</v>
      </c>
      <c r="L2586" s="69" t="s">
        <v>120</v>
      </c>
      <c r="M2586" s="69" t="s">
        <v>141</v>
      </c>
      <c r="N2586" s="69" t="e" vm="1">
        <v>#VALUE!</v>
      </c>
      <c r="O2586" s="82">
        <v>41622</v>
      </c>
      <c r="P2586" s="69" t="s">
        <v>402</v>
      </c>
      <c r="Q2586" s="69"/>
      <c r="R2586" s="69"/>
      <c r="S2586" s="146"/>
      <c r="T2586" s="68" t="s">
        <v>3</v>
      </c>
      <c r="U2586" s="87"/>
      <c r="V2586" s="183">
        <v>41233</v>
      </c>
      <c r="W2586" s="73">
        <f>1125</f>
        <v>1125</v>
      </c>
      <c r="X2586" s="216">
        <f>1621*28000/1000000</f>
        <v>45.387999999999998</v>
      </c>
      <c r="Y2586" s="73">
        <f>IF(SUM(W2586:W2586)&gt;0,X2586/SUM(W2586:W2586)*1000000,"N/A")</f>
        <v>40344.888888888891</v>
      </c>
      <c r="Z2586" s="70"/>
      <c r="AA2586" s="70"/>
      <c r="AB2586" s="223" t="s">
        <v>8695</v>
      </c>
      <c r="AC2586" s="75"/>
      <c r="AD2586" s="332"/>
      <c r="AE2586" s="68"/>
      <c r="AF2586" s="148"/>
      <c r="AG2586" s="182">
        <f>YEAR(D2586)</f>
        <v>2012</v>
      </c>
      <c r="AH2586" s="86" t="str">
        <f>+IF(AE2586=$AJ$22,MONTH(T2586),"")</f>
        <v/>
      </c>
      <c r="AI2586" s="86" t="str">
        <f>+IF(AF2586=$AJ$22,MONTH(U2586),"")</f>
        <v/>
      </c>
      <c r="AJ2586" s="86" t="str">
        <f>+IF(AG2586=$AJ$22,MONTH(V2586),"")</f>
        <v/>
      </c>
      <c r="AK2586" s="86" t="str">
        <f>+IF(AG2586=$AK$22,MONTH(V2586),"")</f>
        <v/>
      </c>
      <c r="AL2586" s="86" t="str">
        <f>+IF(AG2586=$AL$22,MONTH(V2586),"")</f>
        <v/>
      </c>
      <c r="AM2586" s="86" t="str">
        <f>+IF($AG2586=$AM$22,MONTH($D2586),"")</f>
        <v/>
      </c>
      <c r="AN2586" s="89" t="str">
        <f>+IF($AG2586=AN$22,MONTH($D2586),"")</f>
        <v/>
      </c>
      <c r="AO2586" s="86" t="str">
        <f>+IF($AG2586=AO$22,MONTH($D2586),"")</f>
        <v/>
      </c>
      <c r="AP2586" s="86" t="str">
        <f>+IF($AG2586=AP$22,MONTH($D2586),"")</f>
        <v/>
      </c>
      <c r="AQ2586" s="86" t="str">
        <f>+IF($AG2586=AQ$22,MONTH($D2586),"")</f>
        <v/>
      </c>
      <c r="AR2586" s="86" t="str">
        <f>+IF($AG2586=AR$22,MONTH($D2586),"")</f>
        <v/>
      </c>
      <c r="AS2586" s="86" t="str">
        <f>+IF($AG2586=AS$22,MONTH($D2586),"")</f>
        <v/>
      </c>
      <c r="AT2586" s="86" t="str">
        <f>+IF($AG2586=AT$22,MONTH($D2586),"")</f>
        <v/>
      </c>
      <c r="AU2586" s="86" t="str">
        <f>+IF($AG2586=AU$22,MONTH($D2586),"")</f>
        <v/>
      </c>
      <c r="AV2586" s="86">
        <f>+IF($AG2586=AV$22,MONTH($D2586),"")</f>
        <v>11</v>
      </c>
      <c r="AW2586" s="86" t="str">
        <f>+IF($AG2586=AW$22,MONTH($D2586),"")</f>
        <v/>
      </c>
      <c r="AX2586" s="86" t="str">
        <f>+IF($AG2586=AX$22,MONTH($D2586),"")</f>
        <v/>
      </c>
      <c r="AY2586" s="89"/>
      <c r="AZ2586" s="89"/>
      <c r="BA2586" s="89"/>
      <c r="BB2586" s="89"/>
      <c r="BC2586" s="89"/>
      <c r="BD2586" s="89"/>
      <c r="BE2586" s="89"/>
      <c r="BF2586" s="89"/>
      <c r="BG2586" s="89"/>
      <c r="BH2586" s="89"/>
      <c r="BI2586" s="89"/>
      <c r="BJ2586" s="182"/>
      <c r="BK2586" s="182"/>
      <c r="BL2586" s="182"/>
      <c r="BM2586" s="182"/>
      <c r="BN2586" s="182"/>
      <c r="BO2586" s="182"/>
      <c r="BP2586" s="182"/>
    </row>
    <row r="2587" spans="1:68" s="51" customFormat="1" ht="19.5" hidden="1" customHeight="1">
      <c r="A2587" s="204" t="str">
        <f>+IFERROR(VALUE(MID(AB2587,4,4)),"")</f>
        <v/>
      </c>
      <c r="B2587" s="204">
        <f>VALUE(RIGHT(C2587,LEN(C2587)-2))</f>
        <v>144</v>
      </c>
      <c r="C2587" s="74" t="s">
        <v>8775</v>
      </c>
      <c r="D2587" s="75">
        <v>41232</v>
      </c>
      <c r="E2587" s="68" t="s">
        <v>8776</v>
      </c>
      <c r="F2587" s="70" t="s">
        <v>313</v>
      </c>
      <c r="G2587" s="68" t="s">
        <v>8777</v>
      </c>
      <c r="H2587" s="69"/>
      <c r="I2587" s="69" t="s">
        <v>8778</v>
      </c>
      <c r="J2587" s="81"/>
      <c r="K2587" s="71" t="s">
        <v>11</v>
      </c>
      <c r="L2587" s="69" t="s">
        <v>123</v>
      </c>
      <c r="M2587" s="69" t="s">
        <v>141</v>
      </c>
      <c r="N2587" s="69" t="e" vm="1">
        <v>#VALUE!</v>
      </c>
      <c r="O2587" s="82">
        <v>41260</v>
      </c>
      <c r="P2587" s="69" t="s">
        <v>402</v>
      </c>
      <c r="Q2587" s="69"/>
      <c r="R2587" s="69"/>
      <c r="S2587" s="146" t="s">
        <v>8779</v>
      </c>
      <c r="T2587" s="68" t="s">
        <v>165</v>
      </c>
      <c r="U2587" s="87"/>
      <c r="V2587" s="183">
        <v>41263</v>
      </c>
      <c r="W2587" s="73">
        <v>6614</v>
      </c>
      <c r="X2587" s="216">
        <f>296520123/1000000</f>
        <v>296.52012300000001</v>
      </c>
      <c r="Y2587" s="73">
        <f>IF(SUM(W2587:W2587)&gt;0,X2587/SUM(W2587:W2587)*1000000,"N/A")</f>
        <v>44832.192772905961</v>
      </c>
      <c r="Z2587" s="70"/>
      <c r="AA2587" s="70"/>
      <c r="AB2587" s="223"/>
      <c r="AC2587" s="75"/>
      <c r="AD2587" s="332"/>
      <c r="AE2587" s="68"/>
      <c r="AF2587" s="148"/>
      <c r="AG2587" s="182">
        <f>YEAR(D2587)</f>
        <v>2012</v>
      </c>
      <c r="AH2587" s="86" t="str">
        <f>+IF(AE2587=$AJ$22,MONTH(T2587),"")</f>
        <v/>
      </c>
      <c r="AI2587" s="86" t="str">
        <f>+IF(AF2587=$AJ$22,MONTH(U2587),"")</f>
        <v/>
      </c>
      <c r="AJ2587" s="86" t="str">
        <f>+IF(AG2587=$AJ$22,MONTH(V2587),"")</f>
        <v/>
      </c>
      <c r="AK2587" s="86" t="str">
        <f>+IF(AG2587=$AK$22,MONTH(V2587),"")</f>
        <v/>
      </c>
      <c r="AL2587" s="86" t="str">
        <f>+IF(AG2587=$AL$22,MONTH(V2587),"")</f>
        <v/>
      </c>
      <c r="AM2587" s="86" t="str">
        <f>+IF($AG2587=$AM$22,MONTH($D2587),"")</f>
        <v/>
      </c>
      <c r="AN2587" s="89" t="str">
        <f>+IF($AG2587=AN$22,MONTH($D2587),"")</f>
        <v/>
      </c>
      <c r="AO2587" s="184" t="str">
        <f>+IF($AG2587=AO$22,MONTH($D2587),"")</f>
        <v/>
      </c>
      <c r="AP2587" s="184" t="str">
        <f>+IF($AG2587=AP$22,MONTH($D2587),"")</f>
        <v/>
      </c>
      <c r="AQ2587" s="184" t="str">
        <f>+IF($AG2587=AQ$22,MONTH($D2587),"")</f>
        <v/>
      </c>
      <c r="AR2587" s="184" t="str">
        <f>+IF($AG2587=AR$22,MONTH($D2587),"")</f>
        <v/>
      </c>
      <c r="AS2587" s="184" t="str">
        <f>+IF($AG2587=AS$22,MONTH($D2587),"")</f>
        <v/>
      </c>
      <c r="AT2587" s="86" t="str">
        <f>+IF($AG2587=AT$22,MONTH($D2587),"")</f>
        <v/>
      </c>
      <c r="AU2587" s="86" t="str">
        <f>+IF($AG2587=AU$22,MONTH($D2587),"")</f>
        <v/>
      </c>
      <c r="AV2587" s="86">
        <f>+IF($AG2587=AV$22,MONTH($D2587),"")</f>
        <v>11</v>
      </c>
      <c r="AW2587" s="86" t="str">
        <f>+IF($AG2587=AW$22,MONTH($D2587),"")</f>
        <v/>
      </c>
      <c r="AX2587" s="86" t="str">
        <f>+IF($AG2587=AX$22,MONTH($D2587),"")</f>
        <v/>
      </c>
      <c r="AY2587" s="182"/>
      <c r="AZ2587" s="182"/>
      <c r="BA2587" s="182"/>
      <c r="BB2587" s="182"/>
      <c r="BC2587" s="182"/>
      <c r="BD2587" s="182"/>
      <c r="BE2587" s="182"/>
      <c r="BF2587" s="182"/>
      <c r="BG2587" s="182"/>
      <c r="BH2587" s="182"/>
      <c r="BI2587" s="182"/>
      <c r="BJ2587" s="182"/>
      <c r="BK2587" s="182"/>
      <c r="BL2587" s="182"/>
      <c r="BM2587" s="182"/>
      <c r="BN2587" s="182"/>
      <c r="BO2587" s="182"/>
      <c r="BP2587" s="182"/>
    </row>
    <row r="2588" spans="1:68" s="51" customFormat="1" ht="19.5" hidden="1" customHeight="1">
      <c r="A2588" s="204" t="str">
        <f>+IFERROR(VALUE(MID(AB2588,4,4)),"")</f>
        <v/>
      </c>
      <c r="B2588" s="204">
        <f>VALUE(RIGHT(C2588,LEN(C2588)-2))</f>
        <v>143</v>
      </c>
      <c r="C2588" s="74" t="s">
        <v>8780</v>
      </c>
      <c r="D2588" s="75">
        <v>41220</v>
      </c>
      <c r="E2588" s="68" t="s">
        <v>5662</v>
      </c>
      <c r="F2588" s="68" t="s">
        <v>8429</v>
      </c>
      <c r="G2588" s="68" t="s">
        <v>7892</v>
      </c>
      <c r="H2588" s="59" t="s">
        <v>7971</v>
      </c>
      <c r="I2588" s="69" t="s">
        <v>8781</v>
      </c>
      <c r="J2588" s="81"/>
      <c r="K2588" s="71" t="s">
        <v>30</v>
      </c>
      <c r="L2588" s="69" t="s">
        <v>120</v>
      </c>
      <c r="M2588" s="69" t="s">
        <v>141</v>
      </c>
      <c r="N2588" s="69" t="e" vm="1">
        <v>#VALUE!</v>
      </c>
      <c r="O2588" s="82">
        <v>41220</v>
      </c>
      <c r="P2588" s="69" t="s">
        <v>402</v>
      </c>
      <c r="Q2588" s="69"/>
      <c r="R2588" s="69"/>
      <c r="S2588" s="146" t="s">
        <v>8782</v>
      </c>
      <c r="T2588" s="68" t="s">
        <v>165</v>
      </c>
      <c r="U2588" s="87"/>
      <c r="V2588" s="183">
        <v>41227</v>
      </c>
      <c r="W2588" s="73">
        <v>122</v>
      </c>
      <c r="X2588" s="216">
        <f>213*22800/1000000</f>
        <v>4.8563999999999998</v>
      </c>
      <c r="Y2588" s="73">
        <f>IF(SUM(W2588:W2588)&gt;0,X2588/SUM(W2588:W2588)*1000000,"N/A")</f>
        <v>39806.557377049176</v>
      </c>
      <c r="Z2588" s="70"/>
      <c r="AA2588" s="70"/>
      <c r="AB2588" s="223"/>
      <c r="AC2588" s="75"/>
      <c r="AD2588" s="332"/>
      <c r="AE2588" s="68"/>
      <c r="AF2588" s="148"/>
      <c r="AG2588" s="182">
        <f>YEAR(D2588)</f>
        <v>2012</v>
      </c>
      <c r="AH2588" s="86" t="str">
        <f>+IF(AE2588=$AJ$22,MONTH(T2588),"")</f>
        <v/>
      </c>
      <c r="AI2588" s="86" t="str">
        <f>+IF(AF2588=$AJ$22,MONTH(U2588),"")</f>
        <v/>
      </c>
      <c r="AJ2588" s="86" t="str">
        <f>+IF(AG2588=$AJ$22,MONTH(V2588),"")</f>
        <v/>
      </c>
      <c r="AK2588" s="86" t="str">
        <f>+IF(AG2588=$AK$22,MONTH(V2588),"")</f>
        <v/>
      </c>
      <c r="AL2588" s="86" t="str">
        <f>+IF(AG2588=$AL$22,MONTH(V2588),"")</f>
        <v/>
      </c>
      <c r="AM2588" s="86" t="str">
        <f>+IF($AG2588=$AM$22,MONTH($D2588),"")</f>
        <v/>
      </c>
      <c r="AN2588" s="89" t="str">
        <f>+IF($AG2588=AN$22,MONTH($D2588),"")</f>
        <v/>
      </c>
      <c r="AO2588" s="184" t="str">
        <f>+IF($AG2588=AO$22,MONTH($D2588),"")</f>
        <v/>
      </c>
      <c r="AP2588" s="184" t="str">
        <f>+IF($AG2588=AP$22,MONTH($D2588),"")</f>
        <v/>
      </c>
      <c r="AQ2588" s="184" t="str">
        <f>+IF($AG2588=AQ$22,MONTH($D2588),"")</f>
        <v/>
      </c>
      <c r="AR2588" s="184" t="str">
        <f>+IF($AG2588=AR$22,MONTH($D2588),"")</f>
        <v/>
      </c>
      <c r="AS2588" s="184" t="str">
        <f>+IF($AG2588=AS$22,MONTH($D2588),"")</f>
        <v/>
      </c>
      <c r="AT2588" s="86" t="str">
        <f>+IF($AG2588=AT$22,MONTH($D2588),"")</f>
        <v/>
      </c>
      <c r="AU2588" s="86" t="str">
        <f>+IF($AG2588=AU$22,MONTH($D2588),"")</f>
        <v/>
      </c>
      <c r="AV2588" s="86">
        <f>+IF($AG2588=AV$22,MONTH($D2588),"")</f>
        <v>11</v>
      </c>
      <c r="AW2588" s="86" t="str">
        <f>+IF($AG2588=AW$22,MONTH($D2588),"")</f>
        <v/>
      </c>
      <c r="AX2588" s="86" t="str">
        <f>+IF($AG2588=AX$22,MONTH($D2588),"")</f>
        <v/>
      </c>
      <c r="AY2588" s="89"/>
      <c r="AZ2588" s="89"/>
      <c r="BA2588" s="89"/>
      <c r="BB2588" s="89"/>
      <c r="BC2588" s="89"/>
      <c r="BD2588" s="89"/>
      <c r="BE2588" s="89"/>
      <c r="BF2588" s="89"/>
      <c r="BG2588" s="89"/>
      <c r="BH2588" s="89"/>
      <c r="BI2588" s="89"/>
      <c r="BJ2588" s="182"/>
      <c r="BK2588" s="182"/>
      <c r="BL2588" s="182"/>
      <c r="BM2588" s="182"/>
      <c r="BN2588" s="182"/>
      <c r="BO2588" s="182"/>
      <c r="BP2588" s="182"/>
    </row>
    <row r="2589" spans="1:68" s="51" customFormat="1" ht="19.5" hidden="1" customHeight="1">
      <c r="A2589" s="204" t="str">
        <f>+IFERROR(VALUE(MID(AB2589,4,4)),"")</f>
        <v/>
      </c>
      <c r="B2589" s="204">
        <f>VALUE(RIGHT(C2589,LEN(C2589)-2))</f>
        <v>142</v>
      </c>
      <c r="C2589" s="74" t="s">
        <v>8783</v>
      </c>
      <c r="D2589" s="75">
        <v>41214</v>
      </c>
      <c r="E2589" s="68" t="s">
        <v>8784</v>
      </c>
      <c r="F2589" s="68" t="s">
        <v>8785</v>
      </c>
      <c r="G2589" s="68" t="s">
        <v>8786</v>
      </c>
      <c r="H2589" s="69"/>
      <c r="I2589" s="69" t="s">
        <v>8787</v>
      </c>
      <c r="J2589" s="81"/>
      <c r="K2589" s="71" t="s">
        <v>13</v>
      </c>
      <c r="L2589" s="69" t="s">
        <v>120</v>
      </c>
      <c r="M2589" s="69" t="s">
        <v>141</v>
      </c>
      <c r="N2589" s="69" t="e" vm="1">
        <v>#VALUE!</v>
      </c>
      <c r="O2589" s="82">
        <v>41224</v>
      </c>
      <c r="P2589" s="69" t="s">
        <v>7372</v>
      </c>
      <c r="Q2589" s="69"/>
      <c r="R2589" s="69"/>
      <c r="S2589" s="146"/>
      <c r="T2589" s="68" t="s">
        <v>165</v>
      </c>
      <c r="U2589" s="87"/>
      <c r="V2589" s="183">
        <v>41227</v>
      </c>
      <c r="W2589" s="73">
        <v>28593</v>
      </c>
      <c r="X2589" s="216">
        <v>982.34900000000005</v>
      </c>
      <c r="Y2589" s="73">
        <f>IF(SUM(W2589:W2589)&gt;0,X2589/SUM(W2589:W2589)*1000000,"N/A")</f>
        <v>34356.27601161124</v>
      </c>
      <c r="Z2589" s="70"/>
      <c r="AA2589" s="70"/>
      <c r="AB2589" s="223"/>
      <c r="AC2589" s="75"/>
      <c r="AD2589" s="332"/>
      <c r="AE2589" s="68"/>
      <c r="AF2589" s="148"/>
      <c r="AG2589" s="182">
        <f>YEAR(D2589)</f>
        <v>2012</v>
      </c>
      <c r="AH2589" s="86" t="str">
        <f>+IF(AE2589=$AJ$22,MONTH(T2589),"")</f>
        <v/>
      </c>
      <c r="AI2589" s="86" t="str">
        <f>+IF(AF2589=$AJ$22,MONTH(U2589),"")</f>
        <v/>
      </c>
      <c r="AJ2589" s="86" t="str">
        <f>+IF(AG2589=$AJ$22,MONTH(V2589),"")</f>
        <v/>
      </c>
      <c r="AK2589" s="86" t="str">
        <f>+IF(AG2589=$AK$22,MONTH(V2589),"")</f>
        <v/>
      </c>
      <c r="AL2589" s="86" t="str">
        <f>+IF(AG2589=$AL$22,MONTH(V2589),"")</f>
        <v/>
      </c>
      <c r="AM2589" s="86" t="str">
        <f>+IF($AG2589=$AM$22,MONTH($D2589),"")</f>
        <v/>
      </c>
      <c r="AN2589" s="89" t="str">
        <f>+IF($AG2589=AN$22,MONTH($D2589),"")</f>
        <v/>
      </c>
      <c r="AO2589" s="184" t="str">
        <f>+IF($AG2589=AO$22,MONTH($D2589),"")</f>
        <v/>
      </c>
      <c r="AP2589" s="184" t="str">
        <f>+IF($AG2589=AP$22,MONTH($D2589),"")</f>
        <v/>
      </c>
      <c r="AQ2589" s="184" t="str">
        <f>+IF($AG2589=AQ$22,MONTH($D2589),"")</f>
        <v/>
      </c>
      <c r="AR2589" s="184" t="str">
        <f>+IF($AG2589=AR$22,MONTH($D2589),"")</f>
        <v/>
      </c>
      <c r="AS2589" s="184" t="str">
        <f>+IF($AG2589=AS$22,MONTH($D2589),"")</f>
        <v/>
      </c>
      <c r="AT2589" s="86" t="str">
        <f>+IF($AG2589=AT$22,MONTH($D2589),"")</f>
        <v/>
      </c>
      <c r="AU2589" s="86" t="str">
        <f>+IF($AG2589=AU$22,MONTH($D2589),"")</f>
        <v/>
      </c>
      <c r="AV2589" s="86">
        <f>+IF($AG2589=AV$22,MONTH($D2589),"")</f>
        <v>11</v>
      </c>
      <c r="AW2589" s="86" t="str">
        <f>+IF($AG2589=AW$22,MONTH($D2589),"")</f>
        <v/>
      </c>
      <c r="AX2589" s="86" t="str">
        <f>+IF($AG2589=AX$22,MONTH($D2589),"")</f>
        <v/>
      </c>
      <c r="AY2589" s="89"/>
      <c r="AZ2589" s="89"/>
      <c r="BA2589" s="89"/>
      <c r="BB2589" s="89"/>
      <c r="BC2589" s="89"/>
      <c r="BD2589" s="89"/>
      <c r="BE2589" s="89"/>
      <c r="BF2589" s="89"/>
      <c r="BG2589" s="89"/>
      <c r="BH2589" s="89"/>
      <c r="BI2589" s="89"/>
      <c r="BJ2589" s="182"/>
      <c r="BK2589" s="182"/>
      <c r="BL2589" s="182"/>
      <c r="BM2589" s="182"/>
      <c r="BN2589" s="182"/>
      <c r="BO2589" s="182"/>
      <c r="BP2589" s="182"/>
    </row>
    <row r="2590" spans="1:68" s="51" customFormat="1" ht="19.5" hidden="1" customHeight="1">
      <c r="A2590" s="204" t="str">
        <f>+IFERROR(VALUE(MID(AB2590,4,4)),"")</f>
        <v/>
      </c>
      <c r="B2590" s="204">
        <f>VALUE(RIGHT(C2590,LEN(C2590)-2))</f>
        <v>141</v>
      </c>
      <c r="C2590" s="74" t="s">
        <v>8788</v>
      </c>
      <c r="D2590" s="75">
        <v>41216</v>
      </c>
      <c r="E2590" s="70" t="s">
        <v>2349</v>
      </c>
      <c r="F2590" s="68" t="s">
        <v>8789</v>
      </c>
      <c r="G2590" s="68" t="s">
        <v>7668</v>
      </c>
      <c r="H2590" s="59" t="s">
        <v>8162</v>
      </c>
      <c r="I2590" s="69" t="s">
        <v>8790</v>
      </c>
      <c r="J2590" s="81"/>
      <c r="K2590" s="71" t="s">
        <v>12</v>
      </c>
      <c r="L2590" s="69" t="s">
        <v>120</v>
      </c>
      <c r="M2590" s="69" t="s">
        <v>141</v>
      </c>
      <c r="N2590" s="69" t="e" vm="1">
        <v>#VALUE!</v>
      </c>
      <c r="O2590" s="82">
        <v>41216</v>
      </c>
      <c r="P2590" s="69" t="s">
        <v>402</v>
      </c>
      <c r="Q2590" s="69"/>
      <c r="R2590" s="69"/>
      <c r="S2590" s="146"/>
      <c r="T2590" s="68" t="s">
        <v>165</v>
      </c>
      <c r="U2590" s="87"/>
      <c r="V2590" s="183">
        <v>41218</v>
      </c>
      <c r="W2590" s="73">
        <v>370</v>
      </c>
      <c r="X2590" s="216">
        <f>536*22700/1000000</f>
        <v>12.167199999999999</v>
      </c>
      <c r="Y2590" s="73">
        <f>IF(SUM(W2590:W2590)&gt;0,X2590/SUM(W2590:W2590)*1000000,"N/A")</f>
        <v>32884.324324324327</v>
      </c>
      <c r="Z2590" s="70"/>
      <c r="AA2590" s="70"/>
      <c r="AB2590" s="223"/>
      <c r="AC2590" s="75"/>
      <c r="AD2590" s="332"/>
      <c r="AE2590" s="68"/>
      <c r="AF2590" s="148"/>
      <c r="AG2590" s="182">
        <f>YEAR(D2590)</f>
        <v>2012</v>
      </c>
      <c r="AH2590" s="86" t="str">
        <f>+IF(AE2590=$AJ$22,MONTH(T2590),"")</f>
        <v/>
      </c>
      <c r="AI2590" s="86" t="str">
        <f>+IF(AF2590=$AJ$22,MONTH(U2590),"")</f>
        <v/>
      </c>
      <c r="AJ2590" s="86" t="str">
        <f>+IF(AG2590=$AJ$22,MONTH(V2590),"")</f>
        <v/>
      </c>
      <c r="AK2590" s="86" t="str">
        <f>+IF(AG2590=$AK$22,MONTH(V2590),"")</f>
        <v/>
      </c>
      <c r="AL2590" s="86" t="str">
        <f>+IF(AG2590=$AL$22,MONTH(V2590),"")</f>
        <v/>
      </c>
      <c r="AM2590" s="86" t="str">
        <f>+IF($AG2590=$AM$22,MONTH($D2590),"")</f>
        <v/>
      </c>
      <c r="AN2590" s="89" t="str">
        <f>+IF($AG2590=AN$22,MONTH($D2590),"")</f>
        <v/>
      </c>
      <c r="AO2590" s="184" t="str">
        <f>+IF($AG2590=AO$22,MONTH($D2590),"")</f>
        <v/>
      </c>
      <c r="AP2590" s="184" t="str">
        <f>+IF($AG2590=AP$22,MONTH($D2590),"")</f>
        <v/>
      </c>
      <c r="AQ2590" s="184" t="str">
        <f>+IF($AG2590=AQ$22,MONTH($D2590),"")</f>
        <v/>
      </c>
      <c r="AR2590" s="184" t="str">
        <f>+IF($AG2590=AR$22,MONTH($D2590),"")</f>
        <v/>
      </c>
      <c r="AS2590" s="184" t="str">
        <f>+IF($AG2590=AS$22,MONTH($D2590),"")</f>
        <v/>
      </c>
      <c r="AT2590" s="86" t="str">
        <f>+IF($AG2590=AT$22,MONTH($D2590),"")</f>
        <v/>
      </c>
      <c r="AU2590" s="86" t="str">
        <f>+IF($AG2590=AU$22,MONTH($D2590),"")</f>
        <v/>
      </c>
      <c r="AV2590" s="86">
        <f>+IF($AG2590=AV$22,MONTH($D2590),"")</f>
        <v>11</v>
      </c>
      <c r="AW2590" s="86" t="str">
        <f>+IF($AG2590=AW$22,MONTH($D2590),"")</f>
        <v/>
      </c>
      <c r="AX2590" s="86" t="str">
        <f>+IF($AG2590=AX$22,MONTH($D2590),"")</f>
        <v/>
      </c>
      <c r="AY2590" s="89"/>
      <c r="AZ2590" s="89"/>
      <c r="BA2590" s="89"/>
      <c r="BB2590" s="89"/>
      <c r="BC2590" s="89"/>
      <c r="BD2590" s="89"/>
      <c r="BE2590" s="89"/>
      <c r="BF2590" s="89"/>
      <c r="BG2590" s="89"/>
      <c r="BH2590" s="89"/>
      <c r="BI2590" s="89"/>
      <c r="BJ2590" s="182"/>
      <c r="BK2590" s="182"/>
      <c r="BL2590" s="182"/>
      <c r="BM2590" s="182"/>
      <c r="BN2590" s="182"/>
      <c r="BO2590" s="182"/>
      <c r="BP2590" s="182"/>
    </row>
    <row r="2591" spans="1:68" s="51" customFormat="1" ht="19.5" hidden="1" customHeight="1">
      <c r="A2591" s="204">
        <f>+IFERROR(VALUE(MID(AB2591,4,4)),"")</f>
        <v>71</v>
      </c>
      <c r="B2591" s="204">
        <f>VALUE(RIGHT(C2591,LEN(C2591)-2))</f>
        <v>140</v>
      </c>
      <c r="C2591" s="74" t="s">
        <v>8791</v>
      </c>
      <c r="D2591" s="75">
        <v>41213</v>
      </c>
      <c r="E2591" s="70" t="s">
        <v>1321</v>
      </c>
      <c r="F2591" s="68" t="s">
        <v>2065</v>
      </c>
      <c r="G2591" s="68" t="s">
        <v>7848</v>
      </c>
      <c r="H2591" s="69"/>
      <c r="I2591" s="69" t="s">
        <v>8792</v>
      </c>
      <c r="J2591" s="81"/>
      <c r="K2591" s="71" t="s">
        <v>14</v>
      </c>
      <c r="L2591" s="69" t="s">
        <v>120</v>
      </c>
      <c r="M2591" s="69" t="s">
        <v>141</v>
      </c>
      <c r="N2591" s="69" t="e" vm="1">
        <v>#VALUE!</v>
      </c>
      <c r="O2591" s="82">
        <v>41213</v>
      </c>
      <c r="P2591" s="69" t="s">
        <v>402</v>
      </c>
      <c r="Q2591" s="69"/>
      <c r="R2591" s="69"/>
      <c r="S2591" s="146"/>
      <c r="T2591" s="68" t="s">
        <v>3</v>
      </c>
      <c r="U2591" s="87"/>
      <c r="V2591" s="183">
        <v>41218</v>
      </c>
      <c r="W2591" s="73">
        <v>1310</v>
      </c>
      <c r="X2591" s="216">
        <f>1974*22700/1000000</f>
        <v>44.809800000000003</v>
      </c>
      <c r="Y2591" s="73">
        <f>IF(SUM(W2591:W2591)&gt;0,X2591/SUM(W2591:W2591)*1000000,"N/A")</f>
        <v>34205.954198473286</v>
      </c>
      <c r="Z2591" s="70"/>
      <c r="AA2591" s="70"/>
      <c r="AB2591" s="223" t="s">
        <v>8591</v>
      </c>
      <c r="AC2591" s="75"/>
      <c r="AD2591" s="332"/>
      <c r="AE2591" s="68"/>
      <c r="AF2591" s="148"/>
      <c r="AG2591" s="182">
        <f>YEAR(D2591)</f>
        <v>2012</v>
      </c>
      <c r="AH2591" s="86" t="str">
        <f>+IF(AE2591=$AJ$22,MONTH(T2591),"")</f>
        <v/>
      </c>
      <c r="AI2591" s="86" t="str">
        <f>+IF(AF2591=$AJ$22,MONTH(U2591),"")</f>
        <v/>
      </c>
      <c r="AJ2591" s="86" t="str">
        <f>+IF(AG2591=$AJ$22,MONTH(V2591),"")</f>
        <v/>
      </c>
      <c r="AK2591" s="86" t="str">
        <f>+IF(AG2591=$AK$22,MONTH(V2591),"")</f>
        <v/>
      </c>
      <c r="AL2591" s="86" t="str">
        <f>+IF(AG2591=$AL$22,MONTH(V2591),"")</f>
        <v/>
      </c>
      <c r="AM2591" s="86" t="str">
        <f>+IF($AG2591=$AM$22,MONTH($D2591),"")</f>
        <v/>
      </c>
      <c r="AN2591" s="89" t="str">
        <f>+IF($AG2591=AN$22,MONTH($D2591),"")</f>
        <v/>
      </c>
      <c r="AO2591" s="86" t="str">
        <f>+IF($AG2591=AO$22,MONTH($D2591),"")</f>
        <v/>
      </c>
      <c r="AP2591" s="86" t="str">
        <f>+IF($AG2591=AP$22,MONTH($D2591),"")</f>
        <v/>
      </c>
      <c r="AQ2591" s="86" t="str">
        <f>+IF($AG2591=AQ$22,MONTH($D2591),"")</f>
        <v/>
      </c>
      <c r="AR2591" s="86" t="str">
        <f>+IF($AG2591=AR$22,MONTH($D2591),"")</f>
        <v/>
      </c>
      <c r="AS2591" s="86" t="str">
        <f>+IF($AG2591=AS$22,MONTH($D2591),"")</f>
        <v/>
      </c>
      <c r="AT2591" s="86" t="str">
        <f>+IF($AG2591=AT$22,MONTH($D2591),"")</f>
        <v/>
      </c>
      <c r="AU2591" s="86" t="str">
        <f>+IF($AG2591=AU$22,MONTH($D2591),"")</f>
        <v/>
      </c>
      <c r="AV2591" s="86">
        <f>+IF($AG2591=AV$22,MONTH($D2591),"")</f>
        <v>10</v>
      </c>
      <c r="AW2591" s="86" t="str">
        <f>+IF($AG2591=AW$22,MONTH($D2591),"")</f>
        <v/>
      </c>
      <c r="AX2591" s="86" t="str">
        <f>+IF($AG2591=AX$22,MONTH($D2591),"")</f>
        <v/>
      </c>
      <c r="AY2591" s="89"/>
      <c r="AZ2591" s="89"/>
      <c r="BA2591" s="89"/>
      <c r="BB2591" s="89"/>
      <c r="BC2591" s="89"/>
      <c r="BD2591" s="89"/>
      <c r="BE2591" s="89"/>
      <c r="BF2591" s="89"/>
      <c r="BG2591" s="89"/>
      <c r="BH2591" s="89"/>
      <c r="BI2591" s="89"/>
      <c r="BJ2591" s="182"/>
      <c r="BK2591" s="182"/>
      <c r="BL2591" s="182"/>
      <c r="BM2591" s="182"/>
      <c r="BN2591" s="182"/>
      <c r="BO2591" s="182"/>
      <c r="BP2591" s="182"/>
    </row>
    <row r="2592" spans="1:68" s="51" customFormat="1" ht="19.5" hidden="1" customHeight="1">
      <c r="A2592" s="204" t="str">
        <f>+IFERROR(VALUE(MID(AB2592,4,4)),"")</f>
        <v/>
      </c>
      <c r="B2592" s="204">
        <f>VALUE(RIGHT(C2592,LEN(C2592)-2))</f>
        <v>139</v>
      </c>
      <c r="C2592" s="74" t="s">
        <v>8793</v>
      </c>
      <c r="D2592" s="75">
        <v>41207</v>
      </c>
      <c r="E2592" s="68" t="s">
        <v>8713</v>
      </c>
      <c r="F2592" s="68" t="s">
        <v>685</v>
      </c>
      <c r="G2592" s="68" t="s">
        <v>8794</v>
      </c>
      <c r="H2592" s="69"/>
      <c r="I2592" s="69" t="s">
        <v>8795</v>
      </c>
      <c r="J2592" s="81"/>
      <c r="K2592" s="71" t="s">
        <v>13</v>
      </c>
      <c r="L2592" s="69" t="s">
        <v>120</v>
      </c>
      <c r="M2592" s="69" t="s">
        <v>141</v>
      </c>
      <c r="N2592" s="69" t="e" vm="1">
        <v>#VALUE!</v>
      </c>
      <c r="O2592" s="82">
        <v>41207</v>
      </c>
      <c r="P2592" s="69" t="s">
        <v>402</v>
      </c>
      <c r="Q2592" s="69"/>
      <c r="R2592" s="69"/>
      <c r="S2592" s="146"/>
      <c r="T2592" s="68" t="s">
        <v>165</v>
      </c>
      <c r="U2592" s="87"/>
      <c r="V2592" s="183">
        <v>41218</v>
      </c>
      <c r="W2592" s="73">
        <v>300</v>
      </c>
      <c r="X2592" s="216">
        <f>671*22700/1000000</f>
        <v>15.2317</v>
      </c>
      <c r="Y2592" s="73">
        <f>IF(SUM(W2592:W2592)&gt;0,X2592/SUM(W2592:W2592)*1000000,"N/A")</f>
        <v>50772.333333333336</v>
      </c>
      <c r="Z2592" s="70"/>
      <c r="AA2592" s="70"/>
      <c r="AB2592" s="223"/>
      <c r="AC2592" s="75"/>
      <c r="AD2592" s="332"/>
      <c r="AE2592" s="68"/>
      <c r="AF2592" s="148"/>
      <c r="AG2592" s="182">
        <f>YEAR(D2592)</f>
        <v>2012</v>
      </c>
      <c r="AH2592" s="86" t="str">
        <f>+IF(AE2592=$AJ$22,MONTH(T2592),"")</f>
        <v/>
      </c>
      <c r="AI2592" s="86" t="str">
        <f>+IF(AF2592=$AJ$22,MONTH(U2592),"")</f>
        <v/>
      </c>
      <c r="AJ2592" s="86" t="str">
        <f>+IF(AG2592=$AJ$22,MONTH(V2592),"")</f>
        <v/>
      </c>
      <c r="AK2592" s="86" t="str">
        <f>+IF(AG2592=$AK$22,MONTH(V2592),"")</f>
        <v/>
      </c>
      <c r="AL2592" s="86" t="str">
        <f>+IF(AG2592=$AL$22,MONTH(V2592),"")</f>
        <v/>
      </c>
      <c r="AM2592" s="86" t="str">
        <f>+IF($AG2592=$AM$22,MONTH($D2592),"")</f>
        <v/>
      </c>
      <c r="AN2592" s="89" t="str">
        <f>+IF($AG2592=AN$22,MONTH($D2592),"")</f>
        <v/>
      </c>
      <c r="AO2592" s="184" t="str">
        <f>+IF($AG2592=AO$22,MONTH($D2592),"")</f>
        <v/>
      </c>
      <c r="AP2592" s="184" t="str">
        <f>+IF($AG2592=AP$22,MONTH($D2592),"")</f>
        <v/>
      </c>
      <c r="AQ2592" s="184" t="str">
        <f>+IF($AG2592=AQ$22,MONTH($D2592),"")</f>
        <v/>
      </c>
      <c r="AR2592" s="184" t="str">
        <f>+IF($AG2592=AR$22,MONTH($D2592),"")</f>
        <v/>
      </c>
      <c r="AS2592" s="184" t="str">
        <f>+IF($AG2592=AS$22,MONTH($D2592),"")</f>
        <v/>
      </c>
      <c r="AT2592" s="86" t="str">
        <f>+IF($AG2592=AT$22,MONTH($D2592),"")</f>
        <v/>
      </c>
      <c r="AU2592" s="86" t="str">
        <f>+IF($AG2592=AU$22,MONTH($D2592),"")</f>
        <v/>
      </c>
      <c r="AV2592" s="86">
        <f>+IF($AG2592=AV$22,MONTH($D2592),"")</f>
        <v>10</v>
      </c>
      <c r="AW2592" s="86" t="str">
        <f>+IF($AG2592=AW$22,MONTH($D2592),"")</f>
        <v/>
      </c>
      <c r="AX2592" s="86" t="str">
        <f>+IF($AG2592=AX$22,MONTH($D2592),"")</f>
        <v/>
      </c>
      <c r="AY2592" s="89"/>
      <c r="AZ2592" s="89"/>
      <c r="BA2592" s="89"/>
      <c r="BB2592" s="89"/>
      <c r="BC2592" s="89"/>
      <c r="BD2592" s="89"/>
      <c r="BE2592" s="89"/>
      <c r="BF2592" s="89"/>
      <c r="BG2592" s="89"/>
      <c r="BH2592" s="89"/>
      <c r="BI2592" s="89"/>
      <c r="BJ2592" s="182"/>
      <c r="BK2592" s="182"/>
      <c r="BL2592" s="182"/>
      <c r="BM2592" s="182"/>
      <c r="BN2592" s="182"/>
      <c r="BO2592" s="182"/>
      <c r="BP2592" s="182"/>
    </row>
    <row r="2593" spans="1:68" s="51" customFormat="1" ht="19.5" hidden="1" customHeight="1">
      <c r="A2593" s="204" t="str">
        <f>+IFERROR(VALUE(MID(AB2593,4,4)),"")</f>
        <v/>
      </c>
      <c r="B2593" s="204">
        <f>VALUE(RIGHT(C2593,LEN(C2593)-2))</f>
        <v>138</v>
      </c>
      <c r="C2593" s="74" t="s">
        <v>8796</v>
      </c>
      <c r="D2593" s="75">
        <v>41205</v>
      </c>
      <c r="E2593" s="68" t="s">
        <v>53</v>
      </c>
      <c r="F2593" s="68" t="s">
        <v>53</v>
      </c>
      <c r="G2593" s="68"/>
      <c r="H2593" s="69"/>
      <c r="I2593" s="69" t="s">
        <v>8797</v>
      </c>
      <c r="J2593" s="81"/>
      <c r="K2593" s="71" t="s">
        <v>13</v>
      </c>
      <c r="L2593" s="69" t="s">
        <v>120</v>
      </c>
      <c r="M2593" s="69" t="s">
        <v>141</v>
      </c>
      <c r="N2593" s="69" t="e" vm="1">
        <v>#VALUE!</v>
      </c>
      <c r="O2593" s="82">
        <v>41205</v>
      </c>
      <c r="P2593" s="69" t="s">
        <v>402</v>
      </c>
      <c r="Q2593" s="69"/>
      <c r="R2593" s="69"/>
      <c r="S2593" s="146"/>
      <c r="T2593" s="68" t="s">
        <v>165</v>
      </c>
      <c r="U2593" s="87"/>
      <c r="V2593" s="183">
        <v>41218</v>
      </c>
      <c r="W2593" s="73">
        <v>1225</v>
      </c>
      <c r="X2593" s="216">
        <f>1429*22700/1000000</f>
        <v>32.438299999999998</v>
      </c>
      <c r="Y2593" s="73">
        <f>IF(SUM(W2593:W2593)&gt;0,X2593/SUM(W2593:W2593)*1000000,"N/A")</f>
        <v>26480.244897959183</v>
      </c>
      <c r="Z2593" s="70"/>
      <c r="AA2593" s="70"/>
      <c r="AB2593" s="223"/>
      <c r="AC2593" s="75"/>
      <c r="AD2593" s="332"/>
      <c r="AE2593" s="68"/>
      <c r="AF2593" s="148"/>
      <c r="AG2593" s="182">
        <f>YEAR(D2593)</f>
        <v>2012</v>
      </c>
      <c r="AH2593" s="86" t="str">
        <f>+IF(AE2593=$AJ$22,MONTH(T2593),"")</f>
        <v/>
      </c>
      <c r="AI2593" s="86" t="str">
        <f>+IF(AF2593=$AJ$22,MONTH(U2593),"")</f>
        <v/>
      </c>
      <c r="AJ2593" s="86" t="str">
        <f>+IF(AG2593=$AJ$22,MONTH(V2593),"")</f>
        <v/>
      </c>
      <c r="AK2593" s="86" t="str">
        <f>+IF(AG2593=$AK$22,MONTH(V2593),"")</f>
        <v/>
      </c>
      <c r="AL2593" s="86" t="str">
        <f>+IF(AG2593=$AL$22,MONTH(V2593),"")</f>
        <v/>
      </c>
      <c r="AM2593" s="86" t="str">
        <f>+IF($AG2593=$AM$22,MONTH($D2593),"")</f>
        <v/>
      </c>
      <c r="AN2593" s="89" t="str">
        <f>+IF($AG2593=AN$22,MONTH($D2593),"")</f>
        <v/>
      </c>
      <c r="AO2593" s="184" t="str">
        <f>+IF($AG2593=AO$22,MONTH($D2593),"")</f>
        <v/>
      </c>
      <c r="AP2593" s="184" t="str">
        <f>+IF($AG2593=AP$22,MONTH($D2593),"")</f>
        <v/>
      </c>
      <c r="AQ2593" s="184" t="str">
        <f>+IF($AG2593=AQ$22,MONTH($D2593),"")</f>
        <v/>
      </c>
      <c r="AR2593" s="184" t="str">
        <f>+IF($AG2593=AR$22,MONTH($D2593),"")</f>
        <v/>
      </c>
      <c r="AS2593" s="184" t="str">
        <f>+IF($AG2593=AS$22,MONTH($D2593),"")</f>
        <v/>
      </c>
      <c r="AT2593" s="86" t="str">
        <f>+IF($AG2593=AT$22,MONTH($D2593),"")</f>
        <v/>
      </c>
      <c r="AU2593" s="86" t="str">
        <f>+IF($AG2593=AU$22,MONTH($D2593),"")</f>
        <v/>
      </c>
      <c r="AV2593" s="86">
        <f>+IF($AG2593=AV$22,MONTH($D2593),"")</f>
        <v>10</v>
      </c>
      <c r="AW2593" s="86" t="str">
        <f>+IF($AG2593=AW$22,MONTH($D2593),"")</f>
        <v/>
      </c>
      <c r="AX2593" s="86" t="str">
        <f>+IF($AG2593=AX$22,MONTH($D2593),"")</f>
        <v/>
      </c>
      <c r="AY2593" s="89"/>
      <c r="AZ2593" s="89"/>
      <c r="BA2593" s="89"/>
      <c r="BB2593" s="89"/>
      <c r="BC2593" s="89"/>
      <c r="BD2593" s="89"/>
      <c r="BE2593" s="89"/>
      <c r="BF2593" s="89"/>
      <c r="BG2593" s="89"/>
      <c r="BH2593" s="89"/>
      <c r="BI2593" s="89"/>
      <c r="BJ2593" s="182"/>
      <c r="BK2593" s="182"/>
      <c r="BL2593" s="182"/>
      <c r="BM2593" s="182"/>
      <c r="BN2593" s="182"/>
      <c r="BO2593" s="182"/>
      <c r="BP2593" s="182"/>
    </row>
    <row r="2594" spans="1:68" s="51" customFormat="1" ht="19.5" hidden="1" customHeight="1">
      <c r="A2594" s="204" t="str">
        <f>+IFERROR(VALUE(MID(AB2594,4,4)),"")</f>
        <v/>
      </c>
      <c r="B2594" s="204">
        <f>VALUE(RIGHT(C2594,LEN(C2594)-2))</f>
        <v>137</v>
      </c>
      <c r="C2594" s="74" t="s">
        <v>8798</v>
      </c>
      <c r="D2594" s="75">
        <v>41200</v>
      </c>
      <c r="E2594" s="68" t="s">
        <v>97</v>
      </c>
      <c r="F2594" s="68" t="s">
        <v>685</v>
      </c>
      <c r="G2594" s="68" t="s">
        <v>8799</v>
      </c>
      <c r="H2594" s="69"/>
      <c r="I2594" s="69" t="s">
        <v>8800</v>
      </c>
      <c r="J2594" s="81"/>
      <c r="K2594" s="71" t="s">
        <v>13</v>
      </c>
      <c r="L2594" s="69" t="s">
        <v>120</v>
      </c>
      <c r="M2594" s="69" t="s">
        <v>141</v>
      </c>
      <c r="N2594" s="69" t="e" vm="1">
        <v>#VALUE!</v>
      </c>
      <c r="O2594" s="82">
        <v>41200</v>
      </c>
      <c r="P2594" s="69" t="s">
        <v>402</v>
      </c>
      <c r="Q2594" s="69"/>
      <c r="R2594" s="69"/>
      <c r="S2594" s="146"/>
      <c r="T2594" s="68" t="s">
        <v>165</v>
      </c>
      <c r="U2594" s="87"/>
      <c r="V2594" s="183">
        <v>41218</v>
      </c>
      <c r="W2594" s="73">
        <v>913</v>
      </c>
      <c r="X2594" s="216">
        <f>1193*22700/1000000</f>
        <v>27.081099999999999</v>
      </c>
      <c r="Y2594" s="73">
        <f>IF(SUM(W2594:W2594)&gt;0,X2594/SUM(W2594:W2594)*1000000,"N/A")</f>
        <v>29661.664841182912</v>
      </c>
      <c r="Z2594" s="70"/>
      <c r="AA2594" s="70"/>
      <c r="AB2594" s="223"/>
      <c r="AC2594" s="75"/>
      <c r="AD2594" s="332"/>
      <c r="AE2594" s="68"/>
      <c r="AF2594" s="148"/>
      <c r="AG2594" s="182">
        <f>YEAR(D2594)</f>
        <v>2012</v>
      </c>
      <c r="AH2594" s="86" t="str">
        <f>+IF(AE2594=$AJ$22,MONTH(T2594),"")</f>
        <v/>
      </c>
      <c r="AI2594" s="86" t="str">
        <f>+IF(AF2594=$AJ$22,MONTH(U2594),"")</f>
        <v/>
      </c>
      <c r="AJ2594" s="86" t="str">
        <f>+IF(AG2594=$AJ$22,MONTH(V2594),"")</f>
        <v/>
      </c>
      <c r="AK2594" s="86" t="str">
        <f>+IF(AG2594=$AK$22,MONTH(V2594),"")</f>
        <v/>
      </c>
      <c r="AL2594" s="86" t="str">
        <f>+IF(AG2594=$AL$22,MONTH(V2594),"")</f>
        <v/>
      </c>
      <c r="AM2594" s="86" t="str">
        <f>+IF($AG2594=$AM$22,MONTH($D2594),"")</f>
        <v/>
      </c>
      <c r="AN2594" s="89" t="str">
        <f>+IF($AG2594=AN$22,MONTH($D2594),"")</f>
        <v/>
      </c>
      <c r="AO2594" s="184" t="str">
        <f>+IF($AG2594=AO$22,MONTH($D2594),"")</f>
        <v/>
      </c>
      <c r="AP2594" s="184" t="str">
        <f>+IF($AG2594=AP$22,MONTH($D2594),"")</f>
        <v/>
      </c>
      <c r="AQ2594" s="184" t="str">
        <f>+IF($AG2594=AQ$22,MONTH($D2594),"")</f>
        <v/>
      </c>
      <c r="AR2594" s="184" t="str">
        <f>+IF($AG2594=AR$22,MONTH($D2594),"")</f>
        <v/>
      </c>
      <c r="AS2594" s="184" t="str">
        <f>+IF($AG2594=AS$22,MONTH($D2594),"")</f>
        <v/>
      </c>
      <c r="AT2594" s="86" t="str">
        <f>+IF($AG2594=AT$22,MONTH($D2594),"")</f>
        <v/>
      </c>
      <c r="AU2594" s="86" t="str">
        <f>+IF($AG2594=AU$22,MONTH($D2594),"")</f>
        <v/>
      </c>
      <c r="AV2594" s="86">
        <f>+IF($AG2594=AV$22,MONTH($D2594),"")</f>
        <v>10</v>
      </c>
      <c r="AW2594" s="86" t="str">
        <f>+IF($AG2594=AW$22,MONTH($D2594),"")</f>
        <v/>
      </c>
      <c r="AX2594" s="86" t="str">
        <f>+IF($AG2594=AX$22,MONTH($D2594),"")</f>
        <v/>
      </c>
      <c r="AY2594" s="89"/>
      <c r="AZ2594" s="89"/>
      <c r="BA2594" s="89"/>
      <c r="BB2594" s="89"/>
      <c r="BC2594" s="89"/>
      <c r="BD2594" s="89"/>
      <c r="BE2594" s="89"/>
      <c r="BF2594" s="89"/>
      <c r="BG2594" s="89"/>
      <c r="BH2594" s="89"/>
      <c r="BI2594" s="89"/>
      <c r="BJ2594" s="182"/>
      <c r="BK2594" s="182"/>
      <c r="BL2594" s="182"/>
      <c r="BM2594" s="182"/>
      <c r="BN2594" s="182"/>
      <c r="BO2594" s="182"/>
      <c r="BP2594" s="182"/>
    </row>
    <row r="2595" spans="1:68" s="51" customFormat="1" ht="19.5" hidden="1" customHeight="1">
      <c r="A2595" s="204" t="str">
        <f>+IFERROR(VALUE(MID(AB2595,4,4)),"")</f>
        <v/>
      </c>
      <c r="B2595" s="204">
        <f>VALUE(RIGHT(C2595,LEN(C2595)-2))</f>
        <v>136</v>
      </c>
      <c r="C2595" s="74" t="s">
        <v>8801</v>
      </c>
      <c r="D2595" s="75">
        <v>41198</v>
      </c>
      <c r="E2595" s="68" t="s">
        <v>8802</v>
      </c>
      <c r="F2595" s="70" t="s">
        <v>460</v>
      </c>
      <c r="G2595" s="68" t="s">
        <v>8609</v>
      </c>
      <c r="H2595" s="69"/>
      <c r="I2595" s="69" t="s">
        <v>8803</v>
      </c>
      <c r="J2595" s="81"/>
      <c r="K2595" s="71" t="s">
        <v>13</v>
      </c>
      <c r="L2595" s="69" t="s">
        <v>123</v>
      </c>
      <c r="M2595" s="69" t="s">
        <v>141</v>
      </c>
      <c r="N2595" s="69" t="e" vm="1">
        <v>#VALUE!</v>
      </c>
      <c r="O2595" s="82">
        <v>41198</v>
      </c>
      <c r="P2595" s="69" t="s">
        <v>402</v>
      </c>
      <c r="Q2595" s="69"/>
      <c r="R2595" s="69"/>
      <c r="S2595" s="146"/>
      <c r="T2595" s="68" t="s">
        <v>165</v>
      </c>
      <c r="U2595" s="87"/>
      <c r="V2595" s="183">
        <v>41218</v>
      </c>
      <c r="W2595" s="73">
        <v>550</v>
      </c>
      <c r="X2595" s="216">
        <f>850*22600/1000000</f>
        <v>19.21</v>
      </c>
      <c r="Y2595" s="73">
        <f>IF(SUM(W2595:W2595)&gt;0,X2595/SUM(W2595:W2595)*1000000,"N/A")</f>
        <v>34927.272727272728</v>
      </c>
      <c r="Z2595" s="70"/>
      <c r="AA2595" s="70"/>
      <c r="AB2595" s="223"/>
      <c r="AC2595" s="75"/>
      <c r="AD2595" s="332"/>
      <c r="AE2595" s="68"/>
      <c r="AF2595" s="148"/>
      <c r="AG2595" s="182">
        <f>YEAR(D2595)</f>
        <v>2012</v>
      </c>
      <c r="AH2595" s="86" t="str">
        <f>+IF(AE2595=$AJ$22,MONTH(T2595),"")</f>
        <v/>
      </c>
      <c r="AI2595" s="86" t="str">
        <f>+IF(AF2595=$AJ$22,MONTH(U2595),"")</f>
        <v/>
      </c>
      <c r="AJ2595" s="86" t="str">
        <f>+IF(AG2595=$AJ$22,MONTH(V2595),"")</f>
        <v/>
      </c>
      <c r="AK2595" s="86" t="str">
        <f>+IF(AG2595=$AK$22,MONTH(V2595),"")</f>
        <v/>
      </c>
      <c r="AL2595" s="86" t="str">
        <f>+IF(AG2595=$AL$22,MONTH(V2595),"")</f>
        <v/>
      </c>
      <c r="AM2595" s="86" t="str">
        <f>+IF($AG2595=$AM$22,MONTH($D2595),"")</f>
        <v/>
      </c>
      <c r="AN2595" s="89" t="str">
        <f>+IF($AG2595=AN$22,MONTH($D2595),"")</f>
        <v/>
      </c>
      <c r="AO2595" s="184" t="str">
        <f>+IF($AG2595=AO$22,MONTH($D2595),"")</f>
        <v/>
      </c>
      <c r="AP2595" s="184" t="str">
        <f>+IF($AG2595=AP$22,MONTH($D2595),"")</f>
        <v/>
      </c>
      <c r="AQ2595" s="184" t="str">
        <f>+IF($AG2595=AQ$22,MONTH($D2595),"")</f>
        <v/>
      </c>
      <c r="AR2595" s="184" t="str">
        <f>+IF($AG2595=AR$22,MONTH($D2595),"")</f>
        <v/>
      </c>
      <c r="AS2595" s="184" t="str">
        <f>+IF($AG2595=AS$22,MONTH($D2595),"")</f>
        <v/>
      </c>
      <c r="AT2595" s="86" t="str">
        <f>+IF($AG2595=AT$22,MONTH($D2595),"")</f>
        <v/>
      </c>
      <c r="AU2595" s="86" t="str">
        <f>+IF($AG2595=AU$22,MONTH($D2595),"")</f>
        <v/>
      </c>
      <c r="AV2595" s="86">
        <f>+IF($AG2595=AV$22,MONTH($D2595),"")</f>
        <v>10</v>
      </c>
      <c r="AW2595" s="86" t="str">
        <f>+IF($AG2595=AW$22,MONTH($D2595),"")</f>
        <v/>
      </c>
      <c r="AX2595" s="86" t="str">
        <f>+IF($AG2595=AX$22,MONTH($D2595),"")</f>
        <v/>
      </c>
      <c r="AY2595" s="89"/>
      <c r="AZ2595" s="89"/>
      <c r="BA2595" s="89"/>
      <c r="BB2595" s="89"/>
      <c r="BC2595" s="89"/>
      <c r="BD2595" s="89"/>
      <c r="BE2595" s="89"/>
      <c r="BF2595" s="89"/>
      <c r="BG2595" s="89"/>
      <c r="BH2595" s="89"/>
      <c r="BI2595" s="89"/>
      <c r="BJ2595" s="182"/>
      <c r="BK2595" s="182"/>
      <c r="BL2595" s="182"/>
      <c r="BM2595" s="182"/>
      <c r="BN2595" s="182"/>
      <c r="BO2595" s="182"/>
      <c r="BP2595" s="182"/>
    </row>
    <row r="2596" spans="1:68" s="51" customFormat="1" ht="19.5" hidden="1" customHeight="1">
      <c r="A2596" s="204" t="str">
        <f>+IFERROR(VALUE(MID(AB2596,4,4)),"")</f>
        <v/>
      </c>
      <c r="B2596" s="204">
        <f>VALUE(RIGHT(C2596,LEN(C2596)-2))</f>
        <v>135</v>
      </c>
      <c r="C2596" s="74" t="s">
        <v>8804</v>
      </c>
      <c r="D2596" s="75">
        <v>41193</v>
      </c>
      <c r="E2596" s="68" t="s">
        <v>8805</v>
      </c>
      <c r="F2596" s="68" t="s">
        <v>8806</v>
      </c>
      <c r="G2596" s="68" t="s">
        <v>8609</v>
      </c>
      <c r="H2596" s="69"/>
      <c r="I2596" s="69" t="s">
        <v>8807</v>
      </c>
      <c r="J2596" s="81"/>
      <c r="K2596" s="71" t="s">
        <v>13</v>
      </c>
      <c r="L2596" s="69" t="s">
        <v>123</v>
      </c>
      <c r="M2596" s="69" t="s">
        <v>141</v>
      </c>
      <c r="N2596" s="69" t="e" vm="1">
        <v>#VALUE!</v>
      </c>
      <c r="O2596" s="82">
        <v>41205</v>
      </c>
      <c r="P2596" s="69" t="s">
        <v>402</v>
      </c>
      <c r="Q2596" s="69"/>
      <c r="R2596" s="69"/>
      <c r="S2596" s="146"/>
      <c r="T2596" s="68" t="s">
        <v>165</v>
      </c>
      <c r="U2596" s="87"/>
      <c r="V2596" s="183">
        <v>41218</v>
      </c>
      <c r="W2596" s="73">
        <v>4074</v>
      </c>
      <c r="X2596" s="216">
        <f>146.763233</f>
        <v>146.76323300000001</v>
      </c>
      <c r="Y2596" s="73">
        <f>IF(SUM(W2596:W2596)&gt;0,X2596/SUM(W2596:W2596)*1000000,"N/A")</f>
        <v>36024.357633775166</v>
      </c>
      <c r="Z2596" s="70"/>
      <c r="AA2596" s="70"/>
      <c r="AB2596" s="223"/>
      <c r="AC2596" s="75"/>
      <c r="AD2596" s="332"/>
      <c r="AE2596" s="68"/>
      <c r="AF2596" s="148"/>
      <c r="AG2596" s="182">
        <f>YEAR(D2596)</f>
        <v>2012</v>
      </c>
      <c r="AH2596" s="86" t="str">
        <f>+IF(AE2596=$AJ$22,MONTH(T2596),"")</f>
        <v/>
      </c>
      <c r="AI2596" s="86" t="str">
        <f>+IF(AF2596=$AJ$22,MONTH(U2596),"")</f>
        <v/>
      </c>
      <c r="AJ2596" s="86" t="str">
        <f>+IF(AG2596=$AJ$22,MONTH(V2596),"")</f>
        <v/>
      </c>
      <c r="AK2596" s="86" t="str">
        <f>+IF(AG2596=$AK$22,MONTH(V2596),"")</f>
        <v/>
      </c>
      <c r="AL2596" s="86" t="str">
        <f>+IF(AG2596=$AL$22,MONTH(V2596),"")</f>
        <v/>
      </c>
      <c r="AM2596" s="86" t="str">
        <f>+IF($AG2596=$AM$22,MONTH($D2596),"")</f>
        <v/>
      </c>
      <c r="AN2596" s="89" t="str">
        <f>+IF($AG2596=AN$22,MONTH($D2596),"")</f>
        <v/>
      </c>
      <c r="AO2596" s="184" t="str">
        <f>+IF($AG2596=AO$22,MONTH($D2596),"")</f>
        <v/>
      </c>
      <c r="AP2596" s="184" t="str">
        <f>+IF($AG2596=AP$22,MONTH($D2596),"")</f>
        <v/>
      </c>
      <c r="AQ2596" s="184" t="str">
        <f>+IF($AG2596=AQ$22,MONTH($D2596),"")</f>
        <v/>
      </c>
      <c r="AR2596" s="184" t="str">
        <f>+IF($AG2596=AR$22,MONTH($D2596),"")</f>
        <v/>
      </c>
      <c r="AS2596" s="184" t="str">
        <f>+IF($AG2596=AS$22,MONTH($D2596),"")</f>
        <v/>
      </c>
      <c r="AT2596" s="86" t="str">
        <f>+IF($AG2596=AT$22,MONTH($D2596),"")</f>
        <v/>
      </c>
      <c r="AU2596" s="86" t="str">
        <f>+IF($AG2596=AU$22,MONTH($D2596),"")</f>
        <v/>
      </c>
      <c r="AV2596" s="86">
        <f>+IF($AG2596=AV$22,MONTH($D2596),"")</f>
        <v>10</v>
      </c>
      <c r="AW2596" s="86" t="str">
        <f>+IF($AG2596=AW$22,MONTH($D2596),"")</f>
        <v/>
      </c>
      <c r="AX2596" s="86" t="str">
        <f>+IF($AG2596=AX$22,MONTH($D2596),"")</f>
        <v/>
      </c>
      <c r="AY2596" s="89"/>
      <c r="AZ2596" s="89"/>
      <c r="BA2596" s="89"/>
      <c r="BB2596" s="89"/>
      <c r="BC2596" s="89"/>
      <c r="BD2596" s="89"/>
      <c r="BE2596" s="89"/>
      <c r="BF2596" s="89"/>
      <c r="BG2596" s="89"/>
      <c r="BH2596" s="89"/>
      <c r="BI2596" s="89"/>
      <c r="BJ2596" s="182"/>
      <c r="BK2596" s="182"/>
      <c r="BL2596" s="182"/>
      <c r="BM2596" s="182"/>
      <c r="BN2596" s="182"/>
      <c r="BO2596" s="182"/>
      <c r="BP2596" s="182"/>
    </row>
    <row r="2597" spans="1:68" s="51" customFormat="1" ht="31.5" hidden="1" customHeight="1">
      <c r="A2597" s="204" t="str">
        <f>+IFERROR(VALUE(MID(AB2597,4,4)),"")</f>
        <v/>
      </c>
      <c r="B2597" s="204">
        <f>VALUE(RIGHT(C2597,LEN(C2597)-2))</f>
        <v>134</v>
      </c>
      <c r="C2597" s="74" t="s">
        <v>8808</v>
      </c>
      <c r="D2597" s="75">
        <v>41190</v>
      </c>
      <c r="E2597" s="68" t="s">
        <v>8612</v>
      </c>
      <c r="F2597" s="70" t="s">
        <v>479</v>
      </c>
      <c r="G2597" s="68" t="s">
        <v>8613</v>
      </c>
      <c r="H2597" s="69"/>
      <c r="I2597" s="69" t="s">
        <v>8809</v>
      </c>
      <c r="J2597" s="81"/>
      <c r="K2597" s="71" t="s">
        <v>12</v>
      </c>
      <c r="L2597" s="69" t="s">
        <v>120</v>
      </c>
      <c r="M2597" s="69" t="s">
        <v>113</v>
      </c>
      <c r="N2597" s="69" t="e" vm="2">
        <v>#VALUE!</v>
      </c>
      <c r="O2597" s="82">
        <v>41191</v>
      </c>
      <c r="P2597" s="69" t="s">
        <v>402</v>
      </c>
      <c r="Q2597" s="69"/>
      <c r="R2597" s="69"/>
      <c r="S2597" s="146"/>
      <c r="T2597" s="68" t="s">
        <v>165</v>
      </c>
      <c r="U2597" s="87"/>
      <c r="V2597" s="183">
        <v>41192</v>
      </c>
      <c r="W2597" s="73">
        <v>1000</v>
      </c>
      <c r="X2597" s="216">
        <f>138690*230/1000000</f>
        <v>31.898700000000002</v>
      </c>
      <c r="Y2597" s="73">
        <f>IF(SUM(W2597:W2597)&gt;0,X2597/SUM(W2597:W2597)*1000000,"N/A")</f>
        <v>31898.7</v>
      </c>
      <c r="Z2597" s="70"/>
      <c r="AA2597" s="70"/>
      <c r="AB2597" s="223"/>
      <c r="AC2597" s="75"/>
      <c r="AD2597" s="332"/>
      <c r="AE2597" s="68"/>
      <c r="AF2597" s="148"/>
      <c r="AG2597" s="182">
        <f>YEAR(D2597)</f>
        <v>2012</v>
      </c>
      <c r="AH2597" s="86" t="str">
        <f>+IF(AE2597=$AJ$22,MONTH(T2597),"")</f>
        <v/>
      </c>
      <c r="AI2597" s="86" t="str">
        <f>+IF(AF2597=$AJ$22,MONTH(U2597),"")</f>
        <v/>
      </c>
      <c r="AJ2597" s="86" t="str">
        <f>+IF(AG2597=$AJ$22,MONTH(V2597),"")</f>
        <v/>
      </c>
      <c r="AK2597" s="86" t="str">
        <f>+IF(AG2597=$AK$22,MONTH(V2597),"")</f>
        <v/>
      </c>
      <c r="AL2597" s="86" t="str">
        <f>+IF(AG2597=$AL$22,MONTH(V2597),"")</f>
        <v/>
      </c>
      <c r="AM2597" s="86" t="str">
        <f>+IF($AG2597=$AM$22,MONTH($D2597),"")</f>
        <v/>
      </c>
      <c r="AN2597" s="89" t="str">
        <f>+IF($AG2597=AN$22,MONTH($D2597),"")</f>
        <v/>
      </c>
      <c r="AO2597" s="184" t="str">
        <f>+IF($AG2597=AO$22,MONTH($D2597),"")</f>
        <v/>
      </c>
      <c r="AP2597" s="184" t="str">
        <f>+IF($AG2597=AP$22,MONTH($D2597),"")</f>
        <v/>
      </c>
      <c r="AQ2597" s="184" t="str">
        <f>+IF($AG2597=AQ$22,MONTH($D2597),"")</f>
        <v/>
      </c>
      <c r="AR2597" s="184" t="str">
        <f>+IF($AG2597=AR$22,MONTH($D2597),"")</f>
        <v/>
      </c>
      <c r="AS2597" s="184" t="str">
        <f>+IF($AG2597=AS$22,MONTH($D2597),"")</f>
        <v/>
      </c>
      <c r="AT2597" s="86" t="str">
        <f>+IF($AG2597=AT$22,MONTH($D2597),"")</f>
        <v/>
      </c>
      <c r="AU2597" s="86" t="str">
        <f>+IF($AG2597=AU$22,MONTH($D2597),"")</f>
        <v/>
      </c>
      <c r="AV2597" s="86">
        <f>+IF($AG2597=AV$22,MONTH($D2597),"")</f>
        <v>10</v>
      </c>
      <c r="AW2597" s="86" t="str">
        <f>+IF($AG2597=AW$22,MONTH($D2597),"")</f>
        <v/>
      </c>
      <c r="AX2597" s="86" t="str">
        <f>+IF($AG2597=AX$22,MONTH($D2597),"")</f>
        <v/>
      </c>
      <c r="AY2597" s="89"/>
      <c r="AZ2597" s="89"/>
      <c r="BA2597" s="89"/>
      <c r="BB2597" s="89"/>
      <c r="BC2597" s="89"/>
      <c r="BD2597" s="89"/>
      <c r="BE2597" s="89"/>
      <c r="BF2597" s="89"/>
      <c r="BG2597" s="89"/>
      <c r="BH2597" s="89"/>
      <c r="BI2597" s="89"/>
      <c r="BJ2597" s="182"/>
      <c r="BK2597" s="182"/>
      <c r="BL2597" s="182"/>
      <c r="BM2597" s="182"/>
      <c r="BN2597" s="182"/>
      <c r="BO2597" s="182"/>
      <c r="BP2597" s="182"/>
    </row>
    <row r="2598" spans="1:68" s="51" customFormat="1" ht="19.5" hidden="1" customHeight="1">
      <c r="A2598" s="204" t="str">
        <f>+IFERROR(VALUE(MID(AB2598,4,4)),"")</f>
        <v/>
      </c>
      <c r="B2598" s="204">
        <f>VALUE(RIGHT(C2598,LEN(C2598)-2))</f>
        <v>133</v>
      </c>
      <c r="C2598" s="74" t="s">
        <v>8810</v>
      </c>
      <c r="D2598" s="75">
        <v>41190</v>
      </c>
      <c r="E2598" s="68" t="s">
        <v>5662</v>
      </c>
      <c r="F2598" s="68" t="s">
        <v>8429</v>
      </c>
      <c r="G2598" s="68" t="s">
        <v>7892</v>
      </c>
      <c r="H2598" s="59" t="s">
        <v>7971</v>
      </c>
      <c r="I2598" s="69" t="s">
        <v>8811</v>
      </c>
      <c r="J2598" s="81"/>
      <c r="K2598" s="71" t="s">
        <v>14</v>
      </c>
      <c r="L2598" s="69" t="s">
        <v>120</v>
      </c>
      <c r="M2598" s="69" t="s">
        <v>141</v>
      </c>
      <c r="N2598" s="69" t="e" vm="1">
        <v>#VALUE!</v>
      </c>
      <c r="O2598" s="82">
        <v>41194</v>
      </c>
      <c r="P2598" s="69" t="s">
        <v>402</v>
      </c>
      <c r="Q2598" s="69"/>
      <c r="R2598" s="69"/>
      <c r="S2598" s="146" t="s">
        <v>8685</v>
      </c>
      <c r="T2598" s="68" t="s">
        <v>165</v>
      </c>
      <c r="U2598" s="87"/>
      <c r="V2598" s="183">
        <v>41212</v>
      </c>
      <c r="W2598" s="73">
        <v>777</v>
      </c>
      <c r="X2598" s="216">
        <f>1204*22700/1000000</f>
        <v>27.3308</v>
      </c>
      <c r="Y2598" s="73">
        <f>IF(SUM(W2598:W2598)&gt;0,X2598/SUM(W2598:W2598)*1000000,"N/A")</f>
        <v>35174.774774774778</v>
      </c>
      <c r="Z2598" s="70"/>
      <c r="AA2598" s="70"/>
      <c r="AB2598" s="223"/>
      <c r="AC2598" s="75"/>
      <c r="AD2598" s="332"/>
      <c r="AE2598" s="68"/>
      <c r="AF2598" s="148"/>
      <c r="AG2598" s="182">
        <f>YEAR(D2598)</f>
        <v>2012</v>
      </c>
      <c r="AH2598" s="86" t="str">
        <f>+IF(AE2598=$AJ$22,MONTH(T2598),"")</f>
        <v/>
      </c>
      <c r="AI2598" s="86" t="str">
        <f>+IF(AF2598=$AJ$22,MONTH(U2598),"")</f>
        <v/>
      </c>
      <c r="AJ2598" s="86" t="str">
        <f>+IF(AG2598=$AJ$22,MONTH(V2598),"")</f>
        <v/>
      </c>
      <c r="AK2598" s="86" t="str">
        <f>+IF(AG2598=$AK$22,MONTH(V2598),"")</f>
        <v/>
      </c>
      <c r="AL2598" s="86" t="str">
        <f>+IF(AG2598=$AL$22,MONTH(V2598),"")</f>
        <v/>
      </c>
      <c r="AM2598" s="86" t="str">
        <f>+IF($AG2598=$AM$22,MONTH($D2598),"")</f>
        <v/>
      </c>
      <c r="AN2598" s="89" t="str">
        <f>+IF($AG2598=AN$22,MONTH($D2598),"")</f>
        <v/>
      </c>
      <c r="AO2598" s="184" t="str">
        <f>+IF($AG2598=AO$22,MONTH($D2598),"")</f>
        <v/>
      </c>
      <c r="AP2598" s="184" t="str">
        <f>+IF($AG2598=AP$22,MONTH($D2598),"")</f>
        <v/>
      </c>
      <c r="AQ2598" s="184" t="str">
        <f>+IF($AG2598=AQ$22,MONTH($D2598),"")</f>
        <v/>
      </c>
      <c r="AR2598" s="184" t="str">
        <f>+IF($AG2598=AR$22,MONTH($D2598),"")</f>
        <v/>
      </c>
      <c r="AS2598" s="184" t="str">
        <f>+IF($AG2598=AS$22,MONTH($D2598),"")</f>
        <v/>
      </c>
      <c r="AT2598" s="86" t="str">
        <f>+IF($AG2598=AT$22,MONTH($D2598),"")</f>
        <v/>
      </c>
      <c r="AU2598" s="86" t="str">
        <f>+IF($AG2598=AU$22,MONTH($D2598),"")</f>
        <v/>
      </c>
      <c r="AV2598" s="86">
        <f>+IF($AG2598=AV$22,MONTH($D2598),"")</f>
        <v>10</v>
      </c>
      <c r="AW2598" s="86" t="str">
        <f>+IF($AG2598=AW$22,MONTH($D2598),"")</f>
        <v/>
      </c>
      <c r="AX2598" s="86" t="str">
        <f>+IF($AG2598=AX$22,MONTH($D2598),"")</f>
        <v/>
      </c>
      <c r="AY2598" s="89"/>
      <c r="AZ2598" s="89"/>
      <c r="BA2598" s="89"/>
      <c r="BB2598" s="89"/>
      <c r="BC2598" s="89"/>
      <c r="BD2598" s="89"/>
      <c r="BE2598" s="89"/>
      <c r="BF2598" s="89"/>
      <c r="BG2598" s="89"/>
      <c r="BH2598" s="89"/>
      <c r="BI2598" s="89"/>
      <c r="BJ2598" s="182"/>
      <c r="BK2598" s="182"/>
      <c r="BL2598" s="182"/>
      <c r="BM2598" s="182"/>
      <c r="BN2598" s="182"/>
      <c r="BO2598" s="182"/>
      <c r="BP2598" s="182"/>
    </row>
    <row r="2599" spans="1:68" s="51" customFormat="1" ht="31.15" hidden="1" customHeight="1">
      <c r="A2599" s="204" t="str">
        <f>+IFERROR(VALUE(MID(AB2599,4,4)),"")</f>
        <v/>
      </c>
      <c r="B2599" s="204">
        <f>VALUE(RIGHT(C2599,LEN(C2599)-2))</f>
        <v>132</v>
      </c>
      <c r="C2599" s="74" t="s">
        <v>8812</v>
      </c>
      <c r="D2599" s="75">
        <v>41186</v>
      </c>
      <c r="E2599" s="68" t="s">
        <v>97</v>
      </c>
      <c r="F2599" s="70" t="s">
        <v>1379</v>
      </c>
      <c r="G2599" s="68"/>
      <c r="H2599" s="69"/>
      <c r="I2599" s="69" t="s">
        <v>8813</v>
      </c>
      <c r="J2599" s="81"/>
      <c r="K2599" s="71" t="s">
        <v>275</v>
      </c>
      <c r="L2599" s="69" t="s">
        <v>123</v>
      </c>
      <c r="M2599" s="69" t="s">
        <v>141</v>
      </c>
      <c r="N2599" s="69" t="e" vm="1">
        <v>#VALUE!</v>
      </c>
      <c r="O2599" s="82">
        <v>41190</v>
      </c>
      <c r="P2599" s="69" t="s">
        <v>402</v>
      </c>
      <c r="Q2599" s="69"/>
      <c r="R2599" s="69"/>
      <c r="S2599" s="146"/>
      <c r="T2599" s="68" t="s">
        <v>165</v>
      </c>
      <c r="U2599" s="87"/>
      <c r="V2599" s="183">
        <v>41201</v>
      </c>
      <c r="W2599" s="73">
        <v>21060</v>
      </c>
      <c r="X2599" s="216">
        <f>419.9</f>
        <v>419.9</v>
      </c>
      <c r="Y2599" s="73">
        <f>IF(SUM(W2599:W2599)&gt;0,X2599/SUM(W2599:W2599)*1000000,"N/A")</f>
        <v>19938.271604938269</v>
      </c>
      <c r="Z2599" s="70"/>
      <c r="AA2599" s="70"/>
      <c r="AB2599" s="223"/>
      <c r="AC2599" s="75"/>
      <c r="AD2599" s="332"/>
      <c r="AE2599" s="68"/>
      <c r="AF2599" s="148"/>
      <c r="AG2599" s="182">
        <f>YEAR(D2599)</f>
        <v>2012</v>
      </c>
      <c r="AH2599" s="86" t="str">
        <f>+IF(AE2599=$AJ$22,MONTH(T2599),"")</f>
        <v/>
      </c>
      <c r="AI2599" s="86" t="str">
        <f>+IF(AF2599=$AJ$22,MONTH(U2599),"")</f>
        <v/>
      </c>
      <c r="AJ2599" s="86" t="str">
        <f>+IF(AG2599=$AJ$22,MONTH(V2599),"")</f>
        <v/>
      </c>
      <c r="AK2599" s="86" t="str">
        <f>+IF(AG2599=$AK$22,MONTH(V2599),"")</f>
        <v/>
      </c>
      <c r="AL2599" s="86" t="str">
        <f>+IF(AG2599=$AL$22,MONTH(V2599),"")</f>
        <v/>
      </c>
      <c r="AM2599" s="86" t="str">
        <f>+IF($AG2599=$AM$22,MONTH($D2599),"")</f>
        <v/>
      </c>
      <c r="AN2599" s="89" t="str">
        <f>+IF($AG2599=AN$22,MONTH($D2599),"")</f>
        <v/>
      </c>
      <c r="AO2599" s="184" t="str">
        <f>+IF($AG2599=AO$22,MONTH($D2599),"")</f>
        <v/>
      </c>
      <c r="AP2599" s="184" t="str">
        <f>+IF($AG2599=AP$22,MONTH($D2599),"")</f>
        <v/>
      </c>
      <c r="AQ2599" s="184" t="str">
        <f>+IF($AG2599=AQ$22,MONTH($D2599),"")</f>
        <v/>
      </c>
      <c r="AR2599" s="184" t="str">
        <f>+IF($AG2599=AR$22,MONTH($D2599),"")</f>
        <v/>
      </c>
      <c r="AS2599" s="184" t="str">
        <f>+IF($AG2599=AS$22,MONTH($D2599),"")</f>
        <v/>
      </c>
      <c r="AT2599" s="86" t="str">
        <f>+IF($AG2599=AT$22,MONTH($D2599),"")</f>
        <v/>
      </c>
      <c r="AU2599" s="86" t="str">
        <f>+IF($AG2599=AU$22,MONTH($D2599),"")</f>
        <v/>
      </c>
      <c r="AV2599" s="86">
        <f>+IF($AG2599=AV$22,MONTH($D2599),"")</f>
        <v>10</v>
      </c>
      <c r="AW2599" s="86" t="str">
        <f>+IF($AG2599=AW$22,MONTH($D2599),"")</f>
        <v/>
      </c>
      <c r="AX2599" s="86" t="str">
        <f>+IF($AG2599=AX$22,MONTH($D2599),"")</f>
        <v/>
      </c>
      <c r="AY2599" s="89"/>
      <c r="AZ2599" s="89"/>
      <c r="BA2599" s="89"/>
      <c r="BB2599" s="89"/>
      <c r="BC2599" s="89"/>
      <c r="BD2599" s="89"/>
      <c r="BE2599" s="89"/>
      <c r="BF2599" s="89"/>
      <c r="BG2599" s="89"/>
      <c r="BH2599" s="89"/>
      <c r="BI2599" s="89"/>
      <c r="BJ2599" s="182"/>
      <c r="BK2599" s="182"/>
      <c r="BL2599" s="182"/>
      <c r="BM2599" s="182"/>
      <c r="BN2599" s="182"/>
      <c r="BO2599" s="182"/>
      <c r="BP2599" s="182"/>
    </row>
    <row r="2600" spans="1:68" s="51" customFormat="1" ht="19.5" hidden="1" customHeight="1">
      <c r="A2600" s="204">
        <f>+IFERROR(VALUE(MID(AB2600,4,4)),"")</f>
        <v>59</v>
      </c>
      <c r="B2600" s="204">
        <f>VALUE(RIGHT(C2600,LEN(C2600)-2))</f>
        <v>131</v>
      </c>
      <c r="C2600" s="74" t="s">
        <v>8814</v>
      </c>
      <c r="D2600" s="75">
        <v>41152</v>
      </c>
      <c r="E2600" s="70" t="s">
        <v>2349</v>
      </c>
      <c r="F2600" s="70" t="s">
        <v>1379</v>
      </c>
      <c r="G2600" s="68" t="s">
        <v>8815</v>
      </c>
      <c r="H2600" s="69"/>
      <c r="I2600" s="69" t="s">
        <v>8816</v>
      </c>
      <c r="J2600" s="81"/>
      <c r="K2600" s="71" t="s">
        <v>25</v>
      </c>
      <c r="L2600" s="69" t="s">
        <v>120</v>
      </c>
      <c r="M2600" s="69" t="s">
        <v>141</v>
      </c>
      <c r="N2600" s="69" t="e" vm="1">
        <v>#VALUE!</v>
      </c>
      <c r="O2600" s="82">
        <v>41152</v>
      </c>
      <c r="P2600" s="69" t="s">
        <v>402</v>
      </c>
      <c r="Q2600" s="69"/>
      <c r="R2600" s="69"/>
      <c r="S2600" s="146"/>
      <c r="T2600" s="68" t="s">
        <v>3</v>
      </c>
      <c r="U2600" s="87"/>
      <c r="V2600" s="183">
        <v>41185</v>
      </c>
      <c r="W2600" s="73">
        <v>85</v>
      </c>
      <c r="X2600" s="216">
        <f>85*22500/1000000</f>
        <v>1.9125000000000001</v>
      </c>
      <c r="Y2600" s="73">
        <f>IF(SUM(W2600:W2600)&gt;0,X2600/SUM(W2600:W2600)*1000000,"N/A")</f>
        <v>22500.000000000004</v>
      </c>
      <c r="Z2600" s="70"/>
      <c r="AA2600" s="70"/>
      <c r="AB2600" s="223" t="s">
        <v>8817</v>
      </c>
      <c r="AC2600" s="75"/>
      <c r="AD2600" s="332"/>
      <c r="AE2600" s="68"/>
      <c r="AF2600" s="148"/>
      <c r="AG2600" s="182">
        <f>YEAR(D2600)</f>
        <v>2012</v>
      </c>
      <c r="AH2600" s="86" t="str">
        <f>+IF(AE2600=$AJ$22,MONTH(T2600),"")</f>
        <v/>
      </c>
      <c r="AI2600" s="86" t="str">
        <f>+IF(AF2600=$AJ$22,MONTH(U2600),"")</f>
        <v/>
      </c>
      <c r="AJ2600" s="86" t="str">
        <f>+IF(AG2600=$AJ$22,MONTH(V2600),"")</f>
        <v/>
      </c>
      <c r="AK2600" s="86" t="str">
        <f>+IF(AG2600=$AK$22,MONTH(V2600),"")</f>
        <v/>
      </c>
      <c r="AL2600" s="86" t="str">
        <f>+IF(AG2600=$AL$22,MONTH(V2600),"")</f>
        <v/>
      </c>
      <c r="AM2600" s="86" t="str">
        <f>+IF($AG2600=$AM$22,MONTH($D2600),"")</f>
        <v/>
      </c>
      <c r="AN2600" s="89" t="str">
        <f>+IF($AG2600=AN$22,MONTH($D2600),"")</f>
        <v/>
      </c>
      <c r="AO2600" s="86" t="str">
        <f>+IF($AG2600=AO$22,MONTH($D2600),"")</f>
        <v/>
      </c>
      <c r="AP2600" s="86" t="str">
        <f>+IF($AG2600=AP$22,MONTH($D2600),"")</f>
        <v/>
      </c>
      <c r="AQ2600" s="86" t="str">
        <f>+IF($AG2600=AQ$22,MONTH($D2600),"")</f>
        <v/>
      </c>
      <c r="AR2600" s="86" t="str">
        <f>+IF($AG2600=AR$22,MONTH($D2600),"")</f>
        <v/>
      </c>
      <c r="AS2600" s="86" t="str">
        <f>+IF($AG2600=AS$22,MONTH($D2600),"")</f>
        <v/>
      </c>
      <c r="AT2600" s="86" t="str">
        <f>+IF($AG2600=AT$22,MONTH($D2600),"")</f>
        <v/>
      </c>
      <c r="AU2600" s="86" t="str">
        <f>+IF($AG2600=AU$22,MONTH($D2600),"")</f>
        <v/>
      </c>
      <c r="AV2600" s="86">
        <f>+IF($AG2600=AV$22,MONTH($D2600),"")</f>
        <v>8</v>
      </c>
      <c r="AW2600" s="86" t="str">
        <f>+IF($AG2600=AW$22,MONTH($D2600),"")</f>
        <v/>
      </c>
      <c r="AX2600" s="86" t="str">
        <f>+IF($AG2600=AX$22,MONTH($D2600),"")</f>
        <v/>
      </c>
      <c r="AY2600" s="89"/>
      <c r="AZ2600" s="89"/>
      <c r="BA2600" s="89"/>
      <c r="BB2600" s="89"/>
      <c r="BC2600" s="89"/>
      <c r="BD2600" s="89"/>
      <c r="BE2600" s="89"/>
      <c r="BF2600" s="89"/>
      <c r="BG2600" s="89"/>
      <c r="BH2600" s="89"/>
      <c r="BI2600" s="89"/>
      <c r="BJ2600" s="182"/>
      <c r="BK2600" s="182"/>
      <c r="BL2600" s="182"/>
      <c r="BM2600" s="182"/>
      <c r="BN2600" s="182"/>
      <c r="BO2600" s="182"/>
      <c r="BP2600" s="182"/>
    </row>
    <row r="2601" spans="1:68" s="51" customFormat="1" ht="19.5" hidden="1" customHeight="1">
      <c r="A2601" s="204">
        <f>+IFERROR(VALUE(MID(AB2601,4,4)),"")</f>
        <v>60</v>
      </c>
      <c r="B2601" s="204">
        <f>VALUE(RIGHT(C2601,LEN(C2601)-2))</f>
        <v>130</v>
      </c>
      <c r="C2601" s="74" t="s">
        <v>8818</v>
      </c>
      <c r="D2601" s="75">
        <v>41162</v>
      </c>
      <c r="E2601" s="68" t="s">
        <v>20</v>
      </c>
      <c r="F2601" s="70" t="s">
        <v>1379</v>
      </c>
      <c r="G2601" s="68" t="s">
        <v>8609</v>
      </c>
      <c r="H2601" s="69"/>
      <c r="I2601" s="69" t="s">
        <v>8819</v>
      </c>
      <c r="J2601" s="81"/>
      <c r="K2601" s="71" t="s">
        <v>16</v>
      </c>
      <c r="L2601" s="69" t="s">
        <v>120</v>
      </c>
      <c r="M2601" s="69" t="s">
        <v>141</v>
      </c>
      <c r="N2601" s="69" t="e" vm="1">
        <v>#VALUE!</v>
      </c>
      <c r="O2601" s="82">
        <v>41183</v>
      </c>
      <c r="P2601" s="69" t="s">
        <v>402</v>
      </c>
      <c r="Q2601" s="69"/>
      <c r="R2601" s="69"/>
      <c r="S2601" s="146"/>
      <c r="T2601" s="68" t="s">
        <v>3</v>
      </c>
      <c r="U2601" s="87"/>
      <c r="V2601" s="183">
        <v>41185</v>
      </c>
      <c r="W2601" s="73">
        <v>30</v>
      </c>
      <c r="X2601" s="216">
        <v>0.67777699999999996</v>
      </c>
      <c r="Y2601" s="73">
        <f>IF(SUM(W2601:W2601)&gt;0,X2601/SUM(W2601:W2601)*1000000,"N/A")</f>
        <v>22592.566666666666</v>
      </c>
      <c r="Z2601" s="70"/>
      <c r="AA2601" s="70"/>
      <c r="AB2601" s="223" t="s">
        <v>8820</v>
      </c>
      <c r="AC2601" s="75"/>
      <c r="AD2601" s="332"/>
      <c r="AE2601" s="68"/>
      <c r="AF2601" s="148"/>
      <c r="AG2601" s="182">
        <f>YEAR(D2601)</f>
        <v>2012</v>
      </c>
      <c r="AH2601" s="86" t="str">
        <f>+IF(AE2601=$AJ$22,MONTH(T2601),"")</f>
        <v/>
      </c>
      <c r="AI2601" s="86" t="str">
        <f>+IF(AF2601=$AJ$22,MONTH(U2601),"")</f>
        <v/>
      </c>
      <c r="AJ2601" s="86" t="str">
        <f>+IF(AG2601=$AJ$22,MONTH(V2601),"")</f>
        <v/>
      </c>
      <c r="AK2601" s="86" t="str">
        <f>+IF(AG2601=$AK$22,MONTH(V2601),"")</f>
        <v/>
      </c>
      <c r="AL2601" s="86" t="str">
        <f>+IF(AG2601=$AL$22,MONTH(V2601),"")</f>
        <v/>
      </c>
      <c r="AM2601" s="86" t="str">
        <f>+IF($AG2601=$AM$22,MONTH($D2601),"")</f>
        <v/>
      </c>
      <c r="AN2601" s="89" t="str">
        <f>+IF($AG2601=AN$22,MONTH($D2601),"")</f>
        <v/>
      </c>
      <c r="AO2601" s="86" t="str">
        <f>+IF($AG2601=AO$22,MONTH($D2601),"")</f>
        <v/>
      </c>
      <c r="AP2601" s="86" t="str">
        <f>+IF($AG2601=AP$22,MONTH($D2601),"")</f>
        <v/>
      </c>
      <c r="AQ2601" s="86" t="str">
        <f>+IF($AG2601=AQ$22,MONTH($D2601),"")</f>
        <v/>
      </c>
      <c r="AR2601" s="86" t="str">
        <f>+IF($AG2601=AR$22,MONTH($D2601),"")</f>
        <v/>
      </c>
      <c r="AS2601" s="86" t="str">
        <f>+IF($AG2601=AS$22,MONTH($D2601),"")</f>
        <v/>
      </c>
      <c r="AT2601" s="86" t="str">
        <f>+IF($AG2601=AT$22,MONTH($D2601),"")</f>
        <v/>
      </c>
      <c r="AU2601" s="86" t="str">
        <f>+IF($AG2601=AU$22,MONTH($D2601),"")</f>
        <v/>
      </c>
      <c r="AV2601" s="86">
        <f>+IF($AG2601=AV$22,MONTH($D2601),"")</f>
        <v>9</v>
      </c>
      <c r="AW2601" s="86" t="str">
        <f>+IF($AG2601=AW$22,MONTH($D2601),"")</f>
        <v/>
      </c>
      <c r="AX2601" s="86" t="str">
        <f>+IF($AG2601=AX$22,MONTH($D2601),"")</f>
        <v/>
      </c>
      <c r="AY2601" s="89"/>
      <c r="AZ2601" s="89"/>
      <c r="BA2601" s="89"/>
      <c r="BB2601" s="89"/>
      <c r="BC2601" s="89"/>
      <c r="BD2601" s="89"/>
      <c r="BE2601" s="89"/>
      <c r="BF2601" s="89"/>
      <c r="BG2601" s="89"/>
      <c r="BH2601" s="89"/>
      <c r="BI2601" s="89"/>
      <c r="BJ2601" s="182"/>
      <c r="BK2601" s="182"/>
      <c r="BL2601" s="182"/>
      <c r="BM2601" s="182"/>
      <c r="BN2601" s="182"/>
      <c r="BO2601" s="182"/>
      <c r="BP2601" s="182"/>
    </row>
    <row r="2602" spans="1:68" s="51" customFormat="1" ht="19.5" hidden="1" customHeight="1">
      <c r="A2602" s="204" t="str">
        <f>+IFERROR(VALUE(MID(AB2602,4,4)),"")</f>
        <v/>
      </c>
      <c r="B2602" s="204">
        <f>VALUE(RIGHT(C2602,LEN(C2602)-2))</f>
        <v>129</v>
      </c>
      <c r="C2602" s="74" t="s">
        <v>8821</v>
      </c>
      <c r="D2602" s="75">
        <v>41184</v>
      </c>
      <c r="E2602" s="68" t="s">
        <v>8280</v>
      </c>
      <c r="F2602" s="68" t="s">
        <v>4426</v>
      </c>
      <c r="G2602" s="68" t="s">
        <v>361</v>
      </c>
      <c r="H2602" s="69"/>
      <c r="I2602" s="69" t="s">
        <v>8822</v>
      </c>
      <c r="J2602" s="81"/>
      <c r="K2602" s="71" t="s">
        <v>13</v>
      </c>
      <c r="L2602" s="69" t="s">
        <v>120</v>
      </c>
      <c r="M2602" s="69" t="s">
        <v>141</v>
      </c>
      <c r="N2602" s="69" t="e" vm="1">
        <v>#VALUE!</v>
      </c>
      <c r="O2602" s="82">
        <v>41187</v>
      </c>
      <c r="P2602" s="69" t="s">
        <v>402</v>
      </c>
      <c r="Q2602" s="69"/>
      <c r="R2602" s="69"/>
      <c r="S2602" s="146" t="s">
        <v>8823</v>
      </c>
      <c r="T2602" s="68" t="s">
        <v>165</v>
      </c>
      <c r="U2602" s="87"/>
      <c r="V2602" s="183">
        <v>41506</v>
      </c>
      <c r="W2602" s="73">
        <v>1119</v>
      </c>
      <c r="X2602" s="216">
        <f>1311*22500/1000000</f>
        <v>29.497499999999999</v>
      </c>
      <c r="Y2602" s="73">
        <f>IF(SUM(W2602:W2602)&gt;0,X2602/SUM(W2602:W2602)*1000000,"N/A")</f>
        <v>26360.589812332437</v>
      </c>
      <c r="Z2602" s="70"/>
      <c r="AA2602" s="70"/>
      <c r="AB2602" s="223"/>
      <c r="AC2602" s="75"/>
      <c r="AD2602" s="332"/>
      <c r="AE2602" s="68"/>
      <c r="AF2602" s="148"/>
      <c r="AG2602" s="182">
        <f>YEAR(D2602)</f>
        <v>2012</v>
      </c>
      <c r="AH2602" s="86" t="str">
        <f>+IF(AE2602=$AJ$22,MONTH(T2602),"")</f>
        <v/>
      </c>
      <c r="AI2602" s="86" t="str">
        <f>+IF(AF2602=$AJ$22,MONTH(U2602),"")</f>
        <v/>
      </c>
      <c r="AJ2602" s="86" t="str">
        <f>+IF(AG2602=$AJ$22,MONTH(V2602),"")</f>
        <v/>
      </c>
      <c r="AK2602" s="86" t="str">
        <f>+IF(AG2602=$AK$22,MONTH(V2602),"")</f>
        <v/>
      </c>
      <c r="AL2602" s="86" t="str">
        <f>+IF(AG2602=$AL$22,MONTH(V2602),"")</f>
        <v/>
      </c>
      <c r="AM2602" s="86" t="str">
        <f>+IF($AG2602=$AM$22,MONTH($D2602),"")</f>
        <v/>
      </c>
      <c r="AN2602" s="89" t="str">
        <f>+IF($AG2602=AN$22,MONTH($D2602),"")</f>
        <v/>
      </c>
      <c r="AO2602" s="184" t="str">
        <f>+IF($AG2602=AO$22,MONTH($D2602),"")</f>
        <v/>
      </c>
      <c r="AP2602" s="184" t="str">
        <f>+IF($AG2602=AP$22,MONTH($D2602),"")</f>
        <v/>
      </c>
      <c r="AQ2602" s="184" t="str">
        <f>+IF($AG2602=AQ$22,MONTH($D2602),"")</f>
        <v/>
      </c>
      <c r="AR2602" s="184" t="str">
        <f>+IF($AG2602=AR$22,MONTH($D2602),"")</f>
        <v/>
      </c>
      <c r="AS2602" s="184" t="str">
        <f>+IF($AG2602=AS$22,MONTH($D2602),"")</f>
        <v/>
      </c>
      <c r="AT2602" s="86" t="str">
        <f>+IF($AG2602=AT$22,MONTH($D2602),"")</f>
        <v/>
      </c>
      <c r="AU2602" s="86" t="str">
        <f>+IF($AG2602=AU$22,MONTH($D2602),"")</f>
        <v/>
      </c>
      <c r="AV2602" s="86">
        <f>+IF($AG2602=AV$22,MONTH($D2602),"")</f>
        <v>10</v>
      </c>
      <c r="AW2602" s="86" t="str">
        <f>+IF($AG2602=AW$22,MONTH($D2602),"")</f>
        <v/>
      </c>
      <c r="AX2602" s="86" t="str">
        <f>+IF($AG2602=AX$22,MONTH($D2602),"")</f>
        <v/>
      </c>
      <c r="AY2602" s="89"/>
      <c r="AZ2602" s="89"/>
      <c r="BA2602" s="89"/>
      <c r="BB2602" s="89"/>
      <c r="BC2602" s="89"/>
      <c r="BD2602" s="89"/>
      <c r="BE2602" s="89"/>
      <c r="BF2602" s="89"/>
      <c r="BG2602" s="89"/>
      <c r="BH2602" s="89"/>
      <c r="BI2602" s="89"/>
      <c r="BJ2602" s="182"/>
      <c r="BK2602" s="182"/>
      <c r="BL2602" s="182"/>
      <c r="BM2602" s="182"/>
      <c r="BN2602" s="182"/>
      <c r="BO2602" s="182"/>
      <c r="BP2602" s="182"/>
    </row>
    <row r="2603" spans="1:68" s="51" customFormat="1" ht="19.5" hidden="1" customHeight="1">
      <c r="A2603" s="204">
        <f>+IFERROR(VALUE(MID(AB2603,4,4)),"")</f>
        <v>61</v>
      </c>
      <c r="B2603" s="204">
        <f>VALUE(RIGHT(C2603,LEN(C2603)-2))</f>
        <v>128</v>
      </c>
      <c r="C2603" s="74" t="s">
        <v>8824</v>
      </c>
      <c r="D2603" s="75">
        <v>41184</v>
      </c>
      <c r="E2603" s="68" t="s">
        <v>78</v>
      </c>
      <c r="F2603" s="68" t="s">
        <v>685</v>
      </c>
      <c r="G2603" s="68" t="s">
        <v>8825</v>
      </c>
      <c r="H2603" s="69"/>
      <c r="I2603" s="69" t="s">
        <v>8826</v>
      </c>
      <c r="J2603" s="81"/>
      <c r="K2603" s="71" t="s">
        <v>16</v>
      </c>
      <c r="L2603" s="69" t="s">
        <v>120</v>
      </c>
      <c r="M2603" s="69" t="s">
        <v>141</v>
      </c>
      <c r="N2603" s="69" t="e" vm="1">
        <v>#VALUE!</v>
      </c>
      <c r="O2603" s="82">
        <v>41185</v>
      </c>
      <c r="P2603" s="69" t="s">
        <v>402</v>
      </c>
      <c r="Q2603" s="69"/>
      <c r="R2603" s="69"/>
      <c r="S2603" s="146"/>
      <c r="T2603" s="68" t="s">
        <v>3</v>
      </c>
      <c r="U2603" s="87"/>
      <c r="V2603" s="183">
        <v>41185</v>
      </c>
      <c r="W2603" s="73">
        <v>85</v>
      </c>
      <c r="X2603" s="216">
        <f>198*22500/1000000</f>
        <v>4.4550000000000001</v>
      </c>
      <c r="Y2603" s="73">
        <f>IF(SUM(W2603:W2603)&gt;0,X2603/SUM(W2603:W2603)*1000000,"N/A")</f>
        <v>52411.76470588235</v>
      </c>
      <c r="Z2603" s="70"/>
      <c r="AA2603" s="70"/>
      <c r="AB2603" s="223" t="s">
        <v>8827</v>
      </c>
      <c r="AC2603" s="75"/>
      <c r="AD2603" s="332"/>
      <c r="AE2603" s="68"/>
      <c r="AF2603" s="148"/>
      <c r="AG2603" s="182">
        <f>YEAR(D2603)</f>
        <v>2012</v>
      </c>
      <c r="AH2603" s="86" t="str">
        <f>+IF(AE2603=$AJ$22,MONTH(T2603),"")</f>
        <v/>
      </c>
      <c r="AI2603" s="86" t="str">
        <f>+IF(AF2603=$AJ$22,MONTH(U2603),"")</f>
        <v/>
      </c>
      <c r="AJ2603" s="86" t="str">
        <f>+IF(AG2603=$AJ$22,MONTH(V2603),"")</f>
        <v/>
      </c>
      <c r="AK2603" s="86" t="str">
        <f>+IF(AG2603=$AK$22,MONTH(V2603),"")</f>
        <v/>
      </c>
      <c r="AL2603" s="86" t="str">
        <f>+IF(AG2603=$AL$22,MONTH(V2603),"")</f>
        <v/>
      </c>
      <c r="AM2603" s="86" t="str">
        <f>+IF($AG2603=$AM$22,MONTH($D2603),"")</f>
        <v/>
      </c>
      <c r="AN2603" s="89" t="str">
        <f>+IF($AG2603=AN$22,MONTH($D2603),"")</f>
        <v/>
      </c>
      <c r="AO2603" s="86" t="str">
        <f>+IF($AG2603=AO$22,MONTH($D2603),"")</f>
        <v/>
      </c>
      <c r="AP2603" s="86" t="str">
        <f>+IF($AG2603=AP$22,MONTH($D2603),"")</f>
        <v/>
      </c>
      <c r="AQ2603" s="86" t="str">
        <f>+IF($AG2603=AQ$22,MONTH($D2603),"")</f>
        <v/>
      </c>
      <c r="AR2603" s="86" t="str">
        <f>+IF($AG2603=AR$22,MONTH($D2603),"")</f>
        <v/>
      </c>
      <c r="AS2603" s="86" t="str">
        <f>+IF($AG2603=AS$22,MONTH($D2603),"")</f>
        <v/>
      </c>
      <c r="AT2603" s="86" t="str">
        <f>+IF($AG2603=AT$22,MONTH($D2603),"")</f>
        <v/>
      </c>
      <c r="AU2603" s="86" t="str">
        <f>+IF($AG2603=AU$22,MONTH($D2603),"")</f>
        <v/>
      </c>
      <c r="AV2603" s="86">
        <f>+IF($AG2603=AV$22,MONTH($D2603),"")</f>
        <v>10</v>
      </c>
      <c r="AW2603" s="86" t="str">
        <f>+IF($AG2603=AW$22,MONTH($D2603),"")</f>
        <v/>
      </c>
      <c r="AX2603" s="86" t="str">
        <f>+IF($AG2603=AX$22,MONTH($D2603),"")</f>
        <v/>
      </c>
      <c r="AY2603" s="89"/>
      <c r="AZ2603" s="89"/>
      <c r="BA2603" s="89"/>
      <c r="BB2603" s="89"/>
      <c r="BC2603" s="89"/>
      <c r="BD2603" s="89"/>
      <c r="BE2603" s="89"/>
      <c r="BF2603" s="89"/>
      <c r="BG2603" s="89"/>
      <c r="BH2603" s="89"/>
      <c r="BI2603" s="89"/>
      <c r="BJ2603" s="182"/>
      <c r="BK2603" s="182"/>
      <c r="BL2603" s="182"/>
      <c r="BM2603" s="182"/>
      <c r="BN2603" s="182"/>
      <c r="BO2603" s="182"/>
      <c r="BP2603" s="182"/>
    </row>
    <row r="2604" spans="1:68" s="51" customFormat="1" ht="19.5" hidden="1" customHeight="1">
      <c r="A2604" s="204" t="str">
        <f>+IFERROR(VALUE(MID(AB2604,4,4)),"")</f>
        <v/>
      </c>
      <c r="B2604" s="204">
        <f>VALUE(RIGHT(C2604,LEN(C2604)-2))</f>
        <v>127</v>
      </c>
      <c r="C2604" s="74" t="s">
        <v>8828</v>
      </c>
      <c r="D2604" s="75">
        <v>41176</v>
      </c>
      <c r="E2604" s="68" t="s">
        <v>8829</v>
      </c>
      <c r="F2604" s="68" t="s">
        <v>8829</v>
      </c>
      <c r="G2604" s="68" t="s">
        <v>8830</v>
      </c>
      <c r="H2604" s="69"/>
      <c r="I2604" s="69" t="s">
        <v>8831</v>
      </c>
      <c r="J2604" s="81"/>
      <c r="K2604" s="71" t="s">
        <v>14</v>
      </c>
      <c r="L2604" s="69" t="s">
        <v>120</v>
      </c>
      <c r="M2604" s="69" t="s">
        <v>141</v>
      </c>
      <c r="N2604" s="69" t="e" vm="1">
        <v>#VALUE!</v>
      </c>
      <c r="O2604" s="82">
        <v>41187</v>
      </c>
      <c r="P2604" s="69" t="s">
        <v>402</v>
      </c>
      <c r="Q2604" s="69"/>
      <c r="R2604" s="69"/>
      <c r="S2604" s="146"/>
      <c r="T2604" s="68" t="s">
        <v>165</v>
      </c>
      <c r="U2604" s="87"/>
      <c r="V2604" s="183">
        <v>41185</v>
      </c>
      <c r="W2604" s="73">
        <v>112</v>
      </c>
      <c r="X2604" s="216">
        <f>94*22500/1000000</f>
        <v>2.1150000000000002</v>
      </c>
      <c r="Y2604" s="73">
        <f>IF(SUM(W2604:W2604)&gt;0,X2604/SUM(W2604:W2604)*1000000,"N/A")</f>
        <v>18883.928571428572</v>
      </c>
      <c r="Z2604" s="70"/>
      <c r="AA2604" s="70"/>
      <c r="AB2604" s="223"/>
      <c r="AC2604" s="75"/>
      <c r="AD2604" s="332"/>
      <c r="AE2604" s="68"/>
      <c r="AF2604" s="148"/>
      <c r="AG2604" s="182">
        <f>YEAR(D2604)</f>
        <v>2012</v>
      </c>
      <c r="AH2604" s="86" t="str">
        <f>+IF(AE2604=$AJ$22,MONTH(T2604),"")</f>
        <v/>
      </c>
      <c r="AI2604" s="86" t="str">
        <f>+IF(AF2604=$AJ$22,MONTH(U2604),"")</f>
        <v/>
      </c>
      <c r="AJ2604" s="86" t="str">
        <f>+IF(AG2604=$AJ$22,MONTH(V2604),"")</f>
        <v/>
      </c>
      <c r="AK2604" s="86" t="str">
        <f>+IF(AG2604=$AK$22,MONTH(V2604),"")</f>
        <v/>
      </c>
      <c r="AL2604" s="86" t="str">
        <f>+IF(AG2604=$AL$22,MONTH(V2604),"")</f>
        <v/>
      </c>
      <c r="AM2604" s="86" t="str">
        <f>+IF($AG2604=$AM$22,MONTH($D2604),"")</f>
        <v/>
      </c>
      <c r="AN2604" s="89" t="str">
        <f>+IF($AG2604=AN$22,MONTH($D2604),"")</f>
        <v/>
      </c>
      <c r="AO2604" s="184" t="str">
        <f>+IF($AG2604=AO$22,MONTH($D2604),"")</f>
        <v/>
      </c>
      <c r="AP2604" s="184" t="str">
        <f>+IF($AG2604=AP$22,MONTH($D2604),"")</f>
        <v/>
      </c>
      <c r="AQ2604" s="184" t="str">
        <f>+IF($AG2604=AQ$22,MONTH($D2604),"")</f>
        <v/>
      </c>
      <c r="AR2604" s="184" t="str">
        <f>+IF($AG2604=AR$22,MONTH($D2604),"")</f>
        <v/>
      </c>
      <c r="AS2604" s="184" t="str">
        <f>+IF($AG2604=AS$22,MONTH($D2604),"")</f>
        <v/>
      </c>
      <c r="AT2604" s="86" t="str">
        <f>+IF($AG2604=AT$22,MONTH($D2604),"")</f>
        <v/>
      </c>
      <c r="AU2604" s="86" t="str">
        <f>+IF($AG2604=AU$22,MONTH($D2604),"")</f>
        <v/>
      </c>
      <c r="AV2604" s="86">
        <f>+IF($AG2604=AV$22,MONTH($D2604),"")</f>
        <v>9</v>
      </c>
      <c r="AW2604" s="86" t="str">
        <f>+IF($AG2604=AW$22,MONTH($D2604),"")</f>
        <v/>
      </c>
      <c r="AX2604" s="86" t="str">
        <f>+IF($AG2604=AX$22,MONTH($D2604),"")</f>
        <v/>
      </c>
      <c r="AY2604" s="89"/>
      <c r="AZ2604" s="89"/>
      <c r="BA2604" s="89"/>
      <c r="BB2604" s="89"/>
      <c r="BC2604" s="89"/>
      <c r="BD2604" s="89"/>
      <c r="BE2604" s="89"/>
      <c r="BF2604" s="89"/>
      <c r="BG2604" s="89"/>
      <c r="BH2604" s="89"/>
      <c r="BI2604" s="89"/>
      <c r="BJ2604" s="182"/>
      <c r="BK2604" s="182"/>
      <c r="BL2604" s="182"/>
      <c r="BM2604" s="182"/>
      <c r="BN2604" s="182"/>
      <c r="BO2604" s="182"/>
      <c r="BP2604" s="182"/>
    </row>
    <row r="2605" spans="1:68" s="51" customFormat="1" ht="19.5" hidden="1" customHeight="1">
      <c r="A2605" s="204">
        <f>+IFERROR(VALUE(MID(AB2605,4,4)),"")</f>
        <v>58</v>
      </c>
      <c r="B2605" s="204">
        <f>VALUE(RIGHT(C2605,LEN(C2605)-2))</f>
        <v>126</v>
      </c>
      <c r="C2605" s="74" t="s">
        <v>8832</v>
      </c>
      <c r="D2605" s="75">
        <v>41155</v>
      </c>
      <c r="E2605" s="68" t="s">
        <v>2961</v>
      </c>
      <c r="F2605" s="68" t="s">
        <v>2961</v>
      </c>
      <c r="G2605" s="68" t="s">
        <v>8833</v>
      </c>
      <c r="H2605" s="69"/>
      <c r="I2605" s="69" t="s">
        <v>8834</v>
      </c>
      <c r="J2605" s="81"/>
      <c r="K2605" s="71" t="s">
        <v>16</v>
      </c>
      <c r="L2605" s="69" t="s">
        <v>120</v>
      </c>
      <c r="M2605" s="69" t="s">
        <v>141</v>
      </c>
      <c r="N2605" s="69" t="e" vm="1">
        <v>#VALUE!</v>
      </c>
      <c r="O2605" s="82">
        <v>41155</v>
      </c>
      <c r="P2605" s="69" t="s">
        <v>402</v>
      </c>
      <c r="Q2605" s="69"/>
      <c r="R2605" s="69"/>
      <c r="S2605" s="146"/>
      <c r="T2605" s="68" t="s">
        <v>3</v>
      </c>
      <c r="U2605" s="87"/>
      <c r="V2605" s="183">
        <v>41155</v>
      </c>
      <c r="W2605" s="73">
        <v>36</v>
      </c>
      <c r="X2605" s="216">
        <f>90*22500/1000000</f>
        <v>2.0249999999999999</v>
      </c>
      <c r="Y2605" s="73">
        <f>IF(SUM(W2605:W2605)&gt;0,X2605/SUM(W2605:W2605)*1000000,"N/A")</f>
        <v>56249.999999999993</v>
      </c>
      <c r="Z2605" s="70"/>
      <c r="AA2605" s="70"/>
      <c r="AB2605" s="223" t="s">
        <v>8835</v>
      </c>
      <c r="AC2605" s="75"/>
      <c r="AD2605" s="332"/>
      <c r="AE2605" s="68"/>
      <c r="AF2605" s="148"/>
      <c r="AG2605" s="182">
        <f>YEAR(D2605)</f>
        <v>2012</v>
      </c>
      <c r="AH2605" s="86" t="str">
        <f>+IF(AE2605=$AJ$22,MONTH(T2605),"")</f>
        <v/>
      </c>
      <c r="AI2605" s="86" t="str">
        <f>+IF(AF2605=$AJ$22,MONTH(U2605),"")</f>
        <v/>
      </c>
      <c r="AJ2605" s="86" t="str">
        <f>+IF(AG2605=$AJ$22,MONTH(V2605),"")</f>
        <v/>
      </c>
      <c r="AK2605" s="86" t="str">
        <f>+IF(AG2605=$AK$22,MONTH(V2605),"")</f>
        <v/>
      </c>
      <c r="AL2605" s="86" t="str">
        <f>+IF(AG2605=$AL$22,MONTH(V2605),"")</f>
        <v/>
      </c>
      <c r="AM2605" s="86" t="str">
        <f>+IF($AG2605=$AM$22,MONTH($D2605),"")</f>
        <v/>
      </c>
      <c r="AN2605" s="89" t="str">
        <f>+IF($AG2605=AN$22,MONTH($D2605),"")</f>
        <v/>
      </c>
      <c r="AO2605" s="86" t="str">
        <f>+IF($AG2605=AO$22,MONTH($D2605),"")</f>
        <v/>
      </c>
      <c r="AP2605" s="86" t="str">
        <f>+IF($AG2605=AP$22,MONTH($D2605),"")</f>
        <v/>
      </c>
      <c r="AQ2605" s="86" t="str">
        <f>+IF($AG2605=AQ$22,MONTH($D2605),"")</f>
        <v/>
      </c>
      <c r="AR2605" s="86" t="str">
        <f>+IF($AG2605=AR$22,MONTH($D2605),"")</f>
        <v/>
      </c>
      <c r="AS2605" s="86" t="str">
        <f>+IF($AG2605=AS$22,MONTH($D2605),"")</f>
        <v/>
      </c>
      <c r="AT2605" s="86" t="str">
        <f>+IF($AG2605=AT$22,MONTH($D2605),"")</f>
        <v/>
      </c>
      <c r="AU2605" s="86" t="str">
        <f>+IF($AG2605=AU$22,MONTH($D2605),"")</f>
        <v/>
      </c>
      <c r="AV2605" s="86">
        <f>+IF($AG2605=AV$22,MONTH($D2605),"")</f>
        <v>9</v>
      </c>
      <c r="AW2605" s="86" t="str">
        <f>+IF($AG2605=AW$22,MONTH($D2605),"")</f>
        <v/>
      </c>
      <c r="AX2605" s="86" t="str">
        <f>+IF($AG2605=AX$22,MONTH($D2605),"")</f>
        <v/>
      </c>
      <c r="AY2605" s="89"/>
      <c r="AZ2605" s="89"/>
      <c r="BA2605" s="89"/>
      <c r="BB2605" s="89"/>
      <c r="BC2605" s="89"/>
      <c r="BD2605" s="89"/>
      <c r="BE2605" s="89"/>
      <c r="BF2605" s="89"/>
      <c r="BG2605" s="89"/>
      <c r="BH2605" s="89"/>
      <c r="BI2605" s="89"/>
      <c r="BJ2605" s="182"/>
      <c r="BK2605" s="182"/>
      <c r="BL2605" s="182"/>
      <c r="BM2605" s="182"/>
      <c r="BN2605" s="182"/>
      <c r="BO2605" s="182"/>
      <c r="BP2605" s="182"/>
    </row>
    <row r="2606" spans="1:68" s="51" customFormat="1" ht="19.5" hidden="1" customHeight="1">
      <c r="A2606" s="204" t="str">
        <f>+IFERROR(VALUE(MID(AB2606,4,4)),"")</f>
        <v/>
      </c>
      <c r="B2606" s="204">
        <f>VALUE(RIGHT(C2606,LEN(C2606)-2))</f>
        <v>125</v>
      </c>
      <c r="C2606" s="74" t="s">
        <v>8836</v>
      </c>
      <c r="D2606" s="75">
        <v>41137</v>
      </c>
      <c r="E2606" s="70" t="s">
        <v>15</v>
      </c>
      <c r="F2606" s="68" t="s">
        <v>8837</v>
      </c>
      <c r="G2606" s="68" t="s">
        <v>8838</v>
      </c>
      <c r="H2606" s="69"/>
      <c r="I2606" s="69" t="s">
        <v>8839</v>
      </c>
      <c r="J2606" s="81"/>
      <c r="K2606" s="71" t="s">
        <v>13</v>
      </c>
      <c r="L2606" s="69" t="s">
        <v>120</v>
      </c>
      <c r="M2606" s="69" t="s">
        <v>113</v>
      </c>
      <c r="N2606" s="69" t="e" vm="2">
        <v>#VALUE!</v>
      </c>
      <c r="O2606" s="82">
        <v>41138</v>
      </c>
      <c r="P2606" s="69" t="s">
        <v>402</v>
      </c>
      <c r="Q2606" s="69"/>
      <c r="R2606" s="69"/>
      <c r="S2606" s="146" t="s">
        <v>8840</v>
      </c>
      <c r="T2606" s="68" t="s">
        <v>165</v>
      </c>
      <c r="U2606" s="87"/>
      <c r="V2606" s="183">
        <v>41512</v>
      </c>
      <c r="W2606" s="73">
        <v>1549</v>
      </c>
      <c r="X2606" s="216">
        <f>232310*230/1000000</f>
        <v>53.4313</v>
      </c>
      <c r="Y2606" s="73">
        <f>IF(SUM(W2606:W2606)&gt;0,X2606/SUM(W2606:W2606)*1000000,"N/A")</f>
        <v>34494.060684312462</v>
      </c>
      <c r="Z2606" s="70"/>
      <c r="AA2606" s="70"/>
      <c r="AB2606" s="223"/>
      <c r="AC2606" s="75"/>
      <c r="AD2606" s="332"/>
      <c r="AE2606" s="68"/>
      <c r="AF2606" s="148"/>
      <c r="AG2606" s="182">
        <f>YEAR(D2606)</f>
        <v>2012</v>
      </c>
      <c r="AH2606" s="86" t="str">
        <f>+IF(AE2606=$AJ$22,MONTH(T2606),"")</f>
        <v/>
      </c>
      <c r="AI2606" s="86" t="str">
        <f>+IF(AF2606=$AJ$22,MONTH(U2606),"")</f>
        <v/>
      </c>
      <c r="AJ2606" s="86" t="str">
        <f>+IF(AG2606=$AJ$22,MONTH(V2606),"")</f>
        <v/>
      </c>
      <c r="AK2606" s="86" t="str">
        <f>+IF(AG2606=$AK$22,MONTH(V2606),"")</f>
        <v/>
      </c>
      <c r="AL2606" s="86" t="str">
        <f>+IF(AG2606=$AL$22,MONTH(V2606),"")</f>
        <v/>
      </c>
      <c r="AM2606" s="86" t="str">
        <f>+IF($AG2606=$AM$22,MONTH($D2606),"")</f>
        <v/>
      </c>
      <c r="AN2606" s="89" t="str">
        <f>+IF($AG2606=AN$22,MONTH($D2606),"")</f>
        <v/>
      </c>
      <c r="AO2606" s="184" t="str">
        <f>+IF($AG2606=AO$22,MONTH($D2606),"")</f>
        <v/>
      </c>
      <c r="AP2606" s="184" t="str">
        <f>+IF($AG2606=AP$22,MONTH($D2606),"")</f>
        <v/>
      </c>
      <c r="AQ2606" s="184" t="str">
        <f>+IF($AG2606=AQ$22,MONTH($D2606),"")</f>
        <v/>
      </c>
      <c r="AR2606" s="184" t="str">
        <f>+IF($AG2606=AR$22,MONTH($D2606),"")</f>
        <v/>
      </c>
      <c r="AS2606" s="184" t="str">
        <f>+IF($AG2606=AS$22,MONTH($D2606),"")</f>
        <v/>
      </c>
      <c r="AT2606" s="86" t="str">
        <f>+IF($AG2606=AT$22,MONTH($D2606),"")</f>
        <v/>
      </c>
      <c r="AU2606" s="86" t="str">
        <f>+IF($AG2606=AU$22,MONTH($D2606),"")</f>
        <v/>
      </c>
      <c r="AV2606" s="86">
        <f>+IF($AG2606=AV$22,MONTH($D2606),"")</f>
        <v>8</v>
      </c>
      <c r="AW2606" s="86"/>
      <c r="AX2606" s="86"/>
      <c r="AY2606" s="89"/>
      <c r="AZ2606" s="89"/>
      <c r="BA2606" s="89"/>
      <c r="BB2606" s="89"/>
      <c r="BC2606" s="89"/>
      <c r="BD2606" s="89"/>
      <c r="BE2606" s="89"/>
      <c r="BF2606" s="89"/>
      <c r="BG2606" s="89"/>
      <c r="BH2606" s="89"/>
      <c r="BI2606" s="89"/>
      <c r="BJ2606" s="182"/>
      <c r="BK2606" s="182"/>
      <c r="BL2606" s="182"/>
      <c r="BM2606" s="182"/>
      <c r="BN2606" s="182"/>
      <c r="BO2606" s="182"/>
      <c r="BP2606" s="182"/>
    </row>
    <row r="2607" spans="1:68" s="51" customFormat="1" ht="19.5" hidden="1" customHeight="1">
      <c r="A2607" s="204" t="str">
        <f>+IFERROR(VALUE(MID(AB2607,4,4)),"")</f>
        <v/>
      </c>
      <c r="B2607" s="204">
        <f>VALUE(RIGHT(C2607,LEN(C2607)-2))</f>
        <v>124</v>
      </c>
      <c r="C2607" s="74" t="s">
        <v>8841</v>
      </c>
      <c r="D2607" s="75">
        <v>41120</v>
      </c>
      <c r="E2607" s="70" t="s">
        <v>15</v>
      </c>
      <c r="F2607" s="68" t="s">
        <v>8837</v>
      </c>
      <c r="G2607" s="68" t="s">
        <v>8838</v>
      </c>
      <c r="H2607" s="69"/>
      <c r="I2607" s="69" t="s">
        <v>8842</v>
      </c>
      <c r="J2607" s="81"/>
      <c r="K2607" s="71" t="s">
        <v>13</v>
      </c>
      <c r="L2607" s="69" t="s">
        <v>120</v>
      </c>
      <c r="M2607" s="69" t="s">
        <v>113</v>
      </c>
      <c r="N2607" s="69" t="e" vm="2">
        <v>#VALUE!</v>
      </c>
      <c r="O2607" s="82">
        <v>41130</v>
      </c>
      <c r="P2607" s="69" t="s">
        <v>402</v>
      </c>
      <c r="Q2607" s="69"/>
      <c r="R2607" s="69"/>
      <c r="S2607" s="146" t="s">
        <v>8840</v>
      </c>
      <c r="T2607" s="68" t="s">
        <v>165</v>
      </c>
      <c r="U2607" s="87"/>
      <c r="V2607" s="183">
        <v>41512</v>
      </c>
      <c r="W2607" s="73">
        <v>1991</v>
      </c>
      <c r="X2607" s="216">
        <f>295570*230/1000000</f>
        <v>67.981099999999998</v>
      </c>
      <c r="Y2607" s="73">
        <f>IF(SUM(W2607:W2607)&gt;0,X2607/SUM(W2607:W2607)*1000000,"N/A")</f>
        <v>34144.198895027621</v>
      </c>
      <c r="Z2607" s="70"/>
      <c r="AA2607" s="70"/>
      <c r="AB2607" s="223"/>
      <c r="AC2607" s="75"/>
      <c r="AD2607" s="332"/>
      <c r="AE2607" s="68"/>
      <c r="AF2607" s="148"/>
      <c r="AG2607" s="182">
        <f>YEAR(D2607)</f>
        <v>2012</v>
      </c>
      <c r="AH2607" s="86" t="str">
        <f>+IF(AE2607=$AJ$22,MONTH(T2607),"")</f>
        <v/>
      </c>
      <c r="AI2607" s="86" t="str">
        <f>+IF(AF2607=$AJ$22,MONTH(U2607),"")</f>
        <v/>
      </c>
      <c r="AJ2607" s="86" t="str">
        <f>+IF(AG2607=$AJ$22,MONTH(V2607),"")</f>
        <v/>
      </c>
      <c r="AK2607" s="86" t="str">
        <f>+IF(AG2607=$AK$22,MONTH(V2607),"")</f>
        <v/>
      </c>
      <c r="AL2607" s="86" t="str">
        <f>+IF(AG2607=$AL$22,MONTH(V2607),"")</f>
        <v/>
      </c>
      <c r="AM2607" s="86" t="str">
        <f>+IF($AG2607=$AM$22,MONTH($D2607),"")</f>
        <v/>
      </c>
      <c r="AN2607" s="89" t="str">
        <f>+IF($AG2607=AN$22,MONTH($D2607),"")</f>
        <v/>
      </c>
      <c r="AO2607" s="184" t="str">
        <f>+IF($AG2607=AO$22,MONTH($D2607),"")</f>
        <v/>
      </c>
      <c r="AP2607" s="184" t="str">
        <f>+IF($AG2607=AP$22,MONTH($D2607),"")</f>
        <v/>
      </c>
      <c r="AQ2607" s="184" t="str">
        <f>+IF($AG2607=AQ$22,MONTH($D2607),"")</f>
        <v/>
      </c>
      <c r="AR2607" s="184" t="str">
        <f>+IF($AG2607=AR$22,MONTH($D2607),"")</f>
        <v/>
      </c>
      <c r="AS2607" s="184" t="str">
        <f>+IF($AG2607=AS$22,MONTH($D2607),"")</f>
        <v/>
      </c>
      <c r="AT2607" s="86" t="str">
        <f>+IF($AG2607=AT$22,MONTH($D2607),"")</f>
        <v/>
      </c>
      <c r="AU2607" s="86" t="str">
        <f>+IF($AG2607=AU$22,MONTH($D2607),"")</f>
        <v/>
      </c>
      <c r="AV2607" s="86">
        <f>+IF($AG2607=AV$22,MONTH($D2607),"")</f>
        <v>7</v>
      </c>
      <c r="AW2607" s="86" t="str">
        <f>+IF($AG2607=AW$22,MONTH($D2607),"")</f>
        <v/>
      </c>
      <c r="AX2607" s="86" t="str">
        <f>+IF($AG2607=AX$22,MONTH($D2607),"")</f>
        <v/>
      </c>
      <c r="AY2607" s="89"/>
      <c r="AZ2607" s="89"/>
      <c r="BA2607" s="89"/>
      <c r="BB2607" s="89"/>
      <c r="BC2607" s="89"/>
      <c r="BD2607" s="89"/>
      <c r="BE2607" s="89"/>
      <c r="BF2607" s="89"/>
      <c r="BG2607" s="89"/>
      <c r="BH2607" s="89"/>
      <c r="BI2607" s="89"/>
      <c r="BJ2607" s="182"/>
      <c r="BK2607" s="182"/>
      <c r="BL2607" s="182"/>
      <c r="BM2607" s="182"/>
      <c r="BN2607" s="182"/>
      <c r="BO2607" s="182"/>
      <c r="BP2607" s="182"/>
    </row>
    <row r="2608" spans="1:68" s="51" customFormat="1" ht="19.5" hidden="1" customHeight="1">
      <c r="A2608" s="204">
        <f>+IFERROR(VALUE(MID(AB2608,4,4)),"")</f>
        <v>56</v>
      </c>
      <c r="B2608" s="204">
        <f>VALUE(RIGHT(C2608,LEN(C2608)-2))</f>
        <v>123</v>
      </c>
      <c r="C2608" s="74" t="s">
        <v>8843</v>
      </c>
      <c r="D2608" s="75">
        <v>41103</v>
      </c>
      <c r="E2608" s="70" t="s">
        <v>99</v>
      </c>
      <c r="F2608" s="68" t="s">
        <v>255</v>
      </c>
      <c r="G2608" s="68" t="s">
        <v>8844</v>
      </c>
      <c r="H2608" s="69"/>
      <c r="I2608" s="69" t="s">
        <v>8845</v>
      </c>
      <c r="J2608" s="81"/>
      <c r="K2608" s="71" t="s">
        <v>30</v>
      </c>
      <c r="L2608" s="69" t="s">
        <v>120</v>
      </c>
      <c r="M2608" s="69" t="s">
        <v>141</v>
      </c>
      <c r="N2608" s="69" t="e" vm="1">
        <v>#VALUE!</v>
      </c>
      <c r="O2608" s="82">
        <v>41103</v>
      </c>
      <c r="P2608" s="69" t="s">
        <v>4567</v>
      </c>
      <c r="Q2608" s="69"/>
      <c r="R2608" s="69"/>
      <c r="S2608" s="146"/>
      <c r="T2608" s="68" t="s">
        <v>3</v>
      </c>
      <c r="U2608" s="87"/>
      <c r="V2608" s="183">
        <v>41176</v>
      </c>
      <c r="W2608" s="73">
        <v>55</v>
      </c>
      <c r="X2608" s="216">
        <f>101*22500/1000000</f>
        <v>2.2725</v>
      </c>
      <c r="Y2608" s="73">
        <f>IF(SUM(W2608:W2608)&gt;0,X2608/SUM(W2608:W2608)*1000000,"N/A")</f>
        <v>41318.181818181816</v>
      </c>
      <c r="Z2608" s="70"/>
      <c r="AA2608" s="70"/>
      <c r="AB2608" s="223" t="s">
        <v>8846</v>
      </c>
      <c r="AC2608" s="75"/>
      <c r="AD2608" s="332"/>
      <c r="AE2608" s="68"/>
      <c r="AF2608" s="148"/>
      <c r="AG2608" s="182">
        <f>YEAR(D2608)</f>
        <v>2012</v>
      </c>
      <c r="AH2608" s="86" t="str">
        <f>+IF(AE2608=$AJ$22,MONTH(T2608),"")</f>
        <v/>
      </c>
      <c r="AI2608" s="86" t="str">
        <f>+IF(AF2608=$AJ$22,MONTH(U2608),"")</f>
        <v/>
      </c>
      <c r="AJ2608" s="86" t="str">
        <f>+IF(AG2608=$AJ$22,MONTH(V2608),"")</f>
        <v/>
      </c>
      <c r="AK2608" s="86" t="str">
        <f>+IF(AG2608=$AK$22,MONTH(V2608),"")</f>
        <v/>
      </c>
      <c r="AL2608" s="86" t="str">
        <f>+IF(AG2608=$AL$22,MONTH(V2608),"")</f>
        <v/>
      </c>
      <c r="AM2608" s="86" t="str">
        <f>+IF($AG2608=$AM$22,MONTH($D2608),"")</f>
        <v/>
      </c>
      <c r="AN2608" s="89" t="str">
        <f>+IF($AG2608=AN$22,MONTH($D2608),"")</f>
        <v/>
      </c>
      <c r="AO2608" s="86" t="str">
        <f>+IF($AG2608=AO$22,MONTH($D2608),"")</f>
        <v/>
      </c>
      <c r="AP2608" s="86" t="str">
        <f>+IF($AG2608=AP$22,MONTH($D2608),"")</f>
        <v/>
      </c>
      <c r="AQ2608" s="86" t="str">
        <f>+IF($AG2608=AQ$22,MONTH($D2608),"")</f>
        <v/>
      </c>
      <c r="AR2608" s="86" t="str">
        <f>+IF($AG2608=AR$22,MONTH($D2608),"")</f>
        <v/>
      </c>
      <c r="AS2608" s="86" t="str">
        <f>+IF($AG2608=AS$22,MONTH($D2608),"")</f>
        <v/>
      </c>
      <c r="AT2608" s="86" t="str">
        <f>+IF($AG2608=AT$22,MONTH($D2608),"")</f>
        <v/>
      </c>
      <c r="AU2608" s="86" t="str">
        <f>+IF($AG2608=AU$22,MONTH($D2608),"")</f>
        <v/>
      </c>
      <c r="AV2608" s="86">
        <f>+IF($AG2608=AV$22,MONTH($D2608),"")</f>
        <v>7</v>
      </c>
      <c r="AW2608" s="86"/>
      <c r="AX2608" s="86"/>
      <c r="AY2608" s="89"/>
      <c r="AZ2608" s="89"/>
      <c r="BA2608" s="89"/>
      <c r="BB2608" s="89"/>
      <c r="BC2608" s="89"/>
      <c r="BD2608" s="89"/>
      <c r="BE2608" s="89"/>
      <c r="BF2608" s="89"/>
      <c r="BG2608" s="89"/>
      <c r="BH2608" s="89"/>
      <c r="BI2608" s="89"/>
      <c r="BJ2608" s="182"/>
      <c r="BK2608" s="182"/>
      <c r="BL2608" s="182"/>
      <c r="BM2608" s="182"/>
      <c r="BN2608" s="182"/>
      <c r="BO2608" s="182"/>
      <c r="BP2608" s="182"/>
    </row>
    <row r="2609" spans="1:68" s="51" customFormat="1" ht="19.5" hidden="1" customHeight="1">
      <c r="A2609" s="204" t="str">
        <f>+IFERROR(VALUE(MID(AB2609,4,4)),"")</f>
        <v/>
      </c>
      <c r="B2609" s="204">
        <f>VALUE(RIGHT(C2609,LEN(C2609)-2))</f>
        <v>122</v>
      </c>
      <c r="C2609" s="74" t="s">
        <v>8847</v>
      </c>
      <c r="D2609" s="75">
        <v>41100</v>
      </c>
      <c r="E2609" s="68" t="s">
        <v>8848</v>
      </c>
      <c r="F2609" s="68" t="s">
        <v>8837</v>
      </c>
      <c r="G2609" s="68" t="s">
        <v>8849</v>
      </c>
      <c r="H2609" s="69"/>
      <c r="I2609" s="69" t="s">
        <v>8850</v>
      </c>
      <c r="J2609" s="81"/>
      <c r="K2609" s="71" t="s">
        <v>12</v>
      </c>
      <c r="L2609" s="69" t="s">
        <v>120</v>
      </c>
      <c r="M2609" s="69" t="s">
        <v>113</v>
      </c>
      <c r="N2609" s="69" t="e" vm="2">
        <v>#VALUE!</v>
      </c>
      <c r="O2609" s="82">
        <v>41102</v>
      </c>
      <c r="P2609" s="69" t="s">
        <v>402</v>
      </c>
      <c r="Q2609" s="69"/>
      <c r="R2609" s="69"/>
      <c r="S2609" s="146"/>
      <c r="T2609" s="68" t="s">
        <v>165</v>
      </c>
      <c r="U2609" s="87"/>
      <c r="V2609" s="183">
        <v>41176</v>
      </c>
      <c r="W2609" s="73">
        <v>1437</v>
      </c>
      <c r="X2609" s="216">
        <f>199120*230/1000000</f>
        <v>45.797600000000003</v>
      </c>
      <c r="Y2609" s="73">
        <f>IF(SUM(W2609:W2609)&gt;0,X2609/SUM(W2609:W2609)*1000000,"N/A")</f>
        <v>31870.285316631871</v>
      </c>
      <c r="Z2609" s="70"/>
      <c r="AA2609" s="70"/>
      <c r="AB2609" s="223"/>
      <c r="AC2609" s="75"/>
      <c r="AD2609" s="332"/>
      <c r="AE2609" s="68"/>
      <c r="AF2609" s="148"/>
      <c r="AG2609" s="182">
        <f>YEAR(D2609)</f>
        <v>2012</v>
      </c>
      <c r="AH2609" s="86" t="str">
        <f>+IF(AE2609=$AJ$22,MONTH(T2609),"")</f>
        <v/>
      </c>
      <c r="AI2609" s="86" t="str">
        <f>+IF(AF2609=$AJ$22,MONTH(U2609),"")</f>
        <v/>
      </c>
      <c r="AJ2609" s="86" t="str">
        <f>+IF(AG2609=$AJ$22,MONTH(V2609),"")</f>
        <v/>
      </c>
      <c r="AK2609" s="86" t="str">
        <f>+IF(AG2609=$AK$22,MONTH(V2609),"")</f>
        <v/>
      </c>
      <c r="AL2609" s="86" t="str">
        <f>+IF(AG2609=$AL$22,MONTH(V2609),"")</f>
        <v/>
      </c>
      <c r="AM2609" s="86" t="str">
        <f>+IF($AG2609=$AM$22,MONTH($D2609),"")</f>
        <v/>
      </c>
      <c r="AN2609" s="89" t="str">
        <f>+IF($AG2609=AN$22,MONTH($D2609),"")</f>
        <v/>
      </c>
      <c r="AO2609" s="184" t="str">
        <f>+IF($AG2609=AO$22,MONTH($D2609),"")</f>
        <v/>
      </c>
      <c r="AP2609" s="184" t="str">
        <f>+IF($AG2609=AP$22,MONTH($D2609),"")</f>
        <v/>
      </c>
      <c r="AQ2609" s="184" t="str">
        <f>+IF($AG2609=AQ$22,MONTH($D2609),"")</f>
        <v/>
      </c>
      <c r="AR2609" s="184" t="str">
        <f>+IF($AG2609=AR$22,MONTH($D2609),"")</f>
        <v/>
      </c>
      <c r="AS2609" s="184" t="str">
        <f>+IF($AG2609=AS$22,MONTH($D2609),"")</f>
        <v/>
      </c>
      <c r="AT2609" s="86" t="str">
        <f>+IF($AG2609=AT$22,MONTH($D2609),"")</f>
        <v/>
      </c>
      <c r="AU2609" s="86" t="str">
        <f>+IF($AG2609=AU$22,MONTH($D2609),"")</f>
        <v/>
      </c>
      <c r="AV2609" s="86">
        <f>+IF($AG2609=AV$22,MONTH($D2609),"")</f>
        <v>7</v>
      </c>
      <c r="AW2609" s="86" t="str">
        <f>+IF($AG2609=AW$22,MONTH($D2609),"")</f>
        <v/>
      </c>
      <c r="AX2609" s="86" t="str">
        <f>+IF($AG2609=AX$22,MONTH($D2609),"")</f>
        <v/>
      </c>
      <c r="AY2609" s="89"/>
      <c r="AZ2609" s="89"/>
      <c r="BA2609" s="89"/>
      <c r="BB2609" s="89"/>
      <c r="BC2609" s="89"/>
      <c r="BD2609" s="89"/>
      <c r="BE2609" s="89"/>
      <c r="BF2609" s="89"/>
      <c r="BG2609" s="89"/>
      <c r="BH2609" s="89"/>
      <c r="BI2609" s="89"/>
      <c r="BJ2609" s="182"/>
      <c r="BK2609" s="182"/>
      <c r="BL2609" s="182"/>
      <c r="BM2609" s="182"/>
      <c r="BN2609" s="182"/>
      <c r="BO2609" s="182"/>
      <c r="BP2609" s="182"/>
    </row>
    <row r="2610" spans="1:68" s="51" customFormat="1" ht="19.5" hidden="1" customHeight="1">
      <c r="A2610" s="204" t="str">
        <f>+IFERROR(VALUE(MID(AB2610,4,4)),"")</f>
        <v/>
      </c>
      <c r="B2610" s="204">
        <f>VALUE(RIGHT(C2610,LEN(C2610)-2))</f>
        <v>121</v>
      </c>
      <c r="C2610" s="74" t="s">
        <v>8851</v>
      </c>
      <c r="D2610" s="75">
        <v>41086</v>
      </c>
      <c r="E2610" s="68" t="s">
        <v>8776</v>
      </c>
      <c r="F2610" s="68" t="s">
        <v>8852</v>
      </c>
      <c r="G2610" s="68" t="s">
        <v>8853</v>
      </c>
      <c r="H2610" s="69"/>
      <c r="I2610" s="69" t="s">
        <v>8854</v>
      </c>
      <c r="J2610" s="81"/>
      <c r="K2610" s="71" t="s">
        <v>14</v>
      </c>
      <c r="L2610" s="69" t="s">
        <v>120</v>
      </c>
      <c r="M2610" s="69" t="s">
        <v>113</v>
      </c>
      <c r="N2610" s="69" t="e" vm="18">
        <v>#VALUE!</v>
      </c>
      <c r="O2610" s="82">
        <v>41086</v>
      </c>
      <c r="P2610" s="69" t="s">
        <v>402</v>
      </c>
      <c r="Q2610" s="69"/>
      <c r="R2610" s="69"/>
      <c r="S2610" s="146"/>
      <c r="T2610" s="68" t="s">
        <v>165</v>
      </c>
      <c r="U2610" s="87"/>
      <c r="V2610" s="183">
        <v>41087</v>
      </c>
      <c r="W2610" s="73">
        <v>150</v>
      </c>
      <c r="X2610" s="216">
        <f>15000*500/1000000</f>
        <v>7.5</v>
      </c>
      <c r="Y2610" s="73">
        <f>IF(SUM(W2610:W2610)&gt;0,X2610/SUM(W2610:W2610)*1000000,"N/A")</f>
        <v>50000</v>
      </c>
      <c r="Z2610" s="70"/>
      <c r="AA2610" s="70"/>
      <c r="AB2610" s="223"/>
      <c r="AC2610" s="75"/>
      <c r="AD2610" s="332"/>
      <c r="AE2610" s="68"/>
      <c r="AF2610" s="148"/>
      <c r="AG2610" s="182">
        <f>YEAR(D2610)</f>
        <v>2012</v>
      </c>
      <c r="AH2610" s="86" t="str">
        <f>+IF(AE2610=$AJ$22,MONTH(T2610),"")</f>
        <v/>
      </c>
      <c r="AI2610" s="86" t="str">
        <f>+IF(AF2610=$AJ$22,MONTH(U2610),"")</f>
        <v/>
      </c>
      <c r="AJ2610" s="86" t="str">
        <f>+IF(AG2610=$AJ$22,MONTH(V2610),"")</f>
        <v/>
      </c>
      <c r="AK2610" s="86" t="str">
        <f>+IF(AG2610=$AK$22,MONTH(V2610),"")</f>
        <v/>
      </c>
      <c r="AL2610" s="86" t="str">
        <f>+IF(AG2610=$AL$22,MONTH(V2610),"")</f>
        <v/>
      </c>
      <c r="AM2610" s="86" t="str">
        <f>+IF($AG2610=$AM$22,MONTH($D2610),"")</f>
        <v/>
      </c>
      <c r="AN2610" s="89" t="str">
        <f>+IF($AG2610=AN$22,MONTH($D2610),"")</f>
        <v/>
      </c>
      <c r="AO2610" s="184" t="str">
        <f>+IF($AG2610=AO$22,MONTH($D2610),"")</f>
        <v/>
      </c>
      <c r="AP2610" s="184" t="str">
        <f>+IF($AG2610=AP$22,MONTH($D2610),"")</f>
        <v/>
      </c>
      <c r="AQ2610" s="184" t="str">
        <f>+IF($AG2610=AQ$22,MONTH($D2610),"")</f>
        <v/>
      </c>
      <c r="AR2610" s="184" t="str">
        <f>+IF($AG2610=AR$22,MONTH($D2610),"")</f>
        <v/>
      </c>
      <c r="AS2610" s="184" t="str">
        <f>+IF($AG2610=AS$22,MONTH($D2610),"")</f>
        <v/>
      </c>
      <c r="AT2610" s="86" t="str">
        <f>+IF($AG2610=AT$22,MONTH($D2610),"")</f>
        <v/>
      </c>
      <c r="AU2610" s="86" t="str">
        <f>+IF($AG2610=AU$22,MONTH($D2610),"")</f>
        <v/>
      </c>
      <c r="AV2610" s="86">
        <f>+IF($AG2610=AV$22,MONTH($D2610),"")</f>
        <v>6</v>
      </c>
      <c r="AW2610" s="86" t="str">
        <f>+IF($AG2610=AW$22,MONTH($D2610),"")</f>
        <v/>
      </c>
      <c r="AX2610" s="86" t="str">
        <f>+IF($AG2610=AX$22,MONTH($D2610),"")</f>
        <v/>
      </c>
      <c r="AY2610" s="89"/>
      <c r="AZ2610" s="89"/>
      <c r="BA2610" s="89"/>
      <c r="BB2610" s="89"/>
      <c r="BC2610" s="89"/>
      <c r="BD2610" s="89"/>
      <c r="BE2610" s="89"/>
      <c r="BF2610" s="89"/>
      <c r="BG2610" s="89"/>
      <c r="BH2610" s="89"/>
      <c r="BI2610" s="89"/>
      <c r="BJ2610" s="182"/>
      <c r="BK2610" s="182"/>
      <c r="BL2610" s="182"/>
      <c r="BM2610" s="182"/>
      <c r="BN2610" s="182"/>
      <c r="BO2610" s="182"/>
      <c r="BP2610" s="182"/>
    </row>
    <row r="2611" spans="1:68" s="51" customFormat="1" ht="19.5" hidden="1" customHeight="1">
      <c r="A2611" s="204" t="str">
        <f>+IFERROR(VALUE(MID(AB2611,4,4)),"")</f>
        <v/>
      </c>
      <c r="B2611" s="204">
        <f>VALUE(RIGHT(C2611,LEN(C2611)-2))</f>
        <v>120</v>
      </c>
      <c r="C2611" s="74" t="s">
        <v>8855</v>
      </c>
      <c r="D2611" s="75">
        <v>41081</v>
      </c>
      <c r="E2611" s="68" t="s">
        <v>68</v>
      </c>
      <c r="F2611" s="70" t="s">
        <v>1379</v>
      </c>
      <c r="G2611" s="68" t="s">
        <v>8856</v>
      </c>
      <c r="H2611" s="69"/>
      <c r="I2611" s="69" t="s">
        <v>8857</v>
      </c>
      <c r="J2611" s="81"/>
      <c r="K2611" s="71" t="s">
        <v>12</v>
      </c>
      <c r="L2611" s="69" t="s">
        <v>123</v>
      </c>
      <c r="M2611" s="69" t="s">
        <v>141</v>
      </c>
      <c r="N2611" s="69" t="e" vm="1">
        <v>#VALUE!</v>
      </c>
      <c r="O2611" s="82">
        <v>41100</v>
      </c>
      <c r="P2611" s="69" t="s">
        <v>402</v>
      </c>
      <c r="Q2611" s="69"/>
      <c r="R2611" s="69"/>
      <c r="S2611" s="146"/>
      <c r="T2611" s="68" t="s">
        <v>165</v>
      </c>
      <c r="U2611" s="87"/>
      <c r="V2611" s="183">
        <v>41087</v>
      </c>
      <c r="W2611" s="73">
        <v>894</v>
      </c>
      <c r="X2611" s="216">
        <f>1723*22500/1000000</f>
        <v>38.767499999999998</v>
      </c>
      <c r="Y2611" s="73">
        <f>IF(SUM(W2611:W2611)&gt;0,X2611/SUM(W2611:W2611)*1000000,"N/A")</f>
        <v>43364.093959731545</v>
      </c>
      <c r="Z2611" s="70"/>
      <c r="AA2611" s="70"/>
      <c r="AB2611" s="223"/>
      <c r="AC2611" s="75"/>
      <c r="AD2611" s="332"/>
      <c r="AE2611" s="68"/>
      <c r="AF2611" s="148"/>
      <c r="AG2611" s="182">
        <f>YEAR(D2611)</f>
        <v>2012</v>
      </c>
      <c r="AH2611" s="86" t="str">
        <f>+IF(AE2611=$AJ$22,MONTH(T2611),"")</f>
        <v/>
      </c>
      <c r="AI2611" s="86" t="str">
        <f>+IF(AF2611=$AJ$22,MONTH(U2611),"")</f>
        <v/>
      </c>
      <c r="AJ2611" s="86" t="str">
        <f>+IF(AG2611=$AJ$22,MONTH(V2611),"")</f>
        <v/>
      </c>
      <c r="AK2611" s="86" t="str">
        <f>+IF(AG2611=$AK$22,MONTH(V2611),"")</f>
        <v/>
      </c>
      <c r="AL2611" s="86" t="str">
        <f>+IF(AG2611=$AL$22,MONTH(V2611),"")</f>
        <v/>
      </c>
      <c r="AM2611" s="86" t="str">
        <f>+IF($AG2611=$AM$22,MONTH($D2611),"")</f>
        <v/>
      </c>
      <c r="AN2611" s="89" t="str">
        <f>+IF($AG2611=AN$22,MONTH($D2611),"")</f>
        <v/>
      </c>
      <c r="AO2611" s="184" t="str">
        <f>+IF($AG2611=AO$22,MONTH($D2611),"")</f>
        <v/>
      </c>
      <c r="AP2611" s="184" t="str">
        <f>+IF($AG2611=AP$22,MONTH($D2611),"")</f>
        <v/>
      </c>
      <c r="AQ2611" s="184" t="str">
        <f>+IF($AG2611=AQ$22,MONTH($D2611),"")</f>
        <v/>
      </c>
      <c r="AR2611" s="184" t="str">
        <f>+IF($AG2611=AR$22,MONTH($D2611),"")</f>
        <v/>
      </c>
      <c r="AS2611" s="184" t="str">
        <f>+IF($AG2611=AS$22,MONTH($D2611),"")</f>
        <v/>
      </c>
      <c r="AT2611" s="86" t="str">
        <f>+IF($AG2611=AT$22,MONTH($D2611),"")</f>
        <v/>
      </c>
      <c r="AU2611" s="86" t="str">
        <f>+IF($AG2611=AU$22,MONTH($D2611),"")</f>
        <v/>
      </c>
      <c r="AV2611" s="86">
        <f>+IF($AG2611=AV$22,MONTH($D2611),"")</f>
        <v>6</v>
      </c>
      <c r="AW2611" s="86"/>
      <c r="AX2611" s="86"/>
      <c r="AY2611" s="89"/>
      <c r="AZ2611" s="89"/>
      <c r="BA2611" s="89"/>
      <c r="BB2611" s="89"/>
      <c r="BC2611" s="89"/>
      <c r="BD2611" s="89"/>
      <c r="BE2611" s="89"/>
      <c r="BF2611" s="89"/>
      <c r="BG2611" s="89"/>
      <c r="BH2611" s="89"/>
      <c r="BI2611" s="89"/>
      <c r="BJ2611" s="182"/>
      <c r="BK2611" s="182"/>
      <c r="BL2611" s="182"/>
      <c r="BM2611" s="182"/>
      <c r="BN2611" s="182"/>
      <c r="BO2611" s="182"/>
      <c r="BP2611" s="182"/>
    </row>
    <row r="2612" spans="1:68" s="51" customFormat="1" ht="19.5" hidden="1" customHeight="1">
      <c r="A2612" s="204">
        <f>+IFERROR(VALUE(MID(AB2612,4,4)),"")</f>
        <v>51</v>
      </c>
      <c r="B2612" s="204">
        <f>VALUE(RIGHT(C2612,LEN(C2612)-2))</f>
        <v>119</v>
      </c>
      <c r="C2612" s="74" t="s">
        <v>8858</v>
      </c>
      <c r="D2612" s="75">
        <v>41079</v>
      </c>
      <c r="E2612" s="68" t="s">
        <v>685</v>
      </c>
      <c r="F2612" s="68" t="s">
        <v>685</v>
      </c>
      <c r="G2612" s="68" t="s">
        <v>7933</v>
      </c>
      <c r="H2612" s="59" t="s">
        <v>8157</v>
      </c>
      <c r="I2612" s="69" t="s">
        <v>8859</v>
      </c>
      <c r="J2612" s="81"/>
      <c r="K2612" s="71" t="s">
        <v>45</v>
      </c>
      <c r="L2612" s="69" t="s">
        <v>120</v>
      </c>
      <c r="M2612" s="69" t="s">
        <v>141</v>
      </c>
      <c r="N2612" s="69" t="e" vm="1">
        <v>#VALUE!</v>
      </c>
      <c r="O2612" s="82">
        <v>41079</v>
      </c>
      <c r="P2612" s="69" t="s">
        <v>402</v>
      </c>
      <c r="Q2612" s="69"/>
      <c r="R2612" s="69"/>
      <c r="S2612" s="146"/>
      <c r="T2612" s="68" t="s">
        <v>3</v>
      </c>
      <c r="U2612" s="87"/>
      <c r="V2612" s="183">
        <v>41079</v>
      </c>
      <c r="W2612" s="73">
        <v>825</v>
      </c>
      <c r="X2612" s="216">
        <f>1590*22600/1000000</f>
        <v>35.933999999999997</v>
      </c>
      <c r="Y2612" s="73">
        <f>IF(SUM(W2612:W2612)&gt;0,X2612/SUM(W2612:W2612)*1000000,"N/A")</f>
        <v>43556.36363636364</v>
      </c>
      <c r="Z2612" s="70"/>
      <c r="AA2612" s="70"/>
      <c r="AB2612" s="223" t="s">
        <v>8860</v>
      </c>
      <c r="AC2612" s="75"/>
      <c r="AD2612" s="332"/>
      <c r="AE2612" s="68"/>
      <c r="AF2612" s="148"/>
      <c r="AG2612" s="182">
        <f>YEAR(D2612)</f>
        <v>2012</v>
      </c>
      <c r="AH2612" s="86" t="str">
        <f>+IF(AE2612=$AJ$22,MONTH(T2612),"")</f>
        <v/>
      </c>
      <c r="AI2612" s="86" t="str">
        <f>+IF(AF2612=$AJ$22,MONTH(U2612),"")</f>
        <v/>
      </c>
      <c r="AJ2612" s="86" t="str">
        <f>+IF(AG2612=$AJ$22,MONTH(V2612),"")</f>
        <v/>
      </c>
      <c r="AK2612" s="86" t="str">
        <f>+IF(AG2612=$AK$22,MONTH(V2612),"")</f>
        <v/>
      </c>
      <c r="AL2612" s="86" t="str">
        <f>+IF(AG2612=$AL$22,MONTH(V2612),"")</f>
        <v/>
      </c>
      <c r="AM2612" s="86" t="str">
        <f>+IF($AG2612=$AM$22,MONTH($D2612),"")</f>
        <v/>
      </c>
      <c r="AN2612" s="89" t="str">
        <f>+IF($AG2612=AN$22,MONTH($D2612),"")</f>
        <v/>
      </c>
      <c r="AO2612" s="86" t="str">
        <f>+IF($AG2612=AO$22,MONTH($D2612),"")</f>
        <v/>
      </c>
      <c r="AP2612" s="86" t="str">
        <f>+IF($AG2612=AP$22,MONTH($D2612),"")</f>
        <v/>
      </c>
      <c r="AQ2612" s="86" t="str">
        <f>+IF($AG2612=AQ$22,MONTH($D2612),"")</f>
        <v/>
      </c>
      <c r="AR2612" s="86" t="str">
        <f>+IF($AG2612=AR$22,MONTH($D2612),"")</f>
        <v/>
      </c>
      <c r="AS2612" s="86" t="str">
        <f>+IF($AG2612=AS$22,MONTH($D2612),"")</f>
        <v/>
      </c>
      <c r="AT2612" s="86" t="str">
        <f>+IF($AG2612=AT$22,MONTH($D2612),"")</f>
        <v/>
      </c>
      <c r="AU2612" s="86" t="str">
        <f>+IF($AG2612=AU$22,MONTH($D2612),"")</f>
        <v/>
      </c>
      <c r="AV2612" s="86">
        <f>+IF($AG2612=AV$22,MONTH($D2612),"")</f>
        <v>6</v>
      </c>
      <c r="AW2612" s="86" t="str">
        <f>+IF($AG2612=AW$22,MONTH($D2612),"")</f>
        <v/>
      </c>
      <c r="AX2612" s="86" t="str">
        <f>+IF($AG2612=AX$22,MONTH($D2612),"")</f>
        <v/>
      </c>
      <c r="AY2612" s="89"/>
      <c r="AZ2612" s="89"/>
      <c r="BA2612" s="89"/>
      <c r="BB2612" s="89"/>
      <c r="BC2612" s="89"/>
      <c r="BD2612" s="89"/>
      <c r="BE2612" s="89"/>
      <c r="BF2612" s="89"/>
      <c r="BG2612" s="89"/>
      <c r="BH2612" s="89"/>
      <c r="BI2612" s="89"/>
      <c r="BJ2612" s="182"/>
      <c r="BK2612" s="182"/>
      <c r="BL2612" s="182"/>
      <c r="BM2612" s="182"/>
      <c r="BN2612" s="182"/>
      <c r="BO2612" s="182"/>
      <c r="BP2612" s="182"/>
    </row>
    <row r="2613" spans="1:68" s="51" customFormat="1" ht="29.25" hidden="1" customHeight="1">
      <c r="A2613" s="204">
        <f>+IFERROR(VALUE(MID(AB2613,4,4)),"")</f>
        <v>55</v>
      </c>
      <c r="B2613" s="204">
        <f>VALUE(RIGHT(C2613,LEN(C2613)-2))</f>
        <v>118</v>
      </c>
      <c r="C2613" s="74" t="s">
        <v>8861</v>
      </c>
      <c r="D2613" s="75">
        <v>41073</v>
      </c>
      <c r="E2613" s="68" t="s">
        <v>685</v>
      </c>
      <c r="F2613" s="68" t="s">
        <v>685</v>
      </c>
      <c r="G2613" s="68" t="s">
        <v>4567</v>
      </c>
      <c r="H2613" s="69"/>
      <c r="I2613" s="69" t="s">
        <v>8862</v>
      </c>
      <c r="J2613" s="81"/>
      <c r="K2613" s="71" t="s">
        <v>12</v>
      </c>
      <c r="L2613" s="69" t="s">
        <v>120</v>
      </c>
      <c r="M2613" s="69" t="s">
        <v>141</v>
      </c>
      <c r="N2613" s="69" t="e" vm="1">
        <v>#VALUE!</v>
      </c>
      <c r="O2613" s="82">
        <v>41073</v>
      </c>
      <c r="P2613" s="69" t="s">
        <v>402</v>
      </c>
      <c r="Q2613" s="69"/>
      <c r="R2613" s="69"/>
      <c r="S2613" s="146"/>
      <c r="T2613" s="68" t="s">
        <v>3</v>
      </c>
      <c r="U2613" s="87"/>
      <c r="V2613" s="183">
        <v>41073</v>
      </c>
      <c r="W2613" s="73">
        <v>580</v>
      </c>
      <c r="X2613" s="216">
        <f>998*22600/1000000</f>
        <v>22.5548</v>
      </c>
      <c r="Y2613" s="73">
        <f>IF(SUM(W2613:W2613)&gt;0,X2613/SUM(W2613:W2613)*1000000,"N/A")</f>
        <v>38887.586206896551</v>
      </c>
      <c r="Z2613" s="70"/>
      <c r="AA2613" s="70"/>
      <c r="AB2613" s="223" t="s">
        <v>8863</v>
      </c>
      <c r="AC2613" s="75"/>
      <c r="AD2613" s="332"/>
      <c r="AE2613" s="68"/>
      <c r="AF2613" s="148"/>
      <c r="AG2613" s="182">
        <f>YEAR(D2613)</f>
        <v>2012</v>
      </c>
      <c r="AH2613" s="86" t="str">
        <f>+IF(AE2613=$AJ$22,MONTH(T2613),"")</f>
        <v/>
      </c>
      <c r="AI2613" s="86" t="str">
        <f>+IF(AF2613=$AJ$22,MONTH(U2613),"")</f>
        <v/>
      </c>
      <c r="AJ2613" s="86" t="str">
        <f>+IF(AG2613=$AJ$22,MONTH(V2613),"")</f>
        <v/>
      </c>
      <c r="AK2613" s="86" t="str">
        <f>+IF(AG2613=$AK$22,MONTH(V2613),"")</f>
        <v/>
      </c>
      <c r="AL2613" s="86" t="str">
        <f>+IF(AG2613=$AL$22,MONTH(V2613),"")</f>
        <v/>
      </c>
      <c r="AM2613" s="86" t="str">
        <f>+IF($AG2613=$AM$22,MONTH($D2613),"")</f>
        <v/>
      </c>
      <c r="AN2613" s="89" t="str">
        <f>+IF($AG2613=AN$22,MONTH($D2613),"")</f>
        <v/>
      </c>
      <c r="AO2613" s="86" t="str">
        <f>+IF($AG2613=AO$22,MONTH($D2613),"")</f>
        <v/>
      </c>
      <c r="AP2613" s="86" t="str">
        <f>+IF($AG2613=AP$22,MONTH($D2613),"")</f>
        <v/>
      </c>
      <c r="AQ2613" s="86" t="str">
        <f>+IF($AG2613=AQ$22,MONTH($D2613),"")</f>
        <v/>
      </c>
      <c r="AR2613" s="86" t="str">
        <f>+IF($AG2613=AR$22,MONTH($D2613),"")</f>
        <v/>
      </c>
      <c r="AS2613" s="86" t="str">
        <f>+IF($AG2613=AS$22,MONTH($D2613),"")</f>
        <v/>
      </c>
      <c r="AT2613" s="86" t="str">
        <f>+IF($AG2613=AT$22,MONTH($D2613),"")</f>
        <v/>
      </c>
      <c r="AU2613" s="86" t="str">
        <f>+IF($AG2613=AU$22,MONTH($D2613),"")</f>
        <v/>
      </c>
      <c r="AV2613" s="86">
        <f>+IF($AG2613=AV$22,MONTH($D2613),"")</f>
        <v>6</v>
      </c>
      <c r="AW2613" s="86" t="str">
        <f>+IF($AG2613=AW$22,MONTH($D2613),"")</f>
        <v/>
      </c>
      <c r="AX2613" s="86" t="str">
        <f>+IF($AG2613=AX$22,MONTH($D2613),"")</f>
        <v/>
      </c>
      <c r="AY2613" s="89"/>
      <c r="AZ2613" s="89"/>
      <c r="BA2613" s="89"/>
      <c r="BB2613" s="89"/>
      <c r="BC2613" s="89"/>
      <c r="BD2613" s="89"/>
      <c r="BE2613" s="89"/>
      <c r="BF2613" s="89"/>
      <c r="BG2613" s="89"/>
      <c r="BH2613" s="89"/>
      <c r="BI2613" s="89"/>
      <c r="BJ2613" s="182"/>
      <c r="BK2613" s="182"/>
      <c r="BL2613" s="182"/>
      <c r="BM2613" s="182"/>
      <c r="BN2613" s="182"/>
      <c r="BO2613" s="182"/>
      <c r="BP2613" s="182"/>
    </row>
    <row r="2614" spans="1:68" s="51" customFormat="1" ht="19.5" hidden="1" customHeight="1">
      <c r="A2614" s="204">
        <f>+IFERROR(VALUE(MID(AB2614,4,4)),"")</f>
        <v>57</v>
      </c>
      <c r="B2614" s="204">
        <f>VALUE(RIGHT(C2614,LEN(C2614)-2))</f>
        <v>117</v>
      </c>
      <c r="C2614" s="74" t="s">
        <v>8864</v>
      </c>
      <c r="D2614" s="75">
        <v>41071</v>
      </c>
      <c r="E2614" s="68" t="s">
        <v>63</v>
      </c>
      <c r="F2614" s="68" t="s">
        <v>8405</v>
      </c>
      <c r="G2614" s="68" t="s">
        <v>5340</v>
      </c>
      <c r="H2614" s="59" t="s">
        <v>8245</v>
      </c>
      <c r="I2614" s="69" t="s">
        <v>8865</v>
      </c>
      <c r="J2614" s="81"/>
      <c r="K2614" s="71" t="s">
        <v>12</v>
      </c>
      <c r="L2614" s="69" t="s">
        <v>120</v>
      </c>
      <c r="M2614" s="69" t="s">
        <v>141</v>
      </c>
      <c r="N2614" s="69" t="e" vm="1">
        <v>#VALUE!</v>
      </c>
      <c r="O2614" s="82">
        <v>41071</v>
      </c>
      <c r="P2614" s="69" t="s">
        <v>4567</v>
      </c>
      <c r="Q2614" s="69"/>
      <c r="R2614" s="69"/>
      <c r="S2614" s="146"/>
      <c r="T2614" s="68" t="s">
        <v>3</v>
      </c>
      <c r="U2614" s="87"/>
      <c r="V2614" s="183">
        <v>41081</v>
      </c>
      <c r="W2614" s="73">
        <v>300</v>
      </c>
      <c r="X2614" s="216">
        <f>501*22600/1000000</f>
        <v>11.3226</v>
      </c>
      <c r="Y2614" s="73">
        <f>IF(SUM(W2614:W2614)&gt;0,X2614/SUM(W2614:W2614)*1000000,"N/A")</f>
        <v>37742</v>
      </c>
      <c r="Z2614" s="70"/>
      <c r="AA2614" s="70"/>
      <c r="AB2614" s="223" t="s">
        <v>8866</v>
      </c>
      <c r="AC2614" s="75"/>
      <c r="AD2614" s="332"/>
      <c r="AE2614" s="68"/>
      <c r="AF2614" s="148"/>
      <c r="AG2614" s="182">
        <f>YEAR(D2614)</f>
        <v>2012</v>
      </c>
      <c r="AH2614" s="86" t="str">
        <f>+IF(AE2614=$AJ$22,MONTH(T2614),"")</f>
        <v/>
      </c>
      <c r="AI2614" s="86" t="str">
        <f>+IF(AF2614=$AJ$22,MONTH(U2614),"")</f>
        <v/>
      </c>
      <c r="AJ2614" s="86" t="str">
        <f>+IF(AG2614=$AJ$22,MONTH(V2614),"")</f>
        <v/>
      </c>
      <c r="AK2614" s="86" t="str">
        <f>+IF(AG2614=$AK$22,MONTH(V2614),"")</f>
        <v/>
      </c>
      <c r="AL2614" s="86" t="str">
        <f>+IF(AG2614=$AL$22,MONTH(V2614),"")</f>
        <v/>
      </c>
      <c r="AM2614" s="86" t="str">
        <f>+IF($AG2614=$AM$22,MONTH($D2614),"")</f>
        <v/>
      </c>
      <c r="AN2614" s="89" t="str">
        <f>+IF($AG2614=AN$22,MONTH($D2614),"")</f>
        <v/>
      </c>
      <c r="AO2614" s="86" t="str">
        <f>+IF($AG2614=AO$22,MONTH($D2614),"")</f>
        <v/>
      </c>
      <c r="AP2614" s="86" t="str">
        <f>+IF($AG2614=AP$22,MONTH($D2614),"")</f>
        <v/>
      </c>
      <c r="AQ2614" s="86" t="str">
        <f>+IF($AG2614=AQ$22,MONTH($D2614),"")</f>
        <v/>
      </c>
      <c r="AR2614" s="86" t="str">
        <f>+IF($AG2614=AR$22,MONTH($D2614),"")</f>
        <v/>
      </c>
      <c r="AS2614" s="86" t="str">
        <f>+IF($AG2614=AS$22,MONTH($D2614),"")</f>
        <v/>
      </c>
      <c r="AT2614" s="86" t="str">
        <f>+IF($AG2614=AT$22,MONTH($D2614),"")</f>
        <v/>
      </c>
      <c r="AU2614" s="86" t="str">
        <f>+IF($AG2614=AU$22,MONTH($D2614),"")</f>
        <v/>
      </c>
      <c r="AV2614" s="86">
        <f>+IF($AG2614=AV$22,MONTH($D2614),"")</f>
        <v>6</v>
      </c>
      <c r="AW2614" s="86" t="str">
        <f>+IF($AG2614=AW$22,MONTH($D2614),"")</f>
        <v/>
      </c>
      <c r="AX2614" s="86" t="str">
        <f>+IF($AG2614=AX$22,MONTH($D2614),"")</f>
        <v/>
      </c>
      <c r="AY2614" s="89"/>
      <c r="AZ2614" s="89"/>
      <c r="BA2614" s="89"/>
      <c r="BB2614" s="89"/>
      <c r="BC2614" s="89"/>
      <c r="BD2614" s="89"/>
      <c r="BE2614" s="89"/>
      <c r="BF2614" s="89"/>
      <c r="BG2614" s="89"/>
      <c r="BH2614" s="89"/>
      <c r="BI2614" s="89"/>
      <c r="BJ2614" s="182"/>
      <c r="BK2614" s="182"/>
      <c r="BL2614" s="182"/>
      <c r="BM2614" s="182"/>
      <c r="BN2614" s="182"/>
      <c r="BO2614" s="182"/>
      <c r="BP2614" s="182"/>
    </row>
    <row r="2615" spans="1:68" s="51" customFormat="1" ht="19.5" hidden="1" customHeight="1">
      <c r="A2615" s="204" t="str">
        <f>+IFERROR(VALUE(MID(AB2615,4,4)),"")</f>
        <v/>
      </c>
      <c r="B2615" s="204">
        <f>VALUE(RIGHT(C2615,LEN(C2615)-2))</f>
        <v>116</v>
      </c>
      <c r="C2615" s="74" t="s">
        <v>8867</v>
      </c>
      <c r="D2615" s="75">
        <v>41033</v>
      </c>
      <c r="E2615" s="68" t="s">
        <v>8642</v>
      </c>
      <c r="F2615" s="68" t="s">
        <v>8642</v>
      </c>
      <c r="G2615" s="68" t="s">
        <v>7079</v>
      </c>
      <c r="H2615" s="69"/>
      <c r="I2615" s="69" t="s">
        <v>8868</v>
      </c>
      <c r="J2615" s="81"/>
      <c r="K2615" s="71" t="s">
        <v>90</v>
      </c>
      <c r="L2615" s="69" t="s">
        <v>120</v>
      </c>
      <c r="M2615" s="69" t="s">
        <v>113</v>
      </c>
      <c r="N2615" s="69" t="e" vm="4">
        <v>#VALUE!</v>
      </c>
      <c r="O2615" s="82">
        <v>41072</v>
      </c>
      <c r="P2615" s="69" t="s">
        <v>402</v>
      </c>
      <c r="Q2615" s="69"/>
      <c r="R2615" s="69"/>
      <c r="S2615" s="146" t="s">
        <v>8869</v>
      </c>
      <c r="T2615" s="68" t="s">
        <v>165</v>
      </c>
      <c r="U2615" s="87"/>
      <c r="V2615" s="183">
        <v>41506</v>
      </c>
      <c r="W2615" s="73">
        <v>195</v>
      </c>
      <c r="X2615" s="216">
        <f>19945*500/1000000</f>
        <v>9.9725000000000001</v>
      </c>
      <c r="Y2615" s="73">
        <f>IF(SUM(W2615:W2615)&gt;0,X2615/SUM(W2615:W2615)*1000000,"N/A")</f>
        <v>51141.025641025641</v>
      </c>
      <c r="Z2615" s="70"/>
      <c r="AA2615" s="70"/>
      <c r="AB2615" s="223"/>
      <c r="AC2615" s="75"/>
      <c r="AD2615" s="332"/>
      <c r="AE2615" s="68"/>
      <c r="AF2615" s="148"/>
      <c r="AG2615" s="182">
        <f>YEAR(D2615)</f>
        <v>2012</v>
      </c>
      <c r="AH2615" s="86" t="str">
        <f>+IF(AE2615=$AJ$22,MONTH(T2615),"")</f>
        <v/>
      </c>
      <c r="AI2615" s="86" t="str">
        <f>+IF(AF2615=$AJ$22,MONTH(U2615),"")</f>
        <v/>
      </c>
      <c r="AJ2615" s="86" t="str">
        <f>+IF(AG2615=$AJ$22,MONTH(V2615),"")</f>
        <v/>
      </c>
      <c r="AK2615" s="86" t="str">
        <f>+IF(AG2615=$AK$22,MONTH(V2615),"")</f>
        <v/>
      </c>
      <c r="AL2615" s="86" t="str">
        <f>+IF(AG2615=$AL$22,MONTH(V2615),"")</f>
        <v/>
      </c>
      <c r="AM2615" s="86" t="str">
        <f>+IF($AG2615=$AM$22,MONTH($D2615),"")</f>
        <v/>
      </c>
      <c r="AN2615" s="89" t="str">
        <f>+IF($AG2615=AN$22,MONTH($D2615),"")</f>
        <v/>
      </c>
      <c r="AO2615" s="184" t="str">
        <f>+IF($AG2615=AO$22,MONTH($D2615),"")</f>
        <v/>
      </c>
      <c r="AP2615" s="184" t="str">
        <f>+IF($AG2615=AP$22,MONTH($D2615),"")</f>
        <v/>
      </c>
      <c r="AQ2615" s="184" t="str">
        <f>+IF($AG2615=AQ$22,MONTH($D2615),"")</f>
        <v/>
      </c>
      <c r="AR2615" s="184" t="str">
        <f>+IF($AG2615=AR$22,MONTH($D2615),"")</f>
        <v/>
      </c>
      <c r="AS2615" s="184" t="str">
        <f>+IF($AG2615=AS$22,MONTH($D2615),"")</f>
        <v/>
      </c>
      <c r="AT2615" s="86" t="str">
        <f>+IF($AG2615=AT$22,MONTH($D2615),"")</f>
        <v/>
      </c>
      <c r="AU2615" s="86" t="str">
        <f>+IF($AG2615=AU$22,MONTH($D2615),"")</f>
        <v/>
      </c>
      <c r="AV2615" s="86">
        <f>+IF($AG2615=AV$22,MONTH($D2615),"")</f>
        <v>5</v>
      </c>
      <c r="AW2615" s="86" t="str">
        <f>+IF($AG2615=AW$22,MONTH($D2615),"")</f>
        <v/>
      </c>
      <c r="AX2615" s="86" t="str">
        <f>+IF($AG2615=AX$22,MONTH($D2615),"")</f>
        <v/>
      </c>
      <c r="AY2615" s="89"/>
      <c r="AZ2615" s="89"/>
      <c r="BA2615" s="89"/>
      <c r="BB2615" s="89"/>
      <c r="BC2615" s="89"/>
      <c r="BD2615" s="89"/>
      <c r="BE2615" s="89"/>
      <c r="BF2615" s="89"/>
      <c r="BG2615" s="89"/>
      <c r="BH2615" s="89"/>
      <c r="BI2615" s="89"/>
      <c r="BJ2615" s="182"/>
      <c r="BK2615" s="182"/>
      <c r="BL2615" s="182"/>
      <c r="BM2615" s="182"/>
      <c r="BN2615" s="182"/>
      <c r="BO2615" s="182"/>
      <c r="BP2615" s="182"/>
    </row>
    <row r="2616" spans="1:68" s="51" customFormat="1" ht="19.5" hidden="1" customHeight="1">
      <c r="A2616" s="204" t="str">
        <f>+IFERROR(VALUE(MID(AB2616,4,4)),"")</f>
        <v/>
      </c>
      <c r="B2616" s="204">
        <f>VALUE(RIGHT(C2616,LEN(C2616)-2))</f>
        <v>115</v>
      </c>
      <c r="C2616" s="74" t="s">
        <v>8870</v>
      </c>
      <c r="D2616" s="75">
        <v>41021</v>
      </c>
      <c r="E2616" s="70" t="s">
        <v>15</v>
      </c>
      <c r="F2616" s="68" t="s">
        <v>8871</v>
      </c>
      <c r="G2616" s="68" t="s">
        <v>8872</v>
      </c>
      <c r="H2616" s="69"/>
      <c r="I2616" s="69" t="s">
        <v>8873</v>
      </c>
      <c r="J2616" s="81"/>
      <c r="K2616" s="71" t="s">
        <v>13</v>
      </c>
      <c r="L2616" s="69" t="s">
        <v>120</v>
      </c>
      <c r="M2616" s="69" t="s">
        <v>113</v>
      </c>
      <c r="N2616" s="69" t="e" vm="2">
        <v>#VALUE!</v>
      </c>
      <c r="O2616" s="82">
        <v>41023</v>
      </c>
      <c r="P2616" s="69" t="s">
        <v>402</v>
      </c>
      <c r="Q2616" s="69"/>
      <c r="R2616" s="69"/>
      <c r="S2616" s="146"/>
      <c r="T2616" s="68" t="s">
        <v>165</v>
      </c>
      <c r="U2616" s="87"/>
      <c r="V2616" s="183">
        <v>41072</v>
      </c>
      <c r="W2616" s="73">
        <v>4520</v>
      </c>
      <c r="X2616" s="216">
        <f>710900*280/1000000</f>
        <v>199.05199999999999</v>
      </c>
      <c r="Y2616" s="73">
        <f>IF(SUM(W2616:W2616)&gt;0,X2616/SUM(W2616:W2616)*1000000,"N/A")</f>
        <v>44038.053097345131</v>
      </c>
      <c r="Z2616" s="70"/>
      <c r="AA2616" s="70"/>
      <c r="AB2616" s="223"/>
      <c r="AC2616" s="75"/>
      <c r="AD2616" s="332"/>
      <c r="AE2616" s="68"/>
      <c r="AF2616" s="148"/>
      <c r="AG2616" s="182">
        <f>YEAR(D2616)</f>
        <v>2012</v>
      </c>
      <c r="AH2616" s="86" t="str">
        <f>+IF(AE2616=$AJ$22,MONTH(T2616),"")</f>
        <v/>
      </c>
      <c r="AI2616" s="86" t="str">
        <f>+IF(AF2616=$AJ$22,MONTH(U2616),"")</f>
        <v/>
      </c>
      <c r="AJ2616" s="86" t="str">
        <f>+IF(AG2616=$AJ$22,MONTH(V2616),"")</f>
        <v/>
      </c>
      <c r="AK2616" s="86" t="str">
        <f>+IF(AG2616=$AK$22,MONTH(V2616),"")</f>
        <v/>
      </c>
      <c r="AL2616" s="86" t="str">
        <f>+IF(AG2616=$AL$22,MONTH(V2616),"")</f>
        <v/>
      </c>
      <c r="AM2616" s="86" t="str">
        <f>+IF($AG2616=$AM$22,MONTH($D2616),"")</f>
        <v/>
      </c>
      <c r="AN2616" s="89" t="str">
        <f>+IF($AG2616=AN$22,MONTH($D2616),"")</f>
        <v/>
      </c>
      <c r="AO2616" s="184" t="str">
        <f>+IF($AG2616=AO$22,MONTH($D2616),"")</f>
        <v/>
      </c>
      <c r="AP2616" s="184" t="str">
        <f>+IF($AG2616=AP$22,MONTH($D2616),"")</f>
        <v/>
      </c>
      <c r="AQ2616" s="184" t="str">
        <f>+IF($AG2616=AQ$22,MONTH($D2616),"")</f>
        <v/>
      </c>
      <c r="AR2616" s="184" t="str">
        <f>+IF($AG2616=AR$22,MONTH($D2616),"")</f>
        <v/>
      </c>
      <c r="AS2616" s="184" t="str">
        <f>+IF($AG2616=AS$22,MONTH($D2616),"")</f>
        <v/>
      </c>
      <c r="AT2616" s="86" t="str">
        <f>+IF($AG2616=AT$22,MONTH($D2616),"")</f>
        <v/>
      </c>
      <c r="AU2616" s="86" t="str">
        <f>+IF($AG2616=AU$22,MONTH($D2616),"")</f>
        <v/>
      </c>
      <c r="AV2616" s="86">
        <f>+IF($AG2616=AV$22,MONTH($D2616),"")</f>
        <v>4</v>
      </c>
      <c r="AW2616" s="86"/>
      <c r="AX2616" s="86"/>
      <c r="AY2616" s="89"/>
      <c r="AZ2616" s="89"/>
      <c r="BA2616" s="89"/>
      <c r="BB2616" s="89"/>
      <c r="BC2616" s="89"/>
      <c r="BD2616" s="89"/>
      <c r="BE2616" s="89"/>
      <c r="BF2616" s="89"/>
      <c r="BG2616" s="89"/>
      <c r="BH2616" s="89"/>
      <c r="BI2616" s="89"/>
      <c r="BJ2616" s="182"/>
      <c r="BK2616" s="182"/>
      <c r="BL2616" s="182"/>
      <c r="BM2616" s="182"/>
      <c r="BN2616" s="182"/>
      <c r="BO2616" s="182"/>
      <c r="BP2616" s="182"/>
    </row>
    <row r="2617" spans="1:68" s="51" customFormat="1" ht="19.5" hidden="1" customHeight="1">
      <c r="A2617" s="204">
        <f>+IFERROR(VALUE(MID(AB2617,4,4)),"")</f>
        <v>54</v>
      </c>
      <c r="B2617" s="204">
        <f>VALUE(RIGHT(C2617,LEN(C2617)-2))</f>
        <v>114</v>
      </c>
      <c r="C2617" s="74" t="s">
        <v>8874</v>
      </c>
      <c r="D2617" s="75">
        <v>41026</v>
      </c>
      <c r="E2617" s="68" t="s">
        <v>20</v>
      </c>
      <c r="F2617" s="70" t="s">
        <v>313</v>
      </c>
      <c r="G2617" s="68" t="s">
        <v>7668</v>
      </c>
      <c r="H2617" s="59" t="s">
        <v>8162</v>
      </c>
      <c r="I2617" s="69" t="s">
        <v>8875</v>
      </c>
      <c r="J2617" s="81"/>
      <c r="K2617" s="71" t="s">
        <v>12</v>
      </c>
      <c r="L2617" s="69" t="s">
        <v>123</v>
      </c>
      <c r="M2617" s="69" t="s">
        <v>141</v>
      </c>
      <c r="N2617" s="69" t="e" vm="1">
        <v>#VALUE!</v>
      </c>
      <c r="O2617" s="82">
        <v>41026</v>
      </c>
      <c r="P2617" s="69" t="s">
        <v>402</v>
      </c>
      <c r="Q2617" s="69"/>
      <c r="R2617" s="69"/>
      <c r="S2617" s="146"/>
      <c r="T2617" s="68" t="s">
        <v>3</v>
      </c>
      <c r="U2617" s="87"/>
      <c r="V2617" s="183">
        <v>41037</v>
      </c>
      <c r="W2617" s="73">
        <v>625</v>
      </c>
      <c r="X2617" s="216">
        <f>1191*22500/1000000</f>
        <v>26.797499999999999</v>
      </c>
      <c r="Y2617" s="73">
        <f>IF(SUM(W2617:W2617)&gt;0,X2617/SUM(W2617:W2617)*1000000,"N/A")</f>
        <v>42876</v>
      </c>
      <c r="Z2617" s="70"/>
      <c r="AA2617" s="70"/>
      <c r="AB2617" s="223" t="s">
        <v>8876</v>
      </c>
      <c r="AC2617" s="75"/>
      <c r="AD2617" s="332"/>
      <c r="AE2617" s="68"/>
      <c r="AF2617" s="148"/>
      <c r="AG2617" s="182">
        <f>YEAR(D2617)</f>
        <v>2012</v>
      </c>
      <c r="AH2617" s="86" t="str">
        <f>+IF(AE2617=$AJ$22,MONTH(T2617),"")</f>
        <v/>
      </c>
      <c r="AI2617" s="86" t="str">
        <f>+IF(AF2617=$AJ$22,MONTH(U2617),"")</f>
        <v/>
      </c>
      <c r="AJ2617" s="86" t="str">
        <f>+IF(AG2617=$AJ$22,MONTH(V2617),"")</f>
        <v/>
      </c>
      <c r="AK2617" s="86" t="str">
        <f>+IF(AG2617=$AK$22,MONTH(V2617),"")</f>
        <v/>
      </c>
      <c r="AL2617" s="86" t="str">
        <f>+IF(AG2617=$AL$22,MONTH(V2617),"")</f>
        <v/>
      </c>
      <c r="AM2617" s="86" t="str">
        <f>+IF($AG2617=$AM$22,MONTH($D2617),"")</f>
        <v/>
      </c>
      <c r="AN2617" s="89" t="str">
        <f>+IF($AG2617=AN$22,MONTH($D2617),"")</f>
        <v/>
      </c>
      <c r="AO2617" s="86" t="str">
        <f>+IF($AG2617=AO$22,MONTH($D2617),"")</f>
        <v/>
      </c>
      <c r="AP2617" s="86" t="str">
        <f>+IF($AG2617=AP$22,MONTH($D2617),"")</f>
        <v/>
      </c>
      <c r="AQ2617" s="86" t="str">
        <f>+IF($AG2617=AQ$22,MONTH($D2617),"")</f>
        <v/>
      </c>
      <c r="AR2617" s="86" t="str">
        <f>+IF($AG2617=AR$22,MONTH($D2617),"")</f>
        <v/>
      </c>
      <c r="AS2617" s="86" t="str">
        <f>+IF($AG2617=AS$22,MONTH($D2617),"")</f>
        <v/>
      </c>
      <c r="AT2617" s="86" t="str">
        <f>+IF($AG2617=AT$22,MONTH($D2617),"")</f>
        <v/>
      </c>
      <c r="AU2617" s="86" t="str">
        <f>+IF($AG2617=AU$22,MONTH($D2617),"")</f>
        <v/>
      </c>
      <c r="AV2617" s="86">
        <f>+IF($AG2617=AV$22,MONTH($D2617),"")</f>
        <v>4</v>
      </c>
      <c r="AW2617" s="86"/>
      <c r="AX2617" s="86"/>
      <c r="AY2617" s="89"/>
      <c r="AZ2617" s="89"/>
      <c r="BA2617" s="89"/>
      <c r="BB2617" s="89"/>
      <c r="BC2617" s="89"/>
      <c r="BD2617" s="89"/>
      <c r="BE2617" s="89"/>
      <c r="BF2617" s="89"/>
      <c r="BG2617" s="89"/>
      <c r="BH2617" s="89"/>
      <c r="BI2617" s="89"/>
      <c r="BJ2617" s="182"/>
      <c r="BK2617" s="182"/>
      <c r="BL2617" s="182"/>
      <c r="BM2617" s="182"/>
      <c r="BN2617" s="182"/>
      <c r="BO2617" s="182"/>
      <c r="BP2617" s="182"/>
    </row>
    <row r="2618" spans="1:68" s="51" customFormat="1" ht="19.5" hidden="1" customHeight="1">
      <c r="A2618" s="204" t="str">
        <f>+IFERROR(VALUE(MID(AB2618,4,4)),"")</f>
        <v/>
      </c>
      <c r="B2618" s="204">
        <f>VALUE(RIGHT(C2618,LEN(C2618)-2))</f>
        <v>113</v>
      </c>
      <c r="C2618" s="74" t="s">
        <v>8877</v>
      </c>
      <c r="D2618" s="75">
        <v>41024</v>
      </c>
      <c r="E2618" s="68" t="s">
        <v>8878</v>
      </c>
      <c r="F2618" s="68" t="s">
        <v>8878</v>
      </c>
      <c r="G2618" s="68" t="s">
        <v>4567</v>
      </c>
      <c r="H2618" s="69"/>
      <c r="I2618" s="69" t="s">
        <v>8879</v>
      </c>
      <c r="J2618" s="81"/>
      <c r="K2618" s="71" t="s">
        <v>13</v>
      </c>
      <c r="L2618" s="69" t="s">
        <v>120</v>
      </c>
      <c r="M2618" s="69" t="s">
        <v>141</v>
      </c>
      <c r="N2618" s="69" t="e" vm="1">
        <v>#VALUE!</v>
      </c>
      <c r="O2618" s="82">
        <v>41024</v>
      </c>
      <c r="P2618" s="69" t="s">
        <v>4567</v>
      </c>
      <c r="Q2618" s="69"/>
      <c r="R2618" s="69"/>
      <c r="S2618" s="146"/>
      <c r="T2618" s="68" t="s">
        <v>165</v>
      </c>
      <c r="U2618" s="87"/>
      <c r="V2618" s="183">
        <v>41037</v>
      </c>
      <c r="W2618" s="73">
        <v>6934</v>
      </c>
      <c r="X2618" s="216">
        <f>11603*22500/1000000</f>
        <v>261.0675</v>
      </c>
      <c r="Y2618" s="73">
        <f>IF(SUM(W2618:W2618)&gt;0,X2618/SUM(W2618:W2618)*1000000,"N/A")</f>
        <v>37650.346120565329</v>
      </c>
      <c r="Z2618" s="70"/>
      <c r="AA2618" s="70"/>
      <c r="AB2618" s="223"/>
      <c r="AC2618" s="75"/>
      <c r="AD2618" s="332"/>
      <c r="AE2618" s="68"/>
      <c r="AF2618" s="148"/>
      <c r="AG2618" s="182">
        <f>YEAR(D2618)</f>
        <v>2012</v>
      </c>
      <c r="AH2618" s="86" t="str">
        <f>+IF(AE2618=$AJ$22,MONTH(T2618),"")</f>
        <v/>
      </c>
      <c r="AI2618" s="86" t="str">
        <f>+IF(AF2618=$AJ$22,MONTH(U2618),"")</f>
        <v/>
      </c>
      <c r="AJ2618" s="86" t="str">
        <f>+IF(AG2618=$AJ$22,MONTH(V2618),"")</f>
        <v/>
      </c>
      <c r="AK2618" s="86" t="str">
        <f>+IF(AG2618=$AK$22,MONTH(V2618),"")</f>
        <v/>
      </c>
      <c r="AL2618" s="86" t="str">
        <f>+IF(AG2618=$AL$22,MONTH(V2618),"")</f>
        <v/>
      </c>
      <c r="AM2618" s="86" t="str">
        <f>+IF($AG2618=$AM$22,MONTH($D2618),"")</f>
        <v/>
      </c>
      <c r="AN2618" s="89" t="str">
        <f>+IF($AG2618=AN$22,MONTH($D2618),"")</f>
        <v/>
      </c>
      <c r="AO2618" s="184" t="str">
        <f>+IF($AG2618=AO$22,MONTH($D2618),"")</f>
        <v/>
      </c>
      <c r="AP2618" s="184" t="str">
        <f>+IF($AG2618=AP$22,MONTH($D2618),"")</f>
        <v/>
      </c>
      <c r="AQ2618" s="184" t="str">
        <f>+IF($AG2618=AQ$22,MONTH($D2618),"")</f>
        <v/>
      </c>
      <c r="AR2618" s="184" t="str">
        <f>+IF($AG2618=AR$22,MONTH($D2618),"")</f>
        <v/>
      </c>
      <c r="AS2618" s="184" t="str">
        <f>+IF($AG2618=AS$22,MONTH($D2618),"")</f>
        <v/>
      </c>
      <c r="AT2618" s="86" t="str">
        <f>+IF($AG2618=AT$22,MONTH($D2618),"")</f>
        <v/>
      </c>
      <c r="AU2618" s="86" t="str">
        <f>+IF($AG2618=AU$22,MONTH($D2618),"")</f>
        <v/>
      </c>
      <c r="AV2618" s="86">
        <f>+IF($AG2618=AV$22,MONTH($D2618),"")</f>
        <v>4</v>
      </c>
      <c r="AW2618" s="86" t="str">
        <f>+IF($AG2618=AW$22,MONTH($D2618),"")</f>
        <v/>
      </c>
      <c r="AX2618" s="86" t="str">
        <f>+IF($AG2618=AX$22,MONTH($D2618),"")</f>
        <v/>
      </c>
      <c r="AY2618" s="89"/>
      <c r="AZ2618" s="89"/>
      <c r="BA2618" s="89"/>
      <c r="BB2618" s="89"/>
      <c r="BC2618" s="89"/>
      <c r="BD2618" s="89"/>
      <c r="BE2618" s="89"/>
      <c r="BF2618" s="89"/>
      <c r="BG2618" s="89"/>
      <c r="BH2618" s="89"/>
      <c r="BI2618" s="89"/>
      <c r="BJ2618" s="182"/>
      <c r="BK2618" s="182"/>
      <c r="BL2618" s="182"/>
      <c r="BM2618" s="182"/>
      <c r="BN2618" s="182"/>
      <c r="BO2618" s="182"/>
      <c r="BP2618" s="182"/>
    </row>
    <row r="2619" spans="1:68" s="51" customFormat="1" ht="19.5" hidden="1" customHeight="1">
      <c r="A2619" s="204" t="str">
        <f>+IFERROR(VALUE(MID(AB2619,4,4)),"")</f>
        <v/>
      </c>
      <c r="B2619" s="204">
        <f>VALUE(RIGHT(C2619,LEN(C2619)-2))</f>
        <v>112</v>
      </c>
      <c r="C2619" s="74" t="s">
        <v>8880</v>
      </c>
      <c r="D2619" s="75">
        <v>41009</v>
      </c>
      <c r="E2619" s="68" t="s">
        <v>8579</v>
      </c>
      <c r="F2619" s="68" t="s">
        <v>8579</v>
      </c>
      <c r="G2619" s="68" t="s">
        <v>8598</v>
      </c>
      <c r="H2619" s="69"/>
      <c r="I2619" s="69" t="s">
        <v>8881</v>
      </c>
      <c r="J2619" s="81"/>
      <c r="K2619" s="71" t="s">
        <v>11</v>
      </c>
      <c r="L2619" s="69" t="s">
        <v>120</v>
      </c>
      <c r="M2619" s="69" t="s">
        <v>141</v>
      </c>
      <c r="N2619" s="69" t="e" vm="1">
        <v>#VALUE!</v>
      </c>
      <c r="O2619" s="82">
        <v>41009</v>
      </c>
      <c r="P2619" s="69" t="s">
        <v>402</v>
      </c>
      <c r="Q2619" s="69"/>
      <c r="R2619" s="69"/>
      <c r="S2619" s="146"/>
      <c r="T2619" s="68" t="s">
        <v>165</v>
      </c>
      <c r="U2619" s="87"/>
      <c r="V2619" s="183">
        <v>41037</v>
      </c>
      <c r="W2619" s="73">
        <v>2685</v>
      </c>
      <c r="X2619" s="216">
        <f>437150*280/1000000</f>
        <v>122.402</v>
      </c>
      <c r="Y2619" s="73">
        <f>IF(SUM(W2619:W2619)&gt;0,X2619/SUM(W2619:W2619)*1000000,"N/A")</f>
        <v>45587.337057728117</v>
      </c>
      <c r="Z2619" s="70"/>
      <c r="AA2619" s="70"/>
      <c r="AB2619" s="223"/>
      <c r="AC2619" s="75"/>
      <c r="AD2619" s="332"/>
      <c r="AE2619" s="68"/>
      <c r="AF2619" s="148"/>
      <c r="AG2619" s="182">
        <f>YEAR(D2619)</f>
        <v>2012</v>
      </c>
      <c r="AH2619" s="86" t="str">
        <f>+IF(AE2619=$AJ$22,MONTH(T2619),"")</f>
        <v/>
      </c>
      <c r="AI2619" s="86" t="str">
        <f>+IF(AF2619=$AJ$22,MONTH(U2619),"")</f>
        <v/>
      </c>
      <c r="AJ2619" s="86" t="str">
        <f>+IF(AG2619=$AJ$22,MONTH(V2619),"")</f>
        <v/>
      </c>
      <c r="AK2619" s="86" t="str">
        <f>+IF(AG2619=$AK$22,MONTH(V2619),"")</f>
        <v/>
      </c>
      <c r="AL2619" s="86" t="str">
        <f>+IF(AG2619=$AL$22,MONTH(V2619),"")</f>
        <v/>
      </c>
      <c r="AM2619" s="86" t="str">
        <f>+IF($AG2619=$AM$22,MONTH($D2619),"")</f>
        <v/>
      </c>
      <c r="AN2619" s="89" t="str">
        <f>+IF($AG2619=AN$22,MONTH($D2619),"")</f>
        <v/>
      </c>
      <c r="AO2619" s="184" t="str">
        <f>+IF($AG2619=AO$22,MONTH($D2619),"")</f>
        <v/>
      </c>
      <c r="AP2619" s="184" t="str">
        <f>+IF($AG2619=AP$22,MONTH($D2619),"")</f>
        <v/>
      </c>
      <c r="AQ2619" s="184" t="str">
        <f>+IF($AG2619=AQ$22,MONTH($D2619),"")</f>
        <v/>
      </c>
      <c r="AR2619" s="184" t="str">
        <f>+IF($AG2619=AR$22,MONTH($D2619),"")</f>
        <v/>
      </c>
      <c r="AS2619" s="184" t="str">
        <f>+IF($AG2619=AS$22,MONTH($D2619),"")</f>
        <v/>
      </c>
      <c r="AT2619" s="86" t="str">
        <f>+IF($AG2619=AT$22,MONTH($D2619),"")</f>
        <v/>
      </c>
      <c r="AU2619" s="86" t="str">
        <f>+IF($AG2619=AU$22,MONTH($D2619),"")</f>
        <v/>
      </c>
      <c r="AV2619" s="86">
        <f>+IF($AG2619=AV$22,MONTH($D2619),"")</f>
        <v>4</v>
      </c>
      <c r="AW2619" s="86" t="str">
        <f>+IF($AG2619=AW$22,MONTH($D2619),"")</f>
        <v/>
      </c>
      <c r="AX2619" s="86" t="str">
        <f>+IF($AG2619=AX$22,MONTH($D2619),"")</f>
        <v/>
      </c>
      <c r="AY2619" s="89"/>
      <c r="AZ2619" s="89"/>
      <c r="BA2619" s="89"/>
      <c r="BB2619" s="89"/>
      <c r="BC2619" s="89"/>
      <c r="BD2619" s="89"/>
      <c r="BE2619" s="89"/>
      <c r="BF2619" s="89"/>
      <c r="BG2619" s="89"/>
      <c r="BH2619" s="89"/>
      <c r="BI2619" s="89"/>
      <c r="BJ2619" s="182"/>
      <c r="BK2619" s="182"/>
      <c r="BL2619" s="182"/>
      <c r="BM2619" s="182"/>
      <c r="BN2619" s="182"/>
      <c r="BO2619" s="182"/>
      <c r="BP2619" s="182"/>
    </row>
    <row r="2620" spans="1:68" s="51" customFormat="1" ht="19.5" hidden="1" customHeight="1">
      <c r="A2620" s="204">
        <f>+IFERROR(VALUE(MID(AB2620,4,4)),"")</f>
        <v>49</v>
      </c>
      <c r="B2620" s="204">
        <f>VALUE(RIGHT(C2620,LEN(C2620)-2))</f>
        <v>111</v>
      </c>
      <c r="C2620" s="74" t="s">
        <v>8882</v>
      </c>
      <c r="D2620" s="75">
        <v>41015</v>
      </c>
      <c r="E2620" s="68" t="s">
        <v>685</v>
      </c>
      <c r="F2620" s="68" t="s">
        <v>685</v>
      </c>
      <c r="G2620" s="68" t="s">
        <v>4567</v>
      </c>
      <c r="H2620" s="69"/>
      <c r="I2620" s="69" t="s">
        <v>8883</v>
      </c>
      <c r="J2620" s="81"/>
      <c r="K2620" s="71" t="s">
        <v>30</v>
      </c>
      <c r="L2620" s="69" t="s">
        <v>120</v>
      </c>
      <c r="M2620" s="69" t="s">
        <v>141</v>
      </c>
      <c r="N2620" s="69" t="e" vm="1">
        <v>#VALUE!</v>
      </c>
      <c r="O2620" s="82">
        <v>41015</v>
      </c>
      <c r="P2620" s="69" t="s">
        <v>402</v>
      </c>
      <c r="Q2620" s="69"/>
      <c r="R2620" s="69"/>
      <c r="S2620" s="146"/>
      <c r="T2620" s="68" t="s">
        <v>3</v>
      </c>
      <c r="U2620" s="87"/>
      <c r="V2620" s="183">
        <v>41037</v>
      </c>
      <c r="W2620" s="73">
        <v>865</v>
      </c>
      <c r="X2620" s="216">
        <f>1564*22500/1000000</f>
        <v>35.19</v>
      </c>
      <c r="Y2620" s="73">
        <f>IF(SUM(W2620:W2620)&gt;0,X2620/SUM(W2620:W2620)*1000000,"N/A")</f>
        <v>40682.080924855487</v>
      </c>
      <c r="Z2620" s="70"/>
      <c r="AA2620" s="70"/>
      <c r="AB2620" s="223" t="s">
        <v>8884</v>
      </c>
      <c r="AC2620" s="75"/>
      <c r="AD2620" s="332"/>
      <c r="AE2620" s="68"/>
      <c r="AF2620" s="148"/>
      <c r="AG2620" s="182">
        <f>YEAR(D2620)</f>
        <v>2012</v>
      </c>
      <c r="AH2620" s="86" t="str">
        <f>+IF(AE2620=$AJ$22,MONTH(T2620),"")</f>
        <v/>
      </c>
      <c r="AI2620" s="86" t="str">
        <f>+IF(AF2620=$AJ$22,MONTH(U2620),"")</f>
        <v/>
      </c>
      <c r="AJ2620" s="86" t="str">
        <f>+IF(AG2620=$AJ$22,MONTH(V2620),"")</f>
        <v/>
      </c>
      <c r="AK2620" s="86" t="str">
        <f>+IF(AG2620=$AK$22,MONTH(V2620),"")</f>
        <v/>
      </c>
      <c r="AL2620" s="86" t="str">
        <f>+IF(AG2620=$AL$22,MONTH(V2620),"")</f>
        <v/>
      </c>
      <c r="AM2620" s="86" t="str">
        <f>+IF($AG2620=$AM$22,MONTH($D2620),"")</f>
        <v/>
      </c>
      <c r="AN2620" s="89" t="str">
        <f>+IF($AG2620=AN$22,MONTH($D2620),"")</f>
        <v/>
      </c>
      <c r="AO2620" s="86" t="str">
        <f>+IF($AG2620=AO$22,MONTH($D2620),"")</f>
        <v/>
      </c>
      <c r="AP2620" s="86" t="str">
        <f>+IF($AG2620=AP$22,MONTH($D2620),"")</f>
        <v/>
      </c>
      <c r="AQ2620" s="86" t="str">
        <f>+IF($AG2620=AQ$22,MONTH($D2620),"")</f>
        <v/>
      </c>
      <c r="AR2620" s="86" t="str">
        <f>+IF($AG2620=AR$22,MONTH($D2620),"")</f>
        <v/>
      </c>
      <c r="AS2620" s="86" t="str">
        <f>+IF($AG2620=AS$22,MONTH($D2620),"")</f>
        <v/>
      </c>
      <c r="AT2620" s="86" t="str">
        <f>+IF($AG2620=AT$22,MONTH($D2620),"")</f>
        <v/>
      </c>
      <c r="AU2620" s="86" t="str">
        <f>+IF($AG2620=AU$22,MONTH($D2620),"")</f>
        <v/>
      </c>
      <c r="AV2620" s="86">
        <f>+IF($AG2620=AV$22,MONTH($D2620),"")</f>
        <v>4</v>
      </c>
      <c r="AW2620" s="86" t="str">
        <f>+IF($AG2620=AW$22,MONTH($D2620),"")</f>
        <v/>
      </c>
      <c r="AX2620" s="86" t="str">
        <f>+IF($AG2620=AX$22,MONTH($D2620),"")</f>
        <v/>
      </c>
      <c r="AY2620" s="89"/>
      <c r="AZ2620" s="89"/>
      <c r="BA2620" s="89"/>
      <c r="BB2620" s="89"/>
      <c r="BC2620" s="89"/>
      <c r="BD2620" s="89"/>
      <c r="BE2620" s="89"/>
      <c r="BF2620" s="89"/>
      <c r="BG2620" s="89"/>
      <c r="BH2620" s="89"/>
      <c r="BI2620" s="89"/>
      <c r="BJ2620" s="182"/>
      <c r="BK2620" s="182"/>
      <c r="BL2620" s="182"/>
      <c r="BM2620" s="182"/>
      <c r="BN2620" s="182"/>
      <c r="BO2620" s="182"/>
      <c r="BP2620" s="182"/>
    </row>
    <row r="2621" spans="1:68" s="51" customFormat="1" ht="19.5" hidden="1" customHeight="1">
      <c r="A2621" s="204">
        <f>+IFERROR(VALUE(MID(AB2621,4,4)),"")</f>
        <v>50</v>
      </c>
      <c r="B2621" s="204">
        <f>VALUE(RIGHT(C2621,LEN(C2621)-2))</f>
        <v>110</v>
      </c>
      <c r="C2621" s="74" t="s">
        <v>8885</v>
      </c>
      <c r="D2621" s="75">
        <v>41026</v>
      </c>
      <c r="E2621" s="68" t="s">
        <v>2961</v>
      </c>
      <c r="F2621" s="68" t="s">
        <v>8886</v>
      </c>
      <c r="G2621" s="68" t="s">
        <v>2370</v>
      </c>
      <c r="H2621" s="69"/>
      <c r="I2621" s="69" t="s">
        <v>8887</v>
      </c>
      <c r="J2621" s="81"/>
      <c r="K2621" s="71" t="s">
        <v>24</v>
      </c>
      <c r="L2621" s="69" t="s">
        <v>120</v>
      </c>
      <c r="M2621" s="69" t="s">
        <v>141</v>
      </c>
      <c r="N2621" s="69" t="e" vm="1">
        <v>#VALUE!</v>
      </c>
      <c r="O2621" s="82">
        <v>41001</v>
      </c>
      <c r="P2621" s="69" t="s">
        <v>4567</v>
      </c>
      <c r="Q2621" s="69"/>
      <c r="R2621" s="69"/>
      <c r="S2621" s="146"/>
      <c r="T2621" s="68" t="s">
        <v>3</v>
      </c>
      <c r="U2621" s="87"/>
      <c r="V2621" s="183">
        <v>41001</v>
      </c>
      <c r="W2621" s="73">
        <f>42.5*52</f>
        <v>2210</v>
      </c>
      <c r="X2621" s="216">
        <f>1.3*W2621*22500/1000000</f>
        <v>64.642499999999998</v>
      </c>
      <c r="Y2621" s="73">
        <f>IF(SUM(W2621:W2621)&gt;0,X2621/SUM(W2621:W2621)*1000000,"N/A")</f>
        <v>29250</v>
      </c>
      <c r="Z2621" s="70"/>
      <c r="AA2621" s="70"/>
      <c r="AB2621" s="223" t="s">
        <v>8888</v>
      </c>
      <c r="AC2621" s="75"/>
      <c r="AD2621" s="332"/>
      <c r="AE2621" s="68"/>
      <c r="AF2621" s="148"/>
      <c r="AG2621" s="182">
        <f>YEAR(D2621)</f>
        <v>2012</v>
      </c>
      <c r="AH2621" s="86" t="str">
        <f>+IF(AE2621=$AJ$22,MONTH(T2621),"")</f>
        <v/>
      </c>
      <c r="AI2621" s="86" t="str">
        <f>+IF(AF2621=$AJ$22,MONTH(U2621),"")</f>
        <v/>
      </c>
      <c r="AJ2621" s="86" t="str">
        <f>+IF(AG2621=$AJ$22,MONTH(V2621),"")</f>
        <v/>
      </c>
      <c r="AK2621" s="86" t="str">
        <f>+IF(AG2621=$AK$22,MONTH(V2621),"")</f>
        <v/>
      </c>
      <c r="AL2621" s="86" t="str">
        <f>+IF(AG2621=$AL$22,MONTH(V2621),"")</f>
        <v/>
      </c>
      <c r="AM2621" s="86" t="str">
        <f>+IF($AG2621=$AM$22,MONTH($D2621),"")</f>
        <v/>
      </c>
      <c r="AN2621" s="89" t="str">
        <f>+IF($AG2621=AN$22,MONTH($D2621),"")</f>
        <v/>
      </c>
      <c r="AO2621" s="86" t="str">
        <f>+IF($AG2621=AO$22,MONTH($D2621),"")</f>
        <v/>
      </c>
      <c r="AP2621" s="86" t="str">
        <f>+IF($AG2621=AP$22,MONTH($D2621),"")</f>
        <v/>
      </c>
      <c r="AQ2621" s="86" t="str">
        <f>+IF($AG2621=AQ$22,MONTH($D2621),"")</f>
        <v/>
      </c>
      <c r="AR2621" s="86" t="str">
        <f>+IF($AG2621=AR$22,MONTH($D2621),"")</f>
        <v/>
      </c>
      <c r="AS2621" s="86" t="str">
        <f>+IF($AG2621=AS$22,MONTH($D2621),"")</f>
        <v/>
      </c>
      <c r="AT2621" s="86" t="str">
        <f>+IF($AG2621=AT$22,MONTH($D2621),"")</f>
        <v/>
      </c>
      <c r="AU2621" s="86" t="str">
        <f>+IF($AG2621=AU$22,MONTH($D2621),"")</f>
        <v/>
      </c>
      <c r="AV2621" s="86">
        <f>+IF($AG2621=AV$22,MONTH($D2621),"")</f>
        <v>4</v>
      </c>
      <c r="AW2621" s="86" t="str">
        <f>+IF($AG2621=AW$22,MONTH($D2621),"")</f>
        <v/>
      </c>
      <c r="AX2621" s="86" t="str">
        <f>+IF($AG2621=AX$22,MONTH($D2621),"")</f>
        <v/>
      </c>
      <c r="AY2621" s="89"/>
      <c r="AZ2621" s="89"/>
      <c r="BA2621" s="89"/>
      <c r="BB2621" s="89"/>
      <c r="BC2621" s="89"/>
      <c r="BD2621" s="89"/>
      <c r="BE2621" s="89"/>
      <c r="BF2621" s="89"/>
      <c r="BG2621" s="89"/>
      <c r="BH2621" s="89"/>
      <c r="BI2621" s="89"/>
      <c r="BJ2621" s="182"/>
      <c r="BK2621" s="182"/>
      <c r="BL2621" s="182"/>
      <c r="BM2621" s="182"/>
      <c r="BN2621" s="182"/>
      <c r="BO2621" s="182"/>
      <c r="BP2621" s="182"/>
    </row>
    <row r="2622" spans="1:68" s="51" customFormat="1" ht="19.5" hidden="1" customHeight="1">
      <c r="A2622" s="204">
        <f>+IFERROR(VALUE(MID(AB2622,4,4)),"")</f>
        <v>48</v>
      </c>
      <c r="B2622" s="204">
        <f>VALUE(RIGHT(C2622,LEN(C2622)-2))</f>
        <v>109</v>
      </c>
      <c r="C2622" s="74" t="s">
        <v>8889</v>
      </c>
      <c r="D2622" s="75">
        <v>40995</v>
      </c>
      <c r="E2622" s="68" t="s">
        <v>2961</v>
      </c>
      <c r="F2622" s="68"/>
      <c r="G2622" s="68" t="s">
        <v>2370</v>
      </c>
      <c r="H2622" s="69"/>
      <c r="I2622" s="69" t="s">
        <v>8890</v>
      </c>
      <c r="J2622" s="81"/>
      <c r="K2622" s="71" t="s">
        <v>24</v>
      </c>
      <c r="L2622" s="69" t="s">
        <v>120</v>
      </c>
      <c r="M2622" s="69" t="s">
        <v>141</v>
      </c>
      <c r="N2622" s="69" t="e" vm="1">
        <v>#VALUE!</v>
      </c>
      <c r="O2622" s="82">
        <v>40994</v>
      </c>
      <c r="P2622" s="69" t="s">
        <v>4567</v>
      </c>
      <c r="Q2622" s="69"/>
      <c r="R2622" s="69"/>
      <c r="S2622" s="146"/>
      <c r="T2622" s="68" t="s">
        <v>3</v>
      </c>
      <c r="U2622" s="87"/>
      <c r="V2622" s="183">
        <v>41001</v>
      </c>
      <c r="W2622" s="73">
        <f>42.5*2</f>
        <v>85</v>
      </c>
      <c r="X2622" s="216">
        <f>W2622*1.1*22500/1000000</f>
        <v>2.1037500000000007</v>
      </c>
      <c r="Y2622" s="73">
        <f>IF(SUM(W2622:W2622)&gt;0,X2622/SUM(W2622:W2622)*1000000,"N/A")</f>
        <v>24750.000000000007</v>
      </c>
      <c r="Z2622" s="70"/>
      <c r="AA2622" s="70"/>
      <c r="AB2622" s="223" t="s">
        <v>8891</v>
      </c>
      <c r="AC2622" s="75"/>
      <c r="AD2622" s="332"/>
      <c r="AE2622" s="68"/>
      <c r="AF2622" s="148"/>
      <c r="AG2622" s="182">
        <f>YEAR(D2622)</f>
        <v>2012</v>
      </c>
      <c r="AH2622" s="86" t="str">
        <f>+IF(AE2622=$AJ$22,MONTH(T2622),"")</f>
        <v/>
      </c>
      <c r="AI2622" s="86" t="str">
        <f>+IF(AF2622=$AJ$22,MONTH(U2622),"")</f>
        <v/>
      </c>
      <c r="AJ2622" s="86" t="str">
        <f>+IF(AG2622=$AJ$22,MONTH(V2622),"")</f>
        <v/>
      </c>
      <c r="AK2622" s="86" t="str">
        <f>+IF(AG2622=$AK$22,MONTH(V2622),"")</f>
        <v/>
      </c>
      <c r="AL2622" s="86" t="str">
        <f>+IF(AG2622=$AL$22,MONTH(V2622),"")</f>
        <v/>
      </c>
      <c r="AM2622" s="86" t="str">
        <f>+IF($AG2622=$AM$22,MONTH($D2622),"")</f>
        <v/>
      </c>
      <c r="AN2622" s="89" t="str">
        <f>+IF($AG2622=AN$22,MONTH($D2622),"")</f>
        <v/>
      </c>
      <c r="AO2622" s="86" t="str">
        <f>+IF($AG2622=AO$22,MONTH($D2622),"")</f>
        <v/>
      </c>
      <c r="AP2622" s="86" t="str">
        <f>+IF($AG2622=AP$22,MONTH($D2622),"")</f>
        <v/>
      </c>
      <c r="AQ2622" s="86" t="str">
        <f>+IF($AG2622=AQ$22,MONTH($D2622),"")</f>
        <v/>
      </c>
      <c r="AR2622" s="86" t="str">
        <f>+IF($AG2622=AR$22,MONTH($D2622),"")</f>
        <v/>
      </c>
      <c r="AS2622" s="86" t="str">
        <f>+IF($AG2622=AS$22,MONTH($D2622),"")</f>
        <v/>
      </c>
      <c r="AT2622" s="86" t="str">
        <f>+IF($AG2622=AT$22,MONTH($D2622),"")</f>
        <v/>
      </c>
      <c r="AU2622" s="86" t="str">
        <f>+IF($AG2622=AU$22,MONTH($D2622),"")</f>
        <v/>
      </c>
      <c r="AV2622" s="86">
        <f>+IF($AG2622=AV$22,MONTH($D2622),"")</f>
        <v>3</v>
      </c>
      <c r="AW2622" s="86"/>
      <c r="AX2622" s="86"/>
      <c r="AY2622" s="89"/>
      <c r="AZ2622" s="89"/>
      <c r="BA2622" s="89"/>
      <c r="BB2622" s="89"/>
      <c r="BC2622" s="89"/>
      <c r="BD2622" s="89"/>
      <c r="BE2622" s="89"/>
      <c r="BF2622" s="89"/>
      <c r="BG2622" s="89"/>
      <c r="BH2622" s="89"/>
      <c r="BI2622" s="89"/>
      <c r="BJ2622" s="182"/>
      <c r="BK2622" s="182"/>
      <c r="BL2622" s="182"/>
      <c r="BM2622" s="182"/>
      <c r="BN2622" s="182"/>
      <c r="BO2622" s="182"/>
      <c r="BP2622" s="182"/>
    </row>
    <row r="2623" spans="1:68" s="51" customFormat="1" ht="19.5" hidden="1" customHeight="1">
      <c r="A2623" s="204">
        <f>+IFERROR(VALUE(MID(AB2623,4,4)),"")</f>
        <v>53</v>
      </c>
      <c r="B2623" s="204">
        <f>VALUE(RIGHT(C2623,LEN(C2623)-2))</f>
        <v>108</v>
      </c>
      <c r="C2623" s="74" t="s">
        <v>8892</v>
      </c>
      <c r="D2623" s="75">
        <v>40995</v>
      </c>
      <c r="E2623" s="68" t="s">
        <v>2961</v>
      </c>
      <c r="F2623" s="70" t="s">
        <v>394</v>
      </c>
      <c r="G2623" s="68" t="s">
        <v>8727</v>
      </c>
      <c r="H2623" s="69"/>
      <c r="I2623" s="69" t="s">
        <v>8893</v>
      </c>
      <c r="J2623" s="81"/>
      <c r="K2623" s="71" t="s">
        <v>24</v>
      </c>
      <c r="L2623" s="69" t="s">
        <v>120</v>
      </c>
      <c r="M2623" s="69" t="s">
        <v>141</v>
      </c>
      <c r="N2623" s="69" t="e" vm="1">
        <v>#VALUE!</v>
      </c>
      <c r="O2623" s="82">
        <v>40994</v>
      </c>
      <c r="P2623" s="69" t="s">
        <v>4567</v>
      </c>
      <c r="Q2623" s="69"/>
      <c r="R2623" s="69"/>
      <c r="S2623" s="146"/>
      <c r="T2623" s="68" t="s">
        <v>3</v>
      </c>
      <c r="U2623" s="87"/>
      <c r="V2623" s="183">
        <v>41001</v>
      </c>
      <c r="W2623" s="73">
        <f>42.5*3</f>
        <v>127.5</v>
      </c>
      <c r="X2623" s="216">
        <f>128*1.1*22500/1000000</f>
        <v>3.1680000000000006</v>
      </c>
      <c r="Y2623" s="73">
        <f>IF(SUM(W2623:W2623)&gt;0,X2623/SUM(W2623:W2623)*1000000,"N/A")</f>
        <v>24847.058823529416</v>
      </c>
      <c r="Z2623" s="70"/>
      <c r="AA2623" s="70"/>
      <c r="AB2623" s="223" t="s">
        <v>8894</v>
      </c>
      <c r="AC2623" s="75"/>
      <c r="AD2623" s="332"/>
      <c r="AE2623" s="68"/>
      <c r="AF2623" s="148"/>
      <c r="AG2623" s="182">
        <f>YEAR(D2623)</f>
        <v>2012</v>
      </c>
      <c r="AH2623" s="86" t="str">
        <f>+IF(AE2623=$AJ$22,MONTH(T2623),"")</f>
        <v/>
      </c>
      <c r="AI2623" s="86" t="str">
        <f>+IF(AF2623=$AJ$22,MONTH(U2623),"")</f>
        <v/>
      </c>
      <c r="AJ2623" s="86" t="str">
        <f>+IF(AG2623=$AJ$22,MONTH(V2623),"")</f>
        <v/>
      </c>
      <c r="AK2623" s="86" t="str">
        <f>+IF(AG2623=$AK$22,MONTH(V2623),"")</f>
        <v/>
      </c>
      <c r="AL2623" s="86" t="str">
        <f>+IF(AG2623=$AL$22,MONTH(V2623),"")</f>
        <v/>
      </c>
      <c r="AM2623" s="86" t="str">
        <f>+IF($AG2623=$AM$22,MONTH($D2623),"")</f>
        <v/>
      </c>
      <c r="AN2623" s="89" t="str">
        <f>+IF($AG2623=AN$22,MONTH($D2623),"")</f>
        <v/>
      </c>
      <c r="AO2623" s="86" t="str">
        <f>+IF($AG2623=AO$22,MONTH($D2623),"")</f>
        <v/>
      </c>
      <c r="AP2623" s="86" t="str">
        <f>+IF($AG2623=AP$22,MONTH($D2623),"")</f>
        <v/>
      </c>
      <c r="AQ2623" s="86" t="str">
        <f>+IF($AG2623=AQ$22,MONTH($D2623),"")</f>
        <v/>
      </c>
      <c r="AR2623" s="86" t="str">
        <f>+IF($AG2623=AR$22,MONTH($D2623),"")</f>
        <v/>
      </c>
      <c r="AS2623" s="86" t="str">
        <f>+IF($AG2623=AS$22,MONTH($D2623),"")</f>
        <v/>
      </c>
      <c r="AT2623" s="86" t="str">
        <f>+IF($AG2623=AT$22,MONTH($D2623),"")</f>
        <v/>
      </c>
      <c r="AU2623" s="86" t="str">
        <f>+IF($AG2623=AU$22,MONTH($D2623),"")</f>
        <v/>
      </c>
      <c r="AV2623" s="86">
        <f>+IF($AG2623=AV$22,MONTH($D2623),"")</f>
        <v>3</v>
      </c>
      <c r="AW2623" s="86" t="str">
        <f>+IF($AG2623=AW$22,MONTH($D2623),"")</f>
        <v/>
      </c>
      <c r="AX2623" s="86" t="str">
        <f>+IF($AG2623=AX$22,MONTH($D2623),"")</f>
        <v/>
      </c>
      <c r="AY2623" s="89"/>
      <c r="AZ2623" s="89"/>
      <c r="BA2623" s="89"/>
      <c r="BB2623" s="89"/>
      <c r="BC2623" s="89"/>
      <c r="BD2623" s="89"/>
      <c r="BE2623" s="89"/>
      <c r="BF2623" s="89"/>
      <c r="BG2623" s="89"/>
      <c r="BH2623" s="89"/>
      <c r="BI2623" s="89"/>
      <c r="BJ2623" s="182"/>
      <c r="BK2623" s="182"/>
      <c r="BL2623" s="182"/>
      <c r="BM2623" s="182"/>
      <c r="BN2623" s="182"/>
      <c r="BO2623" s="182"/>
      <c r="BP2623" s="182"/>
    </row>
    <row r="2624" spans="1:68" s="51" customFormat="1" ht="19.5" hidden="1" customHeight="1">
      <c r="A2624" s="204">
        <f>+IFERROR(VALUE(MID(AB2624,4,4)),"")</f>
        <v>47</v>
      </c>
      <c r="B2624" s="204">
        <f>VALUE(RIGHT(C2624,LEN(C2624)-2))</f>
        <v>107</v>
      </c>
      <c r="C2624" s="74" t="s">
        <v>8895</v>
      </c>
      <c r="D2624" s="75">
        <v>40981</v>
      </c>
      <c r="E2624" s="68" t="s">
        <v>2961</v>
      </c>
      <c r="F2624" s="68" t="s">
        <v>53</v>
      </c>
      <c r="G2624" s="68" t="s">
        <v>8896</v>
      </c>
      <c r="H2624" s="69"/>
      <c r="I2624" s="69" t="s">
        <v>8897</v>
      </c>
      <c r="J2624" s="81"/>
      <c r="K2624" s="71" t="s">
        <v>24</v>
      </c>
      <c r="L2624" s="69" t="s">
        <v>120</v>
      </c>
      <c r="M2624" s="69" t="s">
        <v>141</v>
      </c>
      <c r="N2624" s="69" t="e" vm="1">
        <v>#VALUE!</v>
      </c>
      <c r="O2624" s="82">
        <v>40983</v>
      </c>
      <c r="P2624" s="69" t="s">
        <v>4567</v>
      </c>
      <c r="Q2624" s="69"/>
      <c r="R2624" s="69"/>
      <c r="S2624" s="146"/>
      <c r="T2624" s="68" t="s">
        <v>3</v>
      </c>
      <c r="U2624" s="87"/>
      <c r="V2624" s="183">
        <v>40983</v>
      </c>
      <c r="W2624" s="73">
        <v>7893</v>
      </c>
      <c r="X2624" s="216">
        <f>7971*22400/1000000</f>
        <v>178.5504</v>
      </c>
      <c r="Y2624" s="73">
        <f>IF(SUM(W2624:W2624)&gt;0,X2624/SUM(W2624:W2624)*1000000,"N/A")</f>
        <v>22621.360699353856</v>
      </c>
      <c r="Z2624" s="70"/>
      <c r="AA2624" s="70"/>
      <c r="AB2624" s="65" t="s">
        <v>8898</v>
      </c>
      <c r="AC2624" s="75"/>
      <c r="AD2624" s="332"/>
      <c r="AE2624" s="68"/>
      <c r="AF2624" s="148"/>
      <c r="AG2624" s="182">
        <f>YEAR(D2624)</f>
        <v>2012</v>
      </c>
      <c r="AH2624" s="86" t="str">
        <f>+IF(AE2624=$AJ$22,MONTH(T2624),"")</f>
        <v/>
      </c>
      <c r="AI2624" s="86" t="str">
        <f>+IF(AF2624=$AJ$22,MONTH(U2624),"")</f>
        <v/>
      </c>
      <c r="AJ2624" s="86" t="str">
        <f>+IF(AG2624=$AJ$22,MONTH(V2624),"")</f>
        <v/>
      </c>
      <c r="AK2624" s="86" t="str">
        <f>+IF(AG2624=$AK$22,MONTH(V2624),"")</f>
        <v/>
      </c>
      <c r="AL2624" s="86" t="str">
        <f>+IF(AG2624=$AL$22,MONTH(V2624),"")</f>
        <v/>
      </c>
      <c r="AM2624" s="86" t="str">
        <f>+IF($AG2624=$AM$22,MONTH($D2624),"")</f>
        <v/>
      </c>
      <c r="AN2624" s="89" t="str">
        <f>+IF($AG2624=AN$22,MONTH($D2624),"")</f>
        <v/>
      </c>
      <c r="AO2624" s="86" t="str">
        <f>+IF($AG2624=AO$22,MONTH($D2624),"")</f>
        <v/>
      </c>
      <c r="AP2624" s="86" t="str">
        <f>+IF($AG2624=AP$22,MONTH($D2624),"")</f>
        <v/>
      </c>
      <c r="AQ2624" s="86" t="str">
        <f>+IF($AG2624=AQ$22,MONTH($D2624),"")</f>
        <v/>
      </c>
      <c r="AR2624" s="86" t="str">
        <f>+IF($AG2624=AR$22,MONTH($D2624),"")</f>
        <v/>
      </c>
      <c r="AS2624" s="86" t="str">
        <f>+IF($AG2624=AS$22,MONTH($D2624),"")</f>
        <v/>
      </c>
      <c r="AT2624" s="86" t="str">
        <f>+IF($AG2624=AT$22,MONTH($D2624),"")</f>
        <v/>
      </c>
      <c r="AU2624" s="86" t="str">
        <f>+IF($AG2624=AU$22,MONTH($D2624),"")</f>
        <v/>
      </c>
      <c r="AV2624" s="86">
        <f>+IF($AG2624=AV$22,MONTH($D2624),"")</f>
        <v>3</v>
      </c>
      <c r="AW2624" s="86"/>
      <c r="AX2624" s="86"/>
      <c r="AY2624" s="89"/>
      <c r="AZ2624" s="89"/>
      <c r="BA2624" s="89"/>
      <c r="BB2624" s="89"/>
      <c r="BC2624" s="89"/>
      <c r="BD2624" s="89"/>
      <c r="BE2624" s="89"/>
      <c r="BF2624" s="89"/>
      <c r="BG2624" s="89"/>
      <c r="BH2624" s="89"/>
      <c r="BI2624" s="89"/>
      <c r="BJ2624" s="182"/>
      <c r="BK2624" s="182"/>
      <c r="BL2624" s="182"/>
      <c r="BM2624" s="182"/>
      <c r="BN2624" s="182"/>
      <c r="BO2624" s="182"/>
      <c r="BP2624" s="182"/>
    </row>
    <row r="2625" spans="1:68" s="51" customFormat="1" ht="19.5" hidden="1" customHeight="1">
      <c r="A2625" s="204" t="str">
        <f>+IFERROR(VALUE(MID(AB2625,4,4)),"")</f>
        <v/>
      </c>
      <c r="B2625" s="204">
        <f>VALUE(RIGHT(C2625,LEN(C2625)-2))</f>
        <v>106</v>
      </c>
      <c r="C2625" s="74" t="s">
        <v>8899</v>
      </c>
      <c r="D2625" s="75">
        <v>40976</v>
      </c>
      <c r="E2625" s="68" t="s">
        <v>68</v>
      </c>
      <c r="F2625" s="70" t="s">
        <v>1379</v>
      </c>
      <c r="G2625" s="68" t="s">
        <v>8900</v>
      </c>
      <c r="H2625" s="69"/>
      <c r="I2625" s="69" t="s">
        <v>8901</v>
      </c>
      <c r="J2625" s="81"/>
      <c r="K2625" s="71" t="s">
        <v>123</v>
      </c>
      <c r="L2625" s="69" t="s">
        <v>120</v>
      </c>
      <c r="M2625" s="69" t="s">
        <v>141</v>
      </c>
      <c r="N2625" s="69" t="e" vm="1">
        <v>#VALUE!</v>
      </c>
      <c r="O2625" s="82">
        <v>40976</v>
      </c>
      <c r="P2625" s="69" t="s">
        <v>4567</v>
      </c>
      <c r="Q2625" s="69"/>
      <c r="R2625" s="69"/>
      <c r="S2625" s="146"/>
      <c r="T2625" s="68" t="s">
        <v>165</v>
      </c>
      <c r="U2625" s="87"/>
      <c r="V2625" s="183">
        <v>40983</v>
      </c>
      <c r="W2625" s="73">
        <v>351</v>
      </c>
      <c r="X2625" s="216">
        <f>998*22400/1000000</f>
        <v>22.3552</v>
      </c>
      <c r="Y2625" s="73">
        <f>IF(SUM(W2625:W2625)&gt;0,X2625/SUM(W2625:W2625)*1000000,"N/A")</f>
        <v>63690.028490028482</v>
      </c>
      <c r="Z2625" s="70"/>
      <c r="AA2625" s="70"/>
      <c r="AB2625" s="223"/>
      <c r="AC2625" s="75"/>
      <c r="AD2625" s="332"/>
      <c r="AE2625" s="68"/>
      <c r="AF2625" s="148"/>
      <c r="AG2625" s="182">
        <f>YEAR(D2625)</f>
        <v>2012</v>
      </c>
      <c r="AH2625" s="86" t="str">
        <f>+IF(AE2625=$AJ$22,MONTH(T2625),"")</f>
        <v/>
      </c>
      <c r="AI2625" s="86" t="str">
        <f>+IF(AF2625=$AJ$22,MONTH(U2625),"")</f>
        <v/>
      </c>
      <c r="AJ2625" s="86" t="str">
        <f>+IF(AG2625=$AJ$22,MONTH(V2625),"")</f>
        <v/>
      </c>
      <c r="AK2625" s="86" t="str">
        <f>+IF(AG2625=$AK$22,MONTH(V2625),"")</f>
        <v/>
      </c>
      <c r="AL2625" s="86" t="str">
        <f>+IF(AG2625=$AL$22,MONTH(V2625),"")</f>
        <v/>
      </c>
      <c r="AM2625" s="86" t="str">
        <f>+IF($AG2625=$AM$22,MONTH($D2625),"")</f>
        <v/>
      </c>
      <c r="AN2625" s="89" t="str">
        <f>+IF($AG2625=AN$22,MONTH($D2625),"")</f>
        <v/>
      </c>
      <c r="AO2625" s="184" t="str">
        <f>+IF($AG2625=AO$22,MONTH($D2625),"")</f>
        <v/>
      </c>
      <c r="AP2625" s="184" t="str">
        <f>+IF($AG2625=AP$22,MONTH($D2625),"")</f>
        <v/>
      </c>
      <c r="AQ2625" s="184" t="str">
        <f>+IF($AG2625=AQ$22,MONTH($D2625),"")</f>
        <v/>
      </c>
      <c r="AR2625" s="184" t="str">
        <f>+IF($AG2625=AR$22,MONTH($D2625),"")</f>
        <v/>
      </c>
      <c r="AS2625" s="184" t="str">
        <f>+IF($AG2625=AS$22,MONTH($D2625),"")</f>
        <v/>
      </c>
      <c r="AT2625" s="86" t="str">
        <f>+IF($AG2625=AT$22,MONTH($D2625),"")</f>
        <v/>
      </c>
      <c r="AU2625" s="86" t="str">
        <f>+IF($AG2625=AU$22,MONTH($D2625),"")</f>
        <v/>
      </c>
      <c r="AV2625" s="86">
        <f>+IF($AG2625=AV$22,MONTH($D2625),"")</f>
        <v>3</v>
      </c>
      <c r="AW2625" s="86"/>
      <c r="AX2625" s="86"/>
      <c r="AY2625" s="89"/>
      <c r="AZ2625" s="89"/>
      <c r="BA2625" s="89"/>
      <c r="BB2625" s="89"/>
      <c r="BC2625" s="89"/>
      <c r="BD2625" s="89"/>
      <c r="BE2625" s="89"/>
      <c r="BF2625" s="89"/>
      <c r="BG2625" s="89"/>
      <c r="BH2625" s="89"/>
      <c r="BI2625" s="89"/>
      <c r="BJ2625" s="182"/>
      <c r="BK2625" s="182"/>
      <c r="BL2625" s="182"/>
      <c r="BM2625" s="182"/>
      <c r="BN2625" s="182"/>
      <c r="BO2625" s="182"/>
      <c r="BP2625" s="182"/>
    </row>
    <row r="2626" spans="1:68" s="51" customFormat="1" ht="19.5" hidden="1" customHeight="1">
      <c r="A2626" s="204" t="str">
        <f>+IFERROR(VALUE(MID(AB2626,4,4)),"")</f>
        <v/>
      </c>
      <c r="B2626" s="204">
        <f>VALUE(RIGHT(C2626,LEN(C2626)-2))</f>
        <v>105</v>
      </c>
      <c r="C2626" s="74" t="s">
        <v>8902</v>
      </c>
      <c r="D2626" s="75">
        <v>40973</v>
      </c>
      <c r="E2626" s="70" t="s">
        <v>53</v>
      </c>
      <c r="F2626" s="70" t="s">
        <v>313</v>
      </c>
      <c r="G2626" s="68" t="s">
        <v>8903</v>
      </c>
      <c r="H2626" s="69"/>
      <c r="I2626" s="69" t="s">
        <v>8904</v>
      </c>
      <c r="J2626" s="81"/>
      <c r="K2626" s="71" t="s">
        <v>16</v>
      </c>
      <c r="L2626" s="69" t="s">
        <v>120</v>
      </c>
      <c r="M2626" s="69" t="s">
        <v>141</v>
      </c>
      <c r="N2626" s="69" t="e" vm="1">
        <v>#VALUE!</v>
      </c>
      <c r="O2626" s="82">
        <v>40973</v>
      </c>
      <c r="P2626" s="69" t="s">
        <v>4567</v>
      </c>
      <c r="Q2626" s="69"/>
      <c r="R2626" s="69"/>
      <c r="S2626" s="146" t="s">
        <v>8905</v>
      </c>
      <c r="T2626" s="68" t="s">
        <v>165</v>
      </c>
      <c r="U2626" s="87"/>
      <c r="V2626" s="183">
        <v>40983</v>
      </c>
      <c r="W2626" s="73">
        <v>1345</v>
      </c>
      <c r="X2626" s="216">
        <f>2380*22400/1000000</f>
        <v>53.311999999999998</v>
      </c>
      <c r="Y2626" s="73">
        <f>IF(SUM(W2626:W2626)&gt;0,X2626/SUM(W2626:W2626)*1000000,"N/A")</f>
        <v>39637.174721189593</v>
      </c>
      <c r="Z2626" s="70"/>
      <c r="AA2626" s="70"/>
      <c r="AB2626" s="223"/>
      <c r="AC2626" s="75"/>
      <c r="AD2626" s="332"/>
      <c r="AE2626" s="68"/>
      <c r="AF2626" s="148"/>
      <c r="AG2626" s="182">
        <f>YEAR(D2626)</f>
        <v>2012</v>
      </c>
      <c r="AH2626" s="86" t="str">
        <f>+IF(AE2626=$AJ$22,MONTH(T2626),"")</f>
        <v/>
      </c>
      <c r="AI2626" s="86" t="str">
        <f>+IF(AF2626=$AJ$22,MONTH(U2626),"")</f>
        <v/>
      </c>
      <c r="AJ2626" s="86" t="str">
        <f>+IF(AG2626=$AJ$22,MONTH(V2626),"")</f>
        <v/>
      </c>
      <c r="AK2626" s="86" t="str">
        <f>+IF(AG2626=$AK$22,MONTH(V2626),"")</f>
        <v/>
      </c>
      <c r="AL2626" s="86" t="str">
        <f>+IF(AG2626=$AL$22,MONTH(V2626),"")</f>
        <v/>
      </c>
      <c r="AM2626" s="86" t="str">
        <f>+IF($AG2626=$AM$22,MONTH($D2626),"")</f>
        <v/>
      </c>
      <c r="AN2626" s="89" t="str">
        <f>+IF($AG2626=AN$22,MONTH($D2626),"")</f>
        <v/>
      </c>
      <c r="AO2626" s="184" t="str">
        <f>+IF($AG2626=AO$22,MONTH($D2626),"")</f>
        <v/>
      </c>
      <c r="AP2626" s="184" t="str">
        <f>+IF($AG2626=AP$22,MONTH($D2626),"")</f>
        <v/>
      </c>
      <c r="AQ2626" s="184" t="str">
        <f>+IF($AG2626=AQ$22,MONTH($D2626),"")</f>
        <v/>
      </c>
      <c r="AR2626" s="184" t="str">
        <f>+IF($AG2626=AR$22,MONTH($D2626),"")</f>
        <v/>
      </c>
      <c r="AS2626" s="184" t="str">
        <f>+IF($AG2626=AS$22,MONTH($D2626),"")</f>
        <v/>
      </c>
      <c r="AT2626" s="86" t="str">
        <f>+IF($AG2626=AT$22,MONTH($D2626),"")</f>
        <v/>
      </c>
      <c r="AU2626" s="86" t="str">
        <f>+IF($AG2626=AU$22,MONTH($D2626),"")</f>
        <v/>
      </c>
      <c r="AV2626" s="86">
        <f>+IF($AG2626=AV$22,MONTH($D2626),"")</f>
        <v>3</v>
      </c>
      <c r="AW2626" s="86"/>
      <c r="AX2626" s="86"/>
      <c r="AY2626" s="89"/>
      <c r="AZ2626" s="89"/>
      <c r="BA2626" s="89"/>
      <c r="BB2626" s="89"/>
      <c r="BC2626" s="89"/>
      <c r="BD2626" s="89"/>
      <c r="BE2626" s="89"/>
      <c r="BF2626" s="89"/>
      <c r="BG2626" s="89"/>
      <c r="BH2626" s="89"/>
      <c r="BI2626" s="89"/>
      <c r="BJ2626" s="182"/>
      <c r="BK2626" s="182"/>
      <c r="BL2626" s="182"/>
      <c r="BM2626" s="182"/>
      <c r="BN2626" s="182"/>
      <c r="BO2626" s="182"/>
      <c r="BP2626" s="182"/>
    </row>
    <row r="2627" spans="1:68" s="51" customFormat="1" ht="19.5" hidden="1" customHeight="1">
      <c r="A2627" s="204">
        <f>+IFERROR(VALUE(MID(AB2627,4,4)),"")</f>
        <v>52</v>
      </c>
      <c r="B2627" s="204">
        <f>VALUE(RIGHT(C2627,LEN(C2627)-2))</f>
        <v>104</v>
      </c>
      <c r="C2627" s="74" t="s">
        <v>8906</v>
      </c>
      <c r="D2627" s="75">
        <v>40969</v>
      </c>
      <c r="E2627" s="68" t="s">
        <v>62</v>
      </c>
      <c r="F2627" s="70" t="s">
        <v>313</v>
      </c>
      <c r="G2627" s="68" t="s">
        <v>8907</v>
      </c>
      <c r="H2627" s="69"/>
      <c r="I2627" s="69" t="s">
        <v>8908</v>
      </c>
      <c r="J2627" s="81"/>
      <c r="K2627" s="71" t="s">
        <v>12</v>
      </c>
      <c r="L2627" s="69" t="s">
        <v>120</v>
      </c>
      <c r="M2627" s="69" t="s">
        <v>141</v>
      </c>
      <c r="N2627" s="69" t="e" vm="1">
        <v>#VALUE!</v>
      </c>
      <c r="O2627" s="82">
        <v>40969</v>
      </c>
      <c r="P2627" s="69" t="s">
        <v>4567</v>
      </c>
      <c r="Q2627" s="69"/>
      <c r="R2627" s="69"/>
      <c r="S2627" s="146"/>
      <c r="T2627" s="68" t="s">
        <v>3</v>
      </c>
      <c r="U2627" s="87"/>
      <c r="V2627" s="183">
        <v>40983</v>
      </c>
      <c r="W2627" s="73">
        <v>735</v>
      </c>
      <c r="X2627" s="216">
        <f>1554*22400/1000000</f>
        <v>34.809600000000003</v>
      </c>
      <c r="Y2627" s="73">
        <f>IF(SUM(W2627:W2627)&gt;0,X2627/SUM(W2627:W2627)*1000000,"N/A")</f>
        <v>47360.000000000007</v>
      </c>
      <c r="Z2627" s="70"/>
      <c r="AA2627" s="70"/>
      <c r="AB2627" s="223" t="s">
        <v>8909</v>
      </c>
      <c r="AC2627" s="75"/>
      <c r="AD2627" s="332"/>
      <c r="AE2627" s="68"/>
      <c r="AF2627" s="148"/>
      <c r="AG2627" s="89">
        <f>YEAR(D2627)</f>
        <v>2012</v>
      </c>
      <c r="AH2627" s="86" t="str">
        <f>+IF(AE2627=$AJ$22,MONTH(T2627),"")</f>
        <v/>
      </c>
      <c r="AI2627" s="86" t="str">
        <f>+IF(AF2627=$AJ$22,MONTH(U2627),"")</f>
        <v/>
      </c>
      <c r="AJ2627" s="86" t="str">
        <f>+IF(AG2627=$AJ$22,MONTH(V2627),"")</f>
        <v/>
      </c>
      <c r="AK2627" s="86" t="str">
        <f>+IF(AG2627=$AK$22,MONTH(V2627),"")</f>
        <v/>
      </c>
      <c r="AL2627" s="86" t="str">
        <f>+IF(AG2627=$AL$22,MONTH(V2627),"")</f>
        <v/>
      </c>
      <c r="AM2627" s="86" t="str">
        <f>+IF($AG2627=$AM$22,MONTH($D2627),"")</f>
        <v/>
      </c>
      <c r="AN2627" s="89" t="str">
        <f>+IF($AG2627=AN$22,MONTH($D2627),"")</f>
        <v/>
      </c>
      <c r="AO2627" s="86" t="str">
        <f>+IF($AG2627=AO$22,MONTH($D2627),"")</f>
        <v/>
      </c>
      <c r="AP2627" s="86" t="str">
        <f>+IF($AG2627=AP$22,MONTH($D2627),"")</f>
        <v/>
      </c>
      <c r="AQ2627" s="86" t="str">
        <f>+IF($AG2627=AQ$22,MONTH($D2627),"")</f>
        <v/>
      </c>
      <c r="AR2627" s="86" t="str">
        <f>+IF($AG2627=AR$22,MONTH($D2627),"")</f>
        <v/>
      </c>
      <c r="AS2627" s="86" t="str">
        <f>+IF($AG2627=AS$22,MONTH($D2627),"")</f>
        <v/>
      </c>
      <c r="AT2627" s="86" t="str">
        <f>+IF($AG2627=AT$22,MONTH($D2627),"")</f>
        <v/>
      </c>
      <c r="AU2627" s="86" t="str">
        <f>+IF($AG2627=AU$22,MONTH($D2627),"")</f>
        <v/>
      </c>
      <c r="AV2627" s="86">
        <f>+IF($AG2627=AV$22,MONTH($D2627),"")</f>
        <v>3</v>
      </c>
      <c r="AW2627" s="86"/>
      <c r="AX2627" s="86"/>
      <c r="AY2627" s="89"/>
      <c r="AZ2627" s="89"/>
      <c r="BA2627" s="89"/>
      <c r="BB2627" s="89"/>
      <c r="BC2627" s="89"/>
      <c r="BD2627" s="89"/>
      <c r="BE2627" s="89"/>
      <c r="BF2627" s="89"/>
      <c r="BG2627" s="89"/>
      <c r="BH2627" s="89"/>
      <c r="BI2627" s="89"/>
      <c r="BJ2627" s="182"/>
      <c r="BK2627" s="182"/>
      <c r="BL2627" s="182"/>
      <c r="BM2627" s="182"/>
      <c r="BN2627" s="182"/>
      <c r="BO2627" s="182"/>
      <c r="BP2627" s="182"/>
    </row>
    <row r="2628" spans="1:68" s="51" customFormat="1" ht="19.5" hidden="1" customHeight="1">
      <c r="A2628" s="204" t="str">
        <f>+IFERROR(VALUE(MID(AB2628,4,4)),"")</f>
        <v/>
      </c>
      <c r="B2628" s="204">
        <f>VALUE(RIGHT(C2628,LEN(C2628)-2))</f>
        <v>103</v>
      </c>
      <c r="C2628" s="74" t="s">
        <v>8910</v>
      </c>
      <c r="D2628" s="75">
        <v>40954</v>
      </c>
      <c r="E2628" s="70" t="s">
        <v>15</v>
      </c>
      <c r="F2628" s="68" t="s">
        <v>8911</v>
      </c>
      <c r="G2628" s="68" t="s">
        <v>8872</v>
      </c>
      <c r="H2628" s="69"/>
      <c r="I2628" s="69" t="s">
        <v>8912</v>
      </c>
      <c r="J2628" s="81"/>
      <c r="K2628" s="71" t="s">
        <v>13</v>
      </c>
      <c r="L2628" s="69" t="s">
        <v>120</v>
      </c>
      <c r="M2628" s="69" t="s">
        <v>113</v>
      </c>
      <c r="N2628" s="69" t="e" vm="2">
        <v>#VALUE!</v>
      </c>
      <c r="O2628" s="82">
        <v>40924</v>
      </c>
      <c r="P2628" s="69" t="s">
        <v>402</v>
      </c>
      <c r="Q2628" s="69"/>
      <c r="R2628" s="69"/>
      <c r="S2628" s="146" t="s">
        <v>8913</v>
      </c>
      <c r="T2628" s="68" t="s">
        <v>165</v>
      </c>
      <c r="U2628" s="87"/>
      <c r="V2628" s="183">
        <v>41506</v>
      </c>
      <c r="W2628" s="73">
        <v>2685</v>
      </c>
      <c r="X2628" s="216">
        <f>437150*280/1000000</f>
        <v>122.402</v>
      </c>
      <c r="Y2628" s="73">
        <f>IF(SUM(W2628:W2628)&gt;0,X2628/SUM(W2628:W2628)*1000000,"N/A")</f>
        <v>45587.337057728117</v>
      </c>
      <c r="Z2628" s="70"/>
      <c r="AA2628" s="70"/>
      <c r="AB2628" s="223"/>
      <c r="AC2628" s="75"/>
      <c r="AD2628" s="332"/>
      <c r="AE2628" s="68"/>
      <c r="AF2628" s="148"/>
      <c r="AG2628" s="182">
        <f>YEAR(D2628)</f>
        <v>2012</v>
      </c>
      <c r="AH2628" s="86" t="str">
        <f>+IF(AE2628=$AJ$22,MONTH(T2628),"")</f>
        <v/>
      </c>
      <c r="AI2628" s="86" t="str">
        <f>+IF(AF2628=$AJ$22,MONTH(U2628),"")</f>
        <v/>
      </c>
      <c r="AJ2628" s="86" t="str">
        <f>+IF(AG2628=$AJ$22,MONTH(V2628),"")</f>
        <v/>
      </c>
      <c r="AK2628" s="86" t="str">
        <f>+IF(AG2628=$AK$22,MONTH(V2628),"")</f>
        <v/>
      </c>
      <c r="AL2628" s="86" t="str">
        <f>+IF(AG2628=$AL$22,MONTH(V2628),"")</f>
        <v/>
      </c>
      <c r="AM2628" s="86" t="str">
        <f>+IF($AG2628=$AM$22,MONTH($D2628),"")</f>
        <v/>
      </c>
      <c r="AN2628" s="89" t="str">
        <f>+IF($AG2628=AN$22,MONTH($D2628),"")</f>
        <v/>
      </c>
      <c r="AO2628" s="184" t="str">
        <f>+IF($AG2628=AO$22,MONTH($D2628),"")</f>
        <v/>
      </c>
      <c r="AP2628" s="184" t="str">
        <f>+IF($AG2628=AP$22,MONTH($D2628),"")</f>
        <v/>
      </c>
      <c r="AQ2628" s="184" t="str">
        <f>+IF($AG2628=AQ$22,MONTH($D2628),"")</f>
        <v/>
      </c>
      <c r="AR2628" s="184" t="str">
        <f>+IF($AG2628=AR$22,MONTH($D2628),"")</f>
        <v/>
      </c>
      <c r="AS2628" s="184" t="str">
        <f>+IF($AG2628=AS$22,MONTH($D2628),"")</f>
        <v/>
      </c>
      <c r="AT2628" s="86" t="str">
        <f>+IF($AG2628=AT$22,MONTH($D2628),"")</f>
        <v/>
      </c>
      <c r="AU2628" s="86" t="str">
        <f>+IF($AG2628=AU$22,MONTH($D2628),"")</f>
        <v/>
      </c>
      <c r="AV2628" s="86">
        <f>+IF($AG2628=AV$22,MONTH($D2628),"")</f>
        <v>2</v>
      </c>
      <c r="AW2628" s="86" t="str">
        <f>+IF($AG2628=AW$22,MONTH($D2628),"")</f>
        <v/>
      </c>
      <c r="AX2628" s="86" t="str">
        <f>+IF($AG2628=AX$22,MONTH($D2628),"")</f>
        <v/>
      </c>
      <c r="AY2628" s="182"/>
      <c r="AZ2628" s="182"/>
      <c r="BA2628" s="182"/>
      <c r="BB2628" s="182"/>
      <c r="BC2628" s="182"/>
      <c r="BD2628" s="182"/>
      <c r="BE2628" s="182"/>
      <c r="BF2628" s="182"/>
      <c r="BG2628" s="182"/>
      <c r="BH2628" s="182"/>
      <c r="BI2628" s="182"/>
      <c r="BJ2628" s="182"/>
      <c r="BK2628" s="182"/>
      <c r="BL2628" s="182"/>
      <c r="BM2628" s="182"/>
      <c r="BN2628" s="182"/>
      <c r="BO2628" s="182"/>
      <c r="BP2628" s="182"/>
    </row>
    <row r="2629" spans="1:68" s="51" customFormat="1" ht="19.5" hidden="1" customHeight="1">
      <c r="A2629" s="204" t="str">
        <f>+IFERROR(VALUE(MID(AB2629,4,4)),"")</f>
        <v/>
      </c>
      <c r="B2629" s="204">
        <f>VALUE(RIGHT(C2629,LEN(C2629)-2))</f>
        <v>102</v>
      </c>
      <c r="C2629" s="74" t="s">
        <v>8914</v>
      </c>
      <c r="D2629" s="75">
        <v>40948</v>
      </c>
      <c r="E2629" s="68" t="s">
        <v>479</v>
      </c>
      <c r="F2629" s="70" t="s">
        <v>479</v>
      </c>
      <c r="G2629" s="68" t="s">
        <v>8915</v>
      </c>
      <c r="H2629" s="69"/>
      <c r="I2629" s="69" t="s">
        <v>8916</v>
      </c>
      <c r="J2629" s="81"/>
      <c r="K2629" s="71" t="s">
        <v>12</v>
      </c>
      <c r="L2629" s="69" t="s">
        <v>120</v>
      </c>
      <c r="M2629" s="69" t="s">
        <v>113</v>
      </c>
      <c r="N2629" s="69" t="e" vm="2">
        <v>#VALUE!</v>
      </c>
      <c r="O2629" s="82">
        <v>40952</v>
      </c>
      <c r="P2629" s="69" t="s">
        <v>402</v>
      </c>
      <c r="Q2629" s="69"/>
      <c r="R2629" s="69"/>
      <c r="S2629" s="146"/>
      <c r="T2629" s="68" t="s">
        <v>165</v>
      </c>
      <c r="U2629" s="87"/>
      <c r="V2629" s="183">
        <v>40955</v>
      </c>
      <c r="W2629" s="73">
        <v>2955</v>
      </c>
      <c r="X2629" s="216">
        <f>280*417370/1000000</f>
        <v>116.86360000000001</v>
      </c>
      <c r="Y2629" s="73">
        <f>IF(SUM(W2629:W2629)&gt;0,X2629/SUM(W2629:W2629)*1000000,"N/A")</f>
        <v>39547.749576988157</v>
      </c>
      <c r="Z2629" s="70"/>
      <c r="AA2629" s="70"/>
      <c r="AB2629" s="223"/>
      <c r="AC2629" s="75"/>
      <c r="AD2629" s="332"/>
      <c r="AE2629" s="68"/>
      <c r="AF2629" s="148"/>
      <c r="AG2629" s="182">
        <f>YEAR(D2629)</f>
        <v>2012</v>
      </c>
      <c r="AH2629" s="86" t="str">
        <f>+IF(AE2629=$AJ$22,MONTH(T2629),"")</f>
        <v/>
      </c>
      <c r="AI2629" s="86" t="str">
        <f>+IF(AF2629=$AJ$22,MONTH(U2629),"")</f>
        <v/>
      </c>
      <c r="AJ2629" s="86" t="str">
        <f>+IF(AG2629=$AJ$22,MONTH(V2629),"")</f>
        <v/>
      </c>
      <c r="AK2629" s="86" t="str">
        <f>+IF(AG2629=$AK$22,MONTH(V2629),"")</f>
        <v/>
      </c>
      <c r="AL2629" s="86" t="str">
        <f>+IF(AG2629=$AL$22,MONTH(V2629),"")</f>
        <v/>
      </c>
      <c r="AM2629" s="86" t="str">
        <f>+IF($AG2629=$AM$22,MONTH($D2629),"")</f>
        <v/>
      </c>
      <c r="AN2629" s="89" t="str">
        <f>+IF($AG2629=AN$22,MONTH($D2629),"")</f>
        <v/>
      </c>
      <c r="AO2629" s="184" t="str">
        <f>+IF($AG2629=AO$22,MONTH($D2629),"")</f>
        <v/>
      </c>
      <c r="AP2629" s="184" t="str">
        <f>+IF($AG2629=AP$22,MONTH($D2629),"")</f>
        <v/>
      </c>
      <c r="AQ2629" s="184" t="str">
        <f>+IF($AG2629=AQ$22,MONTH($D2629),"")</f>
        <v/>
      </c>
      <c r="AR2629" s="184" t="str">
        <f>+IF($AG2629=AR$22,MONTH($D2629),"")</f>
        <v/>
      </c>
      <c r="AS2629" s="184" t="str">
        <f>+IF($AG2629=AS$22,MONTH($D2629),"")</f>
        <v/>
      </c>
      <c r="AT2629" s="86" t="str">
        <f>+IF($AG2629=AT$22,MONTH($D2629),"")</f>
        <v/>
      </c>
      <c r="AU2629" s="86" t="str">
        <f>+IF($AG2629=AU$22,MONTH($D2629),"")</f>
        <v/>
      </c>
      <c r="AV2629" s="86">
        <f>+IF($AG2629=AV$22,MONTH($D2629),"")</f>
        <v>2</v>
      </c>
      <c r="AW2629" s="86"/>
      <c r="AX2629" s="86"/>
      <c r="AY2629" s="89"/>
      <c r="AZ2629" s="89"/>
      <c r="BA2629" s="89"/>
      <c r="BB2629" s="89"/>
      <c r="BC2629" s="89"/>
      <c r="BD2629" s="89"/>
      <c r="BE2629" s="89"/>
      <c r="BF2629" s="89"/>
      <c r="BG2629" s="89"/>
      <c r="BH2629" s="89"/>
      <c r="BI2629" s="89"/>
      <c r="BJ2629" s="182"/>
      <c r="BK2629" s="182"/>
      <c r="BL2629" s="182"/>
      <c r="BM2629" s="182"/>
      <c r="BN2629" s="182"/>
      <c r="BO2629" s="182"/>
      <c r="BP2629" s="182"/>
    </row>
    <row r="2630" spans="1:68" s="51" customFormat="1" ht="19.5" hidden="1" customHeight="1">
      <c r="A2630" s="204">
        <f>+IFERROR(VALUE(MID(AB2630,4,4)),"")</f>
        <v>95</v>
      </c>
      <c r="B2630" s="204">
        <f>VALUE(RIGHT(C2630,LEN(C2630)-2))</f>
        <v>101</v>
      </c>
      <c r="C2630" s="74" t="s">
        <v>8917</v>
      </c>
      <c r="D2630" s="75">
        <v>40948</v>
      </c>
      <c r="E2630" s="68" t="s">
        <v>35</v>
      </c>
      <c r="F2630" s="68" t="s">
        <v>3742</v>
      </c>
      <c r="G2630" s="68" t="s">
        <v>8918</v>
      </c>
      <c r="H2630" s="69"/>
      <c r="I2630" s="69" t="s">
        <v>8919</v>
      </c>
      <c r="J2630" s="81"/>
      <c r="K2630" s="71" t="s">
        <v>25</v>
      </c>
      <c r="L2630" s="69" t="s">
        <v>120</v>
      </c>
      <c r="M2630" s="69" t="s">
        <v>113</v>
      </c>
      <c r="N2630" s="69" t="e" vm="2">
        <v>#VALUE!</v>
      </c>
      <c r="O2630" s="82">
        <v>40948</v>
      </c>
      <c r="P2630" s="69" t="s">
        <v>402</v>
      </c>
      <c r="Q2630" s="69"/>
      <c r="R2630" s="69"/>
      <c r="S2630" s="146"/>
      <c r="T2630" s="68" t="s">
        <v>3</v>
      </c>
      <c r="U2630" s="87"/>
      <c r="V2630" s="183">
        <v>40955</v>
      </c>
      <c r="W2630" s="73">
        <f>170*3</f>
        <v>510</v>
      </c>
      <c r="X2630" s="216">
        <f>150000*280/1000000</f>
        <v>42</v>
      </c>
      <c r="Y2630" s="73">
        <f>IF(SUM(W2630:W2630)&gt;0,X2630/SUM(W2630:W2630)*1000000,"N/A")</f>
        <v>82352.941176470587</v>
      </c>
      <c r="Z2630" s="70"/>
      <c r="AA2630" s="70"/>
      <c r="AB2630" s="223" t="s">
        <v>8920</v>
      </c>
      <c r="AC2630" s="75"/>
      <c r="AD2630" s="332"/>
      <c r="AE2630" s="68"/>
      <c r="AF2630" s="148"/>
      <c r="AG2630" s="182">
        <f>YEAR(D2630)</f>
        <v>2012</v>
      </c>
      <c r="AH2630" s="86" t="str">
        <f>+IF(AE2630=$AJ$22,MONTH(T2630),"")</f>
        <v/>
      </c>
      <c r="AI2630" s="86" t="str">
        <f>+IF(AF2630=$AJ$22,MONTH(U2630),"")</f>
        <v/>
      </c>
      <c r="AJ2630" s="86" t="str">
        <f>+IF(AG2630=$AJ$22,MONTH(V2630),"")</f>
        <v/>
      </c>
      <c r="AK2630" s="86" t="str">
        <f>+IF(AG2630=$AK$22,MONTH(V2630),"")</f>
        <v/>
      </c>
      <c r="AL2630" s="86" t="str">
        <f>+IF(AG2630=$AL$22,MONTH(V2630),"")</f>
        <v/>
      </c>
      <c r="AM2630" s="86" t="str">
        <f>+IF($AG2630=$AM$22,MONTH($D2630),"")</f>
        <v/>
      </c>
      <c r="AN2630" s="89" t="str">
        <f>+IF($AG2630=AN$22,MONTH($D2630),"")</f>
        <v/>
      </c>
      <c r="AO2630" s="86" t="str">
        <f>+IF($AG2630=AO$22,MONTH($D2630),"")</f>
        <v/>
      </c>
      <c r="AP2630" s="86" t="str">
        <f>+IF($AG2630=AP$22,MONTH($D2630),"")</f>
        <v/>
      </c>
      <c r="AQ2630" s="86" t="str">
        <f>+IF($AG2630=AQ$22,MONTH($D2630),"")</f>
        <v/>
      </c>
      <c r="AR2630" s="86" t="str">
        <f>+IF($AG2630=AR$22,MONTH($D2630),"")</f>
        <v/>
      </c>
      <c r="AS2630" s="86" t="str">
        <f>+IF($AG2630=AS$22,MONTH($D2630),"")</f>
        <v/>
      </c>
      <c r="AT2630" s="86" t="str">
        <f>+IF($AG2630=AT$22,MONTH($D2630),"")</f>
        <v/>
      </c>
      <c r="AU2630" s="86" t="str">
        <f>+IF($AG2630=AU$22,MONTH($D2630),"")</f>
        <v/>
      </c>
      <c r="AV2630" s="86">
        <f>+IF($AG2630=AV$22,MONTH($D2630),"")</f>
        <v>2</v>
      </c>
      <c r="AW2630" s="86"/>
      <c r="AX2630" s="86"/>
      <c r="AY2630" s="89"/>
      <c r="AZ2630" s="89"/>
      <c r="BA2630" s="89"/>
      <c r="BB2630" s="89"/>
      <c r="BC2630" s="89"/>
      <c r="BD2630" s="89"/>
      <c r="BE2630" s="89"/>
      <c r="BF2630" s="89"/>
      <c r="BG2630" s="89"/>
      <c r="BH2630" s="89"/>
      <c r="BI2630" s="89"/>
      <c r="BJ2630" s="182"/>
      <c r="BK2630" s="182"/>
      <c r="BL2630" s="182"/>
      <c r="BM2630" s="182"/>
      <c r="BN2630" s="182"/>
      <c r="BO2630" s="182"/>
      <c r="BP2630" s="182"/>
    </row>
    <row r="2631" spans="1:68" s="51" customFormat="1" ht="19.5" hidden="1" customHeight="1">
      <c r="A2631" s="204" t="str">
        <f>+IFERROR(VALUE(MID(AB2631,4,4)),"")</f>
        <v/>
      </c>
      <c r="B2631" s="204">
        <f>VALUE(RIGHT(C2631,LEN(C2631)-2))</f>
        <v>100</v>
      </c>
      <c r="C2631" s="74" t="s">
        <v>8921</v>
      </c>
      <c r="D2631" s="75">
        <v>40940</v>
      </c>
      <c r="E2631" s="68" t="s">
        <v>8848</v>
      </c>
      <c r="F2631" s="70" t="s">
        <v>479</v>
      </c>
      <c r="G2631" s="68" t="s">
        <v>8849</v>
      </c>
      <c r="H2631" s="69"/>
      <c r="I2631" s="69" t="s">
        <v>8922</v>
      </c>
      <c r="J2631" s="81"/>
      <c r="K2631" s="71" t="s">
        <v>14</v>
      </c>
      <c r="L2631" s="69" t="s">
        <v>120</v>
      </c>
      <c r="M2631" s="69" t="s">
        <v>113</v>
      </c>
      <c r="N2631" s="69" t="e" vm="2">
        <v>#VALUE!</v>
      </c>
      <c r="O2631" s="82">
        <v>40946</v>
      </c>
      <c r="P2631" s="69" t="s">
        <v>402</v>
      </c>
      <c r="Q2631" s="69"/>
      <c r="R2631" s="69"/>
      <c r="S2631" s="146"/>
      <c r="T2631" s="68" t="s">
        <v>165</v>
      </c>
      <c r="U2631" s="87"/>
      <c r="V2631" s="183">
        <v>40955</v>
      </c>
      <c r="W2631" s="73">
        <v>3717</v>
      </c>
      <c r="X2631" s="216">
        <f>529615*280/1000000</f>
        <v>148.29220000000001</v>
      </c>
      <c r="Y2631" s="73">
        <f>IF(SUM(W2631:W2631)&gt;0,X2631/SUM(W2631:W2631)*1000000,"N/A")</f>
        <v>39895.668549905837</v>
      </c>
      <c r="Z2631" s="70"/>
      <c r="AA2631" s="70"/>
      <c r="AB2631" s="223"/>
      <c r="AC2631" s="75"/>
      <c r="AD2631" s="332"/>
      <c r="AE2631" s="68"/>
      <c r="AF2631" s="148"/>
      <c r="AG2631" s="182">
        <f>YEAR(D2631)</f>
        <v>2012</v>
      </c>
      <c r="AH2631" s="86" t="str">
        <f>+IF(AE2631=$AJ$22,MONTH(T2631),"")</f>
        <v/>
      </c>
      <c r="AI2631" s="86" t="str">
        <f>+IF(AF2631=$AJ$22,MONTH(U2631),"")</f>
        <v/>
      </c>
      <c r="AJ2631" s="86" t="str">
        <f>+IF(AG2631=$AJ$22,MONTH(V2631),"")</f>
        <v/>
      </c>
      <c r="AK2631" s="86" t="str">
        <f>+IF(AG2631=$AK$22,MONTH(V2631),"")</f>
        <v/>
      </c>
      <c r="AL2631" s="86" t="str">
        <f>+IF(AG2631=$AL$22,MONTH(V2631),"")</f>
        <v/>
      </c>
      <c r="AM2631" s="86" t="str">
        <f>+IF($AG2631=$AM$22,MONTH($D2631),"")</f>
        <v/>
      </c>
      <c r="AN2631" s="89" t="str">
        <f>+IF($AG2631=AN$22,MONTH($D2631),"")</f>
        <v/>
      </c>
      <c r="AO2631" s="184" t="str">
        <f>+IF($AG2631=AO$22,MONTH($D2631),"")</f>
        <v/>
      </c>
      <c r="AP2631" s="184" t="str">
        <f>+IF($AG2631=AP$22,MONTH($D2631),"")</f>
        <v/>
      </c>
      <c r="AQ2631" s="184" t="str">
        <f>+IF($AG2631=AQ$22,MONTH($D2631),"")</f>
        <v/>
      </c>
      <c r="AR2631" s="184" t="str">
        <f>+IF($AG2631=AR$22,MONTH($D2631),"")</f>
        <v/>
      </c>
      <c r="AS2631" s="184" t="str">
        <f>+IF($AG2631=AS$22,MONTH($D2631),"")</f>
        <v/>
      </c>
      <c r="AT2631" s="86" t="str">
        <f>+IF($AG2631=AT$22,MONTH($D2631),"")</f>
        <v/>
      </c>
      <c r="AU2631" s="86" t="str">
        <f>+IF($AG2631=AU$22,MONTH($D2631),"")</f>
        <v/>
      </c>
      <c r="AV2631" s="86">
        <f>+IF($AG2631=AV$22,MONTH($D2631),"")</f>
        <v>2</v>
      </c>
      <c r="AW2631" s="86" t="str">
        <f>+IF($AG2631=AW$22,MONTH($D2631),"")</f>
        <v/>
      </c>
      <c r="AX2631" s="86" t="str">
        <f>+IF($AG2631=AX$22,MONTH($D2631),"")</f>
        <v/>
      </c>
      <c r="AY2631" s="89"/>
      <c r="AZ2631" s="89"/>
      <c r="BA2631" s="89"/>
      <c r="BB2631" s="89"/>
      <c r="BC2631" s="89"/>
      <c r="BD2631" s="89"/>
      <c r="BE2631" s="89"/>
      <c r="BF2631" s="89"/>
      <c r="BG2631" s="89"/>
      <c r="BH2631" s="89"/>
      <c r="BI2631" s="89"/>
      <c r="BJ2631" s="182"/>
      <c r="BK2631" s="182"/>
      <c r="BL2631" s="182"/>
      <c r="BM2631" s="182"/>
      <c r="BN2631" s="182"/>
      <c r="BO2631" s="182"/>
      <c r="BP2631" s="182"/>
    </row>
    <row r="2632" spans="1:68" s="51" customFormat="1" ht="19.5" hidden="1" customHeight="1">
      <c r="A2632" s="204" t="str">
        <f>+IFERROR(VALUE(MID(AB2632,4,4)),"")</f>
        <v/>
      </c>
      <c r="B2632" s="204">
        <f>VALUE(RIGHT(C2632,LEN(C2632)-2))</f>
        <v>99</v>
      </c>
      <c r="C2632" s="74" t="s">
        <v>8923</v>
      </c>
      <c r="D2632" s="75">
        <v>40940</v>
      </c>
      <c r="E2632" s="70" t="s">
        <v>8848</v>
      </c>
      <c r="F2632" s="70" t="s">
        <v>479</v>
      </c>
      <c r="G2632" s="68" t="s">
        <v>8849</v>
      </c>
      <c r="H2632" s="59"/>
      <c r="I2632" s="162" t="s">
        <v>8924</v>
      </c>
      <c r="J2632" s="272"/>
      <c r="K2632" s="71" t="s">
        <v>14</v>
      </c>
      <c r="L2632" s="69" t="s">
        <v>120</v>
      </c>
      <c r="M2632" s="69" t="s">
        <v>113</v>
      </c>
      <c r="N2632" s="69" t="e" vm="2">
        <v>#VALUE!</v>
      </c>
      <c r="O2632" s="164">
        <v>40946</v>
      </c>
      <c r="P2632" s="72" t="s">
        <v>402</v>
      </c>
      <c r="Q2632" s="72"/>
      <c r="R2632" s="162"/>
      <c r="S2632" s="146"/>
      <c r="T2632" s="68" t="s">
        <v>165</v>
      </c>
      <c r="U2632" s="87"/>
      <c r="V2632" s="183">
        <v>40955</v>
      </c>
      <c r="W2632" s="73">
        <v>3378</v>
      </c>
      <c r="X2632" s="73">
        <f>438640*280/1000000</f>
        <v>122.8192</v>
      </c>
      <c r="Y2632" s="73">
        <f>IF(SUM(W2632:W2632)&gt;0,X2632/SUM(W2632:W2632)*1000000,"N/A")</f>
        <v>36358.555358200116</v>
      </c>
      <c r="Z2632" s="183"/>
      <c r="AA2632" s="183"/>
      <c r="AB2632" s="223"/>
      <c r="AC2632" s="153"/>
      <c r="AD2632" s="331"/>
      <c r="AE2632" s="57"/>
      <c r="AF2632" s="151" t="s">
        <v>8925</v>
      </c>
      <c r="AG2632" s="182">
        <f>YEAR(D2632)</f>
        <v>2012</v>
      </c>
      <c r="AH2632" s="86" t="str">
        <f>+IF(AE2632=$AJ$22,MONTH(T2632),"")</f>
        <v/>
      </c>
      <c r="AI2632" s="86" t="str">
        <f>+IF(AF2632=$AJ$22,MONTH(U2632),"")</f>
        <v/>
      </c>
      <c r="AJ2632" s="86" t="str">
        <f>+IF(AG2632=$AJ$22,MONTH(V2632),"")</f>
        <v/>
      </c>
      <c r="AK2632" s="86" t="str">
        <f>+IF(AG2632=$AK$22,MONTH(V2632),"")</f>
        <v/>
      </c>
      <c r="AL2632" s="86" t="str">
        <f>+IF(AG2632=$AL$22,MONTH(V2632),"")</f>
        <v/>
      </c>
      <c r="AM2632" s="86" t="str">
        <f>+IF($AG2632=$AM$22,MONTH($D2632),"")</f>
        <v/>
      </c>
      <c r="AN2632" s="89" t="str">
        <f>+IF($AG2632=AN$22,MONTH($D2632),"")</f>
        <v/>
      </c>
      <c r="AO2632" s="184" t="str">
        <f>+IF($AG2632=AO$22,MONTH($D2632),"")</f>
        <v/>
      </c>
      <c r="AP2632" s="184" t="str">
        <f>+IF($AG2632=AP$22,MONTH($D2632),"")</f>
        <v/>
      </c>
      <c r="AQ2632" s="184" t="str">
        <f>+IF($AG2632=AQ$22,MONTH($D2632),"")</f>
        <v/>
      </c>
      <c r="AR2632" s="184" t="str">
        <f>+IF($AG2632=AR$22,MONTH($D2632),"")</f>
        <v/>
      </c>
      <c r="AS2632" s="184" t="str">
        <f>+IF($AG2632=AS$22,MONTH($D2632),"")</f>
        <v/>
      </c>
      <c r="AT2632" s="86" t="str">
        <f>+IF($AG2632=AT$22,MONTH($D2632),"")</f>
        <v/>
      </c>
      <c r="AU2632" s="86" t="str">
        <f>+IF($AG2632=AU$22,MONTH($D2632),"")</f>
        <v/>
      </c>
      <c r="AV2632" s="86">
        <f>+IF($AG2632=AV$22,MONTH($D2632),"")</f>
        <v>2</v>
      </c>
      <c r="AW2632" s="86" t="str">
        <f>+IF($AG2632=AW$22,MONTH($D2632),"")</f>
        <v/>
      </c>
      <c r="AX2632" s="86" t="str">
        <f>+IF($AG2632=AX$22,MONTH($D2632),"")</f>
        <v/>
      </c>
      <c r="AY2632" s="182"/>
      <c r="AZ2632" s="2"/>
      <c r="BA2632" s="2"/>
      <c r="BB2632" s="2"/>
      <c r="BC2632" s="2">
        <v>1</v>
      </c>
      <c r="BD2632" s="2">
        <f>IF(T2632="pg",1,0)</f>
        <v>0</v>
      </c>
      <c r="BE2632" s="2">
        <f>IF(T2632="dp",1,0)</f>
        <v>0</v>
      </c>
      <c r="BF2632" s="2">
        <f>IF(T2632="pp",1,0)</f>
        <v>1</v>
      </c>
      <c r="BG2632" s="2">
        <f>IF(T2632="pg",W2632,0)</f>
        <v>0</v>
      </c>
      <c r="BH2632" s="192">
        <f>IF(T2632="pp",W2632,0)</f>
        <v>3378</v>
      </c>
      <c r="BI2632" s="192">
        <f>IF(T2632="dp",W2632,0)</f>
        <v>0</v>
      </c>
      <c r="BJ2632" s="182"/>
      <c r="BK2632" s="182"/>
      <c r="BL2632" s="182"/>
      <c r="BM2632" s="182"/>
      <c r="BN2632" s="182"/>
      <c r="BO2632" s="182"/>
      <c r="BP2632" s="182"/>
    </row>
    <row r="2633" spans="1:68" s="51" customFormat="1" ht="19.5" hidden="1" customHeight="1">
      <c r="A2633" s="204" t="str">
        <f>+IFERROR(VALUE(MID(AB2633,4,4)),"")</f>
        <v/>
      </c>
      <c r="B2633" s="204">
        <f>VALUE(RIGHT(C2633,LEN(C2633)-2))</f>
        <v>98</v>
      </c>
      <c r="C2633" s="74" t="s">
        <v>8926</v>
      </c>
      <c r="D2633" s="75">
        <v>40934</v>
      </c>
      <c r="E2633" s="70" t="s">
        <v>8927</v>
      </c>
      <c r="F2633" s="70" t="s">
        <v>263</v>
      </c>
      <c r="G2633" s="68"/>
      <c r="H2633" s="59"/>
      <c r="I2633" s="162" t="s">
        <v>8928</v>
      </c>
      <c r="J2633" s="272"/>
      <c r="K2633" s="71" t="s">
        <v>30</v>
      </c>
      <c r="L2633" s="69" t="s">
        <v>120</v>
      </c>
      <c r="M2633" s="69" t="s">
        <v>141</v>
      </c>
      <c r="N2633" s="69" t="e" vm="1">
        <v>#VALUE!</v>
      </c>
      <c r="O2633" s="164">
        <v>40913</v>
      </c>
      <c r="P2633" s="72" t="s">
        <v>4567</v>
      </c>
      <c r="Q2633" s="72"/>
      <c r="R2633" s="162"/>
      <c r="S2633" s="146"/>
      <c r="T2633" s="68" t="s">
        <v>165</v>
      </c>
      <c r="U2633" s="87"/>
      <c r="V2633" s="183">
        <v>40932</v>
      </c>
      <c r="W2633" s="73">
        <v>1298</v>
      </c>
      <c r="X2633" s="73">
        <f>2292*22300/1000000</f>
        <v>51.111600000000003</v>
      </c>
      <c r="Y2633" s="73">
        <f>IF(SUM(W2633:W2633)&gt;0,X2633/SUM(W2633:W2633)*1000000,"N/A")</f>
        <v>39377.195685670267</v>
      </c>
      <c r="Z2633" s="183"/>
      <c r="AA2633" s="183"/>
      <c r="AB2633" s="223"/>
      <c r="AC2633" s="153"/>
      <c r="AD2633" s="331"/>
      <c r="AE2633" s="57"/>
      <c r="AF2633" s="151" t="s">
        <v>8925</v>
      </c>
      <c r="AG2633" s="182">
        <f>YEAR(D2633)</f>
        <v>2012</v>
      </c>
      <c r="AH2633" s="86" t="str">
        <f>+IF(AE2633=$AJ$22,MONTH(T2633),"")</f>
        <v/>
      </c>
      <c r="AI2633" s="86" t="str">
        <f>+IF(AF2633=$AJ$22,MONTH(U2633),"")</f>
        <v/>
      </c>
      <c r="AJ2633" s="86" t="str">
        <f>+IF(AG2633=$AJ$22,MONTH(V2633),"")</f>
        <v/>
      </c>
      <c r="AK2633" s="86" t="str">
        <f>+IF(AG2633=$AK$22,MONTH(V2633),"")</f>
        <v/>
      </c>
      <c r="AL2633" s="86" t="str">
        <f>+IF(AG2633=$AL$22,MONTH(V2633),"")</f>
        <v/>
      </c>
      <c r="AM2633" s="86" t="str">
        <f>+IF($AG2633=$AM$22,MONTH($D2633),"")</f>
        <v/>
      </c>
      <c r="AN2633" s="89" t="str">
        <f>+IF($AG2633=AN$22,MONTH($D2633),"")</f>
        <v/>
      </c>
      <c r="AO2633" s="184" t="str">
        <f>+IF($AG2633=AO$22,MONTH($D2633),"")</f>
        <v/>
      </c>
      <c r="AP2633" s="184" t="str">
        <f>+IF($AG2633=AP$22,MONTH($D2633),"")</f>
        <v/>
      </c>
      <c r="AQ2633" s="184" t="str">
        <f>+IF($AG2633=AQ$22,MONTH($D2633),"")</f>
        <v/>
      </c>
      <c r="AR2633" s="184" t="str">
        <f>+IF($AG2633=AR$22,MONTH($D2633),"")</f>
        <v/>
      </c>
      <c r="AS2633" s="184" t="str">
        <f>+IF($AG2633=AS$22,MONTH($D2633),"")</f>
        <v/>
      </c>
      <c r="AT2633" s="86" t="str">
        <f>+IF($AG2633=AT$22,MONTH($D2633),"")</f>
        <v/>
      </c>
      <c r="AU2633" s="86" t="str">
        <f>+IF($AG2633=AU$22,MONTH($D2633),"")</f>
        <v/>
      </c>
      <c r="AV2633" s="86">
        <f>+IF($AG2633=AV$22,MONTH($D2633),"")</f>
        <v>1</v>
      </c>
      <c r="AW2633" s="86" t="str">
        <f>+IF($AG2633=AW$22,MONTH($D2633),"")</f>
        <v/>
      </c>
      <c r="AX2633" s="86" t="str">
        <f>+IF($AG2633=AX$22,MONTH($D2633),"")</f>
        <v/>
      </c>
      <c r="AY2633" s="182"/>
      <c r="AZ2633" s="2"/>
      <c r="BA2633" s="2"/>
      <c r="BB2633" s="2"/>
      <c r="BC2633" s="2"/>
      <c r="BD2633" s="2">
        <f>IF(T2633="pg",1,0)</f>
        <v>0</v>
      </c>
      <c r="BE2633" s="2">
        <f>IF(T2633="dp",1,0)</f>
        <v>0</v>
      </c>
      <c r="BF2633" s="2">
        <f>IF(T2633="pp",1,0)</f>
        <v>1</v>
      </c>
      <c r="BG2633" s="2">
        <f>IF(T2633="pg",W2633,0)</f>
        <v>0</v>
      </c>
      <c r="BH2633" s="192">
        <f>IF(T2633="pp",W2633,0)</f>
        <v>1298</v>
      </c>
      <c r="BI2633" s="192">
        <f>IF(T2633="dp",W2633,0)</f>
        <v>0</v>
      </c>
      <c r="BJ2633" s="182"/>
      <c r="BK2633" s="182"/>
      <c r="BL2633" s="182"/>
      <c r="BM2633" s="182"/>
      <c r="BN2633" s="182"/>
      <c r="BO2633" s="182"/>
      <c r="BP2633" s="182"/>
    </row>
    <row r="2634" spans="1:68" s="51" customFormat="1" ht="19.5" hidden="1" customHeight="1">
      <c r="A2634" s="204" t="str">
        <f>+IFERROR(VALUE(MID(AB2634,4,4)),"")</f>
        <v/>
      </c>
      <c r="B2634" s="204">
        <f>VALUE(RIGHT(C2634,LEN(C2634)-2))</f>
        <v>97</v>
      </c>
      <c r="C2634" s="74" t="s">
        <v>8929</v>
      </c>
      <c r="D2634" s="75">
        <v>40908</v>
      </c>
      <c r="E2634" s="70" t="s">
        <v>2961</v>
      </c>
      <c r="F2634" s="70" t="s">
        <v>8886</v>
      </c>
      <c r="G2634" s="68"/>
      <c r="H2634" s="59"/>
      <c r="I2634" s="162" t="s">
        <v>8930</v>
      </c>
      <c r="J2634" s="272"/>
      <c r="K2634" s="71" t="s">
        <v>12</v>
      </c>
      <c r="L2634" s="69" t="s">
        <v>120</v>
      </c>
      <c r="M2634" s="69" t="s">
        <v>141</v>
      </c>
      <c r="N2634" s="69" t="e" vm="1">
        <v>#VALUE!</v>
      </c>
      <c r="O2634" s="164">
        <v>40911</v>
      </c>
      <c r="P2634" s="72" t="s">
        <v>4567</v>
      </c>
      <c r="Q2634" s="72"/>
      <c r="R2634" s="162"/>
      <c r="S2634" s="146"/>
      <c r="T2634" s="68" t="s">
        <v>165</v>
      </c>
      <c r="U2634" s="87"/>
      <c r="V2634" s="183">
        <v>40911</v>
      </c>
      <c r="W2634" s="73">
        <v>170</v>
      </c>
      <c r="X2634" s="73">
        <f>419*22200/1000000</f>
        <v>9.3018000000000001</v>
      </c>
      <c r="Y2634" s="73">
        <f>IF(SUM(W2634:W2634)&gt;0,X2634/SUM(W2634:W2634)*1000000,"N/A")</f>
        <v>54716.470588235294</v>
      </c>
      <c r="Z2634" s="183"/>
      <c r="AA2634" s="183"/>
      <c r="AB2634" s="223"/>
      <c r="AC2634" s="153"/>
      <c r="AD2634" s="331"/>
      <c r="AE2634" s="57"/>
      <c r="AF2634" s="151"/>
      <c r="AG2634" s="182">
        <f>YEAR(D2634)</f>
        <v>2011</v>
      </c>
      <c r="AH2634" s="86" t="str">
        <f>+IF(AE2634=$AJ$22,MONTH(T2634),"")</f>
        <v/>
      </c>
      <c r="AI2634" s="86" t="str">
        <f>+IF(AF2634=$AJ$22,MONTH(U2634),"")</f>
        <v/>
      </c>
      <c r="AJ2634" s="86" t="str">
        <f>+IF(AG2634=$AJ$22,MONTH(V2634),"")</f>
        <v/>
      </c>
      <c r="AK2634" s="86" t="str">
        <f>+IF(AG2634=$AK$22,MONTH(V2634),"")</f>
        <v/>
      </c>
      <c r="AL2634" s="86" t="str">
        <f>+IF(AG2634=$AL$22,MONTH(V2634),"")</f>
        <v/>
      </c>
      <c r="AM2634" s="86" t="str">
        <f>+IF($AG2634=$AM$22,MONTH($D2634),"")</f>
        <v/>
      </c>
      <c r="AN2634" s="89" t="str">
        <f>+IF($AG2634=AN$22,MONTH($D2634),"")</f>
        <v/>
      </c>
      <c r="AO2634" s="184" t="str">
        <f>+IF($AG2634=AO$22,MONTH($D2634),"")</f>
        <v/>
      </c>
      <c r="AP2634" s="184" t="str">
        <f>+IF($AG2634=AP$22,MONTH($D2634),"")</f>
        <v/>
      </c>
      <c r="AQ2634" s="184" t="str">
        <f>+IF($AG2634=AQ$22,MONTH($D2634),"")</f>
        <v/>
      </c>
      <c r="AR2634" s="184" t="str">
        <f>+IF($AG2634=AR$22,MONTH($D2634),"")</f>
        <v/>
      </c>
      <c r="AS2634" s="184" t="str">
        <f>+IF($AG2634=AS$22,MONTH($D2634),"")</f>
        <v/>
      </c>
      <c r="AT2634" s="86" t="str">
        <f>+IF($AG2634=AT$22,MONTH($D2634),"")</f>
        <v/>
      </c>
      <c r="AU2634" s="86" t="str">
        <f>+IF($AG2634=AU$22,MONTH($D2634),"")</f>
        <v/>
      </c>
      <c r="AV2634" s="86" t="str">
        <f>+IF($AG2634=AV$22,MONTH($D2634),"")</f>
        <v/>
      </c>
      <c r="AW2634" s="86">
        <f>+IF($AG2634=AW$22,MONTH($D2634),"")</f>
        <v>12</v>
      </c>
      <c r="AX2634" s="86" t="str">
        <f>+IF($AG2634=AX$22,MONTH($D2634),"")</f>
        <v/>
      </c>
      <c r="AY2634" s="182"/>
      <c r="AZ2634" s="2"/>
      <c r="BA2634" s="2"/>
      <c r="BB2634" s="2"/>
      <c r="BC2634" s="2"/>
      <c r="BD2634" s="2"/>
      <c r="BE2634" s="2"/>
      <c r="BF2634" s="2"/>
      <c r="BG2634" s="2"/>
      <c r="BH2634" s="192"/>
      <c r="BI2634" s="192"/>
      <c r="BJ2634" s="182"/>
      <c r="BK2634" s="182"/>
      <c r="BL2634" s="182"/>
      <c r="BM2634" s="182"/>
      <c r="BN2634" s="182"/>
      <c r="BO2634" s="182"/>
      <c r="BP2634" s="182"/>
    </row>
    <row r="2635" spans="1:68" s="51" customFormat="1" ht="19.5" hidden="1" customHeight="1">
      <c r="A2635" s="204">
        <f>+IFERROR(VALUE(MID(AB2635,4,4)),"")</f>
        <v>46</v>
      </c>
      <c r="B2635" s="204">
        <f>VALUE(RIGHT(C2635,LEN(C2635)-2))</f>
        <v>96</v>
      </c>
      <c r="C2635" s="74" t="s">
        <v>8931</v>
      </c>
      <c r="D2635" s="75">
        <v>40903</v>
      </c>
      <c r="E2635" s="70" t="s">
        <v>68</v>
      </c>
      <c r="F2635" s="70" t="s">
        <v>313</v>
      </c>
      <c r="G2635" s="68" t="s">
        <v>8932</v>
      </c>
      <c r="H2635" s="59"/>
      <c r="I2635" s="162" t="s">
        <v>8933</v>
      </c>
      <c r="J2635" s="272"/>
      <c r="K2635" s="71" t="s">
        <v>12</v>
      </c>
      <c r="L2635" s="69" t="s">
        <v>120</v>
      </c>
      <c r="M2635" s="69" t="s">
        <v>141</v>
      </c>
      <c r="N2635" s="69" t="e" vm="1">
        <v>#VALUE!</v>
      </c>
      <c r="O2635" s="164">
        <v>40904</v>
      </c>
      <c r="P2635" s="72" t="s">
        <v>4567</v>
      </c>
      <c r="Q2635" s="72"/>
      <c r="R2635" s="162"/>
      <c r="S2635" s="146"/>
      <c r="T2635" s="68" t="s">
        <v>3</v>
      </c>
      <c r="U2635" s="87"/>
      <c r="V2635" s="183">
        <v>40904</v>
      </c>
      <c r="W2635" s="73">
        <v>443</v>
      </c>
      <c r="X2635" s="73">
        <f>550*22200/1000000</f>
        <v>12.21</v>
      </c>
      <c r="Y2635" s="73">
        <f>IF(SUM(W2635:W2635)&gt;0,X2635/SUM(W2635:W2635)*1000000,"N/A")</f>
        <v>27562.076749435666</v>
      </c>
      <c r="Z2635" s="183"/>
      <c r="AA2635" s="183"/>
      <c r="AB2635" s="223" t="s">
        <v>8934</v>
      </c>
      <c r="AC2635" s="153"/>
      <c r="AD2635" s="331"/>
      <c r="AE2635" s="57"/>
      <c r="AF2635" s="151"/>
      <c r="AG2635" s="182">
        <f>YEAR(D2635)</f>
        <v>2011</v>
      </c>
      <c r="AH2635" s="86" t="str">
        <f>+IF(AE2635=$AJ$22,MONTH(T2635),"")</f>
        <v/>
      </c>
      <c r="AI2635" s="86" t="str">
        <f>+IF(AF2635=$AJ$22,MONTH(U2635),"")</f>
        <v/>
      </c>
      <c r="AJ2635" s="86" t="str">
        <f>+IF(AG2635=$AJ$22,MONTH(V2635),"")</f>
        <v/>
      </c>
      <c r="AK2635" s="86" t="str">
        <f>+IF(AG2635=$AK$22,MONTH(V2635),"")</f>
        <v/>
      </c>
      <c r="AL2635" s="86" t="str">
        <f>+IF(AG2635=$AL$22,MONTH(V2635),"")</f>
        <v/>
      </c>
      <c r="AM2635" s="86" t="str">
        <f>+IF($AG2635=$AM$22,MONTH($D2635),"")</f>
        <v/>
      </c>
      <c r="AN2635" s="89" t="str">
        <f>+IF($AG2635=AN$22,MONTH($D2635),"")</f>
        <v/>
      </c>
      <c r="AO2635" s="86" t="str">
        <f>+IF($AG2635=AO$22,MONTH($D2635),"")</f>
        <v/>
      </c>
      <c r="AP2635" s="86" t="str">
        <f>+IF($AG2635=AP$22,MONTH($D2635),"")</f>
        <v/>
      </c>
      <c r="AQ2635" s="86" t="str">
        <f>+IF($AG2635=AQ$22,MONTH($D2635),"")</f>
        <v/>
      </c>
      <c r="AR2635" s="86" t="str">
        <f>+IF($AG2635=AR$22,MONTH($D2635),"")</f>
        <v/>
      </c>
      <c r="AS2635" s="86" t="str">
        <f>+IF($AG2635=AS$22,MONTH($D2635),"")</f>
        <v/>
      </c>
      <c r="AT2635" s="86" t="str">
        <f>+IF($AG2635=AT$22,MONTH($D2635),"")</f>
        <v/>
      </c>
      <c r="AU2635" s="86" t="str">
        <f>+IF($AG2635=AU$22,MONTH($D2635),"")</f>
        <v/>
      </c>
      <c r="AV2635" s="86" t="str">
        <f>+IF($AG2635=AV$22,MONTH($D2635),"")</f>
        <v/>
      </c>
      <c r="AW2635" s="86">
        <f>+IF($AG2635=AW$22,MONTH($D2635),"")</f>
        <v>12</v>
      </c>
      <c r="AX2635" s="86" t="str">
        <f>+IF($AG2635=AX$22,MONTH($D2635),"")</f>
        <v/>
      </c>
      <c r="AY2635" s="182"/>
      <c r="AZ2635" s="2"/>
      <c r="BA2635" s="2"/>
      <c r="BB2635" s="2"/>
      <c r="BC2635" s="2"/>
      <c r="BD2635" s="2"/>
      <c r="BE2635" s="2"/>
      <c r="BF2635" s="2"/>
      <c r="BG2635" s="2"/>
      <c r="BH2635" s="192"/>
      <c r="BI2635" s="192"/>
      <c r="BJ2635" s="182"/>
      <c r="BK2635" s="182"/>
      <c r="BL2635" s="182"/>
      <c r="BM2635" s="182"/>
      <c r="BN2635" s="182"/>
      <c r="BO2635" s="182"/>
      <c r="BP2635" s="182"/>
    </row>
    <row r="2636" spans="1:68" s="51" customFormat="1" ht="19.5" hidden="1" customHeight="1">
      <c r="A2636" s="204">
        <f>+IFERROR(VALUE(MID(AB2636,4,4)),"")</f>
        <v>45</v>
      </c>
      <c r="B2636" s="204">
        <f>VALUE(RIGHT(C2636,LEN(C2636)-2))</f>
        <v>95</v>
      </c>
      <c r="C2636" s="74" t="s">
        <v>8935</v>
      </c>
      <c r="D2636" s="75">
        <v>40903</v>
      </c>
      <c r="E2636" s="70" t="s">
        <v>68</v>
      </c>
      <c r="F2636" s="70" t="s">
        <v>313</v>
      </c>
      <c r="G2636" s="68" t="s">
        <v>8932</v>
      </c>
      <c r="H2636" s="59"/>
      <c r="I2636" s="162" t="s">
        <v>8936</v>
      </c>
      <c r="J2636" s="272"/>
      <c r="K2636" s="71" t="s">
        <v>12</v>
      </c>
      <c r="L2636" s="69" t="s">
        <v>120</v>
      </c>
      <c r="M2636" s="69" t="s">
        <v>141</v>
      </c>
      <c r="N2636" s="69" t="e" vm="1">
        <v>#VALUE!</v>
      </c>
      <c r="O2636" s="164">
        <v>40903</v>
      </c>
      <c r="P2636" s="72" t="s">
        <v>4567</v>
      </c>
      <c r="Q2636" s="72"/>
      <c r="R2636" s="162"/>
      <c r="S2636" s="146"/>
      <c r="T2636" s="68" t="s">
        <v>3</v>
      </c>
      <c r="U2636" s="87"/>
      <c r="V2636" s="183">
        <v>40904</v>
      </c>
      <c r="W2636" s="73">
        <v>136</v>
      </c>
      <c r="X2636" s="73">
        <f>200*22200/1000000</f>
        <v>4.4400000000000004</v>
      </c>
      <c r="Y2636" s="73">
        <f>IF(SUM(W2636:W2636)&gt;0,X2636/SUM(W2636:W2636)*1000000,"N/A")</f>
        <v>32647.058823529416</v>
      </c>
      <c r="Z2636" s="183"/>
      <c r="AA2636" s="183"/>
      <c r="AB2636" s="223" t="s">
        <v>8937</v>
      </c>
      <c r="AC2636" s="153"/>
      <c r="AD2636" s="331"/>
      <c r="AE2636" s="57"/>
      <c r="AF2636" s="151"/>
      <c r="AG2636" s="182">
        <f>YEAR(D2636)</f>
        <v>2011</v>
      </c>
      <c r="AH2636" s="86" t="str">
        <f>+IF(AE2636=$AJ$22,MONTH(T2636),"")</f>
        <v/>
      </c>
      <c r="AI2636" s="86" t="str">
        <f>+IF(AF2636=$AJ$22,MONTH(U2636),"")</f>
        <v/>
      </c>
      <c r="AJ2636" s="86" t="str">
        <f>+IF(AG2636=$AJ$22,MONTH(V2636),"")</f>
        <v/>
      </c>
      <c r="AK2636" s="86" t="str">
        <f>+IF(AG2636=$AK$22,MONTH(V2636),"")</f>
        <v/>
      </c>
      <c r="AL2636" s="86" t="str">
        <f>+IF(AG2636=$AL$22,MONTH(V2636),"")</f>
        <v/>
      </c>
      <c r="AM2636" s="86" t="str">
        <f>+IF($AG2636=$AM$22,MONTH($D2636),"")</f>
        <v/>
      </c>
      <c r="AN2636" s="89" t="str">
        <f>+IF($AG2636=AN$22,MONTH($D2636),"")</f>
        <v/>
      </c>
      <c r="AO2636" s="86" t="str">
        <f>+IF($AG2636=AO$22,MONTH($D2636),"")</f>
        <v/>
      </c>
      <c r="AP2636" s="86" t="str">
        <f>+IF($AG2636=AP$22,MONTH($D2636),"")</f>
        <v/>
      </c>
      <c r="AQ2636" s="86" t="str">
        <f>+IF($AG2636=AQ$22,MONTH($D2636),"")</f>
        <v/>
      </c>
      <c r="AR2636" s="86" t="str">
        <f>+IF($AG2636=AR$22,MONTH($D2636),"")</f>
        <v/>
      </c>
      <c r="AS2636" s="86" t="str">
        <f>+IF($AG2636=AS$22,MONTH($D2636),"")</f>
        <v/>
      </c>
      <c r="AT2636" s="86" t="str">
        <f>+IF($AG2636=AT$22,MONTH($D2636),"")</f>
        <v/>
      </c>
      <c r="AU2636" s="86" t="str">
        <f>+IF($AG2636=AU$22,MONTH($D2636),"")</f>
        <v/>
      </c>
      <c r="AV2636" s="86" t="str">
        <f>+IF($AG2636=AV$22,MONTH($D2636),"")</f>
        <v/>
      </c>
      <c r="AW2636" s="86">
        <f>+IF($AG2636=AW$22,MONTH($D2636),"")</f>
        <v>12</v>
      </c>
      <c r="AX2636" s="86" t="str">
        <f>+IF($AG2636=AX$22,MONTH($D2636),"")</f>
        <v/>
      </c>
      <c r="AY2636" s="182"/>
      <c r="AZ2636" s="182"/>
      <c r="BA2636" s="182"/>
      <c r="BB2636" s="182"/>
      <c r="BC2636" s="182"/>
      <c r="BD2636" s="182"/>
      <c r="BE2636" s="182"/>
      <c r="BF2636" s="182"/>
      <c r="BG2636" s="182"/>
      <c r="BH2636" s="182"/>
      <c r="BI2636" s="182"/>
      <c r="BJ2636" s="182"/>
      <c r="BK2636" s="182"/>
      <c r="BL2636" s="182"/>
      <c r="BM2636" s="182"/>
      <c r="BN2636" s="182"/>
      <c r="BO2636" s="182"/>
      <c r="BP2636" s="182"/>
    </row>
    <row r="2637" spans="1:68" s="51" customFormat="1" ht="19.5" hidden="1" customHeight="1">
      <c r="A2637" s="204" t="str">
        <f>+IFERROR(VALUE(MID(AB2637,4,4)),"")</f>
        <v/>
      </c>
      <c r="B2637" s="204">
        <f>VALUE(RIGHT(C2637,LEN(C2637)-2))</f>
        <v>94</v>
      </c>
      <c r="C2637" s="74" t="s">
        <v>8938</v>
      </c>
      <c r="D2637" s="75">
        <v>40897</v>
      </c>
      <c r="E2637" s="70" t="s">
        <v>8848</v>
      </c>
      <c r="F2637" s="70" t="s">
        <v>8848</v>
      </c>
      <c r="G2637" s="68" t="s">
        <v>8849</v>
      </c>
      <c r="H2637" s="59"/>
      <c r="I2637" s="162" t="s">
        <v>8939</v>
      </c>
      <c r="J2637" s="272"/>
      <c r="K2637" s="71" t="s">
        <v>12</v>
      </c>
      <c r="L2637" s="69" t="s">
        <v>120</v>
      </c>
      <c r="M2637" s="69" t="s">
        <v>113</v>
      </c>
      <c r="N2637" s="69" t="e" vm="2">
        <v>#VALUE!</v>
      </c>
      <c r="O2637" s="164">
        <v>40907</v>
      </c>
      <c r="P2637" s="72" t="s">
        <v>402</v>
      </c>
      <c r="Q2637" s="72"/>
      <c r="R2637" s="162"/>
      <c r="S2637" s="146"/>
      <c r="T2637" s="68" t="s">
        <v>165</v>
      </c>
      <c r="U2637" s="87"/>
      <c r="V2637" s="183">
        <v>40897</v>
      </c>
      <c r="W2637" s="73">
        <v>445</v>
      </c>
      <c r="X2637" s="73">
        <f>61650*280/1000000</f>
        <v>17.262</v>
      </c>
      <c r="Y2637" s="73">
        <f>IF(SUM(W2637:W2637)&gt;0,X2637/SUM(W2637:W2637)*1000000,"N/A")</f>
        <v>38791.011235955055</v>
      </c>
      <c r="Z2637" s="183"/>
      <c r="AA2637" s="183"/>
      <c r="AB2637" s="223"/>
      <c r="AC2637" s="153"/>
      <c r="AD2637" s="331"/>
      <c r="AE2637" s="57"/>
      <c r="AF2637" s="151"/>
      <c r="AG2637" s="182">
        <f>YEAR(D2637)</f>
        <v>2011</v>
      </c>
      <c r="AH2637" s="86" t="str">
        <f>+IF(AE2637=$AJ$22,MONTH(T2637),"")</f>
        <v/>
      </c>
      <c r="AI2637" s="86" t="str">
        <f>+IF(AF2637=$AJ$22,MONTH(U2637),"")</f>
        <v/>
      </c>
      <c r="AJ2637" s="86" t="str">
        <f>+IF(AG2637=$AJ$22,MONTH(V2637),"")</f>
        <v/>
      </c>
      <c r="AK2637" s="86" t="str">
        <f>+IF(AG2637=$AK$22,MONTH(V2637),"")</f>
        <v/>
      </c>
      <c r="AL2637" s="86" t="str">
        <f>+IF(AG2637=$AL$22,MONTH(V2637),"")</f>
        <v/>
      </c>
      <c r="AM2637" s="86" t="str">
        <f>+IF($AG2637=$AM$22,MONTH($D2637),"")</f>
        <v/>
      </c>
      <c r="AN2637" s="89" t="str">
        <f>+IF($AG2637=AN$22,MONTH($D2637),"")</f>
        <v/>
      </c>
      <c r="AO2637" s="184" t="str">
        <f>+IF($AG2637=AO$22,MONTH($D2637),"")</f>
        <v/>
      </c>
      <c r="AP2637" s="184" t="str">
        <f>+IF($AG2637=AP$22,MONTH($D2637),"")</f>
        <v/>
      </c>
      <c r="AQ2637" s="184" t="str">
        <f>+IF($AG2637=AQ$22,MONTH($D2637),"")</f>
        <v/>
      </c>
      <c r="AR2637" s="184" t="str">
        <f>+IF($AG2637=AR$22,MONTH($D2637),"")</f>
        <v/>
      </c>
      <c r="AS2637" s="184" t="str">
        <f>+IF($AG2637=AS$22,MONTH($D2637),"")</f>
        <v/>
      </c>
      <c r="AT2637" s="86" t="str">
        <f>+IF($AG2637=AT$22,MONTH($D2637),"")</f>
        <v/>
      </c>
      <c r="AU2637" s="86" t="str">
        <f>+IF($AG2637=AU$22,MONTH($D2637),"")</f>
        <v/>
      </c>
      <c r="AV2637" s="86" t="str">
        <f>+IF($AG2637=AV$22,MONTH($D2637),"")</f>
        <v/>
      </c>
      <c r="AW2637" s="86">
        <f>+IF($AG2637=AW$22,MONTH($D2637),"")</f>
        <v>12</v>
      </c>
      <c r="AX2637" s="86" t="str">
        <f>+IF($AG2637=AX$22,MONTH($D2637),"")</f>
        <v/>
      </c>
      <c r="AY2637" s="182"/>
      <c r="AZ2637" s="182"/>
      <c r="BA2637" s="182"/>
      <c r="BB2637" s="182"/>
      <c r="BC2637" s="182"/>
      <c r="BD2637" s="182"/>
      <c r="BE2637" s="182"/>
      <c r="BF2637" s="182"/>
      <c r="BG2637" s="182"/>
      <c r="BH2637" s="182"/>
      <c r="BI2637" s="182"/>
      <c r="BJ2637" s="182"/>
      <c r="BK2637" s="182"/>
      <c r="BL2637" s="182"/>
      <c r="BM2637" s="182"/>
      <c r="BN2637" s="182"/>
      <c r="BO2637" s="182"/>
      <c r="BP2637" s="182"/>
    </row>
    <row r="2638" spans="1:68" s="51" customFormat="1" ht="19.5" hidden="1" customHeight="1">
      <c r="A2638" s="204" t="str">
        <f>+IFERROR(VALUE(MID(AB2638,4,4)),"")</f>
        <v/>
      </c>
      <c r="B2638" s="204">
        <f>VALUE(RIGHT(C2638,LEN(C2638)-2))</f>
        <v>93</v>
      </c>
      <c r="C2638" s="74" t="s">
        <v>8940</v>
      </c>
      <c r="D2638" s="75">
        <v>40897</v>
      </c>
      <c r="E2638" s="70" t="s">
        <v>2961</v>
      </c>
      <c r="F2638" s="70" t="s">
        <v>3915</v>
      </c>
      <c r="G2638" s="68" t="s">
        <v>8941</v>
      </c>
      <c r="H2638" s="59"/>
      <c r="I2638" s="162" t="s">
        <v>8942</v>
      </c>
      <c r="J2638" s="272"/>
      <c r="K2638" s="71" t="s">
        <v>16</v>
      </c>
      <c r="L2638" s="69" t="s">
        <v>120</v>
      </c>
      <c r="M2638" s="69" t="s">
        <v>141</v>
      </c>
      <c r="N2638" s="69" t="e" vm="1">
        <v>#VALUE!</v>
      </c>
      <c r="O2638" s="164">
        <v>40897</v>
      </c>
      <c r="P2638" s="72" t="s">
        <v>4567</v>
      </c>
      <c r="Q2638" s="72"/>
      <c r="R2638" s="162"/>
      <c r="S2638" s="146"/>
      <c r="T2638" s="68" t="s">
        <v>165</v>
      </c>
      <c r="U2638" s="87"/>
      <c r="V2638" s="183">
        <v>40897</v>
      </c>
      <c r="W2638" s="73">
        <v>150</v>
      </c>
      <c r="X2638" s="73">
        <f>330*22150/1000000</f>
        <v>7.3094999999999999</v>
      </c>
      <c r="Y2638" s="73">
        <f>IF(SUM(W2638:W2638)&gt;0,X2638/SUM(W2638:W2638)*1000000,"N/A")</f>
        <v>48730</v>
      </c>
      <c r="Z2638" s="183"/>
      <c r="AA2638" s="183"/>
      <c r="AB2638" s="223"/>
      <c r="AC2638" s="153"/>
      <c r="AD2638" s="331"/>
      <c r="AE2638" s="57"/>
      <c r="AF2638" s="151"/>
      <c r="AG2638" s="182">
        <f>YEAR(D2638)</f>
        <v>2011</v>
      </c>
      <c r="AH2638" s="86" t="str">
        <f>+IF(AE2638=$AJ$22,MONTH(T2638),"")</f>
        <v/>
      </c>
      <c r="AI2638" s="86" t="str">
        <f>+IF(AF2638=$AJ$22,MONTH(U2638),"")</f>
        <v/>
      </c>
      <c r="AJ2638" s="86" t="str">
        <f>+IF(AG2638=$AJ$22,MONTH(V2638),"")</f>
        <v/>
      </c>
      <c r="AK2638" s="86" t="str">
        <f>+IF(AG2638=$AK$22,MONTH(V2638),"")</f>
        <v/>
      </c>
      <c r="AL2638" s="86" t="str">
        <f>+IF(AG2638=$AL$22,MONTH(V2638),"")</f>
        <v/>
      </c>
      <c r="AM2638" s="86" t="str">
        <f>+IF($AG2638=$AM$22,MONTH($D2638),"")</f>
        <v/>
      </c>
      <c r="AN2638" s="89" t="str">
        <f>+IF($AG2638=AN$22,MONTH($D2638),"")</f>
        <v/>
      </c>
      <c r="AO2638" s="184" t="str">
        <f>+IF($AG2638=AO$22,MONTH($D2638),"")</f>
        <v/>
      </c>
      <c r="AP2638" s="184" t="str">
        <f>+IF($AG2638=AP$22,MONTH($D2638),"")</f>
        <v/>
      </c>
      <c r="AQ2638" s="184" t="str">
        <f>+IF($AG2638=AQ$22,MONTH($D2638),"")</f>
        <v/>
      </c>
      <c r="AR2638" s="184" t="str">
        <f>+IF($AG2638=AR$22,MONTH($D2638),"")</f>
        <v/>
      </c>
      <c r="AS2638" s="184" t="str">
        <f>+IF($AG2638=AS$22,MONTH($D2638),"")</f>
        <v/>
      </c>
      <c r="AT2638" s="86" t="str">
        <f>+IF($AG2638=AT$22,MONTH($D2638),"")</f>
        <v/>
      </c>
      <c r="AU2638" s="86" t="str">
        <f>+IF($AG2638=AU$22,MONTH($D2638),"")</f>
        <v/>
      </c>
      <c r="AV2638" s="86" t="str">
        <f>+IF($AG2638=AV$22,MONTH($D2638),"")</f>
        <v/>
      </c>
      <c r="AW2638" s="86">
        <f>+IF($AG2638=AW$22,MONTH($D2638),"")</f>
        <v>12</v>
      </c>
      <c r="AX2638" s="86" t="str">
        <f>+IF($AG2638=AX$22,MONTH($D2638),"")</f>
        <v/>
      </c>
      <c r="AY2638" s="182"/>
      <c r="AZ2638" s="182"/>
      <c r="BA2638" s="182"/>
      <c r="BB2638" s="182"/>
      <c r="BC2638" s="182"/>
      <c r="BD2638" s="182"/>
      <c r="BE2638" s="182"/>
      <c r="BF2638" s="182"/>
      <c r="BG2638" s="182"/>
      <c r="BH2638" s="182"/>
      <c r="BI2638" s="182"/>
      <c r="BJ2638" s="182"/>
      <c r="BK2638" s="182"/>
      <c r="BL2638" s="182"/>
      <c r="BM2638" s="182"/>
      <c r="BN2638" s="182"/>
      <c r="BO2638" s="182"/>
      <c r="BP2638" s="182"/>
    </row>
    <row r="2639" spans="1:68" s="51" customFormat="1" ht="19.5" hidden="1" customHeight="1">
      <c r="A2639" s="204" t="str">
        <f>+IFERROR(VALUE(MID(AB2639,4,4)),"")</f>
        <v/>
      </c>
      <c r="B2639" s="204">
        <f>VALUE(RIGHT(C2639,LEN(C2639)-2))</f>
        <v>92</v>
      </c>
      <c r="C2639" s="74" t="s">
        <v>8943</v>
      </c>
      <c r="D2639" s="75">
        <v>40882</v>
      </c>
      <c r="E2639" s="70" t="s">
        <v>8944</v>
      </c>
      <c r="F2639" s="70" t="s">
        <v>460</v>
      </c>
      <c r="G2639" s="68" t="s">
        <v>8945</v>
      </c>
      <c r="H2639" s="59"/>
      <c r="I2639" s="162" t="s">
        <v>8946</v>
      </c>
      <c r="J2639" s="272"/>
      <c r="K2639" s="71" t="s">
        <v>13</v>
      </c>
      <c r="L2639" s="69" t="s">
        <v>123</v>
      </c>
      <c r="M2639" s="69" t="s">
        <v>141</v>
      </c>
      <c r="N2639" s="69" t="e" vm="1">
        <v>#VALUE!</v>
      </c>
      <c r="O2639" s="164">
        <v>40552</v>
      </c>
      <c r="P2639" s="72" t="s">
        <v>4567</v>
      </c>
      <c r="Q2639" s="72"/>
      <c r="R2639" s="162"/>
      <c r="S2639" s="146"/>
      <c r="T2639" s="68" t="s">
        <v>165</v>
      </c>
      <c r="U2639" s="87"/>
      <c r="V2639" s="183">
        <v>40932</v>
      </c>
      <c r="W2639" s="73">
        <v>36545</v>
      </c>
      <c r="X2639" s="73">
        <f>58230*22300/1000000</f>
        <v>1298.529</v>
      </c>
      <c r="Y2639" s="73">
        <f>IF(SUM(W2639:W2639)&gt;0,X2639/SUM(W2639:W2639)*1000000,"N/A")</f>
        <v>35532.33000410453</v>
      </c>
      <c r="Z2639" s="183"/>
      <c r="AA2639" s="183"/>
      <c r="AB2639" s="223"/>
      <c r="AC2639" s="153"/>
      <c r="AD2639" s="331"/>
      <c r="AE2639" s="57"/>
      <c r="AF2639" s="151"/>
      <c r="AG2639" s="182">
        <f>YEAR(D2639)</f>
        <v>2011</v>
      </c>
      <c r="AH2639" s="86" t="str">
        <f>+IF(AE2639=$AJ$22,MONTH(T2639),"")</f>
        <v/>
      </c>
      <c r="AI2639" s="86" t="str">
        <f>+IF(AF2639=$AJ$22,MONTH(U2639),"")</f>
        <v/>
      </c>
      <c r="AJ2639" s="86" t="str">
        <f>+IF(AG2639=$AJ$22,MONTH(V2639),"")</f>
        <v/>
      </c>
      <c r="AK2639" s="86" t="str">
        <f>+IF(AG2639=$AK$22,MONTH(V2639),"")</f>
        <v/>
      </c>
      <c r="AL2639" s="86" t="str">
        <f>+IF(AG2639=$AL$22,MONTH(V2639),"")</f>
        <v/>
      </c>
      <c r="AM2639" s="86" t="str">
        <f>+IF($AG2639=$AM$22,MONTH($D2639),"")</f>
        <v/>
      </c>
      <c r="AN2639" s="89" t="str">
        <f>+IF($AG2639=AN$22,MONTH($D2639),"")</f>
        <v/>
      </c>
      <c r="AO2639" s="184" t="str">
        <f>+IF($AG2639=AO$22,MONTH($D2639),"")</f>
        <v/>
      </c>
      <c r="AP2639" s="184" t="str">
        <f>+IF($AG2639=AP$22,MONTH($D2639),"")</f>
        <v/>
      </c>
      <c r="AQ2639" s="184" t="str">
        <f>+IF($AG2639=AQ$22,MONTH($D2639),"")</f>
        <v/>
      </c>
      <c r="AR2639" s="184" t="str">
        <f>+IF($AG2639=AR$22,MONTH($D2639),"")</f>
        <v/>
      </c>
      <c r="AS2639" s="184" t="str">
        <f>+IF($AG2639=AS$22,MONTH($D2639),"")</f>
        <v/>
      </c>
      <c r="AT2639" s="86" t="str">
        <f>+IF($AG2639=AT$22,MONTH($D2639),"")</f>
        <v/>
      </c>
      <c r="AU2639" s="86" t="str">
        <f>+IF($AG2639=AU$22,MONTH($D2639),"")</f>
        <v/>
      </c>
      <c r="AV2639" s="86" t="str">
        <f>+IF($AG2639=AV$22,MONTH($D2639),"")</f>
        <v/>
      </c>
      <c r="AW2639" s="86">
        <f>+IF($AG2639=AW$22,MONTH($D2639),"")</f>
        <v>12</v>
      </c>
      <c r="AX2639" s="86" t="str">
        <f>+IF($AG2639=AX$22,MONTH($D2639),"")</f>
        <v/>
      </c>
      <c r="AY2639" s="182"/>
      <c r="AZ2639" s="182"/>
      <c r="BA2639" s="182"/>
      <c r="BB2639" s="182"/>
      <c r="BC2639" s="182"/>
      <c r="BD2639" s="182"/>
      <c r="BE2639" s="182"/>
      <c r="BF2639" s="182"/>
      <c r="BG2639" s="182"/>
      <c r="BH2639" s="182"/>
      <c r="BI2639" s="182"/>
      <c r="BJ2639" s="182"/>
      <c r="BK2639" s="182"/>
      <c r="BL2639" s="182"/>
      <c r="BM2639" s="182"/>
      <c r="BN2639" s="182"/>
      <c r="BO2639" s="182"/>
      <c r="BP2639" s="182"/>
    </row>
    <row r="2640" spans="1:68" s="51" customFormat="1" ht="19.5" hidden="1" customHeight="1">
      <c r="A2640" s="204" t="str">
        <f>+IFERROR(VALUE(MID(AB2640,4,4)),"")</f>
        <v/>
      </c>
      <c r="B2640" s="204">
        <f>VALUE(RIGHT(C2640,LEN(C2640)-2))</f>
        <v>91</v>
      </c>
      <c r="C2640" s="74" t="s">
        <v>8947</v>
      </c>
      <c r="D2640" s="75">
        <v>40878</v>
      </c>
      <c r="E2640" s="70" t="s">
        <v>8948</v>
      </c>
      <c r="F2640" s="70"/>
      <c r="G2640" s="68"/>
      <c r="H2640" s="59"/>
      <c r="I2640" s="162" t="s">
        <v>8949</v>
      </c>
      <c r="J2640" s="272"/>
      <c r="K2640" s="71" t="s">
        <v>16</v>
      </c>
      <c r="L2640" s="69" t="s">
        <v>123</v>
      </c>
      <c r="M2640" s="69" t="s">
        <v>113</v>
      </c>
      <c r="N2640" s="69" t="e" vm="2">
        <v>#VALUE!</v>
      </c>
      <c r="O2640" s="164"/>
      <c r="P2640" s="72" t="s">
        <v>402</v>
      </c>
      <c r="Q2640" s="72"/>
      <c r="R2640" s="162"/>
      <c r="S2640" s="146"/>
      <c r="T2640" s="68" t="s">
        <v>165</v>
      </c>
      <c r="U2640" s="87"/>
      <c r="V2640" s="183">
        <v>40897</v>
      </c>
      <c r="W2640" s="73">
        <v>470</v>
      </c>
      <c r="X2640" s="73">
        <f>75650*280/1000000</f>
        <v>21.181999999999999</v>
      </c>
      <c r="Y2640" s="73">
        <f>IF(SUM(W2640:W2640)&gt;0,X2640/SUM(W2640:W2640)*1000000,"N/A")</f>
        <v>45068.085106382976</v>
      </c>
      <c r="Z2640" s="183"/>
      <c r="AA2640" s="183"/>
      <c r="AB2640" s="223"/>
      <c r="AC2640" s="153"/>
      <c r="AD2640" s="331"/>
      <c r="AE2640" s="57"/>
      <c r="AF2640" s="151"/>
      <c r="AG2640" s="182">
        <f>YEAR(D2640)</f>
        <v>2011</v>
      </c>
      <c r="AH2640" s="86" t="str">
        <f>+IF(AE2640=$AJ$22,MONTH(T2640),"")</f>
        <v/>
      </c>
      <c r="AI2640" s="86" t="str">
        <f>+IF(AF2640=$AJ$22,MONTH(U2640),"")</f>
        <v/>
      </c>
      <c r="AJ2640" s="86" t="str">
        <f>+IF(AG2640=$AJ$22,MONTH(V2640),"")</f>
        <v/>
      </c>
      <c r="AK2640" s="86" t="str">
        <f>+IF(AG2640=$AK$22,MONTH(V2640),"")</f>
        <v/>
      </c>
      <c r="AL2640" s="86" t="str">
        <f>+IF(AG2640=$AL$22,MONTH(V2640),"")</f>
        <v/>
      </c>
      <c r="AM2640" s="86" t="str">
        <f>+IF($AG2640=$AM$22,MONTH($D2640),"")</f>
        <v/>
      </c>
      <c r="AN2640" s="89" t="str">
        <f>+IF($AG2640=AN$22,MONTH($D2640),"")</f>
        <v/>
      </c>
      <c r="AO2640" s="184" t="str">
        <f>+IF($AG2640=AO$22,MONTH($D2640),"")</f>
        <v/>
      </c>
      <c r="AP2640" s="184" t="str">
        <f>+IF($AG2640=AP$22,MONTH($D2640),"")</f>
        <v/>
      </c>
      <c r="AQ2640" s="184" t="str">
        <f>+IF($AG2640=AQ$22,MONTH($D2640),"")</f>
        <v/>
      </c>
      <c r="AR2640" s="184" t="str">
        <f>+IF($AG2640=AR$22,MONTH($D2640),"")</f>
        <v/>
      </c>
      <c r="AS2640" s="184" t="str">
        <f>+IF($AG2640=AS$22,MONTH($D2640),"")</f>
        <v/>
      </c>
      <c r="AT2640" s="86" t="str">
        <f>+IF($AG2640=AT$22,MONTH($D2640),"")</f>
        <v/>
      </c>
      <c r="AU2640" s="86" t="str">
        <f>+IF($AG2640=AU$22,MONTH($D2640),"")</f>
        <v/>
      </c>
      <c r="AV2640" s="86" t="str">
        <f>+IF($AG2640=AV$22,MONTH($D2640),"")</f>
        <v/>
      </c>
      <c r="AW2640" s="86">
        <f>+IF($AG2640=AW$22,MONTH($D2640),"")</f>
        <v>12</v>
      </c>
      <c r="AX2640" s="86" t="str">
        <f>+IF($AG2640=AX$22,MONTH($D2640),"")</f>
        <v/>
      </c>
      <c r="AY2640" s="182"/>
      <c r="AZ2640" s="182"/>
      <c r="BA2640" s="182"/>
      <c r="BB2640" s="182"/>
      <c r="BC2640" s="182"/>
      <c r="BD2640" s="182"/>
      <c r="BE2640" s="182"/>
      <c r="BF2640" s="182"/>
      <c r="BG2640" s="182"/>
      <c r="BH2640" s="182"/>
      <c r="BI2640" s="182"/>
      <c r="BJ2640" s="182"/>
      <c r="BK2640" s="182"/>
      <c r="BL2640" s="182"/>
      <c r="BM2640" s="182"/>
      <c r="BN2640" s="182"/>
      <c r="BO2640" s="182"/>
      <c r="BP2640" s="182"/>
    </row>
    <row r="2641" spans="1:68" s="51" customFormat="1" ht="19.5" hidden="1" customHeight="1">
      <c r="A2641" s="204">
        <f>+IFERROR(VALUE(MID(AB2641,4,4)),"")</f>
        <v>44</v>
      </c>
      <c r="B2641" s="204">
        <f>VALUE(RIGHT(C2641,LEN(C2641)-2))</f>
        <v>90</v>
      </c>
      <c r="C2641" s="74" t="s">
        <v>8950</v>
      </c>
      <c r="D2641" s="75">
        <v>40868</v>
      </c>
      <c r="E2641" s="70" t="s">
        <v>63</v>
      </c>
      <c r="F2641" s="70" t="s">
        <v>262</v>
      </c>
      <c r="G2641" s="68" t="s">
        <v>5340</v>
      </c>
      <c r="H2641" s="59" t="s">
        <v>8245</v>
      </c>
      <c r="I2641" s="162" t="s">
        <v>8951</v>
      </c>
      <c r="J2641" s="272"/>
      <c r="K2641" s="71" t="s">
        <v>12</v>
      </c>
      <c r="L2641" s="69" t="s">
        <v>120</v>
      </c>
      <c r="M2641" s="69" t="s">
        <v>141</v>
      </c>
      <c r="N2641" s="69" t="e" vm="1">
        <v>#VALUE!</v>
      </c>
      <c r="O2641" s="164">
        <v>40899</v>
      </c>
      <c r="P2641" s="72" t="s">
        <v>4567</v>
      </c>
      <c r="Q2641" s="72"/>
      <c r="R2641" s="162"/>
      <c r="S2641" s="146"/>
      <c r="T2641" s="68" t="s">
        <v>3</v>
      </c>
      <c r="U2641" s="87"/>
      <c r="V2641" s="183">
        <v>40884</v>
      </c>
      <c r="W2641" s="73">
        <v>220</v>
      </c>
      <c r="X2641" s="73">
        <f>327*22100/1000000</f>
        <v>7.2267000000000001</v>
      </c>
      <c r="Y2641" s="73">
        <f>IF(SUM(W2641:W2641)&gt;0,X2641/SUM(W2641:W2641)*1000000,"N/A")</f>
        <v>32848.636363636368</v>
      </c>
      <c r="Z2641" s="183"/>
      <c r="AA2641" s="183"/>
      <c r="AB2641" s="223" t="s">
        <v>8952</v>
      </c>
      <c r="AC2641" s="153"/>
      <c r="AD2641" s="331"/>
      <c r="AE2641" s="57"/>
      <c r="AF2641" s="151"/>
      <c r="AG2641" s="182">
        <f>YEAR(D2641)</f>
        <v>2011</v>
      </c>
      <c r="AH2641" s="86" t="str">
        <f>+IF(AE2641=$AJ$22,MONTH(T2641),"")</f>
        <v/>
      </c>
      <c r="AI2641" s="86" t="str">
        <f>+IF(AF2641=$AJ$22,MONTH(U2641),"")</f>
        <v/>
      </c>
      <c r="AJ2641" s="86" t="str">
        <f>+IF(AG2641=$AJ$22,MONTH(V2641),"")</f>
        <v/>
      </c>
      <c r="AK2641" s="86" t="str">
        <f>+IF(AG2641=$AK$22,MONTH(V2641),"")</f>
        <v/>
      </c>
      <c r="AL2641" s="86" t="str">
        <f>+IF(AG2641=$AL$22,MONTH(V2641),"")</f>
        <v/>
      </c>
      <c r="AM2641" s="86" t="str">
        <f>+IF($AG2641=$AM$22,MONTH($D2641),"")</f>
        <v/>
      </c>
      <c r="AN2641" s="89" t="str">
        <f>+IF($AG2641=AN$22,MONTH($D2641),"")</f>
        <v/>
      </c>
      <c r="AO2641" s="86" t="str">
        <f>+IF($AG2641=AO$22,MONTH($D2641),"")</f>
        <v/>
      </c>
      <c r="AP2641" s="86" t="str">
        <f>+IF($AG2641=AP$22,MONTH($D2641),"")</f>
        <v/>
      </c>
      <c r="AQ2641" s="86" t="str">
        <f>+IF($AG2641=AQ$22,MONTH($D2641),"")</f>
        <v/>
      </c>
      <c r="AR2641" s="86" t="str">
        <f>+IF($AG2641=AR$22,MONTH($D2641),"")</f>
        <v/>
      </c>
      <c r="AS2641" s="86" t="str">
        <f>+IF($AG2641=AS$22,MONTH($D2641),"")</f>
        <v/>
      </c>
      <c r="AT2641" s="86" t="str">
        <f>+IF($AG2641=AT$22,MONTH($D2641),"")</f>
        <v/>
      </c>
      <c r="AU2641" s="86" t="str">
        <f>+IF($AG2641=AU$22,MONTH($D2641),"")</f>
        <v/>
      </c>
      <c r="AV2641" s="86" t="str">
        <f>+IF($AG2641=AV$22,MONTH($D2641),"")</f>
        <v/>
      </c>
      <c r="AW2641" s="86">
        <f>+IF($AG2641=AW$22,MONTH($D2641),"")</f>
        <v>11</v>
      </c>
      <c r="AX2641" s="86" t="str">
        <f>+IF($AG2641=AX$22,MONTH($D2641),"")</f>
        <v/>
      </c>
      <c r="AY2641" s="182"/>
      <c r="AZ2641" s="182"/>
      <c r="BA2641" s="182"/>
      <c r="BB2641" s="182"/>
      <c r="BC2641" s="182"/>
      <c r="BD2641" s="182"/>
      <c r="BE2641" s="182"/>
      <c r="BF2641" s="182"/>
      <c r="BG2641" s="182"/>
      <c r="BH2641" s="182"/>
      <c r="BI2641" s="182"/>
      <c r="BJ2641" s="182"/>
      <c r="BK2641" s="182"/>
      <c r="BL2641" s="182"/>
      <c r="BM2641" s="182"/>
      <c r="BN2641" s="182"/>
      <c r="BO2641" s="182"/>
      <c r="BP2641" s="182"/>
    </row>
    <row r="2642" spans="1:68" s="51" customFormat="1" ht="19.5" hidden="1" customHeight="1">
      <c r="A2642" s="204">
        <f>+IFERROR(VALUE(MID(AB2642,4,4)),"")</f>
        <v>42</v>
      </c>
      <c r="B2642" s="204">
        <f>VALUE(RIGHT(C2642,LEN(C2642)-2))</f>
        <v>89</v>
      </c>
      <c r="C2642" s="74" t="s">
        <v>8953</v>
      </c>
      <c r="D2642" s="75">
        <v>40864</v>
      </c>
      <c r="E2642" s="70" t="s">
        <v>68</v>
      </c>
      <c r="F2642" s="70" t="s">
        <v>1379</v>
      </c>
      <c r="G2642" s="68" t="s">
        <v>8900</v>
      </c>
      <c r="H2642" s="59"/>
      <c r="I2642" s="162" t="s">
        <v>8954</v>
      </c>
      <c r="J2642" s="272"/>
      <c r="K2642" s="71" t="s">
        <v>16</v>
      </c>
      <c r="L2642" s="69" t="s">
        <v>120</v>
      </c>
      <c r="M2642" s="69" t="s">
        <v>141</v>
      </c>
      <c r="N2642" s="69" t="e" vm="1">
        <v>#VALUE!</v>
      </c>
      <c r="O2642" s="164">
        <v>40864</v>
      </c>
      <c r="P2642" s="72" t="s">
        <v>4567</v>
      </c>
      <c r="Q2642" s="72"/>
      <c r="R2642" s="162"/>
      <c r="S2642" s="146"/>
      <c r="T2642" s="68" t="s">
        <v>3</v>
      </c>
      <c r="U2642" s="87"/>
      <c r="V2642" s="183">
        <v>40864</v>
      </c>
      <c r="W2642" s="73">
        <v>845</v>
      </c>
      <c r="X2642" s="73">
        <f>1677*22170/1000000</f>
        <v>37.179090000000002</v>
      </c>
      <c r="Y2642" s="73">
        <f>IF(SUM(W2642:W2642)&gt;0,X2642/SUM(W2642:W2642)*1000000,"N/A")</f>
        <v>43998.923076923078</v>
      </c>
      <c r="Z2642" s="183"/>
      <c r="AA2642" s="183"/>
      <c r="AB2642" s="223" t="s">
        <v>8955</v>
      </c>
      <c r="AC2642" s="153"/>
      <c r="AD2642" s="331"/>
      <c r="AE2642" s="57"/>
      <c r="AF2642" s="151" t="s">
        <v>8956</v>
      </c>
      <c r="AG2642" s="182">
        <f>YEAR(D2642)</f>
        <v>2011</v>
      </c>
      <c r="AH2642" s="86" t="str">
        <f>+IF(AE2642=$AJ$22,MONTH(T2642),"")</f>
        <v/>
      </c>
      <c r="AI2642" s="86" t="str">
        <f>+IF(AF2642=$AJ$22,MONTH(U2642),"")</f>
        <v/>
      </c>
      <c r="AJ2642" s="86" t="str">
        <f>+IF(AG2642=$AJ$22,MONTH(V2642),"")</f>
        <v/>
      </c>
      <c r="AK2642" s="86" t="str">
        <f>+IF(AG2642=$AK$22,MONTH(V2642),"")</f>
        <v/>
      </c>
      <c r="AL2642" s="86" t="str">
        <f>+IF(AG2642=$AL$22,MONTH(V2642),"")</f>
        <v/>
      </c>
      <c r="AM2642" s="86" t="str">
        <f>+IF($AG2642=$AM$22,MONTH($D2642),"")</f>
        <v/>
      </c>
      <c r="AN2642" s="89" t="str">
        <f>+IF($AG2642=AN$22,MONTH($D2642),"")</f>
        <v/>
      </c>
      <c r="AO2642" s="86" t="str">
        <f>+IF($AG2642=AO$22,MONTH($D2642),"")</f>
        <v/>
      </c>
      <c r="AP2642" s="86" t="str">
        <f>+IF($AG2642=AP$22,MONTH($D2642),"")</f>
        <v/>
      </c>
      <c r="AQ2642" s="86" t="str">
        <f>+IF($AG2642=AQ$22,MONTH($D2642),"")</f>
        <v/>
      </c>
      <c r="AR2642" s="86" t="str">
        <f>+IF($AG2642=AR$22,MONTH($D2642),"")</f>
        <v/>
      </c>
      <c r="AS2642" s="86" t="str">
        <f>+IF($AG2642=AS$22,MONTH($D2642),"")</f>
        <v/>
      </c>
      <c r="AT2642" s="86" t="str">
        <f>+IF($AG2642=AT$22,MONTH($D2642),"")</f>
        <v/>
      </c>
      <c r="AU2642" s="86" t="str">
        <f>+IF($AG2642=AU$22,MONTH($D2642),"")</f>
        <v/>
      </c>
      <c r="AV2642" s="86" t="str">
        <f>+IF($AG2642=AV$22,MONTH($D2642),"")</f>
        <v/>
      </c>
      <c r="AW2642" s="86">
        <f>+IF($AG2642=AW$22,MONTH($D2642),"")</f>
        <v>11</v>
      </c>
      <c r="AX2642" s="86" t="str">
        <f>+IF($AG2642=AX$22,MONTH($D2642),"")</f>
        <v/>
      </c>
      <c r="AY2642" s="182"/>
      <c r="AZ2642" s="182"/>
      <c r="BA2642" s="182"/>
      <c r="BB2642" s="182"/>
      <c r="BC2642" s="182"/>
      <c r="BD2642" s="182"/>
      <c r="BE2642" s="182"/>
      <c r="BF2642" s="182"/>
      <c r="BG2642" s="182"/>
      <c r="BH2642" s="182"/>
      <c r="BI2642" s="182"/>
      <c r="BJ2642" s="182"/>
      <c r="BK2642" s="182"/>
      <c r="BL2642" s="182"/>
      <c r="BM2642" s="182"/>
      <c r="BN2642" s="182"/>
      <c r="BO2642" s="182"/>
      <c r="BP2642" s="182"/>
    </row>
    <row r="2643" spans="1:68" s="51" customFormat="1" ht="19.5" hidden="1" customHeight="1">
      <c r="A2643" s="204">
        <f>+IFERROR(VALUE(MID(AB2643,4,4)),"")</f>
        <v>94</v>
      </c>
      <c r="B2643" s="204">
        <f>VALUE(RIGHT(C2643,LEN(C2643)-2))</f>
        <v>88</v>
      </c>
      <c r="C2643" s="74" t="s">
        <v>8957</v>
      </c>
      <c r="D2643" s="75">
        <v>40857</v>
      </c>
      <c r="E2643" s="70" t="s">
        <v>2961</v>
      </c>
      <c r="F2643" s="70" t="s">
        <v>332</v>
      </c>
      <c r="G2643" s="68" t="s">
        <v>8334</v>
      </c>
      <c r="H2643" s="59"/>
      <c r="I2643" s="162" t="s">
        <v>8958</v>
      </c>
      <c r="J2643" s="272"/>
      <c r="K2643" s="71" t="s">
        <v>25</v>
      </c>
      <c r="L2643" s="69" t="s">
        <v>120</v>
      </c>
      <c r="M2643" s="69" t="s">
        <v>141</v>
      </c>
      <c r="N2643" s="69" t="e" vm="1">
        <v>#VALUE!</v>
      </c>
      <c r="O2643" s="164">
        <v>40857</v>
      </c>
      <c r="P2643" s="72" t="s">
        <v>4567</v>
      </c>
      <c r="Q2643" s="72"/>
      <c r="R2643" s="162"/>
      <c r="S2643" s="146"/>
      <c r="T2643" s="68" t="s">
        <v>3</v>
      </c>
      <c r="U2643" s="87"/>
      <c r="V2643" s="183">
        <v>10</v>
      </c>
      <c r="W2643" s="73">
        <v>1353</v>
      </c>
      <c r="X2643" s="73">
        <f>31.295</f>
        <v>31.295000000000002</v>
      </c>
      <c r="Y2643" s="73">
        <f>IF(SUM(W2643:W2643)&gt;0,X2643/SUM(W2643:W2643)*1000000,"N/A")</f>
        <v>23130.08130081301</v>
      </c>
      <c r="Z2643" s="183"/>
      <c r="AA2643" s="183"/>
      <c r="AB2643" s="223" t="s">
        <v>8959</v>
      </c>
      <c r="AC2643" s="153"/>
      <c r="AD2643" s="331"/>
      <c r="AE2643" s="57"/>
      <c r="AF2643" s="151"/>
      <c r="AG2643" s="182">
        <f>YEAR(D2643)</f>
        <v>2011</v>
      </c>
      <c r="AH2643" s="86" t="str">
        <f>+IF(AE2643=$AJ$22,MONTH(T2643),"")</f>
        <v/>
      </c>
      <c r="AI2643" s="86" t="str">
        <f>+IF(AF2643=$AJ$22,MONTH(U2643),"")</f>
        <v/>
      </c>
      <c r="AJ2643" s="86" t="str">
        <f>+IF(AG2643=$AJ$22,MONTH(V2643),"")</f>
        <v/>
      </c>
      <c r="AK2643" s="86" t="str">
        <f>+IF(AG2643=$AK$22,MONTH(V2643),"")</f>
        <v/>
      </c>
      <c r="AL2643" s="86" t="str">
        <f>+IF(AG2643=$AL$22,MONTH(V2643),"")</f>
        <v/>
      </c>
      <c r="AM2643" s="86" t="str">
        <f>+IF($AG2643=$AM$22,MONTH($D2643),"")</f>
        <v/>
      </c>
      <c r="AN2643" s="89" t="str">
        <f>+IF($AG2643=AN$22,MONTH($D2643),"")</f>
        <v/>
      </c>
      <c r="AO2643" s="86" t="str">
        <f>+IF($AG2643=AO$22,MONTH($D2643),"")</f>
        <v/>
      </c>
      <c r="AP2643" s="86" t="str">
        <f>+IF($AG2643=AP$22,MONTH($D2643),"")</f>
        <v/>
      </c>
      <c r="AQ2643" s="86" t="str">
        <f>+IF($AG2643=AQ$22,MONTH($D2643),"")</f>
        <v/>
      </c>
      <c r="AR2643" s="86" t="str">
        <f>+IF($AG2643=AR$22,MONTH($D2643),"")</f>
        <v/>
      </c>
      <c r="AS2643" s="86" t="str">
        <f>+IF($AG2643=AS$22,MONTH($D2643),"")</f>
        <v/>
      </c>
      <c r="AT2643" s="86" t="str">
        <f>+IF($AG2643=AT$22,MONTH($D2643),"")</f>
        <v/>
      </c>
      <c r="AU2643" s="86" t="str">
        <f>+IF($AG2643=AU$22,MONTH($D2643),"")</f>
        <v/>
      </c>
      <c r="AV2643" s="86" t="str">
        <f>+IF($AG2643=AV$22,MONTH($D2643),"")</f>
        <v/>
      </c>
      <c r="AW2643" s="86">
        <f>+IF($AG2643=AW$22,MONTH($D2643),"")</f>
        <v>11</v>
      </c>
      <c r="AX2643" s="86" t="str">
        <f>+IF($AG2643=AX$22,MONTH($D2643),"")</f>
        <v/>
      </c>
      <c r="AY2643" s="182"/>
      <c r="AZ2643" s="182"/>
      <c r="BA2643" s="182"/>
      <c r="BB2643" s="182"/>
      <c r="BC2643" s="182"/>
      <c r="BD2643" s="182"/>
      <c r="BE2643" s="182"/>
      <c r="BF2643" s="182"/>
      <c r="BG2643" s="182"/>
      <c r="BH2643" s="182"/>
      <c r="BI2643" s="182"/>
      <c r="BJ2643" s="182"/>
      <c r="BK2643" s="182"/>
      <c r="BL2643" s="182"/>
      <c r="BM2643" s="182"/>
      <c r="BN2643" s="182"/>
      <c r="BO2643" s="182"/>
      <c r="BP2643" s="182"/>
    </row>
    <row r="2644" spans="1:68" s="51" customFormat="1" ht="19.5" hidden="1" customHeight="1">
      <c r="A2644" s="204">
        <f>+IFERROR(VALUE(MID(AB2644,4,4)),"")</f>
        <v>41</v>
      </c>
      <c r="B2644" s="204">
        <f>VALUE(RIGHT(C2644,LEN(C2644)-2))</f>
        <v>87</v>
      </c>
      <c r="C2644" s="74" t="s">
        <v>8960</v>
      </c>
      <c r="D2644" s="75">
        <v>40857</v>
      </c>
      <c r="E2644" s="70" t="s">
        <v>2961</v>
      </c>
      <c r="F2644" s="70" t="s">
        <v>332</v>
      </c>
      <c r="G2644" s="68" t="s">
        <v>8334</v>
      </c>
      <c r="H2644" s="59"/>
      <c r="I2644" s="162" t="s">
        <v>8961</v>
      </c>
      <c r="J2644" s="272"/>
      <c r="K2644" s="71" t="s">
        <v>25</v>
      </c>
      <c r="L2644" s="69" t="s">
        <v>120</v>
      </c>
      <c r="M2644" s="69" t="s">
        <v>141</v>
      </c>
      <c r="N2644" s="69" t="e" vm="1">
        <v>#VALUE!</v>
      </c>
      <c r="O2644" s="164">
        <v>40857</v>
      </c>
      <c r="P2644" s="72" t="s">
        <v>4567</v>
      </c>
      <c r="Q2644" s="72"/>
      <c r="R2644" s="162"/>
      <c r="S2644" s="146"/>
      <c r="T2644" s="68" t="s">
        <v>3</v>
      </c>
      <c r="U2644" s="87"/>
      <c r="V2644" s="183">
        <v>40857</v>
      </c>
      <c r="W2644" s="73">
        <v>3336</v>
      </c>
      <c r="X2644" s="73">
        <f>2785*22500/1000000</f>
        <v>62.662500000000001</v>
      </c>
      <c r="Y2644" s="73">
        <f>IF(SUM(W2644:W2644)&gt;0,X2644/SUM(W2644:W2644)*1000000,"N/A")</f>
        <v>18783.723021582733</v>
      </c>
      <c r="Z2644" s="183"/>
      <c r="AA2644" s="183"/>
      <c r="AB2644" s="223" t="s">
        <v>8962</v>
      </c>
      <c r="AC2644" s="153"/>
      <c r="AD2644" s="331"/>
      <c r="AE2644" s="57"/>
      <c r="AF2644" s="151"/>
      <c r="AG2644" s="182">
        <f>YEAR(D2644)</f>
        <v>2011</v>
      </c>
      <c r="AH2644" s="86" t="str">
        <f>+IF(AE2644=$AJ$22,MONTH(T2644),"")</f>
        <v/>
      </c>
      <c r="AI2644" s="86" t="str">
        <f>+IF(AF2644=$AJ$22,MONTH(U2644),"")</f>
        <v/>
      </c>
      <c r="AJ2644" s="86" t="str">
        <f>+IF(AG2644=$AJ$22,MONTH(V2644),"")</f>
        <v/>
      </c>
      <c r="AK2644" s="86" t="str">
        <f>+IF(AG2644=$AK$22,MONTH(V2644),"")</f>
        <v/>
      </c>
      <c r="AL2644" s="86" t="str">
        <f>+IF(AG2644=$AL$22,MONTH(V2644),"")</f>
        <v/>
      </c>
      <c r="AM2644" s="86" t="str">
        <f>+IF($AG2644=$AM$22,MONTH($D2644),"")</f>
        <v/>
      </c>
      <c r="AN2644" s="89" t="str">
        <f>+IF($AG2644=AN$22,MONTH($D2644),"")</f>
        <v/>
      </c>
      <c r="AO2644" s="86" t="str">
        <f>+IF($AG2644=AO$22,MONTH($D2644),"")</f>
        <v/>
      </c>
      <c r="AP2644" s="86" t="str">
        <f>+IF($AG2644=AP$22,MONTH($D2644),"")</f>
        <v/>
      </c>
      <c r="AQ2644" s="86" t="str">
        <f>+IF($AG2644=AQ$22,MONTH($D2644),"")</f>
        <v/>
      </c>
      <c r="AR2644" s="86" t="str">
        <f>+IF($AG2644=AR$22,MONTH($D2644),"")</f>
        <v/>
      </c>
      <c r="AS2644" s="86" t="str">
        <f>+IF($AG2644=AS$22,MONTH($D2644),"")</f>
        <v/>
      </c>
      <c r="AT2644" s="86" t="str">
        <f>+IF($AG2644=AT$22,MONTH($D2644),"")</f>
        <v/>
      </c>
      <c r="AU2644" s="86" t="str">
        <f>+IF($AG2644=AU$22,MONTH($D2644),"")</f>
        <v/>
      </c>
      <c r="AV2644" s="86" t="str">
        <f>+IF($AG2644=AV$22,MONTH($D2644),"")</f>
        <v/>
      </c>
      <c r="AW2644" s="86">
        <f>+IF($AG2644=AW$22,MONTH($D2644),"")</f>
        <v>11</v>
      </c>
      <c r="AX2644" s="86" t="str">
        <f>+IF($AG2644=AX$22,MONTH($D2644),"")</f>
        <v/>
      </c>
      <c r="AY2644" s="182"/>
      <c r="AZ2644" s="182"/>
      <c r="BA2644" s="182"/>
      <c r="BB2644" s="182"/>
      <c r="BC2644" s="182"/>
      <c r="BD2644" s="182"/>
      <c r="BE2644" s="182"/>
      <c r="BF2644" s="182"/>
      <c r="BG2644" s="182"/>
      <c r="BH2644" s="182"/>
      <c r="BI2644" s="182"/>
      <c r="BJ2644" s="182"/>
      <c r="BK2644" s="182"/>
      <c r="BL2644" s="182"/>
      <c r="BM2644" s="182"/>
      <c r="BN2644" s="182"/>
      <c r="BO2644" s="182"/>
      <c r="BP2644" s="182"/>
    </row>
    <row r="2645" spans="1:68" s="51" customFormat="1" ht="19.5" hidden="1" customHeight="1">
      <c r="A2645" s="204">
        <f>+IFERROR(VALUE(MID(AB2645,4,4)),"")</f>
        <v>43</v>
      </c>
      <c r="B2645" s="204">
        <f>VALUE(RIGHT(C2645,LEN(C2645)-2))</f>
        <v>86</v>
      </c>
      <c r="C2645" s="74" t="s">
        <v>8963</v>
      </c>
      <c r="D2645" s="75">
        <v>40855</v>
      </c>
      <c r="E2645" s="70" t="s">
        <v>35</v>
      </c>
      <c r="F2645" s="70" t="s">
        <v>8964</v>
      </c>
      <c r="G2645" s="68"/>
      <c r="H2645" s="59"/>
      <c r="I2645" s="162" t="s">
        <v>8965</v>
      </c>
      <c r="J2645" s="272"/>
      <c r="K2645" s="71" t="s">
        <v>25</v>
      </c>
      <c r="L2645" s="69" t="s">
        <v>120</v>
      </c>
      <c r="M2645" s="69" t="s">
        <v>113</v>
      </c>
      <c r="N2645" s="69" t="e" vm="2">
        <v>#VALUE!</v>
      </c>
      <c r="O2645" s="164">
        <v>40848</v>
      </c>
      <c r="P2645" s="72" t="s">
        <v>402</v>
      </c>
      <c r="Q2645" s="72"/>
      <c r="R2645" s="162"/>
      <c r="S2645" s="146"/>
      <c r="T2645" s="68" t="s">
        <v>3</v>
      </c>
      <c r="U2645" s="87"/>
      <c r="V2645" s="183">
        <v>40858</v>
      </c>
      <c r="W2645" s="73">
        <v>180</v>
      </c>
      <c r="X2645" s="73">
        <f>30000*0.000284</f>
        <v>8.5200000000000014</v>
      </c>
      <c r="Y2645" s="73">
        <f>IF(SUM(W2645:W2645)&gt;0,X2645/SUM(W2645:W2645)*1000000,"N/A")</f>
        <v>47333.333333333336</v>
      </c>
      <c r="Z2645" s="183"/>
      <c r="AA2645" s="183"/>
      <c r="AB2645" s="223" t="s">
        <v>8966</v>
      </c>
      <c r="AC2645" s="153"/>
      <c r="AD2645" s="331"/>
      <c r="AE2645" s="57"/>
      <c r="AF2645" s="151" t="s">
        <v>8967</v>
      </c>
      <c r="AG2645" s="182">
        <f>YEAR(D2645)</f>
        <v>2011</v>
      </c>
      <c r="AH2645" s="86" t="str">
        <f>+IF(AE2645=$AJ$22,MONTH(T2645),"")</f>
        <v/>
      </c>
      <c r="AI2645" s="86" t="str">
        <f>+IF(AF2645=$AJ$22,MONTH(U2645),"")</f>
        <v/>
      </c>
      <c r="AJ2645" s="86" t="str">
        <f>+IF(AG2645=$AJ$22,MONTH(V2645),"")</f>
        <v/>
      </c>
      <c r="AK2645" s="86" t="str">
        <f>+IF(AG2645=$AK$22,MONTH(V2645),"")</f>
        <v/>
      </c>
      <c r="AL2645" s="86" t="str">
        <f>+IF(AG2645=$AL$22,MONTH(V2645),"")</f>
        <v/>
      </c>
      <c r="AM2645" s="86" t="str">
        <f>+IF($AG2645=$AM$22,MONTH($D2645),"")</f>
        <v/>
      </c>
      <c r="AN2645" s="89" t="str">
        <f>+IF($AG2645=AN$22,MONTH($D2645),"")</f>
        <v/>
      </c>
      <c r="AO2645" s="86" t="str">
        <f>+IF($AG2645=AO$22,MONTH($D2645),"")</f>
        <v/>
      </c>
      <c r="AP2645" s="86" t="str">
        <f>+IF($AG2645=AP$22,MONTH($D2645),"")</f>
        <v/>
      </c>
      <c r="AQ2645" s="86" t="str">
        <f>+IF($AG2645=AQ$22,MONTH($D2645),"")</f>
        <v/>
      </c>
      <c r="AR2645" s="86" t="str">
        <f>+IF($AG2645=AR$22,MONTH($D2645),"")</f>
        <v/>
      </c>
      <c r="AS2645" s="86" t="str">
        <f>+IF($AG2645=AS$22,MONTH($D2645),"")</f>
        <v/>
      </c>
      <c r="AT2645" s="86" t="str">
        <f>+IF($AG2645=AT$22,MONTH($D2645),"")</f>
        <v/>
      </c>
      <c r="AU2645" s="86" t="str">
        <f>+IF($AG2645=AU$22,MONTH($D2645),"")</f>
        <v/>
      </c>
      <c r="AV2645" s="86" t="str">
        <f>+IF($AG2645=AV$22,MONTH($D2645),"")</f>
        <v/>
      </c>
      <c r="AW2645" s="86">
        <f>+IF($AG2645=AW$22,MONTH($D2645),"")</f>
        <v>11</v>
      </c>
      <c r="AX2645" s="86" t="str">
        <f>+IF($AG2645=AX$22,MONTH($D2645),"")</f>
        <v/>
      </c>
      <c r="AY2645" s="182"/>
      <c r="AZ2645" s="182"/>
      <c r="BA2645" s="182"/>
      <c r="BB2645" s="182"/>
      <c r="BC2645" s="182"/>
      <c r="BD2645" s="182"/>
      <c r="BE2645" s="182"/>
      <c r="BF2645" s="182"/>
      <c r="BG2645" s="182"/>
      <c r="BH2645" s="182"/>
      <c r="BI2645" s="182"/>
      <c r="BJ2645" s="182"/>
      <c r="BK2645" s="182"/>
      <c r="BL2645" s="182"/>
      <c r="BM2645" s="182"/>
      <c r="BN2645" s="182"/>
      <c r="BO2645" s="182"/>
      <c r="BP2645" s="182"/>
    </row>
    <row r="2646" spans="1:68" s="51" customFormat="1" ht="19.5" hidden="1" customHeight="1">
      <c r="A2646" s="204">
        <f>+IFERROR(VALUE(MID(AB2646,4,4)),"")</f>
        <v>93</v>
      </c>
      <c r="B2646" s="204">
        <f>VALUE(RIGHT(C2646,LEN(C2646)-2))</f>
        <v>85</v>
      </c>
      <c r="C2646" s="74" t="s">
        <v>8968</v>
      </c>
      <c r="D2646" s="75">
        <v>40855</v>
      </c>
      <c r="E2646" s="70" t="s">
        <v>35</v>
      </c>
      <c r="F2646" s="70" t="s">
        <v>3742</v>
      </c>
      <c r="G2646" s="68" t="s">
        <v>8918</v>
      </c>
      <c r="H2646" s="59"/>
      <c r="I2646" s="162" t="s">
        <v>8969</v>
      </c>
      <c r="J2646" s="272"/>
      <c r="K2646" s="71" t="s">
        <v>13</v>
      </c>
      <c r="L2646" s="69" t="s">
        <v>120</v>
      </c>
      <c r="M2646" s="69" t="s">
        <v>113</v>
      </c>
      <c r="N2646" s="69" t="e" vm="2">
        <v>#VALUE!</v>
      </c>
      <c r="O2646" s="160">
        <v>40848</v>
      </c>
      <c r="P2646" s="72" t="s">
        <v>402</v>
      </c>
      <c r="Q2646" s="72"/>
      <c r="R2646" s="162"/>
      <c r="S2646" s="146"/>
      <c r="T2646" s="68" t="s">
        <v>3</v>
      </c>
      <c r="U2646" s="87"/>
      <c r="V2646" s="183">
        <v>40858</v>
      </c>
      <c r="W2646" s="73">
        <v>1250</v>
      </c>
      <c r="X2646" s="73"/>
      <c r="Y2646" s="73">
        <f>IF(SUM(W2646:W2646)&gt;0,X2646/SUM(W2646:W2646)*1000000,"N/A")</f>
        <v>0</v>
      </c>
      <c r="Z2646" s="183"/>
      <c r="AA2646" s="183"/>
      <c r="AB2646" s="223" t="s">
        <v>8970</v>
      </c>
      <c r="AC2646" s="153"/>
      <c r="AD2646" s="331"/>
      <c r="AE2646" s="57"/>
      <c r="AF2646" s="182" t="s">
        <v>8925</v>
      </c>
      <c r="AG2646" s="182">
        <f>YEAR(D2646)</f>
        <v>2011</v>
      </c>
      <c r="AH2646" s="86" t="str">
        <f>+IF(AE2646=$AJ$22,MONTH(T2646),"")</f>
        <v/>
      </c>
      <c r="AI2646" s="86" t="str">
        <f>+IF(AF2646=$AJ$22,MONTH(U2646),"")</f>
        <v/>
      </c>
      <c r="AJ2646" s="86" t="str">
        <f>+IF(AG2646=$AJ$22,MONTH(V2646),"")</f>
        <v/>
      </c>
      <c r="AK2646" s="86" t="str">
        <f>+IF(AG2646=$AK$22,MONTH(V2646),"")</f>
        <v/>
      </c>
      <c r="AL2646" s="86" t="str">
        <f>+IF(AG2646=$AL$22,MONTH(V2646),"")</f>
        <v/>
      </c>
      <c r="AM2646" s="86" t="str">
        <f>+IF($AG2646=$AM$22,MONTH($D2646),"")</f>
        <v/>
      </c>
      <c r="AN2646" s="89" t="str">
        <f>+IF($AG2646=AN$22,MONTH($D2646),"")</f>
        <v/>
      </c>
      <c r="AO2646" s="86" t="str">
        <f>+IF($AG2646=AO$22,MONTH($D2646),"")</f>
        <v/>
      </c>
      <c r="AP2646" s="86" t="str">
        <f>+IF($AG2646=AP$22,MONTH($D2646),"")</f>
        <v/>
      </c>
      <c r="AQ2646" s="86" t="str">
        <f>+IF($AG2646=AQ$22,MONTH($D2646),"")</f>
        <v/>
      </c>
      <c r="AR2646" s="86" t="str">
        <f>+IF($AG2646=AR$22,MONTH($D2646),"")</f>
        <v/>
      </c>
      <c r="AS2646" s="86" t="str">
        <f>+IF($AG2646=AS$22,MONTH($D2646),"")</f>
        <v/>
      </c>
      <c r="AT2646" s="86" t="str">
        <f>+IF($AG2646=AT$22,MONTH($D2646),"")</f>
        <v/>
      </c>
      <c r="AU2646" s="86" t="str">
        <f>+IF($AG2646=AU$22,MONTH($D2646),"")</f>
        <v/>
      </c>
      <c r="AV2646" s="86" t="str">
        <f>+IF($AG2646=AV$22,MONTH($D2646),"")</f>
        <v/>
      </c>
      <c r="AW2646" s="86">
        <f>+IF($AG2646=AW$22,MONTH($D2646),"")</f>
        <v>11</v>
      </c>
      <c r="AX2646" s="86" t="str">
        <f>+IF($AG2646=AX$22,MONTH($D2646),"")</f>
        <v/>
      </c>
      <c r="AY2646" s="182"/>
      <c r="AZ2646" s="182"/>
      <c r="BA2646" s="182"/>
      <c r="BB2646" s="182"/>
      <c r="BC2646" s="182"/>
      <c r="BD2646" s="182"/>
      <c r="BE2646" s="182"/>
      <c r="BF2646" s="182"/>
      <c r="BG2646" s="182"/>
      <c r="BH2646" s="182"/>
      <c r="BI2646" s="182"/>
      <c r="BJ2646" s="182"/>
      <c r="BK2646" s="182"/>
      <c r="BL2646" s="182"/>
      <c r="BM2646" s="182"/>
      <c r="BN2646" s="182"/>
      <c r="BO2646" s="182"/>
      <c r="BP2646" s="182"/>
    </row>
    <row r="2647" spans="1:68" s="51" customFormat="1" ht="19.5" hidden="1" customHeight="1">
      <c r="A2647" s="204" t="str">
        <f>+IFERROR(VALUE(MID(AB2647,4,4)),"")</f>
        <v/>
      </c>
      <c r="B2647" s="204">
        <f>VALUE(RIGHT(C2647,LEN(C2647)-2))</f>
        <v>84</v>
      </c>
      <c r="C2647" s="74" t="s">
        <v>8971</v>
      </c>
      <c r="D2647" s="75">
        <v>40854</v>
      </c>
      <c r="E2647" s="70" t="s">
        <v>8848</v>
      </c>
      <c r="F2647" s="70" t="s">
        <v>8848</v>
      </c>
      <c r="G2647" s="68"/>
      <c r="H2647" s="59"/>
      <c r="I2647" s="162" t="s">
        <v>8972</v>
      </c>
      <c r="J2647" s="272"/>
      <c r="K2647" s="71" t="s">
        <v>12</v>
      </c>
      <c r="L2647" s="69" t="s">
        <v>120</v>
      </c>
      <c r="M2647" s="69" t="s">
        <v>113</v>
      </c>
      <c r="N2647" s="69" t="e" vm="2">
        <v>#VALUE!</v>
      </c>
      <c r="O2647" s="164">
        <v>40854</v>
      </c>
      <c r="P2647" s="72" t="s">
        <v>402</v>
      </c>
      <c r="Q2647" s="72"/>
      <c r="R2647" s="162"/>
      <c r="S2647" s="146"/>
      <c r="T2647" s="68" t="s">
        <v>165</v>
      </c>
      <c r="U2647" s="87"/>
      <c r="V2647" s="183">
        <v>40956</v>
      </c>
      <c r="W2647" s="73">
        <v>615</v>
      </c>
      <c r="X2647" s="73">
        <f>86850*0.000284</f>
        <v>24.665400000000002</v>
      </c>
      <c r="Y2647" s="73">
        <f>IF(SUM(W2647:W2647)&gt;0,X2647/SUM(W2647:W2647)*1000000,"N/A")</f>
        <v>40106.341463414639</v>
      </c>
      <c r="Z2647" s="183"/>
      <c r="AA2647" s="183"/>
      <c r="AB2647" s="223"/>
      <c r="AC2647" s="153"/>
      <c r="AD2647" s="331"/>
      <c r="AE2647" s="57"/>
      <c r="AF2647" s="182" t="s">
        <v>8925</v>
      </c>
      <c r="AG2647" s="182">
        <f>YEAR(D2647)</f>
        <v>2011</v>
      </c>
      <c r="AH2647" s="86" t="str">
        <f>+IF(AE2647=$AJ$22,MONTH(T2647),"")</f>
        <v/>
      </c>
      <c r="AI2647" s="86" t="str">
        <f>+IF(AF2647=$AJ$22,MONTH(U2647),"")</f>
        <v/>
      </c>
      <c r="AJ2647" s="86" t="str">
        <f>+IF(AG2647=$AJ$22,MONTH(V2647),"")</f>
        <v/>
      </c>
      <c r="AK2647" s="86" t="str">
        <f>+IF(AG2647=$AK$22,MONTH(V2647),"")</f>
        <v/>
      </c>
      <c r="AL2647" s="86" t="str">
        <f>+IF(AG2647=$AL$22,MONTH(V2647),"")</f>
        <v/>
      </c>
      <c r="AM2647" s="86" t="str">
        <f>+IF($AG2647=$AM$22,MONTH($D2647),"")</f>
        <v/>
      </c>
      <c r="AN2647" s="89" t="str">
        <f>+IF($AG2647=AN$22,MONTH($D2647),"")</f>
        <v/>
      </c>
      <c r="AO2647" s="184" t="str">
        <f>+IF($AG2647=AO$22,MONTH($D2647),"")</f>
        <v/>
      </c>
      <c r="AP2647" s="184" t="str">
        <f>+IF($AG2647=AP$22,MONTH($D2647),"")</f>
        <v/>
      </c>
      <c r="AQ2647" s="184" t="str">
        <f>+IF($AG2647=AQ$22,MONTH($D2647),"")</f>
        <v/>
      </c>
      <c r="AR2647" s="184" t="str">
        <f>+IF($AG2647=AR$22,MONTH($D2647),"")</f>
        <v/>
      </c>
      <c r="AS2647" s="184" t="str">
        <f>+IF($AG2647=AS$22,MONTH($D2647),"")</f>
        <v/>
      </c>
      <c r="AT2647" s="86" t="str">
        <f>+IF($AG2647=AT$22,MONTH($D2647),"")</f>
        <v/>
      </c>
      <c r="AU2647" s="86" t="str">
        <f>+IF($AG2647=AU$22,MONTH($D2647),"")</f>
        <v/>
      </c>
      <c r="AV2647" s="86" t="str">
        <f>+IF($AG2647=AV$22,MONTH($D2647),"")</f>
        <v/>
      </c>
      <c r="AW2647" s="86">
        <f>+IF($AG2647=AW$22,MONTH($D2647),"")</f>
        <v>11</v>
      </c>
      <c r="AX2647" s="86" t="str">
        <f>+IF($AG2647=AX$22,MONTH($D2647),"")</f>
        <v/>
      </c>
      <c r="AY2647" s="182"/>
      <c r="AZ2647" s="182"/>
      <c r="BA2647" s="182"/>
      <c r="BB2647" s="182"/>
      <c r="BC2647" s="182"/>
      <c r="BD2647" s="182"/>
      <c r="BE2647" s="182"/>
      <c r="BF2647" s="182"/>
      <c r="BG2647" s="182"/>
      <c r="BH2647" s="182"/>
      <c r="BI2647" s="182"/>
      <c r="BJ2647" s="182"/>
      <c r="BK2647" s="182"/>
      <c r="BL2647" s="182"/>
      <c r="BM2647" s="182"/>
      <c r="BN2647" s="182"/>
      <c r="BO2647" s="182"/>
      <c r="BP2647" s="182"/>
    </row>
    <row r="2648" spans="1:68" s="51" customFormat="1" ht="19.5" hidden="1" customHeight="1">
      <c r="A2648" s="204">
        <f>+IFERROR(VALUE(MID(AB2648,4,4)),"")</f>
        <v>40</v>
      </c>
      <c r="B2648" s="204">
        <f>VALUE(RIGHT(C2648,LEN(C2648)-2))</f>
        <v>83</v>
      </c>
      <c r="C2648" s="74" t="s">
        <v>8973</v>
      </c>
      <c r="D2648" s="75">
        <v>40843</v>
      </c>
      <c r="E2648" s="70" t="s">
        <v>95</v>
      </c>
      <c r="F2648" s="70" t="s">
        <v>95</v>
      </c>
      <c r="G2648" s="68"/>
      <c r="H2648" s="59"/>
      <c r="I2648" s="162" t="s">
        <v>8974</v>
      </c>
      <c r="J2648" s="272"/>
      <c r="K2648" s="71"/>
      <c r="L2648" s="69"/>
      <c r="M2648" s="69"/>
      <c r="N2648" s="69"/>
      <c r="O2648" s="164"/>
      <c r="P2648" s="72" t="s">
        <v>4567</v>
      </c>
      <c r="Q2648" s="72"/>
      <c r="R2648" s="162"/>
      <c r="S2648" s="146" t="s">
        <v>8975</v>
      </c>
      <c r="T2648" s="68" t="s">
        <v>155</v>
      </c>
      <c r="U2648" s="87"/>
      <c r="V2648" s="183">
        <v>40843</v>
      </c>
      <c r="W2648" s="73"/>
      <c r="X2648" s="73"/>
      <c r="Y2648" s="73" t="str">
        <f>IF(SUM(W2648:W2648)&gt;0,X2648/SUM(W2648:W2648)*1000000,"N/A")</f>
        <v>N/A</v>
      </c>
      <c r="Z2648" s="183"/>
      <c r="AA2648" s="183"/>
      <c r="AB2648" s="223" t="s">
        <v>8976</v>
      </c>
      <c r="AC2648" s="153"/>
      <c r="AD2648" s="331"/>
      <c r="AE2648" s="57"/>
      <c r="AF2648" s="151" t="s">
        <v>8925</v>
      </c>
      <c r="AG2648" s="182">
        <f>YEAR(D2648)</f>
        <v>2011</v>
      </c>
      <c r="AH2648" s="86" t="str">
        <f>+IF(AE2648=$AJ$22,MONTH(T2648),"")</f>
        <v/>
      </c>
      <c r="AI2648" s="86" t="str">
        <f>+IF(AF2648=$AJ$22,MONTH(U2648),"")</f>
        <v/>
      </c>
      <c r="AJ2648" s="86" t="str">
        <f>+IF(AG2648=$AJ$22,MONTH(V2648),"")</f>
        <v/>
      </c>
      <c r="AK2648" s="86" t="str">
        <f>+IF(AG2648=$AK$22,MONTH(V2648),"")</f>
        <v/>
      </c>
      <c r="AL2648" s="86" t="str">
        <f>+IF(AG2648=$AL$22,MONTH(V2648),"")</f>
        <v/>
      </c>
      <c r="AM2648" s="86" t="str">
        <f>+IF($AG2648=$AM$22,MONTH($D2648),"")</f>
        <v/>
      </c>
      <c r="AN2648" s="89" t="str">
        <f>+IF($AG2648=AN$22,MONTH($D2648),"")</f>
        <v/>
      </c>
      <c r="AO2648" s="184" t="str">
        <f>+IF($AG2648=AO$22,MONTH($D2648),"")</f>
        <v/>
      </c>
      <c r="AP2648" s="184" t="str">
        <f>+IF($AG2648=AP$22,MONTH($D2648),"")</f>
        <v/>
      </c>
      <c r="AQ2648" s="184" t="str">
        <f>+IF($AG2648=AQ$22,MONTH($D2648),"")</f>
        <v/>
      </c>
      <c r="AR2648" s="184" t="str">
        <f>+IF($AG2648=AR$22,MONTH($D2648),"")</f>
        <v/>
      </c>
      <c r="AS2648" s="184" t="str">
        <f>+IF($AG2648=AS$22,MONTH($D2648),"")</f>
        <v/>
      </c>
      <c r="AT2648" s="86" t="str">
        <f>+IF($AG2648=AT$22,MONTH($D2648),"")</f>
        <v/>
      </c>
      <c r="AU2648" s="86" t="str">
        <f>+IF($AG2648=AU$22,MONTH($D2648),"")</f>
        <v/>
      </c>
      <c r="AV2648" s="86" t="str">
        <f>+IF($AG2648=AV$22,MONTH($D2648),"")</f>
        <v/>
      </c>
      <c r="AW2648" s="86">
        <f>+IF($AG2648=AW$22,MONTH($D2648),"")</f>
        <v>10</v>
      </c>
      <c r="AX2648" s="86" t="str">
        <f>+IF($AG2648=AX$22,MONTH($D2648),"")</f>
        <v/>
      </c>
      <c r="AY2648" s="182"/>
      <c r="AZ2648" s="182"/>
      <c r="BA2648" s="182"/>
      <c r="BB2648" s="182"/>
      <c r="BC2648" s="182"/>
      <c r="BD2648" s="182"/>
      <c r="BE2648" s="182"/>
      <c r="BF2648" s="182"/>
      <c r="BG2648" s="182"/>
      <c r="BH2648" s="182"/>
      <c r="BI2648" s="182"/>
      <c r="BJ2648" s="182"/>
      <c r="BK2648" s="182"/>
      <c r="BL2648" s="182"/>
      <c r="BM2648" s="182"/>
      <c r="BN2648" s="182"/>
      <c r="BO2648" s="182"/>
      <c r="BP2648" s="182"/>
    </row>
    <row r="2649" spans="1:68" s="51" customFormat="1" ht="19.5" hidden="1" customHeight="1">
      <c r="A2649" s="204" t="str">
        <f>+IFERROR(VALUE(MID(AB2649,4,4)),"")</f>
        <v/>
      </c>
      <c r="B2649" s="204">
        <f>VALUE(RIGHT(C2649,LEN(C2649)-2))</f>
        <v>82</v>
      </c>
      <c r="C2649" s="74" t="s">
        <v>8977</v>
      </c>
      <c r="D2649" s="75">
        <v>40840</v>
      </c>
      <c r="E2649" s="70" t="s">
        <v>68</v>
      </c>
      <c r="F2649" s="70" t="s">
        <v>313</v>
      </c>
      <c r="G2649" s="68" t="s">
        <v>8900</v>
      </c>
      <c r="H2649" s="59"/>
      <c r="I2649" s="162" t="s">
        <v>8978</v>
      </c>
      <c r="J2649" s="272"/>
      <c r="K2649" s="71" t="s">
        <v>13</v>
      </c>
      <c r="L2649" s="69" t="s">
        <v>123</v>
      </c>
      <c r="M2649" s="69" t="s">
        <v>141</v>
      </c>
      <c r="N2649" s="69" t="e" vm="1">
        <v>#VALUE!</v>
      </c>
      <c r="O2649" s="164">
        <v>41212</v>
      </c>
      <c r="P2649" s="72" t="s">
        <v>4567</v>
      </c>
      <c r="Q2649" s="72"/>
      <c r="R2649" s="162"/>
      <c r="S2649" s="146"/>
      <c r="T2649" s="68" t="s">
        <v>165</v>
      </c>
      <c r="U2649" s="87"/>
      <c r="V2649" s="183">
        <v>40841</v>
      </c>
      <c r="W2649" s="73">
        <v>3855</v>
      </c>
      <c r="X2649" s="73"/>
      <c r="Y2649" s="73">
        <f>IF(SUM(W2649:W2649)&gt;0,X2649/SUM(W2649:W2649)*1000000,"N/A")</f>
        <v>0</v>
      </c>
      <c r="Z2649" s="183"/>
      <c r="AA2649" s="183"/>
      <c r="AB2649" s="223"/>
      <c r="AC2649" s="153"/>
      <c r="AD2649" s="331"/>
      <c r="AE2649" s="57"/>
      <c r="AF2649" s="151"/>
      <c r="AG2649" s="182">
        <f>YEAR(D2649)</f>
        <v>2011</v>
      </c>
      <c r="AH2649" s="86" t="str">
        <f>+IF(AE2649=$AJ$22,MONTH(T2649),"")</f>
        <v/>
      </c>
      <c r="AI2649" s="86" t="str">
        <f>+IF(AF2649=$AJ$22,MONTH(U2649),"")</f>
        <v/>
      </c>
      <c r="AJ2649" s="86" t="str">
        <f>+IF(AG2649=$AJ$22,MONTH(V2649),"")</f>
        <v/>
      </c>
      <c r="AK2649" s="86" t="str">
        <f>+IF(AG2649=$AK$22,MONTH(V2649),"")</f>
        <v/>
      </c>
      <c r="AL2649" s="86" t="str">
        <f>+IF(AG2649=$AL$22,MONTH(V2649),"")</f>
        <v/>
      </c>
      <c r="AM2649" s="86" t="str">
        <f>+IF($AG2649=$AM$22,MONTH($D2649),"")</f>
        <v/>
      </c>
      <c r="AN2649" s="89" t="str">
        <f>+IF($AG2649=AN$22,MONTH($D2649),"")</f>
        <v/>
      </c>
      <c r="AO2649" s="184" t="str">
        <f>+IF($AG2649=AO$22,MONTH($D2649),"")</f>
        <v/>
      </c>
      <c r="AP2649" s="184" t="str">
        <f>+IF($AG2649=AP$22,MONTH($D2649),"")</f>
        <v/>
      </c>
      <c r="AQ2649" s="184" t="str">
        <f>+IF($AG2649=AQ$22,MONTH($D2649),"")</f>
        <v/>
      </c>
      <c r="AR2649" s="184" t="str">
        <f>+IF($AG2649=AR$22,MONTH($D2649),"")</f>
        <v/>
      </c>
      <c r="AS2649" s="184" t="str">
        <f>+IF($AG2649=AS$22,MONTH($D2649),"")</f>
        <v/>
      </c>
      <c r="AT2649" s="86" t="str">
        <f>+IF($AG2649=AT$22,MONTH($D2649),"")</f>
        <v/>
      </c>
      <c r="AU2649" s="86" t="str">
        <f>+IF($AG2649=AU$22,MONTH($D2649),"")</f>
        <v/>
      </c>
      <c r="AV2649" s="86" t="str">
        <f>+IF($AG2649=AV$22,MONTH($D2649),"")</f>
        <v/>
      </c>
      <c r="AW2649" s="86">
        <f>+IF($AG2649=AW$22,MONTH($D2649),"")</f>
        <v>10</v>
      </c>
      <c r="AX2649" s="86" t="str">
        <f>+IF($AG2649=AX$22,MONTH($D2649),"")</f>
        <v/>
      </c>
      <c r="AY2649" s="182"/>
      <c r="AZ2649" s="182"/>
      <c r="BA2649" s="182"/>
      <c r="BB2649" s="182"/>
      <c r="BC2649" s="182"/>
      <c r="BD2649" s="182"/>
      <c r="BE2649" s="182"/>
      <c r="BF2649" s="182"/>
      <c r="BG2649" s="182"/>
      <c r="BH2649" s="182"/>
      <c r="BI2649" s="182"/>
      <c r="BJ2649" s="182"/>
      <c r="BK2649" s="182"/>
      <c r="BL2649" s="182"/>
      <c r="BM2649" s="182"/>
      <c r="BN2649" s="182"/>
      <c r="BO2649" s="182"/>
      <c r="BP2649" s="182"/>
    </row>
    <row r="2650" spans="1:68" s="51" customFormat="1" ht="19.5" hidden="1" customHeight="1">
      <c r="A2650" s="204" t="str">
        <f>+IFERROR(VALUE(MID(AB2650,4,4)),"")</f>
        <v/>
      </c>
      <c r="B2650" s="204">
        <f>VALUE(RIGHT(C2650,LEN(C2650)-2))</f>
        <v>81</v>
      </c>
      <c r="C2650" s="74" t="s">
        <v>8979</v>
      </c>
      <c r="D2650" s="75">
        <v>40840</v>
      </c>
      <c r="E2650" s="70" t="s">
        <v>68</v>
      </c>
      <c r="F2650" s="70" t="s">
        <v>313</v>
      </c>
      <c r="G2650" s="68" t="s">
        <v>8900</v>
      </c>
      <c r="H2650" s="59"/>
      <c r="I2650" s="162" t="s">
        <v>8980</v>
      </c>
      <c r="J2650" s="272"/>
      <c r="K2650" s="71" t="s">
        <v>12</v>
      </c>
      <c r="L2650" s="69" t="s">
        <v>123</v>
      </c>
      <c r="M2650" s="69" t="s">
        <v>141</v>
      </c>
      <c r="N2650" s="69" t="e" vm="1">
        <v>#VALUE!</v>
      </c>
      <c r="O2650" s="164">
        <v>41212</v>
      </c>
      <c r="P2650" s="72" t="s">
        <v>4567</v>
      </c>
      <c r="Q2650" s="72"/>
      <c r="R2650" s="162"/>
      <c r="S2650" s="146"/>
      <c r="T2650" s="68" t="s">
        <v>165</v>
      </c>
      <c r="U2650" s="87"/>
      <c r="V2650" s="183">
        <v>40841</v>
      </c>
      <c r="W2650" s="73">
        <v>859</v>
      </c>
      <c r="X2650" s="73">
        <f>2095*22500/1000000</f>
        <v>47.137500000000003</v>
      </c>
      <c r="Y2650" s="73">
        <f>IF(SUM(W2650:W2650)&gt;0,X2650/SUM(W2650:W2650)*1000000,"N/A")</f>
        <v>54874.854481955765</v>
      </c>
      <c r="Z2650" s="183"/>
      <c r="AA2650" s="183"/>
      <c r="AB2650" s="223"/>
      <c r="AC2650" s="153"/>
      <c r="AD2650" s="331"/>
      <c r="AE2650" s="57"/>
      <c r="AF2650" s="151"/>
      <c r="AG2650" s="182">
        <f>YEAR(D2650)</f>
        <v>2011</v>
      </c>
      <c r="AH2650" s="86" t="str">
        <f>+IF(AE2650=$AJ$22,MONTH(T2650),"")</f>
        <v/>
      </c>
      <c r="AI2650" s="86" t="str">
        <f>+IF(AF2650=$AJ$22,MONTH(U2650),"")</f>
        <v/>
      </c>
      <c r="AJ2650" s="86" t="str">
        <f>+IF(AG2650=$AJ$22,MONTH(V2650),"")</f>
        <v/>
      </c>
      <c r="AK2650" s="86" t="str">
        <f>+IF(AG2650=$AK$22,MONTH(V2650),"")</f>
        <v/>
      </c>
      <c r="AL2650" s="86" t="str">
        <f>+IF(AG2650=$AL$22,MONTH(V2650),"")</f>
        <v/>
      </c>
      <c r="AM2650" s="86" t="str">
        <f>+IF($AG2650=$AM$22,MONTH($D2650),"")</f>
        <v/>
      </c>
      <c r="AN2650" s="89" t="str">
        <f>+IF($AG2650=AN$22,MONTH($D2650),"")</f>
        <v/>
      </c>
      <c r="AO2650" s="184" t="str">
        <f>+IF($AG2650=AO$22,MONTH($D2650),"")</f>
        <v/>
      </c>
      <c r="AP2650" s="184" t="str">
        <f>+IF($AG2650=AP$22,MONTH($D2650),"")</f>
        <v/>
      </c>
      <c r="AQ2650" s="184" t="str">
        <f>+IF($AG2650=AQ$22,MONTH($D2650),"")</f>
        <v/>
      </c>
      <c r="AR2650" s="184" t="str">
        <f>+IF($AG2650=AR$22,MONTH($D2650),"")</f>
        <v/>
      </c>
      <c r="AS2650" s="184" t="str">
        <f>+IF($AG2650=AS$22,MONTH($D2650),"")</f>
        <v/>
      </c>
      <c r="AT2650" s="86" t="str">
        <f>+IF($AG2650=AT$22,MONTH($D2650),"")</f>
        <v/>
      </c>
      <c r="AU2650" s="86" t="str">
        <f>+IF($AG2650=AU$22,MONTH($D2650),"")</f>
        <v/>
      </c>
      <c r="AV2650" s="86" t="str">
        <f>+IF($AG2650=AV$22,MONTH($D2650),"")</f>
        <v/>
      </c>
      <c r="AW2650" s="86">
        <f>+IF($AG2650=AW$22,MONTH($D2650),"")</f>
        <v>10</v>
      </c>
      <c r="AX2650" s="86" t="str">
        <f>+IF($AG2650=AX$22,MONTH($D2650),"")</f>
        <v/>
      </c>
      <c r="AY2650" s="182"/>
      <c r="AZ2650" s="182"/>
      <c r="BA2650" s="182"/>
      <c r="BB2650" s="182"/>
      <c r="BC2650" s="182"/>
      <c r="BD2650" s="182"/>
      <c r="BE2650" s="182"/>
      <c r="BF2650" s="182"/>
      <c r="BG2650" s="182"/>
      <c r="BH2650" s="182"/>
      <c r="BI2650" s="182"/>
      <c r="BJ2650" s="182"/>
      <c r="BK2650" s="182"/>
      <c r="BL2650" s="182"/>
      <c r="BM2650" s="182"/>
      <c r="BN2650" s="182"/>
      <c r="BO2650" s="182"/>
      <c r="BP2650" s="182"/>
    </row>
    <row r="2651" spans="1:68" s="51" customFormat="1" ht="19.5" hidden="1" customHeight="1">
      <c r="A2651" s="204" t="str">
        <f>+IFERROR(VALUE(MID(AB2651,4,4)),"")</f>
        <v/>
      </c>
      <c r="B2651" s="204">
        <f>VALUE(RIGHT(C2651,LEN(C2651)-2))</f>
        <v>80</v>
      </c>
      <c r="C2651" s="74" t="s">
        <v>8981</v>
      </c>
      <c r="D2651" s="75">
        <v>40840</v>
      </c>
      <c r="E2651" s="70" t="s">
        <v>68</v>
      </c>
      <c r="F2651" s="70" t="s">
        <v>313</v>
      </c>
      <c r="G2651" s="68" t="s">
        <v>8900</v>
      </c>
      <c r="H2651" s="59"/>
      <c r="I2651" s="162" t="s">
        <v>8982</v>
      </c>
      <c r="J2651" s="272"/>
      <c r="K2651" s="71" t="s">
        <v>12</v>
      </c>
      <c r="L2651" s="69" t="s">
        <v>123</v>
      </c>
      <c r="M2651" s="69" t="s">
        <v>141</v>
      </c>
      <c r="N2651" s="69" t="e" vm="1">
        <v>#VALUE!</v>
      </c>
      <c r="O2651" s="164">
        <v>41212</v>
      </c>
      <c r="P2651" s="72" t="s">
        <v>4567</v>
      </c>
      <c r="Q2651" s="72"/>
      <c r="R2651" s="162"/>
      <c r="S2651" s="146"/>
      <c r="T2651" s="68" t="s">
        <v>165</v>
      </c>
      <c r="U2651" s="87"/>
      <c r="V2651" s="183">
        <v>40841</v>
      </c>
      <c r="W2651" s="73">
        <v>350</v>
      </c>
      <c r="X2651" s="73">
        <v>15</v>
      </c>
      <c r="Y2651" s="73">
        <f>IF(SUM(W2651:W2651)&gt;0,X2651/SUM(W2651:W2651)*1000000,"N/A")</f>
        <v>42857.142857142855</v>
      </c>
      <c r="Z2651" s="183"/>
      <c r="AA2651" s="183"/>
      <c r="AB2651" s="223"/>
      <c r="AC2651" s="153"/>
      <c r="AD2651" s="331"/>
      <c r="AE2651" s="57"/>
      <c r="AF2651" s="151"/>
      <c r="AG2651" s="182">
        <f>YEAR(D2651)</f>
        <v>2011</v>
      </c>
      <c r="AH2651" s="86" t="str">
        <f>+IF(AE2651=$AJ$22,MONTH(T2651),"")</f>
        <v/>
      </c>
      <c r="AI2651" s="86" t="str">
        <f>+IF(AF2651=$AJ$22,MONTH(U2651),"")</f>
        <v/>
      </c>
      <c r="AJ2651" s="86" t="str">
        <f>+IF(AG2651=$AJ$22,MONTH(V2651),"")</f>
        <v/>
      </c>
      <c r="AK2651" s="86" t="str">
        <f>+IF(AG2651=$AK$22,MONTH(V2651),"")</f>
        <v/>
      </c>
      <c r="AL2651" s="86" t="str">
        <f>+IF(AG2651=$AL$22,MONTH(V2651),"")</f>
        <v/>
      </c>
      <c r="AM2651" s="86" t="str">
        <f>+IF($AG2651=$AM$22,MONTH($D2651),"")</f>
        <v/>
      </c>
      <c r="AN2651" s="89" t="str">
        <f>+IF($AG2651=AN$22,MONTH($D2651),"")</f>
        <v/>
      </c>
      <c r="AO2651" s="184" t="str">
        <f>+IF($AG2651=AO$22,MONTH($D2651),"")</f>
        <v/>
      </c>
      <c r="AP2651" s="184" t="str">
        <f>+IF($AG2651=AP$22,MONTH($D2651),"")</f>
        <v/>
      </c>
      <c r="AQ2651" s="184" t="str">
        <f>+IF($AG2651=AQ$22,MONTH($D2651),"")</f>
        <v/>
      </c>
      <c r="AR2651" s="184" t="str">
        <f>+IF($AG2651=AR$22,MONTH($D2651),"")</f>
        <v/>
      </c>
      <c r="AS2651" s="184" t="str">
        <f>+IF($AG2651=AS$22,MONTH($D2651),"")</f>
        <v/>
      </c>
      <c r="AT2651" s="86" t="str">
        <f>+IF($AG2651=AT$22,MONTH($D2651),"")</f>
        <v/>
      </c>
      <c r="AU2651" s="86" t="str">
        <f>+IF($AG2651=AU$22,MONTH($D2651),"")</f>
        <v/>
      </c>
      <c r="AV2651" s="86" t="str">
        <f>+IF($AG2651=AV$22,MONTH($D2651),"")</f>
        <v/>
      </c>
      <c r="AW2651" s="86">
        <f>+IF($AG2651=AW$22,MONTH($D2651),"")</f>
        <v>10</v>
      </c>
      <c r="AX2651" s="86" t="str">
        <f>+IF($AG2651=AX$22,MONTH($D2651),"")</f>
        <v/>
      </c>
      <c r="AY2651" s="182"/>
      <c r="AZ2651" s="182"/>
      <c r="BA2651" s="182"/>
      <c r="BB2651" s="182"/>
      <c r="BC2651" s="182"/>
      <c r="BD2651" s="182"/>
      <c r="BE2651" s="182"/>
      <c r="BF2651" s="182"/>
      <c r="BG2651" s="182"/>
      <c r="BH2651" s="182"/>
      <c r="BI2651" s="182"/>
      <c r="BJ2651" s="182"/>
      <c r="BK2651" s="182"/>
      <c r="BL2651" s="182"/>
      <c r="BM2651" s="182"/>
      <c r="BN2651" s="182"/>
      <c r="BO2651" s="182"/>
      <c r="BP2651" s="182"/>
    </row>
    <row r="2652" spans="1:68" s="51" customFormat="1" ht="19.5" hidden="1" customHeight="1">
      <c r="A2652" s="204" t="str">
        <f>+IFERROR(VALUE(MID(AB2652,4,4)),"")</f>
        <v/>
      </c>
      <c r="B2652" s="204">
        <f>VALUE(RIGHT(C2652,LEN(C2652)-2))</f>
        <v>79</v>
      </c>
      <c r="C2652" s="74" t="s">
        <v>8983</v>
      </c>
      <c r="D2652" s="75">
        <v>40815</v>
      </c>
      <c r="E2652" s="70" t="s">
        <v>848</v>
      </c>
      <c r="F2652" s="70" t="s">
        <v>848</v>
      </c>
      <c r="G2652" s="68"/>
      <c r="H2652" s="59"/>
      <c r="I2652" s="162" t="s">
        <v>8984</v>
      </c>
      <c r="J2652" s="272"/>
      <c r="K2652" s="71" t="s">
        <v>16</v>
      </c>
      <c r="L2652" s="69" t="s">
        <v>120</v>
      </c>
      <c r="M2652" s="69" t="s">
        <v>141</v>
      </c>
      <c r="N2652" s="69" t="e" vm="1">
        <v>#VALUE!</v>
      </c>
      <c r="O2652" s="164">
        <v>40823</v>
      </c>
      <c r="P2652" s="72" t="s">
        <v>402</v>
      </c>
      <c r="Q2652" s="72"/>
      <c r="R2652" s="162"/>
      <c r="S2652" s="146"/>
      <c r="T2652" s="68" t="s">
        <v>165</v>
      </c>
      <c r="U2652" s="87"/>
      <c r="V2652" s="183">
        <v>40815</v>
      </c>
      <c r="W2652" s="73">
        <v>587</v>
      </c>
      <c r="X2652" s="73">
        <f>1356.7*22300/1000000</f>
        <v>30.25441</v>
      </c>
      <c r="Y2652" s="73">
        <f>IF(SUM(W2652:W2652)&gt;0,X2652/SUM(W2652:W2652)*1000000,"N/A")</f>
        <v>51540.7325383305</v>
      </c>
      <c r="Z2652" s="183"/>
      <c r="AA2652" s="183"/>
      <c r="AB2652" s="223"/>
      <c r="AC2652" s="153"/>
      <c r="AD2652" s="331"/>
      <c r="AE2652" s="57"/>
      <c r="AF2652" s="151" t="s">
        <v>8925</v>
      </c>
      <c r="AG2652" s="182">
        <f>YEAR(D2652)</f>
        <v>2011</v>
      </c>
      <c r="AH2652" s="86" t="str">
        <f>+IF(AE2652=$AJ$22,MONTH(T2652),"")</f>
        <v/>
      </c>
      <c r="AI2652" s="86" t="str">
        <f>+IF(AF2652=$AJ$22,MONTH(U2652),"")</f>
        <v/>
      </c>
      <c r="AJ2652" s="86" t="str">
        <f>+IF(AG2652=$AJ$22,MONTH(V2652),"")</f>
        <v/>
      </c>
      <c r="AK2652" s="86" t="str">
        <f>+IF(AG2652=$AK$22,MONTH(V2652),"")</f>
        <v/>
      </c>
      <c r="AL2652" s="86" t="str">
        <f>+IF(AG2652=$AL$22,MONTH(V2652),"")</f>
        <v/>
      </c>
      <c r="AM2652" s="86" t="str">
        <f>+IF($AG2652=$AM$22,MONTH($D2652),"")</f>
        <v/>
      </c>
      <c r="AN2652" s="89" t="str">
        <f>+IF($AG2652=AN$22,MONTH($D2652),"")</f>
        <v/>
      </c>
      <c r="AO2652" s="184" t="str">
        <f>+IF($AG2652=AO$22,MONTH($D2652),"")</f>
        <v/>
      </c>
      <c r="AP2652" s="184" t="str">
        <f>+IF($AG2652=AP$22,MONTH($D2652),"")</f>
        <v/>
      </c>
      <c r="AQ2652" s="184" t="str">
        <f>+IF($AG2652=AQ$22,MONTH($D2652),"")</f>
        <v/>
      </c>
      <c r="AR2652" s="184" t="str">
        <f>+IF($AG2652=AR$22,MONTH($D2652),"")</f>
        <v/>
      </c>
      <c r="AS2652" s="184" t="str">
        <f>+IF($AG2652=AS$22,MONTH($D2652),"")</f>
        <v/>
      </c>
      <c r="AT2652" s="86" t="str">
        <f>+IF($AG2652=AT$22,MONTH($D2652),"")</f>
        <v/>
      </c>
      <c r="AU2652" s="86" t="str">
        <f>+IF($AG2652=AU$22,MONTH($D2652),"")</f>
        <v/>
      </c>
      <c r="AV2652" s="86" t="str">
        <f>+IF($AG2652=AV$22,MONTH($D2652),"")</f>
        <v/>
      </c>
      <c r="AW2652" s="86">
        <f>+IF($AG2652=AW$22,MONTH($D2652),"")</f>
        <v>9</v>
      </c>
      <c r="AX2652" s="86" t="str">
        <f>+IF($AG2652=AX$22,MONTH($D2652),"")</f>
        <v/>
      </c>
      <c r="AY2652" s="182"/>
      <c r="AZ2652" s="182"/>
      <c r="BA2652" s="182"/>
      <c r="BB2652" s="182"/>
      <c r="BC2652" s="182"/>
      <c r="BD2652" s="182"/>
      <c r="BE2652" s="182"/>
      <c r="BF2652" s="182"/>
      <c r="BG2652" s="182"/>
      <c r="BH2652" s="182"/>
      <c r="BI2652" s="182"/>
      <c r="BJ2652" s="182"/>
      <c r="BK2652" s="182"/>
      <c r="BL2652" s="182"/>
      <c r="BM2652" s="182"/>
      <c r="BN2652" s="182"/>
      <c r="BO2652" s="182"/>
      <c r="BP2652" s="182"/>
    </row>
    <row r="2653" spans="1:68" s="51" customFormat="1" ht="19.5" hidden="1" customHeight="1">
      <c r="A2653" s="204" t="str">
        <f>+IFERROR(VALUE(MID(AB2653,4,4)),"")</f>
        <v/>
      </c>
      <c r="B2653" s="204">
        <f>VALUE(RIGHT(C2653,LEN(C2653)-2))</f>
        <v>78</v>
      </c>
      <c r="C2653" s="74" t="s">
        <v>8985</v>
      </c>
      <c r="D2653" s="75">
        <v>40815</v>
      </c>
      <c r="E2653" s="70" t="s">
        <v>848</v>
      </c>
      <c r="F2653" s="70" t="s">
        <v>848</v>
      </c>
      <c r="G2653" s="68"/>
      <c r="H2653" s="59"/>
      <c r="I2653" s="162" t="s">
        <v>8986</v>
      </c>
      <c r="J2653" s="272"/>
      <c r="K2653" s="71" t="s">
        <v>212</v>
      </c>
      <c r="L2653" s="69" t="s">
        <v>120</v>
      </c>
      <c r="M2653" s="69" t="s">
        <v>141</v>
      </c>
      <c r="N2653" s="69" t="e" vm="1">
        <v>#VALUE!</v>
      </c>
      <c r="O2653" s="164">
        <v>40823</v>
      </c>
      <c r="P2653" s="72" t="s">
        <v>402</v>
      </c>
      <c r="Q2653" s="72"/>
      <c r="R2653" s="162"/>
      <c r="S2653" s="146"/>
      <c r="T2653" s="68" t="s">
        <v>165</v>
      </c>
      <c r="U2653" s="87"/>
      <c r="V2653" s="183">
        <v>40815</v>
      </c>
      <c r="W2653" s="73">
        <v>1096</v>
      </c>
      <c r="X2653" s="73">
        <f>2155*24500/1000000</f>
        <v>52.797499999999999</v>
      </c>
      <c r="Y2653" s="73">
        <f>IF(SUM(W2653:W2653)&gt;0,X2653/SUM(W2653:W2653)*1000000,"N/A")</f>
        <v>48172.901459854016</v>
      </c>
      <c r="Z2653" s="183"/>
      <c r="AA2653" s="183"/>
      <c r="AB2653" s="223"/>
      <c r="AC2653" s="153"/>
      <c r="AD2653" s="331"/>
      <c r="AE2653" s="57"/>
      <c r="AF2653" s="151"/>
      <c r="AG2653" s="182">
        <f>YEAR(D2653)</f>
        <v>2011</v>
      </c>
      <c r="AH2653" s="86" t="str">
        <f>+IF(AE2653=$AJ$22,MONTH(T2653),"")</f>
        <v/>
      </c>
      <c r="AI2653" s="86" t="str">
        <f>+IF(AF2653=$AJ$22,MONTH(U2653),"")</f>
        <v/>
      </c>
      <c r="AJ2653" s="86" t="str">
        <f>+IF(AG2653=$AJ$22,MONTH(V2653),"")</f>
        <v/>
      </c>
      <c r="AK2653" s="86" t="str">
        <f>+IF(AG2653=$AK$22,MONTH(V2653),"")</f>
        <v/>
      </c>
      <c r="AL2653" s="86" t="str">
        <f>+IF(AG2653=$AL$22,MONTH(V2653),"")</f>
        <v/>
      </c>
      <c r="AM2653" s="86" t="str">
        <f>+IF($AG2653=$AM$22,MONTH($D2653),"")</f>
        <v/>
      </c>
      <c r="AN2653" s="89" t="str">
        <f>+IF($AG2653=AN$22,MONTH($D2653),"")</f>
        <v/>
      </c>
      <c r="AO2653" s="184" t="str">
        <f>+IF($AG2653=AO$22,MONTH($D2653),"")</f>
        <v/>
      </c>
      <c r="AP2653" s="184" t="str">
        <f>+IF($AG2653=AP$22,MONTH($D2653),"")</f>
        <v/>
      </c>
      <c r="AQ2653" s="184" t="str">
        <f>+IF($AG2653=AQ$22,MONTH($D2653),"")</f>
        <v/>
      </c>
      <c r="AR2653" s="184" t="str">
        <f>+IF($AG2653=AR$22,MONTH($D2653),"")</f>
        <v/>
      </c>
      <c r="AS2653" s="184" t="str">
        <f>+IF($AG2653=AS$22,MONTH($D2653),"")</f>
        <v/>
      </c>
      <c r="AT2653" s="86" t="str">
        <f>+IF($AG2653=AT$22,MONTH($D2653),"")</f>
        <v/>
      </c>
      <c r="AU2653" s="86" t="str">
        <f>+IF($AG2653=AU$22,MONTH($D2653),"")</f>
        <v/>
      </c>
      <c r="AV2653" s="86" t="str">
        <f>+IF($AG2653=AV$22,MONTH($D2653),"")</f>
        <v/>
      </c>
      <c r="AW2653" s="86">
        <f>+IF($AG2653=AW$22,MONTH($D2653),"")</f>
        <v>9</v>
      </c>
      <c r="AX2653" s="86" t="str">
        <f>+IF($AG2653=AX$22,MONTH($D2653),"")</f>
        <v/>
      </c>
      <c r="AY2653" s="182"/>
      <c r="AZ2653" s="182"/>
      <c r="BA2653" s="182"/>
      <c r="BB2653" s="182"/>
      <c r="BC2653" s="182"/>
      <c r="BD2653" s="182"/>
      <c r="BE2653" s="182"/>
      <c r="BF2653" s="182"/>
      <c r="BG2653" s="182"/>
      <c r="BH2653" s="182"/>
      <c r="BI2653" s="182"/>
      <c r="BJ2653" s="182"/>
      <c r="BK2653" s="182"/>
      <c r="BL2653" s="182"/>
      <c r="BM2653" s="182"/>
      <c r="BN2653" s="182"/>
      <c r="BO2653" s="182"/>
      <c r="BP2653" s="182"/>
    </row>
    <row r="2654" spans="1:68" s="51" customFormat="1" ht="19.5" hidden="1" customHeight="1">
      <c r="A2654" s="204" t="str">
        <f>+IFERROR(VALUE(MID(AB2654,4,4)),"")</f>
        <v/>
      </c>
      <c r="B2654" s="204">
        <f>VALUE(RIGHT(C2654,LEN(C2654)-2))</f>
        <v>77</v>
      </c>
      <c r="C2654" s="74" t="s">
        <v>8987</v>
      </c>
      <c r="D2654" s="75">
        <v>40815</v>
      </c>
      <c r="E2654" s="70" t="s">
        <v>848</v>
      </c>
      <c r="F2654" s="70" t="s">
        <v>848</v>
      </c>
      <c r="G2654" s="68"/>
      <c r="H2654" s="59"/>
      <c r="I2654" s="162" t="s">
        <v>8988</v>
      </c>
      <c r="J2654" s="162"/>
      <c r="K2654" s="68" t="s">
        <v>16</v>
      </c>
      <c r="L2654" s="69" t="s">
        <v>120</v>
      </c>
      <c r="M2654" s="69" t="s">
        <v>141</v>
      </c>
      <c r="N2654" s="69" t="e" vm="1">
        <v>#VALUE!</v>
      </c>
      <c r="O2654" s="164">
        <v>40823</v>
      </c>
      <c r="P2654" s="72" t="s">
        <v>402</v>
      </c>
      <c r="Q2654" s="72"/>
      <c r="R2654" s="162"/>
      <c r="S2654" s="146" t="s">
        <v>8989</v>
      </c>
      <c r="T2654" s="68" t="s">
        <v>165</v>
      </c>
      <c r="U2654" s="87"/>
      <c r="V2654" s="183">
        <v>40815</v>
      </c>
      <c r="W2654" s="73">
        <v>1096</v>
      </c>
      <c r="X2654" s="73">
        <f>2155*22300/1000000</f>
        <v>48.0565</v>
      </c>
      <c r="Y2654" s="73">
        <f>IF(SUM(W2654:W2654)&gt;0,X2654/SUM(W2654:W2654)*1000000,"N/A")</f>
        <v>43847.171532846718</v>
      </c>
      <c r="Z2654" s="183"/>
      <c r="AA2654" s="183"/>
      <c r="AB2654" s="223"/>
      <c r="AC2654" s="153"/>
      <c r="AD2654" s="331"/>
      <c r="AE2654" s="57"/>
      <c r="AF2654" s="151" t="s">
        <v>8925</v>
      </c>
      <c r="AG2654" s="182">
        <f>YEAR(D2654)</f>
        <v>2011</v>
      </c>
      <c r="AH2654" s="86" t="str">
        <f>+IF(AE2654=$AJ$22,MONTH(T2654),"")</f>
        <v/>
      </c>
      <c r="AI2654" s="86" t="str">
        <f>+IF(AF2654=$AJ$22,MONTH(U2654),"")</f>
        <v/>
      </c>
      <c r="AJ2654" s="86" t="str">
        <f>+IF(AG2654=$AJ$22,MONTH(V2654),"")</f>
        <v/>
      </c>
      <c r="AK2654" s="86" t="str">
        <f>+IF(AG2654=$AK$22,MONTH(V2654),"")</f>
        <v/>
      </c>
      <c r="AL2654" s="86" t="str">
        <f>+IF(AG2654=$AL$22,MONTH(V2654),"")</f>
        <v/>
      </c>
      <c r="AM2654" s="86" t="str">
        <f>+IF($AG2654=$AM$22,MONTH($D2654),"")</f>
        <v/>
      </c>
      <c r="AN2654" s="89" t="str">
        <f>+IF($AG2654=AN$22,MONTH($D2654),"")</f>
        <v/>
      </c>
      <c r="AO2654" s="184" t="str">
        <f>+IF($AG2654=AO$22,MONTH($D2654),"")</f>
        <v/>
      </c>
      <c r="AP2654" s="184" t="str">
        <f>+IF($AG2654=AP$22,MONTH($D2654),"")</f>
        <v/>
      </c>
      <c r="AQ2654" s="184" t="str">
        <f>+IF($AG2654=AQ$22,MONTH($D2654),"")</f>
        <v/>
      </c>
      <c r="AR2654" s="184" t="str">
        <f>+IF($AG2654=AR$22,MONTH($D2654),"")</f>
        <v/>
      </c>
      <c r="AS2654" s="184" t="str">
        <f>+IF($AG2654=AS$22,MONTH($D2654),"")</f>
        <v/>
      </c>
      <c r="AT2654" s="86" t="str">
        <f>+IF($AG2654=AT$22,MONTH($D2654),"")</f>
        <v/>
      </c>
      <c r="AU2654" s="86" t="str">
        <f>+IF($AG2654=AU$22,MONTH($D2654),"")</f>
        <v/>
      </c>
      <c r="AV2654" s="86" t="str">
        <f>+IF($AG2654=AV$22,MONTH($D2654),"")</f>
        <v/>
      </c>
      <c r="AW2654" s="86">
        <f>+IF($AG2654=AW$22,MONTH($D2654),"")</f>
        <v>9</v>
      </c>
      <c r="AX2654" s="86" t="str">
        <f>+IF($AG2654=AX$22,MONTH($D2654),"")</f>
        <v/>
      </c>
      <c r="AY2654" s="182"/>
      <c r="AZ2654" s="182"/>
      <c r="BA2654" s="182"/>
      <c r="BB2654" s="182"/>
      <c r="BC2654" s="182"/>
      <c r="BD2654" s="182"/>
      <c r="BE2654" s="182"/>
      <c r="BF2654" s="182"/>
      <c r="BG2654" s="182"/>
      <c r="BH2654" s="182"/>
      <c r="BI2654" s="182"/>
      <c r="BJ2654" s="182"/>
      <c r="BK2654" s="182"/>
      <c r="BL2654" s="182"/>
      <c r="BM2654" s="182"/>
      <c r="BN2654" s="182"/>
      <c r="BO2654" s="182"/>
      <c r="BP2654" s="182"/>
    </row>
    <row r="2655" spans="1:68" s="51" customFormat="1" ht="19.5" hidden="1" customHeight="1">
      <c r="A2655" s="204" t="str">
        <f>+IFERROR(VALUE(MID(AB2655,4,4)),"")</f>
        <v/>
      </c>
      <c r="B2655" s="204">
        <f>VALUE(RIGHT(C2655,LEN(C2655)-2))</f>
        <v>76</v>
      </c>
      <c r="C2655" s="74" t="s">
        <v>8990</v>
      </c>
      <c r="D2655" s="75">
        <v>40814</v>
      </c>
      <c r="E2655" s="70" t="s">
        <v>5662</v>
      </c>
      <c r="F2655" s="70" t="s">
        <v>8593</v>
      </c>
      <c r="G2655" s="68" t="s">
        <v>7892</v>
      </c>
      <c r="H2655" s="59" t="s">
        <v>7971</v>
      </c>
      <c r="I2655" s="162" t="s">
        <v>8991</v>
      </c>
      <c r="J2655" s="272"/>
      <c r="K2655" s="71" t="s">
        <v>16</v>
      </c>
      <c r="L2655" s="69" t="s">
        <v>120</v>
      </c>
      <c r="M2655" s="69" t="s">
        <v>141</v>
      </c>
      <c r="N2655" s="69" t="e" vm="1">
        <v>#VALUE!</v>
      </c>
      <c r="O2655" s="164">
        <v>40820</v>
      </c>
      <c r="P2655" s="72" t="s">
        <v>402</v>
      </c>
      <c r="Q2655" s="72"/>
      <c r="R2655" s="162"/>
      <c r="S2655" s="146"/>
      <c r="T2655" s="68" t="s">
        <v>165</v>
      </c>
      <c r="U2655" s="87"/>
      <c r="V2655" s="183">
        <v>40815</v>
      </c>
      <c r="W2655" s="73">
        <v>400</v>
      </c>
      <c r="X2655" s="73">
        <v>16.875</v>
      </c>
      <c r="Y2655" s="73">
        <f>IF(SUM(W2655:W2655)&gt;0,X2655/SUM(W2655:W2655)*1000000,"N/A")</f>
        <v>42187.5</v>
      </c>
      <c r="Z2655" s="183"/>
      <c r="AA2655" s="183"/>
      <c r="AB2655" s="223"/>
      <c r="AC2655" s="153"/>
      <c r="AD2655" s="331"/>
      <c r="AE2655" s="57"/>
      <c r="AF2655" s="151"/>
      <c r="AG2655" s="182">
        <f>YEAR(D2655)</f>
        <v>2011</v>
      </c>
      <c r="AH2655" s="86" t="str">
        <f>+IF(AE2655=$AJ$22,MONTH(T2655),"")</f>
        <v/>
      </c>
      <c r="AI2655" s="86" t="str">
        <f>+IF(AF2655=$AJ$22,MONTH(U2655),"")</f>
        <v/>
      </c>
      <c r="AJ2655" s="86" t="str">
        <f>+IF(AG2655=$AJ$22,MONTH(V2655),"")</f>
        <v/>
      </c>
      <c r="AK2655" s="86" t="str">
        <f>+IF(AG2655=$AK$22,MONTH(V2655),"")</f>
        <v/>
      </c>
      <c r="AL2655" s="86" t="str">
        <f>+IF(AG2655=$AL$22,MONTH(V2655),"")</f>
        <v/>
      </c>
      <c r="AM2655" s="86" t="str">
        <f>+IF($AG2655=$AM$22,MONTH($D2655),"")</f>
        <v/>
      </c>
      <c r="AN2655" s="89" t="str">
        <f>+IF($AG2655=AN$22,MONTH($D2655),"")</f>
        <v/>
      </c>
      <c r="AO2655" s="184" t="str">
        <f>+IF($AG2655=AO$22,MONTH($D2655),"")</f>
        <v/>
      </c>
      <c r="AP2655" s="184" t="str">
        <f>+IF($AG2655=AP$22,MONTH($D2655),"")</f>
        <v/>
      </c>
      <c r="AQ2655" s="184" t="str">
        <f>+IF($AG2655=AQ$22,MONTH($D2655),"")</f>
        <v/>
      </c>
      <c r="AR2655" s="184" t="str">
        <f>+IF($AG2655=AR$22,MONTH($D2655),"")</f>
        <v/>
      </c>
      <c r="AS2655" s="184" t="str">
        <f>+IF($AG2655=AS$22,MONTH($D2655),"")</f>
        <v/>
      </c>
      <c r="AT2655" s="86" t="str">
        <f>+IF($AG2655=AT$22,MONTH($D2655),"")</f>
        <v/>
      </c>
      <c r="AU2655" s="86" t="str">
        <f>+IF($AG2655=AU$22,MONTH($D2655),"")</f>
        <v/>
      </c>
      <c r="AV2655" s="86" t="str">
        <f>+IF($AG2655=AV$22,MONTH($D2655),"")</f>
        <v/>
      </c>
      <c r="AW2655" s="86">
        <f>+IF($AG2655=AW$22,MONTH($D2655),"")</f>
        <v>9</v>
      </c>
      <c r="AX2655" s="86" t="str">
        <f>+IF($AG2655=AX$22,MONTH($D2655),"")</f>
        <v/>
      </c>
      <c r="AY2655" s="182"/>
      <c r="AZ2655" s="182"/>
      <c r="BA2655" s="182"/>
      <c r="BB2655" s="182"/>
      <c r="BC2655" s="182"/>
      <c r="BD2655" s="182"/>
      <c r="BE2655" s="182"/>
      <c r="BF2655" s="182"/>
      <c r="BG2655" s="182"/>
      <c r="BH2655" s="182"/>
      <c r="BI2655" s="182"/>
      <c r="BJ2655" s="182"/>
      <c r="BK2655" s="182"/>
      <c r="BL2655" s="182"/>
      <c r="BM2655" s="182"/>
      <c r="BN2655" s="182"/>
      <c r="BO2655" s="182"/>
      <c r="BP2655" s="182"/>
    </row>
    <row r="2656" spans="1:68" s="51" customFormat="1" ht="39" hidden="1" customHeight="1">
      <c r="A2656" s="204">
        <f>+IFERROR(VALUE(MID(AB2656,4,4)),"")</f>
        <v>39</v>
      </c>
      <c r="B2656" s="204">
        <f>VALUE(RIGHT(C2656,LEN(C2656)-2))</f>
        <v>75</v>
      </c>
      <c r="C2656" s="74" t="s">
        <v>8992</v>
      </c>
      <c r="D2656" s="75">
        <v>40817</v>
      </c>
      <c r="E2656" s="70" t="s">
        <v>93</v>
      </c>
      <c r="F2656" s="70"/>
      <c r="G2656" s="68"/>
      <c r="H2656" s="59"/>
      <c r="I2656" s="162" t="s">
        <v>8993</v>
      </c>
      <c r="J2656" s="272"/>
      <c r="K2656" s="71" t="s">
        <v>25</v>
      </c>
      <c r="L2656" s="69" t="s">
        <v>120</v>
      </c>
      <c r="M2656" s="69" t="s">
        <v>113</v>
      </c>
      <c r="N2656" s="69" t="e" vm="5">
        <v>#VALUE!</v>
      </c>
      <c r="O2656" s="164">
        <v>41183</v>
      </c>
      <c r="P2656" s="72" t="s">
        <v>4567</v>
      </c>
      <c r="Q2656" s="72"/>
      <c r="R2656" s="162"/>
      <c r="S2656" s="146"/>
      <c r="T2656" s="68" t="s">
        <v>3</v>
      </c>
      <c r="U2656" s="87"/>
      <c r="V2656" s="183">
        <v>40815</v>
      </c>
      <c r="W2656" s="73">
        <v>373</v>
      </c>
      <c r="X2656" s="73">
        <f>18650*500/1000000</f>
        <v>9.3249999999999993</v>
      </c>
      <c r="Y2656" s="73">
        <f>IF(SUM(W2656:W2656)&gt;0,X2656/SUM(W2656:W2656)*1000000,"N/A")</f>
        <v>24999.999999999996</v>
      </c>
      <c r="Z2656" s="183"/>
      <c r="AA2656" s="183"/>
      <c r="AB2656" s="223" t="s">
        <v>8994</v>
      </c>
      <c r="AC2656" s="153"/>
      <c r="AD2656" s="331"/>
      <c r="AE2656" s="57"/>
      <c r="AF2656" s="151"/>
      <c r="AG2656" s="182">
        <f>YEAR(D2656)</f>
        <v>2011</v>
      </c>
      <c r="AH2656" s="86" t="str">
        <f>+IF(AE2656=$AJ$22,MONTH(T2656),"")</f>
        <v/>
      </c>
      <c r="AI2656" s="86" t="str">
        <f>+IF(AF2656=$AJ$22,MONTH(U2656),"")</f>
        <v/>
      </c>
      <c r="AJ2656" s="86" t="str">
        <f>+IF(AG2656=$AJ$22,MONTH(V2656),"")</f>
        <v/>
      </c>
      <c r="AK2656" s="86" t="str">
        <f>+IF(AG2656=$AK$22,MONTH(V2656),"")</f>
        <v/>
      </c>
      <c r="AL2656" s="86" t="str">
        <f>+IF(AG2656=$AL$22,MONTH(V2656),"")</f>
        <v/>
      </c>
      <c r="AM2656" s="86" t="str">
        <f>+IF($AG2656=$AM$22,MONTH($D2656),"")</f>
        <v/>
      </c>
      <c r="AN2656" s="89" t="str">
        <f>+IF($AG2656=AN$22,MONTH($D2656),"")</f>
        <v/>
      </c>
      <c r="AO2656" s="86" t="str">
        <f>+IF($AG2656=AO$22,MONTH($D2656),"")</f>
        <v/>
      </c>
      <c r="AP2656" s="86" t="str">
        <f>+IF($AG2656=AP$22,MONTH($D2656),"")</f>
        <v/>
      </c>
      <c r="AQ2656" s="86" t="str">
        <f>+IF($AG2656=AQ$22,MONTH($D2656),"")</f>
        <v/>
      </c>
      <c r="AR2656" s="86" t="str">
        <f>+IF($AG2656=AR$22,MONTH($D2656),"")</f>
        <v/>
      </c>
      <c r="AS2656" s="86" t="str">
        <f>+IF($AG2656=AS$22,MONTH($D2656),"")</f>
        <v/>
      </c>
      <c r="AT2656" s="86" t="str">
        <f>+IF($AG2656=AT$22,MONTH($D2656),"")</f>
        <v/>
      </c>
      <c r="AU2656" s="86" t="str">
        <f>+IF($AG2656=AU$22,MONTH($D2656),"")</f>
        <v/>
      </c>
      <c r="AV2656" s="86" t="str">
        <f>+IF($AG2656=AV$22,MONTH($D2656),"")</f>
        <v/>
      </c>
      <c r="AW2656" s="86">
        <f>+IF($AG2656=AW$22,MONTH($D2656),"")</f>
        <v>10</v>
      </c>
      <c r="AX2656" s="86" t="str">
        <f>+IF($AG2656=AX$22,MONTH($D2656),"")</f>
        <v/>
      </c>
      <c r="AY2656" s="89"/>
      <c r="AZ2656" s="89"/>
      <c r="BA2656" s="89"/>
      <c r="BB2656" s="89"/>
      <c r="BC2656" s="89"/>
      <c r="BD2656" s="89"/>
      <c r="BE2656" s="89"/>
      <c r="BF2656" s="89"/>
      <c r="BG2656" s="89"/>
      <c r="BH2656" s="89"/>
      <c r="BI2656" s="89"/>
      <c r="BJ2656" s="182"/>
      <c r="BK2656" s="182"/>
      <c r="BL2656" s="182"/>
      <c r="BM2656" s="182"/>
      <c r="BN2656" s="182"/>
      <c r="BO2656" s="182"/>
      <c r="BP2656" s="182"/>
    </row>
    <row r="2657" spans="1:68" s="51" customFormat="1" ht="19.5" hidden="1" customHeight="1">
      <c r="A2657" s="204">
        <f>+IFERROR(VALUE(MID(AB2657,4,4)),"")</f>
        <v>76</v>
      </c>
      <c r="B2657" s="204">
        <f>VALUE(RIGHT(C2657,LEN(C2657)-2))</f>
        <v>74</v>
      </c>
      <c r="C2657" s="74" t="s">
        <v>8995</v>
      </c>
      <c r="D2657" s="75">
        <v>40784</v>
      </c>
      <c r="E2657" s="70" t="s">
        <v>2961</v>
      </c>
      <c r="F2657" s="70" t="s">
        <v>332</v>
      </c>
      <c r="G2657" s="68" t="s">
        <v>8334</v>
      </c>
      <c r="H2657" s="59"/>
      <c r="I2657" s="162" t="s">
        <v>8996</v>
      </c>
      <c r="J2657" s="272"/>
      <c r="K2657" s="71" t="s">
        <v>27</v>
      </c>
      <c r="L2657" s="69" t="s">
        <v>120</v>
      </c>
      <c r="M2657" s="69" t="s">
        <v>141</v>
      </c>
      <c r="N2657" s="69" t="e" vm="1">
        <v>#VALUE!</v>
      </c>
      <c r="O2657" s="164">
        <v>40784</v>
      </c>
      <c r="P2657" s="72" t="s">
        <v>4567</v>
      </c>
      <c r="Q2657" s="72"/>
      <c r="R2657" s="162"/>
      <c r="S2657" s="146"/>
      <c r="T2657" s="68" t="s">
        <v>3</v>
      </c>
      <c r="U2657" s="87"/>
      <c r="V2657" s="183">
        <v>40784</v>
      </c>
      <c r="W2657" s="73">
        <v>600</v>
      </c>
      <c r="X2657" s="73">
        <v>13.5</v>
      </c>
      <c r="Y2657" s="73">
        <f>IF(SUM(W2657:W2657)&gt;0,X2657/SUM(W2657:W2657)*1000000,"N/A")</f>
        <v>22500</v>
      </c>
      <c r="Z2657" s="183"/>
      <c r="AA2657" s="183"/>
      <c r="AB2657" s="223" t="s">
        <v>8997</v>
      </c>
      <c r="AC2657" s="153"/>
      <c r="AD2657" s="331"/>
      <c r="AE2657" s="57"/>
      <c r="AF2657" s="151"/>
      <c r="AG2657" s="182">
        <f>YEAR(D2657)</f>
        <v>2011</v>
      </c>
      <c r="AH2657" s="86" t="str">
        <f>+IF(AE2657=$AJ$22,MONTH(T2657),"")</f>
        <v/>
      </c>
      <c r="AI2657" s="86" t="str">
        <f>+IF(AF2657=$AJ$22,MONTH(U2657),"")</f>
        <v/>
      </c>
      <c r="AJ2657" s="86" t="str">
        <f>+IF(AG2657=$AJ$22,MONTH(V2657),"")</f>
        <v/>
      </c>
      <c r="AK2657" s="86" t="str">
        <f>+IF(AG2657=$AK$22,MONTH(V2657),"")</f>
        <v/>
      </c>
      <c r="AL2657" s="86" t="str">
        <f>+IF(AG2657=$AL$22,MONTH(V2657),"")</f>
        <v/>
      </c>
      <c r="AM2657" s="86" t="str">
        <f>+IF($AG2657=$AM$22,MONTH($D2657),"")</f>
        <v/>
      </c>
      <c r="AN2657" s="89" t="str">
        <f>+IF($AG2657=AN$22,MONTH($D2657),"")</f>
        <v/>
      </c>
      <c r="AO2657" s="86" t="str">
        <f>+IF($AG2657=AO$22,MONTH($D2657),"")</f>
        <v/>
      </c>
      <c r="AP2657" s="86" t="str">
        <f>+IF($AG2657=AP$22,MONTH($D2657),"")</f>
        <v/>
      </c>
      <c r="AQ2657" s="86" t="str">
        <f>+IF($AG2657=AQ$22,MONTH($D2657),"")</f>
        <v/>
      </c>
      <c r="AR2657" s="86" t="str">
        <f>+IF($AG2657=AR$22,MONTH($D2657),"")</f>
        <v/>
      </c>
      <c r="AS2657" s="86" t="str">
        <f>+IF($AG2657=AS$22,MONTH($D2657),"")</f>
        <v/>
      </c>
      <c r="AT2657" s="86" t="str">
        <f>+IF($AG2657=AT$22,MONTH($D2657),"")</f>
        <v/>
      </c>
      <c r="AU2657" s="86" t="str">
        <f>+IF($AG2657=AU$22,MONTH($D2657),"")</f>
        <v/>
      </c>
      <c r="AV2657" s="86" t="str">
        <f>+IF($AG2657=AV$22,MONTH($D2657),"")</f>
        <v/>
      </c>
      <c r="AW2657" s="86">
        <f>+IF($AG2657=AW$22,MONTH($D2657),"")</f>
        <v>8</v>
      </c>
      <c r="AX2657" s="86" t="str">
        <f>+IF($AG2657=AX$22,MONTH($D2657),"")</f>
        <v/>
      </c>
      <c r="AY2657" s="89"/>
      <c r="AZ2657" s="89"/>
      <c r="BA2657" s="89"/>
      <c r="BB2657" s="89"/>
      <c r="BC2657" s="89"/>
      <c r="BD2657" s="89"/>
      <c r="BE2657" s="89"/>
      <c r="BF2657" s="89"/>
      <c r="BG2657" s="89"/>
      <c r="BH2657" s="89"/>
      <c r="BI2657" s="89"/>
      <c r="BJ2657" s="182"/>
      <c r="BK2657" s="182"/>
      <c r="BL2657" s="182"/>
      <c r="BM2657" s="182"/>
      <c r="BN2657" s="182"/>
      <c r="BO2657" s="182"/>
      <c r="BP2657" s="182"/>
    </row>
    <row r="2658" spans="1:68" s="51" customFormat="1" ht="19.5" hidden="1" customHeight="1">
      <c r="A2658" s="204">
        <f>+IFERROR(VALUE(MID(AB2658,4,4)),"")</f>
        <v>36</v>
      </c>
      <c r="B2658" s="204">
        <f>VALUE(RIGHT(C2658,LEN(C2658)-2))</f>
        <v>73</v>
      </c>
      <c r="C2658" s="74" t="s">
        <v>8998</v>
      </c>
      <c r="D2658" s="75">
        <v>40778</v>
      </c>
      <c r="E2658" s="70" t="s">
        <v>8776</v>
      </c>
      <c r="F2658" s="70" t="s">
        <v>8999</v>
      </c>
      <c r="G2658" s="68" t="s">
        <v>936</v>
      </c>
      <c r="H2658" s="59"/>
      <c r="I2658" s="162" t="s">
        <v>9000</v>
      </c>
      <c r="J2658" s="272"/>
      <c r="K2658" s="71" t="s">
        <v>13</v>
      </c>
      <c r="L2658" s="69" t="s">
        <v>120</v>
      </c>
      <c r="M2658" s="69" t="s">
        <v>141</v>
      </c>
      <c r="N2658" s="69" t="e" vm="1">
        <v>#VALUE!</v>
      </c>
      <c r="O2658" s="164">
        <v>40778</v>
      </c>
      <c r="P2658" s="72" t="s">
        <v>4567</v>
      </c>
      <c r="Q2658" s="72"/>
      <c r="R2658" s="162"/>
      <c r="S2658" s="146"/>
      <c r="T2658" s="68" t="s">
        <v>3</v>
      </c>
      <c r="U2658" s="87"/>
      <c r="V2658" s="183">
        <v>40781</v>
      </c>
      <c r="W2658" s="73">
        <v>309</v>
      </c>
      <c r="X2658" s="73">
        <f>368*21972/1000000</f>
        <v>8.0856960000000004</v>
      </c>
      <c r="Y2658" s="73">
        <f>IF(SUM(W2658:W2658)&gt;0,X2658/SUM(W2658:W2658)*1000000,"N/A")</f>
        <v>26167.300970873788</v>
      </c>
      <c r="Z2658" s="183"/>
      <c r="AA2658" s="183"/>
      <c r="AB2658" s="223" t="s">
        <v>9001</v>
      </c>
      <c r="AC2658" s="153"/>
      <c r="AD2658" s="331"/>
      <c r="AE2658" s="57"/>
      <c r="AF2658" s="151"/>
      <c r="AG2658" s="182">
        <f>YEAR(D2658)</f>
        <v>2011</v>
      </c>
      <c r="AH2658" s="86" t="str">
        <f>+IF(AE2658=$AJ$22,MONTH(T2658),"")</f>
        <v/>
      </c>
      <c r="AI2658" s="86" t="str">
        <f>+IF(AF2658=$AJ$22,MONTH(U2658),"")</f>
        <v/>
      </c>
      <c r="AJ2658" s="86" t="str">
        <f>+IF(AG2658=$AJ$22,MONTH(V2658),"")</f>
        <v/>
      </c>
      <c r="AK2658" s="86" t="str">
        <f>+IF(AG2658=$AK$22,MONTH(V2658),"")</f>
        <v/>
      </c>
      <c r="AL2658" s="86" t="str">
        <f>+IF(AG2658=$AL$22,MONTH(V2658),"")</f>
        <v/>
      </c>
      <c r="AM2658" s="86" t="str">
        <f>+IF($AG2658=$AM$22,MONTH($D2658),"")</f>
        <v/>
      </c>
      <c r="AN2658" s="89" t="str">
        <f>+IF($AG2658=AN$22,MONTH($D2658),"")</f>
        <v/>
      </c>
      <c r="AO2658" s="86" t="str">
        <f>+IF($AG2658=AO$22,MONTH($D2658),"")</f>
        <v/>
      </c>
      <c r="AP2658" s="86" t="str">
        <f>+IF($AG2658=AP$22,MONTH($D2658),"")</f>
        <v/>
      </c>
      <c r="AQ2658" s="86" t="str">
        <f>+IF($AG2658=AQ$22,MONTH($D2658),"")</f>
        <v/>
      </c>
      <c r="AR2658" s="86" t="str">
        <f>+IF($AG2658=AR$22,MONTH($D2658),"")</f>
        <v/>
      </c>
      <c r="AS2658" s="86" t="str">
        <f>+IF($AG2658=AS$22,MONTH($D2658),"")</f>
        <v/>
      </c>
      <c r="AT2658" s="86" t="str">
        <f>+IF($AG2658=AT$22,MONTH($D2658),"")</f>
        <v/>
      </c>
      <c r="AU2658" s="86" t="str">
        <f>+IF($AG2658=AU$22,MONTH($D2658),"")</f>
        <v/>
      </c>
      <c r="AV2658" s="86" t="str">
        <f>+IF($AG2658=AV$22,MONTH($D2658),"")</f>
        <v/>
      </c>
      <c r="AW2658" s="86">
        <f>+IF($AG2658=AW$22,MONTH($D2658),"")</f>
        <v>8</v>
      </c>
      <c r="AX2658" s="86" t="str">
        <f>+IF($AG2658=AX$22,MONTH($D2658),"")</f>
        <v/>
      </c>
      <c r="AY2658" s="89"/>
      <c r="AZ2658" s="89"/>
      <c r="BA2658" s="89"/>
      <c r="BB2658" s="89"/>
      <c r="BC2658" s="89"/>
      <c r="BD2658" s="89"/>
      <c r="BE2658" s="89"/>
      <c r="BF2658" s="89"/>
      <c r="BG2658" s="89"/>
      <c r="BH2658" s="89"/>
      <c r="BI2658" s="89"/>
      <c r="BJ2658" s="182"/>
      <c r="BK2658" s="182"/>
      <c r="BL2658" s="182"/>
      <c r="BM2658" s="182"/>
      <c r="BN2658" s="182"/>
      <c r="BO2658" s="182"/>
      <c r="BP2658" s="182"/>
    </row>
    <row r="2659" spans="1:68" s="51" customFormat="1" ht="19.5" hidden="1" customHeight="1">
      <c r="A2659" s="204">
        <f>+IFERROR(VALUE(MID(AB2659,4,4)),"")</f>
        <v>37</v>
      </c>
      <c r="B2659" s="204">
        <f>VALUE(RIGHT(C2659,LEN(C2659)-2))</f>
        <v>72</v>
      </c>
      <c r="C2659" s="74" t="s">
        <v>9002</v>
      </c>
      <c r="D2659" s="75">
        <v>40778</v>
      </c>
      <c r="E2659" s="70" t="s">
        <v>8776</v>
      </c>
      <c r="F2659" s="70" t="s">
        <v>9003</v>
      </c>
      <c r="G2659" s="68" t="s">
        <v>936</v>
      </c>
      <c r="H2659" s="59"/>
      <c r="I2659" s="162" t="s">
        <v>9004</v>
      </c>
      <c r="J2659" s="272"/>
      <c r="K2659" s="71" t="s">
        <v>11</v>
      </c>
      <c r="L2659" s="69" t="s">
        <v>120</v>
      </c>
      <c r="M2659" s="69" t="s">
        <v>141</v>
      </c>
      <c r="N2659" s="69" t="e" vm="1">
        <v>#VALUE!</v>
      </c>
      <c r="O2659" s="164">
        <v>40778</v>
      </c>
      <c r="P2659" s="72"/>
      <c r="Q2659" s="72"/>
      <c r="R2659" s="162"/>
      <c r="S2659" s="146"/>
      <c r="T2659" s="68" t="s">
        <v>3</v>
      </c>
      <c r="U2659" s="87"/>
      <c r="V2659" s="183">
        <v>40781</v>
      </c>
      <c r="W2659" s="73">
        <v>1341</v>
      </c>
      <c r="X2659" s="73">
        <f>1934*21972/1000000</f>
        <v>42.493848</v>
      </c>
      <c r="Y2659" s="73">
        <f>IF(SUM(W2659:W2659)&gt;0,X2659/SUM(W2659:W2659)*1000000,"N/A")</f>
        <v>31688.178970917226</v>
      </c>
      <c r="Z2659" s="183"/>
      <c r="AA2659" s="183"/>
      <c r="AB2659" s="223" t="s">
        <v>9005</v>
      </c>
      <c r="AC2659" s="153"/>
      <c r="AD2659" s="331"/>
      <c r="AE2659" s="57"/>
      <c r="AF2659" s="151"/>
      <c r="AG2659" s="182">
        <f>YEAR(D2659)</f>
        <v>2011</v>
      </c>
      <c r="AH2659" s="86" t="str">
        <f>+IF(AE2659=$AJ$22,MONTH(T2659),"")</f>
        <v/>
      </c>
      <c r="AI2659" s="86" t="str">
        <f>+IF(AF2659=$AJ$22,MONTH(U2659),"")</f>
        <v/>
      </c>
      <c r="AJ2659" s="86" t="str">
        <f>+IF(AG2659=$AJ$22,MONTH(V2659),"")</f>
        <v/>
      </c>
      <c r="AK2659" s="86" t="str">
        <f>+IF(AG2659=$AK$22,MONTH(V2659),"")</f>
        <v/>
      </c>
      <c r="AL2659" s="86" t="str">
        <f>+IF(AG2659=$AL$22,MONTH(V2659),"")</f>
        <v/>
      </c>
      <c r="AM2659" s="86" t="str">
        <f>+IF($AG2659=$AM$22,MONTH($D2659),"")</f>
        <v/>
      </c>
      <c r="AN2659" s="89" t="str">
        <f>+IF($AG2659=AN$22,MONTH($D2659),"")</f>
        <v/>
      </c>
      <c r="AO2659" s="86" t="str">
        <f>+IF($AG2659=AO$22,MONTH($D2659),"")</f>
        <v/>
      </c>
      <c r="AP2659" s="86" t="str">
        <f>+IF($AG2659=AP$22,MONTH($D2659),"")</f>
        <v/>
      </c>
      <c r="AQ2659" s="86" t="str">
        <f>+IF($AG2659=AQ$22,MONTH($D2659),"")</f>
        <v/>
      </c>
      <c r="AR2659" s="86" t="str">
        <f>+IF($AG2659=AR$22,MONTH($D2659),"")</f>
        <v/>
      </c>
      <c r="AS2659" s="86" t="str">
        <f>+IF($AG2659=AS$22,MONTH($D2659),"")</f>
        <v/>
      </c>
      <c r="AT2659" s="86" t="str">
        <f>+IF($AG2659=AT$22,MONTH($D2659),"")</f>
        <v/>
      </c>
      <c r="AU2659" s="86" t="str">
        <f>+IF($AG2659=AU$22,MONTH($D2659),"")</f>
        <v/>
      </c>
      <c r="AV2659" s="86" t="str">
        <f>+IF($AG2659=AV$22,MONTH($D2659),"")</f>
        <v/>
      </c>
      <c r="AW2659" s="86">
        <f>+IF($AG2659=AW$22,MONTH($D2659),"")</f>
        <v>8</v>
      </c>
      <c r="AX2659" s="86" t="str">
        <f>+IF($AG2659=AX$22,MONTH($D2659),"")</f>
        <v/>
      </c>
      <c r="AY2659" s="89"/>
      <c r="AZ2659" s="89"/>
      <c r="BA2659" s="89"/>
      <c r="BB2659" s="89"/>
      <c r="BC2659" s="89"/>
      <c r="BD2659" s="89"/>
      <c r="BE2659" s="89"/>
      <c r="BF2659" s="89"/>
      <c r="BG2659" s="89"/>
      <c r="BH2659" s="89"/>
      <c r="BI2659" s="89"/>
      <c r="BJ2659" s="182"/>
      <c r="BK2659" s="182"/>
      <c r="BL2659" s="182"/>
      <c r="BM2659" s="182"/>
      <c r="BN2659" s="182"/>
      <c r="BO2659" s="182"/>
      <c r="BP2659" s="182"/>
    </row>
    <row r="2660" spans="1:68" s="51" customFormat="1" ht="19.5" hidden="1" customHeight="1">
      <c r="A2660" s="204" t="str">
        <f>+IFERROR(VALUE(MID(AB2660,4,4)),"")</f>
        <v/>
      </c>
      <c r="B2660" s="204">
        <f>VALUE(RIGHT(C2660,LEN(C2660)-2))</f>
        <v>71</v>
      </c>
      <c r="C2660" s="74" t="s">
        <v>9006</v>
      </c>
      <c r="D2660" s="75">
        <v>40778</v>
      </c>
      <c r="E2660" s="70" t="s">
        <v>68</v>
      </c>
      <c r="F2660" s="70" t="s">
        <v>630</v>
      </c>
      <c r="G2660" s="68" t="s">
        <v>8900</v>
      </c>
      <c r="H2660" s="59"/>
      <c r="I2660" s="162" t="s">
        <v>9007</v>
      </c>
      <c r="J2660" s="272"/>
      <c r="K2660" s="71" t="s">
        <v>30</v>
      </c>
      <c r="L2660" s="69" t="s">
        <v>123</v>
      </c>
      <c r="M2660" s="69" t="s">
        <v>141</v>
      </c>
      <c r="N2660" s="69" t="e" vm="1">
        <v>#VALUE!</v>
      </c>
      <c r="O2660" s="164">
        <v>40778</v>
      </c>
      <c r="P2660" s="72" t="s">
        <v>4567</v>
      </c>
      <c r="Q2660" s="72"/>
      <c r="R2660" s="162"/>
      <c r="S2660" s="146"/>
      <c r="T2660" s="68" t="s">
        <v>165</v>
      </c>
      <c r="U2660" s="87"/>
      <c r="V2660" s="183">
        <v>40781</v>
      </c>
      <c r="W2660" s="73">
        <v>760</v>
      </c>
      <c r="X2660" s="73">
        <v>25</v>
      </c>
      <c r="Y2660" s="73">
        <f>IF(SUM(W2660:W2660)&gt;0,X2660/SUM(W2660:W2660)*1000000,"N/A")</f>
        <v>32894.73684210526</v>
      </c>
      <c r="Z2660" s="183"/>
      <c r="AA2660" s="183"/>
      <c r="AB2660" s="223"/>
      <c r="AC2660" s="153"/>
      <c r="AD2660" s="331"/>
      <c r="AE2660" s="57"/>
      <c r="AF2660" s="151"/>
      <c r="AG2660" s="182">
        <f>YEAR(D2660)</f>
        <v>2011</v>
      </c>
      <c r="AH2660" s="86" t="str">
        <f>+IF(AE2660=$AJ$22,MONTH(T2660),"")</f>
        <v/>
      </c>
      <c r="AI2660" s="86" t="str">
        <f>+IF(AF2660=$AJ$22,MONTH(U2660),"")</f>
        <v/>
      </c>
      <c r="AJ2660" s="86" t="str">
        <f>+IF(AG2660=$AJ$22,MONTH(V2660),"")</f>
        <v/>
      </c>
      <c r="AK2660" s="86" t="str">
        <f>+IF(AG2660=$AK$22,MONTH(V2660),"")</f>
        <v/>
      </c>
      <c r="AL2660" s="86" t="str">
        <f>+IF(AG2660=$AL$22,MONTH(V2660),"")</f>
        <v/>
      </c>
      <c r="AM2660" s="86" t="str">
        <f>+IF($AG2660=$AM$22,MONTH($D2660),"")</f>
        <v/>
      </c>
      <c r="AN2660" s="89" t="str">
        <f>+IF($AG2660=AN$22,MONTH($D2660),"")</f>
        <v/>
      </c>
      <c r="AO2660" s="184" t="str">
        <f>+IF($AG2660=AO$22,MONTH($D2660),"")</f>
        <v/>
      </c>
      <c r="AP2660" s="184" t="str">
        <f>+IF($AG2660=AP$22,MONTH($D2660),"")</f>
        <v/>
      </c>
      <c r="AQ2660" s="184" t="str">
        <f>+IF($AG2660=AQ$22,MONTH($D2660),"")</f>
        <v/>
      </c>
      <c r="AR2660" s="184" t="str">
        <f>+IF($AG2660=AR$22,MONTH($D2660),"")</f>
        <v/>
      </c>
      <c r="AS2660" s="184" t="str">
        <f>+IF($AG2660=AS$22,MONTH($D2660),"")</f>
        <v/>
      </c>
      <c r="AT2660" s="86" t="str">
        <f>+IF($AG2660=AT$22,MONTH($D2660),"")</f>
        <v/>
      </c>
      <c r="AU2660" s="86" t="str">
        <f>+IF($AG2660=AU$22,MONTH($D2660),"")</f>
        <v/>
      </c>
      <c r="AV2660" s="86" t="str">
        <f>+IF($AG2660=AV$22,MONTH($D2660),"")</f>
        <v/>
      </c>
      <c r="AW2660" s="86">
        <f>+IF($AG2660=AW$22,MONTH($D2660),"")</f>
        <v>8</v>
      </c>
      <c r="AX2660" s="86" t="str">
        <f>+IF($AG2660=AX$22,MONTH($D2660),"")</f>
        <v/>
      </c>
      <c r="AY2660" s="89"/>
      <c r="AZ2660" s="89"/>
      <c r="BA2660" s="89"/>
      <c r="BB2660" s="89"/>
      <c r="BC2660" s="89"/>
      <c r="BD2660" s="89"/>
      <c r="BE2660" s="89"/>
      <c r="BF2660" s="89"/>
      <c r="BG2660" s="89"/>
      <c r="BH2660" s="89"/>
      <c r="BI2660" s="89"/>
      <c r="BJ2660" s="182"/>
      <c r="BK2660" s="182"/>
      <c r="BL2660" s="182"/>
      <c r="BM2660" s="182"/>
      <c r="BN2660" s="182"/>
      <c r="BO2660" s="182"/>
      <c r="BP2660" s="182"/>
    </row>
    <row r="2661" spans="1:68" s="51" customFormat="1" ht="19.5" hidden="1" customHeight="1">
      <c r="A2661" s="204" t="str">
        <f>+IFERROR(VALUE(MID(AB2661,4,4)),"")</f>
        <v/>
      </c>
      <c r="B2661" s="204">
        <f>VALUE(RIGHT(C2661,LEN(C2661)-2))</f>
        <v>70</v>
      </c>
      <c r="C2661" s="74" t="s">
        <v>9008</v>
      </c>
      <c r="D2661" s="75">
        <v>40781</v>
      </c>
      <c r="E2661" s="70" t="s">
        <v>8944</v>
      </c>
      <c r="F2661" s="70" t="s">
        <v>460</v>
      </c>
      <c r="G2661" s="68" t="s">
        <v>8945</v>
      </c>
      <c r="H2661" s="59"/>
      <c r="I2661" s="162" t="s">
        <v>9009</v>
      </c>
      <c r="J2661" s="272"/>
      <c r="K2661" s="71" t="s">
        <v>27</v>
      </c>
      <c r="L2661" s="69" t="s">
        <v>123</v>
      </c>
      <c r="M2661" s="69" t="s">
        <v>141</v>
      </c>
      <c r="N2661" s="69" t="e" vm="1">
        <v>#VALUE!</v>
      </c>
      <c r="O2661" s="164">
        <v>40750</v>
      </c>
      <c r="P2661" s="72" t="s">
        <v>4567</v>
      </c>
      <c r="Q2661" s="72"/>
      <c r="R2661" s="162"/>
      <c r="S2661" s="146" t="s">
        <v>9010</v>
      </c>
      <c r="T2661" s="68" t="s">
        <v>165</v>
      </c>
      <c r="U2661" s="87"/>
      <c r="V2661" s="183">
        <v>40842</v>
      </c>
      <c r="W2661" s="73">
        <f>1250*1.7</f>
        <v>2125</v>
      </c>
      <c r="X2661" s="73">
        <v>89.65</v>
      </c>
      <c r="Y2661" s="73">
        <f>IF(SUM(W2661:W2661)&gt;0,X2661/SUM(W2661:W2661)*1000000,"N/A")</f>
        <v>42188.23529411765</v>
      </c>
      <c r="Z2661" s="183"/>
      <c r="AA2661" s="183"/>
      <c r="AB2661" s="223"/>
      <c r="AC2661" s="153"/>
      <c r="AD2661" s="331"/>
      <c r="AE2661" s="57"/>
      <c r="AF2661" s="151" t="s">
        <v>9011</v>
      </c>
      <c r="AG2661" s="182">
        <f>YEAR(D2661)</f>
        <v>2011</v>
      </c>
      <c r="AH2661" s="86" t="str">
        <f>+IF(AE2661=$AJ$22,MONTH(T2661),"")</f>
        <v/>
      </c>
      <c r="AI2661" s="86" t="str">
        <f>+IF(AF2661=$AJ$22,MONTH(U2661),"")</f>
        <v/>
      </c>
      <c r="AJ2661" s="86" t="str">
        <f>+IF(AG2661=$AJ$22,MONTH(V2661),"")</f>
        <v/>
      </c>
      <c r="AK2661" s="86" t="str">
        <f>+IF(AG2661=$AK$22,MONTH(V2661),"")</f>
        <v/>
      </c>
      <c r="AL2661" s="86" t="str">
        <f>+IF(AG2661=$AL$22,MONTH(V2661),"")</f>
        <v/>
      </c>
      <c r="AM2661" s="86" t="str">
        <f>+IF($AG2661=$AM$22,MONTH($D2661),"")</f>
        <v/>
      </c>
      <c r="AN2661" s="89" t="str">
        <f>+IF($AG2661=AN$22,MONTH($D2661),"")</f>
        <v/>
      </c>
      <c r="AO2661" s="184" t="str">
        <f>+IF($AG2661=AO$22,MONTH($D2661),"")</f>
        <v/>
      </c>
      <c r="AP2661" s="184" t="str">
        <f>+IF($AG2661=AP$22,MONTH($D2661),"")</f>
        <v/>
      </c>
      <c r="AQ2661" s="184" t="str">
        <f>+IF($AG2661=AQ$22,MONTH($D2661),"")</f>
        <v/>
      </c>
      <c r="AR2661" s="184" t="str">
        <f>+IF($AG2661=AR$22,MONTH($D2661),"")</f>
        <v/>
      </c>
      <c r="AS2661" s="184" t="str">
        <f>+IF($AG2661=AS$22,MONTH($D2661),"")</f>
        <v/>
      </c>
      <c r="AT2661" s="86" t="str">
        <f>+IF($AG2661=AT$22,MONTH($D2661),"")</f>
        <v/>
      </c>
      <c r="AU2661" s="86" t="str">
        <f>+IF($AG2661=AU$22,MONTH($D2661),"")</f>
        <v/>
      </c>
      <c r="AV2661" s="86" t="str">
        <f>+IF($AG2661=AV$22,MONTH($D2661),"")</f>
        <v/>
      </c>
      <c r="AW2661" s="86">
        <f>+IF($AG2661=AW$22,MONTH($D2661),"")</f>
        <v>8</v>
      </c>
      <c r="AX2661" s="86" t="str">
        <f>+IF($AG2661=AX$22,MONTH($D2661),"")</f>
        <v/>
      </c>
      <c r="AY2661" s="89"/>
      <c r="AZ2661" s="89"/>
      <c r="BA2661" s="89"/>
      <c r="BB2661" s="89"/>
      <c r="BC2661" s="89"/>
      <c r="BD2661" s="89"/>
      <c r="BE2661" s="89"/>
      <c r="BF2661" s="89"/>
      <c r="BG2661" s="89"/>
      <c r="BH2661" s="89"/>
      <c r="BI2661" s="89"/>
      <c r="BJ2661" s="182"/>
      <c r="BK2661" s="182"/>
      <c r="BL2661" s="182"/>
      <c r="BM2661" s="182"/>
      <c r="BN2661" s="182"/>
      <c r="BO2661" s="182"/>
      <c r="BP2661" s="182"/>
    </row>
    <row r="2662" spans="1:68" s="51" customFormat="1" ht="19.5" hidden="1" customHeight="1">
      <c r="A2662" s="204">
        <f>+IFERROR(VALUE(MID(AB2662,4,4)),"")</f>
        <v>75</v>
      </c>
      <c r="B2662" s="204">
        <f>VALUE(RIGHT(C2662,LEN(C2662)-2))</f>
        <v>69</v>
      </c>
      <c r="C2662" s="74" t="s">
        <v>9012</v>
      </c>
      <c r="D2662" s="75">
        <v>40799</v>
      </c>
      <c r="E2662" s="70" t="s">
        <v>2961</v>
      </c>
      <c r="F2662" s="70" t="s">
        <v>2961</v>
      </c>
      <c r="G2662" s="68" t="s">
        <v>8334</v>
      </c>
      <c r="H2662" s="59"/>
      <c r="I2662" s="162" t="s">
        <v>9013</v>
      </c>
      <c r="J2662" s="272"/>
      <c r="K2662" s="71" t="s">
        <v>11</v>
      </c>
      <c r="L2662" s="69" t="s">
        <v>120</v>
      </c>
      <c r="M2662" s="69" t="s">
        <v>141</v>
      </c>
      <c r="N2662" s="69" t="e" vm="1">
        <v>#VALUE!</v>
      </c>
      <c r="O2662" s="164">
        <v>40737</v>
      </c>
      <c r="P2662" s="72" t="s">
        <v>4567</v>
      </c>
      <c r="Q2662" s="72"/>
      <c r="R2662" s="162"/>
      <c r="S2662" s="146"/>
      <c r="T2662" s="68" t="s">
        <v>3</v>
      </c>
      <c r="U2662" s="87"/>
      <c r="V2662" s="183">
        <v>40784</v>
      </c>
      <c r="W2662" s="73">
        <f>40*8</f>
        <v>320</v>
      </c>
      <c r="X2662" s="73">
        <v>7.2</v>
      </c>
      <c r="Y2662" s="73">
        <f>IF(SUM(W2662:W2662)&gt;0,X2662/SUM(W2662:W2662)*1000000,"N/A")</f>
        <v>22500</v>
      </c>
      <c r="Z2662" s="183"/>
      <c r="AA2662" s="183"/>
      <c r="AB2662" s="223" t="s">
        <v>9014</v>
      </c>
      <c r="AC2662" s="153"/>
      <c r="AD2662" s="331"/>
      <c r="AE2662" s="57"/>
      <c r="AF2662" s="151"/>
      <c r="AG2662" s="182">
        <f>YEAR(D2662)</f>
        <v>2011</v>
      </c>
      <c r="AH2662" s="86" t="str">
        <f>+IF(AE2662=$AJ$22,MONTH(T2662),"")</f>
        <v/>
      </c>
      <c r="AI2662" s="86" t="str">
        <f>+IF(AF2662=$AJ$22,MONTH(U2662),"")</f>
        <v/>
      </c>
      <c r="AJ2662" s="86" t="str">
        <f>+IF(AG2662=$AJ$22,MONTH(V2662),"")</f>
        <v/>
      </c>
      <c r="AK2662" s="86" t="str">
        <f>+IF(AG2662=$AK$22,MONTH(V2662),"")</f>
        <v/>
      </c>
      <c r="AL2662" s="86" t="str">
        <f>+IF(AG2662=$AL$22,MONTH(V2662),"")</f>
        <v/>
      </c>
      <c r="AM2662" s="86" t="str">
        <f>+IF($AG2662=$AM$22,MONTH($D2662),"")</f>
        <v/>
      </c>
      <c r="AN2662" s="89" t="str">
        <f>+IF($AG2662=AN$22,MONTH($D2662),"")</f>
        <v/>
      </c>
      <c r="AO2662" s="86" t="str">
        <f>+IF($AG2662=AO$22,MONTH($D2662),"")</f>
        <v/>
      </c>
      <c r="AP2662" s="86" t="str">
        <f>+IF($AG2662=AP$22,MONTH($D2662),"")</f>
        <v/>
      </c>
      <c r="AQ2662" s="86" t="str">
        <f>+IF($AG2662=AQ$22,MONTH($D2662),"")</f>
        <v/>
      </c>
      <c r="AR2662" s="86" t="str">
        <f>+IF($AG2662=AR$22,MONTH($D2662),"")</f>
        <v/>
      </c>
      <c r="AS2662" s="86" t="str">
        <f>+IF($AG2662=AS$22,MONTH($D2662),"")</f>
        <v/>
      </c>
      <c r="AT2662" s="86" t="str">
        <f>+IF($AG2662=AT$22,MONTH($D2662),"")</f>
        <v/>
      </c>
      <c r="AU2662" s="86" t="str">
        <f>+IF($AG2662=AU$22,MONTH($D2662),"")</f>
        <v/>
      </c>
      <c r="AV2662" s="86" t="str">
        <f>+IF($AG2662=AV$22,MONTH($D2662),"")</f>
        <v/>
      </c>
      <c r="AW2662" s="86">
        <f>+IF($AG2662=AW$22,MONTH($D2662),"")</f>
        <v>9</v>
      </c>
      <c r="AX2662" s="86" t="str">
        <f>+IF($AG2662=AX$22,MONTH($D2662),"")</f>
        <v/>
      </c>
      <c r="AY2662" s="89"/>
      <c r="AZ2662" s="89"/>
      <c r="BA2662" s="89"/>
      <c r="BB2662" s="89"/>
      <c r="BC2662" s="89"/>
      <c r="BD2662" s="89"/>
      <c r="BE2662" s="89"/>
      <c r="BF2662" s="89"/>
      <c r="BG2662" s="89"/>
      <c r="BH2662" s="89"/>
      <c r="BI2662" s="89"/>
      <c r="BJ2662" s="182"/>
      <c r="BK2662" s="182"/>
      <c r="BL2662" s="182"/>
      <c r="BM2662" s="182"/>
      <c r="BN2662" s="182"/>
      <c r="BO2662" s="182"/>
      <c r="BP2662" s="182"/>
    </row>
    <row r="2663" spans="1:68" s="51" customFormat="1" ht="19.5" hidden="1" customHeight="1">
      <c r="A2663" s="204">
        <f>+IFERROR(VALUE(MID(AB2663,4,4)),"")</f>
        <v>34</v>
      </c>
      <c r="B2663" s="204">
        <f>VALUE(RIGHT(C2663,LEN(C2663)-2))</f>
        <v>68</v>
      </c>
      <c r="C2663" s="74" t="s">
        <v>9015</v>
      </c>
      <c r="D2663" s="75">
        <v>40735</v>
      </c>
      <c r="E2663" s="70" t="s">
        <v>2890</v>
      </c>
      <c r="F2663" s="70" t="s">
        <v>263</v>
      </c>
      <c r="G2663" s="68" t="s">
        <v>9016</v>
      </c>
      <c r="H2663" s="59"/>
      <c r="I2663" s="162" t="s">
        <v>9017</v>
      </c>
      <c r="J2663" s="272"/>
      <c r="K2663" s="71" t="s">
        <v>27</v>
      </c>
      <c r="L2663" s="69" t="s">
        <v>120</v>
      </c>
      <c r="M2663" s="69" t="s">
        <v>141</v>
      </c>
      <c r="N2663" s="69" t="e" vm="1">
        <v>#VALUE!</v>
      </c>
      <c r="O2663" s="164">
        <v>40735</v>
      </c>
      <c r="P2663" s="72" t="s">
        <v>4567</v>
      </c>
      <c r="Q2663" s="72"/>
      <c r="R2663" s="162"/>
      <c r="S2663" s="146"/>
      <c r="T2663" s="68" t="s">
        <v>3</v>
      </c>
      <c r="U2663" s="87"/>
      <c r="V2663" s="183">
        <v>40784</v>
      </c>
      <c r="W2663" s="73">
        <v>1770</v>
      </c>
      <c r="X2663" s="73">
        <f>2407*22500/1000000</f>
        <v>54.157499999999999</v>
      </c>
      <c r="Y2663" s="73">
        <f>IF(SUM(W2663:W2663)&gt;0,X2663/SUM(W2663:W2663)*1000000,"N/A")</f>
        <v>30597.457627118642</v>
      </c>
      <c r="Z2663" s="183"/>
      <c r="AA2663" s="183"/>
      <c r="AB2663" s="223" t="s">
        <v>9018</v>
      </c>
      <c r="AC2663" s="153"/>
      <c r="AD2663" s="331"/>
      <c r="AE2663" s="57"/>
      <c r="AF2663" s="151"/>
      <c r="AG2663" s="182">
        <f>YEAR(D2663)</f>
        <v>2011</v>
      </c>
      <c r="AH2663" s="86" t="str">
        <f>+IF(AE2663=$AJ$22,MONTH(T2663),"")</f>
        <v/>
      </c>
      <c r="AI2663" s="86" t="str">
        <f>+IF(AF2663=$AJ$22,MONTH(U2663),"")</f>
        <v/>
      </c>
      <c r="AJ2663" s="86" t="str">
        <f>+IF(AG2663=$AJ$22,MONTH(V2663),"")</f>
        <v/>
      </c>
      <c r="AK2663" s="86" t="str">
        <f>+IF(AG2663=$AK$22,MONTH(V2663),"")</f>
        <v/>
      </c>
      <c r="AL2663" s="86" t="str">
        <f>+IF(AG2663=$AL$22,MONTH(V2663),"")</f>
        <v/>
      </c>
      <c r="AM2663" s="86" t="str">
        <f>+IF($AG2663=$AM$22,MONTH($D2663),"")</f>
        <v/>
      </c>
      <c r="AN2663" s="89" t="str">
        <f>+IF($AG2663=AN$22,MONTH($D2663),"")</f>
        <v/>
      </c>
      <c r="AO2663" s="86" t="str">
        <f>+IF($AG2663=AO$22,MONTH($D2663),"")</f>
        <v/>
      </c>
      <c r="AP2663" s="86" t="str">
        <f>+IF($AG2663=AP$22,MONTH($D2663),"")</f>
        <v/>
      </c>
      <c r="AQ2663" s="86" t="str">
        <f>+IF($AG2663=AQ$22,MONTH($D2663),"")</f>
        <v/>
      </c>
      <c r="AR2663" s="86" t="str">
        <f>+IF($AG2663=AR$22,MONTH($D2663),"")</f>
        <v/>
      </c>
      <c r="AS2663" s="86" t="str">
        <f>+IF($AG2663=AS$22,MONTH($D2663),"")</f>
        <v/>
      </c>
      <c r="AT2663" s="86" t="str">
        <f>+IF($AG2663=AT$22,MONTH($D2663),"")</f>
        <v/>
      </c>
      <c r="AU2663" s="86" t="str">
        <f>+IF($AG2663=AU$22,MONTH($D2663),"")</f>
        <v/>
      </c>
      <c r="AV2663" s="86" t="str">
        <f>+IF($AG2663=AV$22,MONTH($D2663),"")</f>
        <v/>
      </c>
      <c r="AW2663" s="86">
        <f>+IF($AG2663=AW$22,MONTH($D2663),"")</f>
        <v>7</v>
      </c>
      <c r="AX2663" s="86" t="str">
        <f>+IF($AG2663=AX$22,MONTH($D2663),"")</f>
        <v/>
      </c>
      <c r="AY2663" s="89"/>
      <c r="AZ2663" s="89"/>
      <c r="BA2663" s="89"/>
      <c r="BB2663" s="89"/>
      <c r="BC2663" s="89"/>
      <c r="BD2663" s="89"/>
      <c r="BE2663" s="89"/>
      <c r="BF2663" s="89"/>
      <c r="BG2663" s="89"/>
      <c r="BH2663" s="89"/>
      <c r="BI2663" s="89"/>
      <c r="BJ2663" s="182"/>
      <c r="BK2663" s="182"/>
      <c r="BL2663" s="182"/>
      <c r="BM2663" s="182"/>
      <c r="BN2663" s="182"/>
      <c r="BO2663" s="182"/>
      <c r="BP2663" s="182"/>
    </row>
    <row r="2664" spans="1:68" s="51" customFormat="1" ht="19.5" hidden="1" customHeight="1">
      <c r="A2664" s="204" t="str">
        <f>+IFERROR(VALUE(MID(AB2664,4,4)),"")</f>
        <v/>
      </c>
      <c r="B2664" s="204">
        <f>VALUE(RIGHT(C2664,LEN(C2664)-2))</f>
        <v>67</v>
      </c>
      <c r="C2664" s="74" t="s">
        <v>9019</v>
      </c>
      <c r="D2664" s="75">
        <v>40711</v>
      </c>
      <c r="E2664" s="70" t="s">
        <v>1321</v>
      </c>
      <c r="F2664" s="70" t="s">
        <v>9020</v>
      </c>
      <c r="G2664" s="68"/>
      <c r="H2664" s="59"/>
      <c r="I2664" s="162" t="s">
        <v>9021</v>
      </c>
      <c r="J2664" s="272"/>
      <c r="K2664" s="71" t="s">
        <v>12</v>
      </c>
      <c r="L2664" s="69" t="s">
        <v>120</v>
      </c>
      <c r="M2664" s="69" t="s">
        <v>141</v>
      </c>
      <c r="N2664" s="69" t="e" vm="1">
        <v>#VALUE!</v>
      </c>
      <c r="O2664" s="164">
        <v>40711</v>
      </c>
      <c r="P2664" s="72" t="s">
        <v>4567</v>
      </c>
      <c r="Q2664" s="72"/>
      <c r="R2664" s="162"/>
      <c r="S2664" s="146"/>
      <c r="T2664" s="68" t="s">
        <v>165</v>
      </c>
      <c r="U2664" s="87"/>
      <c r="V2664" s="183">
        <v>40781</v>
      </c>
      <c r="W2664" s="73">
        <v>237</v>
      </c>
      <c r="X2664" s="73">
        <f>8943600/1000000</f>
        <v>8.9436</v>
      </c>
      <c r="Y2664" s="73">
        <f>IF(SUM(W2664:W2664)&gt;0,X2664/SUM(W2664:W2664)*1000000,"N/A")</f>
        <v>37736.708860759492</v>
      </c>
      <c r="Z2664" s="183"/>
      <c r="AA2664" s="183"/>
      <c r="AB2664" s="223"/>
      <c r="AC2664" s="153"/>
      <c r="AD2664" s="331"/>
      <c r="AE2664" s="57"/>
      <c r="AF2664" s="151" t="s">
        <v>9022</v>
      </c>
      <c r="AG2664" s="182">
        <f>YEAR(D2664)</f>
        <v>2011</v>
      </c>
      <c r="AH2664" s="86" t="str">
        <f>+IF(AE2664=$AJ$22,MONTH(T2664),"")</f>
        <v/>
      </c>
      <c r="AI2664" s="86" t="str">
        <f>+IF(AF2664=$AJ$22,MONTH(U2664),"")</f>
        <v/>
      </c>
      <c r="AJ2664" s="86" t="str">
        <f>+IF(AG2664=$AJ$22,MONTH(V2664),"")</f>
        <v/>
      </c>
      <c r="AK2664" s="86" t="str">
        <f>+IF(AG2664=$AK$22,MONTH(V2664),"")</f>
        <v/>
      </c>
      <c r="AL2664" s="86" t="str">
        <f>+IF(AG2664=$AL$22,MONTH(V2664),"")</f>
        <v/>
      </c>
      <c r="AM2664" s="86" t="str">
        <f>+IF($AG2664=$AM$22,MONTH($D2664),"")</f>
        <v/>
      </c>
      <c r="AN2664" s="89" t="str">
        <f>+IF($AG2664=AN$22,MONTH($D2664),"")</f>
        <v/>
      </c>
      <c r="AO2664" s="184" t="str">
        <f>+IF($AG2664=AO$22,MONTH($D2664),"")</f>
        <v/>
      </c>
      <c r="AP2664" s="184" t="str">
        <f>+IF($AG2664=AP$22,MONTH($D2664),"")</f>
        <v/>
      </c>
      <c r="AQ2664" s="184" t="str">
        <f>+IF($AG2664=AQ$22,MONTH($D2664),"")</f>
        <v/>
      </c>
      <c r="AR2664" s="184" t="str">
        <f>+IF($AG2664=AR$22,MONTH($D2664),"")</f>
        <v/>
      </c>
      <c r="AS2664" s="184" t="str">
        <f>+IF($AG2664=AS$22,MONTH($D2664),"")</f>
        <v/>
      </c>
      <c r="AT2664" s="86" t="str">
        <f>+IF($AG2664=AT$22,MONTH($D2664),"")</f>
        <v/>
      </c>
      <c r="AU2664" s="86" t="str">
        <f>+IF($AG2664=AU$22,MONTH($D2664),"")</f>
        <v/>
      </c>
      <c r="AV2664" s="86" t="str">
        <f>+IF($AG2664=AV$22,MONTH($D2664),"")</f>
        <v/>
      </c>
      <c r="AW2664" s="86">
        <f>+IF($AG2664=AW$22,MONTH($D2664),"")</f>
        <v>6</v>
      </c>
      <c r="AX2664" s="86" t="str">
        <f>+IF($AG2664=AX$22,MONTH($D2664),"")</f>
        <v/>
      </c>
      <c r="AY2664" s="89"/>
      <c r="AZ2664" s="89"/>
      <c r="BA2664" s="89"/>
      <c r="BB2664" s="89"/>
      <c r="BC2664" s="89"/>
      <c r="BD2664" s="89"/>
      <c r="BE2664" s="89"/>
      <c r="BF2664" s="89"/>
      <c r="BG2664" s="89"/>
      <c r="BH2664" s="89"/>
      <c r="BI2664" s="89"/>
      <c r="BJ2664" s="182"/>
      <c r="BK2664" s="182"/>
      <c r="BL2664" s="182"/>
      <c r="BM2664" s="182"/>
      <c r="BN2664" s="182"/>
      <c r="BO2664" s="182"/>
      <c r="BP2664" s="182"/>
    </row>
    <row r="2665" spans="1:68" s="51" customFormat="1" ht="19.5" hidden="1" customHeight="1">
      <c r="A2665" s="204">
        <f>+IFERROR(VALUE(MID(AB2665,4,4)),"")</f>
        <v>29</v>
      </c>
      <c r="B2665" s="204">
        <f>VALUE(RIGHT(C2665,LEN(C2665)-2))</f>
        <v>66</v>
      </c>
      <c r="C2665" s="74" t="s">
        <v>9023</v>
      </c>
      <c r="D2665" s="75">
        <v>40710</v>
      </c>
      <c r="E2665" s="70" t="s">
        <v>2961</v>
      </c>
      <c r="F2665" s="70" t="s">
        <v>2961</v>
      </c>
      <c r="G2665" s="68" t="s">
        <v>451</v>
      </c>
      <c r="H2665" s="59"/>
      <c r="I2665" s="162" t="s">
        <v>9024</v>
      </c>
      <c r="J2665" s="272"/>
      <c r="K2665" s="71" t="s">
        <v>25</v>
      </c>
      <c r="L2665" s="69" t="s">
        <v>120</v>
      </c>
      <c r="M2665" s="69" t="s">
        <v>141</v>
      </c>
      <c r="N2665" s="69" t="e" vm="1">
        <v>#VALUE!</v>
      </c>
      <c r="O2665" s="164">
        <v>40710</v>
      </c>
      <c r="P2665" s="72" t="s">
        <v>4567</v>
      </c>
      <c r="Q2665" s="72"/>
      <c r="R2665" s="162"/>
      <c r="S2665" s="146"/>
      <c r="T2665" s="68" t="s">
        <v>3</v>
      </c>
      <c r="U2665" s="87"/>
      <c r="V2665" s="183">
        <v>40724</v>
      </c>
      <c r="W2665" s="73">
        <v>94.3</v>
      </c>
      <c r="X2665" s="73">
        <f>2263200/1000000</f>
        <v>2.2631999999999999</v>
      </c>
      <c r="Y2665" s="73">
        <f>IF(SUM(W2665:W2665)&gt;0,X2665/SUM(W2665:W2665)*1000000,"N/A")</f>
        <v>24000</v>
      </c>
      <c r="Z2665" s="183"/>
      <c r="AA2665" s="183"/>
      <c r="AB2665" s="223" t="s">
        <v>9025</v>
      </c>
      <c r="AC2665" s="153"/>
      <c r="AD2665" s="331"/>
      <c r="AE2665" s="57"/>
      <c r="AF2665" s="151"/>
      <c r="AG2665" s="182">
        <f>YEAR(D2665)</f>
        <v>2011</v>
      </c>
      <c r="AH2665" s="86" t="str">
        <f>+IF(AE2665=$AJ$22,MONTH(T2665),"")</f>
        <v/>
      </c>
      <c r="AI2665" s="86" t="str">
        <f>+IF(AF2665=$AJ$22,MONTH(U2665),"")</f>
        <v/>
      </c>
      <c r="AJ2665" s="86" t="str">
        <f>+IF(AG2665=$AJ$22,MONTH(V2665),"")</f>
        <v/>
      </c>
      <c r="AK2665" s="86" t="str">
        <f>+IF(AG2665=$AK$22,MONTH(V2665),"")</f>
        <v/>
      </c>
      <c r="AL2665" s="86" t="str">
        <f>+IF(AG2665=$AL$22,MONTH(V2665),"")</f>
        <v/>
      </c>
      <c r="AM2665" s="86" t="str">
        <f>+IF($AG2665=$AM$22,MONTH($D2665),"")</f>
        <v/>
      </c>
      <c r="AN2665" s="89" t="str">
        <f>+IF($AG2665=AN$22,MONTH($D2665),"")</f>
        <v/>
      </c>
      <c r="AO2665" s="86" t="str">
        <f>+IF($AG2665=AO$22,MONTH($D2665),"")</f>
        <v/>
      </c>
      <c r="AP2665" s="86" t="str">
        <f>+IF($AG2665=AP$22,MONTH($D2665),"")</f>
        <v/>
      </c>
      <c r="AQ2665" s="86" t="str">
        <f>+IF($AG2665=AQ$22,MONTH($D2665),"")</f>
        <v/>
      </c>
      <c r="AR2665" s="86" t="str">
        <f>+IF($AG2665=AR$22,MONTH($D2665),"")</f>
        <v/>
      </c>
      <c r="AS2665" s="86" t="str">
        <f>+IF($AG2665=AS$22,MONTH($D2665),"")</f>
        <v/>
      </c>
      <c r="AT2665" s="86" t="str">
        <f>+IF($AG2665=AT$22,MONTH($D2665),"")</f>
        <v/>
      </c>
      <c r="AU2665" s="86" t="str">
        <f>+IF($AG2665=AU$22,MONTH($D2665),"")</f>
        <v/>
      </c>
      <c r="AV2665" s="86" t="str">
        <f>+IF($AG2665=AV$22,MONTH($D2665),"")</f>
        <v/>
      </c>
      <c r="AW2665" s="86">
        <f>+IF($AG2665=AW$22,MONTH($D2665),"")</f>
        <v>6</v>
      </c>
      <c r="AX2665" s="86" t="str">
        <f>+IF($AG2665=AX$22,MONTH($D2665),"")</f>
        <v/>
      </c>
      <c r="AY2665" s="89"/>
      <c r="AZ2665" s="89"/>
      <c r="BA2665" s="89"/>
      <c r="BB2665" s="89"/>
      <c r="BC2665" s="89"/>
      <c r="BD2665" s="89"/>
      <c r="BE2665" s="89"/>
      <c r="BF2665" s="89"/>
      <c r="BG2665" s="89"/>
      <c r="BH2665" s="89"/>
      <c r="BI2665" s="89"/>
      <c r="BJ2665" s="182"/>
      <c r="BK2665" s="182"/>
      <c r="BL2665" s="182"/>
      <c r="BM2665" s="182"/>
      <c r="BN2665" s="182"/>
      <c r="BO2665" s="182"/>
      <c r="BP2665" s="182"/>
    </row>
    <row r="2666" spans="1:68" s="51" customFormat="1" ht="19.5" hidden="1" customHeight="1">
      <c r="A2666" s="204" t="str">
        <f>+IFERROR(VALUE(MID(AB2666,4,4)),"")</f>
        <v/>
      </c>
      <c r="B2666" s="204">
        <f>VALUE(RIGHT(C2666,LEN(C2666)-2))</f>
        <v>65</v>
      </c>
      <c r="C2666" s="74" t="s">
        <v>9026</v>
      </c>
      <c r="D2666" s="75">
        <v>40683</v>
      </c>
      <c r="E2666" s="70" t="s">
        <v>685</v>
      </c>
      <c r="F2666" s="70" t="s">
        <v>685</v>
      </c>
      <c r="G2666" s="68" t="s">
        <v>9027</v>
      </c>
      <c r="H2666" s="59"/>
      <c r="I2666" s="162" t="s">
        <v>9028</v>
      </c>
      <c r="J2666" s="272"/>
      <c r="K2666" s="71" t="s">
        <v>13</v>
      </c>
      <c r="L2666" s="69" t="s">
        <v>120</v>
      </c>
      <c r="M2666" s="69" t="s">
        <v>141</v>
      </c>
      <c r="N2666" s="69" t="e" vm="1">
        <v>#VALUE!</v>
      </c>
      <c r="O2666" s="164"/>
      <c r="P2666" s="72" t="s">
        <v>4567</v>
      </c>
      <c r="Q2666" s="72"/>
      <c r="R2666" s="162"/>
      <c r="S2666" s="146"/>
      <c r="T2666" s="68" t="s">
        <v>165</v>
      </c>
      <c r="U2666" s="87"/>
      <c r="V2666" s="183"/>
      <c r="W2666" s="73">
        <f>43.5*12</f>
        <v>522</v>
      </c>
      <c r="X2666" s="73">
        <v>9.3550000000000004</v>
      </c>
      <c r="Y2666" s="73">
        <f>IF(SUM(W2666:W2666)&gt;0,X2666/SUM(W2666:W2666)*1000000,"N/A")</f>
        <v>17921.455938697316</v>
      </c>
      <c r="Z2666" s="183"/>
      <c r="AA2666" s="183"/>
      <c r="AB2666" s="223"/>
      <c r="AC2666" s="153"/>
      <c r="AD2666" s="331"/>
      <c r="AE2666" s="57"/>
      <c r="AF2666" s="151"/>
      <c r="AG2666" s="182">
        <f>YEAR(D2666)</f>
        <v>2011</v>
      </c>
      <c r="AH2666" s="86" t="str">
        <f>+IF(AE2666=$AJ$22,MONTH(T2666),"")</f>
        <v/>
      </c>
      <c r="AI2666" s="86" t="str">
        <f>+IF(AF2666=$AJ$22,MONTH(U2666),"")</f>
        <v/>
      </c>
      <c r="AJ2666" s="86" t="str">
        <f>+IF(AG2666=$AJ$22,MONTH(V2666),"")</f>
        <v/>
      </c>
      <c r="AK2666" s="86" t="str">
        <f>+IF(AG2666=$AK$22,MONTH(V2666),"")</f>
        <v/>
      </c>
      <c r="AL2666" s="86" t="str">
        <f>+IF(AG2666=$AL$22,MONTH(V2666),"")</f>
        <v/>
      </c>
      <c r="AM2666" s="86" t="str">
        <f>+IF($AG2666=$AM$22,MONTH($D2666),"")</f>
        <v/>
      </c>
      <c r="AN2666" s="89" t="str">
        <f>+IF($AG2666=AN$22,MONTH($D2666),"")</f>
        <v/>
      </c>
      <c r="AO2666" s="184" t="str">
        <f>+IF($AG2666=AO$22,MONTH($D2666),"")</f>
        <v/>
      </c>
      <c r="AP2666" s="184" t="str">
        <f>+IF($AG2666=AP$22,MONTH($D2666),"")</f>
        <v/>
      </c>
      <c r="AQ2666" s="184" t="str">
        <f>+IF($AG2666=AQ$22,MONTH($D2666),"")</f>
        <v/>
      </c>
      <c r="AR2666" s="184" t="str">
        <f>+IF($AG2666=AR$22,MONTH($D2666),"")</f>
        <v/>
      </c>
      <c r="AS2666" s="184" t="str">
        <f>+IF($AG2666=AS$22,MONTH($D2666),"")</f>
        <v/>
      </c>
      <c r="AT2666" s="86" t="str">
        <f>+IF($AG2666=AT$22,MONTH($D2666),"")</f>
        <v/>
      </c>
      <c r="AU2666" s="86" t="str">
        <f>+IF($AG2666=AU$22,MONTH($D2666),"")</f>
        <v/>
      </c>
      <c r="AV2666" s="86" t="str">
        <f>+IF($AG2666=AV$22,MONTH($D2666),"")</f>
        <v/>
      </c>
      <c r="AW2666" s="86">
        <f>+IF($AG2666=AW$22,MONTH($D2666),"")</f>
        <v>5</v>
      </c>
      <c r="AX2666" s="86" t="str">
        <f>+IF($AG2666=AX$22,MONTH($D2666),"")</f>
        <v/>
      </c>
      <c r="AY2666" s="89"/>
      <c r="AZ2666" s="89"/>
      <c r="BA2666" s="89"/>
      <c r="BB2666" s="89"/>
      <c r="BC2666" s="89"/>
      <c r="BD2666" s="89"/>
      <c r="BE2666" s="89"/>
      <c r="BF2666" s="89"/>
      <c r="BG2666" s="89"/>
      <c r="BH2666" s="89"/>
      <c r="BI2666" s="89"/>
      <c r="BJ2666" s="182"/>
      <c r="BK2666" s="182"/>
      <c r="BL2666" s="182"/>
      <c r="BM2666" s="182"/>
      <c r="BN2666" s="182"/>
      <c r="BO2666" s="182"/>
      <c r="BP2666" s="182"/>
    </row>
    <row r="2667" spans="1:68" s="51" customFormat="1" ht="19.5" hidden="1" customHeight="1">
      <c r="A2667" s="204" t="str">
        <f>+IFERROR(VALUE(MID(AB2667,4,4)),"")</f>
        <v/>
      </c>
      <c r="B2667" s="204">
        <f>VALUE(RIGHT(C2667,LEN(C2667)-2))</f>
        <v>64</v>
      </c>
      <c r="C2667" s="74" t="s">
        <v>9029</v>
      </c>
      <c r="D2667" s="75">
        <v>40683</v>
      </c>
      <c r="E2667" s="70" t="s">
        <v>685</v>
      </c>
      <c r="F2667" s="70" t="s">
        <v>685</v>
      </c>
      <c r="G2667" s="68" t="s">
        <v>9027</v>
      </c>
      <c r="H2667" s="59"/>
      <c r="I2667" s="162" t="s">
        <v>9030</v>
      </c>
      <c r="J2667" s="272"/>
      <c r="K2667" s="71" t="s">
        <v>13</v>
      </c>
      <c r="L2667" s="69" t="s">
        <v>120</v>
      </c>
      <c r="M2667" s="69" t="s">
        <v>141</v>
      </c>
      <c r="N2667" s="69" t="e" vm="1">
        <v>#VALUE!</v>
      </c>
      <c r="O2667" s="164"/>
      <c r="P2667" s="72" t="s">
        <v>4567</v>
      </c>
      <c r="Q2667" s="72"/>
      <c r="R2667" s="162"/>
      <c r="S2667" s="146"/>
      <c r="T2667" s="68" t="s">
        <v>165</v>
      </c>
      <c r="U2667" s="87"/>
      <c r="V2667" s="183"/>
      <c r="W2667" s="73">
        <f>131*12</f>
        <v>1572</v>
      </c>
      <c r="X2667" s="73">
        <v>26.777999999999999</v>
      </c>
      <c r="Y2667" s="73">
        <f>IF(SUM(W2667:W2667)&gt;0,X2667/SUM(W2667:W2667)*1000000,"N/A")</f>
        <v>17034.35114503817</v>
      </c>
      <c r="Z2667" s="183"/>
      <c r="AA2667" s="183"/>
      <c r="AB2667" s="223"/>
      <c r="AC2667" s="153"/>
      <c r="AD2667" s="331"/>
      <c r="AE2667" s="57"/>
      <c r="AF2667" s="151"/>
      <c r="AG2667" s="182">
        <f>YEAR(D2667)</f>
        <v>2011</v>
      </c>
      <c r="AH2667" s="86" t="str">
        <f>+IF(AE2667=$AJ$22,MONTH(T2667),"")</f>
        <v/>
      </c>
      <c r="AI2667" s="86" t="str">
        <f>+IF(AF2667=$AJ$22,MONTH(U2667),"")</f>
        <v/>
      </c>
      <c r="AJ2667" s="86" t="str">
        <f>+IF(AG2667=$AJ$22,MONTH(V2667),"")</f>
        <v/>
      </c>
      <c r="AK2667" s="86" t="str">
        <f>+IF(AG2667=$AK$22,MONTH(V2667),"")</f>
        <v/>
      </c>
      <c r="AL2667" s="86" t="str">
        <f>+IF(AG2667=$AL$22,MONTH(V2667),"")</f>
        <v/>
      </c>
      <c r="AM2667" s="86" t="str">
        <f>+IF($AG2667=$AM$22,MONTH($D2667),"")</f>
        <v/>
      </c>
      <c r="AN2667" s="89" t="str">
        <f>+IF($AG2667=AN$22,MONTH($D2667),"")</f>
        <v/>
      </c>
      <c r="AO2667" s="184" t="str">
        <f>+IF($AG2667=AO$22,MONTH($D2667),"")</f>
        <v/>
      </c>
      <c r="AP2667" s="184" t="str">
        <f>+IF($AG2667=AP$22,MONTH($D2667),"")</f>
        <v/>
      </c>
      <c r="AQ2667" s="184" t="str">
        <f>+IF($AG2667=AQ$22,MONTH($D2667),"")</f>
        <v/>
      </c>
      <c r="AR2667" s="184" t="str">
        <f>+IF($AG2667=AR$22,MONTH($D2667),"")</f>
        <v/>
      </c>
      <c r="AS2667" s="184" t="str">
        <f>+IF($AG2667=AS$22,MONTH($D2667),"")</f>
        <v/>
      </c>
      <c r="AT2667" s="86" t="str">
        <f>+IF($AG2667=AT$22,MONTH($D2667),"")</f>
        <v/>
      </c>
      <c r="AU2667" s="86" t="str">
        <f>+IF($AG2667=AU$22,MONTH($D2667),"")</f>
        <v/>
      </c>
      <c r="AV2667" s="86" t="str">
        <f>+IF($AG2667=AV$22,MONTH($D2667),"")</f>
        <v/>
      </c>
      <c r="AW2667" s="86">
        <f>+IF($AG2667=AW$22,MONTH($D2667),"")</f>
        <v>5</v>
      </c>
      <c r="AX2667" s="86" t="str">
        <f>+IF($AG2667=AX$22,MONTH($D2667),"")</f>
        <v/>
      </c>
      <c r="AY2667" s="89"/>
      <c r="AZ2667" s="89"/>
      <c r="BA2667" s="89"/>
      <c r="BB2667" s="89"/>
      <c r="BC2667" s="89"/>
      <c r="BD2667" s="89"/>
      <c r="BE2667" s="89"/>
      <c r="BF2667" s="89"/>
      <c r="BG2667" s="89"/>
      <c r="BH2667" s="89"/>
      <c r="BI2667" s="89"/>
      <c r="BJ2667" s="182"/>
      <c r="BK2667" s="182"/>
      <c r="BL2667" s="182"/>
      <c r="BM2667" s="182"/>
      <c r="BN2667" s="182"/>
      <c r="BO2667" s="182"/>
      <c r="BP2667" s="182"/>
    </row>
    <row r="2668" spans="1:68" s="51" customFormat="1" ht="19.5" hidden="1" customHeight="1">
      <c r="A2668" s="204" t="str">
        <f>+IFERROR(VALUE(MID(AB2668,4,4)),"")</f>
        <v/>
      </c>
      <c r="B2668" s="204">
        <f>VALUE(RIGHT(C2668,LEN(C2668)-2))</f>
        <v>63</v>
      </c>
      <c r="C2668" s="74" t="s">
        <v>9031</v>
      </c>
      <c r="D2668" s="75">
        <v>40667</v>
      </c>
      <c r="E2668" s="70" t="s">
        <v>2961</v>
      </c>
      <c r="F2668" s="70" t="s">
        <v>685</v>
      </c>
      <c r="G2668" s="68"/>
      <c r="H2668" s="59"/>
      <c r="I2668" s="162" t="s">
        <v>9032</v>
      </c>
      <c r="J2668" s="272"/>
      <c r="K2668" s="71" t="s">
        <v>30</v>
      </c>
      <c r="L2668" s="69" t="s">
        <v>120</v>
      </c>
      <c r="M2668" s="69" t="s">
        <v>141</v>
      </c>
      <c r="N2668" s="69" t="e" vm="1">
        <v>#VALUE!</v>
      </c>
      <c r="O2668" s="164">
        <v>41040</v>
      </c>
      <c r="P2668" s="72"/>
      <c r="Q2668" s="72"/>
      <c r="R2668" s="162"/>
      <c r="S2668" s="146"/>
      <c r="T2668" s="68" t="s">
        <v>165</v>
      </c>
      <c r="U2668" s="87"/>
      <c r="V2668" s="183"/>
      <c r="W2668" s="73">
        <v>230</v>
      </c>
      <c r="X2668" s="73">
        <v>4.9950000000000001</v>
      </c>
      <c r="Y2668" s="73">
        <f>IF(SUM(W2668:W2668)&gt;0,X2668/SUM(W2668:W2668)*1000000,"N/A")</f>
        <v>21717.391304347828</v>
      </c>
      <c r="Z2668" s="183"/>
      <c r="AA2668" s="183"/>
      <c r="AB2668" s="223"/>
      <c r="AC2668" s="153"/>
      <c r="AD2668" s="331"/>
      <c r="AE2668" s="57"/>
      <c r="AF2668" s="151"/>
      <c r="AG2668" s="182">
        <f>YEAR(D2668)</f>
        <v>2011</v>
      </c>
      <c r="AH2668" s="86" t="str">
        <f>+IF(AE2668=$AJ$22,MONTH(T2668),"")</f>
        <v/>
      </c>
      <c r="AI2668" s="86" t="str">
        <f>+IF(AF2668=$AJ$22,MONTH(U2668),"")</f>
        <v/>
      </c>
      <c r="AJ2668" s="86" t="str">
        <f>+IF(AG2668=$AJ$22,MONTH(V2668),"")</f>
        <v/>
      </c>
      <c r="AK2668" s="86" t="str">
        <f>+IF(AG2668=$AK$22,MONTH(V2668),"")</f>
        <v/>
      </c>
      <c r="AL2668" s="86" t="str">
        <f>+IF(AG2668=$AL$22,MONTH(V2668),"")</f>
        <v/>
      </c>
      <c r="AM2668" s="86" t="str">
        <f>+IF($AG2668=$AM$22,MONTH($D2668),"")</f>
        <v/>
      </c>
      <c r="AN2668" s="89" t="str">
        <f>+IF($AG2668=AN$22,MONTH($D2668),"")</f>
        <v/>
      </c>
      <c r="AO2668" s="184" t="str">
        <f>+IF($AG2668=AO$22,MONTH($D2668),"")</f>
        <v/>
      </c>
      <c r="AP2668" s="184" t="str">
        <f>+IF($AG2668=AP$22,MONTH($D2668),"")</f>
        <v/>
      </c>
      <c r="AQ2668" s="184" t="str">
        <f>+IF($AG2668=AQ$22,MONTH($D2668),"")</f>
        <v/>
      </c>
      <c r="AR2668" s="184" t="str">
        <f>+IF($AG2668=AR$22,MONTH($D2668),"")</f>
        <v/>
      </c>
      <c r="AS2668" s="184" t="str">
        <f>+IF($AG2668=AS$22,MONTH($D2668),"")</f>
        <v/>
      </c>
      <c r="AT2668" s="86" t="str">
        <f>+IF($AG2668=AT$22,MONTH($D2668),"")</f>
        <v/>
      </c>
      <c r="AU2668" s="86" t="str">
        <f>+IF($AG2668=AU$22,MONTH($D2668),"")</f>
        <v/>
      </c>
      <c r="AV2668" s="86" t="str">
        <f>+IF($AG2668=AV$22,MONTH($D2668),"")</f>
        <v/>
      </c>
      <c r="AW2668" s="86">
        <f>+IF($AG2668=AW$22,MONTH($D2668),"")</f>
        <v>5</v>
      </c>
      <c r="AX2668" s="86" t="str">
        <f>+IF($AG2668=AX$22,MONTH($D2668),"")</f>
        <v/>
      </c>
      <c r="AY2668" s="89"/>
      <c r="AZ2668" s="89"/>
      <c r="BA2668" s="89"/>
      <c r="BB2668" s="89"/>
      <c r="BC2668" s="89"/>
      <c r="BD2668" s="89"/>
      <c r="BE2668" s="89"/>
      <c r="BF2668" s="89"/>
      <c r="BG2668" s="89"/>
      <c r="BH2668" s="89"/>
      <c r="BI2668" s="89"/>
      <c r="BJ2668" s="182"/>
      <c r="BK2668" s="182"/>
      <c r="BL2668" s="182"/>
      <c r="BM2668" s="182"/>
      <c r="BN2668" s="182"/>
      <c r="BO2668" s="182"/>
      <c r="BP2668" s="182"/>
    </row>
    <row r="2669" spans="1:68" s="51" customFormat="1" ht="19.5" hidden="1" customHeight="1">
      <c r="A2669" s="204" t="str">
        <f>+IFERROR(VALUE(MID(AB2669,4,4)),"")</f>
        <v/>
      </c>
      <c r="B2669" s="204">
        <f>VALUE(RIGHT(C2669,LEN(C2669)-2))</f>
        <v>62</v>
      </c>
      <c r="C2669" s="74" t="s">
        <v>9033</v>
      </c>
      <c r="D2669" s="75">
        <v>40630</v>
      </c>
      <c r="E2669" s="70" t="s">
        <v>8776</v>
      </c>
      <c r="F2669" s="70" t="s">
        <v>685</v>
      </c>
      <c r="G2669" s="68" t="s">
        <v>9034</v>
      </c>
      <c r="H2669" s="59"/>
      <c r="I2669" s="162" t="s">
        <v>9035</v>
      </c>
      <c r="J2669" s="272"/>
      <c r="K2669" s="71" t="s">
        <v>31</v>
      </c>
      <c r="L2669" s="69" t="s">
        <v>123</v>
      </c>
      <c r="M2669" s="69" t="s">
        <v>141</v>
      </c>
      <c r="N2669" s="69" t="e" vm="1">
        <v>#VALUE!</v>
      </c>
      <c r="O2669" s="164"/>
      <c r="P2669" s="72"/>
      <c r="Q2669" s="72"/>
      <c r="R2669" s="162"/>
      <c r="S2669" s="146"/>
      <c r="T2669" s="68" t="s">
        <v>165</v>
      </c>
      <c r="U2669" s="87"/>
      <c r="V2669" s="183"/>
      <c r="W2669" s="223">
        <v>29736</v>
      </c>
      <c r="X2669" s="73">
        <v>1911.64</v>
      </c>
      <c r="Y2669" s="73">
        <f>IF(SUM(W2669:W2669)&gt;0,X2669/SUM(W2669:W2669)*1000000,"N/A")</f>
        <v>64287.059456550982</v>
      </c>
      <c r="Z2669" s="270"/>
      <c r="AA2669" s="270"/>
      <c r="AB2669" s="223"/>
      <c r="AC2669" s="153"/>
      <c r="AD2669" s="331"/>
      <c r="AE2669" s="57"/>
      <c r="AF2669" s="151" t="s">
        <v>9022</v>
      </c>
      <c r="AG2669" s="182">
        <f>YEAR(D2669)</f>
        <v>2011</v>
      </c>
      <c r="AH2669" s="86" t="str">
        <f>+IF(AE2669=$AJ$22,MONTH(T2669),"")</f>
        <v/>
      </c>
      <c r="AI2669" s="86" t="str">
        <f>+IF(AF2669=$AJ$22,MONTH(U2669),"")</f>
        <v/>
      </c>
      <c r="AJ2669" s="86" t="str">
        <f>+IF(AG2669=$AJ$22,MONTH(V2669),"")</f>
        <v/>
      </c>
      <c r="AK2669" s="86" t="str">
        <f>+IF(AG2669=$AK$22,MONTH(V2669),"")</f>
        <v/>
      </c>
      <c r="AL2669" s="86" t="str">
        <f>+IF(AG2669=$AL$22,MONTH(V2669),"")</f>
        <v/>
      </c>
      <c r="AM2669" s="86" t="str">
        <f>+IF($AG2669=$AM$22,MONTH($D2669),"")</f>
        <v/>
      </c>
      <c r="AN2669" s="89" t="str">
        <f>+IF($AG2669=AN$22,MONTH($D2669),"")</f>
        <v/>
      </c>
      <c r="AO2669" s="184" t="str">
        <f>+IF($AG2669=AO$22,MONTH($D2669),"")</f>
        <v/>
      </c>
      <c r="AP2669" s="184" t="str">
        <f>+IF($AG2669=AP$22,MONTH($D2669),"")</f>
        <v/>
      </c>
      <c r="AQ2669" s="184" t="str">
        <f>+IF($AG2669=AQ$22,MONTH($D2669),"")</f>
        <v/>
      </c>
      <c r="AR2669" s="184" t="str">
        <f>+IF($AG2669=AR$22,MONTH($D2669),"")</f>
        <v/>
      </c>
      <c r="AS2669" s="184" t="str">
        <f>+IF($AG2669=AS$22,MONTH($D2669),"")</f>
        <v/>
      </c>
      <c r="AT2669" s="86" t="str">
        <f>+IF($AG2669=AT$22,MONTH($D2669),"")</f>
        <v/>
      </c>
      <c r="AU2669" s="86" t="str">
        <f>+IF($AG2669=AU$22,MONTH($D2669),"")</f>
        <v/>
      </c>
      <c r="AV2669" s="86" t="str">
        <f>+IF($AG2669=AV$22,MONTH($D2669),"")</f>
        <v/>
      </c>
      <c r="AW2669" s="86">
        <f>+IF($AG2669=AW$22,MONTH($D2669),"")</f>
        <v>3</v>
      </c>
      <c r="AX2669" s="86" t="str">
        <f>+IF($AG2669=AX$22,MONTH($D2669),"")</f>
        <v/>
      </c>
      <c r="AY2669" s="89"/>
      <c r="AZ2669" s="89"/>
      <c r="BA2669" s="89"/>
      <c r="BB2669" s="89"/>
      <c r="BC2669" s="89"/>
      <c r="BD2669" s="89"/>
      <c r="BE2669" s="89"/>
      <c r="BF2669" s="89"/>
      <c r="BG2669" s="89"/>
      <c r="BH2669" s="89"/>
      <c r="BI2669" s="89"/>
      <c r="BJ2669" s="182"/>
      <c r="BK2669" s="182"/>
      <c r="BL2669" s="182"/>
      <c r="BM2669" s="182"/>
      <c r="BN2669" s="182"/>
      <c r="BO2669" s="182"/>
      <c r="BP2669" s="182"/>
    </row>
    <row r="2670" spans="1:68" s="51" customFormat="1" ht="19.5" hidden="1" customHeight="1">
      <c r="A2670" s="204" t="str">
        <f>+IFERROR(VALUE(MID(AB2670,4,4)),"")</f>
        <v/>
      </c>
      <c r="B2670" s="204">
        <f>VALUE(RIGHT(C2670,LEN(C2670)-2))</f>
        <v>61</v>
      </c>
      <c r="C2670" s="74" t="s">
        <v>9036</v>
      </c>
      <c r="D2670" s="75">
        <v>40614</v>
      </c>
      <c r="E2670" s="70" t="s">
        <v>68</v>
      </c>
      <c r="F2670" s="70" t="s">
        <v>685</v>
      </c>
      <c r="G2670" s="68"/>
      <c r="H2670" s="59"/>
      <c r="I2670" s="162" t="s">
        <v>9037</v>
      </c>
      <c r="J2670" s="272"/>
      <c r="K2670" s="71" t="s">
        <v>16</v>
      </c>
      <c r="L2670" s="69" t="s">
        <v>120</v>
      </c>
      <c r="M2670" s="69" t="s">
        <v>141</v>
      </c>
      <c r="N2670" s="69" t="e" vm="1">
        <v>#VALUE!</v>
      </c>
      <c r="O2670" s="164">
        <v>40986</v>
      </c>
      <c r="P2670" s="72" t="s">
        <v>4567</v>
      </c>
      <c r="Q2670" s="72"/>
      <c r="R2670" s="162"/>
      <c r="S2670" s="146"/>
      <c r="T2670" s="68" t="s">
        <v>165</v>
      </c>
      <c r="U2670" s="87"/>
      <c r="V2670" s="183"/>
      <c r="W2670" s="223">
        <v>145</v>
      </c>
      <c r="X2670" s="73">
        <f>346*22300/1000000</f>
        <v>7.7157999999999998</v>
      </c>
      <c r="Y2670" s="73">
        <f>IF(SUM(W2670:W2670)&gt;0,X2670/SUM(W2670:W2670)*1000000,"N/A")</f>
        <v>53212.413793103442</v>
      </c>
      <c r="Z2670" s="270"/>
      <c r="AA2670" s="270"/>
      <c r="AB2670" s="223"/>
      <c r="AC2670" s="153"/>
      <c r="AD2670" s="331"/>
      <c r="AE2670" s="57"/>
      <c r="AF2670" s="151"/>
      <c r="AG2670" s="182">
        <f>YEAR(D2670)</f>
        <v>2011</v>
      </c>
      <c r="AH2670" s="86" t="str">
        <f>+IF(AE2670=$AJ$22,MONTH(T2670),"")</f>
        <v/>
      </c>
      <c r="AI2670" s="86" t="str">
        <f>+IF(AF2670=$AJ$22,MONTH(U2670),"")</f>
        <v/>
      </c>
      <c r="AJ2670" s="86" t="str">
        <f>+IF(AG2670=$AJ$22,MONTH(V2670),"")</f>
        <v/>
      </c>
      <c r="AK2670" s="86" t="str">
        <f>+IF(AG2670=$AK$22,MONTH(V2670),"")</f>
        <v/>
      </c>
      <c r="AL2670" s="86" t="str">
        <f>+IF(AG2670=$AL$22,MONTH(V2670),"")</f>
        <v/>
      </c>
      <c r="AM2670" s="86" t="str">
        <f>+IF($AG2670=$AM$22,MONTH($D2670),"")</f>
        <v/>
      </c>
      <c r="AN2670" s="89" t="str">
        <f>+IF($AG2670=AN$22,MONTH($D2670),"")</f>
        <v/>
      </c>
      <c r="AO2670" s="184" t="str">
        <f>+IF($AG2670=AO$22,MONTH($D2670),"")</f>
        <v/>
      </c>
      <c r="AP2670" s="184" t="str">
        <f>+IF($AG2670=AP$22,MONTH($D2670),"")</f>
        <v/>
      </c>
      <c r="AQ2670" s="184" t="str">
        <f>+IF($AG2670=AQ$22,MONTH($D2670),"")</f>
        <v/>
      </c>
      <c r="AR2670" s="184" t="str">
        <f>+IF($AG2670=AR$22,MONTH($D2670),"")</f>
        <v/>
      </c>
      <c r="AS2670" s="184" t="str">
        <f>+IF($AG2670=AS$22,MONTH($D2670),"")</f>
        <v/>
      </c>
      <c r="AT2670" s="86" t="str">
        <f>+IF($AG2670=AT$22,MONTH($D2670),"")</f>
        <v/>
      </c>
      <c r="AU2670" s="86" t="str">
        <f>+IF($AG2670=AU$22,MONTH($D2670),"")</f>
        <v/>
      </c>
      <c r="AV2670" s="86" t="str">
        <f>+IF($AG2670=AV$22,MONTH($D2670),"")</f>
        <v/>
      </c>
      <c r="AW2670" s="86">
        <f>+IF($AG2670=AW$22,MONTH($D2670),"")</f>
        <v>3</v>
      </c>
      <c r="AX2670" s="86" t="str">
        <f>+IF($AG2670=AX$22,MONTH($D2670),"")</f>
        <v/>
      </c>
      <c r="AY2670" s="89"/>
      <c r="AZ2670" s="89"/>
      <c r="BA2670" s="89"/>
      <c r="BB2670" s="89"/>
      <c r="BC2670" s="89"/>
      <c r="BD2670" s="89"/>
      <c r="BE2670" s="89"/>
      <c r="BF2670" s="89"/>
      <c r="BG2670" s="89"/>
      <c r="BH2670" s="89"/>
      <c r="BI2670" s="89"/>
      <c r="BJ2670" s="182"/>
      <c r="BK2670" s="182"/>
      <c r="BL2670" s="182"/>
      <c r="BM2670" s="182"/>
      <c r="BN2670" s="182"/>
      <c r="BO2670" s="182"/>
      <c r="BP2670" s="182"/>
    </row>
    <row r="2671" spans="1:68" s="51" customFormat="1" ht="19.5" hidden="1" customHeight="1">
      <c r="A2671" s="204">
        <f>+IFERROR(VALUE(MID(AB2671,4,4)),"")</f>
        <v>28</v>
      </c>
      <c r="B2671" s="204">
        <f>VALUE(RIGHT(C2671,LEN(C2671)-2))</f>
        <v>60</v>
      </c>
      <c r="C2671" s="74" t="s">
        <v>9038</v>
      </c>
      <c r="D2671" s="75">
        <v>40606</v>
      </c>
      <c r="E2671" s="70" t="s">
        <v>2961</v>
      </c>
      <c r="F2671" s="70" t="s">
        <v>685</v>
      </c>
      <c r="G2671" s="68"/>
      <c r="H2671" s="59"/>
      <c r="I2671" s="162" t="s">
        <v>9039</v>
      </c>
      <c r="J2671" s="272"/>
      <c r="K2671" s="71" t="s">
        <v>30</v>
      </c>
      <c r="L2671" s="69" t="s">
        <v>120</v>
      </c>
      <c r="M2671" s="69" t="s">
        <v>141</v>
      </c>
      <c r="N2671" s="69" t="e" vm="1">
        <v>#VALUE!</v>
      </c>
      <c r="O2671" s="164">
        <v>40972</v>
      </c>
      <c r="P2671" s="72"/>
      <c r="Q2671" s="72"/>
      <c r="R2671" s="162"/>
      <c r="S2671" s="146"/>
      <c r="T2671" s="68" t="s">
        <v>3</v>
      </c>
      <c r="U2671" s="87"/>
      <c r="V2671" s="183"/>
      <c r="W2671" s="73">
        <v>75</v>
      </c>
      <c r="X2671" s="73">
        <v>1.8220000000000001</v>
      </c>
      <c r="Y2671" s="73">
        <f>IF(SUM(W2671:W2671)&gt;0,X2671/SUM(W2671:W2671)*1000000,"N/A")</f>
        <v>24293.333333333332</v>
      </c>
      <c r="Z2671" s="183"/>
      <c r="AA2671" s="183"/>
      <c r="AB2671" s="223" t="s">
        <v>9040</v>
      </c>
      <c r="AC2671" s="153"/>
      <c r="AD2671" s="331"/>
      <c r="AE2671" s="57"/>
      <c r="AF2671" s="151"/>
      <c r="AG2671" s="182">
        <f>YEAR(D2671)</f>
        <v>2011</v>
      </c>
      <c r="AH2671" s="86" t="str">
        <f>+IF(AE2671=$AJ$22,MONTH(T2671),"")</f>
        <v/>
      </c>
      <c r="AI2671" s="86" t="str">
        <f>+IF(AF2671=$AJ$22,MONTH(U2671),"")</f>
        <v/>
      </c>
      <c r="AJ2671" s="86" t="str">
        <f>+IF(AG2671=$AJ$22,MONTH(V2671),"")</f>
        <v/>
      </c>
      <c r="AK2671" s="86" t="str">
        <f>+IF(AG2671=$AK$22,MONTH(V2671),"")</f>
        <v/>
      </c>
      <c r="AL2671" s="86" t="str">
        <f>+IF(AG2671=$AL$22,MONTH(V2671),"")</f>
        <v/>
      </c>
      <c r="AM2671" s="86" t="str">
        <f>+IF($AG2671=$AM$22,MONTH($D2671),"")</f>
        <v/>
      </c>
      <c r="AN2671" s="89" t="str">
        <f>+IF($AG2671=AN$22,MONTH($D2671),"")</f>
        <v/>
      </c>
      <c r="AO2671" s="86" t="str">
        <f>+IF($AG2671=AO$22,MONTH($D2671),"")</f>
        <v/>
      </c>
      <c r="AP2671" s="86" t="str">
        <f>+IF($AG2671=AP$22,MONTH($D2671),"")</f>
        <v/>
      </c>
      <c r="AQ2671" s="86" t="str">
        <f>+IF($AG2671=AQ$22,MONTH($D2671),"")</f>
        <v/>
      </c>
      <c r="AR2671" s="86" t="str">
        <f>+IF($AG2671=AR$22,MONTH($D2671),"")</f>
        <v/>
      </c>
      <c r="AS2671" s="86" t="str">
        <f>+IF($AG2671=AS$22,MONTH($D2671),"")</f>
        <v/>
      </c>
      <c r="AT2671" s="86" t="str">
        <f>+IF($AG2671=AT$22,MONTH($D2671),"")</f>
        <v/>
      </c>
      <c r="AU2671" s="86" t="str">
        <f>+IF($AG2671=AU$22,MONTH($D2671),"")</f>
        <v/>
      </c>
      <c r="AV2671" s="86" t="str">
        <f>+IF($AG2671=AV$22,MONTH($D2671),"")</f>
        <v/>
      </c>
      <c r="AW2671" s="86">
        <f>+IF($AG2671=AW$22,MONTH($D2671),"")</f>
        <v>3</v>
      </c>
      <c r="AX2671" s="86" t="str">
        <f>+IF($AG2671=AX$22,MONTH($D2671),"")</f>
        <v/>
      </c>
      <c r="AY2671" s="89"/>
      <c r="AZ2671" s="89"/>
      <c r="BA2671" s="89"/>
      <c r="BB2671" s="89"/>
      <c r="BC2671" s="89"/>
      <c r="BD2671" s="89"/>
      <c r="BE2671" s="89"/>
      <c r="BF2671" s="89"/>
      <c r="BG2671" s="89"/>
      <c r="BH2671" s="89"/>
      <c r="BI2671" s="89"/>
      <c r="BJ2671" s="182"/>
      <c r="BK2671" s="182"/>
      <c r="BL2671" s="182"/>
      <c r="BM2671" s="182"/>
      <c r="BN2671" s="182"/>
      <c r="BO2671" s="182"/>
      <c r="BP2671" s="182"/>
    </row>
    <row r="2672" spans="1:68" s="51" customFormat="1" ht="19.5" hidden="1" customHeight="1">
      <c r="A2672" s="204" t="str">
        <f>+IFERROR(VALUE(MID(AB2672,4,4)),"")</f>
        <v/>
      </c>
      <c r="B2672" s="204">
        <f>VALUE(RIGHT(C2672,LEN(C2672)-2))</f>
        <v>59</v>
      </c>
      <c r="C2672" s="74" t="s">
        <v>9041</v>
      </c>
      <c r="D2672" s="75">
        <v>40606</v>
      </c>
      <c r="E2672" s="70" t="s">
        <v>2961</v>
      </c>
      <c r="F2672" s="70" t="s">
        <v>685</v>
      </c>
      <c r="G2672" s="68"/>
      <c r="H2672" s="59"/>
      <c r="I2672" s="162" t="s">
        <v>9042</v>
      </c>
      <c r="J2672" s="272"/>
      <c r="K2672" s="71" t="s">
        <v>30</v>
      </c>
      <c r="L2672" s="69" t="s">
        <v>120</v>
      </c>
      <c r="M2672" s="69" t="s">
        <v>141</v>
      </c>
      <c r="N2672" s="69" t="e" vm="1">
        <v>#VALUE!</v>
      </c>
      <c r="O2672" s="164">
        <v>40606</v>
      </c>
      <c r="P2672" s="72" t="s">
        <v>8343</v>
      </c>
      <c r="Q2672" s="72"/>
      <c r="R2672" s="162"/>
      <c r="S2672" s="146"/>
      <c r="T2672" s="68" t="s">
        <v>165</v>
      </c>
      <c r="U2672" s="87"/>
      <c r="V2672" s="183"/>
      <c r="W2672" s="73">
        <v>1335</v>
      </c>
      <c r="X2672" s="73">
        <f>2815*22500/1000000</f>
        <v>63.337499999999999</v>
      </c>
      <c r="Y2672" s="73">
        <f>IF(SUM(W2672:W2672)&gt;0,X2672/SUM(W2672:W2672)*1000000,"N/A")</f>
        <v>47443.8202247191</v>
      </c>
      <c r="Z2672" s="183"/>
      <c r="AA2672" s="183"/>
      <c r="AB2672" s="223"/>
      <c r="AC2672" s="153"/>
      <c r="AD2672" s="331"/>
      <c r="AE2672" s="57"/>
      <c r="AF2672" s="151"/>
      <c r="AG2672" s="182">
        <f>YEAR(D2672)</f>
        <v>2011</v>
      </c>
      <c r="AH2672" s="86" t="str">
        <f>+IF(AE2672=$AJ$22,MONTH(T2672),"")</f>
        <v/>
      </c>
      <c r="AI2672" s="86" t="str">
        <f>+IF(AF2672=$AJ$22,MONTH(U2672),"")</f>
        <v/>
      </c>
      <c r="AJ2672" s="86" t="str">
        <f>+IF(AG2672=$AJ$22,MONTH(V2672),"")</f>
        <v/>
      </c>
      <c r="AK2672" s="86" t="str">
        <f>+IF(AG2672=$AK$22,MONTH(V2672),"")</f>
        <v/>
      </c>
      <c r="AL2672" s="86" t="str">
        <f>+IF(AG2672=$AL$22,MONTH(V2672),"")</f>
        <v/>
      </c>
      <c r="AM2672" s="86" t="str">
        <f>+IF($AG2672=$AM$22,MONTH($D2672),"")</f>
        <v/>
      </c>
      <c r="AN2672" s="89" t="str">
        <f>+IF($AG2672=AN$22,MONTH($D2672),"")</f>
        <v/>
      </c>
      <c r="AO2672" s="184" t="str">
        <f>+IF($AG2672=AO$22,MONTH($D2672),"")</f>
        <v/>
      </c>
      <c r="AP2672" s="184" t="str">
        <f>+IF($AG2672=AP$22,MONTH($D2672),"")</f>
        <v/>
      </c>
      <c r="AQ2672" s="184" t="str">
        <f>+IF($AG2672=AQ$22,MONTH($D2672),"")</f>
        <v/>
      </c>
      <c r="AR2672" s="184" t="str">
        <f>+IF($AG2672=AR$22,MONTH($D2672),"")</f>
        <v/>
      </c>
      <c r="AS2672" s="184" t="str">
        <f>+IF($AG2672=AS$22,MONTH($D2672),"")</f>
        <v/>
      </c>
      <c r="AT2672" s="86" t="str">
        <f>+IF($AG2672=AT$22,MONTH($D2672),"")</f>
        <v/>
      </c>
      <c r="AU2672" s="86" t="str">
        <f>+IF($AG2672=AU$22,MONTH($D2672),"")</f>
        <v/>
      </c>
      <c r="AV2672" s="86" t="str">
        <f>+IF($AG2672=AV$22,MONTH($D2672),"")</f>
        <v/>
      </c>
      <c r="AW2672" s="86">
        <f>+IF($AG2672=AW$22,MONTH($D2672),"")</f>
        <v>3</v>
      </c>
      <c r="AX2672" s="86" t="str">
        <f>+IF($AG2672=AX$22,MONTH($D2672),"")</f>
        <v/>
      </c>
      <c r="AY2672" s="89"/>
      <c r="AZ2672" s="89"/>
      <c r="BA2672" s="89"/>
      <c r="BB2672" s="89"/>
      <c r="BC2672" s="89"/>
      <c r="BD2672" s="89"/>
      <c r="BE2672" s="89"/>
      <c r="BF2672" s="89"/>
      <c r="BG2672" s="89"/>
      <c r="BH2672" s="89"/>
      <c r="BI2672" s="89"/>
      <c r="BJ2672" s="182"/>
      <c r="BK2672" s="182"/>
      <c r="BL2672" s="182"/>
      <c r="BM2672" s="182"/>
      <c r="BN2672" s="182"/>
      <c r="BO2672" s="182"/>
      <c r="BP2672" s="182"/>
    </row>
    <row r="2673" spans="1:68" s="51" customFormat="1" ht="19.5" hidden="1" customHeight="1">
      <c r="A2673" s="204" t="str">
        <f>+IFERROR(VALUE(MID(AB2673,4,4)),"")</f>
        <v/>
      </c>
      <c r="B2673" s="204">
        <f>VALUE(RIGHT(C2673,LEN(C2673)-2))</f>
        <v>58</v>
      </c>
      <c r="C2673" s="74" t="s">
        <v>9043</v>
      </c>
      <c r="D2673" s="75">
        <v>40603</v>
      </c>
      <c r="E2673" s="70" t="s">
        <v>9044</v>
      </c>
      <c r="F2673" s="70" t="s">
        <v>685</v>
      </c>
      <c r="G2673" s="68" t="s">
        <v>9045</v>
      </c>
      <c r="H2673" s="59"/>
      <c r="I2673" s="162" t="s">
        <v>9046</v>
      </c>
      <c r="J2673" s="272"/>
      <c r="K2673" s="71" t="s">
        <v>11</v>
      </c>
      <c r="L2673" s="69" t="s">
        <v>120</v>
      </c>
      <c r="M2673" s="69" t="s">
        <v>9047</v>
      </c>
      <c r="N2673" s="69" t="e" vm="1">
        <v>#VALUE!</v>
      </c>
      <c r="O2673" s="164">
        <v>40603</v>
      </c>
      <c r="P2673" s="72" t="s">
        <v>8343</v>
      </c>
      <c r="Q2673" s="72"/>
      <c r="R2673" s="162"/>
      <c r="S2673" s="146"/>
      <c r="T2673" s="68" t="s">
        <v>165</v>
      </c>
      <c r="U2673" s="87"/>
      <c r="V2673" s="183"/>
      <c r="W2673" s="223">
        <v>545</v>
      </c>
      <c r="X2673" s="73">
        <f>918*22500/1000000</f>
        <v>20.655000000000001</v>
      </c>
      <c r="Y2673" s="73">
        <f>IF(SUM(W2673:W2673)&gt;0,X2673/SUM(W2673:W2673)*1000000,"N/A")</f>
        <v>37899.082568807346</v>
      </c>
      <c r="Z2673" s="270"/>
      <c r="AA2673" s="270"/>
      <c r="AB2673" s="223"/>
      <c r="AC2673" s="153"/>
      <c r="AD2673" s="331"/>
      <c r="AE2673" s="57"/>
      <c r="AF2673" s="151"/>
      <c r="AG2673" s="182">
        <f>YEAR(D2673)</f>
        <v>2011</v>
      </c>
      <c r="AH2673" s="86" t="str">
        <f>+IF(AE2673=$AJ$22,MONTH(T2673),"")</f>
        <v/>
      </c>
      <c r="AI2673" s="86" t="str">
        <f>+IF(AF2673=$AJ$22,MONTH(U2673),"")</f>
        <v/>
      </c>
      <c r="AJ2673" s="86" t="str">
        <f>+IF(AG2673=$AJ$22,MONTH(V2673),"")</f>
        <v/>
      </c>
      <c r="AK2673" s="86" t="str">
        <f>+IF(AG2673=$AK$22,MONTH(V2673),"")</f>
        <v/>
      </c>
      <c r="AL2673" s="86" t="str">
        <f>+IF(AG2673=$AL$22,MONTH(V2673),"")</f>
        <v/>
      </c>
      <c r="AM2673" s="86" t="str">
        <f>+IF($AG2673=$AM$22,MONTH($D2673),"")</f>
        <v/>
      </c>
      <c r="AN2673" s="89" t="str">
        <f>+IF($AG2673=AN$22,MONTH($D2673),"")</f>
        <v/>
      </c>
      <c r="AO2673" s="184" t="str">
        <f>+IF($AG2673=AO$22,MONTH($D2673),"")</f>
        <v/>
      </c>
      <c r="AP2673" s="184" t="str">
        <f>+IF($AG2673=AP$22,MONTH($D2673),"")</f>
        <v/>
      </c>
      <c r="AQ2673" s="184" t="str">
        <f>+IF($AG2673=AQ$22,MONTH($D2673),"")</f>
        <v/>
      </c>
      <c r="AR2673" s="184" t="str">
        <f>+IF($AG2673=AR$22,MONTH($D2673),"")</f>
        <v/>
      </c>
      <c r="AS2673" s="184" t="str">
        <f>+IF($AG2673=AS$22,MONTH($D2673),"")</f>
        <v/>
      </c>
      <c r="AT2673" s="86" t="str">
        <f>+IF($AG2673=AT$22,MONTH($D2673),"")</f>
        <v/>
      </c>
      <c r="AU2673" s="86" t="str">
        <f>+IF($AG2673=AU$22,MONTH($D2673),"")</f>
        <v/>
      </c>
      <c r="AV2673" s="86" t="str">
        <f>+IF($AG2673=AV$22,MONTH($D2673),"")</f>
        <v/>
      </c>
      <c r="AW2673" s="86">
        <f>+IF($AG2673=AW$22,MONTH($D2673),"")</f>
        <v>3</v>
      </c>
      <c r="AX2673" s="86" t="str">
        <f>+IF($AG2673=AX$22,MONTH($D2673),"")</f>
        <v/>
      </c>
      <c r="AY2673" s="89"/>
      <c r="AZ2673" s="89"/>
      <c r="BA2673" s="89"/>
      <c r="BB2673" s="89"/>
      <c r="BC2673" s="89"/>
      <c r="BD2673" s="89"/>
      <c r="BE2673" s="89"/>
      <c r="BF2673" s="89"/>
      <c r="BG2673" s="89"/>
      <c r="BH2673" s="89"/>
      <c r="BI2673" s="89"/>
      <c r="BJ2673" s="182"/>
      <c r="BK2673" s="182"/>
      <c r="BL2673" s="182"/>
      <c r="BM2673" s="182"/>
      <c r="BN2673" s="182"/>
      <c r="BO2673" s="182"/>
      <c r="BP2673" s="182"/>
    </row>
    <row r="2674" spans="1:68" s="51" customFormat="1" ht="19.5" hidden="1" customHeight="1">
      <c r="A2674" s="204">
        <f>+IFERROR(VALUE(MID(AB2674,4,4)),"")</f>
        <v>25</v>
      </c>
      <c r="B2674" s="204">
        <f>VALUE(RIGHT(C2674,LEN(C2674)-2))</f>
        <v>57</v>
      </c>
      <c r="C2674" s="74" t="s">
        <v>9048</v>
      </c>
      <c r="D2674" s="75">
        <v>40586</v>
      </c>
      <c r="E2674" s="70" t="s">
        <v>94</v>
      </c>
      <c r="F2674" s="82" t="s">
        <v>685</v>
      </c>
      <c r="G2674" s="68"/>
      <c r="H2674" s="59"/>
      <c r="I2674" s="162" t="s">
        <v>9049</v>
      </c>
      <c r="J2674" s="272"/>
      <c r="K2674" s="71"/>
      <c r="L2674" s="69" t="s">
        <v>120</v>
      </c>
      <c r="M2674" s="69"/>
      <c r="N2674" s="69"/>
      <c r="O2674" s="164"/>
      <c r="P2674" s="72" t="s">
        <v>402</v>
      </c>
      <c r="Q2674" s="72"/>
      <c r="R2674" s="162"/>
      <c r="S2674" s="146"/>
      <c r="T2674" s="68" t="s">
        <v>3</v>
      </c>
      <c r="U2674" s="87"/>
      <c r="V2674" s="183"/>
      <c r="W2674" s="223">
        <f>180*6</f>
        <v>1080</v>
      </c>
      <c r="X2674" s="73">
        <f>230*280/1000000*W2674</f>
        <v>69.551999999999992</v>
      </c>
      <c r="Y2674" s="73">
        <f>IF(SUM(W2674:W2674)&gt;0,X2674/SUM(W2674:W2674)*1000000,"N/A")</f>
        <v>64400</v>
      </c>
      <c r="Z2674" s="270"/>
      <c r="AA2674" s="270"/>
      <c r="AB2674" s="223" t="s">
        <v>9050</v>
      </c>
      <c r="AC2674" s="153"/>
      <c r="AD2674" s="331"/>
      <c r="AE2674" s="57"/>
      <c r="AF2674" s="151"/>
      <c r="AG2674" s="182">
        <f>YEAR(D2674)</f>
        <v>2011</v>
      </c>
      <c r="AH2674" s="86" t="str">
        <f>+IF(AE2674=$AJ$22,MONTH(T2674),"")</f>
        <v/>
      </c>
      <c r="AI2674" s="86" t="str">
        <f>+IF(AF2674=$AJ$22,MONTH(U2674),"")</f>
        <v/>
      </c>
      <c r="AJ2674" s="86" t="str">
        <f>+IF(AG2674=$AJ$22,MONTH(V2674),"")</f>
        <v/>
      </c>
      <c r="AK2674" s="86" t="str">
        <f>+IF(AG2674=$AK$22,MONTH(V2674),"")</f>
        <v/>
      </c>
      <c r="AL2674" s="86" t="str">
        <f>+IF(AG2674=$AL$22,MONTH(V2674),"")</f>
        <v/>
      </c>
      <c r="AM2674" s="86" t="str">
        <f>+IF($AG2674=$AM$22,MONTH($D2674),"")</f>
        <v/>
      </c>
      <c r="AN2674" s="89" t="str">
        <f>+IF($AG2674=AN$22,MONTH($D2674),"")</f>
        <v/>
      </c>
      <c r="AO2674" s="86" t="str">
        <f>+IF($AG2674=AO$22,MONTH($D2674),"")</f>
        <v/>
      </c>
      <c r="AP2674" s="86" t="str">
        <f>+IF($AG2674=AP$22,MONTH($D2674),"")</f>
        <v/>
      </c>
      <c r="AQ2674" s="86" t="str">
        <f>+IF($AG2674=AQ$22,MONTH($D2674),"")</f>
        <v/>
      </c>
      <c r="AR2674" s="86" t="str">
        <f>+IF($AG2674=AR$22,MONTH($D2674),"")</f>
        <v/>
      </c>
      <c r="AS2674" s="86" t="str">
        <f>+IF($AG2674=AS$22,MONTH($D2674),"")</f>
        <v/>
      </c>
      <c r="AT2674" s="86" t="str">
        <f>+IF($AG2674=AT$22,MONTH($D2674),"")</f>
        <v/>
      </c>
      <c r="AU2674" s="86" t="str">
        <f>+IF($AG2674=AU$22,MONTH($D2674),"")</f>
        <v/>
      </c>
      <c r="AV2674" s="86" t="str">
        <f>+IF($AG2674=AV$22,MONTH($D2674),"")</f>
        <v/>
      </c>
      <c r="AW2674" s="86">
        <f>+IF($AG2674=AW$22,MONTH($D2674),"")</f>
        <v>2</v>
      </c>
      <c r="AX2674" s="86" t="str">
        <f>+IF($AG2674=AX$22,MONTH($D2674),"")</f>
        <v/>
      </c>
      <c r="AY2674" s="89"/>
      <c r="AZ2674" s="89"/>
      <c r="BA2674" s="89"/>
      <c r="BB2674" s="89"/>
      <c r="BC2674" s="89"/>
      <c r="BD2674" s="89"/>
      <c r="BE2674" s="89"/>
      <c r="BF2674" s="89"/>
      <c r="BG2674" s="89"/>
      <c r="BH2674" s="89"/>
      <c r="BI2674" s="89"/>
      <c r="BJ2674" s="182"/>
      <c r="BK2674" s="182"/>
      <c r="BL2674" s="182"/>
      <c r="BM2674" s="182"/>
      <c r="BN2674" s="182"/>
      <c r="BO2674" s="182"/>
      <c r="BP2674" s="182"/>
    </row>
    <row r="2675" spans="1:68" s="51" customFormat="1" ht="19.5" hidden="1" customHeight="1">
      <c r="A2675" s="204" t="str">
        <f>+IFERROR(VALUE(MID(AB2675,4,4)),"")</f>
        <v/>
      </c>
      <c r="B2675" s="204">
        <f>VALUE(RIGHT(C2675,LEN(C2675)-2))</f>
        <v>56</v>
      </c>
      <c r="C2675" s="74" t="s">
        <v>9051</v>
      </c>
      <c r="D2675" s="75">
        <v>40585</v>
      </c>
      <c r="E2675" s="70" t="s">
        <v>5662</v>
      </c>
      <c r="F2675" s="82" t="s">
        <v>685</v>
      </c>
      <c r="G2675" s="68"/>
      <c r="H2675" s="59"/>
      <c r="I2675" s="162" t="s">
        <v>9052</v>
      </c>
      <c r="J2675" s="272"/>
      <c r="K2675" s="71"/>
      <c r="L2675" s="69" t="s">
        <v>120</v>
      </c>
      <c r="M2675" s="69"/>
      <c r="N2675" s="69"/>
      <c r="O2675" s="164"/>
      <c r="P2675" s="72" t="s">
        <v>4567</v>
      </c>
      <c r="Q2675" s="72"/>
      <c r="R2675" s="162"/>
      <c r="S2675" s="146"/>
      <c r="T2675" s="68" t="s">
        <v>9053</v>
      </c>
      <c r="U2675" s="87"/>
      <c r="V2675" s="183"/>
      <c r="W2675" s="223">
        <v>500</v>
      </c>
      <c r="X2675" s="73">
        <v>17</v>
      </c>
      <c r="Y2675" s="73">
        <f>IF(SUM(W2675:W2675)&gt;0,X2675/SUM(W2675:W2675)*1000000,"N/A")</f>
        <v>34000</v>
      </c>
      <c r="Z2675" s="270"/>
      <c r="AA2675" s="270"/>
      <c r="AB2675" s="223"/>
      <c r="AC2675" s="153"/>
      <c r="AD2675" s="331"/>
      <c r="AE2675" s="57"/>
      <c r="AF2675" s="151"/>
      <c r="AG2675" s="182">
        <f>YEAR(D2675)</f>
        <v>2011</v>
      </c>
      <c r="AH2675" s="86" t="str">
        <f>+IF(AE2675=$AJ$22,MONTH(T2675),"")</f>
        <v/>
      </c>
      <c r="AI2675" s="86" t="str">
        <f>+IF(AF2675=$AJ$22,MONTH(U2675),"")</f>
        <v/>
      </c>
      <c r="AJ2675" s="86" t="str">
        <f>+IF(AG2675=$AJ$22,MONTH(V2675),"")</f>
        <v/>
      </c>
      <c r="AK2675" s="86" t="str">
        <f>+IF(AG2675=$AK$22,MONTH(V2675),"")</f>
        <v/>
      </c>
      <c r="AL2675" s="86" t="str">
        <f>+IF(AG2675=$AL$22,MONTH(V2675),"")</f>
        <v/>
      </c>
      <c r="AM2675" s="86" t="str">
        <f>+IF($AG2675=$AM$22,MONTH($D2675),"")</f>
        <v/>
      </c>
      <c r="AN2675" s="89" t="str">
        <f>+IF($AG2675=AN$22,MONTH($D2675),"")</f>
        <v/>
      </c>
      <c r="AO2675" s="184" t="str">
        <f>+IF($AG2675=AO$22,MONTH($D2675),"")</f>
        <v/>
      </c>
      <c r="AP2675" s="184" t="str">
        <f>+IF($AG2675=AP$22,MONTH($D2675),"")</f>
        <v/>
      </c>
      <c r="AQ2675" s="184" t="str">
        <f>+IF($AG2675=AQ$22,MONTH($D2675),"")</f>
        <v/>
      </c>
      <c r="AR2675" s="184" t="str">
        <f>+IF($AG2675=AR$22,MONTH($D2675),"")</f>
        <v/>
      </c>
      <c r="AS2675" s="184" t="str">
        <f>+IF($AG2675=AS$22,MONTH($D2675),"")</f>
        <v/>
      </c>
      <c r="AT2675" s="86" t="str">
        <f>+IF($AG2675=AT$22,MONTH($D2675),"")</f>
        <v/>
      </c>
      <c r="AU2675" s="86" t="str">
        <f>+IF($AG2675=AU$22,MONTH($D2675),"")</f>
        <v/>
      </c>
      <c r="AV2675" s="86" t="str">
        <f>+IF($AG2675=AV$22,MONTH($D2675),"")</f>
        <v/>
      </c>
      <c r="AW2675" s="86">
        <f>+IF($AG2675=AW$22,MONTH($D2675),"")</f>
        <v>2</v>
      </c>
      <c r="AX2675" s="86" t="str">
        <f>+IF($AG2675=AX$22,MONTH($D2675),"")</f>
        <v/>
      </c>
      <c r="AY2675" s="89"/>
      <c r="AZ2675" s="89"/>
      <c r="BA2675" s="89"/>
      <c r="BB2675" s="89"/>
      <c r="BC2675" s="89"/>
      <c r="BD2675" s="89"/>
      <c r="BE2675" s="89"/>
      <c r="BF2675" s="89"/>
      <c r="BG2675" s="89"/>
      <c r="BH2675" s="89"/>
      <c r="BI2675" s="89"/>
      <c r="BJ2675" s="182"/>
      <c r="BK2675" s="182"/>
      <c r="BL2675" s="182"/>
      <c r="BM2675" s="182"/>
      <c r="BN2675" s="182"/>
      <c r="BO2675" s="182"/>
      <c r="BP2675" s="182"/>
    </row>
    <row r="2676" spans="1:68" s="51" customFormat="1" ht="19.5" hidden="1" customHeight="1">
      <c r="A2676" s="204">
        <f>+IFERROR(VALUE(MID(AB2676,4,4)),"")</f>
        <v>26</v>
      </c>
      <c r="B2676" s="204">
        <f>VALUE(RIGHT(C2676,LEN(C2676)-2))</f>
        <v>55</v>
      </c>
      <c r="C2676" s="74" t="s">
        <v>9054</v>
      </c>
      <c r="D2676" s="75">
        <v>40575</v>
      </c>
      <c r="E2676" s="70" t="s">
        <v>63</v>
      </c>
      <c r="F2676" s="70" t="s">
        <v>685</v>
      </c>
      <c r="G2676" s="68"/>
      <c r="H2676" s="59"/>
      <c r="I2676" s="162" t="s">
        <v>9055</v>
      </c>
      <c r="J2676" s="272"/>
      <c r="K2676" s="71" t="s">
        <v>13</v>
      </c>
      <c r="L2676" s="69" t="s">
        <v>120</v>
      </c>
      <c r="M2676" s="69" t="s">
        <v>141</v>
      </c>
      <c r="N2676" s="69" t="e" vm="1">
        <v>#VALUE!</v>
      </c>
      <c r="O2676" s="164">
        <v>40960</v>
      </c>
      <c r="P2676" s="72" t="s">
        <v>4567</v>
      </c>
      <c r="Q2676" s="72"/>
      <c r="R2676" s="162"/>
      <c r="S2676" s="146"/>
      <c r="T2676" s="68" t="s">
        <v>165</v>
      </c>
      <c r="U2676" s="87"/>
      <c r="V2676" s="183"/>
      <c r="W2676" s="223">
        <v>1150</v>
      </c>
      <c r="X2676" s="73">
        <v>30.225000000000001</v>
      </c>
      <c r="Y2676" s="73">
        <f>IF(SUM(W2676:W2676)&gt;0,X2676/SUM(W2676:W2676)*1000000,"N/A")</f>
        <v>26282.608695652172</v>
      </c>
      <c r="Z2676" s="270"/>
      <c r="AA2676" s="270"/>
      <c r="AB2676" s="223" t="s">
        <v>9056</v>
      </c>
      <c r="AC2676" s="153"/>
      <c r="AD2676" s="331"/>
      <c r="AE2676" s="57"/>
      <c r="AF2676" s="151"/>
      <c r="AG2676" s="182">
        <f>YEAR(D2676)</f>
        <v>2011</v>
      </c>
      <c r="AH2676" s="86" t="str">
        <f>+IF(AE2676=$AJ$22,MONTH(T2676),"")</f>
        <v/>
      </c>
      <c r="AI2676" s="86" t="str">
        <f>+IF(AF2676=$AJ$22,MONTH(U2676),"")</f>
        <v/>
      </c>
      <c r="AJ2676" s="86" t="str">
        <f>+IF(AG2676=$AJ$22,MONTH(V2676),"")</f>
        <v/>
      </c>
      <c r="AK2676" s="86" t="str">
        <f>+IF(AG2676=$AK$22,MONTH(V2676),"")</f>
        <v/>
      </c>
      <c r="AL2676" s="86" t="str">
        <f>+IF(AG2676=$AL$22,MONTH(V2676),"")</f>
        <v/>
      </c>
      <c r="AM2676" s="86" t="str">
        <f>+IF($AG2676=$AM$22,MONTH($D2676),"")</f>
        <v/>
      </c>
      <c r="AN2676" s="89" t="str">
        <f>+IF($AG2676=AN$22,MONTH($D2676),"")</f>
        <v/>
      </c>
      <c r="AO2676" s="86" t="str">
        <f>+IF($AG2676=AO$22,MONTH($D2676),"")</f>
        <v/>
      </c>
      <c r="AP2676" s="86" t="str">
        <f>+IF($AG2676=AP$22,MONTH($D2676),"")</f>
        <v/>
      </c>
      <c r="AQ2676" s="86" t="str">
        <f>+IF($AG2676=AQ$22,MONTH($D2676),"")</f>
        <v/>
      </c>
      <c r="AR2676" s="86" t="str">
        <f>+IF($AG2676=AR$22,MONTH($D2676),"")</f>
        <v/>
      </c>
      <c r="AS2676" s="86" t="str">
        <f>+IF($AG2676=AS$22,MONTH($D2676),"")</f>
        <v/>
      </c>
      <c r="AT2676" s="86" t="str">
        <f>+IF($AG2676=AT$22,MONTH($D2676),"")</f>
        <v/>
      </c>
      <c r="AU2676" s="86" t="str">
        <f>+IF($AG2676=AU$22,MONTH($D2676),"")</f>
        <v/>
      </c>
      <c r="AV2676" s="86" t="str">
        <f>+IF($AG2676=AV$22,MONTH($D2676),"")</f>
        <v/>
      </c>
      <c r="AW2676" s="86">
        <f>+IF($AG2676=AW$22,MONTH($D2676),"")</f>
        <v>2</v>
      </c>
      <c r="AX2676" s="86" t="str">
        <f>+IF($AG2676=AX$22,MONTH($D2676),"")</f>
        <v/>
      </c>
      <c r="AY2676" s="89"/>
      <c r="AZ2676" s="89"/>
      <c r="BA2676" s="89"/>
      <c r="BB2676" s="89"/>
      <c r="BC2676" s="89"/>
      <c r="BD2676" s="89"/>
      <c r="BE2676" s="89"/>
      <c r="BF2676" s="89"/>
      <c r="BG2676" s="89"/>
      <c r="BH2676" s="89"/>
      <c r="BI2676" s="89"/>
      <c r="BJ2676" s="182"/>
      <c r="BK2676" s="182"/>
      <c r="BL2676" s="182"/>
      <c r="BM2676" s="182"/>
      <c r="BN2676" s="182"/>
      <c r="BO2676" s="182"/>
      <c r="BP2676" s="182"/>
    </row>
    <row r="2677" spans="1:68" s="51" customFormat="1" ht="19.5" hidden="1" customHeight="1">
      <c r="A2677" s="204">
        <f>+IFERROR(VALUE(MID(AB2677,4,4)),"")</f>
        <v>27</v>
      </c>
      <c r="B2677" s="204">
        <f>VALUE(RIGHT(C2677,LEN(C2677)-2))</f>
        <v>54</v>
      </c>
      <c r="C2677" s="74" t="s">
        <v>9057</v>
      </c>
      <c r="D2677" s="75">
        <v>40583</v>
      </c>
      <c r="E2677" s="70" t="s">
        <v>63</v>
      </c>
      <c r="F2677" s="70" t="s">
        <v>685</v>
      </c>
      <c r="G2677" s="68" t="s">
        <v>9058</v>
      </c>
      <c r="H2677" s="59"/>
      <c r="I2677" s="162" t="s">
        <v>9059</v>
      </c>
      <c r="J2677" s="272"/>
      <c r="K2677" s="71"/>
      <c r="L2677" s="69" t="s">
        <v>120</v>
      </c>
      <c r="M2677" s="69" t="s">
        <v>141</v>
      </c>
      <c r="N2677" s="69" t="e" vm="1">
        <v>#VALUE!</v>
      </c>
      <c r="O2677" s="164">
        <v>40583</v>
      </c>
      <c r="P2677" s="72" t="s">
        <v>4567</v>
      </c>
      <c r="Q2677" s="72"/>
      <c r="R2677" s="162"/>
      <c r="S2677" s="146"/>
      <c r="T2677" s="68" t="s">
        <v>3</v>
      </c>
      <c r="U2677" s="87"/>
      <c r="V2677" s="183">
        <v>40583</v>
      </c>
      <c r="W2677" s="223">
        <v>350</v>
      </c>
      <c r="X2677" s="73">
        <f>787*22300/1000000</f>
        <v>17.5501</v>
      </c>
      <c r="Y2677" s="73">
        <f>IF(SUM(W2677:W2677)&gt;0,X2677/SUM(W2677:W2677)*1000000,"N/A")</f>
        <v>50143.142857142855</v>
      </c>
      <c r="Z2677" s="270"/>
      <c r="AA2677" s="270"/>
      <c r="AB2677" s="223" t="s">
        <v>9060</v>
      </c>
      <c r="AC2677" s="153"/>
      <c r="AD2677" s="331"/>
      <c r="AE2677" s="57"/>
      <c r="AF2677" s="151"/>
      <c r="AG2677" s="182">
        <f>YEAR(D2677)</f>
        <v>2011</v>
      </c>
      <c r="AH2677" s="86" t="str">
        <f>+IF(AE2677=$AJ$22,MONTH(T2677),"")</f>
        <v/>
      </c>
      <c r="AI2677" s="86" t="str">
        <f>+IF(AF2677=$AJ$22,MONTH(U2677),"")</f>
        <v/>
      </c>
      <c r="AJ2677" s="86" t="str">
        <f>+IF(AG2677=$AJ$22,MONTH(V2677),"")</f>
        <v/>
      </c>
      <c r="AK2677" s="86" t="str">
        <f>+IF(AG2677=$AK$22,MONTH(V2677),"")</f>
        <v/>
      </c>
      <c r="AL2677" s="86" t="str">
        <f>+IF(AG2677=$AL$22,MONTH(V2677),"")</f>
        <v/>
      </c>
      <c r="AM2677" s="86" t="str">
        <f>+IF($AG2677=$AM$22,MONTH($D2677),"")</f>
        <v/>
      </c>
      <c r="AN2677" s="89" t="str">
        <f>+IF($AG2677=AN$22,MONTH($D2677),"")</f>
        <v/>
      </c>
      <c r="AO2677" s="86" t="str">
        <f>+IF($AG2677=AO$22,MONTH($D2677),"")</f>
        <v/>
      </c>
      <c r="AP2677" s="86" t="str">
        <f>+IF($AG2677=AP$22,MONTH($D2677),"")</f>
        <v/>
      </c>
      <c r="AQ2677" s="86" t="str">
        <f>+IF($AG2677=AQ$22,MONTH($D2677),"")</f>
        <v/>
      </c>
      <c r="AR2677" s="86" t="str">
        <f>+IF($AG2677=AR$22,MONTH($D2677),"")</f>
        <v/>
      </c>
      <c r="AS2677" s="86" t="str">
        <f>+IF($AG2677=AS$22,MONTH($D2677),"")</f>
        <v/>
      </c>
      <c r="AT2677" s="86" t="str">
        <f>+IF($AG2677=AT$22,MONTH($D2677),"")</f>
        <v/>
      </c>
      <c r="AU2677" s="86" t="str">
        <f>+IF($AG2677=AU$22,MONTH($D2677),"")</f>
        <v/>
      </c>
      <c r="AV2677" s="86" t="str">
        <f>+IF($AG2677=AV$22,MONTH($D2677),"")</f>
        <v/>
      </c>
      <c r="AW2677" s="86">
        <f>+IF($AG2677=AW$22,MONTH($D2677),"")</f>
        <v>2</v>
      </c>
      <c r="AX2677" s="86" t="str">
        <f>+IF($AG2677=AX$22,MONTH($D2677),"")</f>
        <v/>
      </c>
      <c r="AY2677" s="89"/>
      <c r="AZ2677" s="89"/>
      <c r="BA2677" s="89"/>
      <c r="BB2677" s="89"/>
      <c r="BC2677" s="89"/>
      <c r="BD2677" s="89"/>
      <c r="BE2677" s="89"/>
      <c r="BF2677" s="89"/>
      <c r="BG2677" s="89"/>
      <c r="BH2677" s="89"/>
      <c r="BI2677" s="89"/>
      <c r="BJ2677" s="182"/>
      <c r="BK2677" s="182"/>
      <c r="BL2677" s="182"/>
      <c r="BM2677" s="182"/>
      <c r="BN2677" s="182"/>
      <c r="BO2677" s="182"/>
      <c r="BP2677" s="182"/>
    </row>
    <row r="2678" spans="1:68" s="51" customFormat="1" ht="19.5" hidden="1" customHeight="1">
      <c r="A2678" s="204">
        <f>+IFERROR(VALUE(MID(AB2678,4,4)),"")</f>
        <v>23</v>
      </c>
      <c r="B2678" s="204">
        <f>VALUE(RIGHT(C2678,LEN(C2678)-2))</f>
        <v>53</v>
      </c>
      <c r="C2678" s="74" t="s">
        <v>9061</v>
      </c>
      <c r="D2678" s="75">
        <v>40556</v>
      </c>
      <c r="E2678" s="70" t="s">
        <v>95</v>
      </c>
      <c r="F2678" s="70" t="s">
        <v>685</v>
      </c>
      <c r="G2678" s="68" t="s">
        <v>7766</v>
      </c>
      <c r="H2678" s="59"/>
      <c r="I2678" s="162" t="s">
        <v>9062</v>
      </c>
      <c r="J2678" s="272"/>
      <c r="K2678" s="71" t="s">
        <v>13</v>
      </c>
      <c r="L2678" s="69" t="s">
        <v>120</v>
      </c>
      <c r="M2678" s="69" t="s">
        <v>113</v>
      </c>
      <c r="N2678" s="69" t="e" vm="13">
        <v>#VALUE!</v>
      </c>
      <c r="O2678" s="164">
        <v>40556</v>
      </c>
      <c r="P2678" s="72" t="s">
        <v>4567</v>
      </c>
      <c r="Q2678" s="72"/>
      <c r="R2678" s="162"/>
      <c r="S2678" s="146" t="s">
        <v>9063</v>
      </c>
      <c r="T2678" s="68" t="s">
        <v>3</v>
      </c>
      <c r="U2678" s="87"/>
      <c r="V2678" s="183">
        <v>40557</v>
      </c>
      <c r="W2678" s="223">
        <v>650</v>
      </c>
      <c r="X2678" s="73">
        <f>40000*490/1000000</f>
        <v>19.600000000000001</v>
      </c>
      <c r="Y2678" s="73">
        <f>IF(SUM(W2678:W2678)&gt;0,X2678/SUM(W2678:W2678)*1000000,"N/A")</f>
        <v>30153.846153846156</v>
      </c>
      <c r="Z2678" s="270"/>
      <c r="AA2678" s="270"/>
      <c r="AB2678" s="223" t="s">
        <v>9064</v>
      </c>
      <c r="AC2678" s="153"/>
      <c r="AD2678" s="331"/>
      <c r="AE2678" s="57"/>
      <c r="AF2678" s="151"/>
      <c r="AG2678" s="182">
        <f>YEAR(D2678)</f>
        <v>2011</v>
      </c>
      <c r="AH2678" s="86" t="str">
        <f>+IF(AE2678=$AJ$22,MONTH(T2678),"")</f>
        <v/>
      </c>
      <c r="AI2678" s="86" t="str">
        <f>+IF(AF2678=$AJ$22,MONTH(U2678),"")</f>
        <v/>
      </c>
      <c r="AJ2678" s="86" t="str">
        <f>+IF(AG2678=$AJ$22,MONTH(V2678),"")</f>
        <v/>
      </c>
      <c r="AK2678" s="86" t="str">
        <f>+IF(AG2678=$AK$22,MONTH(V2678),"")</f>
        <v/>
      </c>
      <c r="AL2678" s="86" t="str">
        <f>+IF(AG2678=$AL$22,MONTH(V2678),"")</f>
        <v/>
      </c>
      <c r="AM2678" s="86" t="str">
        <f>+IF($AG2678=$AM$22,MONTH($D2678),"")</f>
        <v/>
      </c>
      <c r="AN2678" s="89" t="str">
        <f>+IF($AG2678=AN$22,MONTH($D2678),"")</f>
        <v/>
      </c>
      <c r="AO2678" s="86" t="str">
        <f>+IF($AG2678=AO$22,MONTH($D2678),"")</f>
        <v/>
      </c>
      <c r="AP2678" s="86" t="str">
        <f>+IF($AG2678=AP$22,MONTH($D2678),"")</f>
        <v/>
      </c>
      <c r="AQ2678" s="86" t="str">
        <f>+IF($AG2678=AQ$22,MONTH($D2678),"")</f>
        <v/>
      </c>
      <c r="AR2678" s="86" t="str">
        <f>+IF($AG2678=AR$22,MONTH($D2678),"")</f>
        <v/>
      </c>
      <c r="AS2678" s="86" t="str">
        <f>+IF($AG2678=AS$22,MONTH($D2678),"")</f>
        <v/>
      </c>
      <c r="AT2678" s="86" t="str">
        <f>+IF($AG2678=AT$22,MONTH($D2678),"")</f>
        <v/>
      </c>
      <c r="AU2678" s="86" t="str">
        <f>+IF($AG2678=AU$22,MONTH($D2678),"")</f>
        <v/>
      </c>
      <c r="AV2678" s="86" t="str">
        <f>+IF($AG2678=AV$22,MONTH($D2678),"")</f>
        <v/>
      </c>
      <c r="AW2678" s="86">
        <f>+IF($AG2678=AW$22,MONTH($D2678),"")</f>
        <v>1</v>
      </c>
      <c r="AX2678" s="86" t="str">
        <f>+IF($AG2678=AX$22,MONTH($D2678),"")</f>
        <v/>
      </c>
      <c r="AY2678" s="89"/>
      <c r="AZ2678" s="89"/>
      <c r="BA2678" s="89"/>
      <c r="BB2678" s="89"/>
      <c r="BC2678" s="89"/>
      <c r="BD2678" s="89"/>
      <c r="BE2678" s="89"/>
      <c r="BF2678" s="89"/>
      <c r="BG2678" s="89"/>
      <c r="BH2678" s="89"/>
      <c r="BI2678" s="89"/>
      <c r="BJ2678" s="182"/>
      <c r="BK2678" s="182"/>
      <c r="BL2678" s="182"/>
      <c r="BM2678" s="182"/>
      <c r="BN2678" s="182"/>
      <c r="BO2678" s="182"/>
      <c r="BP2678" s="182"/>
    </row>
    <row r="2679" spans="1:68" s="51" customFormat="1" ht="19.5" hidden="1" customHeight="1">
      <c r="A2679" s="204">
        <f>+IFERROR(VALUE(MID(AB2679,4,4)),"")</f>
        <v>24</v>
      </c>
      <c r="B2679" s="204">
        <f>VALUE(RIGHT(C2679,LEN(C2679)-2))</f>
        <v>52</v>
      </c>
      <c r="C2679" s="74" t="s">
        <v>9065</v>
      </c>
      <c r="D2679" s="75">
        <v>40555</v>
      </c>
      <c r="E2679" s="70" t="s">
        <v>46</v>
      </c>
      <c r="F2679" s="70" t="s">
        <v>685</v>
      </c>
      <c r="G2679" s="68" t="s">
        <v>9066</v>
      </c>
      <c r="H2679" s="59"/>
      <c r="I2679" s="162" t="s">
        <v>9067</v>
      </c>
      <c r="J2679" s="272"/>
      <c r="K2679" s="71" t="s">
        <v>9068</v>
      </c>
      <c r="L2679" s="69" t="s">
        <v>120</v>
      </c>
      <c r="M2679" s="69" t="s">
        <v>9069</v>
      </c>
      <c r="N2679" s="69" t="e" vm="1">
        <v>#VALUE!</v>
      </c>
      <c r="O2679" s="164">
        <v>40555</v>
      </c>
      <c r="P2679" s="72" t="s">
        <v>9070</v>
      </c>
      <c r="Q2679" s="72"/>
      <c r="R2679" s="162"/>
      <c r="S2679" s="146"/>
      <c r="T2679" s="68" t="s">
        <v>3</v>
      </c>
      <c r="U2679" s="87"/>
      <c r="V2679" s="183">
        <v>40555</v>
      </c>
      <c r="W2679" s="223">
        <f>1787*22.1/45.9</f>
        <v>860.4074074074075</v>
      </c>
      <c r="X2679" s="73">
        <v>22.2</v>
      </c>
      <c r="Y2679" s="73">
        <f>IF(SUM(W2679:W2679)&gt;0,X2679/SUM(W2679:W2679)*1000000,"N/A")</f>
        <v>25801.730446386289</v>
      </c>
      <c r="Z2679" s="270"/>
      <c r="AA2679" s="270"/>
      <c r="AB2679" s="223" t="s">
        <v>9071</v>
      </c>
      <c r="AC2679" s="153"/>
      <c r="AD2679" s="331"/>
      <c r="AE2679" s="57"/>
      <c r="AF2679" s="151"/>
      <c r="AG2679" s="182">
        <f>YEAR(D2679)</f>
        <v>2011</v>
      </c>
      <c r="AH2679" s="86" t="str">
        <f>+IF(AE2679=$AJ$22,MONTH(T2679),"")</f>
        <v/>
      </c>
      <c r="AI2679" s="86" t="str">
        <f>+IF(AF2679=$AJ$22,MONTH(U2679),"")</f>
        <v/>
      </c>
      <c r="AJ2679" s="86" t="str">
        <f>+IF(AG2679=$AJ$22,MONTH(V2679),"")</f>
        <v/>
      </c>
      <c r="AK2679" s="86" t="str">
        <f>+IF(AG2679=$AK$22,MONTH(V2679),"")</f>
        <v/>
      </c>
      <c r="AL2679" s="86" t="str">
        <f>+IF(AG2679=$AL$22,MONTH(V2679),"")</f>
        <v/>
      </c>
      <c r="AM2679" s="86" t="str">
        <f>+IF($AG2679=$AM$22,MONTH($D2679),"")</f>
        <v/>
      </c>
      <c r="AN2679" s="89" t="str">
        <f>+IF($AG2679=AN$22,MONTH($D2679),"")</f>
        <v/>
      </c>
      <c r="AO2679" s="86" t="str">
        <f>+IF($AG2679=AO$22,MONTH($D2679),"")</f>
        <v/>
      </c>
      <c r="AP2679" s="86" t="str">
        <f>+IF($AG2679=AP$22,MONTH($D2679),"")</f>
        <v/>
      </c>
      <c r="AQ2679" s="86" t="str">
        <f>+IF($AG2679=AQ$22,MONTH($D2679),"")</f>
        <v/>
      </c>
      <c r="AR2679" s="86" t="str">
        <f>+IF($AG2679=AR$22,MONTH($D2679),"")</f>
        <v/>
      </c>
      <c r="AS2679" s="86" t="str">
        <f>+IF($AG2679=AS$22,MONTH($D2679),"")</f>
        <v/>
      </c>
      <c r="AT2679" s="86" t="str">
        <f>+IF($AG2679=AT$22,MONTH($D2679),"")</f>
        <v/>
      </c>
      <c r="AU2679" s="86" t="str">
        <f>+IF($AG2679=AU$22,MONTH($D2679),"")</f>
        <v/>
      </c>
      <c r="AV2679" s="86" t="str">
        <f>+IF($AG2679=AV$22,MONTH($D2679),"")</f>
        <v/>
      </c>
      <c r="AW2679" s="86">
        <f>+IF($AG2679=AW$22,MONTH($D2679),"")</f>
        <v>1</v>
      </c>
      <c r="AX2679" s="86" t="str">
        <f>+IF($AG2679=AX$22,MONTH($D2679),"")</f>
        <v/>
      </c>
      <c r="AY2679" s="89"/>
      <c r="AZ2679" s="89"/>
      <c r="BA2679" s="89"/>
      <c r="BB2679" s="89"/>
      <c r="BC2679" s="89"/>
      <c r="BD2679" s="89"/>
      <c r="BE2679" s="89"/>
      <c r="BF2679" s="89"/>
      <c r="BG2679" s="89"/>
      <c r="BH2679" s="89"/>
      <c r="BI2679" s="89"/>
      <c r="BJ2679" s="182"/>
      <c r="BK2679" s="182"/>
      <c r="BL2679" s="182"/>
      <c r="BM2679" s="182"/>
      <c r="BN2679" s="182"/>
      <c r="BO2679" s="182"/>
      <c r="BP2679" s="182"/>
    </row>
    <row r="2680" spans="1:68" s="51" customFormat="1" ht="27.75" hidden="1" customHeight="1">
      <c r="A2680" s="204">
        <f>+IFERROR(VALUE(MID(AB2680,4,4)),"")</f>
        <v>22</v>
      </c>
      <c r="B2680" s="204">
        <f>VALUE(RIGHT(C2680,LEN(C2680)-2))</f>
        <v>51</v>
      </c>
      <c r="C2680" s="74" t="s">
        <v>9072</v>
      </c>
      <c r="D2680" s="75">
        <v>40543</v>
      </c>
      <c r="E2680" s="70" t="s">
        <v>2890</v>
      </c>
      <c r="F2680" s="70" t="s">
        <v>685</v>
      </c>
      <c r="G2680" s="68"/>
      <c r="H2680" s="59"/>
      <c r="I2680" s="162" t="s">
        <v>9073</v>
      </c>
      <c r="J2680" s="272"/>
      <c r="K2680" s="71" t="s">
        <v>12</v>
      </c>
      <c r="L2680" s="69" t="s">
        <v>120</v>
      </c>
      <c r="M2680" s="69" t="s">
        <v>9069</v>
      </c>
      <c r="N2680" s="69" t="e" vm="1">
        <v>#VALUE!</v>
      </c>
      <c r="O2680" s="164">
        <v>40543</v>
      </c>
      <c r="P2680" s="72" t="s">
        <v>9070</v>
      </c>
      <c r="Q2680" s="72"/>
      <c r="R2680" s="162"/>
      <c r="S2680" s="146"/>
      <c r="T2680" s="68" t="s">
        <v>165</v>
      </c>
      <c r="U2680" s="87"/>
      <c r="V2680" s="183">
        <v>40543</v>
      </c>
      <c r="W2680" s="223">
        <v>404</v>
      </c>
      <c r="X2680" s="73">
        <f>18.15477</f>
        <v>18.154769999999999</v>
      </c>
      <c r="Y2680" s="73">
        <f>IF(SUM(W2680:W2680)&gt;0,X2680/SUM(W2680:W2680)*1000000,"N/A")</f>
        <v>44937.54950495049</v>
      </c>
      <c r="Z2680" s="270"/>
      <c r="AA2680" s="270"/>
      <c r="AB2680" s="223" t="s">
        <v>9074</v>
      </c>
      <c r="AC2680" s="153"/>
      <c r="AD2680" s="331"/>
      <c r="AE2680" s="57"/>
      <c r="AF2680" s="151"/>
      <c r="AG2680" s="182">
        <f>YEAR(D2680)</f>
        <v>2010</v>
      </c>
      <c r="AH2680" s="86" t="str">
        <f>+IF(AE2680=$AJ$22,MONTH(T2680),"")</f>
        <v/>
      </c>
      <c r="AI2680" s="86" t="str">
        <f>+IF(AF2680=$AJ$22,MONTH(U2680),"")</f>
        <v/>
      </c>
      <c r="AJ2680" s="86" t="str">
        <f>+IF(AG2680=$AJ$22,MONTH(V2680),"")</f>
        <v/>
      </c>
      <c r="AK2680" s="86" t="str">
        <f>+IF(AG2680=$AK$22,MONTH(V2680),"")</f>
        <v/>
      </c>
      <c r="AL2680" s="86" t="str">
        <f>+IF(AG2680=$AL$22,MONTH(V2680),"")</f>
        <v/>
      </c>
      <c r="AM2680" s="86" t="str">
        <f>+IF($AG2680=$AM$22,MONTH($D2680),"")</f>
        <v/>
      </c>
      <c r="AN2680" s="89" t="str">
        <f>+IF($AG2680=AN$22,MONTH($D2680),"")</f>
        <v/>
      </c>
      <c r="AO2680" s="86" t="str">
        <f>+IF($AG2680=AO$22,MONTH($D2680),"")</f>
        <v/>
      </c>
      <c r="AP2680" s="86" t="str">
        <f>+IF($AG2680=AP$22,MONTH($D2680),"")</f>
        <v/>
      </c>
      <c r="AQ2680" s="86" t="str">
        <f>+IF($AG2680=AQ$22,MONTH($D2680),"")</f>
        <v/>
      </c>
      <c r="AR2680" s="86" t="str">
        <f>+IF($AG2680=AR$22,MONTH($D2680),"")</f>
        <v/>
      </c>
      <c r="AS2680" s="86" t="str">
        <f>+IF($AG2680=AS$22,MONTH($D2680),"")</f>
        <v/>
      </c>
      <c r="AT2680" s="86" t="str">
        <f>+IF($AG2680=AT$22,MONTH($D2680),"")</f>
        <v/>
      </c>
      <c r="AU2680" s="86" t="str">
        <f>+IF($AG2680=AU$22,MONTH($D2680),"")</f>
        <v/>
      </c>
      <c r="AV2680" s="86" t="str">
        <f>+IF($AG2680=AV$22,MONTH($D2680),"")</f>
        <v/>
      </c>
      <c r="AW2680" s="86" t="str">
        <f>+IF($AG2680=AW$22,MONTH($D2680),"")</f>
        <v/>
      </c>
      <c r="AX2680" s="86">
        <f>+IF($AG2680=AX$22,MONTH($D2680),"")</f>
        <v>12</v>
      </c>
      <c r="AY2680" s="89"/>
      <c r="AZ2680" s="89"/>
      <c r="BA2680" s="89"/>
      <c r="BB2680" s="89"/>
      <c r="BC2680" s="89"/>
      <c r="BD2680" s="89"/>
      <c r="BE2680" s="89"/>
      <c r="BF2680" s="89"/>
      <c r="BG2680" s="89"/>
      <c r="BH2680" s="89"/>
      <c r="BI2680" s="89"/>
      <c r="BJ2680" s="182"/>
      <c r="BK2680" s="182"/>
      <c r="BL2680" s="182"/>
      <c r="BM2680" s="182"/>
      <c r="BN2680" s="182"/>
      <c r="BO2680" s="182"/>
      <c r="BP2680" s="182"/>
    </row>
    <row r="2681" spans="1:68" s="51" customFormat="1" ht="19.5" hidden="1" customHeight="1">
      <c r="A2681" s="204">
        <f>+IFERROR(VALUE(MID(AB2681,4,4)),"")</f>
        <v>21</v>
      </c>
      <c r="B2681" s="204">
        <f>VALUE(RIGHT(C2681,LEN(C2681)-2))</f>
        <v>50</v>
      </c>
      <c r="C2681" s="74" t="s">
        <v>9075</v>
      </c>
      <c r="D2681" s="75">
        <v>40543</v>
      </c>
      <c r="E2681" s="70" t="s">
        <v>2961</v>
      </c>
      <c r="F2681" s="70" t="s">
        <v>685</v>
      </c>
      <c r="G2681" s="68" t="s">
        <v>9076</v>
      </c>
      <c r="H2681" s="59"/>
      <c r="I2681" s="162" t="s">
        <v>9077</v>
      </c>
      <c r="J2681" s="272"/>
      <c r="K2681" s="71" t="s">
        <v>12</v>
      </c>
      <c r="L2681" s="69" t="s">
        <v>120</v>
      </c>
      <c r="M2681" s="69" t="s">
        <v>9069</v>
      </c>
      <c r="N2681" s="69" t="e" vm="1">
        <v>#VALUE!</v>
      </c>
      <c r="O2681" s="164">
        <v>40543</v>
      </c>
      <c r="P2681" s="72" t="s">
        <v>402</v>
      </c>
      <c r="Q2681" s="72"/>
      <c r="R2681" s="162"/>
      <c r="S2681" s="146" t="s">
        <v>9078</v>
      </c>
      <c r="T2681" s="68" t="s">
        <v>9079</v>
      </c>
      <c r="U2681" s="87"/>
      <c r="V2681" s="183">
        <v>40543</v>
      </c>
      <c r="W2681" s="223">
        <v>475</v>
      </c>
      <c r="X2681" s="73">
        <v>10.175000000000001</v>
      </c>
      <c r="Y2681" s="73">
        <f>IF(SUM(W2681:W2681)&gt;0,X2681/SUM(W2681:W2681)*1000000,"N/A")</f>
        <v>21421.052631578947</v>
      </c>
      <c r="Z2681" s="270"/>
      <c r="AA2681" s="270"/>
      <c r="AB2681" s="223" t="s">
        <v>9080</v>
      </c>
      <c r="AC2681" s="153"/>
      <c r="AD2681" s="331"/>
      <c r="AE2681" s="57"/>
      <c r="AF2681" s="151"/>
      <c r="AG2681" s="182">
        <f>YEAR(D2681)</f>
        <v>2010</v>
      </c>
      <c r="AH2681" s="86" t="str">
        <f>+IF(AE2681=$AJ$22,MONTH(T2681),"")</f>
        <v/>
      </c>
      <c r="AI2681" s="86" t="str">
        <f>+IF(AF2681=$AJ$22,MONTH(U2681),"")</f>
        <v/>
      </c>
      <c r="AJ2681" s="86" t="str">
        <f>+IF(AG2681=$AJ$22,MONTH(V2681),"")</f>
        <v/>
      </c>
      <c r="AK2681" s="86" t="str">
        <f>+IF(AG2681=$AK$22,MONTH(V2681),"")</f>
        <v/>
      </c>
      <c r="AL2681" s="86" t="str">
        <f>+IF(AG2681=$AL$22,MONTH(V2681),"")</f>
        <v/>
      </c>
      <c r="AM2681" s="86" t="str">
        <f>+IF($AG2681=$AM$22,MONTH($D2681),"")</f>
        <v/>
      </c>
      <c r="AN2681" s="89" t="str">
        <f>+IF($AG2681=AN$22,MONTH($D2681),"")</f>
        <v/>
      </c>
      <c r="AO2681" s="86" t="str">
        <f>+IF($AG2681=AO$22,MONTH($D2681),"")</f>
        <v/>
      </c>
      <c r="AP2681" s="86" t="str">
        <f>+IF($AG2681=AP$22,MONTH($D2681),"")</f>
        <v/>
      </c>
      <c r="AQ2681" s="86" t="str">
        <f>+IF($AG2681=AQ$22,MONTH($D2681),"")</f>
        <v/>
      </c>
      <c r="AR2681" s="86" t="str">
        <f>+IF($AG2681=AR$22,MONTH($D2681),"")</f>
        <v/>
      </c>
      <c r="AS2681" s="86" t="str">
        <f>+IF($AG2681=AS$22,MONTH($D2681),"")</f>
        <v/>
      </c>
      <c r="AT2681" s="86" t="str">
        <f>+IF($AG2681=AT$22,MONTH($D2681),"")</f>
        <v/>
      </c>
      <c r="AU2681" s="86" t="str">
        <f>+IF($AG2681=AU$22,MONTH($D2681),"")</f>
        <v/>
      </c>
      <c r="AV2681" s="86" t="str">
        <f>+IF($AG2681=AV$22,MONTH($D2681),"")</f>
        <v/>
      </c>
      <c r="AW2681" s="86" t="str">
        <f>+IF($AG2681=AW$22,MONTH($D2681),"")</f>
        <v/>
      </c>
      <c r="AX2681" s="86">
        <f>+IF($AG2681=AX$22,MONTH($D2681),"")</f>
        <v>12</v>
      </c>
      <c r="AY2681" s="89"/>
      <c r="AZ2681" s="89"/>
      <c r="BA2681" s="89"/>
      <c r="BB2681" s="89"/>
      <c r="BC2681" s="89"/>
      <c r="BD2681" s="89"/>
      <c r="BE2681" s="89"/>
      <c r="BF2681" s="89"/>
      <c r="BG2681" s="89"/>
      <c r="BH2681" s="89"/>
      <c r="BI2681" s="89"/>
      <c r="BJ2681" s="182"/>
      <c r="BK2681" s="182"/>
      <c r="BL2681" s="182"/>
      <c r="BM2681" s="182"/>
      <c r="BN2681" s="182"/>
      <c r="BO2681" s="182"/>
      <c r="BP2681" s="182"/>
    </row>
    <row r="2682" spans="1:68" s="51" customFormat="1" ht="19.5" hidden="1" customHeight="1">
      <c r="A2682" s="204">
        <f>+IFERROR(VALUE(MID(AB2682,4,4)),"")</f>
        <v>20</v>
      </c>
      <c r="B2682" s="204">
        <f>VALUE(RIGHT(C2682,LEN(C2682)-2))</f>
        <v>49</v>
      </c>
      <c r="C2682" s="74" t="s">
        <v>9081</v>
      </c>
      <c r="D2682" s="75">
        <v>40535</v>
      </c>
      <c r="E2682" s="70" t="s">
        <v>9082</v>
      </c>
      <c r="F2682" s="70" t="s">
        <v>685</v>
      </c>
      <c r="G2682" s="68" t="s">
        <v>9083</v>
      </c>
      <c r="H2682" s="59"/>
      <c r="I2682" s="162" t="s">
        <v>9084</v>
      </c>
      <c r="J2682" s="272"/>
      <c r="K2682" s="71" t="s">
        <v>13</v>
      </c>
      <c r="L2682" s="69" t="s">
        <v>120</v>
      </c>
      <c r="M2682" s="69" t="s">
        <v>9069</v>
      </c>
      <c r="N2682" s="69" t="e" vm="1">
        <v>#VALUE!</v>
      </c>
      <c r="O2682" s="164">
        <v>40535</v>
      </c>
      <c r="P2682" s="72" t="s">
        <v>9085</v>
      </c>
      <c r="Q2682" s="72"/>
      <c r="R2682" s="162"/>
      <c r="S2682" s="146" t="s">
        <v>9086</v>
      </c>
      <c r="T2682" s="68" t="s">
        <v>9079</v>
      </c>
      <c r="U2682" s="87"/>
      <c r="V2682" s="183">
        <v>40533</v>
      </c>
      <c r="W2682" s="223">
        <v>125</v>
      </c>
      <c r="X2682" s="73">
        <v>3.43</v>
      </c>
      <c r="Y2682" s="73">
        <f>IF(SUM(W2682:W2682)&gt;0,X2682/SUM(W2682:W2682)*1000000,"N/A")</f>
        <v>27440.000000000004</v>
      </c>
      <c r="Z2682" s="270"/>
      <c r="AA2682" s="270"/>
      <c r="AB2682" s="223" t="s">
        <v>9087</v>
      </c>
      <c r="AC2682" s="153"/>
      <c r="AD2682" s="331"/>
      <c r="AE2682" s="57"/>
      <c r="AF2682" s="151"/>
      <c r="AG2682" s="182">
        <f>YEAR(D2682)</f>
        <v>2010</v>
      </c>
      <c r="AH2682" s="86" t="str">
        <f>+IF(AE2682=$AJ$22,MONTH(T2682),"")</f>
        <v/>
      </c>
      <c r="AI2682" s="86" t="str">
        <f>+IF(AF2682=$AJ$22,MONTH(U2682),"")</f>
        <v/>
      </c>
      <c r="AJ2682" s="86" t="str">
        <f>+IF(AG2682=$AJ$22,MONTH(V2682),"")</f>
        <v/>
      </c>
      <c r="AK2682" s="86" t="str">
        <f>+IF(AG2682=$AK$22,MONTH(V2682),"")</f>
        <v/>
      </c>
      <c r="AL2682" s="86" t="str">
        <f>+IF(AG2682=$AL$22,MONTH(V2682),"")</f>
        <v/>
      </c>
      <c r="AM2682" s="86" t="str">
        <f>+IF($AG2682=$AM$22,MONTH($D2682),"")</f>
        <v/>
      </c>
      <c r="AN2682" s="89" t="str">
        <f>+IF($AG2682=AN$22,MONTH($D2682),"")</f>
        <v/>
      </c>
      <c r="AO2682" s="86" t="str">
        <f>+IF($AG2682=AO$22,MONTH($D2682),"")</f>
        <v/>
      </c>
      <c r="AP2682" s="86" t="str">
        <f>+IF($AG2682=AP$22,MONTH($D2682),"")</f>
        <v/>
      </c>
      <c r="AQ2682" s="86" t="str">
        <f>+IF($AG2682=AQ$22,MONTH($D2682),"")</f>
        <v/>
      </c>
      <c r="AR2682" s="86" t="str">
        <f>+IF($AG2682=AR$22,MONTH($D2682),"")</f>
        <v/>
      </c>
      <c r="AS2682" s="86" t="str">
        <f>+IF($AG2682=AS$22,MONTH($D2682),"")</f>
        <v/>
      </c>
      <c r="AT2682" s="86" t="str">
        <f>+IF($AG2682=AT$22,MONTH($D2682),"")</f>
        <v/>
      </c>
      <c r="AU2682" s="86" t="str">
        <f>+IF($AG2682=AU$22,MONTH($D2682),"")</f>
        <v/>
      </c>
      <c r="AV2682" s="86" t="str">
        <f>+IF($AG2682=AV$22,MONTH($D2682),"")</f>
        <v/>
      </c>
      <c r="AW2682" s="86" t="str">
        <f>+IF($AG2682=AW$22,MONTH($D2682),"")</f>
        <v/>
      </c>
      <c r="AX2682" s="86">
        <f>+IF($AG2682=AX$22,MONTH($D2682),"")</f>
        <v>12</v>
      </c>
      <c r="AY2682" s="89"/>
      <c r="AZ2682" s="89"/>
      <c r="BA2682" s="89"/>
      <c r="BB2682" s="89"/>
      <c r="BC2682" s="89"/>
      <c r="BD2682" s="89"/>
      <c r="BE2682" s="89"/>
      <c r="BF2682" s="89"/>
      <c r="BG2682" s="89"/>
      <c r="BH2682" s="89"/>
      <c r="BI2682" s="89"/>
      <c r="BJ2682" s="182"/>
      <c r="BK2682" s="182"/>
      <c r="BL2682" s="182"/>
      <c r="BM2682" s="182"/>
      <c r="BN2682" s="182"/>
      <c r="BO2682" s="182"/>
      <c r="BP2682" s="182"/>
    </row>
    <row r="2683" spans="1:68" s="51" customFormat="1" ht="19.5" hidden="1" customHeight="1">
      <c r="A2683" s="204" t="str">
        <f>+IFERROR(VALUE(MID(AB2683,4,4)),"")</f>
        <v/>
      </c>
      <c r="B2683" s="204">
        <f>VALUE(RIGHT(C2683,LEN(C2683)-2))</f>
        <v>48</v>
      </c>
      <c r="C2683" s="74" t="s">
        <v>9088</v>
      </c>
      <c r="D2683" s="75">
        <v>40526</v>
      </c>
      <c r="E2683" s="70" t="s">
        <v>9089</v>
      </c>
      <c r="F2683" s="70" t="s">
        <v>685</v>
      </c>
      <c r="G2683" s="68" t="s">
        <v>9090</v>
      </c>
      <c r="H2683" s="59"/>
      <c r="I2683" s="162" t="s">
        <v>9091</v>
      </c>
      <c r="J2683" s="272"/>
      <c r="K2683" s="71" t="s">
        <v>9092</v>
      </c>
      <c r="L2683" s="69" t="s">
        <v>123</v>
      </c>
      <c r="M2683" s="69" t="s">
        <v>9069</v>
      </c>
      <c r="N2683" s="69" t="e" vm="1">
        <v>#VALUE!</v>
      </c>
      <c r="O2683" s="164">
        <v>40526</v>
      </c>
      <c r="P2683" s="72" t="s">
        <v>9093</v>
      </c>
      <c r="Q2683" s="72"/>
      <c r="R2683" s="162"/>
      <c r="S2683" s="146"/>
      <c r="T2683" s="68" t="s">
        <v>165</v>
      </c>
      <c r="U2683" s="87"/>
      <c r="V2683" s="183"/>
      <c r="W2683" s="223">
        <v>650</v>
      </c>
      <c r="X2683" s="73">
        <v>22.37</v>
      </c>
      <c r="Y2683" s="73">
        <f>IF(SUM(W2683:W2683)&gt;0,X2683/SUM(W2683:W2683)*1000000,"N/A")</f>
        <v>34415.384615384617</v>
      </c>
      <c r="Z2683" s="270"/>
      <c r="AA2683" s="270"/>
      <c r="AB2683" s="223"/>
      <c r="AC2683" s="153"/>
      <c r="AD2683" s="331"/>
      <c r="AE2683" s="57"/>
      <c r="AF2683" s="151"/>
      <c r="AG2683" s="182">
        <f>YEAR(D2683)</f>
        <v>2010</v>
      </c>
      <c r="AH2683" s="86" t="str">
        <f>+IF(AE2683=$AJ$22,MONTH(T2683),"")</f>
        <v/>
      </c>
      <c r="AI2683" s="86" t="str">
        <f>+IF(AF2683=$AJ$22,MONTH(U2683),"")</f>
        <v/>
      </c>
      <c r="AJ2683" s="86" t="str">
        <f>+IF(AG2683=$AJ$22,MONTH(V2683),"")</f>
        <v/>
      </c>
      <c r="AK2683" s="86" t="str">
        <f>+IF(AG2683=$AK$22,MONTH(V2683),"")</f>
        <v/>
      </c>
      <c r="AL2683" s="86" t="str">
        <f>+IF(AG2683=$AL$22,MONTH(V2683),"")</f>
        <v/>
      </c>
      <c r="AM2683" s="86" t="str">
        <f>+IF($AG2683=$AM$22,MONTH($D2683),"")</f>
        <v/>
      </c>
      <c r="AN2683" s="89" t="str">
        <f>+IF($AG2683=AN$22,MONTH($D2683),"")</f>
        <v/>
      </c>
      <c r="AO2683" s="184" t="str">
        <f>+IF($AG2683=AO$22,MONTH($D2683),"")</f>
        <v/>
      </c>
      <c r="AP2683" s="184" t="str">
        <f>+IF($AG2683=AP$22,MONTH($D2683),"")</f>
        <v/>
      </c>
      <c r="AQ2683" s="184" t="str">
        <f>+IF($AG2683=AQ$22,MONTH($D2683),"")</f>
        <v/>
      </c>
      <c r="AR2683" s="184" t="str">
        <f>+IF($AG2683=AR$22,MONTH($D2683),"")</f>
        <v/>
      </c>
      <c r="AS2683" s="184" t="str">
        <f>+IF($AG2683=AS$22,MONTH($D2683),"")</f>
        <v/>
      </c>
      <c r="AT2683" s="86" t="str">
        <f>+IF($AG2683=AT$22,MONTH($D2683),"")</f>
        <v/>
      </c>
      <c r="AU2683" s="86" t="str">
        <f>+IF($AG2683=AU$22,MONTH($D2683),"")</f>
        <v/>
      </c>
      <c r="AV2683" s="86" t="str">
        <f>+IF($AG2683=AV$22,MONTH($D2683),"")</f>
        <v/>
      </c>
      <c r="AW2683" s="86" t="str">
        <f>+IF($AG2683=AW$22,MONTH($D2683),"")</f>
        <v/>
      </c>
      <c r="AX2683" s="86">
        <f>+IF($AG2683=AX$22,MONTH($D2683),"")</f>
        <v>12</v>
      </c>
      <c r="AY2683" s="89"/>
      <c r="AZ2683" s="89"/>
      <c r="BA2683" s="89"/>
      <c r="BB2683" s="89"/>
      <c r="BC2683" s="89"/>
      <c r="BD2683" s="89"/>
      <c r="BE2683" s="89"/>
      <c r="BF2683" s="89"/>
      <c r="BG2683" s="89"/>
      <c r="BH2683" s="89"/>
      <c r="BI2683" s="89"/>
      <c r="BJ2683" s="182"/>
      <c r="BK2683" s="182"/>
      <c r="BL2683" s="182"/>
      <c r="BM2683" s="182"/>
      <c r="BN2683" s="182"/>
      <c r="BO2683" s="182"/>
      <c r="BP2683" s="182"/>
    </row>
    <row r="2684" spans="1:68" s="51" customFormat="1" ht="19.5" hidden="1" customHeight="1">
      <c r="A2684" s="204" t="str">
        <f>+IFERROR(VALUE(MID(AB2684,4,4)),"")</f>
        <v/>
      </c>
      <c r="B2684" s="204">
        <f>VALUE(RIGHT(C2684,LEN(C2684)-2))</f>
        <v>47</v>
      </c>
      <c r="C2684" s="74" t="s">
        <v>9094</v>
      </c>
      <c r="D2684" s="75">
        <v>40512</v>
      </c>
      <c r="E2684" s="70" t="s">
        <v>2961</v>
      </c>
      <c r="F2684" s="82" t="s">
        <v>685</v>
      </c>
      <c r="G2684" s="68" t="s">
        <v>9095</v>
      </c>
      <c r="H2684" s="59"/>
      <c r="I2684" s="162" t="s">
        <v>9096</v>
      </c>
      <c r="J2684" s="272"/>
      <c r="K2684" s="71" t="s">
        <v>9097</v>
      </c>
      <c r="L2684" s="69" t="s">
        <v>9098</v>
      </c>
      <c r="M2684" s="69" t="s">
        <v>9069</v>
      </c>
      <c r="N2684" s="69" t="e" vm="1">
        <v>#VALUE!</v>
      </c>
      <c r="O2684" s="164">
        <v>40512</v>
      </c>
      <c r="P2684" s="72" t="s">
        <v>4567</v>
      </c>
      <c r="Q2684" s="72"/>
      <c r="R2684" s="162"/>
      <c r="S2684" s="146" t="s">
        <v>9099</v>
      </c>
      <c r="T2684" s="68" t="s">
        <v>165</v>
      </c>
      <c r="U2684" s="87"/>
      <c r="V2684" s="183"/>
      <c r="W2684" s="223">
        <v>2522</v>
      </c>
      <c r="X2684" s="73">
        <f>49675000/1000000</f>
        <v>49.674999999999997</v>
      </c>
      <c r="Y2684" s="73">
        <f>IF(SUM(W2684:W2684)&gt;0,X2684/SUM(W2684:W2684)*1000000,"N/A")</f>
        <v>19696.669310071371</v>
      </c>
      <c r="Z2684" s="270"/>
      <c r="AA2684" s="270"/>
      <c r="AB2684" s="223"/>
      <c r="AC2684" s="153"/>
      <c r="AD2684" s="331"/>
      <c r="AE2684" s="57"/>
      <c r="AF2684" s="151"/>
      <c r="AG2684" s="182">
        <f>YEAR(D2684)</f>
        <v>2010</v>
      </c>
      <c r="AH2684" s="86" t="str">
        <f>+IF(AE2684=$AJ$22,MONTH(T2684),"")</f>
        <v/>
      </c>
      <c r="AI2684" s="86" t="str">
        <f>+IF(AF2684=$AJ$22,MONTH(U2684),"")</f>
        <v/>
      </c>
      <c r="AJ2684" s="86" t="str">
        <f>+IF(AG2684=$AJ$22,MONTH(V2684),"")</f>
        <v/>
      </c>
      <c r="AK2684" s="86" t="str">
        <f>+IF(AG2684=$AK$22,MONTH(V2684),"")</f>
        <v/>
      </c>
      <c r="AL2684" s="86" t="str">
        <f>+IF(AG2684=$AL$22,MONTH(V2684),"")</f>
        <v/>
      </c>
      <c r="AM2684" s="86" t="str">
        <f>+IF($AG2684=$AM$22,MONTH($D2684),"")</f>
        <v/>
      </c>
      <c r="AN2684" s="89" t="str">
        <f>+IF($AG2684=AN$22,MONTH($D2684),"")</f>
        <v/>
      </c>
      <c r="AO2684" s="184" t="str">
        <f>+IF($AG2684=AO$22,MONTH($D2684),"")</f>
        <v/>
      </c>
      <c r="AP2684" s="184" t="str">
        <f>+IF($AG2684=AP$22,MONTH($D2684),"")</f>
        <v/>
      </c>
      <c r="AQ2684" s="184" t="str">
        <f>+IF($AG2684=AQ$22,MONTH($D2684),"")</f>
        <v/>
      </c>
      <c r="AR2684" s="184" t="str">
        <f>+IF($AG2684=AR$22,MONTH($D2684),"")</f>
        <v/>
      </c>
      <c r="AS2684" s="184" t="str">
        <f>+IF($AG2684=AS$22,MONTH($D2684),"")</f>
        <v/>
      </c>
      <c r="AT2684" s="86" t="str">
        <f>+IF($AG2684=AT$22,MONTH($D2684),"")</f>
        <v/>
      </c>
      <c r="AU2684" s="86" t="str">
        <f>+IF($AG2684=AU$22,MONTH($D2684),"")</f>
        <v/>
      </c>
      <c r="AV2684" s="86" t="str">
        <f>+IF($AG2684=AV$22,MONTH($D2684),"")</f>
        <v/>
      </c>
      <c r="AW2684" s="86" t="str">
        <f>+IF($AG2684=AW$22,MONTH($D2684),"")</f>
        <v/>
      </c>
      <c r="AX2684" s="86">
        <f>+IF($AG2684=AX$22,MONTH($D2684),"")</f>
        <v>11</v>
      </c>
      <c r="AY2684" s="89"/>
      <c r="AZ2684" s="89"/>
      <c r="BA2684" s="89"/>
      <c r="BB2684" s="89"/>
      <c r="BC2684" s="89"/>
      <c r="BD2684" s="89"/>
      <c r="BE2684" s="89"/>
      <c r="BF2684" s="89"/>
      <c r="BG2684" s="89"/>
      <c r="BH2684" s="89"/>
      <c r="BI2684" s="89"/>
      <c r="BJ2684" s="182"/>
      <c r="BK2684" s="182"/>
      <c r="BL2684" s="182"/>
      <c r="BM2684" s="182"/>
      <c r="BN2684" s="182"/>
      <c r="BO2684" s="182"/>
      <c r="BP2684" s="182"/>
    </row>
    <row r="2685" spans="1:68" s="51" customFormat="1" ht="19.5" hidden="1" customHeight="1">
      <c r="A2685" s="204">
        <f>+IFERROR(VALUE(MID(AB2685,4,4)),"")</f>
        <v>19</v>
      </c>
      <c r="B2685" s="204">
        <f>VALUE(RIGHT(C2685,LEN(C2685)-2))</f>
        <v>46</v>
      </c>
      <c r="C2685" s="74" t="s">
        <v>9100</v>
      </c>
      <c r="D2685" s="75">
        <v>40512</v>
      </c>
      <c r="E2685" s="70" t="s">
        <v>2961</v>
      </c>
      <c r="F2685" s="82" t="s">
        <v>685</v>
      </c>
      <c r="G2685" s="68" t="s">
        <v>9101</v>
      </c>
      <c r="H2685" s="59"/>
      <c r="I2685" s="162" t="s">
        <v>9102</v>
      </c>
      <c r="J2685" s="272"/>
      <c r="K2685" s="71" t="s">
        <v>212</v>
      </c>
      <c r="L2685" s="69" t="s">
        <v>9098</v>
      </c>
      <c r="M2685" s="69" t="s">
        <v>9069</v>
      </c>
      <c r="N2685" s="69" t="e" vm="1">
        <v>#VALUE!</v>
      </c>
      <c r="O2685" s="164">
        <v>40512</v>
      </c>
      <c r="P2685" s="72" t="s">
        <v>9093</v>
      </c>
      <c r="Q2685" s="72"/>
      <c r="R2685" s="162"/>
      <c r="S2685" s="146" t="s">
        <v>9103</v>
      </c>
      <c r="T2685" s="68" t="s">
        <v>3</v>
      </c>
      <c r="U2685" s="87"/>
      <c r="V2685" s="183">
        <v>40512</v>
      </c>
      <c r="W2685" s="223">
        <v>600</v>
      </c>
      <c r="X2685" s="73">
        <f>138.865-31.295-16</f>
        <v>91.570000000000007</v>
      </c>
      <c r="Y2685" s="73">
        <f>IF(SUM(W2685:W2685)&gt;0,X2685/SUM(W2685:W2685)*1000000,"N/A")</f>
        <v>152616.66666666669</v>
      </c>
      <c r="Z2685" s="270"/>
      <c r="AA2685" s="270"/>
      <c r="AB2685" s="223" t="s">
        <v>9104</v>
      </c>
      <c r="AC2685" s="153"/>
      <c r="AD2685" s="331"/>
      <c r="AE2685" s="57"/>
      <c r="AF2685" s="151"/>
      <c r="AG2685" s="182">
        <f>YEAR(D2685)</f>
        <v>2010</v>
      </c>
      <c r="AH2685" s="86" t="str">
        <f>+IF(AE2685=$AJ$22,MONTH(T2685),"")</f>
        <v/>
      </c>
      <c r="AI2685" s="86" t="str">
        <f>+IF(AF2685=$AJ$22,MONTH(U2685),"")</f>
        <v/>
      </c>
      <c r="AJ2685" s="86" t="str">
        <f>+IF(AG2685=$AJ$22,MONTH(V2685),"")</f>
        <v/>
      </c>
      <c r="AK2685" s="86" t="str">
        <f>+IF(AG2685=$AK$22,MONTH(V2685),"")</f>
        <v/>
      </c>
      <c r="AL2685" s="86" t="str">
        <f>+IF(AG2685=$AL$22,MONTH(V2685),"")</f>
        <v/>
      </c>
      <c r="AM2685" s="86" t="str">
        <f>+IF($AG2685=$AM$22,MONTH($D2685),"")</f>
        <v/>
      </c>
      <c r="AN2685" s="89" t="str">
        <f>+IF($AG2685=AN$22,MONTH($D2685),"")</f>
        <v/>
      </c>
      <c r="AO2685" s="86" t="str">
        <f>+IF($AG2685=AO$22,MONTH($D2685),"")</f>
        <v/>
      </c>
      <c r="AP2685" s="86" t="str">
        <f>+IF($AG2685=AP$22,MONTH($D2685),"")</f>
        <v/>
      </c>
      <c r="AQ2685" s="86" t="str">
        <f>+IF($AG2685=AQ$22,MONTH($D2685),"")</f>
        <v/>
      </c>
      <c r="AR2685" s="86" t="str">
        <f>+IF($AG2685=AR$22,MONTH($D2685),"")</f>
        <v/>
      </c>
      <c r="AS2685" s="86" t="str">
        <f>+IF($AG2685=AS$22,MONTH($D2685),"")</f>
        <v/>
      </c>
      <c r="AT2685" s="86" t="str">
        <f>+IF($AG2685=AT$22,MONTH($D2685),"")</f>
        <v/>
      </c>
      <c r="AU2685" s="86" t="str">
        <f>+IF($AG2685=AU$22,MONTH($D2685),"")</f>
        <v/>
      </c>
      <c r="AV2685" s="86" t="str">
        <f>+IF($AG2685=AV$22,MONTH($D2685),"")</f>
        <v/>
      </c>
      <c r="AW2685" s="86" t="str">
        <f>+IF($AG2685=AW$22,MONTH($D2685),"")</f>
        <v/>
      </c>
      <c r="AX2685" s="86">
        <f>+IF($AG2685=AX$22,MONTH($D2685),"")</f>
        <v>11</v>
      </c>
      <c r="AY2685" s="89"/>
      <c r="AZ2685" s="89"/>
      <c r="BA2685" s="89"/>
      <c r="BB2685" s="89"/>
      <c r="BC2685" s="89"/>
      <c r="BD2685" s="89"/>
      <c r="BE2685" s="89"/>
      <c r="BF2685" s="89"/>
      <c r="BG2685" s="89"/>
      <c r="BH2685" s="89"/>
      <c r="BI2685" s="89"/>
      <c r="BJ2685" s="182"/>
      <c r="BK2685" s="182"/>
      <c r="BL2685" s="182"/>
      <c r="BM2685" s="182"/>
      <c r="BN2685" s="182"/>
      <c r="BO2685" s="182"/>
      <c r="BP2685" s="182"/>
    </row>
    <row r="2686" spans="1:68" s="51" customFormat="1" ht="19.5" hidden="1" customHeight="1">
      <c r="A2686" s="204" t="str">
        <f>+IFERROR(VALUE(MID(AB2686,4,4)),"")</f>
        <v/>
      </c>
      <c r="B2686" s="204">
        <f>VALUE(RIGHT(C2686,LEN(C2686)-2))</f>
        <v>45</v>
      </c>
      <c r="C2686" s="74" t="s">
        <v>9105</v>
      </c>
      <c r="D2686" s="75">
        <v>40512</v>
      </c>
      <c r="E2686" s="70" t="s">
        <v>9089</v>
      </c>
      <c r="F2686" s="70" t="s">
        <v>685</v>
      </c>
      <c r="G2686" s="68" t="s">
        <v>9090</v>
      </c>
      <c r="H2686" s="59"/>
      <c r="I2686" s="162" t="s">
        <v>9106</v>
      </c>
      <c r="J2686" s="162"/>
      <c r="K2686" s="68" t="s">
        <v>11</v>
      </c>
      <c r="L2686" s="69" t="s">
        <v>123</v>
      </c>
      <c r="M2686" s="69" t="s">
        <v>141</v>
      </c>
      <c r="N2686" s="69" t="e" vm="1">
        <v>#VALUE!</v>
      </c>
      <c r="O2686" s="164">
        <v>40512</v>
      </c>
      <c r="P2686" s="72" t="s">
        <v>9070</v>
      </c>
      <c r="Q2686" s="72"/>
      <c r="R2686" s="162"/>
      <c r="S2686" s="146" t="s">
        <v>9107</v>
      </c>
      <c r="T2686" s="68" t="s">
        <v>165</v>
      </c>
      <c r="U2686" s="87"/>
      <c r="V2686" s="183"/>
      <c r="W2686" s="223">
        <v>6325</v>
      </c>
      <c r="X2686" s="73">
        <f>182</f>
        <v>182</v>
      </c>
      <c r="Y2686" s="73">
        <f>IF(SUM(W2686:W2686)&gt;0,X2686/SUM(W2686:W2686)*1000000,"N/A")</f>
        <v>28774.703557312256</v>
      </c>
      <c r="Z2686" s="270"/>
      <c r="AA2686" s="270"/>
      <c r="AB2686" s="223"/>
      <c r="AC2686" s="153"/>
      <c r="AD2686" s="331"/>
      <c r="AE2686" s="57"/>
      <c r="AF2686" s="151"/>
      <c r="AG2686" s="182">
        <f>YEAR(D2686)</f>
        <v>2010</v>
      </c>
      <c r="AH2686" s="86" t="str">
        <f>+IF(AE2686=$AJ$22,MONTH(T2686),"")</f>
        <v/>
      </c>
      <c r="AI2686" s="86" t="str">
        <f>+IF(AF2686=$AJ$22,MONTH(U2686),"")</f>
        <v/>
      </c>
      <c r="AJ2686" s="86" t="str">
        <f>+IF(AG2686=$AJ$22,MONTH(V2686),"")</f>
        <v/>
      </c>
      <c r="AK2686" s="86" t="str">
        <f>+IF(AG2686=$AK$22,MONTH(V2686),"")</f>
        <v/>
      </c>
      <c r="AL2686" s="86" t="str">
        <f>+IF(AG2686=$AL$22,MONTH(V2686),"")</f>
        <v/>
      </c>
      <c r="AM2686" s="86" t="str">
        <f>+IF($AG2686=$AM$22,MONTH($D2686),"")</f>
        <v/>
      </c>
      <c r="AN2686" s="89" t="str">
        <f>+IF($AG2686=AN$22,MONTH($D2686),"")</f>
        <v/>
      </c>
      <c r="AO2686" s="184" t="str">
        <f>+IF($AG2686=AO$22,MONTH($D2686),"")</f>
        <v/>
      </c>
      <c r="AP2686" s="184" t="str">
        <f>+IF($AG2686=AP$22,MONTH($D2686),"")</f>
        <v/>
      </c>
      <c r="AQ2686" s="184" t="str">
        <f>+IF($AG2686=AQ$22,MONTH($D2686),"")</f>
        <v/>
      </c>
      <c r="AR2686" s="184" t="str">
        <f>+IF($AG2686=AR$22,MONTH($D2686),"")</f>
        <v/>
      </c>
      <c r="AS2686" s="184" t="str">
        <f>+IF($AG2686=AS$22,MONTH($D2686),"")</f>
        <v/>
      </c>
      <c r="AT2686" s="86" t="str">
        <f>+IF($AG2686=AT$22,MONTH($D2686),"")</f>
        <v/>
      </c>
      <c r="AU2686" s="86" t="str">
        <f>+IF($AG2686=AU$22,MONTH($D2686),"")</f>
        <v/>
      </c>
      <c r="AV2686" s="86" t="str">
        <f>+IF($AG2686=AV$22,MONTH($D2686),"")</f>
        <v/>
      </c>
      <c r="AW2686" s="86" t="str">
        <f>+IF($AG2686=AW$22,MONTH($D2686),"")</f>
        <v/>
      </c>
      <c r="AX2686" s="86">
        <f>+IF($AG2686=AX$22,MONTH($D2686),"")</f>
        <v>11</v>
      </c>
      <c r="AY2686" s="89"/>
      <c r="AZ2686" s="89"/>
      <c r="BA2686" s="89"/>
      <c r="BB2686" s="89"/>
      <c r="BC2686" s="89"/>
      <c r="BD2686" s="89"/>
      <c r="BE2686" s="89"/>
      <c r="BF2686" s="89"/>
      <c r="BG2686" s="89"/>
      <c r="BH2686" s="89"/>
      <c r="BI2686" s="89"/>
      <c r="BJ2686" s="182"/>
      <c r="BK2686" s="182"/>
      <c r="BL2686" s="182"/>
      <c r="BM2686" s="182"/>
      <c r="BN2686" s="182"/>
      <c r="BO2686" s="182"/>
      <c r="BP2686" s="182"/>
    </row>
    <row r="2687" spans="1:68" s="51" customFormat="1" ht="19.5" hidden="1" customHeight="1">
      <c r="A2687" s="204">
        <f>+IFERROR(VALUE(MID(AB2687,4,4)),"")</f>
        <v>18</v>
      </c>
      <c r="B2687" s="204">
        <f>VALUE(RIGHT(C2687,LEN(C2687)-2))</f>
        <v>44</v>
      </c>
      <c r="C2687" s="74" t="s">
        <v>9108</v>
      </c>
      <c r="D2687" s="75">
        <v>40480</v>
      </c>
      <c r="E2687" s="70" t="s">
        <v>63</v>
      </c>
      <c r="F2687" s="70" t="s">
        <v>685</v>
      </c>
      <c r="G2687" s="68" t="s">
        <v>5340</v>
      </c>
      <c r="H2687" s="59" t="s">
        <v>9109</v>
      </c>
      <c r="I2687" s="162" t="s">
        <v>9110</v>
      </c>
      <c r="J2687" s="272"/>
      <c r="K2687" s="71" t="s">
        <v>12</v>
      </c>
      <c r="L2687" s="69" t="s">
        <v>9098</v>
      </c>
      <c r="M2687" s="69" t="s">
        <v>9069</v>
      </c>
      <c r="N2687" s="69" t="e" vm="1">
        <v>#VALUE!</v>
      </c>
      <c r="O2687" s="164">
        <v>40512</v>
      </c>
      <c r="P2687" s="72" t="s">
        <v>9093</v>
      </c>
      <c r="Q2687" s="72"/>
      <c r="R2687" s="162"/>
      <c r="S2687" s="146" t="s">
        <v>9111</v>
      </c>
      <c r="T2687" s="68" t="s">
        <v>9079</v>
      </c>
      <c r="U2687" s="87"/>
      <c r="V2687" s="183">
        <v>40517</v>
      </c>
      <c r="W2687" s="223">
        <v>180</v>
      </c>
      <c r="X2687" s="73">
        <f>234*21468.01/1000000</f>
        <v>5.0235143400000002</v>
      </c>
      <c r="Y2687" s="73">
        <f>IF(SUM(W2687:W2687)&gt;0,X2687/SUM(W2687:W2687)*1000000,"N/A")</f>
        <v>27908.413</v>
      </c>
      <c r="Z2687" s="270"/>
      <c r="AA2687" s="270"/>
      <c r="AB2687" s="223" t="s">
        <v>9112</v>
      </c>
      <c r="AC2687" s="153"/>
      <c r="AD2687" s="331"/>
      <c r="AE2687" s="57"/>
      <c r="AF2687" s="151"/>
      <c r="AG2687" s="182">
        <f>YEAR(D2687)</f>
        <v>2010</v>
      </c>
      <c r="AH2687" s="86" t="str">
        <f>+IF(AE2687=$AJ$22,MONTH(T2687),"")</f>
        <v/>
      </c>
      <c r="AI2687" s="86" t="str">
        <f>+IF(AF2687=$AJ$22,MONTH(U2687),"")</f>
        <v/>
      </c>
      <c r="AJ2687" s="86" t="str">
        <f>+IF(AG2687=$AJ$22,MONTH(V2687),"")</f>
        <v/>
      </c>
      <c r="AK2687" s="86" t="str">
        <f>+IF(AG2687=$AK$22,MONTH(V2687),"")</f>
        <v/>
      </c>
      <c r="AL2687" s="86" t="str">
        <f>+IF(AG2687=$AL$22,MONTH(V2687),"")</f>
        <v/>
      </c>
      <c r="AM2687" s="86" t="str">
        <f>+IF($AG2687=$AM$22,MONTH($D2687),"")</f>
        <v/>
      </c>
      <c r="AN2687" s="89" t="str">
        <f>+IF($AG2687=AN$22,MONTH($D2687),"")</f>
        <v/>
      </c>
      <c r="AO2687" s="86" t="str">
        <f>+IF($AG2687=AO$22,MONTH($D2687),"")</f>
        <v/>
      </c>
      <c r="AP2687" s="86" t="str">
        <f>+IF($AG2687=AP$22,MONTH($D2687),"")</f>
        <v/>
      </c>
      <c r="AQ2687" s="86" t="str">
        <f>+IF($AG2687=AQ$22,MONTH($D2687),"")</f>
        <v/>
      </c>
      <c r="AR2687" s="86" t="str">
        <f>+IF($AG2687=AR$22,MONTH($D2687),"")</f>
        <v/>
      </c>
      <c r="AS2687" s="86" t="str">
        <f>+IF($AG2687=AS$22,MONTH($D2687),"")</f>
        <v/>
      </c>
      <c r="AT2687" s="86" t="str">
        <f>+IF($AG2687=AT$22,MONTH($D2687),"")</f>
        <v/>
      </c>
      <c r="AU2687" s="86" t="str">
        <f>+IF($AG2687=AU$22,MONTH($D2687),"")</f>
        <v/>
      </c>
      <c r="AV2687" s="86" t="str">
        <f>+IF($AG2687=AV$22,MONTH($D2687),"")</f>
        <v/>
      </c>
      <c r="AW2687" s="86" t="str">
        <f>+IF($AG2687=AW$22,MONTH($D2687),"")</f>
        <v/>
      </c>
      <c r="AX2687" s="86">
        <f>+IF($AG2687=AX$22,MONTH($D2687),"")</f>
        <v>10</v>
      </c>
      <c r="AY2687" s="89"/>
      <c r="AZ2687" s="89"/>
      <c r="BA2687" s="89"/>
      <c r="BB2687" s="89"/>
      <c r="BC2687" s="89"/>
      <c r="BD2687" s="89"/>
      <c r="BE2687" s="89"/>
      <c r="BF2687" s="89"/>
      <c r="BG2687" s="89"/>
      <c r="BH2687" s="89"/>
      <c r="BI2687" s="89"/>
      <c r="BJ2687" s="182"/>
      <c r="BK2687" s="182"/>
      <c r="BL2687" s="182"/>
      <c r="BM2687" s="182"/>
      <c r="BN2687" s="182"/>
      <c r="BO2687" s="182"/>
      <c r="BP2687" s="182"/>
    </row>
    <row r="2688" spans="1:68" s="51" customFormat="1" ht="19.5" hidden="1" customHeight="1">
      <c r="A2688" s="204" t="str">
        <f>+IFERROR(VALUE(MID(AB2688,4,4)),"")</f>
        <v/>
      </c>
      <c r="B2688" s="204">
        <f>VALUE(RIGHT(C2688,LEN(C2688)-2))</f>
        <v>43</v>
      </c>
      <c r="C2688" s="74" t="s">
        <v>9113</v>
      </c>
      <c r="D2688" s="75">
        <v>40470</v>
      </c>
      <c r="E2688" s="70" t="s">
        <v>9114</v>
      </c>
      <c r="F2688" s="82" t="s">
        <v>685</v>
      </c>
      <c r="G2688" s="68" t="s">
        <v>9115</v>
      </c>
      <c r="H2688" s="59"/>
      <c r="I2688" s="162" t="s">
        <v>9116</v>
      </c>
      <c r="J2688" s="272"/>
      <c r="K2688" s="71" t="s">
        <v>13</v>
      </c>
      <c r="L2688" s="69" t="s">
        <v>120</v>
      </c>
      <c r="M2688" s="69" t="s">
        <v>141</v>
      </c>
      <c r="N2688" s="69" t="e" vm="1">
        <v>#VALUE!</v>
      </c>
      <c r="O2688" s="164">
        <v>40471</v>
      </c>
      <c r="P2688" s="72" t="s">
        <v>9093</v>
      </c>
      <c r="Q2688" s="72"/>
      <c r="R2688" s="162"/>
      <c r="S2688" s="146" t="s">
        <v>9117</v>
      </c>
      <c r="T2688" s="68" t="s">
        <v>165</v>
      </c>
      <c r="U2688" s="87"/>
      <c r="V2688" s="183"/>
      <c r="W2688" s="223">
        <v>500</v>
      </c>
      <c r="X2688" s="73">
        <f>13290000/1000000</f>
        <v>13.29</v>
      </c>
      <c r="Y2688" s="73">
        <f>IF(SUM(W2688:W2688)&gt;0,X2688/SUM(W2688:W2688)*1000000,"N/A")</f>
        <v>26580</v>
      </c>
      <c r="Z2688" s="270"/>
      <c r="AA2688" s="270"/>
      <c r="AB2688" s="223"/>
      <c r="AC2688" s="153"/>
      <c r="AD2688" s="331"/>
      <c r="AE2688" s="57"/>
      <c r="AF2688" s="151"/>
      <c r="AG2688" s="182">
        <f>YEAR(D2688)</f>
        <v>2010</v>
      </c>
      <c r="AH2688" s="86" t="str">
        <f>+IF(AE2688=$AJ$22,MONTH(T2688),"")</f>
        <v/>
      </c>
      <c r="AI2688" s="86" t="str">
        <f>+IF(AF2688=$AJ$22,MONTH(U2688),"")</f>
        <v/>
      </c>
      <c r="AJ2688" s="86" t="str">
        <f>+IF(AG2688=$AJ$22,MONTH(V2688),"")</f>
        <v/>
      </c>
      <c r="AK2688" s="86" t="str">
        <f>+IF(AG2688=$AK$22,MONTH(V2688),"")</f>
        <v/>
      </c>
      <c r="AL2688" s="86" t="str">
        <f>+IF(AG2688=$AL$22,MONTH(V2688),"")</f>
        <v/>
      </c>
      <c r="AM2688" s="86" t="str">
        <f>+IF($AG2688=$AM$22,MONTH($D2688),"")</f>
        <v/>
      </c>
      <c r="AN2688" s="89" t="str">
        <f>+IF($AG2688=AN$22,MONTH($D2688),"")</f>
        <v/>
      </c>
      <c r="AO2688" s="184" t="str">
        <f>+IF($AG2688=AO$22,MONTH($D2688),"")</f>
        <v/>
      </c>
      <c r="AP2688" s="184" t="str">
        <f>+IF($AG2688=AP$22,MONTH($D2688),"")</f>
        <v/>
      </c>
      <c r="AQ2688" s="184" t="str">
        <f>+IF($AG2688=AQ$22,MONTH($D2688),"")</f>
        <v/>
      </c>
      <c r="AR2688" s="184" t="str">
        <f>+IF($AG2688=AR$22,MONTH($D2688),"")</f>
        <v/>
      </c>
      <c r="AS2688" s="184" t="str">
        <f>+IF($AG2688=AS$22,MONTH($D2688),"")</f>
        <v/>
      </c>
      <c r="AT2688" s="86" t="str">
        <f>+IF($AG2688=AT$22,MONTH($D2688),"")</f>
        <v/>
      </c>
      <c r="AU2688" s="86" t="str">
        <f>+IF($AG2688=AU$22,MONTH($D2688),"")</f>
        <v/>
      </c>
      <c r="AV2688" s="86" t="str">
        <f>+IF($AG2688=AV$22,MONTH($D2688),"")</f>
        <v/>
      </c>
      <c r="AW2688" s="86" t="str">
        <f>+IF($AG2688=AW$22,MONTH($D2688),"")</f>
        <v/>
      </c>
      <c r="AX2688" s="86">
        <f>+IF($AG2688=AX$22,MONTH($D2688),"")</f>
        <v>10</v>
      </c>
      <c r="AY2688" s="89"/>
      <c r="AZ2688" s="89"/>
      <c r="BA2688" s="89"/>
      <c r="BB2688" s="89"/>
      <c r="BC2688" s="89"/>
      <c r="BD2688" s="89"/>
      <c r="BE2688" s="89"/>
      <c r="BF2688" s="89"/>
      <c r="BG2688" s="89"/>
      <c r="BH2688" s="89"/>
      <c r="BI2688" s="89"/>
      <c r="BJ2688" s="182"/>
      <c r="BK2688" s="182"/>
      <c r="BL2688" s="182"/>
      <c r="BM2688" s="182"/>
      <c r="BN2688" s="182"/>
      <c r="BO2688" s="182"/>
      <c r="BP2688" s="182"/>
    </row>
    <row r="2689" spans="1:68" s="51" customFormat="1" ht="19.5" hidden="1" customHeight="1">
      <c r="A2689" s="204">
        <f>+IFERROR(VALUE(MID(AB2689,4,4)),"")</f>
        <v>16</v>
      </c>
      <c r="B2689" s="204">
        <f>VALUE(RIGHT(C2689,LEN(C2689)-2))</f>
        <v>42</v>
      </c>
      <c r="C2689" s="74" t="s">
        <v>9118</v>
      </c>
      <c r="D2689" s="75">
        <v>40470</v>
      </c>
      <c r="E2689" s="70" t="s">
        <v>9119</v>
      </c>
      <c r="F2689" s="82" t="s">
        <v>685</v>
      </c>
      <c r="G2689" s="68" t="s">
        <v>9120</v>
      </c>
      <c r="H2689" s="59"/>
      <c r="I2689" s="162" t="s">
        <v>9121</v>
      </c>
      <c r="J2689" s="272"/>
      <c r="K2689" s="71" t="s">
        <v>25</v>
      </c>
      <c r="L2689" s="69" t="s">
        <v>120</v>
      </c>
      <c r="M2689" s="69" t="s">
        <v>141</v>
      </c>
      <c r="N2689" s="69" t="e" vm="1">
        <v>#VALUE!</v>
      </c>
      <c r="O2689" s="164"/>
      <c r="P2689" s="72"/>
      <c r="Q2689" s="72"/>
      <c r="R2689" s="162"/>
      <c r="S2689" s="146" t="s">
        <v>9122</v>
      </c>
      <c r="T2689" s="68" t="s">
        <v>165</v>
      </c>
      <c r="U2689" s="87"/>
      <c r="V2689" s="183">
        <v>40470</v>
      </c>
      <c r="W2689" s="223">
        <v>1</v>
      </c>
      <c r="X2689" s="73">
        <v>0</v>
      </c>
      <c r="Y2689" s="73">
        <f>IF(SUM(W2689:W2689)&gt;0,X2689/SUM(W2689:W2689)*1000000,"N/A")</f>
        <v>0</v>
      </c>
      <c r="Z2689" s="270"/>
      <c r="AA2689" s="270"/>
      <c r="AB2689" s="223" t="s">
        <v>9123</v>
      </c>
      <c r="AC2689" s="153"/>
      <c r="AD2689" s="331"/>
      <c r="AE2689" s="57"/>
      <c r="AF2689" s="151"/>
      <c r="AG2689" s="182">
        <f>YEAR(D2689)</f>
        <v>2010</v>
      </c>
      <c r="AH2689" s="86" t="str">
        <f>+IF(AE2689=$AJ$22,MONTH(T2689),"")</f>
        <v/>
      </c>
      <c r="AI2689" s="86" t="str">
        <f>+IF(AF2689=$AJ$22,MONTH(U2689),"")</f>
        <v/>
      </c>
      <c r="AJ2689" s="86" t="str">
        <f>+IF(AG2689=$AJ$22,MONTH(V2689),"")</f>
        <v/>
      </c>
      <c r="AK2689" s="86" t="str">
        <f>+IF(AG2689=$AK$22,MONTH(V2689),"")</f>
        <v/>
      </c>
      <c r="AL2689" s="86" t="str">
        <f>+IF(AG2689=$AL$22,MONTH(V2689),"")</f>
        <v/>
      </c>
      <c r="AM2689" s="86" t="str">
        <f>+IF($AG2689=$AM$22,MONTH($D2689),"")</f>
        <v/>
      </c>
      <c r="AN2689" s="89" t="str">
        <f>+IF($AG2689=AN$22,MONTH($D2689),"")</f>
        <v/>
      </c>
      <c r="AO2689" s="86" t="str">
        <f>+IF($AG2689=AO$22,MONTH($D2689),"")</f>
        <v/>
      </c>
      <c r="AP2689" s="86" t="str">
        <f>+IF($AG2689=AP$22,MONTH($D2689),"")</f>
        <v/>
      </c>
      <c r="AQ2689" s="86" t="str">
        <f>+IF($AG2689=AQ$22,MONTH($D2689),"")</f>
        <v/>
      </c>
      <c r="AR2689" s="86" t="str">
        <f>+IF($AG2689=AR$22,MONTH($D2689),"")</f>
        <v/>
      </c>
      <c r="AS2689" s="86" t="str">
        <f>+IF($AG2689=AS$22,MONTH($D2689),"")</f>
        <v/>
      </c>
      <c r="AT2689" s="86" t="str">
        <f>+IF($AG2689=AT$22,MONTH($D2689),"")</f>
        <v/>
      </c>
      <c r="AU2689" s="86" t="str">
        <f>+IF($AG2689=AU$22,MONTH($D2689),"")</f>
        <v/>
      </c>
      <c r="AV2689" s="86" t="str">
        <f>+IF($AG2689=AV$22,MONTH($D2689),"")</f>
        <v/>
      </c>
      <c r="AW2689" s="86" t="str">
        <f>+IF($AG2689=AW$22,MONTH($D2689),"")</f>
        <v/>
      </c>
      <c r="AX2689" s="86">
        <f>+IF($AG2689=AX$22,MONTH($D2689),"")</f>
        <v>10</v>
      </c>
      <c r="AY2689" s="89"/>
      <c r="AZ2689" s="89"/>
      <c r="BA2689" s="89"/>
      <c r="BB2689" s="89"/>
      <c r="BC2689" s="89"/>
      <c r="BD2689" s="89"/>
      <c r="BE2689" s="89"/>
      <c r="BF2689" s="89"/>
      <c r="BG2689" s="89"/>
      <c r="BH2689" s="89"/>
      <c r="BI2689" s="89"/>
      <c r="BJ2689" s="182"/>
      <c r="BK2689" s="182"/>
      <c r="BL2689" s="182"/>
      <c r="BM2689" s="182"/>
      <c r="BN2689" s="182"/>
      <c r="BO2689" s="182"/>
      <c r="BP2689" s="182"/>
    </row>
    <row r="2690" spans="1:68" s="51" customFormat="1" ht="19.5" hidden="1" customHeight="1">
      <c r="A2690" s="204">
        <f>+IFERROR(VALUE(MID(AB2690,4,4)),"")</f>
        <v>15</v>
      </c>
      <c r="B2690" s="204">
        <f>VALUE(RIGHT(C2690,LEN(C2690)-2))</f>
        <v>41</v>
      </c>
      <c r="C2690" s="74" t="s">
        <v>9124</v>
      </c>
      <c r="D2690" s="75">
        <v>40448</v>
      </c>
      <c r="E2690" s="70" t="s">
        <v>2961</v>
      </c>
      <c r="F2690" s="70" t="s">
        <v>685</v>
      </c>
      <c r="G2690" s="68" t="s">
        <v>9125</v>
      </c>
      <c r="H2690" s="59"/>
      <c r="I2690" s="162" t="s">
        <v>9126</v>
      </c>
      <c r="J2690" s="272"/>
      <c r="K2690" s="71" t="s">
        <v>13</v>
      </c>
      <c r="L2690" s="69" t="s">
        <v>120</v>
      </c>
      <c r="M2690" s="69" t="s">
        <v>141</v>
      </c>
      <c r="N2690" s="69" t="e" vm="1">
        <v>#VALUE!</v>
      </c>
      <c r="O2690" s="164">
        <v>40456</v>
      </c>
      <c r="P2690" s="72" t="s">
        <v>402</v>
      </c>
      <c r="Q2690" s="72"/>
      <c r="R2690" s="162"/>
      <c r="S2690" s="146" t="s">
        <v>9127</v>
      </c>
      <c r="T2690" s="68" t="s">
        <v>3</v>
      </c>
      <c r="U2690" s="87"/>
      <c r="V2690" s="183">
        <v>40459</v>
      </c>
      <c r="W2690" s="223">
        <v>1500</v>
      </c>
      <c r="X2690" s="73">
        <v>36.18</v>
      </c>
      <c r="Y2690" s="73">
        <f>IF(SUM(W2690:W2690)&gt;0,X2690/SUM(W2690:W2690)*1000000,"N/A")</f>
        <v>24120</v>
      </c>
      <c r="Z2690" s="270"/>
      <c r="AA2690" s="270"/>
      <c r="AB2690" s="223" t="s">
        <v>9128</v>
      </c>
      <c r="AC2690" s="153"/>
      <c r="AD2690" s="331"/>
      <c r="AE2690" s="57"/>
      <c r="AF2690" s="151"/>
      <c r="AG2690" s="182">
        <f>YEAR(D2690)</f>
        <v>2010</v>
      </c>
      <c r="AH2690" s="86" t="str">
        <f>+IF(AE2690=$AJ$22,MONTH(T2690),"")</f>
        <v/>
      </c>
      <c r="AI2690" s="86" t="str">
        <f>+IF(AF2690=$AJ$22,MONTH(U2690),"")</f>
        <v/>
      </c>
      <c r="AJ2690" s="86" t="str">
        <f>+IF(AG2690=$AJ$22,MONTH(V2690),"")</f>
        <v/>
      </c>
      <c r="AK2690" s="86" t="str">
        <f>+IF(AG2690=$AK$22,MONTH(V2690),"")</f>
        <v/>
      </c>
      <c r="AL2690" s="86" t="str">
        <f>+IF(AG2690=$AL$22,MONTH(V2690),"")</f>
        <v/>
      </c>
      <c r="AM2690" s="86" t="str">
        <f>+IF($AG2690=$AM$22,MONTH($D2690),"")</f>
        <v/>
      </c>
      <c r="AN2690" s="89" t="str">
        <f>+IF($AG2690=AN$22,MONTH($D2690),"")</f>
        <v/>
      </c>
      <c r="AO2690" s="86" t="str">
        <f>+IF($AG2690=AO$22,MONTH($D2690),"")</f>
        <v/>
      </c>
      <c r="AP2690" s="86" t="str">
        <f>+IF($AG2690=AP$22,MONTH($D2690),"")</f>
        <v/>
      </c>
      <c r="AQ2690" s="86" t="str">
        <f>+IF($AG2690=AQ$22,MONTH($D2690),"")</f>
        <v/>
      </c>
      <c r="AR2690" s="86" t="str">
        <f>+IF($AG2690=AR$22,MONTH($D2690),"")</f>
        <v/>
      </c>
      <c r="AS2690" s="86" t="str">
        <f>+IF($AG2690=AS$22,MONTH($D2690),"")</f>
        <v/>
      </c>
      <c r="AT2690" s="86" t="str">
        <f>+IF($AG2690=AT$22,MONTH($D2690),"")</f>
        <v/>
      </c>
      <c r="AU2690" s="86" t="str">
        <f>+IF($AG2690=AU$22,MONTH($D2690),"")</f>
        <v/>
      </c>
      <c r="AV2690" s="86" t="str">
        <f>+IF($AG2690=AV$22,MONTH($D2690),"")</f>
        <v/>
      </c>
      <c r="AW2690" s="86" t="str">
        <f>+IF($AG2690=AW$22,MONTH($D2690),"")</f>
        <v/>
      </c>
      <c r="AX2690" s="86">
        <f>+IF($AG2690=AX$22,MONTH($D2690),"")</f>
        <v>9</v>
      </c>
      <c r="AY2690" s="89"/>
      <c r="AZ2690" s="89"/>
      <c r="BA2690" s="89"/>
      <c r="BB2690" s="89"/>
      <c r="BC2690" s="89"/>
      <c r="BD2690" s="89"/>
      <c r="BE2690" s="89"/>
      <c r="BF2690" s="89"/>
      <c r="BG2690" s="89"/>
      <c r="BH2690" s="89"/>
      <c r="BI2690" s="89"/>
      <c r="BJ2690" s="182"/>
      <c r="BK2690" s="182"/>
      <c r="BL2690" s="182"/>
      <c r="BM2690" s="182"/>
      <c r="BN2690" s="182"/>
      <c r="BO2690" s="182"/>
      <c r="BP2690" s="182"/>
    </row>
    <row r="2691" spans="1:68" s="51" customFormat="1" ht="19.5" hidden="1" customHeight="1">
      <c r="A2691" s="204">
        <f>+IFERROR(VALUE(MID(AB2691,4,4)),"")</f>
        <v>14</v>
      </c>
      <c r="B2691" s="204">
        <f>VALUE(RIGHT(C2691,LEN(C2691)-2))</f>
        <v>40</v>
      </c>
      <c r="C2691" s="74" t="s">
        <v>9129</v>
      </c>
      <c r="D2691" s="75">
        <v>40448</v>
      </c>
      <c r="E2691" s="70" t="s">
        <v>53</v>
      </c>
      <c r="F2691" s="70" t="s">
        <v>313</v>
      </c>
      <c r="G2691" s="68" t="s">
        <v>9130</v>
      </c>
      <c r="H2691" s="59"/>
      <c r="I2691" s="162" t="s">
        <v>9131</v>
      </c>
      <c r="J2691" s="272"/>
      <c r="K2691" s="71" t="s">
        <v>30</v>
      </c>
      <c r="L2691" s="69" t="s">
        <v>120</v>
      </c>
      <c r="M2691" s="69" t="s">
        <v>141</v>
      </c>
      <c r="N2691" s="69" t="e" vm="1">
        <v>#VALUE!</v>
      </c>
      <c r="O2691" s="164">
        <v>40452</v>
      </c>
      <c r="P2691" s="72" t="s">
        <v>402</v>
      </c>
      <c r="Q2691" s="72"/>
      <c r="R2691" s="162"/>
      <c r="S2691" s="146"/>
      <c r="T2691" s="68" t="s">
        <v>3</v>
      </c>
      <c r="U2691" s="87"/>
      <c r="V2691" s="183">
        <v>40459</v>
      </c>
      <c r="W2691" s="223">
        <v>13</v>
      </c>
      <c r="X2691" s="73"/>
      <c r="Y2691" s="73">
        <f>IF(SUM(W2691:W2691)&gt;0,X2691/SUM(W2691:W2691)*1000000,"N/A")</f>
        <v>0</v>
      </c>
      <c r="Z2691" s="270"/>
      <c r="AA2691" s="270"/>
      <c r="AB2691" s="223" t="s">
        <v>9132</v>
      </c>
      <c r="AC2691" s="153"/>
      <c r="AD2691" s="331"/>
      <c r="AE2691" s="57"/>
      <c r="AF2691" s="151"/>
      <c r="AG2691" s="182">
        <f>YEAR(D2691)</f>
        <v>2010</v>
      </c>
      <c r="AH2691" s="86" t="str">
        <f>+IF(AE2691=$AJ$22,MONTH(T2691),"")</f>
        <v/>
      </c>
      <c r="AI2691" s="86" t="str">
        <f>+IF(AF2691=$AJ$22,MONTH(U2691),"")</f>
        <v/>
      </c>
      <c r="AJ2691" s="86" t="str">
        <f>+IF(AG2691=$AJ$22,MONTH(V2691),"")</f>
        <v/>
      </c>
      <c r="AK2691" s="86" t="str">
        <f>+IF(AG2691=$AK$22,MONTH(V2691),"")</f>
        <v/>
      </c>
      <c r="AL2691" s="86" t="str">
        <f>+IF(AG2691=$AL$22,MONTH(V2691),"")</f>
        <v/>
      </c>
      <c r="AM2691" s="86" t="str">
        <f>+IF($AG2691=$AM$22,MONTH($D2691),"")</f>
        <v/>
      </c>
      <c r="AN2691" s="89" t="str">
        <f>+IF($AG2691=AN$22,MONTH($D2691),"")</f>
        <v/>
      </c>
      <c r="AO2691" s="86" t="str">
        <f>+IF($AG2691=AO$22,MONTH($D2691),"")</f>
        <v/>
      </c>
      <c r="AP2691" s="86" t="str">
        <f>+IF($AG2691=AP$22,MONTH($D2691),"")</f>
        <v/>
      </c>
      <c r="AQ2691" s="86" t="str">
        <f>+IF($AG2691=AQ$22,MONTH($D2691),"")</f>
        <v/>
      </c>
      <c r="AR2691" s="86" t="str">
        <f>+IF($AG2691=AR$22,MONTH($D2691),"")</f>
        <v/>
      </c>
      <c r="AS2691" s="86" t="str">
        <f>+IF($AG2691=AS$22,MONTH($D2691),"")</f>
        <v/>
      </c>
      <c r="AT2691" s="86" t="str">
        <f>+IF($AG2691=AT$22,MONTH($D2691),"")</f>
        <v/>
      </c>
      <c r="AU2691" s="86" t="str">
        <f>+IF($AG2691=AU$22,MONTH($D2691),"")</f>
        <v/>
      </c>
      <c r="AV2691" s="86" t="str">
        <f>+IF($AG2691=AV$22,MONTH($D2691),"")</f>
        <v/>
      </c>
      <c r="AW2691" s="86" t="str">
        <f>+IF($AG2691=AW$22,MONTH($D2691),"")</f>
        <v/>
      </c>
      <c r="AX2691" s="86">
        <f>+IF($AG2691=AX$22,MONTH($D2691),"")</f>
        <v>9</v>
      </c>
      <c r="AY2691" s="89"/>
      <c r="AZ2691" s="89"/>
      <c r="BA2691" s="89"/>
      <c r="BB2691" s="89"/>
      <c r="BC2691" s="89"/>
      <c r="BD2691" s="89"/>
      <c r="BE2691" s="89"/>
      <c r="BF2691" s="89"/>
      <c r="BG2691" s="89"/>
      <c r="BH2691" s="89"/>
      <c r="BI2691" s="89"/>
      <c r="BJ2691" s="182"/>
      <c r="BK2691" s="182"/>
      <c r="BL2691" s="182"/>
      <c r="BM2691" s="182"/>
      <c r="BN2691" s="182"/>
      <c r="BO2691" s="182"/>
      <c r="BP2691" s="182"/>
    </row>
    <row r="2692" spans="1:68" s="51" customFormat="1" ht="19.5" hidden="1" customHeight="1">
      <c r="A2692" s="204" t="str">
        <f>+IFERROR(VALUE(MID(AB2692,4,4)),"")</f>
        <v/>
      </c>
      <c r="B2692" s="204">
        <f>VALUE(RIGHT(C2692,LEN(C2692)-2))</f>
        <v>39</v>
      </c>
      <c r="C2692" s="74" t="s">
        <v>9133</v>
      </c>
      <c r="D2692" s="75">
        <v>40448</v>
      </c>
      <c r="E2692" s="70" t="s">
        <v>9134</v>
      </c>
      <c r="F2692" s="82" t="s">
        <v>685</v>
      </c>
      <c r="G2692" s="68"/>
      <c r="H2692" s="59"/>
      <c r="I2692" s="162" t="s">
        <v>9135</v>
      </c>
      <c r="J2692" s="272"/>
      <c r="K2692" s="71" t="s">
        <v>64</v>
      </c>
      <c r="L2692" s="69" t="s">
        <v>123</v>
      </c>
      <c r="M2692" s="69"/>
      <c r="N2692" s="69"/>
      <c r="O2692" s="164"/>
      <c r="P2692" s="72"/>
      <c r="Q2692" s="72"/>
      <c r="R2692" s="162"/>
      <c r="S2692" s="146" t="s">
        <v>9136</v>
      </c>
      <c r="T2692" s="68" t="s">
        <v>165</v>
      </c>
      <c r="U2692" s="87"/>
      <c r="V2692" s="183"/>
      <c r="W2692" s="223">
        <v>200</v>
      </c>
      <c r="X2692" s="73">
        <f>25000*W2692/1000000</f>
        <v>5</v>
      </c>
      <c r="Y2692" s="73">
        <f>IF(SUM(W2692:W2692)&gt;0,X2692/SUM(W2692:W2692)*1000000,"N/A")</f>
        <v>25000</v>
      </c>
      <c r="Z2692" s="270"/>
      <c r="AA2692" s="270"/>
      <c r="AB2692" s="223"/>
      <c r="AC2692" s="153"/>
      <c r="AD2692" s="331"/>
      <c r="AE2692" s="57"/>
      <c r="AF2692" s="151"/>
      <c r="AG2692" s="182">
        <f>YEAR(D2692)</f>
        <v>2010</v>
      </c>
      <c r="AH2692" s="86" t="str">
        <f>+IF(AE2692=$AJ$22,MONTH(T2692),"")</f>
        <v/>
      </c>
      <c r="AI2692" s="86" t="str">
        <f>+IF(AF2692=$AJ$22,MONTH(U2692),"")</f>
        <v/>
      </c>
      <c r="AJ2692" s="86" t="str">
        <f>+IF(AG2692=$AJ$22,MONTH(V2692),"")</f>
        <v/>
      </c>
      <c r="AK2692" s="86" t="str">
        <f>+IF(AG2692=$AK$22,MONTH(V2692),"")</f>
        <v/>
      </c>
      <c r="AL2692" s="86" t="str">
        <f>+IF(AG2692=$AL$22,MONTH(V2692),"")</f>
        <v/>
      </c>
      <c r="AM2692" s="86" t="str">
        <f>+IF($AG2692=$AM$22,MONTH($D2692),"")</f>
        <v/>
      </c>
      <c r="AN2692" s="89" t="str">
        <f>+IF($AG2692=AN$22,MONTH($D2692),"")</f>
        <v/>
      </c>
      <c r="AO2692" s="184" t="str">
        <f>+IF($AG2692=AO$22,MONTH($D2692),"")</f>
        <v/>
      </c>
      <c r="AP2692" s="184" t="str">
        <f>+IF($AG2692=AP$22,MONTH($D2692),"")</f>
        <v/>
      </c>
      <c r="AQ2692" s="184" t="str">
        <f>+IF($AG2692=AQ$22,MONTH($D2692),"")</f>
        <v/>
      </c>
      <c r="AR2692" s="184" t="str">
        <f>+IF($AG2692=AR$22,MONTH($D2692),"")</f>
        <v/>
      </c>
      <c r="AS2692" s="184" t="str">
        <f>+IF($AG2692=AS$22,MONTH($D2692),"")</f>
        <v/>
      </c>
      <c r="AT2692" s="86" t="str">
        <f>+IF($AG2692=AT$22,MONTH($D2692),"")</f>
        <v/>
      </c>
      <c r="AU2692" s="86" t="str">
        <f>+IF($AG2692=AU$22,MONTH($D2692),"")</f>
        <v/>
      </c>
      <c r="AV2692" s="86" t="str">
        <f>+IF($AG2692=AV$22,MONTH($D2692),"")</f>
        <v/>
      </c>
      <c r="AW2692" s="86" t="str">
        <f>+IF($AG2692=AW$22,MONTH($D2692),"")</f>
        <v/>
      </c>
      <c r="AX2692" s="86">
        <f>+IF($AG2692=AX$22,MONTH($D2692),"")</f>
        <v>9</v>
      </c>
      <c r="AY2692" s="89"/>
      <c r="AZ2692" s="89"/>
      <c r="BA2692" s="89"/>
      <c r="BB2692" s="89"/>
      <c r="BC2692" s="89"/>
      <c r="BD2692" s="89"/>
      <c r="BE2692" s="89"/>
      <c r="BF2692" s="89"/>
      <c r="BG2692" s="89"/>
      <c r="BH2692" s="89"/>
      <c r="BI2692" s="89"/>
      <c r="BJ2692" s="182"/>
      <c r="BK2692" s="182"/>
      <c r="BL2692" s="182"/>
      <c r="BM2692" s="182"/>
      <c r="BN2692" s="182"/>
      <c r="BO2692" s="182"/>
      <c r="BP2692" s="182"/>
    </row>
    <row r="2693" spans="1:68" s="51" customFormat="1" ht="19.5" hidden="1" customHeight="1">
      <c r="A2693" s="204">
        <f>+IFERROR(VALUE(MID(AB2693,4,4)),"")</f>
        <v>17</v>
      </c>
      <c r="B2693" s="204">
        <f>VALUE(RIGHT(C2693,LEN(C2693)-2))</f>
        <v>38</v>
      </c>
      <c r="C2693" s="74" t="s">
        <v>9137</v>
      </c>
      <c r="D2693" s="75">
        <v>40442</v>
      </c>
      <c r="E2693" s="70" t="s">
        <v>685</v>
      </c>
      <c r="F2693" s="70" t="s">
        <v>685</v>
      </c>
      <c r="G2693" s="68" t="s">
        <v>9138</v>
      </c>
      <c r="H2693" s="59"/>
      <c r="I2693" s="162" t="s">
        <v>9139</v>
      </c>
      <c r="J2693" s="272"/>
      <c r="K2693" s="71" t="s">
        <v>31</v>
      </c>
      <c r="L2693" s="69" t="s">
        <v>120</v>
      </c>
      <c r="M2693" s="69" t="s">
        <v>141</v>
      </c>
      <c r="N2693" s="69" t="e" vm="1">
        <v>#VALUE!</v>
      </c>
      <c r="O2693" s="164">
        <v>40453</v>
      </c>
      <c r="P2693" s="72" t="s">
        <v>402</v>
      </c>
      <c r="Q2693" s="72"/>
      <c r="R2693" s="162"/>
      <c r="S2693" s="146" t="s">
        <v>9140</v>
      </c>
      <c r="T2693" s="68" t="s">
        <v>3</v>
      </c>
      <c r="U2693" s="87"/>
      <c r="V2693" s="183">
        <v>40443</v>
      </c>
      <c r="W2693" s="223">
        <f>77*12</f>
        <v>924</v>
      </c>
      <c r="X2693" s="73">
        <f>(38511000)/1000000</f>
        <v>38.511000000000003</v>
      </c>
      <c r="Y2693" s="73">
        <f>IF(SUM(W2693:W2693)&gt;0,X2693/SUM(W2693:W2693)*1000000,"N/A")</f>
        <v>41678.571428571435</v>
      </c>
      <c r="Z2693" s="270"/>
      <c r="AA2693" s="270"/>
      <c r="AB2693" s="223" t="s">
        <v>9141</v>
      </c>
      <c r="AC2693" s="153"/>
      <c r="AD2693" s="331"/>
      <c r="AE2693" s="57"/>
      <c r="AF2693" s="151"/>
      <c r="AG2693" s="182">
        <f>YEAR(D2693)</f>
        <v>2010</v>
      </c>
      <c r="AH2693" s="86" t="str">
        <f>+IF(AE2693=$AJ$22,MONTH(T2693),"")</f>
        <v/>
      </c>
      <c r="AI2693" s="86" t="str">
        <f>+IF(AF2693=$AJ$22,MONTH(U2693),"")</f>
        <v/>
      </c>
      <c r="AJ2693" s="86" t="str">
        <f>+IF(AG2693=$AJ$22,MONTH(V2693),"")</f>
        <v/>
      </c>
      <c r="AK2693" s="86" t="str">
        <f>+IF(AG2693=$AK$22,MONTH(V2693),"")</f>
        <v/>
      </c>
      <c r="AL2693" s="86" t="str">
        <f>+IF(AG2693=$AL$22,MONTH(V2693),"")</f>
        <v/>
      </c>
      <c r="AM2693" s="86" t="str">
        <f>+IF($AG2693=$AM$22,MONTH($D2693),"")</f>
        <v/>
      </c>
      <c r="AN2693" s="89" t="str">
        <f>+IF($AG2693=AN$22,MONTH($D2693),"")</f>
        <v/>
      </c>
      <c r="AO2693" s="86" t="str">
        <f>+IF($AG2693=AO$22,MONTH($D2693),"")</f>
        <v/>
      </c>
      <c r="AP2693" s="86" t="str">
        <f>+IF($AG2693=AP$22,MONTH($D2693),"")</f>
        <v/>
      </c>
      <c r="AQ2693" s="86" t="str">
        <f>+IF($AG2693=AQ$22,MONTH($D2693),"")</f>
        <v/>
      </c>
      <c r="AR2693" s="86" t="str">
        <f>+IF($AG2693=AR$22,MONTH($D2693),"")</f>
        <v/>
      </c>
      <c r="AS2693" s="86" t="str">
        <f>+IF($AG2693=AS$22,MONTH($D2693),"")</f>
        <v/>
      </c>
      <c r="AT2693" s="86" t="str">
        <f>+IF($AG2693=AT$22,MONTH($D2693),"")</f>
        <v/>
      </c>
      <c r="AU2693" s="86" t="str">
        <f>+IF($AG2693=AU$22,MONTH($D2693),"")</f>
        <v/>
      </c>
      <c r="AV2693" s="86" t="str">
        <f>+IF($AG2693=AV$22,MONTH($D2693),"")</f>
        <v/>
      </c>
      <c r="AW2693" s="86" t="str">
        <f>+IF($AG2693=AW$22,MONTH($D2693),"")</f>
        <v/>
      </c>
      <c r="AX2693" s="86">
        <f>+IF($AG2693=AX$22,MONTH($D2693),"")</f>
        <v>9</v>
      </c>
      <c r="AY2693" s="89"/>
      <c r="AZ2693" s="89"/>
      <c r="BA2693" s="89"/>
      <c r="BB2693" s="89"/>
      <c r="BC2693" s="89"/>
      <c r="BD2693" s="89"/>
      <c r="BE2693" s="89"/>
      <c r="BF2693" s="89"/>
      <c r="BG2693" s="89"/>
      <c r="BH2693" s="89"/>
      <c r="BI2693" s="89"/>
      <c r="BJ2693" s="182"/>
      <c r="BK2693" s="182"/>
      <c r="BL2693" s="182"/>
      <c r="BM2693" s="182"/>
      <c r="BN2693" s="182"/>
      <c r="BO2693" s="182"/>
      <c r="BP2693" s="182"/>
    </row>
    <row r="2694" spans="1:68" s="51" customFormat="1" ht="19.5" hidden="1" customHeight="1">
      <c r="A2694" s="204">
        <f>+IFERROR(VALUE(MID(AB2694,4,4)),"")</f>
        <v>13</v>
      </c>
      <c r="B2694" s="204">
        <f>VALUE(RIGHT(C2694,LEN(C2694)-2))</f>
        <v>37</v>
      </c>
      <c r="C2694" s="74" t="s">
        <v>9142</v>
      </c>
      <c r="D2694" s="75">
        <v>40442</v>
      </c>
      <c r="E2694" s="70" t="s">
        <v>63</v>
      </c>
      <c r="F2694" s="82" t="s">
        <v>685</v>
      </c>
      <c r="G2694" s="68" t="s">
        <v>9143</v>
      </c>
      <c r="H2694" s="59"/>
      <c r="I2694" s="162" t="s">
        <v>9144</v>
      </c>
      <c r="J2694" s="272"/>
      <c r="K2694" s="71" t="s">
        <v>64</v>
      </c>
      <c r="L2694" s="69" t="s">
        <v>120</v>
      </c>
      <c r="M2694" s="69" t="s">
        <v>141</v>
      </c>
      <c r="N2694" s="69" t="e" vm="1">
        <v>#VALUE!</v>
      </c>
      <c r="O2694" s="164">
        <v>40453</v>
      </c>
      <c r="P2694" s="72" t="s">
        <v>402</v>
      </c>
      <c r="Q2694" s="72"/>
      <c r="R2694" s="162"/>
      <c r="S2694" s="146"/>
      <c r="T2694" s="68" t="s">
        <v>3</v>
      </c>
      <c r="U2694" s="87"/>
      <c r="V2694" s="183">
        <v>40443</v>
      </c>
      <c r="W2694" s="223">
        <v>19</v>
      </c>
      <c r="X2694" s="73">
        <f>(W2694*33000)/1000000</f>
        <v>0.627</v>
      </c>
      <c r="Y2694" s="73">
        <f>IF(SUM(W2694:W2694)&gt;0,X2694/SUM(W2694:W2694)*1000000,"N/A")</f>
        <v>33000</v>
      </c>
      <c r="Z2694" s="270"/>
      <c r="AA2694" s="270"/>
      <c r="AB2694" s="223" t="s">
        <v>9145</v>
      </c>
      <c r="AC2694" s="153"/>
      <c r="AD2694" s="331"/>
      <c r="AE2694" s="57"/>
      <c r="AF2694" s="151"/>
      <c r="AG2694" s="182">
        <f>YEAR(D2694)</f>
        <v>2010</v>
      </c>
      <c r="AH2694" s="86" t="str">
        <f>+IF(AE2694=$AJ$22,MONTH(T2694),"")</f>
        <v/>
      </c>
      <c r="AI2694" s="86" t="str">
        <f>+IF(AF2694=$AJ$22,MONTH(U2694),"")</f>
        <v/>
      </c>
      <c r="AJ2694" s="86" t="str">
        <f>+IF(AG2694=$AJ$22,MONTH(V2694),"")</f>
        <v/>
      </c>
      <c r="AK2694" s="86" t="str">
        <f>+IF(AG2694=$AK$22,MONTH(V2694),"")</f>
        <v/>
      </c>
      <c r="AL2694" s="86" t="str">
        <f>+IF(AG2694=$AL$22,MONTH(V2694),"")</f>
        <v/>
      </c>
      <c r="AM2694" s="86" t="str">
        <f>+IF($AG2694=$AM$22,MONTH($D2694),"")</f>
        <v/>
      </c>
      <c r="AN2694" s="89" t="str">
        <f>+IF($AG2694=AN$22,MONTH($D2694),"")</f>
        <v/>
      </c>
      <c r="AO2694" s="86" t="str">
        <f>+IF($AG2694=AO$22,MONTH($D2694),"")</f>
        <v/>
      </c>
      <c r="AP2694" s="86" t="str">
        <f>+IF($AG2694=AP$22,MONTH($D2694),"")</f>
        <v/>
      </c>
      <c r="AQ2694" s="86" t="str">
        <f>+IF($AG2694=AQ$22,MONTH($D2694),"")</f>
        <v/>
      </c>
      <c r="AR2694" s="86" t="str">
        <f>+IF($AG2694=AR$22,MONTH($D2694),"")</f>
        <v/>
      </c>
      <c r="AS2694" s="86" t="str">
        <f>+IF($AG2694=AS$22,MONTH($D2694),"")</f>
        <v/>
      </c>
      <c r="AT2694" s="86" t="str">
        <f>+IF($AG2694=AT$22,MONTH($D2694),"")</f>
        <v/>
      </c>
      <c r="AU2694" s="86" t="str">
        <f>+IF($AG2694=AU$22,MONTH($D2694),"")</f>
        <v/>
      </c>
      <c r="AV2694" s="86" t="str">
        <f>+IF($AG2694=AV$22,MONTH($D2694),"")</f>
        <v/>
      </c>
      <c r="AW2694" s="86" t="str">
        <f>+IF($AG2694=AW$22,MONTH($D2694),"")</f>
        <v/>
      </c>
      <c r="AX2694" s="86">
        <f>+IF($AG2694=AX$22,MONTH($D2694),"")</f>
        <v>9</v>
      </c>
      <c r="AY2694" s="89"/>
      <c r="AZ2694" s="89"/>
      <c r="BA2694" s="89"/>
      <c r="BB2694" s="89"/>
      <c r="BC2694" s="89"/>
      <c r="BD2694" s="89"/>
      <c r="BE2694" s="89"/>
      <c r="BF2694" s="89"/>
      <c r="BG2694" s="89"/>
      <c r="BH2694" s="89"/>
      <c r="BI2694" s="89"/>
      <c r="BJ2694" s="182"/>
      <c r="BK2694" s="182"/>
      <c r="BL2694" s="182"/>
      <c r="BM2694" s="182"/>
      <c r="BN2694" s="182"/>
      <c r="BO2694" s="182"/>
      <c r="BP2694" s="182"/>
    </row>
    <row r="2695" spans="1:68" s="51" customFormat="1" ht="19.5" hidden="1" customHeight="1">
      <c r="A2695" s="204" t="str">
        <f>+IFERROR(VALUE(MID(AB2695,4,4)),"")</f>
        <v/>
      </c>
      <c r="B2695" s="204">
        <f>VALUE(RIGHT(C2695,LEN(C2695)-2))</f>
        <v>36</v>
      </c>
      <c r="C2695" s="74" t="s">
        <v>9146</v>
      </c>
      <c r="D2695" s="75">
        <v>40442</v>
      </c>
      <c r="E2695" s="70" t="s">
        <v>15</v>
      </c>
      <c r="F2695" s="82" t="s">
        <v>848</v>
      </c>
      <c r="G2695" s="68" t="s">
        <v>9147</v>
      </c>
      <c r="H2695" s="59"/>
      <c r="I2695" s="162" t="s">
        <v>9148</v>
      </c>
      <c r="J2695" s="272"/>
      <c r="K2695" s="71" t="s">
        <v>13</v>
      </c>
      <c r="L2695" s="69" t="s">
        <v>120</v>
      </c>
      <c r="M2695" s="69" t="s">
        <v>141</v>
      </c>
      <c r="N2695" s="69" t="e" vm="1">
        <v>#VALUE!</v>
      </c>
      <c r="O2695" s="164">
        <v>40453</v>
      </c>
      <c r="P2695" s="72" t="s">
        <v>402</v>
      </c>
      <c r="Q2695" s="72"/>
      <c r="R2695" s="162"/>
      <c r="S2695" s="146"/>
      <c r="T2695" s="68" t="s">
        <v>165</v>
      </c>
      <c r="U2695" s="87"/>
      <c r="V2695" s="183">
        <v>40443</v>
      </c>
      <c r="W2695" s="223">
        <v>1000</v>
      </c>
      <c r="X2695" s="73">
        <f>(W2695*1.5*21351)/1000000</f>
        <v>32.026499999999999</v>
      </c>
      <c r="Y2695" s="73">
        <f>IF(SUM(W2695:W2695)&gt;0,X2695/SUM(W2695:W2695)*1000000,"N/A")</f>
        <v>32026.5</v>
      </c>
      <c r="Z2695" s="270"/>
      <c r="AA2695" s="270"/>
      <c r="AB2695" s="223"/>
      <c r="AC2695" s="153"/>
      <c r="AD2695" s="331"/>
      <c r="AE2695" s="57"/>
      <c r="AF2695" s="151"/>
      <c r="AG2695" s="182">
        <f>YEAR(D2695)</f>
        <v>2010</v>
      </c>
      <c r="AH2695" s="86" t="str">
        <f>+IF(AE2695=$AJ$22,MONTH(T2695),"")</f>
        <v/>
      </c>
      <c r="AI2695" s="86" t="str">
        <f>+IF(AF2695=$AJ$22,MONTH(U2695),"")</f>
        <v/>
      </c>
      <c r="AJ2695" s="86" t="str">
        <f>+IF(AG2695=$AJ$22,MONTH(V2695),"")</f>
        <v/>
      </c>
      <c r="AK2695" s="86" t="str">
        <f>+IF(AG2695=$AK$22,MONTH(V2695),"")</f>
        <v/>
      </c>
      <c r="AL2695" s="86" t="str">
        <f>+IF(AG2695=$AL$22,MONTH(V2695),"")</f>
        <v/>
      </c>
      <c r="AM2695" s="86" t="str">
        <f>+IF($AG2695=$AM$22,MONTH($D2695),"")</f>
        <v/>
      </c>
      <c r="AN2695" s="89" t="str">
        <f>+IF($AG2695=AN$22,MONTH($D2695),"")</f>
        <v/>
      </c>
      <c r="AO2695" s="184" t="str">
        <f>+IF($AG2695=AO$22,MONTH($D2695),"")</f>
        <v/>
      </c>
      <c r="AP2695" s="184" t="str">
        <f>+IF($AG2695=AP$22,MONTH($D2695),"")</f>
        <v/>
      </c>
      <c r="AQ2695" s="184" t="str">
        <f>+IF($AG2695=AQ$22,MONTH($D2695),"")</f>
        <v/>
      </c>
      <c r="AR2695" s="184" t="str">
        <f>+IF($AG2695=AR$22,MONTH($D2695),"")</f>
        <v/>
      </c>
      <c r="AS2695" s="184" t="str">
        <f>+IF($AG2695=AS$22,MONTH($D2695),"")</f>
        <v/>
      </c>
      <c r="AT2695" s="86" t="str">
        <f>+IF($AG2695=AT$22,MONTH($D2695),"")</f>
        <v/>
      </c>
      <c r="AU2695" s="86" t="str">
        <f>+IF($AG2695=AU$22,MONTH($D2695),"")</f>
        <v/>
      </c>
      <c r="AV2695" s="86" t="str">
        <f>+IF($AG2695=AV$22,MONTH($D2695),"")</f>
        <v/>
      </c>
      <c r="AW2695" s="86" t="str">
        <f>+IF($AG2695=AW$22,MONTH($D2695),"")</f>
        <v/>
      </c>
      <c r="AX2695" s="86">
        <f>+IF($AG2695=AX$22,MONTH($D2695),"")</f>
        <v>9</v>
      </c>
      <c r="AY2695" s="89"/>
      <c r="AZ2695" s="89"/>
      <c r="BA2695" s="89"/>
      <c r="BB2695" s="89"/>
      <c r="BC2695" s="89"/>
      <c r="BD2695" s="89"/>
      <c r="BE2695" s="89"/>
      <c r="BF2695" s="89"/>
      <c r="BG2695" s="89"/>
      <c r="BH2695" s="89"/>
      <c r="BI2695" s="89"/>
      <c r="BJ2695" s="182"/>
      <c r="BK2695" s="182"/>
      <c r="BL2695" s="182"/>
      <c r="BM2695" s="182"/>
      <c r="BN2695" s="182"/>
      <c r="BO2695" s="182"/>
      <c r="BP2695" s="182"/>
    </row>
    <row r="2696" spans="1:68" s="51" customFormat="1" ht="19.5" hidden="1" customHeight="1">
      <c r="A2696" s="204" t="str">
        <f>+IFERROR(VALUE(MID(AB2696,4,4)),"")</f>
        <v/>
      </c>
      <c r="B2696" s="204">
        <f>VALUE(RIGHT(C2696,LEN(C2696)-2))</f>
        <v>35</v>
      </c>
      <c r="C2696" s="74" t="s">
        <v>9149</v>
      </c>
      <c r="D2696" s="75">
        <v>40435</v>
      </c>
      <c r="E2696" s="70" t="s">
        <v>15</v>
      </c>
      <c r="F2696" s="82" t="s">
        <v>848</v>
      </c>
      <c r="G2696" s="68" t="s">
        <v>9150</v>
      </c>
      <c r="H2696" s="59"/>
      <c r="I2696" s="162" t="s">
        <v>9151</v>
      </c>
      <c r="J2696" s="272"/>
      <c r="K2696" s="71" t="s">
        <v>11</v>
      </c>
      <c r="L2696" s="69" t="s">
        <v>120</v>
      </c>
      <c r="M2696" s="69" t="s">
        <v>141</v>
      </c>
      <c r="N2696" s="69" t="e" vm="1">
        <v>#VALUE!</v>
      </c>
      <c r="O2696" s="164">
        <v>40444</v>
      </c>
      <c r="P2696" s="72" t="s">
        <v>402</v>
      </c>
      <c r="Q2696" s="72"/>
      <c r="R2696" s="162"/>
      <c r="S2696" s="146" t="s">
        <v>9152</v>
      </c>
      <c r="T2696" s="68" t="s">
        <v>165</v>
      </c>
      <c r="U2696" s="87"/>
      <c r="V2696" s="183">
        <v>40435</v>
      </c>
      <c r="W2696" s="223">
        <v>500</v>
      </c>
      <c r="X2696" s="73">
        <f>((250*40000)+(250*25000))/1000000</f>
        <v>16.25</v>
      </c>
      <c r="Y2696" s="73">
        <f>IF(SUM(W2696:W2696)&gt;0,X2696/SUM(W2696:W2696)*1000000,"N/A")</f>
        <v>32500</v>
      </c>
      <c r="Z2696" s="270"/>
      <c r="AA2696" s="270"/>
      <c r="AB2696" s="223"/>
      <c r="AC2696" s="153"/>
      <c r="AD2696" s="331"/>
      <c r="AE2696" s="57"/>
      <c r="AF2696" s="151"/>
      <c r="AG2696" s="182">
        <f>YEAR(D2696)</f>
        <v>2010</v>
      </c>
      <c r="AH2696" s="86" t="str">
        <f>+IF(AE2696=$AJ$22,MONTH(T2696),"")</f>
        <v/>
      </c>
      <c r="AI2696" s="86" t="str">
        <f>+IF(AF2696=$AJ$22,MONTH(U2696),"")</f>
        <v/>
      </c>
      <c r="AJ2696" s="86" t="str">
        <f>+IF(AG2696=$AJ$22,MONTH(V2696),"")</f>
        <v/>
      </c>
      <c r="AK2696" s="86" t="str">
        <f>+IF(AG2696=$AK$22,MONTH(V2696),"")</f>
        <v/>
      </c>
      <c r="AL2696" s="86" t="str">
        <f>+IF(AG2696=$AL$22,MONTH(V2696),"")</f>
        <v/>
      </c>
      <c r="AM2696" s="86" t="str">
        <f>+IF($AG2696=$AM$22,MONTH($D2696),"")</f>
        <v/>
      </c>
      <c r="AN2696" s="89" t="str">
        <f>+IF($AG2696=AN$22,MONTH($D2696),"")</f>
        <v/>
      </c>
      <c r="AO2696" s="184" t="str">
        <f>+IF($AG2696=AO$22,MONTH($D2696),"")</f>
        <v/>
      </c>
      <c r="AP2696" s="184" t="str">
        <f>+IF($AG2696=AP$22,MONTH($D2696),"")</f>
        <v/>
      </c>
      <c r="AQ2696" s="184" t="str">
        <f>+IF($AG2696=AQ$22,MONTH($D2696),"")</f>
        <v/>
      </c>
      <c r="AR2696" s="184" t="str">
        <f>+IF($AG2696=AR$22,MONTH($D2696),"")</f>
        <v/>
      </c>
      <c r="AS2696" s="184" t="str">
        <f>+IF($AG2696=AS$22,MONTH($D2696),"")</f>
        <v/>
      </c>
      <c r="AT2696" s="86" t="str">
        <f>+IF($AG2696=AT$22,MONTH($D2696),"")</f>
        <v/>
      </c>
      <c r="AU2696" s="86" t="str">
        <f>+IF($AG2696=AU$22,MONTH($D2696),"")</f>
        <v/>
      </c>
      <c r="AV2696" s="86" t="str">
        <f>+IF($AG2696=AV$22,MONTH($D2696),"")</f>
        <v/>
      </c>
      <c r="AW2696" s="86" t="str">
        <f>+IF($AG2696=AW$22,MONTH($D2696),"")</f>
        <v/>
      </c>
      <c r="AX2696" s="86">
        <f>+IF($AG2696=AX$22,MONTH($D2696),"")</f>
        <v>9</v>
      </c>
      <c r="AY2696" s="182"/>
      <c r="AZ2696" s="2"/>
      <c r="BA2696" s="2"/>
      <c r="BB2696" s="2"/>
      <c r="BC2696" s="2"/>
      <c r="BD2696" s="2"/>
      <c r="BE2696" s="2"/>
      <c r="BF2696" s="2"/>
      <c r="BG2696" s="2"/>
      <c r="BH2696" s="2"/>
      <c r="BI2696" s="2"/>
      <c r="BJ2696" s="182"/>
      <c r="BK2696" s="182"/>
      <c r="BL2696" s="182"/>
      <c r="BM2696" s="182"/>
      <c r="BN2696" s="182"/>
      <c r="BO2696" s="182"/>
      <c r="BP2696" s="182"/>
    </row>
    <row r="2697" spans="1:68" s="51" customFormat="1" ht="19.5" hidden="1" customHeight="1">
      <c r="A2697" s="204" t="str">
        <f>+IFERROR(VALUE(MID(AB2697,4,4)),"")</f>
        <v/>
      </c>
      <c r="B2697" s="204">
        <f>VALUE(RIGHT(C2697,LEN(C2697)-2))</f>
        <v>34</v>
      </c>
      <c r="C2697" s="74" t="s">
        <v>9153</v>
      </c>
      <c r="D2697" s="75">
        <v>40442</v>
      </c>
      <c r="E2697" s="70" t="s">
        <v>93</v>
      </c>
      <c r="F2697" s="82" t="s">
        <v>313</v>
      </c>
      <c r="G2697" s="68" t="s">
        <v>9154</v>
      </c>
      <c r="H2697" s="59"/>
      <c r="I2697" s="162" t="s">
        <v>8747</v>
      </c>
      <c r="J2697" s="162"/>
      <c r="K2697" s="68" t="s">
        <v>11</v>
      </c>
      <c r="L2697" s="69" t="s">
        <v>120</v>
      </c>
      <c r="M2697" s="69" t="s">
        <v>141</v>
      </c>
      <c r="N2697" s="69" t="e" vm="1">
        <v>#VALUE!</v>
      </c>
      <c r="O2697" s="164">
        <v>40455</v>
      </c>
      <c r="P2697" s="72" t="s">
        <v>402</v>
      </c>
      <c r="Q2697" s="72"/>
      <c r="R2697" s="162"/>
      <c r="S2697" s="146"/>
      <c r="T2697" s="68" t="s">
        <v>165</v>
      </c>
      <c r="U2697" s="87"/>
      <c r="V2697" s="183">
        <v>40435</v>
      </c>
      <c r="W2697" s="223">
        <v>5000</v>
      </c>
      <c r="X2697" s="73">
        <f>(W2697*1.5*21351)/1000000</f>
        <v>160.13249999999999</v>
      </c>
      <c r="Y2697" s="73">
        <f>IF(SUM(W2697:W2697)&gt;0,X2697/SUM(W2697:W2697)*1000000,"N/A")</f>
        <v>32026.5</v>
      </c>
      <c r="Z2697" s="270"/>
      <c r="AA2697" s="270"/>
      <c r="AB2697" s="223"/>
      <c r="AC2697" s="153"/>
      <c r="AD2697" s="331"/>
      <c r="AE2697" s="57"/>
      <c r="AF2697" s="151"/>
      <c r="AG2697" s="182">
        <f>YEAR(D2697)</f>
        <v>2010</v>
      </c>
      <c r="AH2697" s="86" t="str">
        <f>+IF(AE2697=$AJ$22,MONTH(T2697),"")</f>
        <v/>
      </c>
      <c r="AI2697" s="86" t="str">
        <f>+IF(AF2697=$AJ$22,MONTH(U2697),"")</f>
        <v/>
      </c>
      <c r="AJ2697" s="86" t="str">
        <f>+IF(AG2697=$AJ$22,MONTH(V2697),"")</f>
        <v/>
      </c>
      <c r="AK2697" s="86" t="str">
        <f>+IF(AG2697=$AK$22,MONTH(V2697),"")</f>
        <v/>
      </c>
      <c r="AL2697" s="86" t="str">
        <f>+IF(AG2697=$AL$22,MONTH(V2697),"")</f>
        <v/>
      </c>
      <c r="AM2697" s="86" t="str">
        <f>+IF($AG2697=$AM$22,MONTH($D2697),"")</f>
        <v/>
      </c>
      <c r="AN2697" s="89" t="str">
        <f>+IF($AG2697=AN$22,MONTH($D2697),"")</f>
        <v/>
      </c>
      <c r="AO2697" s="184" t="str">
        <f>+IF($AG2697=AO$22,MONTH($D2697),"")</f>
        <v/>
      </c>
      <c r="AP2697" s="184" t="str">
        <f>+IF($AG2697=AP$22,MONTH($D2697),"")</f>
        <v/>
      </c>
      <c r="AQ2697" s="184" t="str">
        <f>+IF($AG2697=AQ$22,MONTH($D2697),"")</f>
        <v/>
      </c>
      <c r="AR2697" s="184" t="str">
        <f>+IF($AG2697=AR$22,MONTH($D2697),"")</f>
        <v/>
      </c>
      <c r="AS2697" s="184" t="str">
        <f>+IF($AG2697=AS$22,MONTH($D2697),"")</f>
        <v/>
      </c>
      <c r="AT2697" s="86" t="str">
        <f>+IF($AG2697=AT$22,MONTH($D2697),"")</f>
        <v/>
      </c>
      <c r="AU2697" s="86" t="str">
        <f>+IF($AG2697=AU$22,MONTH($D2697),"")</f>
        <v/>
      </c>
      <c r="AV2697" s="86" t="str">
        <f>+IF($AG2697=AV$22,MONTH($D2697),"")</f>
        <v/>
      </c>
      <c r="AW2697" s="86" t="str">
        <f>+IF($AG2697=AW$22,MONTH($D2697),"")</f>
        <v/>
      </c>
      <c r="AX2697" s="86">
        <f>+IF($AG2697=AX$22,MONTH($D2697),"")</f>
        <v>9</v>
      </c>
      <c r="AY2697" s="89"/>
      <c r="AZ2697" s="89"/>
      <c r="BA2697" s="89"/>
      <c r="BB2697" s="89"/>
      <c r="BC2697" s="89"/>
      <c r="BD2697" s="89"/>
      <c r="BE2697" s="89"/>
      <c r="BF2697" s="89"/>
      <c r="BG2697" s="89"/>
      <c r="BH2697" s="89"/>
      <c r="BI2697" s="89"/>
      <c r="BJ2697" s="182"/>
      <c r="BK2697" s="182"/>
      <c r="BL2697" s="182"/>
      <c r="BM2697" s="182"/>
      <c r="BN2697" s="182"/>
      <c r="BO2697" s="182"/>
      <c r="BP2697" s="182"/>
    </row>
    <row r="2698" spans="1:68" s="51" customFormat="1" ht="19.5" hidden="1" customHeight="1">
      <c r="A2698" s="204">
        <f>+IFERROR(VALUE(MID(AB2698,4,4)),"")</f>
        <v>12</v>
      </c>
      <c r="B2698" s="204">
        <f>VALUE(RIGHT(C2698,LEN(C2698)-2))</f>
        <v>33</v>
      </c>
      <c r="C2698" s="74" t="s">
        <v>9155</v>
      </c>
      <c r="D2698" s="75">
        <v>40428</v>
      </c>
      <c r="E2698" s="70" t="s">
        <v>2961</v>
      </c>
      <c r="F2698" s="82" t="s">
        <v>9156</v>
      </c>
      <c r="G2698" s="68" t="s">
        <v>9157</v>
      </c>
      <c r="H2698" s="59"/>
      <c r="I2698" s="162" t="s">
        <v>9158</v>
      </c>
      <c r="J2698" s="162"/>
      <c r="K2698" s="68" t="s">
        <v>11</v>
      </c>
      <c r="L2698" s="69" t="s">
        <v>120</v>
      </c>
      <c r="M2698" s="69" t="s">
        <v>141</v>
      </c>
      <c r="N2698" s="69" t="e" vm="1">
        <v>#VALUE!</v>
      </c>
      <c r="O2698" s="164">
        <v>40434</v>
      </c>
      <c r="P2698" s="72" t="s">
        <v>402</v>
      </c>
      <c r="Q2698" s="72"/>
      <c r="R2698" s="162"/>
      <c r="S2698" s="146" t="s">
        <v>9159</v>
      </c>
      <c r="T2698" s="68" t="s">
        <v>3</v>
      </c>
      <c r="U2698" s="87"/>
      <c r="V2698" s="183">
        <v>40435</v>
      </c>
      <c r="W2698" s="223">
        <v>90</v>
      </c>
      <c r="X2698" s="73">
        <f>90*2*21351/1000000</f>
        <v>3.8431799999999998</v>
      </c>
      <c r="Y2698" s="73">
        <f>IF(SUM(W2698:W2698)&gt;0,X2698/SUM(W2698:W2698)*1000000,"N/A")</f>
        <v>42702</v>
      </c>
      <c r="Z2698" s="270"/>
      <c r="AA2698" s="270"/>
      <c r="AB2698" s="223" t="s">
        <v>9160</v>
      </c>
      <c r="AC2698" s="153"/>
      <c r="AD2698" s="331"/>
      <c r="AE2698" s="57"/>
      <c r="AF2698" s="151"/>
      <c r="AG2698" s="182">
        <f>YEAR(D2698)</f>
        <v>2010</v>
      </c>
      <c r="AH2698" s="86" t="str">
        <f>+IF(AE2698=$AJ$22,MONTH(T2698),"")</f>
        <v/>
      </c>
      <c r="AI2698" s="86" t="str">
        <f>+IF(AF2698=$AJ$22,MONTH(U2698),"")</f>
        <v/>
      </c>
      <c r="AJ2698" s="86" t="str">
        <f>+IF(AG2698=$AJ$22,MONTH(V2698),"")</f>
        <v/>
      </c>
      <c r="AK2698" s="86" t="str">
        <f>+IF(AG2698=$AK$22,MONTH(V2698),"")</f>
        <v/>
      </c>
      <c r="AL2698" s="86" t="str">
        <f>+IF(AG2698=$AL$22,MONTH(V2698),"")</f>
        <v/>
      </c>
      <c r="AM2698" s="86" t="str">
        <f>+IF($AG2698=$AM$22,MONTH($D2698),"")</f>
        <v/>
      </c>
      <c r="AN2698" s="89" t="str">
        <f>+IF($AG2698=AN$22,MONTH($D2698),"")</f>
        <v/>
      </c>
      <c r="AO2698" s="86" t="str">
        <f>+IF($AG2698=AO$22,MONTH($D2698),"")</f>
        <v/>
      </c>
      <c r="AP2698" s="86" t="str">
        <f>+IF($AG2698=AP$22,MONTH($D2698),"")</f>
        <v/>
      </c>
      <c r="AQ2698" s="86" t="str">
        <f>+IF($AG2698=AQ$22,MONTH($D2698),"")</f>
        <v/>
      </c>
      <c r="AR2698" s="86" t="str">
        <f>+IF($AG2698=AR$22,MONTH($D2698),"")</f>
        <v/>
      </c>
      <c r="AS2698" s="86" t="str">
        <f>+IF($AG2698=AS$22,MONTH($D2698),"")</f>
        <v/>
      </c>
      <c r="AT2698" s="86" t="str">
        <f>+IF($AG2698=AT$22,MONTH($D2698),"")</f>
        <v/>
      </c>
      <c r="AU2698" s="86" t="str">
        <f>+IF($AG2698=AU$22,MONTH($D2698),"")</f>
        <v/>
      </c>
      <c r="AV2698" s="86" t="str">
        <f>+IF($AG2698=AV$22,MONTH($D2698),"")</f>
        <v/>
      </c>
      <c r="AW2698" s="86" t="str">
        <f>+IF($AG2698=AW$22,MONTH($D2698),"")</f>
        <v/>
      </c>
      <c r="AX2698" s="86">
        <f>+IF($AG2698=AX$22,MONTH($D2698),"")</f>
        <v>9</v>
      </c>
      <c r="AY2698" s="89"/>
      <c r="AZ2698" s="89"/>
      <c r="BA2698" s="89"/>
      <c r="BB2698" s="89"/>
      <c r="BC2698" s="89"/>
      <c r="BD2698" s="89"/>
      <c r="BE2698" s="89"/>
      <c r="BF2698" s="89"/>
      <c r="BG2698" s="89"/>
      <c r="BH2698" s="89"/>
      <c r="BI2698" s="89"/>
      <c r="BJ2698" s="182"/>
      <c r="BK2698" s="182"/>
      <c r="BL2698" s="182"/>
      <c r="BM2698" s="182"/>
      <c r="BN2698" s="182"/>
      <c r="BO2698" s="182"/>
      <c r="BP2698" s="182"/>
    </row>
    <row r="2699" spans="1:68" s="51" customFormat="1" ht="19.5" hidden="1" customHeight="1">
      <c r="A2699" s="204" t="str">
        <f>+IFERROR(VALUE(MID(AB2699,4,4)),"")</f>
        <v/>
      </c>
      <c r="B2699" s="204">
        <f>VALUE(RIGHT(C2699,LEN(C2699)-2))</f>
        <v>32</v>
      </c>
      <c r="C2699" s="74" t="s">
        <v>9161</v>
      </c>
      <c r="D2699" s="75">
        <v>40416</v>
      </c>
      <c r="E2699" s="70" t="s">
        <v>8776</v>
      </c>
      <c r="F2699" s="82" t="s">
        <v>9162</v>
      </c>
      <c r="G2699" s="68" t="s">
        <v>936</v>
      </c>
      <c r="H2699" s="59"/>
      <c r="I2699" s="162" t="s">
        <v>9163</v>
      </c>
      <c r="J2699" s="272"/>
      <c r="K2699" s="71" t="s">
        <v>12</v>
      </c>
      <c r="L2699" s="69" t="s">
        <v>120</v>
      </c>
      <c r="M2699" s="69" t="s">
        <v>141</v>
      </c>
      <c r="N2699" s="69" t="e" vm="1">
        <v>#VALUE!</v>
      </c>
      <c r="O2699" s="164">
        <v>40421</v>
      </c>
      <c r="P2699" s="72" t="s">
        <v>402</v>
      </c>
      <c r="Q2699" s="72"/>
      <c r="R2699" s="162"/>
      <c r="S2699" s="146" t="s">
        <v>9164</v>
      </c>
      <c r="T2699" s="68" t="s">
        <v>165</v>
      </c>
      <c r="U2699" s="87"/>
      <c r="V2699" s="183">
        <v>40437</v>
      </c>
      <c r="W2699" s="223">
        <v>535</v>
      </c>
      <c r="X2699" s="73">
        <f>+(471+358)*21350/1000000</f>
        <v>17.699149999999999</v>
      </c>
      <c r="Y2699" s="73">
        <f>IF(SUM(W2699:W2699)&gt;0,X2699/SUM(W2699:W2699)*1000000,"N/A")</f>
        <v>33082.523364485976</v>
      </c>
      <c r="Z2699" s="270"/>
      <c r="AA2699" s="270"/>
      <c r="AB2699" s="223"/>
      <c r="AC2699" s="153"/>
      <c r="AD2699" s="331"/>
      <c r="AE2699" s="57"/>
      <c r="AF2699" s="151"/>
      <c r="AG2699" s="182">
        <f>YEAR(D2699)</f>
        <v>2010</v>
      </c>
      <c r="AH2699" s="86" t="str">
        <f>+IF(AE2699=$AJ$22,MONTH(T2699),"")</f>
        <v/>
      </c>
      <c r="AI2699" s="86" t="str">
        <f>+IF(AF2699=$AJ$22,MONTH(U2699),"")</f>
        <v/>
      </c>
      <c r="AJ2699" s="86" t="str">
        <f>+IF(AG2699=$AJ$22,MONTH(V2699),"")</f>
        <v/>
      </c>
      <c r="AK2699" s="86" t="str">
        <f>+IF(AG2699=$AK$22,MONTH(V2699),"")</f>
        <v/>
      </c>
      <c r="AL2699" s="86" t="str">
        <f>+IF(AG2699=$AL$22,MONTH(V2699),"")</f>
        <v/>
      </c>
      <c r="AM2699" s="86" t="str">
        <f>+IF($AG2699=$AM$22,MONTH($D2699),"")</f>
        <v/>
      </c>
      <c r="AN2699" s="89" t="str">
        <f>+IF($AG2699=AN$22,MONTH($D2699),"")</f>
        <v/>
      </c>
      <c r="AO2699" s="184" t="str">
        <f>+IF($AG2699=AO$22,MONTH($D2699),"")</f>
        <v/>
      </c>
      <c r="AP2699" s="184" t="str">
        <f>+IF($AG2699=AP$22,MONTH($D2699),"")</f>
        <v/>
      </c>
      <c r="AQ2699" s="184" t="str">
        <f>+IF($AG2699=AQ$22,MONTH($D2699),"")</f>
        <v/>
      </c>
      <c r="AR2699" s="184" t="str">
        <f>+IF($AG2699=AR$22,MONTH($D2699),"")</f>
        <v/>
      </c>
      <c r="AS2699" s="184" t="str">
        <f>+IF($AG2699=AS$22,MONTH($D2699),"")</f>
        <v/>
      </c>
      <c r="AT2699" s="86" t="str">
        <f>+IF($AG2699=AT$22,MONTH($D2699),"")</f>
        <v/>
      </c>
      <c r="AU2699" s="86" t="str">
        <f>+IF($AG2699=AU$22,MONTH($D2699),"")</f>
        <v/>
      </c>
      <c r="AV2699" s="86" t="str">
        <f>+IF($AG2699=AV$22,MONTH($D2699),"")</f>
        <v/>
      </c>
      <c r="AW2699" s="86" t="str">
        <f>+IF($AG2699=AW$22,MONTH($D2699),"")</f>
        <v/>
      </c>
      <c r="AX2699" s="86">
        <f>+IF($AG2699=AX$22,MONTH($D2699),"")</f>
        <v>8</v>
      </c>
      <c r="AY2699" s="89"/>
      <c r="AZ2699" s="89"/>
      <c r="BA2699" s="89"/>
      <c r="BB2699" s="89"/>
      <c r="BC2699" s="89"/>
      <c r="BD2699" s="89"/>
      <c r="BE2699" s="89"/>
      <c r="BF2699" s="89"/>
      <c r="BG2699" s="89"/>
      <c r="BH2699" s="89"/>
      <c r="BI2699" s="89"/>
      <c r="BJ2699" s="182"/>
      <c r="BK2699" s="182"/>
      <c r="BL2699" s="182"/>
      <c r="BM2699" s="182"/>
      <c r="BN2699" s="182"/>
      <c r="BO2699" s="182"/>
      <c r="BP2699" s="182"/>
    </row>
    <row r="2700" spans="1:68" s="51" customFormat="1" ht="19.5" hidden="1" customHeight="1">
      <c r="A2700" s="204" t="str">
        <f>+IFERROR(VALUE(MID(AB2700,4,4)),"")</f>
        <v/>
      </c>
      <c r="B2700" s="204">
        <f>VALUE(RIGHT(C2700,LEN(C2700)-2))</f>
        <v>31</v>
      </c>
      <c r="C2700" s="74" t="s">
        <v>9165</v>
      </c>
      <c r="D2700" s="75">
        <v>40410</v>
      </c>
      <c r="E2700" s="70" t="s">
        <v>9166</v>
      </c>
      <c r="F2700" s="70" t="s">
        <v>313</v>
      </c>
      <c r="G2700" s="68" t="s">
        <v>9167</v>
      </c>
      <c r="H2700" s="59"/>
      <c r="I2700" s="162" t="s">
        <v>9168</v>
      </c>
      <c r="J2700" s="272"/>
      <c r="K2700" s="71" t="s">
        <v>31</v>
      </c>
      <c r="L2700" s="69" t="s">
        <v>120</v>
      </c>
      <c r="M2700" s="69" t="s">
        <v>141</v>
      </c>
      <c r="N2700" s="69" t="e" vm="1">
        <v>#VALUE!</v>
      </c>
      <c r="O2700" s="164">
        <v>40410</v>
      </c>
      <c r="P2700" s="72" t="s">
        <v>402</v>
      </c>
      <c r="Q2700" s="72"/>
      <c r="R2700" s="162"/>
      <c r="S2700" s="146" t="s">
        <v>9169</v>
      </c>
      <c r="T2700" s="68" t="s">
        <v>165</v>
      </c>
      <c r="U2700" s="87"/>
      <c r="V2700" s="183">
        <v>40435</v>
      </c>
      <c r="W2700" s="223">
        <v>200</v>
      </c>
      <c r="X2700" s="73">
        <f>(W2700/2*42000+W2700/2*21000*0.8)/1000000</f>
        <v>5.88</v>
      </c>
      <c r="Y2700" s="73">
        <f>IF(SUM(W2700:W2700)&gt;0,X2700/SUM(W2700:W2700)*1000000,"N/A")</f>
        <v>29400</v>
      </c>
      <c r="Z2700" s="270"/>
      <c r="AA2700" s="270"/>
      <c r="AB2700" s="223"/>
      <c r="AC2700" s="153"/>
      <c r="AD2700" s="331"/>
      <c r="AE2700" s="57"/>
      <c r="AF2700" s="151"/>
      <c r="AG2700" s="182">
        <f>YEAR(D2700)</f>
        <v>2010</v>
      </c>
      <c r="AH2700" s="86" t="str">
        <f>+IF(AE2700=$AJ$22,MONTH(T2700),"")</f>
        <v/>
      </c>
      <c r="AI2700" s="86" t="str">
        <f>+IF(AF2700=$AJ$22,MONTH(U2700),"")</f>
        <v/>
      </c>
      <c r="AJ2700" s="86" t="str">
        <f>+IF(AG2700=$AJ$22,MONTH(V2700),"")</f>
        <v/>
      </c>
      <c r="AK2700" s="86" t="str">
        <f>+IF(AG2700=$AK$22,MONTH(V2700),"")</f>
        <v/>
      </c>
      <c r="AL2700" s="86" t="str">
        <f>+IF(AG2700=$AL$22,MONTH(V2700),"")</f>
        <v/>
      </c>
      <c r="AM2700" s="86" t="str">
        <f>+IF($AG2700=$AM$22,MONTH($D2700),"")</f>
        <v/>
      </c>
      <c r="AN2700" s="89" t="str">
        <f>+IF($AG2700=AN$22,MONTH($D2700),"")</f>
        <v/>
      </c>
      <c r="AO2700" s="184" t="str">
        <f>+IF($AG2700=AO$22,MONTH($D2700),"")</f>
        <v/>
      </c>
      <c r="AP2700" s="184" t="str">
        <f>+IF($AG2700=AP$22,MONTH($D2700),"")</f>
        <v/>
      </c>
      <c r="AQ2700" s="184" t="str">
        <f>+IF($AG2700=AQ$22,MONTH($D2700),"")</f>
        <v/>
      </c>
      <c r="AR2700" s="184" t="str">
        <f>+IF($AG2700=AR$22,MONTH($D2700),"")</f>
        <v/>
      </c>
      <c r="AS2700" s="184" t="str">
        <f>+IF($AG2700=AS$22,MONTH($D2700),"")</f>
        <v/>
      </c>
      <c r="AT2700" s="86" t="str">
        <f>+IF($AG2700=AT$22,MONTH($D2700),"")</f>
        <v/>
      </c>
      <c r="AU2700" s="86" t="str">
        <f>+IF($AG2700=AU$22,MONTH($D2700),"")</f>
        <v/>
      </c>
      <c r="AV2700" s="86" t="str">
        <f>+IF($AG2700=AV$22,MONTH($D2700),"")</f>
        <v/>
      </c>
      <c r="AW2700" s="86" t="str">
        <f>+IF($AG2700=AW$22,MONTH($D2700),"")</f>
        <v/>
      </c>
      <c r="AX2700" s="86">
        <f>+IF($AG2700=AX$22,MONTH($D2700),"")</f>
        <v>8</v>
      </c>
      <c r="AY2700" s="89"/>
      <c r="AZ2700" s="89"/>
      <c r="BA2700" s="89"/>
      <c r="BB2700" s="89"/>
      <c r="BC2700" s="89"/>
      <c r="BD2700" s="89"/>
      <c r="BE2700" s="89"/>
      <c r="BF2700" s="89"/>
      <c r="BG2700" s="89"/>
      <c r="BH2700" s="89"/>
      <c r="BI2700" s="89"/>
      <c r="BJ2700" s="182"/>
      <c r="BK2700" s="182"/>
      <c r="BL2700" s="182"/>
      <c r="BM2700" s="182"/>
      <c r="BN2700" s="182"/>
      <c r="BO2700" s="182"/>
      <c r="BP2700" s="182"/>
    </row>
    <row r="2701" spans="1:68" s="51" customFormat="1" ht="19.5" hidden="1" customHeight="1">
      <c r="A2701" s="204" t="str">
        <f>+IFERROR(VALUE(MID(AB2701,4,4)),"")</f>
        <v/>
      </c>
      <c r="B2701" s="204">
        <f>VALUE(RIGHT(C2701,LEN(C2701)-2))</f>
        <v>30</v>
      </c>
      <c r="C2701" s="74" t="s">
        <v>9170</v>
      </c>
      <c r="D2701" s="75">
        <v>40410</v>
      </c>
      <c r="E2701" s="70" t="s">
        <v>9166</v>
      </c>
      <c r="F2701" s="70" t="s">
        <v>313</v>
      </c>
      <c r="G2701" s="68" t="s">
        <v>9167</v>
      </c>
      <c r="H2701" s="59"/>
      <c r="I2701" s="162" t="s">
        <v>9171</v>
      </c>
      <c r="J2701" s="272"/>
      <c r="K2701" s="71" t="s">
        <v>31</v>
      </c>
      <c r="L2701" s="69" t="s">
        <v>120</v>
      </c>
      <c r="M2701" s="69" t="s">
        <v>141</v>
      </c>
      <c r="N2701" s="69" t="e" vm="1">
        <v>#VALUE!</v>
      </c>
      <c r="O2701" s="164">
        <v>40410</v>
      </c>
      <c r="P2701" s="72" t="s">
        <v>402</v>
      </c>
      <c r="Q2701" s="72"/>
      <c r="R2701" s="162"/>
      <c r="S2701" s="146" t="s">
        <v>9172</v>
      </c>
      <c r="T2701" s="68" t="s">
        <v>165</v>
      </c>
      <c r="U2701" s="87"/>
      <c r="V2701" s="183">
        <v>40435</v>
      </c>
      <c r="W2701" s="223">
        <v>440</v>
      </c>
      <c r="X2701" s="73">
        <f>14000000/1000000</f>
        <v>14</v>
      </c>
      <c r="Y2701" s="73">
        <f>IF(SUM(W2701:W2701)&gt;0,X2701/SUM(W2701:W2701)*1000000,"N/A")</f>
        <v>31818.181818181816</v>
      </c>
      <c r="Z2701" s="270"/>
      <c r="AA2701" s="270"/>
      <c r="AB2701" s="223"/>
      <c r="AC2701" s="153"/>
      <c r="AD2701" s="331"/>
      <c r="AE2701" s="57"/>
      <c r="AF2701" s="151"/>
      <c r="AG2701" s="182">
        <f>YEAR(D2701)</f>
        <v>2010</v>
      </c>
      <c r="AH2701" s="86" t="str">
        <f>+IF(AE2701=$AJ$22,MONTH(T2701),"")</f>
        <v/>
      </c>
      <c r="AI2701" s="86" t="str">
        <f>+IF(AF2701=$AJ$22,MONTH(U2701),"")</f>
        <v/>
      </c>
      <c r="AJ2701" s="86" t="str">
        <f>+IF(AG2701=$AJ$22,MONTH(V2701),"")</f>
        <v/>
      </c>
      <c r="AK2701" s="86" t="str">
        <f>+IF(AG2701=$AK$22,MONTH(V2701),"")</f>
        <v/>
      </c>
      <c r="AL2701" s="86" t="str">
        <f>+IF(AG2701=$AL$22,MONTH(V2701),"")</f>
        <v/>
      </c>
      <c r="AM2701" s="86" t="str">
        <f>+IF($AG2701=$AM$22,MONTH($D2701),"")</f>
        <v/>
      </c>
      <c r="AN2701" s="89" t="str">
        <f>+IF($AG2701=AN$22,MONTH($D2701),"")</f>
        <v/>
      </c>
      <c r="AO2701" s="184" t="str">
        <f>+IF($AG2701=AO$22,MONTH($D2701),"")</f>
        <v/>
      </c>
      <c r="AP2701" s="184" t="str">
        <f>+IF($AG2701=AP$22,MONTH($D2701),"")</f>
        <v/>
      </c>
      <c r="AQ2701" s="184" t="str">
        <f>+IF($AG2701=AQ$22,MONTH($D2701),"")</f>
        <v/>
      </c>
      <c r="AR2701" s="184" t="str">
        <f>+IF($AG2701=AR$22,MONTH($D2701),"")</f>
        <v/>
      </c>
      <c r="AS2701" s="184" t="str">
        <f>+IF($AG2701=AS$22,MONTH($D2701),"")</f>
        <v/>
      </c>
      <c r="AT2701" s="86" t="str">
        <f>+IF($AG2701=AT$22,MONTH($D2701),"")</f>
        <v/>
      </c>
      <c r="AU2701" s="86" t="str">
        <f>+IF($AG2701=AU$22,MONTH($D2701),"")</f>
        <v/>
      </c>
      <c r="AV2701" s="86" t="str">
        <f>+IF($AG2701=AV$22,MONTH($D2701),"")</f>
        <v/>
      </c>
      <c r="AW2701" s="86" t="str">
        <f>+IF($AG2701=AW$22,MONTH($D2701),"")</f>
        <v/>
      </c>
      <c r="AX2701" s="86">
        <f>+IF($AG2701=AX$22,MONTH($D2701),"")</f>
        <v>8</v>
      </c>
      <c r="AY2701" s="89"/>
      <c r="AZ2701" s="89"/>
      <c r="BA2701" s="89"/>
      <c r="BB2701" s="89"/>
      <c r="BC2701" s="89"/>
      <c r="BD2701" s="89"/>
      <c r="BE2701" s="89"/>
      <c r="BF2701" s="89"/>
      <c r="BG2701" s="89"/>
      <c r="BH2701" s="89"/>
      <c r="BI2701" s="89"/>
      <c r="BJ2701" s="182"/>
      <c r="BK2701" s="182"/>
      <c r="BL2701" s="182"/>
      <c r="BM2701" s="182"/>
      <c r="BN2701" s="182"/>
      <c r="BO2701" s="182"/>
      <c r="BP2701" s="182"/>
    </row>
    <row r="2702" spans="1:68" s="51" customFormat="1" ht="19.5" hidden="1" customHeight="1">
      <c r="A2702" s="204" t="str">
        <f>+IFERROR(VALUE(MID(AB2702,4,4)),"")</f>
        <v/>
      </c>
      <c r="B2702" s="204">
        <f>VALUE(RIGHT(C2702,LEN(C2702)-2))</f>
        <v>29</v>
      </c>
      <c r="C2702" s="74" t="s">
        <v>9173</v>
      </c>
      <c r="D2702" s="75">
        <v>40410</v>
      </c>
      <c r="E2702" s="70" t="s">
        <v>9166</v>
      </c>
      <c r="F2702" s="70" t="s">
        <v>313</v>
      </c>
      <c r="G2702" s="68" t="s">
        <v>9167</v>
      </c>
      <c r="H2702" s="59"/>
      <c r="I2702" s="162" t="s">
        <v>9174</v>
      </c>
      <c r="J2702" s="272"/>
      <c r="K2702" s="71" t="s">
        <v>31</v>
      </c>
      <c r="L2702" s="69" t="s">
        <v>120</v>
      </c>
      <c r="M2702" s="69" t="s">
        <v>141</v>
      </c>
      <c r="N2702" s="69" t="e" vm="1">
        <v>#VALUE!</v>
      </c>
      <c r="O2702" s="164">
        <v>40410</v>
      </c>
      <c r="P2702" s="72" t="s">
        <v>402</v>
      </c>
      <c r="Q2702" s="72"/>
      <c r="R2702" s="162"/>
      <c r="S2702" s="146" t="s">
        <v>9175</v>
      </c>
      <c r="T2702" s="68" t="s">
        <v>165</v>
      </c>
      <c r="U2702" s="87"/>
      <c r="V2702" s="183">
        <v>40435</v>
      </c>
      <c r="W2702" s="223">
        <v>1235</v>
      </c>
      <c r="X2702" s="73">
        <f>41465000/1000000</f>
        <v>41.465000000000003</v>
      </c>
      <c r="Y2702" s="73">
        <f>IF(SUM(W2702:W2702)&gt;0,X2702/SUM(W2702:W2702)*1000000,"N/A")</f>
        <v>33574.898785425103</v>
      </c>
      <c r="Z2702" s="270"/>
      <c r="AA2702" s="270"/>
      <c r="AB2702" s="223"/>
      <c r="AC2702" s="153"/>
      <c r="AD2702" s="331"/>
      <c r="AE2702" s="57"/>
      <c r="AF2702" s="151"/>
      <c r="AG2702" s="182">
        <f>YEAR(D2702)</f>
        <v>2010</v>
      </c>
      <c r="AH2702" s="86" t="str">
        <f>+IF(AE2702=$AJ$22,MONTH(T2702),"")</f>
        <v/>
      </c>
      <c r="AI2702" s="86" t="str">
        <f>+IF(AF2702=$AJ$22,MONTH(U2702),"")</f>
        <v/>
      </c>
      <c r="AJ2702" s="86" t="str">
        <f>+IF(AG2702=$AJ$22,MONTH(V2702),"")</f>
        <v/>
      </c>
      <c r="AK2702" s="86" t="str">
        <f>+IF(AG2702=$AK$22,MONTH(V2702),"")</f>
        <v/>
      </c>
      <c r="AL2702" s="86" t="str">
        <f>+IF(AG2702=$AL$22,MONTH(V2702),"")</f>
        <v/>
      </c>
      <c r="AM2702" s="86" t="str">
        <f>+IF($AG2702=$AM$22,MONTH($D2702),"")</f>
        <v/>
      </c>
      <c r="AN2702" s="89" t="str">
        <f>+IF($AG2702=AN$22,MONTH($D2702),"")</f>
        <v/>
      </c>
      <c r="AO2702" s="184" t="str">
        <f>+IF($AG2702=AO$22,MONTH($D2702),"")</f>
        <v/>
      </c>
      <c r="AP2702" s="184" t="str">
        <f>+IF($AG2702=AP$22,MONTH($D2702),"")</f>
        <v/>
      </c>
      <c r="AQ2702" s="184" t="str">
        <f>+IF($AG2702=AQ$22,MONTH($D2702),"")</f>
        <v/>
      </c>
      <c r="AR2702" s="184" t="str">
        <f>+IF($AG2702=AR$22,MONTH($D2702),"")</f>
        <v/>
      </c>
      <c r="AS2702" s="184" t="str">
        <f>+IF($AG2702=AS$22,MONTH($D2702),"")</f>
        <v/>
      </c>
      <c r="AT2702" s="86" t="str">
        <f>+IF($AG2702=AT$22,MONTH($D2702),"")</f>
        <v/>
      </c>
      <c r="AU2702" s="86" t="str">
        <f>+IF($AG2702=AU$22,MONTH($D2702),"")</f>
        <v/>
      </c>
      <c r="AV2702" s="86" t="str">
        <f>+IF($AG2702=AV$22,MONTH($D2702),"")</f>
        <v/>
      </c>
      <c r="AW2702" s="86" t="str">
        <f>+IF($AG2702=AW$22,MONTH($D2702),"")</f>
        <v/>
      </c>
      <c r="AX2702" s="86">
        <f>+IF($AG2702=AX$22,MONTH($D2702),"")</f>
        <v>8</v>
      </c>
      <c r="AY2702" s="89"/>
      <c r="AZ2702" s="89"/>
      <c r="BA2702" s="89"/>
      <c r="BB2702" s="89"/>
      <c r="BC2702" s="89"/>
      <c r="BD2702" s="89"/>
      <c r="BE2702" s="89"/>
      <c r="BF2702" s="89"/>
      <c r="BG2702" s="89"/>
      <c r="BH2702" s="89"/>
      <c r="BI2702" s="89"/>
      <c r="BJ2702" s="182"/>
      <c r="BK2702" s="182"/>
      <c r="BL2702" s="182"/>
      <c r="BM2702" s="182"/>
      <c r="BN2702" s="182"/>
      <c r="BO2702" s="182"/>
      <c r="BP2702" s="182"/>
    </row>
    <row r="2703" spans="1:68" s="51" customFormat="1" ht="19.5" hidden="1" customHeight="1">
      <c r="A2703" s="204" t="str">
        <f>+IFERROR(VALUE(MID(AB2703,4,4)),"")</f>
        <v/>
      </c>
      <c r="B2703" s="204">
        <f>VALUE(RIGHT(C2703,LEN(C2703)-2))</f>
        <v>28</v>
      </c>
      <c r="C2703" s="74" t="s">
        <v>9176</v>
      </c>
      <c r="D2703" s="75">
        <v>40409</v>
      </c>
      <c r="E2703" s="70" t="s">
        <v>9177</v>
      </c>
      <c r="F2703" s="70" t="s">
        <v>9177</v>
      </c>
      <c r="G2703" s="68" t="s">
        <v>9178</v>
      </c>
      <c r="H2703" s="59"/>
      <c r="I2703" s="162" t="s">
        <v>9179</v>
      </c>
      <c r="J2703" s="162"/>
      <c r="K2703" s="68" t="s">
        <v>12</v>
      </c>
      <c r="L2703" s="69" t="s">
        <v>120</v>
      </c>
      <c r="M2703" s="69" t="s">
        <v>141</v>
      </c>
      <c r="N2703" s="69" t="e" vm="1">
        <v>#VALUE!</v>
      </c>
      <c r="O2703" s="164">
        <v>40417</v>
      </c>
      <c r="P2703" s="72" t="s">
        <v>402</v>
      </c>
      <c r="Q2703" s="72"/>
      <c r="R2703" s="162"/>
      <c r="S2703" s="146" t="s">
        <v>9180</v>
      </c>
      <c r="T2703" s="68" t="s">
        <v>165</v>
      </c>
      <c r="U2703" s="87"/>
      <c r="V2703" s="183">
        <v>40435</v>
      </c>
      <c r="W2703" s="223">
        <v>1000</v>
      </c>
      <c r="X2703" s="73">
        <f>1.5*21350*W2703/1000000</f>
        <v>32.024999999999999</v>
      </c>
      <c r="Y2703" s="73">
        <f>IF(SUM(W2703:W2703)&gt;0,X2703/SUM(W2703:W2703)*1000000,"N/A")</f>
        <v>32024.999999999996</v>
      </c>
      <c r="Z2703" s="270"/>
      <c r="AA2703" s="270"/>
      <c r="AB2703" s="223"/>
      <c r="AC2703" s="153"/>
      <c r="AD2703" s="331"/>
      <c r="AE2703" s="57"/>
      <c r="AF2703" s="151"/>
      <c r="AG2703" s="182">
        <f>YEAR(D2703)</f>
        <v>2010</v>
      </c>
      <c r="AH2703" s="86" t="str">
        <f>+IF(AE2703=$AJ$22,MONTH(T2703),"")</f>
        <v/>
      </c>
      <c r="AI2703" s="86" t="str">
        <f>+IF(AF2703=$AJ$22,MONTH(U2703),"")</f>
        <v/>
      </c>
      <c r="AJ2703" s="86" t="str">
        <f>+IF(AG2703=$AJ$22,MONTH(V2703),"")</f>
        <v/>
      </c>
      <c r="AK2703" s="86" t="str">
        <f>+IF(AG2703=$AK$22,MONTH(V2703),"")</f>
        <v/>
      </c>
      <c r="AL2703" s="86" t="str">
        <f>+IF(AG2703=$AL$22,MONTH(V2703),"")</f>
        <v/>
      </c>
      <c r="AM2703" s="86" t="str">
        <f>+IF($AG2703=$AM$22,MONTH($D2703),"")</f>
        <v/>
      </c>
      <c r="AN2703" s="89" t="str">
        <f>+IF($AG2703=AN$22,MONTH($D2703),"")</f>
        <v/>
      </c>
      <c r="AO2703" s="184" t="str">
        <f>+IF($AG2703=AO$22,MONTH($D2703),"")</f>
        <v/>
      </c>
      <c r="AP2703" s="184" t="str">
        <f>+IF($AG2703=AP$22,MONTH($D2703),"")</f>
        <v/>
      </c>
      <c r="AQ2703" s="184" t="str">
        <f>+IF($AG2703=AQ$22,MONTH($D2703),"")</f>
        <v/>
      </c>
      <c r="AR2703" s="184" t="str">
        <f>+IF($AG2703=AR$22,MONTH($D2703),"")</f>
        <v/>
      </c>
      <c r="AS2703" s="184" t="str">
        <f>+IF($AG2703=AS$22,MONTH($D2703),"")</f>
        <v/>
      </c>
      <c r="AT2703" s="86" t="str">
        <f>+IF($AG2703=AT$22,MONTH($D2703),"")</f>
        <v/>
      </c>
      <c r="AU2703" s="86" t="str">
        <f>+IF($AG2703=AU$22,MONTH($D2703),"")</f>
        <v/>
      </c>
      <c r="AV2703" s="86" t="str">
        <f>+IF($AG2703=AV$22,MONTH($D2703),"")</f>
        <v/>
      </c>
      <c r="AW2703" s="86" t="str">
        <f>+IF($AG2703=AW$22,MONTH($D2703),"")</f>
        <v/>
      </c>
      <c r="AX2703" s="86">
        <f>+IF($AG2703=AX$22,MONTH($D2703),"")</f>
        <v>8</v>
      </c>
      <c r="AY2703" s="89"/>
      <c r="AZ2703" s="89"/>
      <c r="BA2703" s="89"/>
      <c r="BB2703" s="89"/>
      <c r="BC2703" s="89"/>
      <c r="BD2703" s="89"/>
      <c r="BE2703" s="89"/>
      <c r="BF2703" s="89"/>
      <c r="BG2703" s="89"/>
      <c r="BH2703" s="89"/>
      <c r="BI2703" s="89"/>
      <c r="BJ2703" s="182"/>
      <c r="BK2703" s="182"/>
      <c r="BL2703" s="182"/>
      <c r="BM2703" s="182"/>
      <c r="BN2703" s="182"/>
      <c r="BO2703" s="182"/>
      <c r="BP2703" s="182"/>
    </row>
    <row r="2704" spans="1:68" s="51" customFormat="1" ht="19.5" hidden="1" customHeight="1">
      <c r="A2704" s="204">
        <f>+IFERROR(VALUE(MID(AB2704,4,4)),"")</f>
        <v>17</v>
      </c>
      <c r="B2704" s="204">
        <f>VALUE(RIGHT(C2704,LEN(C2704)-2))</f>
        <v>27</v>
      </c>
      <c r="C2704" s="74" t="s">
        <v>9181</v>
      </c>
      <c r="D2704" s="75">
        <v>40401</v>
      </c>
      <c r="E2704" s="70" t="s">
        <v>685</v>
      </c>
      <c r="F2704" s="70" t="s">
        <v>685</v>
      </c>
      <c r="G2704" s="68" t="s">
        <v>9138</v>
      </c>
      <c r="H2704" s="60"/>
      <c r="I2704" s="76" t="s">
        <v>9182</v>
      </c>
      <c r="J2704" s="76"/>
      <c r="K2704" s="68" t="s">
        <v>31</v>
      </c>
      <c r="L2704" s="68" t="s">
        <v>120</v>
      </c>
      <c r="M2704" s="68" t="s">
        <v>141</v>
      </c>
      <c r="N2704" s="68" t="e" vm="1">
        <v>#VALUE!</v>
      </c>
      <c r="O2704" s="160">
        <v>40409</v>
      </c>
      <c r="P2704" s="266" t="s">
        <v>402</v>
      </c>
      <c r="Q2704" s="266"/>
      <c r="R2704" s="272"/>
      <c r="S2704" s="232" t="s">
        <v>9183</v>
      </c>
      <c r="T2704" s="68" t="s">
        <v>3</v>
      </c>
      <c r="U2704" s="87"/>
      <c r="V2704" s="183">
        <v>40435</v>
      </c>
      <c r="W2704" s="223">
        <f>214*12</f>
        <v>2568</v>
      </c>
      <c r="X2704" s="73">
        <v>121.1224</v>
      </c>
      <c r="Y2704" s="73">
        <f>IF(SUM(W2704:W2704)&gt;0,X2704/SUM(W2704:W2704)*1000000,"N/A")</f>
        <v>47166.043613707167</v>
      </c>
      <c r="Z2704" s="270"/>
      <c r="AA2704" s="270"/>
      <c r="AB2704" s="223" t="s">
        <v>9141</v>
      </c>
      <c r="AC2704" s="153"/>
      <c r="AD2704" s="331"/>
      <c r="AE2704" s="57"/>
      <c r="AF2704" s="151"/>
      <c r="AG2704" s="182">
        <f>YEAR(D2704)</f>
        <v>2010</v>
      </c>
      <c r="AH2704" s="86" t="str">
        <f>+IF(AE2704=$AJ$22,MONTH(T2704),"")</f>
        <v/>
      </c>
      <c r="AI2704" s="86" t="str">
        <f>+IF(AF2704=$AJ$22,MONTH(U2704),"")</f>
        <v/>
      </c>
      <c r="AJ2704" s="86" t="str">
        <f>+IF(AG2704=$AJ$22,MONTH(V2704),"")</f>
        <v/>
      </c>
      <c r="AK2704" s="86" t="str">
        <f>+IF(AG2704=$AK$22,MONTH(V2704),"")</f>
        <v/>
      </c>
      <c r="AL2704" s="86" t="str">
        <f>+IF(AG2704=$AL$22,MONTH(V2704),"")</f>
        <v/>
      </c>
      <c r="AM2704" s="86" t="str">
        <f>+IF($AG2704=$AM$22,MONTH($D2704),"")</f>
        <v/>
      </c>
      <c r="AN2704" s="89" t="str">
        <f>+IF($AG2704=AN$22,MONTH($D2704),"")</f>
        <v/>
      </c>
      <c r="AO2704" s="86" t="str">
        <f>+IF($AG2704=AO$22,MONTH($D2704),"")</f>
        <v/>
      </c>
      <c r="AP2704" s="86" t="str">
        <f>+IF($AG2704=AP$22,MONTH($D2704),"")</f>
        <v/>
      </c>
      <c r="AQ2704" s="86" t="str">
        <f>+IF($AG2704=AQ$22,MONTH($D2704),"")</f>
        <v/>
      </c>
      <c r="AR2704" s="86" t="str">
        <f>+IF($AG2704=AR$22,MONTH($D2704),"")</f>
        <v/>
      </c>
      <c r="AS2704" s="86" t="str">
        <f>+IF($AG2704=AS$22,MONTH($D2704),"")</f>
        <v/>
      </c>
      <c r="AT2704" s="86" t="str">
        <f>+IF($AG2704=AT$22,MONTH($D2704),"")</f>
        <v/>
      </c>
      <c r="AU2704" s="86" t="str">
        <f>+IF($AG2704=AU$22,MONTH($D2704),"")</f>
        <v/>
      </c>
      <c r="AV2704" s="86" t="str">
        <f>+IF($AG2704=AV$22,MONTH($D2704),"")</f>
        <v/>
      </c>
      <c r="AW2704" s="86" t="str">
        <f>+IF($AG2704=AW$22,MONTH($D2704),"")</f>
        <v/>
      </c>
      <c r="AX2704" s="86">
        <f>+IF($AG2704=AX$22,MONTH($D2704),"")</f>
        <v>8</v>
      </c>
      <c r="AY2704" s="89"/>
      <c r="AZ2704" s="89"/>
      <c r="BA2704" s="89"/>
      <c r="BB2704" s="89"/>
      <c r="BC2704" s="89"/>
      <c r="BD2704" s="89"/>
      <c r="BE2704" s="89"/>
      <c r="BF2704" s="89"/>
      <c r="BG2704" s="89"/>
      <c r="BH2704" s="89"/>
      <c r="BI2704" s="89"/>
      <c r="BJ2704" s="182"/>
      <c r="BK2704" s="182"/>
      <c r="BL2704" s="182"/>
      <c r="BM2704" s="182"/>
      <c r="BN2704" s="182"/>
      <c r="BO2704" s="182"/>
      <c r="BP2704" s="182"/>
    </row>
    <row r="2705" spans="1:68" s="51" customFormat="1" ht="19.5" hidden="1" customHeight="1">
      <c r="A2705" s="204">
        <f>+IFERROR(VALUE(MID(AB2705,4,4)),"")</f>
        <v>11</v>
      </c>
      <c r="B2705" s="204">
        <f>VALUE(RIGHT(C2705,LEN(C2705)-2))</f>
        <v>26</v>
      </c>
      <c r="C2705" s="74" t="s">
        <v>9184</v>
      </c>
      <c r="D2705" s="75">
        <v>40399</v>
      </c>
      <c r="E2705" s="70" t="s">
        <v>76</v>
      </c>
      <c r="F2705" s="70" t="s">
        <v>332</v>
      </c>
      <c r="G2705" s="68" t="s">
        <v>8338</v>
      </c>
      <c r="H2705" s="60"/>
      <c r="I2705" s="76" t="s">
        <v>9185</v>
      </c>
      <c r="J2705" s="76"/>
      <c r="K2705" s="68" t="s">
        <v>9</v>
      </c>
      <c r="L2705" s="68" t="s">
        <v>120</v>
      </c>
      <c r="M2705" s="68" t="s">
        <v>141</v>
      </c>
      <c r="N2705" s="68" t="e" vm="1">
        <v>#VALUE!</v>
      </c>
      <c r="O2705" s="160">
        <v>40363</v>
      </c>
      <c r="P2705" s="161" t="s">
        <v>402</v>
      </c>
      <c r="Q2705" s="161"/>
      <c r="R2705" s="76"/>
      <c r="S2705" s="232" t="s">
        <v>9186</v>
      </c>
      <c r="T2705" s="68" t="s">
        <v>3</v>
      </c>
      <c r="U2705" s="87"/>
      <c r="V2705" s="183">
        <v>40401</v>
      </c>
      <c r="W2705" s="223">
        <v>99</v>
      </c>
      <c r="X2705" s="73">
        <f>5200*W2705/1000000</f>
        <v>0.51480000000000004</v>
      </c>
      <c r="Y2705" s="73">
        <f>IF(SUM(W2705:W2705)&gt;0,X2705/SUM(W2705:W2705)*1000000,"N/A")</f>
        <v>5200.0000000000009</v>
      </c>
      <c r="Z2705" s="270"/>
      <c r="AA2705" s="270"/>
      <c r="AB2705" s="223" t="s">
        <v>9187</v>
      </c>
      <c r="AC2705" s="153"/>
      <c r="AD2705" s="331"/>
      <c r="AE2705" s="57"/>
      <c r="AF2705" s="151" t="s">
        <v>8391</v>
      </c>
      <c r="AG2705" s="182">
        <f>YEAR(D2705)</f>
        <v>2010</v>
      </c>
      <c r="AH2705" s="86" t="str">
        <f>+IF(AE2705=$AJ$22,MONTH(T2705),"")</f>
        <v/>
      </c>
      <c r="AI2705" s="86" t="str">
        <f>+IF(AF2705=$AJ$22,MONTH(U2705),"")</f>
        <v/>
      </c>
      <c r="AJ2705" s="86" t="str">
        <f>+IF(AG2705=$AJ$22,MONTH(V2705),"")</f>
        <v/>
      </c>
      <c r="AK2705" s="86" t="str">
        <f>+IF(AG2705=$AK$22,MONTH(V2705),"")</f>
        <v/>
      </c>
      <c r="AL2705" s="86" t="str">
        <f>+IF(AG2705=$AL$22,MONTH(V2705),"")</f>
        <v/>
      </c>
      <c r="AM2705" s="86" t="str">
        <f>+IF($AG2705=$AM$22,MONTH($D2705),"")</f>
        <v/>
      </c>
      <c r="AN2705" s="89" t="str">
        <f>+IF($AG2705=AN$22,MONTH($D2705),"")</f>
        <v/>
      </c>
      <c r="AO2705" s="86" t="str">
        <f>+IF($AG2705=AO$22,MONTH($D2705),"")</f>
        <v/>
      </c>
      <c r="AP2705" s="86" t="str">
        <f>+IF($AG2705=AP$22,MONTH($D2705),"")</f>
        <v/>
      </c>
      <c r="AQ2705" s="86" t="str">
        <f>+IF($AG2705=AQ$22,MONTH($D2705),"")</f>
        <v/>
      </c>
      <c r="AR2705" s="86" t="str">
        <f>+IF($AG2705=AR$22,MONTH($D2705),"")</f>
        <v/>
      </c>
      <c r="AS2705" s="86" t="str">
        <f>+IF($AG2705=AS$22,MONTH($D2705),"")</f>
        <v/>
      </c>
      <c r="AT2705" s="86" t="str">
        <f>+IF($AG2705=AT$22,MONTH($D2705),"")</f>
        <v/>
      </c>
      <c r="AU2705" s="86" t="str">
        <f>+IF($AG2705=AU$22,MONTH($D2705),"")</f>
        <v/>
      </c>
      <c r="AV2705" s="86" t="str">
        <f>+IF($AG2705=AV$22,MONTH($D2705),"")</f>
        <v/>
      </c>
      <c r="AW2705" s="86" t="str">
        <f>+IF($AG2705=AW$22,MONTH($D2705),"")</f>
        <v/>
      </c>
      <c r="AX2705" s="86">
        <f>+IF($AG2705=AX$22,MONTH($D2705),"")</f>
        <v>8</v>
      </c>
      <c r="AY2705" s="89"/>
      <c r="AZ2705" s="89"/>
      <c r="BA2705" s="89"/>
      <c r="BB2705" s="89"/>
      <c r="BC2705" s="89"/>
      <c r="BD2705" s="89"/>
      <c r="BE2705" s="89"/>
      <c r="BF2705" s="89"/>
      <c r="BG2705" s="89"/>
      <c r="BH2705" s="89"/>
      <c r="BI2705" s="89"/>
      <c r="BJ2705" s="182"/>
      <c r="BK2705" s="182"/>
      <c r="BL2705" s="182"/>
      <c r="BM2705" s="182"/>
      <c r="BN2705" s="182"/>
      <c r="BO2705" s="182"/>
      <c r="BP2705" s="182"/>
    </row>
    <row r="2706" spans="1:68" s="51" customFormat="1" ht="19.5" hidden="1" customHeight="1">
      <c r="A2706" s="204" t="str">
        <f>+IFERROR(VALUE(MID(AB2706,4,4)),"")</f>
        <v/>
      </c>
      <c r="B2706" s="204">
        <f>VALUE(RIGHT(C2706,LEN(C2706)-2))</f>
        <v>25</v>
      </c>
      <c r="C2706" s="74" t="s">
        <v>9188</v>
      </c>
      <c r="D2706" s="75">
        <v>40399</v>
      </c>
      <c r="E2706" s="70" t="s">
        <v>2890</v>
      </c>
      <c r="F2706" s="82" t="s">
        <v>8482</v>
      </c>
      <c r="G2706" s="68" t="s">
        <v>7465</v>
      </c>
      <c r="H2706" s="59"/>
      <c r="I2706" s="162" t="s">
        <v>9189</v>
      </c>
      <c r="J2706" s="162"/>
      <c r="K2706" s="68" t="s">
        <v>33</v>
      </c>
      <c r="L2706" s="69" t="s">
        <v>120</v>
      </c>
      <c r="M2706" s="69" t="s">
        <v>141</v>
      </c>
      <c r="N2706" s="69" t="e" vm="1">
        <v>#VALUE!</v>
      </c>
      <c r="O2706" s="164">
        <v>40363</v>
      </c>
      <c r="P2706" s="72" t="s">
        <v>402</v>
      </c>
      <c r="Q2706" s="72"/>
      <c r="R2706" s="162"/>
      <c r="S2706" s="146" t="s">
        <v>9190</v>
      </c>
      <c r="T2706" s="68" t="s">
        <v>165</v>
      </c>
      <c r="U2706" s="87"/>
      <c r="V2706" s="183">
        <v>40435</v>
      </c>
      <c r="W2706" s="223">
        <v>500</v>
      </c>
      <c r="X2706" s="73">
        <f>21350*1.8*W2706/1000000</f>
        <v>19.215</v>
      </c>
      <c r="Y2706" s="73">
        <f>IF(SUM(W2706:W2706)&gt;0,X2706/SUM(W2706:W2706)*1000000,"N/A")</f>
        <v>38430</v>
      </c>
      <c r="Z2706" s="270"/>
      <c r="AA2706" s="270"/>
      <c r="AB2706" s="223"/>
      <c r="AC2706" s="153"/>
      <c r="AD2706" s="331"/>
      <c r="AE2706" s="57"/>
      <c r="AF2706" s="151"/>
      <c r="AG2706" s="182">
        <f>YEAR(D2706)</f>
        <v>2010</v>
      </c>
      <c r="AH2706" s="86" t="str">
        <f>+IF(AE2706=$AJ$22,MONTH(T2706),"")</f>
        <v/>
      </c>
      <c r="AI2706" s="86" t="str">
        <f>+IF(AF2706=$AJ$22,MONTH(U2706),"")</f>
        <v/>
      </c>
      <c r="AJ2706" s="86" t="str">
        <f>+IF(AG2706=$AJ$22,MONTH(V2706),"")</f>
        <v/>
      </c>
      <c r="AK2706" s="86" t="str">
        <f>+IF(AG2706=$AK$22,MONTH(V2706),"")</f>
        <v/>
      </c>
      <c r="AL2706" s="86" t="str">
        <f>+IF(AG2706=$AL$22,MONTH(V2706),"")</f>
        <v/>
      </c>
      <c r="AM2706" s="86" t="str">
        <f>+IF($AG2706=$AM$22,MONTH($D2706),"")</f>
        <v/>
      </c>
      <c r="AN2706" s="89" t="str">
        <f>+IF($AG2706=AN$22,MONTH($D2706),"")</f>
        <v/>
      </c>
      <c r="AO2706" s="184" t="str">
        <f>+IF($AG2706=AO$22,MONTH($D2706),"")</f>
        <v/>
      </c>
      <c r="AP2706" s="184" t="str">
        <f>+IF($AG2706=AP$22,MONTH($D2706),"")</f>
        <v/>
      </c>
      <c r="AQ2706" s="184" t="str">
        <f>+IF($AG2706=AQ$22,MONTH($D2706),"")</f>
        <v/>
      </c>
      <c r="AR2706" s="184" t="str">
        <f>+IF($AG2706=AR$22,MONTH($D2706),"")</f>
        <v/>
      </c>
      <c r="AS2706" s="184" t="str">
        <f>+IF($AG2706=AS$22,MONTH($D2706),"")</f>
        <v/>
      </c>
      <c r="AT2706" s="86" t="str">
        <f>+IF($AG2706=AT$22,MONTH($D2706),"")</f>
        <v/>
      </c>
      <c r="AU2706" s="86" t="str">
        <f>+IF($AG2706=AU$22,MONTH($D2706),"")</f>
        <v/>
      </c>
      <c r="AV2706" s="86" t="str">
        <f>+IF($AG2706=AV$22,MONTH($D2706),"")</f>
        <v/>
      </c>
      <c r="AW2706" s="86" t="str">
        <f>+IF($AG2706=AW$22,MONTH($D2706),"")</f>
        <v/>
      </c>
      <c r="AX2706" s="86">
        <f>+IF($AG2706=AX$22,MONTH($D2706),"")</f>
        <v>8</v>
      </c>
      <c r="AY2706" s="89"/>
      <c r="AZ2706" s="89"/>
      <c r="BA2706" s="89"/>
      <c r="BB2706" s="89"/>
      <c r="BC2706" s="89"/>
      <c r="BD2706" s="89"/>
      <c r="BE2706" s="89"/>
      <c r="BF2706" s="89"/>
      <c r="BG2706" s="89"/>
      <c r="BH2706" s="89"/>
      <c r="BI2706" s="89"/>
      <c r="BJ2706" s="182"/>
      <c r="BK2706" s="182"/>
      <c r="BL2706" s="182"/>
      <c r="BM2706" s="182"/>
      <c r="BN2706" s="182"/>
      <c r="BO2706" s="182"/>
      <c r="BP2706" s="182"/>
    </row>
    <row r="2707" spans="1:68" s="51" customFormat="1" ht="19.5" hidden="1" customHeight="1">
      <c r="A2707" s="204">
        <f>+IFERROR(VALUE(MID(AB2707,4,4)),"")</f>
        <v>10</v>
      </c>
      <c r="B2707" s="204">
        <f>VALUE(RIGHT(C2707,LEN(C2707)-2))</f>
        <v>24</v>
      </c>
      <c r="C2707" s="74" t="s">
        <v>9191</v>
      </c>
      <c r="D2707" s="75">
        <v>40372</v>
      </c>
      <c r="E2707" s="70" t="s">
        <v>15</v>
      </c>
      <c r="F2707" s="70" t="s">
        <v>848</v>
      </c>
      <c r="G2707" s="68" t="s">
        <v>9192</v>
      </c>
      <c r="H2707" s="60"/>
      <c r="I2707" s="76" t="s">
        <v>9193</v>
      </c>
      <c r="J2707" s="76"/>
      <c r="K2707" s="68" t="s">
        <v>16</v>
      </c>
      <c r="L2707" s="68" t="s">
        <v>120</v>
      </c>
      <c r="M2707" s="68" t="s">
        <v>141</v>
      </c>
      <c r="N2707" s="68" t="e" vm="1">
        <v>#VALUE!</v>
      </c>
      <c r="O2707" s="160">
        <v>40363</v>
      </c>
      <c r="P2707" s="266" t="s">
        <v>402</v>
      </c>
      <c r="Q2707" s="266"/>
      <c r="R2707" s="272"/>
      <c r="S2707" s="232" t="s">
        <v>9194</v>
      </c>
      <c r="T2707" s="68" t="s">
        <v>3</v>
      </c>
      <c r="U2707" s="87"/>
      <c r="V2707" s="183">
        <v>40379</v>
      </c>
      <c r="W2707" s="223">
        <v>155</v>
      </c>
      <c r="X2707" s="73">
        <f>42500*W2707/1000000</f>
        <v>6.5875000000000004</v>
      </c>
      <c r="Y2707" s="73">
        <f>IF(SUM(W2707:W2707)&gt;0,X2707/SUM(W2707:W2707)*1000000,"N/A")</f>
        <v>42500</v>
      </c>
      <c r="Z2707" s="270"/>
      <c r="AA2707" s="270"/>
      <c r="AB2707" s="223" t="s">
        <v>9195</v>
      </c>
      <c r="AC2707" s="153"/>
      <c r="AD2707" s="331"/>
      <c r="AE2707" s="57"/>
      <c r="AF2707" s="151"/>
      <c r="AG2707" s="182">
        <f>YEAR(D2707)</f>
        <v>2010</v>
      </c>
      <c r="AH2707" s="86" t="str">
        <f>+IF(AE2707=$AJ$22,MONTH(T2707),"")</f>
        <v/>
      </c>
      <c r="AI2707" s="86" t="str">
        <f>+IF(AF2707=$AJ$22,MONTH(U2707),"")</f>
        <v/>
      </c>
      <c r="AJ2707" s="86" t="str">
        <f>+IF(AG2707=$AJ$22,MONTH(V2707),"")</f>
        <v/>
      </c>
      <c r="AK2707" s="86" t="str">
        <f>+IF(AG2707=$AK$22,MONTH(V2707),"")</f>
        <v/>
      </c>
      <c r="AL2707" s="86" t="str">
        <f>+IF(AG2707=$AL$22,MONTH(V2707),"")</f>
        <v/>
      </c>
      <c r="AM2707" s="86" t="str">
        <f>+IF($AG2707=$AM$22,MONTH($D2707),"")</f>
        <v/>
      </c>
      <c r="AN2707" s="89" t="str">
        <f>+IF($AG2707=AN$22,MONTH($D2707),"")</f>
        <v/>
      </c>
      <c r="AO2707" s="86" t="str">
        <f>+IF($AG2707=AO$22,MONTH($D2707),"")</f>
        <v/>
      </c>
      <c r="AP2707" s="86" t="str">
        <f>+IF($AG2707=AP$22,MONTH($D2707),"")</f>
        <v/>
      </c>
      <c r="AQ2707" s="86" t="str">
        <f>+IF($AG2707=AQ$22,MONTH($D2707),"")</f>
        <v/>
      </c>
      <c r="AR2707" s="86" t="str">
        <f>+IF($AG2707=AR$22,MONTH($D2707),"")</f>
        <v/>
      </c>
      <c r="AS2707" s="86" t="str">
        <f>+IF($AG2707=AS$22,MONTH($D2707),"")</f>
        <v/>
      </c>
      <c r="AT2707" s="86" t="str">
        <f>+IF($AG2707=AT$22,MONTH($D2707),"")</f>
        <v/>
      </c>
      <c r="AU2707" s="86" t="str">
        <f>+IF($AG2707=AU$22,MONTH($D2707),"")</f>
        <v/>
      </c>
      <c r="AV2707" s="86" t="str">
        <f>+IF($AG2707=AV$22,MONTH($D2707),"")</f>
        <v/>
      </c>
      <c r="AW2707" s="86" t="str">
        <f>+IF($AG2707=AW$22,MONTH($D2707),"")</f>
        <v/>
      </c>
      <c r="AX2707" s="86">
        <f>+IF($AG2707=AX$22,MONTH($D2707),"")</f>
        <v>7</v>
      </c>
      <c r="AY2707" s="89"/>
      <c r="AZ2707" s="89"/>
      <c r="BA2707" s="89"/>
      <c r="BB2707" s="89"/>
      <c r="BC2707" s="89"/>
      <c r="BD2707" s="89"/>
      <c r="BE2707" s="89"/>
      <c r="BF2707" s="89"/>
      <c r="BG2707" s="89"/>
      <c r="BH2707" s="89"/>
      <c r="BI2707" s="89"/>
      <c r="BJ2707" s="2"/>
      <c r="BK2707" s="2"/>
      <c r="BL2707" s="2"/>
      <c r="BM2707" s="2"/>
      <c r="BN2707" s="182"/>
      <c r="BO2707" s="182"/>
      <c r="BP2707" s="182"/>
    </row>
    <row r="2708" spans="1:68" s="52" customFormat="1" ht="19.5" hidden="1" customHeight="1">
      <c r="A2708" s="204">
        <f>+IFERROR(VALUE(MID(AB2708,4,4)),"")</f>
        <v>9</v>
      </c>
      <c r="B2708" s="204">
        <f>VALUE(RIGHT(C2708,LEN(C2708)-2))</f>
        <v>23</v>
      </c>
      <c r="C2708" s="74" t="s">
        <v>9196</v>
      </c>
      <c r="D2708" s="75">
        <v>40371</v>
      </c>
      <c r="E2708" s="70" t="s">
        <v>70</v>
      </c>
      <c r="F2708" s="70" t="s">
        <v>9197</v>
      </c>
      <c r="G2708" s="68" t="s">
        <v>9198</v>
      </c>
      <c r="H2708" s="60"/>
      <c r="I2708" s="76" t="s">
        <v>9199</v>
      </c>
      <c r="J2708" s="76"/>
      <c r="K2708" s="68" t="s">
        <v>13</v>
      </c>
      <c r="L2708" s="68" t="s">
        <v>120</v>
      </c>
      <c r="M2708" s="68" t="s">
        <v>141</v>
      </c>
      <c r="N2708" s="68" t="e" vm="1">
        <v>#VALUE!</v>
      </c>
      <c r="O2708" s="160">
        <v>40363</v>
      </c>
      <c r="P2708" s="161" t="s">
        <v>402</v>
      </c>
      <c r="Q2708" s="161"/>
      <c r="R2708" s="76"/>
      <c r="S2708" s="232" t="s">
        <v>9200</v>
      </c>
      <c r="T2708" s="68" t="s">
        <v>3</v>
      </c>
      <c r="U2708" s="87"/>
      <c r="V2708" s="183">
        <v>40379</v>
      </c>
      <c r="W2708" s="223">
        <v>40</v>
      </c>
      <c r="X2708" s="73">
        <v>0.5</v>
      </c>
      <c r="Y2708" s="73">
        <f>IF(SUM(W2708:W2708)&gt;0,X2708/SUM(W2708:W2708)*1000000,"N/A")</f>
        <v>12500</v>
      </c>
      <c r="Z2708" s="270"/>
      <c r="AA2708" s="270"/>
      <c r="AB2708" s="223" t="s">
        <v>9201</v>
      </c>
      <c r="AC2708" s="153"/>
      <c r="AD2708" s="331"/>
      <c r="AE2708" s="57"/>
      <c r="AF2708" s="233"/>
      <c r="AG2708" s="182">
        <f>YEAR(D2708)</f>
        <v>2010</v>
      </c>
      <c r="AH2708" s="86" t="str">
        <f>+IF(AE2708=$AJ$22,MONTH(T2708),"")</f>
        <v/>
      </c>
      <c r="AI2708" s="86" t="str">
        <f>+IF(AF2708=$AJ$22,MONTH(U2708),"")</f>
        <v/>
      </c>
      <c r="AJ2708" s="86" t="str">
        <f>+IF(AG2708=$AJ$22,MONTH(V2708),"")</f>
        <v/>
      </c>
      <c r="AK2708" s="86" t="str">
        <f>+IF(AG2708=$AK$22,MONTH(V2708),"")</f>
        <v/>
      </c>
      <c r="AL2708" s="86" t="str">
        <f>+IF(AG2708=$AL$22,MONTH(V2708),"")</f>
        <v/>
      </c>
      <c r="AM2708" s="86" t="str">
        <f>+IF($AG2708=$AM$22,MONTH($D2708),"")</f>
        <v/>
      </c>
      <c r="AN2708" s="89" t="str">
        <f>+IF($AG2708=AN$22,MONTH($D2708),"")</f>
        <v/>
      </c>
      <c r="AO2708" s="86" t="str">
        <f>+IF($AG2708=AO$22,MONTH($D2708),"")</f>
        <v/>
      </c>
      <c r="AP2708" s="86" t="str">
        <f>+IF($AG2708=AP$22,MONTH($D2708),"")</f>
        <v/>
      </c>
      <c r="AQ2708" s="86" t="str">
        <f>+IF($AG2708=AQ$22,MONTH($D2708),"")</f>
        <v/>
      </c>
      <c r="AR2708" s="86" t="str">
        <f>+IF($AG2708=AR$22,MONTH($D2708),"")</f>
        <v/>
      </c>
      <c r="AS2708" s="86" t="str">
        <f>+IF($AG2708=AS$22,MONTH($D2708),"")</f>
        <v/>
      </c>
      <c r="AT2708" s="86" t="str">
        <f>+IF($AG2708=AT$22,MONTH($D2708),"")</f>
        <v/>
      </c>
      <c r="AU2708" s="86" t="str">
        <f>+IF($AG2708=AU$22,MONTH($D2708),"")</f>
        <v/>
      </c>
      <c r="AV2708" s="86" t="str">
        <f>+IF($AG2708=AV$22,MONTH($D2708),"")</f>
        <v/>
      </c>
      <c r="AW2708" s="86" t="str">
        <f>+IF($AG2708=AW$22,MONTH($D2708),"")</f>
        <v/>
      </c>
      <c r="AX2708" s="86">
        <f>+IF($AG2708=AX$22,MONTH($D2708),"")</f>
        <v>7</v>
      </c>
      <c r="AY2708" s="89"/>
      <c r="AZ2708" s="89"/>
      <c r="BA2708" s="89"/>
      <c r="BB2708" s="89"/>
      <c r="BC2708" s="89"/>
      <c r="BD2708" s="89"/>
      <c r="BE2708" s="89"/>
      <c r="BF2708" s="89"/>
      <c r="BG2708" s="89"/>
      <c r="BH2708" s="268"/>
      <c r="BI2708" s="268"/>
      <c r="BJ2708" s="2"/>
      <c r="BK2708" s="2"/>
      <c r="BL2708" s="2"/>
      <c r="BM2708" s="2"/>
      <c r="BN2708" s="2"/>
      <c r="BO2708" s="2"/>
      <c r="BP2708" s="2"/>
    </row>
    <row r="2709" spans="1:68" s="52" customFormat="1" ht="19.5" hidden="1" customHeight="1">
      <c r="A2709" s="204" t="str">
        <f>+IFERROR(VALUE(MID(AB2709,4,4)),"")</f>
        <v/>
      </c>
      <c r="B2709" s="204">
        <f>VALUE(RIGHT(C2709,LEN(C2709)-2))</f>
        <v>22</v>
      </c>
      <c r="C2709" s="219" t="s">
        <v>9202</v>
      </c>
      <c r="D2709" s="220">
        <v>40371</v>
      </c>
      <c r="E2709" s="181" t="s">
        <v>5662</v>
      </c>
      <c r="F2709" s="181" t="s">
        <v>9203</v>
      </c>
      <c r="G2709" s="68" t="s">
        <v>7892</v>
      </c>
      <c r="H2709" s="263" t="s">
        <v>7971</v>
      </c>
      <c r="I2709" s="272" t="s">
        <v>9204</v>
      </c>
      <c r="J2709" s="272"/>
      <c r="K2709" s="81" t="s">
        <v>12</v>
      </c>
      <c r="L2709" s="81" t="s">
        <v>120</v>
      </c>
      <c r="M2709" s="81" t="s">
        <v>141</v>
      </c>
      <c r="N2709" s="69" t="e" vm="1">
        <v>#VALUE!</v>
      </c>
      <c r="O2709" s="269">
        <v>40374</v>
      </c>
      <c r="P2709" s="266" t="s">
        <v>402</v>
      </c>
      <c r="Q2709" s="266"/>
      <c r="R2709" s="272"/>
      <c r="S2709" s="236" t="s">
        <v>9205</v>
      </c>
      <c r="T2709" s="68" t="s">
        <v>165</v>
      </c>
      <c r="U2709" s="237"/>
      <c r="V2709" s="270">
        <v>40392</v>
      </c>
      <c r="W2709" s="223">
        <v>1325</v>
      </c>
      <c r="X2709" s="223">
        <v>39.76</v>
      </c>
      <c r="Y2709" s="73">
        <f>IF(SUM(W2709:W2709)&gt;0,X2709/SUM(W2709:W2709)*1000000,"N/A")</f>
        <v>30007.547169811322</v>
      </c>
      <c r="Z2709" s="270"/>
      <c r="AA2709" s="270"/>
      <c r="AB2709" s="223"/>
      <c r="AC2709" s="224"/>
      <c r="AD2709" s="336"/>
      <c r="AE2709" s="65"/>
      <c r="AF2709" s="233"/>
      <c r="AG2709" s="182">
        <f>YEAR(D2709)</f>
        <v>2010</v>
      </c>
      <c r="AH2709" s="86" t="str">
        <f>+IF(AE2709=$AJ$22,MONTH(T2709),"")</f>
        <v/>
      </c>
      <c r="AI2709" s="86" t="str">
        <f>+IF(AF2709=$AJ$22,MONTH(U2709),"")</f>
        <v/>
      </c>
      <c r="AJ2709" s="86" t="str">
        <f>+IF(AG2709=$AJ$22,MONTH(V2709),"")</f>
        <v/>
      </c>
      <c r="AK2709" s="86" t="str">
        <f>+IF(AG2709=$AK$22,MONTH(V2709),"")</f>
        <v/>
      </c>
      <c r="AL2709" s="86" t="str">
        <f>+IF(AG2709=$AL$22,MONTH(V2709),"")</f>
        <v/>
      </c>
      <c r="AM2709" s="86" t="str">
        <f>+IF($AG2709=$AM$22,MONTH($D2709),"")</f>
        <v/>
      </c>
      <c r="AN2709" s="89" t="str">
        <f>+IF($AG2709=AN$22,MONTH($D2709),"")</f>
        <v/>
      </c>
      <c r="AO2709" s="184" t="str">
        <f>+IF($AG2709=AO$22,MONTH($D2709),"")</f>
        <v/>
      </c>
      <c r="AP2709" s="184" t="str">
        <f>+IF($AG2709=AP$22,MONTH($D2709),"")</f>
        <v/>
      </c>
      <c r="AQ2709" s="184" t="str">
        <f>+IF($AG2709=AQ$22,MONTH($D2709),"")</f>
        <v/>
      </c>
      <c r="AR2709" s="184" t="str">
        <f>+IF($AG2709=AR$22,MONTH($D2709),"")</f>
        <v/>
      </c>
      <c r="AS2709" s="184" t="str">
        <f>+IF($AG2709=AS$22,MONTH($D2709),"")</f>
        <v/>
      </c>
      <c r="AT2709" s="86" t="str">
        <f>+IF($AG2709=AT$22,MONTH($D2709),"")</f>
        <v/>
      </c>
      <c r="AU2709" s="86" t="str">
        <f>+IF($AG2709=AU$22,MONTH($D2709),"")</f>
        <v/>
      </c>
      <c r="AV2709" s="86" t="str">
        <f>+IF($AG2709=AV$22,MONTH($D2709),"")</f>
        <v/>
      </c>
      <c r="AW2709" s="86" t="str">
        <f>+IF($AG2709=AW$22,MONTH($D2709),"")</f>
        <v/>
      </c>
      <c r="AX2709" s="86">
        <f>+IF($AG2709=AX$22,MONTH($D2709),"")</f>
        <v>7</v>
      </c>
      <c r="AY2709" s="89"/>
      <c r="AZ2709" s="89"/>
      <c r="BA2709" s="89"/>
      <c r="BB2709" s="89"/>
      <c r="BC2709" s="89"/>
      <c r="BD2709" s="89"/>
      <c r="BE2709" s="89"/>
      <c r="BF2709" s="89"/>
      <c r="BG2709" s="89"/>
      <c r="BH2709" s="268"/>
      <c r="BI2709" s="268"/>
      <c r="BJ2709" s="2"/>
      <c r="BK2709" s="2"/>
      <c r="BL2709" s="2"/>
      <c r="BM2709" s="2"/>
      <c r="BN2709" s="2"/>
      <c r="BO2709" s="2"/>
      <c r="BP2709" s="2"/>
    </row>
    <row r="2710" spans="1:68" s="52" customFormat="1" ht="19.5" hidden="1" customHeight="1">
      <c r="A2710" s="204" t="str">
        <f>+IFERROR(VALUE(MID(AB2710,4,4)),"")</f>
        <v/>
      </c>
      <c r="B2710" s="204">
        <f>VALUE(RIGHT(C2710,LEN(C2710)-2))</f>
        <v>21</v>
      </c>
      <c r="C2710" s="219" t="s">
        <v>9206</v>
      </c>
      <c r="D2710" s="220">
        <v>40326</v>
      </c>
      <c r="E2710" s="70" t="s">
        <v>8776</v>
      </c>
      <c r="F2710" s="181" t="s">
        <v>848</v>
      </c>
      <c r="G2710" s="68" t="s">
        <v>9207</v>
      </c>
      <c r="H2710" s="263"/>
      <c r="I2710" s="272" t="s">
        <v>9208</v>
      </c>
      <c r="J2710" s="272"/>
      <c r="K2710" s="81" t="s">
        <v>27</v>
      </c>
      <c r="L2710" s="81" t="s">
        <v>120</v>
      </c>
      <c r="M2710" s="81" t="s">
        <v>141</v>
      </c>
      <c r="N2710" s="69" t="e" vm="1">
        <v>#VALUE!</v>
      </c>
      <c r="O2710" s="269">
        <v>40333</v>
      </c>
      <c r="P2710" s="266" t="s">
        <v>9209</v>
      </c>
      <c r="Q2710" s="266"/>
      <c r="R2710" s="272"/>
      <c r="S2710" s="236" t="s">
        <v>9210</v>
      </c>
      <c r="T2710" s="68" t="s">
        <v>165</v>
      </c>
      <c r="U2710" s="237"/>
      <c r="V2710" s="270">
        <v>40364</v>
      </c>
      <c r="W2710" s="223">
        <v>2000</v>
      </c>
      <c r="X2710" s="223">
        <f>20000*W2710/1000000</f>
        <v>40</v>
      </c>
      <c r="Y2710" s="73">
        <f>IF(SUM(W2710:W2710)&gt;0,X2710/SUM(W2710:W2710)*1000000,"N/A")</f>
        <v>20000</v>
      </c>
      <c r="Z2710" s="270"/>
      <c r="AA2710" s="270"/>
      <c r="AB2710" s="223"/>
      <c r="AC2710" s="224"/>
      <c r="AD2710" s="336"/>
      <c r="AE2710" s="65"/>
      <c r="AF2710" s="225"/>
      <c r="AG2710" s="182">
        <f>YEAR(D2710)</f>
        <v>2010</v>
      </c>
      <c r="AH2710" s="86" t="str">
        <f>+IF(AE2710=$AJ$22,MONTH(T2710),"")</f>
        <v/>
      </c>
      <c r="AI2710" s="86" t="str">
        <f>+IF(AF2710=$AJ$22,MONTH(U2710),"")</f>
        <v/>
      </c>
      <c r="AJ2710" s="86" t="str">
        <f>+IF(AG2710=$AJ$22,MONTH(V2710),"")</f>
        <v/>
      </c>
      <c r="AK2710" s="86" t="str">
        <f>+IF(AG2710=$AK$22,MONTH(V2710),"")</f>
        <v/>
      </c>
      <c r="AL2710" s="86" t="str">
        <f>+IF(AG2710=$AL$22,MONTH(V2710),"")</f>
        <v/>
      </c>
      <c r="AM2710" s="86" t="str">
        <f>+IF($AG2710=$AM$22,MONTH($D2710),"")</f>
        <v/>
      </c>
      <c r="AN2710" s="89" t="str">
        <f>+IF($AG2710=AN$22,MONTH($D2710),"")</f>
        <v/>
      </c>
      <c r="AO2710" s="184" t="str">
        <f>+IF($AG2710=AO$22,MONTH($D2710),"")</f>
        <v/>
      </c>
      <c r="AP2710" s="184" t="str">
        <f>+IF($AG2710=AP$22,MONTH($D2710),"")</f>
        <v/>
      </c>
      <c r="AQ2710" s="184" t="str">
        <f>+IF($AG2710=AQ$22,MONTH($D2710),"")</f>
        <v/>
      </c>
      <c r="AR2710" s="184" t="str">
        <f>+IF($AG2710=AR$22,MONTH($D2710),"")</f>
        <v/>
      </c>
      <c r="AS2710" s="184" t="str">
        <f>+IF($AG2710=AS$22,MONTH($D2710),"")</f>
        <v/>
      </c>
      <c r="AT2710" s="86" t="str">
        <f>+IF($AG2710=AT$22,MONTH($D2710),"")</f>
        <v/>
      </c>
      <c r="AU2710" s="86" t="str">
        <f>+IF($AG2710=AU$22,MONTH($D2710),"")</f>
        <v/>
      </c>
      <c r="AV2710" s="86" t="str">
        <f>+IF($AG2710=AV$22,MONTH($D2710),"")</f>
        <v/>
      </c>
      <c r="AW2710" s="86" t="str">
        <f>+IF($AG2710=AW$22,MONTH($D2710),"")</f>
        <v/>
      </c>
      <c r="AX2710" s="86">
        <f>+IF($AG2710=AX$22,MONTH($D2710),"")</f>
        <v>5</v>
      </c>
      <c r="AY2710" s="89"/>
      <c r="AZ2710" s="89"/>
      <c r="BA2710" s="89"/>
      <c r="BB2710" s="89"/>
      <c r="BC2710" s="89"/>
      <c r="BD2710" s="89"/>
      <c r="BE2710" s="89"/>
      <c r="BF2710" s="89"/>
      <c r="BG2710" s="89"/>
      <c r="BH2710" s="268"/>
      <c r="BI2710" s="268"/>
      <c r="BJ2710" s="2"/>
      <c r="BK2710" s="2"/>
      <c r="BL2710" s="2"/>
      <c r="BM2710" s="2"/>
      <c r="BN2710" s="2"/>
      <c r="BO2710" s="2"/>
      <c r="BP2710" s="2"/>
    </row>
    <row r="2711" spans="1:68" s="52" customFormat="1" ht="19.5" hidden="1" customHeight="1">
      <c r="A2711" s="204" t="str">
        <f>+IFERROR(VALUE(MID(AB2711,4,4)),"")</f>
        <v/>
      </c>
      <c r="B2711" s="204">
        <f>VALUE(RIGHT(C2711,LEN(C2711)-2))</f>
        <v>20</v>
      </c>
      <c r="C2711" s="219" t="s">
        <v>9211</v>
      </c>
      <c r="D2711" s="220">
        <v>40339</v>
      </c>
      <c r="E2711" s="181" t="s">
        <v>9212</v>
      </c>
      <c r="F2711" s="181" t="s">
        <v>9213</v>
      </c>
      <c r="G2711" s="68" t="s">
        <v>9214</v>
      </c>
      <c r="H2711" s="263"/>
      <c r="I2711" s="272" t="s">
        <v>9215</v>
      </c>
      <c r="J2711" s="272"/>
      <c r="K2711" s="81" t="s">
        <v>13</v>
      </c>
      <c r="L2711" s="81" t="s">
        <v>120</v>
      </c>
      <c r="M2711" s="81" t="s">
        <v>141</v>
      </c>
      <c r="N2711" s="69" t="e" vm="1">
        <v>#VALUE!</v>
      </c>
      <c r="O2711" s="269">
        <v>40344</v>
      </c>
      <c r="P2711" s="266" t="s">
        <v>5018</v>
      </c>
      <c r="Q2711" s="266"/>
      <c r="R2711" s="272"/>
      <c r="S2711" s="236" t="s">
        <v>9216</v>
      </c>
      <c r="T2711" s="68" t="s">
        <v>165</v>
      </c>
      <c r="U2711" s="237"/>
      <c r="V2711" s="270">
        <v>40364</v>
      </c>
      <c r="W2711" s="223">
        <v>500</v>
      </c>
      <c r="X2711" s="223">
        <f>W2711*20000/1000000</f>
        <v>10</v>
      </c>
      <c r="Y2711" s="73">
        <f>IF(SUM(W2711:W2711)&gt;0,X2711/SUM(W2711:W2711)*1000000,"N/A")</f>
        <v>20000</v>
      </c>
      <c r="Z2711" s="270"/>
      <c r="AA2711" s="270"/>
      <c r="AB2711" s="223"/>
      <c r="AC2711" s="224"/>
      <c r="AD2711" s="336"/>
      <c r="AE2711" s="65"/>
      <c r="AF2711" s="225"/>
      <c r="AG2711" s="182">
        <f>YEAR(D2711)</f>
        <v>2010</v>
      </c>
      <c r="AH2711" s="86" t="str">
        <f>+IF(AE2711=$AJ$22,MONTH(T2711),"")</f>
        <v/>
      </c>
      <c r="AI2711" s="86" t="str">
        <f>+IF(AF2711=$AJ$22,MONTH(U2711),"")</f>
        <v/>
      </c>
      <c r="AJ2711" s="86" t="str">
        <f>+IF(AG2711=$AJ$22,MONTH(V2711),"")</f>
        <v/>
      </c>
      <c r="AK2711" s="86" t="str">
        <f>+IF(AG2711=$AK$22,MONTH(V2711),"")</f>
        <v/>
      </c>
      <c r="AL2711" s="86" t="str">
        <f>+IF(AG2711=$AL$22,MONTH(V2711),"")</f>
        <v/>
      </c>
      <c r="AM2711" s="86" t="str">
        <f>+IF($AG2711=$AM$22,MONTH($D2711),"")</f>
        <v/>
      </c>
      <c r="AN2711" s="89" t="str">
        <f>+IF($AG2711=AN$22,MONTH($D2711),"")</f>
        <v/>
      </c>
      <c r="AO2711" s="184" t="str">
        <f>+IF($AG2711=AO$22,MONTH($D2711),"")</f>
        <v/>
      </c>
      <c r="AP2711" s="184" t="str">
        <f>+IF($AG2711=AP$22,MONTH($D2711),"")</f>
        <v/>
      </c>
      <c r="AQ2711" s="184" t="str">
        <f>+IF($AG2711=AQ$22,MONTH($D2711),"")</f>
        <v/>
      </c>
      <c r="AR2711" s="184" t="str">
        <f>+IF($AG2711=AR$22,MONTH($D2711),"")</f>
        <v/>
      </c>
      <c r="AS2711" s="184" t="str">
        <f>+IF($AG2711=AS$22,MONTH($D2711),"")</f>
        <v/>
      </c>
      <c r="AT2711" s="86" t="str">
        <f>+IF($AG2711=AT$22,MONTH($D2711),"")</f>
        <v/>
      </c>
      <c r="AU2711" s="86" t="str">
        <f>+IF($AG2711=AU$22,MONTH($D2711),"")</f>
        <v/>
      </c>
      <c r="AV2711" s="86" t="str">
        <f>+IF($AG2711=AV$22,MONTH($D2711),"")</f>
        <v/>
      </c>
      <c r="AW2711" s="86" t="str">
        <f>+IF($AG2711=AW$22,MONTH($D2711),"")</f>
        <v/>
      </c>
      <c r="AX2711" s="86">
        <f>+IF($AG2711=AX$22,MONTH($D2711),"")</f>
        <v>6</v>
      </c>
      <c r="AY2711" s="89"/>
      <c r="AZ2711" s="89"/>
      <c r="BA2711" s="89"/>
      <c r="BB2711" s="89"/>
      <c r="BC2711" s="89"/>
      <c r="BD2711" s="89"/>
      <c r="BE2711" s="89"/>
      <c r="BF2711" s="89"/>
      <c r="BG2711" s="89"/>
      <c r="BH2711" s="268"/>
      <c r="BI2711" s="268"/>
      <c r="BJ2711" s="2"/>
      <c r="BK2711" s="2"/>
      <c r="BL2711" s="2"/>
      <c r="BM2711" s="2"/>
      <c r="BN2711" s="2"/>
      <c r="BO2711" s="2"/>
      <c r="BP2711" s="2"/>
    </row>
    <row r="2712" spans="1:68" s="52" customFormat="1" ht="19.5" hidden="1" customHeight="1">
      <c r="A2712" s="204">
        <f>+IFERROR(VALUE(MID(AB2712,4,4)),"")</f>
        <v>7</v>
      </c>
      <c r="B2712" s="204">
        <f>VALUE(RIGHT(C2712,LEN(C2712)-2))</f>
        <v>19</v>
      </c>
      <c r="C2712" s="219" t="s">
        <v>9217</v>
      </c>
      <c r="D2712" s="220">
        <v>40339</v>
      </c>
      <c r="E2712" s="70" t="s">
        <v>2890</v>
      </c>
      <c r="F2712" s="81" t="s">
        <v>9218</v>
      </c>
      <c r="G2712" s="68" t="s">
        <v>9219</v>
      </c>
      <c r="H2712" s="81"/>
      <c r="I2712" s="81" t="s">
        <v>9220</v>
      </c>
      <c r="J2712" s="81"/>
      <c r="K2712" s="81" t="s">
        <v>27</v>
      </c>
      <c r="L2712" s="81" t="s">
        <v>120</v>
      </c>
      <c r="M2712" s="81" t="s">
        <v>141</v>
      </c>
      <c r="N2712" s="69" t="e" vm="1">
        <v>#VALUE!</v>
      </c>
      <c r="O2712" s="235">
        <v>40344</v>
      </c>
      <c r="P2712" s="81" t="s">
        <v>402</v>
      </c>
      <c r="Q2712" s="81"/>
      <c r="R2712" s="81"/>
      <c r="S2712" s="352" t="s">
        <v>9221</v>
      </c>
      <c r="T2712" s="68" t="s">
        <v>3</v>
      </c>
      <c r="U2712" s="237"/>
      <c r="V2712" s="181">
        <v>40364</v>
      </c>
      <c r="W2712" s="223">
        <v>10</v>
      </c>
      <c r="X2712" s="234">
        <f>318420/1000000</f>
        <v>0.31841999999999998</v>
      </c>
      <c r="Y2712" s="73">
        <f>IF(SUM(W2712:W2712)&gt;0,X2712/SUM(W2712:W2712)*1000000,"N/A")</f>
        <v>31841.999999999996</v>
      </c>
      <c r="Z2712" s="181"/>
      <c r="AA2712" s="181"/>
      <c r="AB2712" s="223" t="s">
        <v>9222</v>
      </c>
      <c r="AC2712" s="224"/>
      <c r="AD2712" s="337" t="s">
        <v>402</v>
      </c>
      <c r="AE2712" s="279" t="s">
        <v>402</v>
      </c>
      <c r="AF2712" s="280"/>
      <c r="AG2712" s="182">
        <f>YEAR(D2712)</f>
        <v>2010</v>
      </c>
      <c r="AH2712" s="86" t="str">
        <f>+IF(AE2712=$AJ$22,MONTH(T2712),"")</f>
        <v/>
      </c>
      <c r="AI2712" s="86" t="str">
        <f>+IF(AF2712=$AJ$22,MONTH(U2712),"")</f>
        <v/>
      </c>
      <c r="AJ2712" s="86" t="str">
        <f>+IF(AG2712=$AJ$22,MONTH(V2712),"")</f>
        <v/>
      </c>
      <c r="AK2712" s="86" t="str">
        <f>+IF(AG2712=$AK$22,MONTH(V2712),"")</f>
        <v/>
      </c>
      <c r="AL2712" s="86" t="str">
        <f>+IF(AG2712=$AL$22,MONTH(V2712),"")</f>
        <v/>
      </c>
      <c r="AM2712" s="86" t="str">
        <f>+IF($AG2712=$AM$22,MONTH($D2712),"")</f>
        <v/>
      </c>
      <c r="AN2712" s="89" t="str">
        <f>+IF($AG2712=AN$22,MONTH($D2712),"")</f>
        <v/>
      </c>
      <c r="AO2712" s="86" t="str">
        <f>+IF($AG2712=AO$22,MONTH($D2712),"")</f>
        <v/>
      </c>
      <c r="AP2712" s="86" t="str">
        <f>+IF($AG2712=AP$22,MONTH($D2712),"")</f>
        <v/>
      </c>
      <c r="AQ2712" s="86" t="str">
        <f>+IF($AG2712=AQ$22,MONTH($D2712),"")</f>
        <v/>
      </c>
      <c r="AR2712" s="86" t="str">
        <f>+IF($AG2712=AR$22,MONTH($D2712),"")</f>
        <v/>
      </c>
      <c r="AS2712" s="86" t="str">
        <f>+IF($AG2712=AS$22,MONTH($D2712),"")</f>
        <v/>
      </c>
      <c r="AT2712" s="86" t="str">
        <f>+IF($AG2712=AT$22,MONTH($D2712),"")</f>
        <v/>
      </c>
      <c r="AU2712" s="86" t="str">
        <f>+IF($AG2712=AU$22,MONTH($D2712),"")</f>
        <v/>
      </c>
      <c r="AV2712" s="86" t="str">
        <f>+IF($AG2712=AV$22,MONTH($D2712),"")</f>
        <v/>
      </c>
      <c r="AW2712" s="86" t="str">
        <f>+IF($AG2712=AW$22,MONTH($D2712),"")</f>
        <v/>
      </c>
      <c r="AX2712" s="86">
        <f>+IF($AG2712=AX$22,MONTH($D2712),"")</f>
        <v>6</v>
      </c>
      <c r="AY2712" s="89"/>
      <c r="AZ2712" s="89"/>
      <c r="BA2712" s="89"/>
      <c r="BB2712" s="89"/>
      <c r="BC2712" s="89"/>
      <c r="BD2712" s="89"/>
      <c r="BE2712" s="89"/>
      <c r="BF2712" s="89"/>
      <c r="BG2712" s="89"/>
      <c r="BH2712" s="268"/>
      <c r="BI2712" s="268"/>
      <c r="BJ2712" s="2"/>
      <c r="BK2712" s="2"/>
      <c r="BL2712" s="2"/>
      <c r="BM2712" s="2"/>
      <c r="BN2712" s="2"/>
      <c r="BO2712" s="2"/>
      <c r="BP2712" s="2"/>
    </row>
    <row r="2713" spans="1:68" s="52" customFormat="1" ht="19.5" hidden="1" customHeight="1">
      <c r="A2713" s="204">
        <f>+IFERROR(VALUE(MID(AB2713,4,4)),"")</f>
        <v>6</v>
      </c>
      <c r="B2713" s="204">
        <f>VALUE(RIGHT(C2713,LEN(C2713)-2))</f>
        <v>18</v>
      </c>
      <c r="C2713" s="219" t="s">
        <v>9223</v>
      </c>
      <c r="D2713" s="220">
        <v>40332</v>
      </c>
      <c r="E2713" s="71" t="s">
        <v>8776</v>
      </c>
      <c r="F2713" s="68" t="s">
        <v>8593</v>
      </c>
      <c r="G2713" s="68" t="s">
        <v>9224</v>
      </c>
      <c r="H2713" s="81"/>
      <c r="I2713" s="81" t="s">
        <v>9225</v>
      </c>
      <c r="J2713" s="81"/>
      <c r="K2713" s="81" t="s">
        <v>12</v>
      </c>
      <c r="L2713" s="81" t="s">
        <v>120</v>
      </c>
      <c r="M2713" s="81" t="s">
        <v>141</v>
      </c>
      <c r="N2713" s="69" t="e" vm="1">
        <v>#VALUE!</v>
      </c>
      <c r="O2713" s="235">
        <v>40334</v>
      </c>
      <c r="P2713" s="81" t="s">
        <v>402</v>
      </c>
      <c r="Q2713" s="81"/>
      <c r="R2713" s="81"/>
      <c r="S2713" s="352" t="s">
        <v>9226</v>
      </c>
      <c r="T2713" s="68" t="s">
        <v>3</v>
      </c>
      <c r="U2713" s="237"/>
      <c r="V2713" s="181">
        <v>40364</v>
      </c>
      <c r="W2713" s="223">
        <v>415</v>
      </c>
      <c r="X2713" s="234">
        <v>10.359054</v>
      </c>
      <c r="Y2713" s="73">
        <f>IF(SUM(W2713:W2713)&gt;0,X2713/SUM(W2713:W2713)*1000000,"N/A")</f>
        <v>24961.575903614459</v>
      </c>
      <c r="Z2713" s="181"/>
      <c r="AA2713" s="181"/>
      <c r="AB2713" s="223" t="s">
        <v>9227</v>
      </c>
      <c r="AC2713" s="278"/>
      <c r="AD2713" s="337" t="s">
        <v>402</v>
      </c>
      <c r="AE2713" s="279" t="s">
        <v>402</v>
      </c>
      <c r="AF2713" s="280"/>
      <c r="AG2713" s="182">
        <f>YEAR(D2713)</f>
        <v>2010</v>
      </c>
      <c r="AH2713" s="86" t="str">
        <f>+IF(AE2713=$AJ$22,MONTH(T2713),"")</f>
        <v/>
      </c>
      <c r="AI2713" s="86" t="str">
        <f>+IF(AF2713=$AJ$22,MONTH(U2713),"")</f>
        <v/>
      </c>
      <c r="AJ2713" s="86" t="str">
        <f>+IF(AG2713=$AJ$22,MONTH(V2713),"")</f>
        <v/>
      </c>
      <c r="AK2713" s="86" t="str">
        <f>+IF(AG2713=$AK$22,MONTH(V2713),"")</f>
        <v/>
      </c>
      <c r="AL2713" s="86" t="str">
        <f>+IF(AG2713=$AL$22,MONTH(V2713),"")</f>
        <v/>
      </c>
      <c r="AM2713" s="86" t="str">
        <f>+IF($AG2713=$AM$22,MONTH($D2713),"")</f>
        <v/>
      </c>
      <c r="AN2713" s="89" t="str">
        <f>+IF($AG2713=AN$22,MONTH($D2713),"")</f>
        <v/>
      </c>
      <c r="AO2713" s="86" t="str">
        <f>+IF($AG2713=AO$22,MONTH($D2713),"")</f>
        <v/>
      </c>
      <c r="AP2713" s="86" t="str">
        <f>+IF($AG2713=AP$22,MONTH($D2713),"")</f>
        <v/>
      </c>
      <c r="AQ2713" s="86" t="str">
        <f>+IF($AG2713=AQ$22,MONTH($D2713),"")</f>
        <v/>
      </c>
      <c r="AR2713" s="86" t="str">
        <f>+IF($AG2713=AR$22,MONTH($D2713),"")</f>
        <v/>
      </c>
      <c r="AS2713" s="86" t="str">
        <f>+IF($AG2713=AS$22,MONTH($D2713),"")</f>
        <v/>
      </c>
      <c r="AT2713" s="86" t="str">
        <f>+IF($AG2713=AT$22,MONTH($D2713),"")</f>
        <v/>
      </c>
      <c r="AU2713" s="86" t="str">
        <f>+IF($AG2713=AU$22,MONTH($D2713),"")</f>
        <v/>
      </c>
      <c r="AV2713" s="86" t="str">
        <f>+IF($AG2713=AV$22,MONTH($D2713),"")</f>
        <v/>
      </c>
      <c r="AW2713" s="86" t="str">
        <f>+IF($AG2713=AW$22,MONTH($D2713),"")</f>
        <v/>
      </c>
      <c r="AX2713" s="86">
        <f>+IF($AG2713=AX$22,MONTH($D2713),"")</f>
        <v>6</v>
      </c>
      <c r="AY2713" s="89"/>
      <c r="AZ2713" s="89"/>
      <c r="BA2713" s="89"/>
      <c r="BB2713" s="89"/>
      <c r="BC2713" s="89"/>
      <c r="BD2713" s="89"/>
      <c r="BE2713" s="89"/>
      <c r="BF2713" s="89"/>
      <c r="BG2713" s="89"/>
      <c r="BH2713" s="268"/>
      <c r="BI2713" s="268"/>
      <c r="BJ2713" s="2"/>
      <c r="BK2713" s="2"/>
      <c r="BL2713" s="2"/>
      <c r="BM2713" s="2"/>
      <c r="BN2713" s="2"/>
      <c r="BO2713" s="2"/>
      <c r="BP2713" s="2"/>
    </row>
    <row r="2714" spans="1:68" s="52" customFormat="1" ht="19.5" hidden="1" customHeight="1">
      <c r="A2714" s="204">
        <f>+IFERROR(VALUE(MID(AB2714,4,4)),"")</f>
        <v>8</v>
      </c>
      <c r="B2714" s="204">
        <f>VALUE(RIGHT(C2714,LEN(C2714)-2))</f>
        <v>17</v>
      </c>
      <c r="C2714" s="219" t="s">
        <v>9228</v>
      </c>
      <c r="D2714" s="220">
        <v>40326</v>
      </c>
      <c r="E2714" s="68" t="s">
        <v>8776</v>
      </c>
      <c r="F2714" s="71" t="s">
        <v>10</v>
      </c>
      <c r="G2714" s="68" t="s">
        <v>8853</v>
      </c>
      <c r="H2714" s="81"/>
      <c r="I2714" s="81" t="s">
        <v>9229</v>
      </c>
      <c r="J2714" s="81"/>
      <c r="K2714" s="81" t="s">
        <v>9</v>
      </c>
      <c r="L2714" s="81" t="s">
        <v>120</v>
      </c>
      <c r="M2714" s="81" t="s">
        <v>141</v>
      </c>
      <c r="N2714" s="69" t="e" vm="1">
        <v>#VALUE!</v>
      </c>
      <c r="O2714" s="235">
        <v>40344</v>
      </c>
      <c r="P2714" s="81" t="s">
        <v>9209</v>
      </c>
      <c r="Q2714" s="81"/>
      <c r="R2714" s="81"/>
      <c r="S2714" s="355" t="s">
        <v>9230</v>
      </c>
      <c r="T2714" s="68" t="s">
        <v>3</v>
      </c>
      <c r="U2714" s="237"/>
      <c r="V2714" s="181">
        <v>40360</v>
      </c>
      <c r="W2714" s="223">
        <v>30</v>
      </c>
      <c r="X2714" s="234">
        <v>0.48399999999999999</v>
      </c>
      <c r="Y2714" s="73">
        <f>IF(SUM(W2714:W2714)&gt;0,X2714/SUM(W2714:W2714)*1000000,"N/A")</f>
        <v>16133.333333333332</v>
      </c>
      <c r="Z2714" s="181"/>
      <c r="AA2714" s="181"/>
      <c r="AB2714" s="223" t="s">
        <v>9231</v>
      </c>
      <c r="AC2714" s="224"/>
      <c r="AD2714" s="337" t="s">
        <v>8338</v>
      </c>
      <c r="AE2714" s="279" t="s">
        <v>8338</v>
      </c>
      <c r="AF2714" s="280"/>
      <c r="AG2714" s="182">
        <f>YEAR(D2714)</f>
        <v>2010</v>
      </c>
      <c r="AH2714" s="86" t="str">
        <f>+IF(AE2714=$AJ$22,MONTH(T2714),"")</f>
        <v/>
      </c>
      <c r="AI2714" s="86" t="str">
        <f>+IF(AF2714=$AJ$22,MONTH(U2714),"")</f>
        <v/>
      </c>
      <c r="AJ2714" s="86" t="str">
        <f>+IF(AG2714=$AJ$22,MONTH(V2714),"")</f>
        <v/>
      </c>
      <c r="AK2714" s="86" t="str">
        <f>+IF(AG2714=$AK$22,MONTH(V2714),"")</f>
        <v/>
      </c>
      <c r="AL2714" s="86" t="str">
        <f>+IF(AG2714=$AL$22,MONTH(V2714),"")</f>
        <v/>
      </c>
      <c r="AM2714" s="86" t="str">
        <f>+IF($AG2714=$AM$22,MONTH($D2714),"")</f>
        <v/>
      </c>
      <c r="AN2714" s="89" t="str">
        <f>+IF($AG2714=AN$22,MONTH($D2714),"")</f>
        <v/>
      </c>
      <c r="AO2714" s="86" t="str">
        <f>+IF($AG2714=AO$22,MONTH($D2714),"")</f>
        <v/>
      </c>
      <c r="AP2714" s="86" t="str">
        <f>+IF($AG2714=AP$22,MONTH($D2714),"")</f>
        <v/>
      </c>
      <c r="AQ2714" s="86" t="str">
        <f>+IF($AG2714=AQ$22,MONTH($D2714),"")</f>
        <v/>
      </c>
      <c r="AR2714" s="86" t="str">
        <f>+IF($AG2714=AR$22,MONTH($D2714),"")</f>
        <v/>
      </c>
      <c r="AS2714" s="86" t="str">
        <f>+IF($AG2714=AS$22,MONTH($D2714),"")</f>
        <v/>
      </c>
      <c r="AT2714" s="86" t="str">
        <f>+IF($AG2714=AT$22,MONTH($D2714),"")</f>
        <v/>
      </c>
      <c r="AU2714" s="86" t="str">
        <f>+IF($AG2714=AU$22,MONTH($D2714),"")</f>
        <v/>
      </c>
      <c r="AV2714" s="86" t="str">
        <f>+IF($AG2714=AV$22,MONTH($D2714),"")</f>
        <v/>
      </c>
      <c r="AW2714" s="86" t="str">
        <f>+IF($AG2714=AW$22,MONTH($D2714),"")</f>
        <v/>
      </c>
      <c r="AX2714" s="86">
        <f>+IF($AG2714=AX$22,MONTH($D2714),"")</f>
        <v>5</v>
      </c>
      <c r="AY2714" s="89"/>
      <c r="AZ2714" s="89"/>
      <c r="BA2714" s="89"/>
      <c r="BB2714" s="89"/>
      <c r="BC2714" s="89"/>
      <c r="BD2714" s="89"/>
      <c r="BE2714" s="89"/>
      <c r="BF2714" s="89"/>
      <c r="BG2714" s="89"/>
      <c r="BH2714" s="268"/>
      <c r="BI2714" s="268"/>
      <c r="BJ2714" s="2"/>
      <c r="BK2714" s="2"/>
      <c r="BL2714" s="2"/>
      <c r="BM2714" s="2"/>
      <c r="BN2714" s="2"/>
      <c r="BO2714" s="2"/>
      <c r="BP2714" s="2"/>
    </row>
    <row r="2715" spans="1:68" s="52" customFormat="1" ht="19.5" hidden="1" customHeight="1">
      <c r="A2715" s="204">
        <f>+IFERROR(VALUE(MID(AB2715,4,4)),"")</f>
        <v>5</v>
      </c>
      <c r="B2715" s="204">
        <f>VALUE(RIGHT(C2715,LEN(C2715)-2))</f>
        <v>16</v>
      </c>
      <c r="C2715" s="219" t="s">
        <v>9232</v>
      </c>
      <c r="D2715" s="220">
        <v>40322</v>
      </c>
      <c r="E2715" s="71" t="s">
        <v>8776</v>
      </c>
      <c r="F2715" s="81" t="s">
        <v>9233</v>
      </c>
      <c r="G2715" s="68" t="s">
        <v>936</v>
      </c>
      <c r="H2715" s="81"/>
      <c r="I2715" s="81" t="s">
        <v>9234</v>
      </c>
      <c r="J2715" s="81"/>
      <c r="K2715" s="81" t="s">
        <v>14</v>
      </c>
      <c r="L2715" s="81" t="s">
        <v>120</v>
      </c>
      <c r="M2715" s="81" t="s">
        <v>113</v>
      </c>
      <c r="N2715" s="69" t="e" vm="3">
        <v>#VALUE!</v>
      </c>
      <c r="O2715" s="235">
        <v>40322</v>
      </c>
      <c r="P2715" s="81" t="s">
        <v>402</v>
      </c>
      <c r="Q2715" s="81"/>
      <c r="R2715" s="81"/>
      <c r="S2715" s="355" t="s">
        <v>9235</v>
      </c>
      <c r="T2715" s="68" t="s">
        <v>3</v>
      </c>
      <c r="U2715" s="237"/>
      <c r="V2715" s="181">
        <v>40421</v>
      </c>
      <c r="W2715" s="223">
        <v>207</v>
      </c>
      <c r="X2715" s="234">
        <f>5554227/1000000</f>
        <v>5.554227</v>
      </c>
      <c r="Y2715" s="73">
        <f>IF(SUM(W2715:W2715)&gt;0,X2715/SUM(W2715:W2715)*1000000,"N/A")</f>
        <v>26832.014492753624</v>
      </c>
      <c r="Z2715" s="181"/>
      <c r="AA2715" s="181"/>
      <c r="AB2715" s="223" t="s">
        <v>9236</v>
      </c>
      <c r="AC2715" s="224"/>
      <c r="AD2715" s="337" t="s">
        <v>402</v>
      </c>
      <c r="AE2715" s="279" t="s">
        <v>402</v>
      </c>
      <c r="AF2715" s="280"/>
      <c r="AG2715" s="182">
        <f>YEAR(D2715)</f>
        <v>2010</v>
      </c>
      <c r="AH2715" s="86" t="str">
        <f>+IF(AE2715=$AJ$22,MONTH(T2715),"")</f>
        <v/>
      </c>
      <c r="AI2715" s="86" t="str">
        <f>+IF(AF2715=$AJ$22,MONTH(U2715),"")</f>
        <v/>
      </c>
      <c r="AJ2715" s="86" t="str">
        <f>+IF(AG2715=$AJ$22,MONTH(V2715),"")</f>
        <v/>
      </c>
      <c r="AK2715" s="86" t="str">
        <f>+IF(AG2715=$AK$22,MONTH(V2715),"")</f>
        <v/>
      </c>
      <c r="AL2715" s="86" t="str">
        <f>+IF(AG2715=$AL$22,MONTH(V2715),"")</f>
        <v/>
      </c>
      <c r="AM2715" s="86" t="str">
        <f>+IF($AG2715=$AM$22,MONTH($D2715),"")</f>
        <v/>
      </c>
      <c r="AN2715" s="89" t="str">
        <f>+IF($AG2715=AN$22,MONTH($D2715),"")</f>
        <v/>
      </c>
      <c r="AO2715" s="86" t="str">
        <f>+IF($AG2715=AO$22,MONTH($D2715),"")</f>
        <v/>
      </c>
      <c r="AP2715" s="86" t="str">
        <f>+IF($AG2715=AP$22,MONTH($D2715),"")</f>
        <v/>
      </c>
      <c r="AQ2715" s="86" t="str">
        <f>+IF($AG2715=AQ$22,MONTH($D2715),"")</f>
        <v/>
      </c>
      <c r="AR2715" s="86" t="str">
        <f>+IF($AG2715=AR$22,MONTH($D2715),"")</f>
        <v/>
      </c>
      <c r="AS2715" s="86" t="str">
        <f>+IF($AG2715=AS$22,MONTH($D2715),"")</f>
        <v/>
      </c>
      <c r="AT2715" s="86" t="str">
        <f>+IF($AG2715=AT$22,MONTH($D2715),"")</f>
        <v/>
      </c>
      <c r="AU2715" s="86" t="str">
        <f>+IF($AG2715=AU$22,MONTH($D2715),"")</f>
        <v/>
      </c>
      <c r="AV2715" s="86" t="str">
        <f>+IF($AG2715=AV$22,MONTH($D2715),"")</f>
        <v/>
      </c>
      <c r="AW2715" s="86" t="str">
        <f>+IF($AG2715=AW$22,MONTH($D2715),"")</f>
        <v/>
      </c>
      <c r="AX2715" s="86">
        <f>+IF($AG2715=AX$22,MONTH($D2715),"")</f>
        <v>5</v>
      </c>
      <c r="AY2715" s="89"/>
      <c r="AZ2715" s="89"/>
      <c r="BA2715" s="89"/>
      <c r="BB2715" s="89"/>
      <c r="BC2715" s="89"/>
      <c r="BD2715" s="89"/>
      <c r="BE2715" s="89"/>
      <c r="BF2715" s="89"/>
      <c r="BG2715" s="89"/>
      <c r="BH2715" s="268"/>
      <c r="BI2715" s="268"/>
      <c r="BJ2715" s="2"/>
      <c r="BK2715" s="2"/>
      <c r="BL2715" s="2"/>
      <c r="BM2715" s="2"/>
      <c r="BN2715" s="2"/>
      <c r="BO2715" s="2"/>
      <c r="BP2715" s="2"/>
    </row>
    <row r="2716" spans="1:68" s="52" customFormat="1" ht="19.5" hidden="1" customHeight="1">
      <c r="A2716" s="204" t="str">
        <f>+IFERROR(VALUE(MID(AB2716,4,4)),"")</f>
        <v/>
      </c>
      <c r="B2716" s="204">
        <f>VALUE(RIGHT(C2716,LEN(C2716)-2))</f>
        <v>15</v>
      </c>
      <c r="C2716" s="219" t="s">
        <v>9237</v>
      </c>
      <c r="D2716" s="220">
        <v>40315</v>
      </c>
      <c r="E2716" s="71" t="s">
        <v>95</v>
      </c>
      <c r="F2716" s="71" t="s">
        <v>95</v>
      </c>
      <c r="G2716" s="68" t="s">
        <v>7766</v>
      </c>
      <c r="H2716" s="81"/>
      <c r="I2716" s="81" t="s">
        <v>9238</v>
      </c>
      <c r="J2716" s="81"/>
      <c r="K2716" s="81" t="s">
        <v>13</v>
      </c>
      <c r="L2716" s="81" t="s">
        <v>120</v>
      </c>
      <c r="M2716" s="81" t="s">
        <v>113</v>
      </c>
      <c r="N2716" s="69" t="e" vm="13">
        <v>#VALUE!</v>
      </c>
      <c r="O2716" s="235">
        <v>40315</v>
      </c>
      <c r="P2716" s="81" t="s">
        <v>4567</v>
      </c>
      <c r="Q2716" s="81"/>
      <c r="R2716" s="81"/>
      <c r="S2716" s="352" t="s">
        <v>9239</v>
      </c>
      <c r="T2716" s="68" t="s">
        <v>165</v>
      </c>
      <c r="U2716" s="237"/>
      <c r="V2716" s="181">
        <v>40360</v>
      </c>
      <c r="W2716" s="223">
        <v>1330</v>
      </c>
      <c r="X2716" s="234">
        <f>(370*60+960*35)*540/1000000</f>
        <v>30.132000000000001</v>
      </c>
      <c r="Y2716" s="73">
        <f>IF(SUM(W2716:W2716)&gt;0,X2716/SUM(W2716:W2716)*1000000,"N/A")</f>
        <v>22655.639097744363</v>
      </c>
      <c r="Z2716" s="181"/>
      <c r="AA2716" s="181"/>
      <c r="AB2716" s="223"/>
      <c r="AC2716" s="224"/>
      <c r="AD2716" s="337" t="s">
        <v>9240</v>
      </c>
      <c r="AE2716" s="279" t="s">
        <v>9240</v>
      </c>
      <c r="AF2716" s="280"/>
      <c r="AG2716" s="182">
        <f>YEAR(D2716)</f>
        <v>2010</v>
      </c>
      <c r="AH2716" s="86" t="str">
        <f>+IF(AE2716=$AJ$22,MONTH(T2716),"")</f>
        <v/>
      </c>
      <c r="AI2716" s="86" t="str">
        <f>+IF(AF2716=$AJ$22,MONTH(U2716),"")</f>
        <v/>
      </c>
      <c r="AJ2716" s="86" t="str">
        <f>+IF(AG2716=$AJ$22,MONTH(V2716),"")</f>
        <v/>
      </c>
      <c r="AK2716" s="86" t="str">
        <f>+IF(AG2716=$AK$22,MONTH(V2716),"")</f>
        <v/>
      </c>
      <c r="AL2716" s="86" t="str">
        <f>+IF(AG2716=$AL$22,MONTH(V2716),"")</f>
        <v/>
      </c>
      <c r="AM2716" s="86" t="str">
        <f>+IF($AG2716=$AM$22,MONTH($D2716),"")</f>
        <v/>
      </c>
      <c r="AN2716" s="89" t="str">
        <f>+IF($AG2716=AN$22,MONTH($D2716),"")</f>
        <v/>
      </c>
      <c r="AO2716" s="184" t="str">
        <f>+IF($AG2716=AO$22,MONTH($D2716),"")</f>
        <v/>
      </c>
      <c r="AP2716" s="184" t="str">
        <f>+IF($AG2716=AP$22,MONTH($D2716),"")</f>
        <v/>
      </c>
      <c r="AQ2716" s="184" t="str">
        <f>+IF($AG2716=AQ$22,MONTH($D2716),"")</f>
        <v/>
      </c>
      <c r="AR2716" s="184" t="str">
        <f>+IF($AG2716=AR$22,MONTH($D2716),"")</f>
        <v/>
      </c>
      <c r="AS2716" s="184" t="str">
        <f>+IF($AG2716=AS$22,MONTH($D2716),"")</f>
        <v/>
      </c>
      <c r="AT2716" s="86" t="str">
        <f>+IF($AG2716=AT$22,MONTH($D2716),"")</f>
        <v/>
      </c>
      <c r="AU2716" s="86" t="str">
        <f>+IF($AG2716=AU$22,MONTH($D2716),"")</f>
        <v/>
      </c>
      <c r="AV2716" s="86" t="str">
        <f>+IF($AG2716=AV$22,MONTH($D2716),"")</f>
        <v/>
      </c>
      <c r="AW2716" s="86" t="str">
        <f>+IF($AG2716=AW$22,MONTH($D2716),"")</f>
        <v/>
      </c>
      <c r="AX2716" s="86">
        <f>+IF($AG2716=AX$22,MONTH($D2716),"")</f>
        <v>5</v>
      </c>
      <c r="AY2716" s="89"/>
      <c r="AZ2716" s="89"/>
      <c r="BA2716" s="89"/>
      <c r="BB2716" s="89"/>
      <c r="BC2716" s="89"/>
      <c r="BD2716" s="89"/>
      <c r="BE2716" s="89"/>
      <c r="BF2716" s="89"/>
      <c r="BG2716" s="89"/>
      <c r="BH2716" s="268"/>
      <c r="BI2716" s="268"/>
      <c r="BJ2716" s="2"/>
      <c r="BK2716" s="2"/>
      <c r="BL2716" s="2"/>
      <c r="BM2716" s="2"/>
      <c r="BN2716" s="2"/>
      <c r="BO2716" s="2"/>
      <c r="BP2716" s="2"/>
    </row>
    <row r="2717" spans="1:68" s="52" customFormat="1" ht="19.5" hidden="1" customHeight="1">
      <c r="A2717" s="204" t="str">
        <f>+IFERROR(VALUE(MID(AB2717,4,4)),"")</f>
        <v/>
      </c>
      <c r="B2717" s="204">
        <f>VALUE(RIGHT(C2717,LEN(C2717)-2))</f>
        <v>14</v>
      </c>
      <c r="C2717" s="219" t="s">
        <v>9241</v>
      </c>
      <c r="D2717" s="220">
        <v>40315</v>
      </c>
      <c r="E2717" s="71" t="s">
        <v>8776</v>
      </c>
      <c r="F2717" s="81" t="s">
        <v>9242</v>
      </c>
      <c r="G2717" s="68" t="s">
        <v>936</v>
      </c>
      <c r="H2717" s="81"/>
      <c r="I2717" s="81" t="s">
        <v>9243</v>
      </c>
      <c r="J2717" s="81"/>
      <c r="K2717" s="81" t="s">
        <v>13</v>
      </c>
      <c r="L2717" s="81" t="s">
        <v>120</v>
      </c>
      <c r="M2717" s="81" t="s">
        <v>141</v>
      </c>
      <c r="N2717" s="69" t="e" vm="1">
        <v>#VALUE!</v>
      </c>
      <c r="O2717" s="181">
        <v>40314</v>
      </c>
      <c r="P2717" s="81" t="s">
        <v>402</v>
      </c>
      <c r="Q2717" s="81"/>
      <c r="R2717" s="81"/>
      <c r="S2717" s="352" t="s">
        <v>9244</v>
      </c>
      <c r="T2717" s="68" t="s">
        <v>9053</v>
      </c>
      <c r="U2717" s="237"/>
      <c r="V2717" s="181">
        <v>40340</v>
      </c>
      <c r="W2717" s="223">
        <v>1050</v>
      </c>
      <c r="X2717" s="234">
        <v>25</v>
      </c>
      <c r="Y2717" s="73">
        <f>IF(SUM(W2717:W2717)&gt;0,X2717/SUM(W2717:W2717)*1000000,"N/A")</f>
        <v>23809.523809523809</v>
      </c>
      <c r="Z2717" s="181"/>
      <c r="AA2717" s="181"/>
      <c r="AB2717" s="223"/>
      <c r="AC2717" s="224"/>
      <c r="AD2717" s="337"/>
      <c r="AE2717" s="279"/>
      <c r="AF2717" s="280"/>
      <c r="AG2717" s="182">
        <f>YEAR(D2717)</f>
        <v>2010</v>
      </c>
      <c r="AH2717" s="86" t="str">
        <f>+IF(AE2717=$AJ$22,MONTH(T2717),"")</f>
        <v/>
      </c>
      <c r="AI2717" s="86" t="str">
        <f>+IF(AF2717=$AJ$22,MONTH(U2717),"")</f>
        <v/>
      </c>
      <c r="AJ2717" s="86" t="str">
        <f>+IF(AG2717=$AJ$22,MONTH(V2717),"")</f>
        <v/>
      </c>
      <c r="AK2717" s="86" t="str">
        <f>+IF(AG2717=$AK$22,MONTH(V2717),"")</f>
        <v/>
      </c>
      <c r="AL2717" s="86" t="str">
        <f>+IF(AG2717=$AL$22,MONTH(V2717),"")</f>
        <v/>
      </c>
      <c r="AM2717" s="86" t="str">
        <f>+IF($AG2717=$AM$22,MONTH($D2717),"")</f>
        <v/>
      </c>
      <c r="AN2717" s="89" t="str">
        <f>+IF($AG2717=AN$22,MONTH($D2717),"")</f>
        <v/>
      </c>
      <c r="AO2717" s="184" t="str">
        <f>+IF($AG2717=AO$22,MONTH($D2717),"")</f>
        <v/>
      </c>
      <c r="AP2717" s="184" t="str">
        <f>+IF($AG2717=AP$22,MONTH($D2717),"")</f>
        <v/>
      </c>
      <c r="AQ2717" s="184" t="str">
        <f>+IF($AG2717=AQ$22,MONTH($D2717),"")</f>
        <v/>
      </c>
      <c r="AR2717" s="184" t="str">
        <f>+IF($AG2717=AR$22,MONTH($D2717),"")</f>
        <v/>
      </c>
      <c r="AS2717" s="184" t="str">
        <f>+IF($AG2717=AS$22,MONTH($D2717),"")</f>
        <v/>
      </c>
      <c r="AT2717" s="86" t="str">
        <f>+IF($AG2717=AT$22,MONTH($D2717),"")</f>
        <v/>
      </c>
      <c r="AU2717" s="86" t="str">
        <f>+IF($AG2717=AU$22,MONTH($D2717),"")</f>
        <v/>
      </c>
      <c r="AV2717" s="86" t="str">
        <f>+IF($AG2717=AV$22,MONTH($D2717),"")</f>
        <v/>
      </c>
      <c r="AW2717" s="86" t="str">
        <f>+IF($AG2717=AW$22,MONTH($D2717),"")</f>
        <v/>
      </c>
      <c r="AX2717" s="86">
        <f>+IF($AG2717=AX$22,MONTH($D2717),"")</f>
        <v>5</v>
      </c>
      <c r="AY2717" s="89"/>
      <c r="AZ2717" s="89"/>
      <c r="BA2717" s="89"/>
      <c r="BB2717" s="89"/>
      <c r="BC2717" s="89"/>
      <c r="BD2717" s="89"/>
      <c r="BE2717" s="89"/>
      <c r="BF2717" s="89"/>
      <c r="BG2717" s="89"/>
      <c r="BH2717" s="268"/>
      <c r="BI2717" s="268"/>
      <c r="BJ2717" s="2"/>
      <c r="BK2717" s="2"/>
      <c r="BL2717" s="2"/>
      <c r="BM2717" s="2"/>
      <c r="BN2717" s="2"/>
      <c r="BO2717" s="2"/>
      <c r="BP2717" s="2"/>
    </row>
    <row r="2718" spans="1:68" s="52" customFormat="1" ht="19.5" hidden="1" customHeight="1">
      <c r="A2718" s="204">
        <f>+IFERROR(VALUE(MID(AB2718,4,4)),"")</f>
        <v>4</v>
      </c>
      <c r="B2718" s="204">
        <f>VALUE(RIGHT(C2718,LEN(C2718)-2))</f>
        <v>13</v>
      </c>
      <c r="C2718" s="219" t="s">
        <v>9245</v>
      </c>
      <c r="D2718" s="238">
        <v>40315</v>
      </c>
      <c r="E2718" s="71" t="s">
        <v>95</v>
      </c>
      <c r="F2718" s="81" t="s">
        <v>95</v>
      </c>
      <c r="G2718" s="68" t="s">
        <v>7766</v>
      </c>
      <c r="H2718" s="81"/>
      <c r="I2718" s="81" t="s">
        <v>9246</v>
      </c>
      <c r="J2718" s="81"/>
      <c r="K2718" s="81" t="s">
        <v>13</v>
      </c>
      <c r="L2718" s="81" t="s">
        <v>120</v>
      </c>
      <c r="M2718" s="81" t="s">
        <v>113</v>
      </c>
      <c r="N2718" s="69" t="e" vm="13">
        <v>#VALUE!</v>
      </c>
      <c r="O2718" s="235">
        <v>40315</v>
      </c>
      <c r="P2718" s="81" t="s">
        <v>4567</v>
      </c>
      <c r="Q2718" s="81"/>
      <c r="R2718" s="81"/>
      <c r="S2718" s="352" t="s">
        <v>9247</v>
      </c>
      <c r="T2718" s="68" t="s">
        <v>3</v>
      </c>
      <c r="U2718" s="237"/>
      <c r="V2718" s="181">
        <v>40421</v>
      </c>
      <c r="W2718" s="223">
        <v>916</v>
      </c>
      <c r="X2718" s="242">
        <f>(17741336+7830*473.75)/1000000</f>
        <v>21.450798500000001</v>
      </c>
      <c r="Y2718" s="73">
        <f>IF(SUM(W2718:W2718)&gt;0,X2718/SUM(W2718:W2718)*1000000,"N/A")</f>
        <v>23417.902292576418</v>
      </c>
      <c r="Z2718" s="181"/>
      <c r="AA2718" s="181"/>
      <c r="AB2718" s="223" t="s">
        <v>9248</v>
      </c>
      <c r="AC2718" s="224"/>
      <c r="AD2718" s="337" t="s">
        <v>9240</v>
      </c>
      <c r="AE2718" s="279" t="s">
        <v>9240</v>
      </c>
      <c r="AF2718" s="280"/>
      <c r="AG2718" s="182">
        <f>YEAR(D2718)</f>
        <v>2010</v>
      </c>
      <c r="AH2718" s="86" t="str">
        <f>+IF(AE2718=$AJ$22,MONTH(T2718),"")</f>
        <v/>
      </c>
      <c r="AI2718" s="86" t="str">
        <f>+IF(AF2718=$AJ$22,MONTH(U2718),"")</f>
        <v/>
      </c>
      <c r="AJ2718" s="86" t="str">
        <f>+IF(AG2718=$AJ$22,MONTH(V2718),"")</f>
        <v/>
      </c>
      <c r="AK2718" s="86" t="str">
        <f>+IF(AG2718=$AK$22,MONTH(V2718),"")</f>
        <v/>
      </c>
      <c r="AL2718" s="86" t="str">
        <f>+IF(AG2718=$AL$22,MONTH(V2718),"")</f>
        <v/>
      </c>
      <c r="AM2718" s="86" t="str">
        <f>+IF($AG2718=$AM$22,MONTH($D2718),"")</f>
        <v/>
      </c>
      <c r="AN2718" s="89" t="str">
        <f>+IF($AG2718=AN$22,MONTH($D2718),"")</f>
        <v/>
      </c>
      <c r="AO2718" s="86" t="str">
        <f>+IF($AG2718=AO$22,MONTH($D2718),"")</f>
        <v/>
      </c>
      <c r="AP2718" s="86" t="str">
        <f>+IF($AG2718=AP$22,MONTH($D2718),"")</f>
        <v/>
      </c>
      <c r="AQ2718" s="86" t="str">
        <f>+IF($AG2718=AQ$22,MONTH($D2718),"")</f>
        <v/>
      </c>
      <c r="AR2718" s="86" t="str">
        <f>+IF($AG2718=AR$22,MONTH($D2718),"")</f>
        <v/>
      </c>
      <c r="AS2718" s="86" t="str">
        <f>+IF($AG2718=AS$22,MONTH($D2718),"")</f>
        <v/>
      </c>
      <c r="AT2718" s="86" t="str">
        <f>+IF($AG2718=AT$22,MONTH($D2718),"")</f>
        <v/>
      </c>
      <c r="AU2718" s="86" t="str">
        <f>+IF($AG2718=AU$22,MONTH($D2718),"")</f>
        <v/>
      </c>
      <c r="AV2718" s="86" t="str">
        <f>+IF($AG2718=AV$22,MONTH($D2718),"")</f>
        <v/>
      </c>
      <c r="AW2718" s="86" t="str">
        <f>+IF($AG2718=AW$22,MONTH($D2718),"")</f>
        <v/>
      </c>
      <c r="AX2718" s="86">
        <f>+IF($AG2718=AX$22,MONTH($D2718),"")</f>
        <v>5</v>
      </c>
      <c r="AY2718" s="89"/>
      <c r="AZ2718" s="89"/>
      <c r="BA2718" s="89"/>
      <c r="BB2718" s="89"/>
      <c r="BC2718" s="89"/>
      <c r="BD2718" s="89"/>
      <c r="BE2718" s="89"/>
      <c r="BF2718" s="89"/>
      <c r="BG2718" s="89"/>
      <c r="BH2718" s="268"/>
      <c r="BI2718" s="268"/>
      <c r="BJ2718" s="2"/>
      <c r="BK2718" s="2"/>
      <c r="BL2718" s="2"/>
      <c r="BM2718" s="2"/>
      <c r="BN2718" s="2"/>
      <c r="BO2718" s="2"/>
      <c r="BP2718" s="2"/>
    </row>
    <row r="2719" spans="1:68" s="52" customFormat="1" ht="19.5" hidden="1" customHeight="1">
      <c r="A2719" s="204" t="str">
        <f>+IFERROR(VALUE(MID(AB2719,4,4)),"")</f>
        <v/>
      </c>
      <c r="B2719" s="204">
        <f>VALUE(RIGHT(C2719,LEN(C2719)-2))</f>
        <v>12</v>
      </c>
      <c r="C2719" s="219" t="s">
        <v>9249</v>
      </c>
      <c r="D2719" s="220">
        <v>40306</v>
      </c>
      <c r="E2719" s="71" t="s">
        <v>9250</v>
      </c>
      <c r="F2719" s="71" t="s">
        <v>9251</v>
      </c>
      <c r="G2719" s="68" t="s">
        <v>9252</v>
      </c>
      <c r="H2719" s="71"/>
      <c r="I2719" s="71" t="s">
        <v>9253</v>
      </c>
      <c r="J2719" s="71"/>
      <c r="K2719" s="71" t="s">
        <v>3389</v>
      </c>
      <c r="L2719" s="71" t="s">
        <v>123</v>
      </c>
      <c r="M2719" s="71" t="s">
        <v>141</v>
      </c>
      <c r="N2719" s="68" t="e" vm="1">
        <v>#VALUE!</v>
      </c>
      <c r="O2719" s="181">
        <v>40287</v>
      </c>
      <c r="P2719" s="71" t="s">
        <v>402</v>
      </c>
      <c r="Q2719" s="71"/>
      <c r="R2719" s="71"/>
      <c r="S2719" s="277" t="s">
        <v>9254</v>
      </c>
      <c r="T2719" s="68" t="s">
        <v>165</v>
      </c>
      <c r="U2719" s="237"/>
      <c r="V2719" s="181">
        <v>40360</v>
      </c>
      <c r="W2719" s="223">
        <v>7317</v>
      </c>
      <c r="X2719" s="234">
        <f>9971*21000/1000000</f>
        <v>209.39099999999999</v>
      </c>
      <c r="Y2719" s="73">
        <f>IF(SUM(W2719:W2719)&gt;0,X2719/SUM(W2719:W2719)*1000000,"N/A")</f>
        <v>28617.056170561704</v>
      </c>
      <c r="Z2719" s="181"/>
      <c r="AA2719" s="181"/>
      <c r="AB2719" s="223"/>
      <c r="AC2719" s="224"/>
      <c r="AD2719" s="337"/>
      <c r="AE2719" s="279"/>
      <c r="AF2719" s="280"/>
      <c r="AG2719" s="182">
        <f>YEAR(D2719)</f>
        <v>2010</v>
      </c>
      <c r="AH2719" s="86" t="str">
        <f>+IF(AE2719=$AJ$22,MONTH(T2719),"")</f>
        <v/>
      </c>
      <c r="AI2719" s="86" t="str">
        <f>+IF(AF2719=$AJ$22,MONTH(U2719),"")</f>
        <v/>
      </c>
      <c r="AJ2719" s="86" t="str">
        <f>+IF(AG2719=$AJ$22,MONTH(V2719),"")</f>
        <v/>
      </c>
      <c r="AK2719" s="86" t="str">
        <f>+IF(AG2719=$AK$22,MONTH(V2719),"")</f>
        <v/>
      </c>
      <c r="AL2719" s="86" t="str">
        <f>+IF(AG2719=$AL$22,MONTH(V2719),"")</f>
        <v/>
      </c>
      <c r="AM2719" s="86" t="str">
        <f>+IF($AG2719=$AM$22,MONTH($D2719),"")</f>
        <v/>
      </c>
      <c r="AN2719" s="89" t="str">
        <f>+IF($AG2719=AN$22,MONTH($D2719),"")</f>
        <v/>
      </c>
      <c r="AO2719" s="184" t="str">
        <f>+IF($AG2719=AO$22,MONTH($D2719),"")</f>
        <v/>
      </c>
      <c r="AP2719" s="184" t="str">
        <f>+IF($AG2719=AP$22,MONTH($D2719),"")</f>
        <v/>
      </c>
      <c r="AQ2719" s="184" t="str">
        <f>+IF($AG2719=AQ$22,MONTH($D2719),"")</f>
        <v/>
      </c>
      <c r="AR2719" s="184" t="str">
        <f>+IF($AG2719=AR$22,MONTH($D2719),"")</f>
        <v/>
      </c>
      <c r="AS2719" s="184" t="str">
        <f>+IF($AG2719=AS$22,MONTH($D2719),"")</f>
        <v/>
      </c>
      <c r="AT2719" s="86" t="str">
        <f>+IF($AG2719=AT$22,MONTH($D2719),"")</f>
        <v/>
      </c>
      <c r="AU2719" s="86" t="str">
        <f>+IF($AG2719=AU$22,MONTH($D2719),"")</f>
        <v/>
      </c>
      <c r="AV2719" s="86" t="str">
        <f>+IF($AG2719=AV$22,MONTH($D2719),"")</f>
        <v/>
      </c>
      <c r="AW2719" s="86"/>
      <c r="AX2719" s="86"/>
      <c r="AY2719" s="89"/>
      <c r="AZ2719" s="89"/>
      <c r="BA2719" s="89"/>
      <c r="BB2719" s="89"/>
      <c r="BC2719" s="89"/>
      <c r="BD2719" s="89"/>
      <c r="BE2719" s="89"/>
      <c r="BF2719" s="89"/>
      <c r="BG2719" s="89"/>
      <c r="BH2719" s="268"/>
      <c r="BI2719" s="268"/>
      <c r="BJ2719" s="2"/>
      <c r="BK2719" s="2"/>
      <c r="BL2719" s="2"/>
      <c r="BM2719" s="2"/>
      <c r="BN2719" s="2"/>
      <c r="BO2719" s="2"/>
      <c r="BP2719" s="2"/>
    </row>
    <row r="2720" spans="1:68" s="52" customFormat="1" ht="19.5" hidden="1" customHeight="1">
      <c r="A2720" s="204" t="str">
        <f>+IFERROR(VALUE(MID(AB2720,4,4)),"")</f>
        <v/>
      </c>
      <c r="B2720" s="204">
        <f>VALUE(RIGHT(C2720,LEN(C2720)-2))</f>
        <v>11</v>
      </c>
      <c r="C2720" s="219" t="s">
        <v>9255</v>
      </c>
      <c r="D2720" s="238">
        <v>40298</v>
      </c>
      <c r="E2720" s="71" t="s">
        <v>9256</v>
      </c>
      <c r="F2720" s="81" t="s">
        <v>9257</v>
      </c>
      <c r="G2720" s="68" t="s">
        <v>9258</v>
      </c>
      <c r="H2720" s="81"/>
      <c r="I2720" s="81" t="s">
        <v>9259</v>
      </c>
      <c r="J2720" s="81"/>
      <c r="K2720" s="81" t="s">
        <v>14</v>
      </c>
      <c r="L2720" s="81" t="s">
        <v>120</v>
      </c>
      <c r="M2720" s="81" t="s">
        <v>141</v>
      </c>
      <c r="N2720" s="69" t="e" vm="1">
        <v>#VALUE!</v>
      </c>
      <c r="O2720" s="235">
        <v>40305</v>
      </c>
      <c r="P2720" s="81" t="s">
        <v>402</v>
      </c>
      <c r="Q2720" s="81"/>
      <c r="R2720" s="81"/>
      <c r="S2720" s="352" t="s">
        <v>9260</v>
      </c>
      <c r="T2720" s="68" t="s">
        <v>165</v>
      </c>
      <c r="U2720" s="237"/>
      <c r="V2720" s="181">
        <v>40360</v>
      </c>
      <c r="W2720" s="223">
        <v>871</v>
      </c>
      <c r="X2720" s="234">
        <f>906*21000/1000000</f>
        <v>19.026</v>
      </c>
      <c r="Y2720" s="73">
        <f>IF(SUM(W2720:W2720)&gt;0,X2720/SUM(W2720:W2720)*1000000,"N/A")</f>
        <v>21843.857634902408</v>
      </c>
      <c r="Z2720" s="181"/>
      <c r="AA2720" s="181"/>
      <c r="AB2720" s="223"/>
      <c r="AC2720" s="224"/>
      <c r="AD2720" s="337"/>
      <c r="AE2720" s="279"/>
      <c r="AF2720" s="280"/>
      <c r="AG2720" s="182">
        <f>YEAR(D2720)</f>
        <v>2010</v>
      </c>
      <c r="AH2720" s="86" t="str">
        <f>+IF(AE2720=$AJ$22,MONTH(T2720),"")</f>
        <v/>
      </c>
      <c r="AI2720" s="86" t="str">
        <f>+IF(AF2720=$AJ$22,MONTH(U2720),"")</f>
        <v/>
      </c>
      <c r="AJ2720" s="86" t="str">
        <f>+IF(AG2720=$AJ$22,MONTH(V2720),"")</f>
        <v/>
      </c>
      <c r="AK2720" s="86" t="str">
        <f>+IF(AG2720=$AK$22,MONTH(V2720),"")</f>
        <v/>
      </c>
      <c r="AL2720" s="86" t="str">
        <f>+IF(AG2720=$AL$22,MONTH(V2720),"")</f>
        <v/>
      </c>
      <c r="AM2720" s="86" t="str">
        <f>+IF($AG2720=$AM$22,MONTH($D2720),"")</f>
        <v/>
      </c>
      <c r="AN2720" s="89" t="str">
        <f>+IF($AG2720=AN$22,MONTH($D2720),"")</f>
        <v/>
      </c>
      <c r="AO2720" s="184" t="str">
        <f>+IF($AG2720=AO$22,MONTH($D2720),"")</f>
        <v/>
      </c>
      <c r="AP2720" s="184" t="str">
        <f>+IF($AG2720=AP$22,MONTH($D2720),"")</f>
        <v/>
      </c>
      <c r="AQ2720" s="184" t="str">
        <f>+IF($AG2720=AQ$22,MONTH($D2720),"")</f>
        <v/>
      </c>
      <c r="AR2720" s="184" t="str">
        <f>+IF($AG2720=AR$22,MONTH($D2720),"")</f>
        <v/>
      </c>
      <c r="AS2720" s="184" t="str">
        <f>+IF($AG2720=AS$22,MONTH($D2720),"")</f>
        <v/>
      </c>
      <c r="AT2720" s="86" t="str">
        <f>+IF($AG2720=AT$22,MONTH($D2720),"")</f>
        <v/>
      </c>
      <c r="AU2720" s="86" t="str">
        <f>+IF($AG2720=AU$22,MONTH($D2720),"")</f>
        <v/>
      </c>
      <c r="AV2720" s="86" t="str">
        <f>+IF($AG2720=AV$22,MONTH($D2720),"")</f>
        <v/>
      </c>
      <c r="AW2720" s="86" t="str">
        <f>+IF($AG2720=AW$22,MONTH($D2720),"")</f>
        <v/>
      </c>
      <c r="AX2720" s="86">
        <f>+IF($AG2720=AX$22,MONTH($D2720),"")</f>
        <v>4</v>
      </c>
      <c r="AY2720" s="89"/>
      <c r="AZ2720" s="89"/>
      <c r="BA2720" s="89"/>
      <c r="BB2720" s="89"/>
      <c r="BC2720" s="89"/>
      <c r="BD2720" s="89"/>
      <c r="BE2720" s="89"/>
      <c r="BF2720" s="89"/>
      <c r="BG2720" s="89"/>
      <c r="BH2720" s="268"/>
      <c r="BI2720" s="268"/>
      <c r="BJ2720" s="2"/>
      <c r="BK2720" s="2"/>
      <c r="BL2720" s="2"/>
      <c r="BM2720" s="2"/>
      <c r="BN2720" s="2"/>
      <c r="BO2720" s="2"/>
      <c r="BP2720" s="2"/>
    </row>
    <row r="2721" spans="1:68" s="52" customFormat="1" ht="19.5" hidden="1" customHeight="1">
      <c r="A2721" s="204" t="str">
        <f>+IFERROR(VALUE(MID(AB2721,4,4)),"")</f>
        <v/>
      </c>
      <c r="B2721" s="204">
        <f>VALUE(RIGHT(C2721,LEN(C2721)-2))</f>
        <v>10</v>
      </c>
      <c r="C2721" s="219" t="s">
        <v>9261</v>
      </c>
      <c r="D2721" s="220">
        <v>40298</v>
      </c>
      <c r="E2721" s="71" t="s">
        <v>9256</v>
      </c>
      <c r="F2721" s="71" t="s">
        <v>9257</v>
      </c>
      <c r="G2721" s="68" t="s">
        <v>9257</v>
      </c>
      <c r="H2721" s="71"/>
      <c r="I2721" s="71" t="s">
        <v>9262</v>
      </c>
      <c r="J2721" s="71"/>
      <c r="K2721" s="71" t="s">
        <v>14</v>
      </c>
      <c r="L2721" s="71" t="s">
        <v>120</v>
      </c>
      <c r="M2721" s="71" t="s">
        <v>141</v>
      </c>
      <c r="N2721" s="68" t="e" vm="1">
        <v>#VALUE!</v>
      </c>
      <c r="O2721" s="181">
        <v>40305</v>
      </c>
      <c r="P2721" s="71" t="s">
        <v>402</v>
      </c>
      <c r="Q2721" s="71"/>
      <c r="R2721" s="71"/>
      <c r="S2721" s="277" t="s">
        <v>9263</v>
      </c>
      <c r="T2721" s="68" t="s">
        <v>165</v>
      </c>
      <c r="U2721" s="237"/>
      <c r="V2721" s="181">
        <v>40360</v>
      </c>
      <c r="W2721" s="223">
        <v>450</v>
      </c>
      <c r="X2721" s="234">
        <f>W2721*21000/1000000</f>
        <v>9.4499999999999993</v>
      </c>
      <c r="Y2721" s="73">
        <f>IF(SUM(W2721:W2721)&gt;0,X2721/SUM(W2721:W2721)*1000000,"N/A")</f>
        <v>20999.999999999996</v>
      </c>
      <c r="Z2721" s="181"/>
      <c r="AA2721" s="181"/>
      <c r="AB2721" s="223"/>
      <c r="AC2721" s="224"/>
      <c r="AD2721" s="337"/>
      <c r="AE2721" s="279"/>
      <c r="AF2721" s="280"/>
      <c r="AG2721" s="182">
        <f>YEAR(D2721)</f>
        <v>2010</v>
      </c>
      <c r="AH2721" s="86" t="str">
        <f>+IF(AE2721=$AJ$22,MONTH(T2721),"")</f>
        <v/>
      </c>
      <c r="AI2721" s="86" t="str">
        <f>+IF(AF2721=$AJ$22,MONTH(U2721),"")</f>
        <v/>
      </c>
      <c r="AJ2721" s="86" t="str">
        <f>+IF(AG2721=$AJ$22,MONTH(V2721),"")</f>
        <v/>
      </c>
      <c r="AK2721" s="86" t="str">
        <f>+IF(AG2721=$AK$22,MONTH(V2721),"")</f>
        <v/>
      </c>
      <c r="AL2721" s="86" t="str">
        <f>+IF(AG2721=$AL$22,MONTH(V2721),"")</f>
        <v/>
      </c>
      <c r="AM2721" s="86" t="str">
        <f>+IF($AG2721=$AM$22,MONTH($D2721),"")</f>
        <v/>
      </c>
      <c r="AN2721" s="89" t="str">
        <f>+IF($AG2721=AN$22,MONTH($D2721),"")</f>
        <v/>
      </c>
      <c r="AO2721" s="184" t="str">
        <f>+IF($AG2721=AO$22,MONTH($D2721),"")</f>
        <v/>
      </c>
      <c r="AP2721" s="184" t="str">
        <f>+IF($AG2721=AP$22,MONTH($D2721),"")</f>
        <v/>
      </c>
      <c r="AQ2721" s="184" t="str">
        <f>+IF($AG2721=AQ$22,MONTH($D2721),"")</f>
        <v/>
      </c>
      <c r="AR2721" s="184" t="str">
        <f>+IF($AG2721=AR$22,MONTH($D2721),"")</f>
        <v/>
      </c>
      <c r="AS2721" s="184" t="str">
        <f>+IF($AG2721=AS$22,MONTH($D2721),"")</f>
        <v/>
      </c>
      <c r="AT2721" s="86" t="str">
        <f>+IF($AG2721=AT$22,MONTH($D2721),"")</f>
        <v/>
      </c>
      <c r="AU2721" s="86" t="str">
        <f>+IF($AG2721=AU$22,MONTH($D2721),"")</f>
        <v/>
      </c>
      <c r="AV2721" s="86" t="str">
        <f>+IF($AG2721=AV$22,MONTH($D2721),"")</f>
        <v/>
      </c>
      <c r="AW2721" s="86"/>
      <c r="AX2721" s="86"/>
      <c r="AY2721" s="89"/>
      <c r="AZ2721" s="89"/>
      <c r="BA2721" s="89"/>
      <c r="BB2721" s="89"/>
      <c r="BC2721" s="89"/>
      <c r="BD2721" s="89"/>
      <c r="BE2721" s="89"/>
      <c r="BF2721" s="89"/>
      <c r="BG2721" s="89"/>
      <c r="BH2721" s="268"/>
      <c r="BI2721" s="268"/>
      <c r="BJ2721" s="2"/>
      <c r="BK2721" s="2"/>
      <c r="BL2721" s="2"/>
      <c r="BM2721" s="2"/>
      <c r="BN2721" s="2"/>
      <c r="BO2721" s="2"/>
      <c r="BP2721" s="2"/>
    </row>
    <row r="2722" spans="1:68" s="52" customFormat="1" ht="19.5" hidden="1" customHeight="1">
      <c r="A2722" s="204" t="str">
        <f>+IFERROR(VALUE(MID(AB2722,4,4)),"")</f>
        <v/>
      </c>
      <c r="B2722" s="204">
        <f>VALUE(RIGHT(C2722,LEN(C2722)-2))</f>
        <v>9</v>
      </c>
      <c r="C2722" s="219" t="s">
        <v>9264</v>
      </c>
      <c r="D2722" s="220">
        <v>40298</v>
      </c>
      <c r="E2722" s="181" t="s">
        <v>9256</v>
      </c>
      <c r="F2722" s="70" t="s">
        <v>9257</v>
      </c>
      <c r="G2722" s="68" t="s">
        <v>9265</v>
      </c>
      <c r="H2722" s="67"/>
      <c r="I2722" s="163" t="s">
        <v>9266</v>
      </c>
      <c r="J2722" s="163"/>
      <c r="K2722" s="71" t="s">
        <v>14</v>
      </c>
      <c r="L2722" s="71" t="s">
        <v>120</v>
      </c>
      <c r="M2722" s="71" t="s">
        <v>141</v>
      </c>
      <c r="N2722" s="68" t="e" vm="1">
        <v>#VALUE!</v>
      </c>
      <c r="O2722" s="264">
        <v>40305</v>
      </c>
      <c r="P2722" s="221" t="s">
        <v>402</v>
      </c>
      <c r="Q2722" s="221"/>
      <c r="R2722" s="163"/>
      <c r="S2722" s="222" t="s">
        <v>9263</v>
      </c>
      <c r="T2722" s="68" t="s">
        <v>165</v>
      </c>
      <c r="U2722" s="237"/>
      <c r="V2722" s="270">
        <v>40360</v>
      </c>
      <c r="W2722" s="223">
        <v>500</v>
      </c>
      <c r="X2722" s="223">
        <f>W2722*21000/1000000</f>
        <v>10.5</v>
      </c>
      <c r="Y2722" s="73">
        <f>IF(SUM(W2722:W2722)&gt;0,X2722/SUM(W2722:W2722)*1000000,"N/A")</f>
        <v>21000</v>
      </c>
      <c r="Z2722" s="270"/>
      <c r="AA2722" s="270"/>
      <c r="AB2722" s="223"/>
      <c r="AC2722" s="224"/>
      <c r="AD2722" s="336"/>
      <c r="AE2722" s="65"/>
      <c r="AF2722" s="225"/>
      <c r="AG2722" s="182">
        <f>YEAR(D2722)</f>
        <v>2010</v>
      </c>
      <c r="AH2722" s="86" t="str">
        <f>+IF(AE2722=$AJ$22,MONTH(T2722),"")</f>
        <v/>
      </c>
      <c r="AI2722" s="86" t="str">
        <f>+IF(AF2722=$AJ$22,MONTH(U2722),"")</f>
        <v/>
      </c>
      <c r="AJ2722" s="86" t="str">
        <f>+IF(AG2722=$AJ$22,MONTH(V2722),"")</f>
        <v/>
      </c>
      <c r="AK2722" s="86" t="str">
        <f>+IF(AG2722=$AK$22,MONTH(V2722),"")</f>
        <v/>
      </c>
      <c r="AL2722" s="86" t="str">
        <f>+IF(AG2722=$AL$22,MONTH(V2722),"")</f>
        <v/>
      </c>
      <c r="AM2722" s="86" t="str">
        <f>+IF($AG2722=$AM$22,MONTH($D2722),"")</f>
        <v/>
      </c>
      <c r="AN2722" s="89" t="str">
        <f>+IF($AG2722=AN$22,MONTH($D2722),"")</f>
        <v/>
      </c>
      <c r="AO2722" s="184" t="str">
        <f>+IF($AG2722=AO$22,MONTH($D2722),"")</f>
        <v/>
      </c>
      <c r="AP2722" s="184" t="str">
        <f>+IF($AG2722=AP$22,MONTH($D2722),"")</f>
        <v/>
      </c>
      <c r="AQ2722" s="184" t="str">
        <f>+IF($AG2722=AQ$22,MONTH($D2722),"")</f>
        <v/>
      </c>
      <c r="AR2722" s="184" t="str">
        <f>+IF($AG2722=AR$22,MONTH($D2722),"")</f>
        <v/>
      </c>
      <c r="AS2722" s="184" t="str">
        <f>+IF($AG2722=AS$22,MONTH($D2722),"")</f>
        <v/>
      </c>
      <c r="AT2722" s="86" t="str">
        <f>+IF($AG2722=AT$22,MONTH($D2722),"")</f>
        <v/>
      </c>
      <c r="AU2722" s="86" t="str">
        <f>+IF($AG2722=AU$22,MONTH($D2722),"")</f>
        <v/>
      </c>
      <c r="AV2722" s="86" t="str">
        <f>+IF($AG2722=AV$22,MONTH($D2722),"")</f>
        <v/>
      </c>
      <c r="AW2722" s="86" t="str">
        <f>+IF($AG2722=AW$22,MONTH($D2722),"")</f>
        <v/>
      </c>
      <c r="AX2722" s="86">
        <f>+IF($AG2722=AX$22,MONTH($D2722),"")</f>
        <v>4</v>
      </c>
      <c r="AY2722" s="182"/>
      <c r="AZ2722" s="182"/>
      <c r="BA2722" s="182"/>
      <c r="BB2722" s="182"/>
      <c r="BC2722" s="182"/>
      <c r="BD2722" s="182"/>
      <c r="BE2722" s="182"/>
      <c r="BF2722" s="182"/>
      <c r="BG2722" s="182"/>
      <c r="BH2722" s="218"/>
      <c r="BI2722" s="218"/>
      <c r="BJ2722" s="2"/>
      <c r="BK2722" s="2"/>
      <c r="BL2722" s="2"/>
      <c r="BM2722" s="2"/>
      <c r="BN2722" s="2"/>
      <c r="BO2722" s="2"/>
      <c r="BP2722" s="2"/>
    </row>
    <row r="2723" spans="1:68" s="52" customFormat="1" ht="19.5" hidden="1" customHeight="1">
      <c r="A2723" s="204" t="str">
        <f>+IFERROR(VALUE(MID(AB2723,4,4)),"")</f>
        <v/>
      </c>
      <c r="B2723" s="204">
        <f>VALUE(RIGHT(C2723,LEN(C2723)-2))</f>
        <v>8</v>
      </c>
      <c r="C2723" s="219" t="s">
        <v>9267</v>
      </c>
      <c r="D2723" s="220">
        <v>40269</v>
      </c>
      <c r="E2723" s="70" t="s">
        <v>53</v>
      </c>
      <c r="F2723" s="70" t="s">
        <v>313</v>
      </c>
      <c r="G2723" s="68" t="s">
        <v>9268</v>
      </c>
      <c r="H2723" s="67"/>
      <c r="I2723" s="163" t="s">
        <v>9035</v>
      </c>
      <c r="J2723" s="163"/>
      <c r="K2723" s="71" t="s">
        <v>31</v>
      </c>
      <c r="L2723" s="71" t="s">
        <v>123</v>
      </c>
      <c r="M2723" s="71" t="s">
        <v>141</v>
      </c>
      <c r="N2723" s="68" t="e" vm="1">
        <v>#VALUE!</v>
      </c>
      <c r="O2723" s="264">
        <v>41027</v>
      </c>
      <c r="P2723" s="221" t="s">
        <v>9269</v>
      </c>
      <c r="Q2723" s="221"/>
      <c r="R2723" s="163"/>
      <c r="S2723" s="222" t="s">
        <v>9270</v>
      </c>
      <c r="T2723" s="68" t="s">
        <v>165</v>
      </c>
      <c r="U2723" s="237"/>
      <c r="V2723" s="270">
        <v>40435</v>
      </c>
      <c r="W2723" s="223">
        <v>5000</v>
      </c>
      <c r="X2723" s="223">
        <f>1.5*W2723*21000/1000000</f>
        <v>157.5</v>
      </c>
      <c r="Y2723" s="73">
        <f>IF(SUM(W2723:W2723)&gt;0,X2723/SUM(W2723:W2723)*1000000,"N/A")</f>
        <v>31500</v>
      </c>
      <c r="Z2723" s="270"/>
      <c r="AA2723" s="270"/>
      <c r="AB2723" s="223"/>
      <c r="AC2723" s="224"/>
      <c r="AD2723" s="336"/>
      <c r="AE2723" s="65"/>
      <c r="AF2723" s="225" t="s">
        <v>8925</v>
      </c>
      <c r="AG2723" s="182">
        <f>YEAR(D2723)</f>
        <v>2010</v>
      </c>
      <c r="AH2723" s="86" t="str">
        <f>+IF(AE2723=$AJ$22,MONTH(T2723),"")</f>
        <v/>
      </c>
      <c r="AI2723" s="86" t="str">
        <f>+IF(AF2723=$AJ$22,MONTH(U2723),"")</f>
        <v/>
      </c>
      <c r="AJ2723" s="86" t="str">
        <f>+IF(AG2723=$AJ$22,MONTH(V2723),"")</f>
        <v/>
      </c>
      <c r="AK2723" s="86" t="str">
        <f>+IF(AG2723=$AK$22,MONTH(V2723),"")</f>
        <v/>
      </c>
      <c r="AL2723" s="86" t="str">
        <f>+IF(AG2723=$AL$22,MONTH(V2723),"")</f>
        <v/>
      </c>
      <c r="AM2723" s="86" t="str">
        <f>+IF($AG2723=$AM$22,MONTH($D2723),"")</f>
        <v/>
      </c>
      <c r="AN2723" s="89" t="str">
        <f>+IF($AG2723=AN$22,MONTH($D2723),"")</f>
        <v/>
      </c>
      <c r="AO2723" s="184" t="str">
        <f>+IF($AG2723=AO$22,MONTH($D2723),"")</f>
        <v/>
      </c>
      <c r="AP2723" s="184" t="str">
        <f>+IF($AG2723=AP$22,MONTH($D2723),"")</f>
        <v/>
      </c>
      <c r="AQ2723" s="184" t="str">
        <f>+IF($AG2723=AQ$22,MONTH($D2723),"")</f>
        <v/>
      </c>
      <c r="AR2723" s="184" t="str">
        <f>+IF($AG2723=AR$22,MONTH($D2723),"")</f>
        <v/>
      </c>
      <c r="AS2723" s="184" t="str">
        <f>+IF($AG2723=AS$22,MONTH($D2723),"")</f>
        <v/>
      </c>
      <c r="AT2723" s="86" t="str">
        <f>+IF($AG2723=AT$22,MONTH($D2723),"")</f>
        <v/>
      </c>
      <c r="AU2723" s="86" t="str">
        <f>+IF($AG2723=AU$22,MONTH($D2723),"")</f>
        <v/>
      </c>
      <c r="AV2723" s="86" t="str">
        <f>+IF($AG2723=AV$22,MONTH($D2723),"")</f>
        <v/>
      </c>
      <c r="AW2723" s="86" t="str">
        <f>+IF($AG2723=AW$22,MONTH($D2723),"")</f>
        <v/>
      </c>
      <c r="AX2723" s="86">
        <f>+IF($AG2723=AX$22,MONTH($D2723),"")</f>
        <v>4</v>
      </c>
      <c r="AY2723" s="182"/>
      <c r="AZ2723" s="182"/>
      <c r="BA2723" s="182"/>
      <c r="BB2723" s="182"/>
      <c r="BC2723" s="182"/>
      <c r="BD2723" s="182"/>
      <c r="BE2723" s="182"/>
      <c r="BF2723" s="182"/>
      <c r="BG2723" s="182"/>
      <c r="BH2723" s="218"/>
      <c r="BI2723" s="218"/>
      <c r="BJ2723" s="2"/>
      <c r="BK2723" s="2"/>
      <c r="BL2723" s="2"/>
      <c r="BM2723" s="2"/>
      <c r="BN2723" s="2"/>
      <c r="BO2723" s="2"/>
      <c r="BP2723" s="2"/>
    </row>
    <row r="2724" spans="1:68" s="52" customFormat="1" ht="19.5" hidden="1" customHeight="1">
      <c r="A2724" s="204" t="str">
        <f>+IFERROR(VALUE(MID(AB2724,4,4)),"")</f>
        <v/>
      </c>
      <c r="B2724" s="204">
        <f>VALUE(RIGHT(C2724,LEN(C2724)-2))</f>
        <v>7</v>
      </c>
      <c r="C2724" s="219" t="s">
        <v>9271</v>
      </c>
      <c r="D2724" s="220">
        <v>40289</v>
      </c>
      <c r="E2724" s="181" t="s">
        <v>53</v>
      </c>
      <c r="F2724" s="70" t="s">
        <v>630</v>
      </c>
      <c r="G2724" s="68" t="s">
        <v>9272</v>
      </c>
      <c r="H2724" s="67"/>
      <c r="I2724" s="163" t="s">
        <v>9273</v>
      </c>
      <c r="J2724" s="163"/>
      <c r="K2724" s="71" t="s">
        <v>30</v>
      </c>
      <c r="L2724" s="71" t="s">
        <v>120</v>
      </c>
      <c r="M2724" s="71" t="s">
        <v>141</v>
      </c>
      <c r="N2724" s="68" t="e" vm="1">
        <v>#VALUE!</v>
      </c>
      <c r="O2724" s="264">
        <v>40294</v>
      </c>
      <c r="P2724" s="221" t="s">
        <v>402</v>
      </c>
      <c r="Q2724" s="221"/>
      <c r="R2724" s="163"/>
      <c r="S2724" s="222" t="s">
        <v>9274</v>
      </c>
      <c r="T2724" s="68" t="s">
        <v>165</v>
      </c>
      <c r="U2724" s="87"/>
      <c r="V2724" s="183">
        <v>40291</v>
      </c>
      <c r="W2724" s="223">
        <v>250</v>
      </c>
      <c r="X2724" s="223">
        <f>1.5*21000*W2724/1000000</f>
        <v>7.875</v>
      </c>
      <c r="Y2724" s="73">
        <f>IF(SUM(W2724:W2724)&gt;0,X2724/SUM(W2724:W2724)*1000000,"N/A")</f>
        <v>31500</v>
      </c>
      <c r="Z2724" s="270"/>
      <c r="AA2724" s="270"/>
      <c r="AB2724" s="223"/>
      <c r="AC2724" s="224"/>
      <c r="AD2724" s="336"/>
      <c r="AE2724" s="65"/>
      <c r="AF2724" s="225"/>
      <c r="AG2724" s="182">
        <f>YEAR(D2724)</f>
        <v>2010</v>
      </c>
      <c r="AH2724" s="86" t="str">
        <f>+IF(AE2724=$AJ$22,MONTH(T2724),"")</f>
        <v/>
      </c>
      <c r="AI2724" s="86" t="str">
        <f>+IF(AF2724=$AJ$22,MONTH(U2724),"")</f>
        <v/>
      </c>
      <c r="AJ2724" s="86" t="str">
        <f>+IF(AG2724=$AJ$22,MONTH(V2724),"")</f>
        <v/>
      </c>
      <c r="AK2724" s="86" t="str">
        <f>+IF(AG2724=$AK$22,MONTH(V2724),"")</f>
        <v/>
      </c>
      <c r="AL2724" s="86" t="str">
        <f>+IF(AG2724=$AL$22,MONTH(V2724),"")</f>
        <v/>
      </c>
      <c r="AM2724" s="86" t="str">
        <f>+IF($AG2724=$AM$22,MONTH($D2724),"")</f>
        <v/>
      </c>
      <c r="AN2724" s="89" t="str">
        <f>+IF($AG2724=AN$22,MONTH($D2724),"")</f>
        <v/>
      </c>
      <c r="AO2724" s="184" t="str">
        <f>+IF($AG2724=AO$22,MONTH($D2724),"")</f>
        <v/>
      </c>
      <c r="AP2724" s="184" t="str">
        <f>+IF($AG2724=AP$22,MONTH($D2724),"")</f>
        <v/>
      </c>
      <c r="AQ2724" s="184" t="str">
        <f>+IF($AG2724=AQ$22,MONTH($D2724),"")</f>
        <v/>
      </c>
      <c r="AR2724" s="184" t="str">
        <f>+IF($AG2724=AR$22,MONTH($D2724),"")</f>
        <v/>
      </c>
      <c r="AS2724" s="184" t="str">
        <f>+IF($AG2724=AS$22,MONTH($D2724),"")</f>
        <v/>
      </c>
      <c r="AT2724" s="86" t="str">
        <f>+IF($AG2724=AT$22,MONTH($D2724),"")</f>
        <v/>
      </c>
      <c r="AU2724" s="86" t="str">
        <f>+IF($AG2724=AU$22,MONTH($D2724),"")</f>
        <v/>
      </c>
      <c r="AV2724" s="86" t="str">
        <f>+IF($AG2724=AV$22,MONTH($D2724),"")</f>
        <v/>
      </c>
      <c r="AW2724" s="86" t="str">
        <f>+IF($AG2724=AW$22,MONTH($D2724),"")</f>
        <v/>
      </c>
      <c r="AX2724" s="86">
        <f>+IF($AG2724=AX$22,MONTH($D2724),"")</f>
        <v>4</v>
      </c>
      <c r="AY2724" s="89"/>
      <c r="AZ2724" s="89"/>
      <c r="BA2724" s="89"/>
      <c r="BB2724" s="89"/>
      <c r="BC2724" s="89"/>
      <c r="BD2724" s="89"/>
      <c r="BE2724" s="89"/>
      <c r="BF2724" s="89"/>
      <c r="BG2724" s="89"/>
      <c r="BH2724" s="268"/>
      <c r="BI2724" s="268"/>
      <c r="BJ2724" s="2"/>
      <c r="BK2724" s="2"/>
      <c r="BL2724" s="2"/>
      <c r="BM2724" s="2"/>
      <c r="BN2724" s="2"/>
      <c r="BO2724" s="2"/>
      <c r="BP2724" s="2"/>
    </row>
    <row r="2725" spans="1:68" s="52" customFormat="1" ht="19.5" hidden="1" customHeight="1">
      <c r="A2725" s="204" t="str">
        <f>+IFERROR(VALUE(MID(AB2725,4,4)),"")</f>
        <v/>
      </c>
      <c r="B2725" s="204">
        <f>VALUE(RIGHT(C2725,LEN(C2725)-2))</f>
        <v>6</v>
      </c>
      <c r="C2725" s="219" t="s">
        <v>9275</v>
      </c>
      <c r="D2725" s="220">
        <v>40284</v>
      </c>
      <c r="E2725" s="70" t="s">
        <v>7680</v>
      </c>
      <c r="F2725" s="70" t="s">
        <v>9276</v>
      </c>
      <c r="G2725" s="68" t="s">
        <v>4175</v>
      </c>
      <c r="H2725" s="67"/>
      <c r="I2725" s="163" t="s">
        <v>9277</v>
      </c>
      <c r="J2725" s="163"/>
      <c r="K2725" s="71" t="s">
        <v>33</v>
      </c>
      <c r="L2725" s="71" t="s">
        <v>120</v>
      </c>
      <c r="M2725" s="71" t="s">
        <v>141</v>
      </c>
      <c r="N2725" s="68" t="e" vm="1">
        <v>#VALUE!</v>
      </c>
      <c r="O2725" s="264">
        <v>40294</v>
      </c>
      <c r="P2725" s="221" t="s">
        <v>402</v>
      </c>
      <c r="Q2725" s="221"/>
      <c r="R2725" s="163"/>
      <c r="S2725" s="222" t="s">
        <v>9278</v>
      </c>
      <c r="T2725" s="68" t="s">
        <v>165</v>
      </c>
      <c r="U2725" s="87"/>
      <c r="V2725" s="183">
        <v>40435</v>
      </c>
      <c r="W2725" s="223">
        <v>1500</v>
      </c>
      <c r="X2725" s="223">
        <f>1.2*21000*W2725/1000000</f>
        <v>37.799999999999997</v>
      </c>
      <c r="Y2725" s="73">
        <f>IF(SUM(W2725:W2725)&gt;0,X2725/SUM(W2725:W2725)*1000000,"N/A")</f>
        <v>25199.999999999996</v>
      </c>
      <c r="Z2725" s="270"/>
      <c r="AA2725" s="270"/>
      <c r="AB2725" s="223"/>
      <c r="AC2725" s="224"/>
      <c r="AD2725" s="336"/>
      <c r="AE2725" s="65"/>
      <c r="AF2725" s="225"/>
      <c r="AG2725" s="182">
        <f>YEAR(D2725)</f>
        <v>2010</v>
      </c>
      <c r="AH2725" s="86" t="str">
        <f>+IF(AE2725=$AJ$22,MONTH(T2725),"")</f>
        <v/>
      </c>
      <c r="AI2725" s="86" t="str">
        <f>+IF(AF2725=$AJ$22,MONTH(U2725),"")</f>
        <v/>
      </c>
      <c r="AJ2725" s="86" t="str">
        <f>+IF(AG2725=$AJ$22,MONTH(V2725),"")</f>
        <v/>
      </c>
      <c r="AK2725" s="86" t="str">
        <f>+IF(AG2725=$AK$22,MONTH(V2725),"")</f>
        <v/>
      </c>
      <c r="AL2725" s="86" t="str">
        <f>+IF(AG2725=$AL$22,MONTH(V2725),"")</f>
        <v/>
      </c>
      <c r="AM2725" s="86" t="str">
        <f>+IF($AG2725=$AM$22,MONTH($D2725),"")</f>
        <v/>
      </c>
      <c r="AN2725" s="89" t="str">
        <f>+IF($AG2725=AN$22,MONTH($D2725),"")</f>
        <v/>
      </c>
      <c r="AO2725" s="184" t="str">
        <f>+IF($AG2725=AO$22,MONTH($D2725),"")</f>
        <v/>
      </c>
      <c r="AP2725" s="184" t="str">
        <f>+IF($AG2725=AP$22,MONTH($D2725),"")</f>
        <v/>
      </c>
      <c r="AQ2725" s="184" t="str">
        <f>+IF($AG2725=AQ$22,MONTH($D2725),"")</f>
        <v/>
      </c>
      <c r="AR2725" s="184" t="str">
        <f>+IF($AG2725=AR$22,MONTH($D2725),"")</f>
        <v/>
      </c>
      <c r="AS2725" s="184" t="str">
        <f>+IF($AG2725=AS$22,MONTH($D2725),"")</f>
        <v/>
      </c>
      <c r="AT2725" s="86" t="str">
        <f>+IF($AG2725=AT$22,MONTH($D2725),"")</f>
        <v/>
      </c>
      <c r="AU2725" s="86" t="str">
        <f>+IF($AG2725=AU$22,MONTH($D2725),"")</f>
        <v/>
      </c>
      <c r="AV2725" s="86" t="str">
        <f>+IF($AG2725=AV$22,MONTH($D2725),"")</f>
        <v/>
      </c>
      <c r="AW2725" s="86" t="str">
        <f>+IF($AG2725=AW$22,MONTH($D2725),"")</f>
        <v/>
      </c>
      <c r="AX2725" s="86">
        <f>+IF($AG2725=AX$22,MONTH($D2725),"")</f>
        <v>4</v>
      </c>
      <c r="AY2725" s="89"/>
      <c r="AZ2725" s="89"/>
      <c r="BA2725" s="89"/>
      <c r="BB2725" s="89"/>
      <c r="BC2725" s="89"/>
      <c r="BD2725" s="89"/>
      <c r="BE2725" s="89"/>
      <c r="BF2725" s="89"/>
      <c r="BG2725" s="89"/>
      <c r="BH2725" s="268"/>
      <c r="BI2725" s="268"/>
      <c r="BJ2725" s="2"/>
      <c r="BK2725" s="2"/>
      <c r="BL2725" s="2"/>
      <c r="BM2725" s="2"/>
      <c r="BN2725" s="2"/>
      <c r="BO2725" s="2"/>
      <c r="BP2725" s="2"/>
    </row>
    <row r="2726" spans="1:68" s="52" customFormat="1" ht="19.5" hidden="1" customHeight="1">
      <c r="A2726" s="204" t="str">
        <f>+IFERROR(VALUE(MID(AB2726,4,4)),"")</f>
        <v/>
      </c>
      <c r="B2726" s="204">
        <f>VALUE(RIGHT(C2726,LEN(C2726)-2))</f>
        <v>5</v>
      </c>
      <c r="C2726" s="219" t="s">
        <v>9279</v>
      </c>
      <c r="D2726" s="220">
        <v>40252</v>
      </c>
      <c r="E2726" s="181" t="s">
        <v>63</v>
      </c>
      <c r="F2726" s="181" t="s">
        <v>1379</v>
      </c>
      <c r="G2726" s="68" t="s">
        <v>9058</v>
      </c>
      <c r="H2726" s="67"/>
      <c r="I2726" s="163" t="s">
        <v>9280</v>
      </c>
      <c r="J2726" s="163"/>
      <c r="K2726" s="71" t="s">
        <v>16</v>
      </c>
      <c r="L2726" s="71" t="s">
        <v>120</v>
      </c>
      <c r="M2726" s="71" t="s">
        <v>141</v>
      </c>
      <c r="N2726" s="68" t="e" vm="1">
        <v>#VALUE!</v>
      </c>
      <c r="O2726" s="264">
        <v>40252</v>
      </c>
      <c r="P2726" s="221" t="s">
        <v>402</v>
      </c>
      <c r="Q2726" s="221"/>
      <c r="R2726" s="163"/>
      <c r="S2726" s="222" t="s">
        <v>9281</v>
      </c>
      <c r="T2726" s="68" t="s">
        <v>165</v>
      </c>
      <c r="U2726" s="237"/>
      <c r="V2726" s="270">
        <v>40402</v>
      </c>
      <c r="W2726" s="223">
        <v>198</v>
      </c>
      <c r="X2726" s="223">
        <f>1.8*21000*W2726/1000000</f>
        <v>7.4843999999999999</v>
      </c>
      <c r="Y2726" s="73">
        <f>IF(SUM(W2726:W2726)&gt;0,X2726/SUM(W2726:W2726)*1000000,"N/A")</f>
        <v>37800</v>
      </c>
      <c r="Z2726" s="270"/>
      <c r="AA2726" s="270"/>
      <c r="AB2726" s="223"/>
      <c r="AC2726" s="224"/>
      <c r="AD2726" s="336"/>
      <c r="AE2726" s="65"/>
      <c r="AF2726" s="225"/>
      <c r="AG2726" s="182">
        <f>YEAR(D2726)</f>
        <v>2010</v>
      </c>
      <c r="AH2726" s="86" t="str">
        <f>+IF(AE2726=$AJ$22,MONTH(T2726),"")</f>
        <v/>
      </c>
      <c r="AI2726" s="86" t="str">
        <f>+IF(AF2726=$AJ$22,MONTH(U2726),"")</f>
        <v/>
      </c>
      <c r="AJ2726" s="86" t="str">
        <f>+IF(AG2726=$AJ$22,MONTH(V2726),"")</f>
        <v/>
      </c>
      <c r="AK2726" s="86" t="str">
        <f>+IF(AG2726=$AK$22,MONTH(V2726),"")</f>
        <v/>
      </c>
      <c r="AL2726" s="86" t="str">
        <f>+IF(AG2726=$AL$22,MONTH(V2726),"")</f>
        <v/>
      </c>
      <c r="AM2726" s="86" t="str">
        <f>+IF($AG2726=$AM$22,MONTH($D2726),"")</f>
        <v/>
      </c>
      <c r="AN2726" s="89" t="str">
        <f>+IF($AG2726=AN$22,MONTH($D2726),"")</f>
        <v/>
      </c>
      <c r="AO2726" s="184" t="str">
        <f>+IF($AG2726=AO$22,MONTH($D2726),"")</f>
        <v/>
      </c>
      <c r="AP2726" s="184" t="str">
        <f>+IF($AG2726=AP$22,MONTH($D2726),"")</f>
        <v/>
      </c>
      <c r="AQ2726" s="184" t="str">
        <f>+IF($AG2726=AQ$22,MONTH($D2726),"")</f>
        <v/>
      </c>
      <c r="AR2726" s="184" t="str">
        <f>+IF($AG2726=AR$22,MONTH($D2726),"")</f>
        <v/>
      </c>
      <c r="AS2726" s="184" t="str">
        <f>+IF($AG2726=AS$22,MONTH($D2726),"")</f>
        <v/>
      </c>
      <c r="AT2726" s="86" t="str">
        <f>+IF($AG2726=AT$22,MONTH($D2726),"")</f>
        <v/>
      </c>
      <c r="AU2726" s="86" t="str">
        <f>+IF($AG2726=AU$22,MONTH($D2726),"")</f>
        <v/>
      </c>
      <c r="AV2726" s="86" t="str">
        <f>+IF($AG2726=AV$22,MONTH($D2726),"")</f>
        <v/>
      </c>
      <c r="AW2726" s="86" t="str">
        <f>+IF($AG2726=AW$22,MONTH($D2726),"")</f>
        <v/>
      </c>
      <c r="AX2726" s="86">
        <f>+IF($AG2726=AX$22,MONTH($D2726),"")</f>
        <v>3</v>
      </c>
      <c r="AY2726" s="89"/>
      <c r="AZ2726" s="89"/>
      <c r="BA2726" s="89"/>
      <c r="BB2726" s="89"/>
      <c r="BC2726" s="89"/>
      <c r="BD2726" s="89"/>
      <c r="BE2726" s="89"/>
      <c r="BF2726" s="89"/>
      <c r="BG2726" s="89"/>
      <c r="BH2726" s="268"/>
      <c r="BI2726" s="268"/>
      <c r="BJ2726" s="2"/>
      <c r="BK2726" s="2"/>
      <c r="BL2726" s="2"/>
      <c r="BM2726" s="2"/>
      <c r="BN2726" s="2"/>
      <c r="BO2726" s="2"/>
      <c r="BP2726" s="2"/>
    </row>
    <row r="2727" spans="1:68" s="52" customFormat="1" ht="19.5" hidden="1" customHeight="1">
      <c r="A2727" s="204" t="str">
        <f>+IFERROR(VALUE(MID(AB2727,4,4)),"")</f>
        <v/>
      </c>
      <c r="B2727" s="204">
        <f>VALUE(RIGHT(C2727,LEN(C2727)-2))</f>
        <v>4</v>
      </c>
      <c r="C2727" s="219" t="s">
        <v>9282</v>
      </c>
      <c r="D2727" s="220">
        <v>40276</v>
      </c>
      <c r="E2727" s="181" t="s">
        <v>76</v>
      </c>
      <c r="F2727" s="70" t="s">
        <v>9283</v>
      </c>
      <c r="G2727" s="68" t="s">
        <v>9284</v>
      </c>
      <c r="H2727" s="59"/>
      <c r="I2727" s="163" t="s">
        <v>9253</v>
      </c>
      <c r="J2727" s="163"/>
      <c r="K2727" s="71" t="s">
        <v>3389</v>
      </c>
      <c r="L2727" s="71" t="s">
        <v>123</v>
      </c>
      <c r="M2727" s="71" t="s">
        <v>141</v>
      </c>
      <c r="N2727" s="68" t="e" vm="1">
        <v>#VALUE!</v>
      </c>
      <c r="O2727" s="264">
        <v>40287</v>
      </c>
      <c r="P2727" s="221" t="s">
        <v>402</v>
      </c>
      <c r="Q2727" s="221"/>
      <c r="R2727" s="163"/>
      <c r="S2727" s="222" t="s">
        <v>9285</v>
      </c>
      <c r="T2727" s="68" t="s">
        <v>165</v>
      </c>
      <c r="U2727" s="87"/>
      <c r="V2727" s="183">
        <v>40290</v>
      </c>
      <c r="W2727" s="223">
        <v>6225</v>
      </c>
      <c r="X2727" s="223">
        <f>8480*21000/1000000</f>
        <v>178.08</v>
      </c>
      <c r="Y2727" s="73">
        <f>IF(SUM(W2727:W2727)&gt;0,X2727/SUM(W2727:W2727)*1000000,"N/A")</f>
        <v>28607.22891566265</v>
      </c>
      <c r="Z2727" s="270"/>
      <c r="AA2727" s="270"/>
      <c r="AB2727" s="223"/>
      <c r="AC2727" s="224"/>
      <c r="AD2727" s="336"/>
      <c r="AE2727" s="65"/>
      <c r="AF2727" s="225"/>
      <c r="AG2727" s="182">
        <f>YEAR(D2727)</f>
        <v>2010</v>
      </c>
      <c r="AH2727" s="86" t="str">
        <f>+IF(AE2727=$AJ$22,MONTH(T2727),"")</f>
        <v/>
      </c>
      <c r="AI2727" s="86" t="str">
        <f>+IF(AF2727=$AJ$22,MONTH(U2727),"")</f>
        <v/>
      </c>
      <c r="AJ2727" s="86" t="str">
        <f>+IF(AG2727=$AJ$22,MONTH(V2727),"")</f>
        <v/>
      </c>
      <c r="AK2727" s="86" t="str">
        <f>+IF(AG2727=$AK$22,MONTH(V2727),"")</f>
        <v/>
      </c>
      <c r="AL2727" s="86" t="str">
        <f>+IF(AG2727=$AL$22,MONTH(V2727),"")</f>
        <v/>
      </c>
      <c r="AM2727" s="86" t="str">
        <f>+IF($AG2727=$AM$22,MONTH($D2727),"")</f>
        <v/>
      </c>
      <c r="AN2727" s="89" t="str">
        <f>+IF($AG2727=AN$22,MONTH($D2727),"")</f>
        <v/>
      </c>
      <c r="AO2727" s="184" t="str">
        <f>+IF($AG2727=AO$22,MONTH($D2727),"")</f>
        <v/>
      </c>
      <c r="AP2727" s="184" t="str">
        <f>+IF($AG2727=AP$22,MONTH($D2727),"")</f>
        <v/>
      </c>
      <c r="AQ2727" s="184" t="str">
        <f>+IF($AG2727=AQ$22,MONTH($D2727),"")</f>
        <v/>
      </c>
      <c r="AR2727" s="184" t="str">
        <f>+IF($AG2727=AR$22,MONTH($D2727),"")</f>
        <v/>
      </c>
      <c r="AS2727" s="184" t="str">
        <f>+IF($AG2727=AS$22,MONTH($D2727),"")</f>
        <v/>
      </c>
      <c r="AT2727" s="86" t="str">
        <f>+IF($AG2727=AT$22,MONTH($D2727),"")</f>
        <v/>
      </c>
      <c r="AU2727" s="86" t="str">
        <f>+IF($AG2727=AU$22,MONTH($D2727),"")</f>
        <v/>
      </c>
      <c r="AV2727" s="86" t="str">
        <f>+IF($AG2727=AV$22,MONTH($D2727),"")</f>
        <v/>
      </c>
      <c r="AW2727" s="86" t="str">
        <f>+IF($AG2727=AW$22,MONTH($D2727),"")</f>
        <v/>
      </c>
      <c r="AX2727" s="86">
        <f>+IF($AG2727=AX$22,MONTH($D2727),"")</f>
        <v>4</v>
      </c>
      <c r="AY2727" s="89"/>
      <c r="AZ2727" s="89"/>
      <c r="BA2727" s="89"/>
      <c r="BB2727" s="89"/>
      <c r="BC2727" s="89"/>
      <c r="BD2727" s="89"/>
      <c r="BE2727" s="89"/>
      <c r="BF2727" s="89"/>
      <c r="BG2727" s="89"/>
      <c r="BH2727" s="268"/>
      <c r="BI2727" s="268"/>
      <c r="BJ2727" s="2"/>
      <c r="BK2727" s="2"/>
      <c r="BL2727" s="2"/>
      <c r="BM2727" s="2"/>
      <c r="BN2727" s="2"/>
      <c r="BO2727" s="2"/>
      <c r="BP2727" s="2"/>
    </row>
    <row r="2728" spans="1:68" s="52" customFormat="1" ht="19.5" hidden="1" customHeight="1">
      <c r="A2728" s="204">
        <f>+IFERROR(VALUE(MID(AB2728,4,4)),"")</f>
        <v>3</v>
      </c>
      <c r="B2728" s="204">
        <f>VALUE(RIGHT(C2728,LEN(C2728)-2))</f>
        <v>3</v>
      </c>
      <c r="C2728" s="219" t="s">
        <v>9286</v>
      </c>
      <c r="D2728" s="220">
        <v>40224</v>
      </c>
      <c r="E2728" s="181" t="s">
        <v>8776</v>
      </c>
      <c r="F2728" s="70" t="s">
        <v>8593</v>
      </c>
      <c r="G2728" s="68" t="s">
        <v>936</v>
      </c>
      <c r="H2728" s="67"/>
      <c r="I2728" s="163" t="s">
        <v>9287</v>
      </c>
      <c r="J2728" s="163"/>
      <c r="K2728" s="71" t="s">
        <v>12</v>
      </c>
      <c r="L2728" s="71" t="s">
        <v>120</v>
      </c>
      <c r="M2728" s="71" t="s">
        <v>141</v>
      </c>
      <c r="N2728" s="68" t="e" vm="1">
        <v>#VALUE!</v>
      </c>
      <c r="O2728" s="264">
        <v>40224</v>
      </c>
      <c r="P2728" s="221" t="s">
        <v>402</v>
      </c>
      <c r="Q2728" s="221"/>
      <c r="R2728" s="163"/>
      <c r="S2728" s="222" t="s">
        <v>9288</v>
      </c>
      <c r="T2728" s="68" t="s">
        <v>3</v>
      </c>
      <c r="U2728" s="87"/>
      <c r="V2728" s="183">
        <v>40421</v>
      </c>
      <c r="W2728" s="223">
        <v>200</v>
      </c>
      <c r="X2728" s="223">
        <f>5886073/1000000</f>
        <v>5.8860729999999997</v>
      </c>
      <c r="Y2728" s="73">
        <f>IF(SUM(W2728:W2728)&gt;0,X2728/SUM(W2728:W2728)*1000000,"N/A")</f>
        <v>29430.365000000002</v>
      </c>
      <c r="Z2728" s="270"/>
      <c r="AA2728" s="270"/>
      <c r="AB2728" s="223" t="s">
        <v>9289</v>
      </c>
      <c r="AC2728" s="224"/>
      <c r="AD2728" s="336" t="s">
        <v>402</v>
      </c>
      <c r="AE2728" s="65" t="s">
        <v>402</v>
      </c>
      <c r="AF2728" s="225"/>
      <c r="AG2728" s="182">
        <f>YEAR(D2728)</f>
        <v>2010</v>
      </c>
      <c r="AH2728" s="86" t="str">
        <f>+IF(AE2728=$AJ$22,MONTH(T2728),"")</f>
        <v/>
      </c>
      <c r="AI2728" s="86" t="str">
        <f>+IF(AF2728=$AJ$22,MONTH(U2728),"")</f>
        <v/>
      </c>
      <c r="AJ2728" s="86" t="str">
        <f>+IF(AG2728=$AJ$22,MONTH(V2728),"")</f>
        <v/>
      </c>
      <c r="AK2728" s="86" t="str">
        <f>+IF(AG2728=$AK$22,MONTH(V2728),"")</f>
        <v/>
      </c>
      <c r="AL2728" s="86" t="str">
        <f>+IF(AG2728=$AL$22,MONTH(V2728),"")</f>
        <v/>
      </c>
      <c r="AM2728" s="86" t="str">
        <f>+IF($AG2728=$AM$22,MONTH($D2728),"")</f>
        <v/>
      </c>
      <c r="AN2728" s="89" t="str">
        <f>+IF($AG2728=AN$22,MONTH($D2728),"")</f>
        <v/>
      </c>
      <c r="AO2728" s="86" t="str">
        <f>+IF($AG2728=AO$22,MONTH($D2728),"")</f>
        <v/>
      </c>
      <c r="AP2728" s="86" t="str">
        <f>+IF($AG2728=AP$22,MONTH($D2728),"")</f>
        <v/>
      </c>
      <c r="AQ2728" s="86" t="str">
        <f>+IF($AG2728=AQ$22,MONTH($D2728),"")</f>
        <v/>
      </c>
      <c r="AR2728" s="86" t="str">
        <f>+IF($AG2728=AR$22,MONTH($D2728),"")</f>
        <v/>
      </c>
      <c r="AS2728" s="86" t="str">
        <f>+IF($AG2728=AS$22,MONTH($D2728),"")</f>
        <v/>
      </c>
      <c r="AT2728" s="86" t="str">
        <f>+IF($AG2728=AT$22,MONTH($D2728),"")</f>
        <v/>
      </c>
      <c r="AU2728" s="86" t="str">
        <f>+IF($AG2728=AU$22,MONTH($D2728),"")</f>
        <v/>
      </c>
      <c r="AV2728" s="86" t="str">
        <f>+IF($AG2728=AV$22,MONTH($D2728),"")</f>
        <v/>
      </c>
      <c r="AW2728" s="86" t="str">
        <f>+IF($AG2728=AW$22,MONTH($D2728),"")</f>
        <v/>
      </c>
      <c r="AX2728" s="86">
        <f>+IF($AG2728=AX$22,MONTH($D2728),"")</f>
        <v>2</v>
      </c>
      <c r="AY2728" s="89"/>
      <c r="AZ2728" s="89"/>
      <c r="BA2728" s="89"/>
      <c r="BB2728" s="89"/>
      <c r="BC2728" s="89"/>
      <c r="BD2728" s="89"/>
      <c r="BE2728" s="89"/>
      <c r="BF2728" s="89"/>
      <c r="BG2728" s="89"/>
      <c r="BH2728" s="268"/>
      <c r="BI2728" s="268"/>
      <c r="BJ2728" s="2"/>
      <c r="BK2728" s="2"/>
      <c r="BL2728" s="2"/>
      <c r="BM2728" s="2"/>
      <c r="BN2728" s="2"/>
      <c r="BO2728" s="2"/>
      <c r="BP2728" s="2"/>
    </row>
    <row r="2729" spans="1:68" s="52" customFormat="1" ht="19.5" hidden="1" customHeight="1">
      <c r="A2729" s="204">
        <f>+IFERROR(VALUE(MID(AB2729,4,4)),"")</f>
        <v>2</v>
      </c>
      <c r="B2729" s="204">
        <f>VALUE(RIGHT(C2729,LEN(C2729)-2))</f>
        <v>2</v>
      </c>
      <c r="C2729" s="219" t="s">
        <v>9290</v>
      </c>
      <c r="D2729" s="220">
        <v>40224</v>
      </c>
      <c r="E2729" s="70" t="s">
        <v>8776</v>
      </c>
      <c r="F2729" s="70" t="s">
        <v>313</v>
      </c>
      <c r="G2729" s="68" t="s">
        <v>936</v>
      </c>
      <c r="H2729" s="67"/>
      <c r="I2729" s="163" t="s">
        <v>9291</v>
      </c>
      <c r="J2729" s="163"/>
      <c r="K2729" s="71" t="s">
        <v>12</v>
      </c>
      <c r="L2729" s="71" t="s">
        <v>120</v>
      </c>
      <c r="M2729" s="71" t="s">
        <v>141</v>
      </c>
      <c r="N2729" s="68" t="e" vm="1">
        <v>#VALUE!</v>
      </c>
      <c r="O2729" s="264">
        <v>40224</v>
      </c>
      <c r="P2729" s="221" t="s">
        <v>402</v>
      </c>
      <c r="Q2729" s="221"/>
      <c r="R2729" s="163"/>
      <c r="S2729" s="222" t="s">
        <v>9292</v>
      </c>
      <c r="T2729" s="68" t="s">
        <v>3</v>
      </c>
      <c r="U2729" s="87"/>
      <c r="V2729" s="183">
        <v>40421</v>
      </c>
      <c r="W2729" s="223">
        <v>80</v>
      </c>
      <c r="X2729" s="223">
        <f>3363470/1000000</f>
        <v>3.36347</v>
      </c>
      <c r="Y2729" s="73">
        <f>IF(SUM(W2729:W2729)&gt;0,X2729/SUM(W2729:W2729)*1000000,"N/A")</f>
        <v>42043.375</v>
      </c>
      <c r="Z2729" s="270"/>
      <c r="AA2729" s="270"/>
      <c r="AB2729" s="223" t="s">
        <v>9293</v>
      </c>
      <c r="AC2729" s="224"/>
      <c r="AD2729" s="336" t="s">
        <v>402</v>
      </c>
      <c r="AE2729" s="65" t="s">
        <v>402</v>
      </c>
      <c r="AF2729" s="225"/>
      <c r="AG2729" s="182">
        <f>YEAR(D2729)</f>
        <v>2010</v>
      </c>
      <c r="AH2729" s="86" t="str">
        <f>+IF(AE2729=$AJ$22,MONTH(T2729),"")</f>
        <v/>
      </c>
      <c r="AI2729" s="86" t="str">
        <f>+IF(AF2729=$AJ$22,MONTH(U2729),"")</f>
        <v/>
      </c>
      <c r="AJ2729" s="86" t="str">
        <f>+IF(AG2729=$AJ$22,MONTH(V2729),"")</f>
        <v/>
      </c>
      <c r="AK2729" s="86" t="str">
        <f>+IF(AG2729=$AK$22,MONTH(V2729),"")</f>
        <v/>
      </c>
      <c r="AL2729" s="86" t="str">
        <f>+IF(AG2729=$AL$22,MONTH(V2729),"")</f>
        <v/>
      </c>
      <c r="AM2729" s="86" t="str">
        <f>+IF($AG2729=$AM$22,MONTH($D2729),"")</f>
        <v/>
      </c>
      <c r="AN2729" s="89" t="str">
        <f>+IF($AG2729=AN$22,MONTH($D2729),"")</f>
        <v/>
      </c>
      <c r="AO2729" s="86" t="str">
        <f>+IF($AG2729=AO$22,MONTH($D2729),"")</f>
        <v/>
      </c>
      <c r="AP2729" s="86" t="str">
        <f>+IF($AG2729=AP$22,MONTH($D2729),"")</f>
        <v/>
      </c>
      <c r="AQ2729" s="86" t="str">
        <f>+IF($AG2729=AQ$22,MONTH($D2729),"")</f>
        <v/>
      </c>
      <c r="AR2729" s="86" t="str">
        <f>+IF($AG2729=AR$22,MONTH($D2729),"")</f>
        <v/>
      </c>
      <c r="AS2729" s="86" t="str">
        <f>+IF($AG2729=AS$22,MONTH($D2729),"")</f>
        <v/>
      </c>
      <c r="AT2729" s="86" t="str">
        <f>+IF($AG2729=AT$22,MONTH($D2729),"")</f>
        <v/>
      </c>
      <c r="AU2729" s="86" t="str">
        <f>+IF($AG2729=AU$22,MONTH($D2729),"")</f>
        <v/>
      </c>
      <c r="AV2729" s="86" t="str">
        <f>+IF($AG2729=AV$22,MONTH($D2729),"")</f>
        <v/>
      </c>
      <c r="AW2729" s="86" t="str">
        <f>+IF($AG2729=AW$22,MONTH($D2729),"")</f>
        <v/>
      </c>
      <c r="AX2729" s="86">
        <f>+IF($AG2729=AX$22,MONTH($D2729),"")</f>
        <v>2</v>
      </c>
      <c r="AY2729" s="89"/>
      <c r="AZ2729" s="89"/>
      <c r="BA2729" s="89"/>
      <c r="BB2729" s="89"/>
      <c r="BC2729" s="89"/>
      <c r="BD2729" s="89"/>
      <c r="BE2729" s="89"/>
      <c r="BF2729" s="89"/>
      <c r="BG2729" s="89"/>
      <c r="BH2729" s="268"/>
      <c r="BI2729" s="268"/>
      <c r="BJ2729" s="2"/>
      <c r="BK2729" s="2"/>
      <c r="BL2729" s="2"/>
      <c r="BM2729" s="2"/>
      <c r="BN2729" s="2"/>
      <c r="BO2729" s="2"/>
      <c r="BP2729" s="2"/>
    </row>
    <row r="2730" spans="1:68" s="52" customFormat="1" ht="19.5" hidden="1" customHeight="1">
      <c r="A2730" s="204">
        <f>+IFERROR(VALUE(MID(AB2730,4,4)),"")</f>
        <v>1</v>
      </c>
      <c r="B2730" s="204">
        <f>VALUE(RIGHT(C2730,LEN(C2730)-2))</f>
        <v>1</v>
      </c>
      <c r="C2730" s="219" t="s">
        <v>9294</v>
      </c>
      <c r="D2730" s="220">
        <v>40224</v>
      </c>
      <c r="E2730" s="68" t="s">
        <v>32</v>
      </c>
      <c r="F2730" s="68" t="s">
        <v>8482</v>
      </c>
      <c r="G2730" s="68" t="s">
        <v>9295</v>
      </c>
      <c r="H2730" s="71"/>
      <c r="I2730" s="71" t="s">
        <v>9296</v>
      </c>
      <c r="J2730" s="71"/>
      <c r="K2730" s="71" t="s">
        <v>33</v>
      </c>
      <c r="L2730" s="71" t="s">
        <v>120</v>
      </c>
      <c r="M2730" s="71" t="s">
        <v>141</v>
      </c>
      <c r="N2730" s="68" t="e" vm="1">
        <v>#VALUE!</v>
      </c>
      <c r="O2730" s="264">
        <v>40254</v>
      </c>
      <c r="P2730" s="71" t="s">
        <v>402</v>
      </c>
      <c r="Q2730" s="71"/>
      <c r="R2730" s="71"/>
      <c r="S2730" s="276" t="s">
        <v>9297</v>
      </c>
      <c r="T2730" s="68" t="s">
        <v>3</v>
      </c>
      <c r="U2730" s="87"/>
      <c r="V2730" s="70">
        <v>40421</v>
      </c>
      <c r="W2730" s="223">
        <v>15</v>
      </c>
      <c r="X2730" s="234">
        <v>0.1</v>
      </c>
      <c r="Y2730" s="73">
        <f>IF(SUM(W2730:W2730)&gt;0,X2730/SUM(W2730:W2730)*1000000,"N/A")</f>
        <v>6666.666666666667</v>
      </c>
      <c r="Z2730" s="181"/>
      <c r="AA2730" s="181"/>
      <c r="AB2730" s="223" t="s">
        <v>9298</v>
      </c>
      <c r="AC2730" s="224"/>
      <c r="AD2730" s="338" t="s">
        <v>9299</v>
      </c>
      <c r="AE2730" s="71" t="s">
        <v>9299</v>
      </c>
      <c r="AF2730" s="280"/>
      <c r="AG2730" s="182">
        <f>YEAR(D2730)</f>
        <v>2010</v>
      </c>
      <c r="AH2730" s="86" t="str">
        <f>+IF(AE2730=$AJ$22,MONTH(T2730),"")</f>
        <v/>
      </c>
      <c r="AI2730" s="86" t="str">
        <f>+IF(AF2730=$AJ$22,MONTH(U2730),"")</f>
        <v/>
      </c>
      <c r="AJ2730" s="86" t="str">
        <f>+IF(AG2730=$AJ$22,MONTH(V2730),"")</f>
        <v/>
      </c>
      <c r="AK2730" s="86" t="str">
        <f>+IF(AG2730=$AK$22,MONTH(V2730),"")</f>
        <v/>
      </c>
      <c r="AL2730" s="86" t="str">
        <f>+IF(AG2730=$AL$22,MONTH(V2730),"")</f>
        <v/>
      </c>
      <c r="AM2730" s="86" t="str">
        <f>+IF($AG2730=$AM$22,MONTH($D2730),"")</f>
        <v/>
      </c>
      <c r="AN2730" s="89" t="str">
        <f>+IF($AG2730=AN$22,MONTH($D2730),"")</f>
        <v/>
      </c>
      <c r="AO2730" s="86" t="str">
        <f>+IF($AG2730=AO$22,MONTH($D2730),"")</f>
        <v/>
      </c>
      <c r="AP2730" s="86" t="str">
        <f>+IF($AG2730=AP$22,MONTH($D2730),"")</f>
        <v/>
      </c>
      <c r="AQ2730" s="86" t="str">
        <f>+IF($AG2730=AQ$22,MONTH($D2730),"")</f>
        <v/>
      </c>
      <c r="AR2730" s="86" t="str">
        <f>+IF($AG2730=AR$22,MONTH($D2730),"")</f>
        <v/>
      </c>
      <c r="AS2730" s="86" t="str">
        <f>+IF($AG2730=AS$22,MONTH($D2730),"")</f>
        <v/>
      </c>
      <c r="AT2730" s="86" t="str">
        <f>+IF($AG2730=AT$22,MONTH($D2730),"")</f>
        <v/>
      </c>
      <c r="AU2730" s="86" t="str">
        <f>+IF($AG2730=AU$22,MONTH($D2730),"")</f>
        <v/>
      </c>
      <c r="AV2730" s="86" t="str">
        <f>+IF($AG2730=AV$22,MONTH($D2730),"")</f>
        <v/>
      </c>
      <c r="AW2730" s="86"/>
      <c r="AX2730" s="86"/>
      <c r="AY2730" s="89"/>
      <c r="AZ2730" s="89"/>
      <c r="BA2730" s="89"/>
      <c r="BB2730" s="89"/>
      <c r="BC2730" s="89"/>
      <c r="BD2730" s="89"/>
      <c r="BE2730" s="89"/>
      <c r="BF2730" s="89"/>
      <c r="BG2730" s="89"/>
      <c r="BH2730" s="268"/>
      <c r="BI2730" s="268"/>
      <c r="BJ2730" s="2"/>
      <c r="BK2730" s="2"/>
      <c r="BL2730" s="2"/>
      <c r="BM2730" s="2"/>
      <c r="BN2730" s="2"/>
      <c r="BO2730" s="2"/>
      <c r="BP2730" s="2"/>
    </row>
    <row r="2731" spans="1:68" s="52" customFormat="1" ht="19.5" hidden="1" customHeight="1">
      <c r="A2731" s="204"/>
      <c r="B2731" s="204"/>
      <c r="C2731" s="219"/>
      <c r="D2731" s="220"/>
      <c r="E2731" s="181"/>
      <c r="F2731" s="70"/>
      <c r="G2731" s="68"/>
      <c r="H2731" s="343"/>
      <c r="I2731" s="71"/>
      <c r="J2731" s="71"/>
      <c r="K2731" s="71"/>
      <c r="L2731" s="71"/>
      <c r="M2731" s="71"/>
      <c r="N2731" s="68"/>
      <c r="O2731" s="220"/>
      <c r="P2731" s="181"/>
      <c r="Q2731" s="221"/>
      <c r="R2731" s="221"/>
      <c r="S2731" s="222"/>
      <c r="T2731" s="68"/>
      <c r="U2731" s="87"/>
      <c r="V2731" s="80"/>
      <c r="W2731" s="223"/>
      <c r="X2731" s="223"/>
      <c r="Y2731" s="150"/>
      <c r="Z2731" s="325"/>
      <c r="AA2731" s="325"/>
      <c r="AB2731" s="223"/>
      <c r="AC2731" s="224"/>
      <c r="AD2731" s="339"/>
      <c r="AE2731" s="317"/>
      <c r="AF2731" s="225"/>
      <c r="AG2731" s="182"/>
      <c r="AH2731" s="86"/>
      <c r="AI2731" s="86"/>
      <c r="AJ2731" s="86"/>
      <c r="AK2731" s="86"/>
      <c r="AL2731" s="86"/>
      <c r="AM2731" s="86"/>
      <c r="AN2731" s="89"/>
      <c r="AO2731" s="89"/>
      <c r="AP2731" s="89"/>
      <c r="AQ2731" s="89"/>
      <c r="AR2731" s="89"/>
      <c r="AS2731" s="89"/>
      <c r="AT2731" s="89"/>
      <c r="AU2731" s="89"/>
      <c r="AV2731" s="89"/>
      <c r="AW2731" s="86"/>
      <c r="AX2731" s="86"/>
      <c r="AY2731" s="89"/>
      <c r="AZ2731" s="89"/>
      <c r="BA2731" s="89"/>
      <c r="BB2731" s="89"/>
      <c r="BC2731" s="89"/>
      <c r="BD2731" s="89"/>
      <c r="BE2731" s="89"/>
      <c r="BF2731" s="89"/>
      <c r="BG2731" s="89"/>
      <c r="BH2731" s="268"/>
      <c r="BI2731" s="268"/>
      <c r="BJ2731" s="89"/>
      <c r="BK2731" s="89"/>
      <c r="BL2731" s="89"/>
      <c r="BM2731" s="89"/>
      <c r="BN2731" s="2"/>
      <c r="BO2731" s="2"/>
      <c r="BP2731" s="2"/>
    </row>
    <row r="2732" spans="1:68" s="52" customFormat="1" ht="19.5" hidden="1" customHeight="1">
      <c r="A2732" s="204" t="str">
        <f>+IFERROR(VALUE(MID(AB2732,4,4)),"")</f>
        <v/>
      </c>
      <c r="B2732" s="204"/>
      <c r="C2732" s="219"/>
      <c r="D2732" s="220"/>
      <c r="E2732" s="181"/>
      <c r="F2732" s="181"/>
      <c r="G2732" s="68"/>
      <c r="H2732" s="316"/>
      <c r="I2732" s="71"/>
      <c r="J2732" s="71"/>
      <c r="K2732" s="71"/>
      <c r="L2732" s="71"/>
      <c r="M2732" s="71"/>
      <c r="N2732" s="68"/>
      <c r="O2732" s="264"/>
      <c r="P2732" s="221"/>
      <c r="Q2732" s="221"/>
      <c r="R2732" s="221"/>
      <c r="S2732" s="222"/>
      <c r="T2732" s="68"/>
      <c r="U2732" s="87"/>
      <c r="V2732" s="183"/>
      <c r="W2732" s="223"/>
      <c r="X2732" s="223"/>
      <c r="Y2732" s="73"/>
      <c r="Z2732" s="270"/>
      <c r="AA2732" s="270"/>
      <c r="AB2732" s="223"/>
      <c r="AC2732" s="224"/>
      <c r="AD2732" s="336"/>
      <c r="AE2732" s="65"/>
      <c r="AF2732" s="225"/>
      <c r="AG2732" s="182"/>
      <c r="AH2732" s="86"/>
      <c r="AI2732" s="86"/>
      <c r="AJ2732" s="86"/>
      <c r="AK2732" s="86"/>
      <c r="AL2732" s="86"/>
      <c r="AM2732" s="89"/>
      <c r="AN2732" s="89"/>
      <c r="AO2732" s="89"/>
      <c r="AP2732" s="89"/>
      <c r="AQ2732" s="89"/>
      <c r="AR2732" s="89"/>
      <c r="AS2732" s="89"/>
      <c r="AT2732" s="89"/>
      <c r="AU2732" s="89"/>
      <c r="AV2732" s="89"/>
      <c r="AW2732" s="86"/>
      <c r="AX2732" s="86"/>
      <c r="AY2732" s="89"/>
      <c r="AZ2732" s="89"/>
      <c r="BA2732" s="89"/>
      <c r="BB2732" s="89"/>
      <c r="BC2732" s="89"/>
      <c r="BD2732" s="89"/>
      <c r="BE2732" s="89"/>
      <c r="BF2732" s="89"/>
      <c r="BG2732" s="89"/>
      <c r="BH2732" s="268"/>
      <c r="BI2732" s="268"/>
      <c r="BJ2732" s="2"/>
      <c r="BK2732" s="2"/>
      <c r="BL2732" s="2"/>
      <c r="BM2732" s="2"/>
      <c r="BN2732" s="2"/>
      <c r="BO2732" s="2"/>
      <c r="BP2732" s="2"/>
    </row>
    <row r="2733" spans="1:68" s="52" customFormat="1" ht="19.5" hidden="1" customHeight="1">
      <c r="A2733" s="204" t="str">
        <f>+IFERROR(VALUE(MID(AB2733,4,4)),"")</f>
        <v/>
      </c>
      <c r="B2733" s="204"/>
      <c r="C2733" s="219"/>
      <c r="D2733" s="220"/>
      <c r="E2733" s="70"/>
      <c r="F2733" s="181"/>
      <c r="G2733" s="68"/>
      <c r="H2733" s="316"/>
      <c r="I2733" s="163"/>
      <c r="J2733" s="163"/>
      <c r="K2733" s="71"/>
      <c r="L2733" s="71"/>
      <c r="M2733" s="71"/>
      <c r="N2733" s="68"/>
      <c r="O2733" s="264"/>
      <c r="P2733" s="221"/>
      <c r="Q2733" s="221"/>
      <c r="R2733" s="221"/>
      <c r="S2733" s="222"/>
      <c r="T2733" s="68"/>
      <c r="U2733" s="87"/>
      <c r="V2733" s="183"/>
      <c r="W2733" s="223"/>
      <c r="X2733" s="223"/>
      <c r="Y2733" s="73"/>
      <c r="Z2733" s="270"/>
      <c r="AA2733" s="270"/>
      <c r="AB2733" s="223"/>
      <c r="AC2733" s="224"/>
      <c r="AD2733" s="339"/>
      <c r="AE2733" s="317"/>
      <c r="AF2733" s="225"/>
      <c r="AG2733" s="182"/>
      <c r="AH2733" s="86"/>
      <c r="AI2733" s="86"/>
      <c r="AJ2733" s="86"/>
      <c r="AK2733" s="86"/>
      <c r="AL2733" s="86"/>
      <c r="AM2733" s="89"/>
      <c r="AN2733" s="89"/>
      <c r="AO2733" s="89"/>
      <c r="AP2733" s="89"/>
      <c r="AQ2733" s="89"/>
      <c r="AR2733" s="89"/>
      <c r="AS2733" s="89"/>
      <c r="AT2733" s="89"/>
      <c r="AU2733" s="89"/>
      <c r="AV2733" s="89"/>
      <c r="AW2733" s="86"/>
      <c r="AX2733" s="86"/>
      <c r="AY2733" s="89"/>
      <c r="AZ2733" s="89"/>
      <c r="BA2733" s="89"/>
      <c r="BB2733" s="89"/>
      <c r="BC2733" s="89"/>
      <c r="BD2733" s="89"/>
      <c r="BE2733" s="89"/>
      <c r="BF2733" s="89"/>
      <c r="BG2733" s="89"/>
      <c r="BH2733" s="268"/>
      <c r="BI2733" s="268"/>
      <c r="BJ2733" s="2"/>
      <c r="BK2733" s="2"/>
      <c r="BL2733" s="2"/>
      <c r="BM2733" s="2"/>
      <c r="BN2733" s="2"/>
      <c r="BO2733" s="2"/>
      <c r="BP2733" s="2"/>
    </row>
    <row r="2734" spans="1:68" s="52" customFormat="1" ht="19.5" hidden="1" customHeight="1">
      <c r="A2734" s="204" t="str">
        <f>+IFERROR(VALUE(MID(AB2734,4,4)),"")</f>
        <v/>
      </c>
      <c r="B2734" s="204"/>
      <c r="C2734" s="219"/>
      <c r="D2734" s="220"/>
      <c r="E2734" s="181"/>
      <c r="F2734" s="70"/>
      <c r="G2734" s="68"/>
      <c r="H2734" s="354"/>
      <c r="I2734" s="163"/>
      <c r="J2734" s="163"/>
      <c r="K2734" s="71"/>
      <c r="L2734" s="71"/>
      <c r="M2734" s="71"/>
      <c r="N2734" s="68"/>
      <c r="O2734" s="264"/>
      <c r="P2734" s="221"/>
      <c r="Q2734" s="221"/>
      <c r="R2734" s="221"/>
      <c r="S2734" s="222"/>
      <c r="T2734" s="68"/>
      <c r="U2734" s="87"/>
      <c r="V2734" s="183"/>
      <c r="W2734" s="223"/>
      <c r="X2734" s="223"/>
      <c r="Y2734" s="73"/>
      <c r="Z2734" s="270"/>
      <c r="AA2734" s="270"/>
      <c r="AB2734" s="223"/>
      <c r="AC2734" s="224"/>
      <c r="AD2734" s="339"/>
      <c r="AE2734" s="317"/>
      <c r="AF2734" s="225"/>
      <c r="AG2734" s="182"/>
      <c r="AH2734" s="86"/>
      <c r="AI2734" s="86"/>
      <c r="AJ2734" s="86"/>
      <c r="AK2734" s="86"/>
      <c r="AL2734" s="86"/>
      <c r="AM2734" s="89"/>
      <c r="AN2734" s="89"/>
      <c r="AO2734" s="89"/>
      <c r="AP2734" s="89"/>
      <c r="AQ2734" s="89"/>
      <c r="AR2734" s="89"/>
      <c r="AS2734" s="89"/>
      <c r="AT2734" s="89"/>
      <c r="AU2734" s="89"/>
      <c r="AV2734" s="89"/>
      <c r="AW2734" s="86"/>
      <c r="AX2734" s="86"/>
      <c r="AY2734" s="89"/>
      <c r="AZ2734" s="89"/>
      <c r="BA2734" s="89"/>
      <c r="BB2734" s="89"/>
      <c r="BC2734" s="89"/>
      <c r="BD2734" s="89"/>
      <c r="BE2734" s="89"/>
      <c r="BF2734" s="89"/>
      <c r="BG2734" s="89"/>
      <c r="BH2734" s="268"/>
      <c r="BI2734" s="268"/>
      <c r="BJ2734" s="2"/>
      <c r="BK2734" s="2"/>
      <c r="BL2734" s="2"/>
      <c r="BM2734" s="2"/>
      <c r="BN2734" s="2"/>
      <c r="BO2734" s="2"/>
      <c r="BP2734" s="2"/>
    </row>
    <row r="2735" spans="1:68" s="52" customFormat="1" ht="19.5" hidden="1" customHeight="1">
      <c r="A2735" s="204" t="str">
        <f>+IFERROR(VALUE(MID(AB2735,4,4)),"")</f>
        <v/>
      </c>
      <c r="B2735" s="204"/>
      <c r="C2735" s="219"/>
      <c r="D2735" s="220"/>
      <c r="E2735" s="181"/>
      <c r="F2735" s="181"/>
      <c r="G2735" s="68"/>
      <c r="H2735" s="316"/>
      <c r="I2735" s="71"/>
      <c r="J2735" s="71"/>
      <c r="K2735" s="71"/>
      <c r="L2735" s="71"/>
      <c r="M2735" s="71"/>
      <c r="N2735" s="68"/>
      <c r="O2735" s="264"/>
      <c r="P2735" s="221"/>
      <c r="Q2735" s="221"/>
      <c r="R2735" s="221"/>
      <c r="S2735" s="222"/>
      <c r="T2735" s="68"/>
      <c r="U2735" s="87"/>
      <c r="V2735" s="183"/>
      <c r="W2735" s="223"/>
      <c r="X2735" s="223"/>
      <c r="Y2735" s="73"/>
      <c r="Z2735" s="270"/>
      <c r="AA2735" s="270"/>
      <c r="AB2735" s="223"/>
      <c r="AC2735" s="224"/>
      <c r="AD2735" s="336"/>
      <c r="AE2735" s="65"/>
      <c r="AF2735" s="225"/>
      <c r="AG2735" s="182"/>
      <c r="AH2735" s="86"/>
      <c r="AI2735" s="86"/>
      <c r="AJ2735" s="86"/>
      <c r="AK2735" s="86"/>
      <c r="AL2735" s="86"/>
      <c r="AM2735" s="89"/>
      <c r="AN2735" s="89"/>
      <c r="AO2735" s="89"/>
      <c r="AP2735" s="89"/>
      <c r="AQ2735" s="89"/>
      <c r="AR2735" s="89"/>
      <c r="AS2735" s="89"/>
      <c r="AT2735" s="89"/>
      <c r="AU2735" s="89"/>
      <c r="AV2735" s="89"/>
      <c r="AW2735" s="86"/>
      <c r="AX2735" s="86"/>
      <c r="AY2735" s="89"/>
      <c r="AZ2735" s="89"/>
      <c r="BA2735" s="89"/>
      <c r="BB2735" s="89"/>
      <c r="BC2735" s="89"/>
      <c r="BD2735" s="89"/>
      <c r="BE2735" s="89"/>
      <c r="BF2735" s="89"/>
      <c r="BG2735" s="89"/>
      <c r="BH2735" s="268"/>
      <c r="BI2735" s="268"/>
      <c r="BJ2735" s="2"/>
      <c r="BK2735" s="2"/>
      <c r="BL2735" s="2"/>
      <c r="BM2735" s="2"/>
      <c r="BN2735" s="2"/>
      <c r="BO2735" s="2"/>
      <c r="BP2735" s="2"/>
    </row>
    <row r="2736" spans="1:68" s="52" customFormat="1" ht="19.5" hidden="1" customHeight="1">
      <c r="A2736" s="204" t="str">
        <f>+IFERROR(VALUE(MID(AB2736,4,4)),"")</f>
        <v/>
      </c>
      <c r="B2736" s="204"/>
      <c r="C2736" s="219"/>
      <c r="D2736" s="220"/>
      <c r="E2736" s="181"/>
      <c r="F2736" s="181"/>
      <c r="G2736" s="68"/>
      <c r="H2736" s="313"/>
      <c r="I2736" s="71"/>
      <c r="J2736" s="71"/>
      <c r="K2736" s="71"/>
      <c r="L2736" s="71"/>
      <c r="M2736" s="71"/>
      <c r="N2736" s="68"/>
      <c r="O2736" s="220"/>
      <c r="P2736" s="221"/>
      <c r="Q2736" s="221"/>
      <c r="R2736" s="221"/>
      <c r="S2736" s="222"/>
      <c r="T2736" s="68"/>
      <c r="U2736" s="87"/>
      <c r="V2736" s="80"/>
      <c r="W2736" s="223"/>
      <c r="X2736" s="223"/>
      <c r="Y2736" s="73"/>
      <c r="Z2736" s="325"/>
      <c r="AA2736" s="325"/>
      <c r="AB2736" s="223"/>
      <c r="AC2736" s="224"/>
      <c r="AD2736" s="336"/>
      <c r="AE2736" s="65"/>
      <c r="AF2736" s="225"/>
      <c r="AG2736" s="182"/>
      <c r="AH2736" s="86"/>
      <c r="AI2736" s="86"/>
      <c r="AJ2736" s="86"/>
      <c r="AK2736" s="86"/>
      <c r="AL2736" s="86"/>
      <c r="AM2736" s="86"/>
      <c r="AN2736" s="89"/>
      <c r="AO2736" s="89"/>
      <c r="AP2736" s="89"/>
      <c r="AQ2736" s="89"/>
      <c r="AR2736" s="89"/>
      <c r="AS2736" s="89"/>
      <c r="AT2736" s="89"/>
      <c r="AU2736" s="89"/>
      <c r="AV2736" s="89"/>
      <c r="AW2736" s="86"/>
      <c r="AX2736" s="86"/>
      <c r="AY2736" s="182"/>
      <c r="AZ2736" s="182"/>
      <c r="BA2736" s="182"/>
      <c r="BB2736" s="182"/>
      <c r="BC2736" s="182"/>
      <c r="BD2736" s="182"/>
      <c r="BE2736" s="182"/>
      <c r="BF2736" s="182"/>
      <c r="BG2736" s="182"/>
      <c r="BH2736" s="218"/>
      <c r="BI2736" s="218"/>
      <c r="BJ2736" s="2"/>
      <c r="BK2736" s="2"/>
      <c r="BL2736" s="2"/>
      <c r="BM2736" s="2"/>
      <c r="BN2736" s="2"/>
      <c r="BO2736" s="2"/>
      <c r="BP2736" s="2"/>
    </row>
    <row r="2737" spans="1:68" s="52" customFormat="1" ht="19.5" hidden="1" customHeight="1">
      <c r="A2737" s="204" t="str">
        <f>+IFERROR(VALUE(MID(AB2737,4,4)),"")</f>
        <v/>
      </c>
      <c r="B2737" s="204"/>
      <c r="C2737" s="219"/>
      <c r="D2737" s="220"/>
      <c r="E2737" s="181"/>
      <c r="F2737" s="70"/>
      <c r="G2737" s="68"/>
      <c r="H2737" s="316"/>
      <c r="I2737" s="163"/>
      <c r="J2737" s="163"/>
      <c r="K2737" s="71"/>
      <c r="L2737" s="71"/>
      <c r="M2737" s="71"/>
      <c r="N2737" s="68"/>
      <c r="O2737" s="264"/>
      <c r="P2737" s="221"/>
      <c r="Q2737" s="221"/>
      <c r="R2737" s="221"/>
      <c r="S2737" s="222"/>
      <c r="T2737" s="68"/>
      <c r="U2737" s="87"/>
      <c r="V2737" s="183"/>
      <c r="W2737" s="223"/>
      <c r="X2737" s="223"/>
      <c r="Y2737" s="73"/>
      <c r="Z2737" s="270"/>
      <c r="AA2737" s="270"/>
      <c r="AB2737" s="223"/>
      <c r="AC2737" s="224"/>
      <c r="AD2737" s="336"/>
      <c r="AE2737" s="65"/>
      <c r="AF2737" s="225"/>
      <c r="AG2737" s="182"/>
      <c r="AH2737" s="86"/>
      <c r="AI2737" s="86"/>
      <c r="AJ2737" s="86"/>
      <c r="AK2737" s="86"/>
      <c r="AL2737" s="86"/>
      <c r="AM2737" s="89"/>
      <c r="AN2737" s="89"/>
      <c r="AO2737" s="89"/>
      <c r="AP2737" s="89"/>
      <c r="AQ2737" s="89"/>
      <c r="AR2737" s="89"/>
      <c r="AS2737" s="89"/>
      <c r="AT2737" s="89"/>
      <c r="AU2737" s="89"/>
      <c r="AV2737" s="89"/>
      <c r="AW2737" s="86"/>
      <c r="AX2737" s="86"/>
      <c r="AY2737" s="89"/>
      <c r="AZ2737" s="89"/>
      <c r="BA2737" s="89"/>
      <c r="BB2737" s="89"/>
      <c r="BC2737" s="89"/>
      <c r="BD2737" s="89"/>
      <c r="BE2737" s="89"/>
      <c r="BF2737" s="89"/>
      <c r="BG2737" s="89"/>
      <c r="BH2737" s="268"/>
      <c r="BI2737" s="268"/>
      <c r="BJ2737" s="2"/>
      <c r="BK2737" s="2"/>
      <c r="BL2737" s="2"/>
      <c r="BM2737" s="2"/>
      <c r="BN2737" s="2"/>
      <c r="BO2737" s="2"/>
      <c r="BP2737" s="2"/>
    </row>
    <row r="2738" spans="1:68" s="52" customFormat="1" ht="19.5" hidden="1" customHeight="1">
      <c r="A2738" s="204" t="str">
        <f>+IFERROR(VALUE(MID(AB2738,4,4)),"")</f>
        <v/>
      </c>
      <c r="B2738" s="204"/>
      <c r="C2738" s="219"/>
      <c r="D2738" s="220"/>
      <c r="E2738" s="181"/>
      <c r="F2738" s="181"/>
      <c r="G2738" s="68"/>
      <c r="H2738" s="316"/>
      <c r="I2738" s="163"/>
      <c r="J2738" s="163"/>
      <c r="K2738" s="71"/>
      <c r="L2738" s="71"/>
      <c r="M2738" s="71"/>
      <c r="N2738" s="68"/>
      <c r="O2738" s="264"/>
      <c r="P2738" s="221"/>
      <c r="Q2738" s="221"/>
      <c r="R2738" s="221"/>
      <c r="S2738" s="222"/>
      <c r="T2738" s="68"/>
      <c r="U2738" s="87"/>
      <c r="V2738" s="183"/>
      <c r="W2738" s="223"/>
      <c r="X2738" s="223"/>
      <c r="Y2738" s="73"/>
      <c r="Z2738" s="270"/>
      <c r="AA2738" s="270"/>
      <c r="AB2738" s="223"/>
      <c r="AC2738" s="224"/>
      <c r="AD2738" s="336"/>
      <c r="AE2738" s="65"/>
      <c r="AF2738" s="225"/>
      <c r="AG2738" s="182"/>
      <c r="AH2738" s="86"/>
      <c r="AI2738" s="86"/>
      <c r="AJ2738" s="86"/>
      <c r="AK2738" s="86"/>
      <c r="AL2738" s="86"/>
      <c r="AM2738" s="89"/>
      <c r="AN2738" s="89"/>
      <c r="AO2738" s="89"/>
      <c r="AP2738" s="89"/>
      <c r="AQ2738" s="89"/>
      <c r="AR2738" s="89"/>
      <c r="AS2738" s="89"/>
      <c r="AT2738" s="89"/>
      <c r="AU2738" s="89"/>
      <c r="AV2738" s="89"/>
      <c r="AW2738" s="86"/>
      <c r="AX2738" s="86"/>
      <c r="AY2738" s="89"/>
      <c r="AZ2738" s="89"/>
      <c r="BA2738" s="89"/>
      <c r="BB2738" s="89"/>
      <c r="BC2738" s="89"/>
      <c r="BD2738" s="89"/>
      <c r="BE2738" s="89"/>
      <c r="BF2738" s="89"/>
      <c r="BG2738" s="89"/>
      <c r="BH2738" s="268"/>
      <c r="BI2738" s="268"/>
      <c r="BJ2738" s="2"/>
      <c r="BK2738" s="2"/>
      <c r="BL2738" s="2"/>
      <c r="BM2738" s="2"/>
      <c r="BN2738" s="2"/>
      <c r="BO2738" s="2"/>
      <c r="BP2738" s="2"/>
    </row>
    <row r="2739" spans="1:68" s="52" customFormat="1" ht="19.5" hidden="1" customHeight="1">
      <c r="A2739" s="204" t="str">
        <f>+IFERROR(VALUE(MID(AB2739,4,4)),"")</f>
        <v/>
      </c>
      <c r="B2739" s="204"/>
      <c r="C2739" s="219"/>
      <c r="D2739" s="220"/>
      <c r="E2739" s="181"/>
      <c r="F2739" s="70"/>
      <c r="G2739" s="68"/>
      <c r="H2739" s="354"/>
      <c r="I2739" s="163"/>
      <c r="J2739" s="163"/>
      <c r="K2739" s="71"/>
      <c r="L2739" s="71"/>
      <c r="M2739" s="71"/>
      <c r="N2739" s="68"/>
      <c r="O2739" s="264"/>
      <c r="P2739" s="221"/>
      <c r="Q2739" s="221"/>
      <c r="R2739" s="221"/>
      <c r="S2739" s="222"/>
      <c r="T2739" s="68"/>
      <c r="U2739" s="87"/>
      <c r="V2739" s="183"/>
      <c r="W2739" s="223"/>
      <c r="X2739" s="223"/>
      <c r="Y2739" s="73"/>
      <c r="Z2739" s="270"/>
      <c r="AA2739" s="270"/>
      <c r="AB2739" s="223"/>
      <c r="AC2739" s="224"/>
      <c r="AD2739" s="339"/>
      <c r="AE2739" s="317"/>
      <c r="AF2739" s="225"/>
      <c r="AG2739" s="182"/>
      <c r="AH2739" s="86"/>
      <c r="AI2739" s="86"/>
      <c r="AJ2739" s="86"/>
      <c r="AK2739" s="86"/>
      <c r="AL2739" s="86"/>
      <c r="AM2739" s="89"/>
      <c r="AN2739" s="89"/>
      <c r="AO2739" s="89"/>
      <c r="AP2739" s="89"/>
      <c r="AQ2739" s="89"/>
      <c r="AR2739" s="89"/>
      <c r="AS2739" s="89"/>
      <c r="AT2739" s="89"/>
      <c r="AU2739" s="89"/>
      <c r="AV2739" s="89"/>
      <c r="AW2739" s="86"/>
      <c r="AX2739" s="86"/>
      <c r="AY2739" s="89"/>
      <c r="AZ2739" s="89"/>
      <c r="BA2739" s="89"/>
      <c r="BB2739" s="89"/>
      <c r="BC2739" s="89"/>
      <c r="BD2739" s="89"/>
      <c r="BE2739" s="89"/>
      <c r="BF2739" s="89"/>
      <c r="BG2739" s="89"/>
      <c r="BH2739" s="268"/>
      <c r="BI2739" s="268"/>
      <c r="BJ2739" s="2"/>
      <c r="BK2739" s="2"/>
      <c r="BL2739" s="2"/>
      <c r="BM2739" s="2"/>
      <c r="BN2739" s="2"/>
      <c r="BO2739" s="2"/>
      <c r="BP2739" s="2"/>
    </row>
    <row r="2740" spans="1:68" s="52" customFormat="1" ht="19.5" hidden="1" customHeight="1">
      <c r="A2740" s="204" t="str">
        <f>+IFERROR(VALUE(MID(AB2740,4,4)),"")</f>
        <v/>
      </c>
      <c r="B2740" s="204"/>
      <c r="C2740" s="219"/>
      <c r="D2740" s="220"/>
      <c r="E2740" s="70"/>
      <c r="F2740" s="181"/>
      <c r="G2740" s="68"/>
      <c r="H2740" s="316"/>
      <c r="I2740" s="71"/>
      <c r="J2740" s="71"/>
      <c r="K2740" s="71"/>
      <c r="L2740" s="71"/>
      <c r="M2740" s="71"/>
      <c r="N2740" s="68"/>
      <c r="O2740" s="220"/>
      <c r="P2740" s="221"/>
      <c r="Q2740" s="221"/>
      <c r="R2740" s="221"/>
      <c r="S2740" s="222"/>
      <c r="T2740" s="68"/>
      <c r="U2740" s="87"/>
      <c r="V2740" s="183"/>
      <c r="W2740" s="240"/>
      <c r="X2740" s="240"/>
      <c r="Y2740" s="73"/>
      <c r="Z2740" s="270"/>
      <c r="AA2740" s="270"/>
      <c r="AB2740" s="223"/>
      <c r="AC2740" s="224"/>
      <c r="AD2740" s="339"/>
      <c r="AE2740" s="317"/>
      <c r="AF2740" s="225"/>
      <c r="AG2740" s="182"/>
      <c r="AH2740" s="86"/>
      <c r="AI2740" s="86"/>
      <c r="AJ2740" s="86"/>
      <c r="AK2740" s="86"/>
      <c r="AL2740" s="86"/>
      <c r="AM2740" s="86"/>
      <c r="AN2740" s="89"/>
      <c r="AO2740" s="89"/>
      <c r="AP2740" s="89"/>
      <c r="AQ2740" s="89"/>
      <c r="AR2740" s="89"/>
      <c r="AS2740" s="89"/>
      <c r="AT2740" s="89"/>
      <c r="AU2740" s="89"/>
      <c r="AV2740" s="89"/>
      <c r="AW2740" s="86"/>
      <c r="AX2740" s="86"/>
      <c r="AY2740" s="89"/>
      <c r="AZ2740" s="89"/>
      <c r="BA2740" s="89"/>
      <c r="BB2740" s="89"/>
      <c r="BC2740" s="89"/>
      <c r="BD2740" s="89"/>
      <c r="BE2740" s="89"/>
      <c r="BF2740" s="89"/>
      <c r="BG2740" s="89"/>
      <c r="BH2740" s="268"/>
      <c r="BI2740" s="268"/>
      <c r="BJ2740" s="2"/>
      <c r="BK2740" s="2"/>
      <c r="BL2740" s="2"/>
      <c r="BM2740" s="2"/>
      <c r="BN2740" s="2"/>
      <c r="BO2740" s="2"/>
      <c r="BP2740" s="2"/>
    </row>
    <row r="2741" spans="1:68" s="52" customFormat="1" ht="19.5" hidden="1" customHeight="1">
      <c r="A2741" s="204" t="str">
        <f>+IFERROR(VALUE(MID(AB2741,4,4)),"")</f>
        <v/>
      </c>
      <c r="B2741" s="204"/>
      <c r="C2741" s="219"/>
      <c r="D2741" s="220"/>
      <c r="E2741" s="70"/>
      <c r="F2741" s="70"/>
      <c r="G2741" s="68"/>
      <c r="H2741" s="316"/>
      <c r="I2741" s="71"/>
      <c r="J2741" s="71"/>
      <c r="K2741" s="71"/>
      <c r="L2741" s="71"/>
      <c r="M2741" s="71"/>
      <c r="N2741" s="68"/>
      <c r="O2741" s="220"/>
      <c r="P2741" s="221"/>
      <c r="Q2741" s="221"/>
      <c r="R2741" s="221"/>
      <c r="S2741" s="222"/>
      <c r="T2741" s="68"/>
      <c r="U2741" s="87"/>
      <c r="V2741" s="183"/>
      <c r="W2741" s="240"/>
      <c r="X2741" s="240"/>
      <c r="Y2741" s="73"/>
      <c r="Z2741" s="270"/>
      <c r="AA2741" s="270"/>
      <c r="AB2741" s="223"/>
      <c r="AC2741" s="224"/>
      <c r="AD2741" s="339"/>
      <c r="AE2741" s="317"/>
      <c r="AF2741" s="225"/>
      <c r="AG2741" s="182"/>
      <c r="AH2741" s="86"/>
      <c r="AI2741" s="86"/>
      <c r="AJ2741" s="86"/>
      <c r="AK2741" s="86"/>
      <c r="AL2741" s="86"/>
      <c r="AM2741" s="86"/>
      <c r="AN2741" s="89"/>
      <c r="AO2741" s="89"/>
      <c r="AP2741" s="89"/>
      <c r="AQ2741" s="89"/>
      <c r="AR2741" s="89"/>
      <c r="AS2741" s="89"/>
      <c r="AT2741" s="89"/>
      <c r="AU2741" s="89"/>
      <c r="AV2741" s="89"/>
      <c r="AW2741" s="86"/>
      <c r="AX2741" s="86"/>
      <c r="AY2741" s="89"/>
      <c r="AZ2741" s="89"/>
      <c r="BA2741" s="89"/>
      <c r="BB2741" s="89"/>
      <c r="BC2741" s="89"/>
      <c r="BD2741" s="89"/>
      <c r="BE2741" s="89"/>
      <c r="BF2741" s="89"/>
      <c r="BG2741" s="89"/>
      <c r="BH2741" s="268"/>
      <c r="BI2741" s="268"/>
      <c r="BJ2741" s="2"/>
      <c r="BK2741" s="2"/>
      <c r="BL2741" s="2"/>
      <c r="BM2741" s="2"/>
      <c r="BN2741" s="2"/>
      <c r="BO2741" s="2"/>
      <c r="BP2741" s="2"/>
    </row>
    <row r="2742" spans="1:68" s="52" customFormat="1" ht="19.5" hidden="1" customHeight="1">
      <c r="A2742" s="204" t="str">
        <f>+IFERROR(VALUE(MID(AB2742,4,4)),"")</f>
        <v/>
      </c>
      <c r="B2742" s="204"/>
      <c r="C2742" s="219"/>
      <c r="D2742" s="220"/>
      <c r="E2742" s="181"/>
      <c r="F2742" s="181"/>
      <c r="G2742" s="68"/>
      <c r="H2742" s="313"/>
      <c r="I2742" s="71"/>
      <c r="J2742" s="71"/>
      <c r="K2742" s="71"/>
      <c r="L2742" s="71"/>
      <c r="M2742" s="71"/>
      <c r="N2742" s="68"/>
      <c r="O2742" s="220"/>
      <c r="P2742" s="221"/>
      <c r="Q2742" s="221"/>
      <c r="R2742" s="221"/>
      <c r="S2742" s="222"/>
      <c r="T2742" s="68"/>
      <c r="U2742" s="87"/>
      <c r="V2742" s="183"/>
      <c r="W2742" s="240"/>
      <c r="X2742" s="240"/>
      <c r="Y2742" s="73"/>
      <c r="Z2742" s="270"/>
      <c r="AA2742" s="270"/>
      <c r="AB2742" s="223"/>
      <c r="AC2742" s="224"/>
      <c r="AD2742" s="336"/>
      <c r="AE2742" s="65"/>
      <c r="AF2742" s="225"/>
      <c r="AG2742" s="182"/>
      <c r="AH2742" s="86"/>
      <c r="AI2742" s="86"/>
      <c r="AJ2742" s="86"/>
      <c r="AK2742" s="86"/>
      <c r="AL2742" s="86"/>
      <c r="AM2742" s="86"/>
      <c r="AN2742" s="89"/>
      <c r="AO2742" s="89"/>
      <c r="AP2742" s="89"/>
      <c r="AQ2742" s="89"/>
      <c r="AR2742" s="89"/>
      <c r="AS2742" s="89"/>
      <c r="AT2742" s="89"/>
      <c r="AU2742" s="89"/>
      <c r="AV2742" s="89"/>
      <c r="AW2742" s="86"/>
      <c r="AX2742" s="86"/>
      <c r="AY2742" s="89"/>
      <c r="AZ2742" s="89"/>
      <c r="BA2742" s="89"/>
      <c r="BB2742" s="89"/>
      <c r="BC2742" s="89"/>
      <c r="BD2742" s="89"/>
      <c r="BE2742" s="89"/>
      <c r="BF2742" s="89"/>
      <c r="BG2742" s="89"/>
      <c r="BH2742" s="268"/>
      <c r="BI2742" s="268"/>
      <c r="BJ2742" s="2"/>
      <c r="BK2742" s="2"/>
      <c r="BL2742" s="2"/>
      <c r="BM2742" s="2"/>
      <c r="BN2742" s="2"/>
      <c r="BO2742" s="2"/>
      <c r="BP2742" s="2"/>
    </row>
    <row r="2743" spans="1:68" s="52" customFormat="1" ht="19.5" hidden="1" customHeight="1">
      <c r="A2743" s="204" t="str">
        <f>+IFERROR(VALUE(MID(AB2743,4,4)),"")</f>
        <v/>
      </c>
      <c r="B2743" s="204"/>
      <c r="C2743" s="219"/>
      <c r="D2743" s="220"/>
      <c r="E2743" s="181"/>
      <c r="F2743" s="181"/>
      <c r="G2743" s="68"/>
      <c r="H2743" s="316"/>
      <c r="I2743" s="163"/>
      <c r="J2743" s="163"/>
      <c r="K2743" s="71"/>
      <c r="L2743" s="71"/>
      <c r="M2743" s="71"/>
      <c r="N2743" s="68"/>
      <c r="O2743" s="264"/>
      <c r="P2743" s="221"/>
      <c r="Q2743" s="221"/>
      <c r="R2743" s="221"/>
      <c r="S2743" s="222"/>
      <c r="T2743" s="68"/>
      <c r="U2743" s="87"/>
      <c r="V2743" s="183"/>
      <c r="W2743" s="223"/>
      <c r="X2743" s="223"/>
      <c r="Y2743" s="73"/>
      <c r="Z2743" s="270"/>
      <c r="AA2743" s="270"/>
      <c r="AB2743" s="223"/>
      <c r="AC2743" s="224"/>
      <c r="AD2743" s="339"/>
      <c r="AE2743" s="317"/>
      <c r="AF2743" s="225"/>
      <c r="AG2743" s="182"/>
      <c r="AH2743" s="86"/>
      <c r="AI2743" s="86"/>
      <c r="AJ2743" s="86"/>
      <c r="AK2743" s="86"/>
      <c r="AL2743" s="86"/>
      <c r="AM2743" s="89"/>
      <c r="AN2743" s="89"/>
      <c r="AO2743" s="89"/>
      <c r="AP2743" s="89"/>
      <c r="AQ2743" s="89"/>
      <c r="AR2743" s="89"/>
      <c r="AS2743" s="89"/>
      <c r="AT2743" s="89"/>
      <c r="AU2743" s="89"/>
      <c r="AV2743" s="89"/>
      <c r="AW2743" s="86"/>
      <c r="AX2743" s="86"/>
      <c r="AY2743" s="89"/>
      <c r="AZ2743" s="89"/>
      <c r="BA2743" s="89"/>
      <c r="BB2743" s="89"/>
      <c r="BC2743" s="89"/>
      <c r="BD2743" s="89"/>
      <c r="BE2743" s="89"/>
      <c r="BF2743" s="89"/>
      <c r="BG2743" s="89"/>
      <c r="BH2743" s="268"/>
      <c r="BI2743" s="268"/>
      <c r="BJ2743" s="2"/>
      <c r="BK2743" s="2"/>
      <c r="BL2743" s="2"/>
      <c r="BM2743" s="2"/>
      <c r="BN2743" s="2"/>
      <c r="BO2743" s="2"/>
      <c r="BP2743" s="2"/>
    </row>
    <row r="2744" spans="1:68" s="52" customFormat="1" ht="19.5" hidden="1" customHeight="1">
      <c r="A2744" s="204" t="str">
        <f>+IFERROR(VALUE(MID(AB2744,4,4)),"")</f>
        <v/>
      </c>
      <c r="B2744" s="204"/>
      <c r="C2744" s="219"/>
      <c r="D2744" s="220"/>
      <c r="E2744" s="181"/>
      <c r="F2744" s="70"/>
      <c r="G2744" s="68"/>
      <c r="H2744" s="313"/>
      <c r="I2744" s="71"/>
      <c r="J2744" s="71"/>
      <c r="K2744" s="71"/>
      <c r="L2744" s="71"/>
      <c r="M2744" s="71"/>
      <c r="N2744" s="68"/>
      <c r="O2744" s="220"/>
      <c r="P2744" s="221"/>
      <c r="Q2744" s="221"/>
      <c r="R2744" s="221"/>
      <c r="S2744" s="222"/>
      <c r="T2744" s="68"/>
      <c r="U2744" s="87"/>
      <c r="V2744" s="80"/>
      <c r="W2744" s="223"/>
      <c r="X2744" s="223"/>
      <c r="Y2744" s="150"/>
      <c r="Z2744" s="325"/>
      <c r="AA2744" s="325"/>
      <c r="AB2744" s="223"/>
      <c r="AC2744" s="224"/>
      <c r="AD2744" s="336"/>
      <c r="AE2744" s="65"/>
      <c r="AF2744" s="225"/>
      <c r="AG2744" s="182"/>
      <c r="AH2744" s="86"/>
      <c r="AI2744" s="86"/>
      <c r="AJ2744" s="86"/>
      <c r="AK2744" s="86"/>
      <c r="AL2744" s="86"/>
      <c r="AM2744" s="86"/>
      <c r="AN2744" s="89"/>
      <c r="AO2744" s="89"/>
      <c r="AP2744" s="89"/>
      <c r="AQ2744" s="89"/>
      <c r="AR2744" s="89"/>
      <c r="AS2744" s="89"/>
      <c r="AT2744" s="89"/>
      <c r="AU2744" s="89"/>
      <c r="AV2744" s="89"/>
      <c r="AW2744" s="86"/>
      <c r="AX2744" s="86"/>
      <c r="AY2744" s="89"/>
      <c r="AZ2744" s="89"/>
      <c r="BA2744" s="89"/>
      <c r="BB2744" s="89"/>
      <c r="BC2744" s="89"/>
      <c r="BD2744" s="89"/>
      <c r="BE2744" s="89"/>
      <c r="BF2744" s="89"/>
      <c r="BG2744" s="89"/>
      <c r="BH2744" s="268"/>
      <c r="BI2744" s="268"/>
      <c r="BJ2744" s="2"/>
      <c r="BK2744" s="2"/>
      <c r="BL2744" s="2"/>
      <c r="BM2744" s="2"/>
      <c r="BN2744" s="2"/>
      <c r="BO2744" s="2"/>
      <c r="BP2744" s="2"/>
    </row>
    <row r="2745" spans="1:68" s="52" customFormat="1" ht="19.5" hidden="1" customHeight="1">
      <c r="A2745" s="204" t="str">
        <f>+IFERROR(VALUE(MID(AB2745,4,4)),"")</f>
        <v/>
      </c>
      <c r="B2745" s="204"/>
      <c r="C2745" s="219"/>
      <c r="D2745" s="220"/>
      <c r="E2745" s="181"/>
      <c r="F2745" s="181"/>
      <c r="G2745" s="68"/>
      <c r="H2745" s="313"/>
      <c r="I2745" s="163"/>
      <c r="J2745" s="163"/>
      <c r="K2745" s="71"/>
      <c r="L2745" s="71"/>
      <c r="M2745" s="71"/>
      <c r="N2745" s="68"/>
      <c r="O2745" s="264"/>
      <c r="P2745" s="221"/>
      <c r="Q2745" s="221"/>
      <c r="R2745" s="221"/>
      <c r="S2745" s="222"/>
      <c r="T2745" s="68"/>
      <c r="U2745" s="87"/>
      <c r="V2745" s="183"/>
      <c r="W2745" s="223"/>
      <c r="X2745" s="223"/>
      <c r="Y2745" s="73"/>
      <c r="Z2745" s="270"/>
      <c r="AA2745" s="270"/>
      <c r="AB2745" s="223"/>
      <c r="AC2745" s="224"/>
      <c r="AD2745" s="336"/>
      <c r="AE2745" s="65"/>
      <c r="AF2745" s="225"/>
      <c r="AG2745" s="182"/>
      <c r="AH2745" s="86"/>
      <c r="AI2745" s="86"/>
      <c r="AJ2745" s="86"/>
      <c r="AK2745" s="86"/>
      <c r="AL2745" s="86"/>
      <c r="AM2745" s="89"/>
      <c r="AN2745" s="89"/>
      <c r="AO2745" s="89"/>
      <c r="AP2745" s="89"/>
      <c r="AQ2745" s="89"/>
      <c r="AR2745" s="89"/>
      <c r="AS2745" s="89"/>
      <c r="AT2745" s="89"/>
      <c r="AU2745" s="89"/>
      <c r="AV2745" s="89"/>
      <c r="AW2745" s="86"/>
      <c r="AX2745" s="86"/>
      <c r="AY2745" s="89"/>
      <c r="AZ2745" s="89"/>
      <c r="BA2745" s="89"/>
      <c r="BB2745" s="89"/>
      <c r="BC2745" s="89"/>
      <c r="BD2745" s="89"/>
      <c r="BE2745" s="89"/>
      <c r="BF2745" s="89"/>
      <c r="BG2745" s="89"/>
      <c r="BH2745" s="268"/>
      <c r="BI2745" s="268"/>
      <c r="BJ2745" s="2"/>
      <c r="BK2745" s="2"/>
      <c r="BL2745" s="2"/>
      <c r="BM2745" s="2"/>
      <c r="BN2745" s="2"/>
      <c r="BO2745" s="2"/>
      <c r="BP2745" s="2"/>
    </row>
    <row r="2746" spans="1:68" s="52" customFormat="1" ht="19.5" hidden="1" customHeight="1">
      <c r="A2746" s="204" t="str">
        <f>+IFERROR(VALUE(MID(AB2746,4,4)),"")</f>
        <v/>
      </c>
      <c r="B2746" s="204"/>
      <c r="C2746" s="219"/>
      <c r="D2746" s="220"/>
      <c r="E2746" s="70"/>
      <c r="F2746" s="181"/>
      <c r="G2746" s="68"/>
      <c r="H2746" s="67"/>
      <c r="I2746" s="163"/>
      <c r="J2746" s="163"/>
      <c r="K2746" s="71"/>
      <c r="L2746" s="71"/>
      <c r="M2746" s="71"/>
      <c r="N2746" s="68"/>
      <c r="O2746" s="264"/>
      <c r="P2746" s="221"/>
      <c r="Q2746" s="221"/>
      <c r="R2746" s="221"/>
      <c r="S2746" s="222"/>
      <c r="T2746" s="68"/>
      <c r="U2746" s="87"/>
      <c r="V2746" s="183"/>
      <c r="W2746" s="223"/>
      <c r="X2746" s="223"/>
      <c r="Y2746" s="73"/>
      <c r="Z2746" s="270"/>
      <c r="AA2746" s="270"/>
      <c r="AB2746" s="223"/>
      <c r="AC2746" s="224"/>
      <c r="AD2746" s="336"/>
      <c r="AE2746" s="65"/>
      <c r="AF2746" s="225"/>
      <c r="AG2746" s="182"/>
      <c r="AH2746" s="86"/>
      <c r="AI2746" s="86"/>
      <c r="AJ2746" s="86"/>
      <c r="AK2746" s="86"/>
      <c r="AL2746" s="86"/>
      <c r="AM2746" s="89"/>
      <c r="AN2746" s="89"/>
      <c r="AO2746" s="89"/>
      <c r="AP2746" s="89"/>
      <c r="AQ2746" s="89"/>
      <c r="AR2746" s="89"/>
      <c r="AS2746" s="89"/>
      <c r="AT2746" s="89"/>
      <c r="AU2746" s="89"/>
      <c r="AV2746" s="89"/>
      <c r="AW2746" s="86"/>
      <c r="AX2746" s="86"/>
      <c r="AY2746" s="89"/>
      <c r="AZ2746" s="89"/>
      <c r="BA2746" s="89"/>
      <c r="BB2746" s="89"/>
      <c r="BC2746" s="89"/>
      <c r="BD2746" s="89"/>
      <c r="BE2746" s="89"/>
      <c r="BF2746" s="89"/>
      <c r="BG2746" s="89"/>
      <c r="BH2746" s="268"/>
      <c r="BI2746" s="268"/>
      <c r="BJ2746" s="2"/>
      <c r="BK2746" s="2"/>
      <c r="BL2746" s="2"/>
      <c r="BM2746" s="2"/>
      <c r="BN2746" s="2"/>
      <c r="BO2746" s="2"/>
      <c r="BP2746" s="2"/>
    </row>
    <row r="2747" spans="1:68" s="52" customFormat="1" ht="19.5" hidden="1" customHeight="1">
      <c r="A2747" s="204" t="str">
        <f>+IFERROR(VALUE(MID(AB2747,4,4)),"")</f>
        <v/>
      </c>
      <c r="B2747" s="204"/>
      <c r="C2747" s="219"/>
      <c r="D2747" s="220"/>
      <c r="E2747" s="70"/>
      <c r="F2747" s="181"/>
      <c r="G2747" s="68"/>
      <c r="H2747" s="67"/>
      <c r="I2747" s="163"/>
      <c r="J2747" s="163"/>
      <c r="K2747" s="71"/>
      <c r="L2747" s="71"/>
      <c r="M2747" s="71"/>
      <c r="N2747" s="68"/>
      <c r="O2747" s="264"/>
      <c r="P2747" s="221"/>
      <c r="Q2747" s="221"/>
      <c r="R2747" s="221"/>
      <c r="S2747" s="222"/>
      <c r="T2747" s="68"/>
      <c r="U2747" s="87"/>
      <c r="V2747" s="183"/>
      <c r="W2747" s="223"/>
      <c r="X2747" s="223"/>
      <c r="Y2747" s="73"/>
      <c r="Z2747" s="270"/>
      <c r="AA2747" s="270"/>
      <c r="AB2747" s="223"/>
      <c r="AC2747" s="224"/>
      <c r="AD2747" s="336"/>
      <c r="AE2747" s="65"/>
      <c r="AF2747" s="225"/>
      <c r="AG2747" s="182"/>
      <c r="AH2747" s="86"/>
      <c r="AI2747" s="86"/>
      <c r="AJ2747" s="86"/>
      <c r="AK2747" s="86"/>
      <c r="AL2747" s="86"/>
      <c r="AM2747" s="89"/>
      <c r="AN2747" s="89"/>
      <c r="AO2747" s="89"/>
      <c r="AP2747" s="89"/>
      <c r="AQ2747" s="89"/>
      <c r="AR2747" s="89"/>
      <c r="AS2747" s="89"/>
      <c r="AT2747" s="89"/>
      <c r="AU2747" s="89"/>
      <c r="AV2747" s="89"/>
      <c r="AW2747" s="86"/>
      <c r="AX2747" s="86"/>
      <c r="AY2747" s="89"/>
      <c r="AZ2747" s="89"/>
      <c r="BA2747" s="89"/>
      <c r="BB2747" s="89"/>
      <c r="BC2747" s="89"/>
      <c r="BD2747" s="89"/>
      <c r="BE2747" s="89"/>
      <c r="BF2747" s="89"/>
      <c r="BG2747" s="89"/>
      <c r="BH2747" s="268"/>
      <c r="BI2747" s="268"/>
      <c r="BJ2747" s="2"/>
      <c r="BK2747" s="2"/>
      <c r="BL2747" s="2"/>
      <c r="BM2747" s="2"/>
      <c r="BN2747" s="2"/>
      <c r="BO2747" s="2"/>
      <c r="BP2747" s="2"/>
    </row>
    <row r="2748" spans="1:68" s="52" customFormat="1" ht="19.5" hidden="1" customHeight="1">
      <c r="A2748" s="204" t="str">
        <f>+IFERROR(VALUE(MID(AB2748,4,4)),"")</f>
        <v/>
      </c>
      <c r="B2748" s="204"/>
      <c r="C2748" s="219"/>
      <c r="D2748" s="220"/>
      <c r="E2748" s="70"/>
      <c r="F2748" s="181"/>
      <c r="G2748" s="68"/>
      <c r="H2748" s="316"/>
      <c r="I2748" s="71"/>
      <c r="J2748" s="71"/>
      <c r="K2748" s="71"/>
      <c r="L2748" s="71"/>
      <c r="M2748" s="71"/>
      <c r="N2748" s="68"/>
      <c r="O2748" s="220"/>
      <c r="P2748" s="221"/>
      <c r="Q2748" s="221"/>
      <c r="R2748" s="221"/>
      <c r="S2748" s="222"/>
      <c r="T2748" s="68"/>
      <c r="U2748" s="87"/>
      <c r="V2748" s="80"/>
      <c r="W2748" s="223"/>
      <c r="X2748" s="223"/>
      <c r="Y2748" s="150"/>
      <c r="Z2748" s="325"/>
      <c r="AA2748" s="325"/>
      <c r="AB2748" s="223"/>
      <c r="AC2748" s="224"/>
      <c r="AD2748" s="339"/>
      <c r="AE2748" s="317"/>
      <c r="AF2748" s="225"/>
      <c r="AG2748" s="182"/>
      <c r="AH2748" s="86"/>
      <c r="AI2748" s="86"/>
      <c r="AJ2748" s="86"/>
      <c r="AK2748" s="86"/>
      <c r="AL2748" s="86"/>
      <c r="AM2748" s="86"/>
      <c r="AN2748" s="89"/>
      <c r="AO2748" s="89"/>
      <c r="AP2748" s="89"/>
      <c r="AQ2748" s="89"/>
      <c r="AR2748" s="89"/>
      <c r="AS2748" s="89"/>
      <c r="AT2748" s="89"/>
      <c r="AU2748" s="89"/>
      <c r="AV2748" s="89"/>
      <c r="AW2748" s="86"/>
      <c r="AX2748" s="86"/>
      <c r="AY2748" s="89"/>
      <c r="AZ2748" s="89"/>
      <c r="BA2748" s="89"/>
      <c r="BB2748" s="89"/>
      <c r="BC2748" s="89"/>
      <c r="BD2748" s="89"/>
      <c r="BE2748" s="89"/>
      <c r="BF2748" s="89"/>
      <c r="BG2748" s="89"/>
      <c r="BH2748" s="268"/>
      <c r="BI2748" s="268"/>
      <c r="BJ2748" s="2"/>
      <c r="BK2748" s="2"/>
      <c r="BL2748" s="2"/>
      <c r="BM2748" s="2"/>
      <c r="BN2748" s="2"/>
      <c r="BO2748" s="2"/>
      <c r="BP2748" s="2"/>
    </row>
    <row r="2749" spans="1:68" s="52" customFormat="1" ht="19.5" hidden="1" customHeight="1">
      <c r="A2749" s="204" t="str">
        <f>+IFERROR(VALUE(MID(AB2749,4,4)),"")</f>
        <v/>
      </c>
      <c r="B2749" s="204"/>
      <c r="C2749" s="219"/>
      <c r="D2749" s="220"/>
      <c r="E2749" s="70"/>
      <c r="F2749" s="181"/>
      <c r="G2749" s="68"/>
      <c r="H2749" s="343"/>
      <c r="I2749" s="71"/>
      <c r="J2749" s="71"/>
      <c r="K2749" s="71"/>
      <c r="L2749" s="71"/>
      <c r="M2749" s="71"/>
      <c r="N2749" s="68"/>
      <c r="O2749" s="220"/>
      <c r="P2749" s="181"/>
      <c r="Q2749" s="181"/>
      <c r="R2749" s="181"/>
      <c r="S2749" s="222"/>
      <c r="T2749" s="68"/>
      <c r="U2749" s="90"/>
      <c r="V2749" s="80"/>
      <c r="W2749" s="223"/>
      <c r="X2749" s="223"/>
      <c r="Y2749" s="73"/>
      <c r="Z2749" s="325"/>
      <c r="AA2749" s="325"/>
      <c r="AB2749" s="223"/>
      <c r="AC2749" s="344"/>
      <c r="AD2749" s="345"/>
      <c r="AE2749" s="346"/>
      <c r="AF2749" s="225"/>
      <c r="AG2749" s="182"/>
      <c r="AH2749" s="86"/>
      <c r="AI2749" s="86"/>
      <c r="AJ2749" s="86"/>
      <c r="AK2749" s="86"/>
      <c r="AL2749" s="86"/>
      <c r="AM2749" s="86"/>
      <c r="AN2749" s="89"/>
      <c r="AO2749" s="89"/>
      <c r="AP2749" s="89"/>
      <c r="AQ2749" s="89"/>
      <c r="AR2749" s="89"/>
      <c r="AS2749" s="89"/>
      <c r="AT2749" s="89"/>
      <c r="AU2749" s="89"/>
      <c r="AV2749" s="89"/>
      <c r="AW2749" s="86"/>
      <c r="AX2749" s="86"/>
      <c r="AY2749" s="89"/>
      <c r="AZ2749" s="89"/>
      <c r="BA2749" s="89"/>
      <c r="BB2749" s="89"/>
      <c r="BC2749" s="89"/>
      <c r="BD2749" s="89"/>
      <c r="BE2749" s="89"/>
      <c r="BF2749" s="89"/>
      <c r="BG2749" s="89"/>
      <c r="BH2749" s="268"/>
      <c r="BI2749" s="268"/>
      <c r="BJ2749" s="2"/>
      <c r="BK2749" s="2"/>
      <c r="BL2749" s="2"/>
      <c r="BM2749" s="2"/>
      <c r="BN2749" s="2"/>
      <c r="BO2749" s="2"/>
      <c r="BP2749" s="2"/>
    </row>
    <row r="2750" spans="1:68" s="52" customFormat="1" ht="19.5" hidden="1" customHeight="1">
      <c r="A2750" s="204" t="str">
        <f>+IFERROR(VALUE(MID(AB2750,4,4)),"")</f>
        <v/>
      </c>
      <c r="B2750" s="204"/>
      <c r="C2750" s="219"/>
      <c r="D2750" s="220"/>
      <c r="E2750" s="181"/>
      <c r="F2750" s="181"/>
      <c r="G2750" s="68"/>
      <c r="H2750" s="313"/>
      <c r="I2750" s="163"/>
      <c r="J2750" s="163"/>
      <c r="K2750" s="71"/>
      <c r="L2750" s="71"/>
      <c r="M2750" s="71"/>
      <c r="N2750" s="68"/>
      <c r="O2750" s="264"/>
      <c r="P2750" s="221"/>
      <c r="Q2750" s="221"/>
      <c r="R2750" s="221"/>
      <c r="S2750" s="222"/>
      <c r="T2750" s="68"/>
      <c r="U2750" s="87"/>
      <c r="V2750" s="183"/>
      <c r="W2750" s="223"/>
      <c r="X2750" s="223"/>
      <c r="Y2750" s="73"/>
      <c r="Z2750" s="270"/>
      <c r="AA2750" s="270"/>
      <c r="AB2750" s="223"/>
      <c r="AC2750" s="224"/>
      <c r="AD2750" s="336"/>
      <c r="AE2750" s="65"/>
      <c r="AF2750" s="225"/>
      <c r="AG2750" s="182"/>
      <c r="AH2750" s="86"/>
      <c r="AI2750" s="86"/>
      <c r="AJ2750" s="86"/>
      <c r="AK2750" s="86"/>
      <c r="AL2750" s="86"/>
      <c r="AM2750" s="86"/>
      <c r="AN2750" s="89"/>
      <c r="AO2750" s="89"/>
      <c r="AP2750" s="89"/>
      <c r="AQ2750" s="89"/>
      <c r="AR2750" s="89"/>
      <c r="AS2750" s="89"/>
      <c r="AT2750" s="89"/>
      <c r="AU2750" s="89"/>
      <c r="AV2750" s="89"/>
      <c r="AW2750" s="86"/>
      <c r="AX2750" s="86"/>
      <c r="AY2750" s="89"/>
      <c r="AZ2750" s="89"/>
      <c r="BA2750" s="89"/>
      <c r="BB2750" s="89"/>
      <c r="BC2750" s="89"/>
      <c r="BD2750" s="89"/>
      <c r="BE2750" s="89"/>
      <c r="BF2750" s="89"/>
      <c r="BG2750" s="89"/>
      <c r="BH2750" s="268"/>
      <c r="BI2750" s="268"/>
      <c r="BJ2750" s="2"/>
      <c r="BK2750" s="2"/>
      <c r="BL2750" s="2"/>
      <c r="BM2750" s="2"/>
      <c r="BN2750" s="2"/>
      <c r="BO2750" s="2"/>
      <c r="BP2750" s="2"/>
    </row>
    <row r="2751" spans="1:68" s="52" customFormat="1" ht="19.5" hidden="1" customHeight="1">
      <c r="A2751" s="204" t="str">
        <f>+IFERROR(VALUE(MID(AB2751,4,4)),"")</f>
        <v/>
      </c>
      <c r="B2751" s="204"/>
      <c r="C2751" s="219"/>
      <c r="D2751" s="220"/>
      <c r="E2751" s="70"/>
      <c r="F2751" s="70"/>
      <c r="G2751" s="68"/>
      <c r="H2751" s="316"/>
      <c r="I2751" s="71"/>
      <c r="J2751" s="71"/>
      <c r="K2751" s="71"/>
      <c r="L2751" s="71"/>
      <c r="M2751" s="71"/>
      <c r="N2751" s="68"/>
      <c r="O2751" s="220"/>
      <c r="P2751" s="221"/>
      <c r="Q2751" s="221"/>
      <c r="R2751" s="221"/>
      <c r="S2751" s="222"/>
      <c r="T2751" s="68"/>
      <c r="U2751" s="87"/>
      <c r="V2751" s="80"/>
      <c r="W2751" s="223"/>
      <c r="X2751" s="223"/>
      <c r="Y2751" s="150"/>
      <c r="Z2751" s="325"/>
      <c r="AA2751" s="325"/>
      <c r="AB2751" s="223"/>
      <c r="AC2751" s="224"/>
      <c r="AD2751" s="339"/>
      <c r="AE2751" s="317"/>
      <c r="AF2751" s="225"/>
      <c r="AG2751" s="182"/>
      <c r="AH2751" s="86"/>
      <c r="AI2751" s="86"/>
      <c r="AJ2751" s="86"/>
      <c r="AK2751" s="86"/>
      <c r="AL2751" s="86"/>
      <c r="AM2751" s="86"/>
      <c r="AN2751" s="89"/>
      <c r="AO2751" s="89"/>
      <c r="AP2751" s="89"/>
      <c r="AQ2751" s="89"/>
      <c r="AR2751" s="89"/>
      <c r="AS2751" s="89"/>
      <c r="AT2751" s="89"/>
      <c r="AU2751" s="89"/>
      <c r="AV2751" s="89"/>
      <c r="AW2751" s="86"/>
      <c r="AX2751" s="86"/>
      <c r="AY2751" s="89"/>
      <c r="AZ2751" s="89"/>
      <c r="BA2751" s="89"/>
      <c r="BB2751" s="89"/>
      <c r="BC2751" s="89"/>
      <c r="BD2751" s="89"/>
      <c r="BE2751" s="89"/>
      <c r="BF2751" s="89"/>
      <c r="BG2751" s="89"/>
      <c r="BH2751" s="268"/>
      <c r="BI2751" s="268"/>
      <c r="BJ2751" s="2"/>
      <c r="BK2751" s="2"/>
      <c r="BL2751" s="2"/>
      <c r="BM2751" s="2"/>
      <c r="BN2751" s="2"/>
      <c r="BO2751" s="2"/>
      <c r="BP2751" s="2"/>
    </row>
    <row r="2752" spans="1:68" s="52" customFormat="1" ht="19.5" hidden="1" customHeight="1">
      <c r="A2752" s="204" t="str">
        <f>+IFERROR(VALUE(MID(AB2752,4,4)),"")</f>
        <v/>
      </c>
      <c r="B2752" s="204"/>
      <c r="C2752" s="219"/>
      <c r="D2752" s="220"/>
      <c r="E2752" s="181"/>
      <c r="F2752" s="181"/>
      <c r="G2752" s="68"/>
      <c r="H2752" s="282"/>
      <c r="I2752" s="163"/>
      <c r="J2752" s="163"/>
      <c r="K2752" s="71"/>
      <c r="L2752" s="71"/>
      <c r="M2752" s="71"/>
      <c r="N2752" s="68"/>
      <c r="O2752" s="160"/>
      <c r="P2752" s="221"/>
      <c r="Q2752" s="221"/>
      <c r="R2752" s="221"/>
      <c r="S2752" s="222"/>
      <c r="T2752" s="68"/>
      <c r="U2752" s="87"/>
      <c r="V2752" s="183"/>
      <c r="W2752" s="223"/>
      <c r="X2752" s="223"/>
      <c r="Y2752" s="73"/>
      <c r="Z2752" s="270"/>
      <c r="AA2752" s="270"/>
      <c r="AB2752" s="223"/>
      <c r="AC2752" s="224"/>
      <c r="AD2752" s="336"/>
      <c r="AE2752" s="65"/>
      <c r="AF2752" s="225"/>
      <c r="AG2752" s="182"/>
      <c r="AH2752" s="86"/>
      <c r="AI2752" s="86"/>
      <c r="AJ2752" s="86"/>
      <c r="AK2752" s="86"/>
      <c r="AL2752" s="86"/>
      <c r="AM2752" s="86"/>
      <c r="AN2752" s="89"/>
      <c r="AO2752" s="89"/>
      <c r="AP2752" s="89"/>
      <c r="AQ2752" s="89"/>
      <c r="AR2752" s="89"/>
      <c r="AS2752" s="89"/>
      <c r="AT2752" s="89"/>
      <c r="AU2752" s="89"/>
      <c r="AV2752" s="89"/>
      <c r="AW2752" s="86"/>
      <c r="AX2752" s="86"/>
      <c r="AY2752" s="89"/>
      <c r="AZ2752" s="89"/>
      <c r="BA2752" s="89"/>
      <c r="BB2752" s="89"/>
      <c r="BC2752" s="89"/>
      <c r="BD2752" s="89"/>
      <c r="BE2752" s="89"/>
      <c r="BF2752" s="89"/>
      <c r="BG2752" s="89"/>
      <c r="BH2752" s="268"/>
      <c r="BI2752" s="268"/>
      <c r="BJ2752" s="2"/>
      <c r="BK2752" s="2"/>
      <c r="BL2752" s="2"/>
      <c r="BM2752" s="2"/>
      <c r="BN2752" s="2"/>
      <c r="BO2752" s="2"/>
      <c r="BP2752" s="2"/>
    </row>
    <row r="2753" spans="1:68" s="52" customFormat="1" ht="19.5" hidden="1" customHeight="1">
      <c r="A2753" s="204" t="str">
        <f>+IFERROR(VALUE(MID(AB2753,4,4)),"")</f>
        <v/>
      </c>
      <c r="B2753" s="204"/>
      <c r="C2753" s="219"/>
      <c r="D2753" s="220"/>
      <c r="E2753" s="181"/>
      <c r="F2753" s="181"/>
      <c r="G2753" s="68"/>
      <c r="H2753" s="313"/>
      <c r="I2753" s="163"/>
      <c r="J2753" s="163"/>
      <c r="K2753" s="71"/>
      <c r="L2753" s="71"/>
      <c r="M2753" s="71"/>
      <c r="N2753" s="68"/>
      <c r="O2753" s="264"/>
      <c r="P2753" s="221"/>
      <c r="Q2753" s="221"/>
      <c r="R2753" s="221"/>
      <c r="S2753" s="222"/>
      <c r="T2753" s="68"/>
      <c r="U2753" s="87"/>
      <c r="V2753" s="183"/>
      <c r="W2753" s="223"/>
      <c r="X2753" s="223"/>
      <c r="Y2753" s="73"/>
      <c r="Z2753" s="270"/>
      <c r="AA2753" s="270"/>
      <c r="AB2753" s="223"/>
      <c r="AC2753" s="224"/>
      <c r="AD2753" s="336"/>
      <c r="AE2753" s="65"/>
      <c r="AF2753" s="225"/>
      <c r="AG2753" s="182"/>
      <c r="AH2753" s="86"/>
      <c r="AI2753" s="86"/>
      <c r="AJ2753" s="86"/>
      <c r="AK2753" s="86"/>
      <c r="AL2753" s="86"/>
      <c r="AM2753" s="86"/>
      <c r="AN2753" s="89"/>
      <c r="AO2753" s="89"/>
      <c r="AP2753" s="89"/>
      <c r="AQ2753" s="89"/>
      <c r="AR2753" s="89"/>
      <c r="AS2753" s="89"/>
      <c r="AT2753" s="89"/>
      <c r="AU2753" s="89"/>
      <c r="AV2753" s="89"/>
      <c r="AW2753" s="86"/>
      <c r="AX2753" s="86"/>
      <c r="AY2753" s="89"/>
      <c r="AZ2753" s="89"/>
      <c r="BA2753" s="89"/>
      <c r="BB2753" s="89"/>
      <c r="BC2753" s="89"/>
      <c r="BD2753" s="89"/>
      <c r="BE2753" s="89"/>
      <c r="BF2753" s="89"/>
      <c r="BG2753" s="89"/>
      <c r="BH2753" s="268"/>
      <c r="BI2753" s="268"/>
      <c r="BJ2753" s="2"/>
      <c r="BK2753" s="2"/>
      <c r="BL2753" s="2"/>
      <c r="BM2753" s="2"/>
      <c r="BN2753" s="2"/>
      <c r="BO2753" s="2"/>
      <c r="BP2753" s="2"/>
    </row>
    <row r="2754" spans="1:68" s="52" customFormat="1" ht="19.5" hidden="1" customHeight="1">
      <c r="A2754" s="204" t="str">
        <f>+IFERROR(VALUE(MID(AB2754,4,4)),"")</f>
        <v/>
      </c>
      <c r="B2754" s="204"/>
      <c r="C2754" s="219"/>
      <c r="D2754" s="220"/>
      <c r="E2754" s="181"/>
      <c r="F2754" s="181"/>
      <c r="G2754" s="68"/>
      <c r="H2754" s="316"/>
      <c r="I2754" s="71"/>
      <c r="J2754" s="71"/>
      <c r="K2754" s="71"/>
      <c r="L2754" s="71"/>
      <c r="M2754" s="71"/>
      <c r="N2754" s="68"/>
      <c r="O2754" s="220"/>
      <c r="P2754" s="221"/>
      <c r="Q2754" s="221"/>
      <c r="R2754" s="221"/>
      <c r="S2754" s="222"/>
      <c r="T2754" s="68"/>
      <c r="U2754" s="87"/>
      <c r="V2754" s="80"/>
      <c r="W2754" s="223"/>
      <c r="X2754" s="223"/>
      <c r="Y2754" s="150"/>
      <c r="Z2754" s="325"/>
      <c r="AA2754" s="325"/>
      <c r="AB2754" s="223"/>
      <c r="AC2754" s="224"/>
      <c r="AD2754" s="339"/>
      <c r="AE2754" s="317"/>
      <c r="AF2754" s="225"/>
      <c r="AG2754" s="182"/>
      <c r="AH2754" s="86"/>
      <c r="AI2754" s="86"/>
      <c r="AJ2754" s="86"/>
      <c r="AK2754" s="86"/>
      <c r="AL2754" s="86"/>
      <c r="AM2754" s="86"/>
      <c r="AN2754" s="89"/>
      <c r="AO2754" s="89"/>
      <c r="AP2754" s="89"/>
      <c r="AQ2754" s="89"/>
      <c r="AR2754" s="89"/>
      <c r="AS2754" s="89"/>
      <c r="AT2754" s="89"/>
      <c r="AU2754" s="89"/>
      <c r="AV2754" s="89"/>
      <c r="AW2754" s="86"/>
      <c r="AX2754" s="86"/>
      <c r="AY2754" s="89"/>
      <c r="AZ2754" s="89"/>
      <c r="BA2754" s="89"/>
      <c r="BB2754" s="89"/>
      <c r="BC2754" s="89"/>
      <c r="BD2754" s="89"/>
      <c r="BE2754" s="89"/>
      <c r="BF2754" s="89"/>
      <c r="BG2754" s="89"/>
      <c r="BH2754" s="268"/>
      <c r="BI2754" s="268"/>
      <c r="BJ2754" s="2"/>
      <c r="BK2754" s="2"/>
      <c r="BL2754" s="2"/>
      <c r="BM2754" s="2"/>
      <c r="BN2754" s="2"/>
      <c r="BO2754" s="2"/>
      <c r="BP2754" s="2"/>
    </row>
    <row r="2755" spans="1:68" s="52" customFormat="1" ht="19.5" hidden="1" customHeight="1">
      <c r="A2755" s="204" t="str">
        <f>+IFERROR(VALUE(MID(AB2755,4,4)),"")</f>
        <v/>
      </c>
      <c r="B2755" s="204"/>
      <c r="C2755" s="219"/>
      <c r="D2755" s="220"/>
      <c r="E2755" s="181"/>
      <c r="F2755" s="181"/>
      <c r="G2755" s="68"/>
      <c r="H2755" s="316"/>
      <c r="I2755" s="71"/>
      <c r="J2755" s="71"/>
      <c r="K2755" s="71"/>
      <c r="L2755" s="71"/>
      <c r="M2755" s="71"/>
      <c r="N2755" s="68"/>
      <c r="O2755" s="220"/>
      <c r="P2755" s="221"/>
      <c r="Q2755" s="221"/>
      <c r="R2755" s="221"/>
      <c r="S2755" s="222"/>
      <c r="T2755" s="68"/>
      <c r="U2755" s="87"/>
      <c r="V2755" s="80"/>
      <c r="W2755" s="223"/>
      <c r="X2755" s="223"/>
      <c r="Y2755" s="150"/>
      <c r="Z2755" s="325"/>
      <c r="AA2755" s="325"/>
      <c r="AB2755" s="223"/>
      <c r="AC2755" s="224"/>
      <c r="AD2755" s="339"/>
      <c r="AE2755" s="317"/>
      <c r="AF2755" s="225"/>
      <c r="AG2755" s="182"/>
      <c r="AH2755" s="86"/>
      <c r="AI2755" s="86"/>
      <c r="AJ2755" s="86"/>
      <c r="AK2755" s="86"/>
      <c r="AL2755" s="86"/>
      <c r="AM2755" s="86"/>
      <c r="AN2755" s="89"/>
      <c r="AO2755" s="89"/>
      <c r="AP2755" s="89"/>
      <c r="AQ2755" s="89"/>
      <c r="AR2755" s="89"/>
      <c r="AS2755" s="89"/>
      <c r="AT2755" s="89"/>
      <c r="AU2755" s="89"/>
      <c r="AV2755" s="89"/>
      <c r="AW2755" s="86"/>
      <c r="AX2755" s="86"/>
      <c r="AY2755" s="89"/>
      <c r="AZ2755" s="89"/>
      <c r="BA2755" s="89"/>
      <c r="BB2755" s="89"/>
      <c r="BC2755" s="89"/>
      <c r="BD2755" s="89"/>
      <c r="BE2755" s="89"/>
      <c r="BF2755" s="89"/>
      <c r="BG2755" s="89"/>
      <c r="BH2755" s="268"/>
      <c r="BI2755" s="268"/>
      <c r="BJ2755" s="2"/>
      <c r="BK2755" s="2"/>
      <c r="BL2755" s="2"/>
      <c r="BM2755" s="2"/>
      <c r="BN2755" s="2"/>
      <c r="BO2755" s="2"/>
      <c r="BP2755" s="2"/>
    </row>
    <row r="2756" spans="1:68" s="52" customFormat="1" ht="19.5" hidden="1" customHeight="1">
      <c r="A2756" s="204" t="str">
        <f>+IFERROR(VALUE(MID(AB2756,4,4)),"")</f>
        <v/>
      </c>
      <c r="B2756" s="204"/>
      <c r="C2756" s="219"/>
      <c r="D2756" s="220"/>
      <c r="E2756" s="181"/>
      <c r="F2756" s="70"/>
      <c r="G2756" s="68"/>
      <c r="H2756" s="316"/>
      <c r="I2756" s="71"/>
      <c r="J2756" s="71"/>
      <c r="K2756" s="71"/>
      <c r="L2756" s="71"/>
      <c r="M2756" s="71"/>
      <c r="N2756" s="68"/>
      <c r="O2756" s="220"/>
      <c r="P2756" s="221"/>
      <c r="Q2756" s="221"/>
      <c r="R2756" s="221"/>
      <c r="S2756" s="222"/>
      <c r="T2756" s="68"/>
      <c r="U2756" s="87"/>
      <c r="V2756" s="80"/>
      <c r="W2756" s="223"/>
      <c r="X2756" s="223"/>
      <c r="Y2756" s="150"/>
      <c r="Z2756" s="325"/>
      <c r="AA2756" s="325"/>
      <c r="AB2756" s="223"/>
      <c r="AC2756" s="224"/>
      <c r="AD2756" s="339"/>
      <c r="AE2756" s="317"/>
      <c r="AF2756" s="225"/>
      <c r="AG2756" s="182"/>
      <c r="AH2756" s="86"/>
      <c r="AI2756" s="86"/>
      <c r="AJ2756" s="86"/>
      <c r="AK2756" s="86"/>
      <c r="AL2756" s="86"/>
      <c r="AM2756" s="86"/>
      <c r="AN2756" s="89"/>
      <c r="AO2756" s="89"/>
      <c r="AP2756" s="89"/>
      <c r="AQ2756" s="89"/>
      <c r="AR2756" s="89"/>
      <c r="AS2756" s="89"/>
      <c r="AT2756" s="89"/>
      <c r="AU2756" s="89"/>
      <c r="AV2756" s="89"/>
      <c r="AW2756" s="86"/>
      <c r="AX2756" s="86"/>
      <c r="AY2756" s="89"/>
      <c r="AZ2756" s="89"/>
      <c r="BA2756" s="89"/>
      <c r="BB2756" s="89"/>
      <c r="BC2756" s="89"/>
      <c r="BD2756" s="89"/>
      <c r="BE2756" s="89"/>
      <c r="BF2756" s="89"/>
      <c r="BG2756" s="89"/>
      <c r="BH2756" s="268"/>
      <c r="BI2756" s="268"/>
      <c r="BJ2756" s="2"/>
      <c r="BK2756" s="2"/>
      <c r="BL2756" s="2"/>
      <c r="BM2756" s="2"/>
      <c r="BN2756" s="2"/>
      <c r="BO2756" s="2"/>
      <c r="BP2756" s="2"/>
    </row>
    <row r="2757" spans="1:68" s="52" customFormat="1" ht="19.5" hidden="1" customHeight="1">
      <c r="A2757" s="204" t="str">
        <f>+IFERROR(VALUE(MID(AB2757,4,4)),"")</f>
        <v/>
      </c>
      <c r="B2757" s="204"/>
      <c r="C2757" s="219"/>
      <c r="D2757" s="220"/>
      <c r="E2757" s="70"/>
      <c r="F2757" s="70"/>
      <c r="G2757" s="68"/>
      <c r="H2757" s="316"/>
      <c r="I2757" s="71"/>
      <c r="J2757" s="71"/>
      <c r="K2757" s="71"/>
      <c r="L2757" s="71"/>
      <c r="M2757" s="71"/>
      <c r="N2757" s="68"/>
      <c r="O2757" s="220"/>
      <c r="P2757" s="221"/>
      <c r="Q2757" s="221"/>
      <c r="R2757" s="221"/>
      <c r="S2757" s="222"/>
      <c r="T2757" s="68"/>
      <c r="U2757" s="87"/>
      <c r="V2757" s="80"/>
      <c r="W2757" s="223"/>
      <c r="X2757" s="223"/>
      <c r="Y2757" s="150"/>
      <c r="Z2757" s="325"/>
      <c r="AA2757" s="325"/>
      <c r="AB2757" s="223"/>
      <c r="AC2757" s="224"/>
      <c r="AD2757" s="339"/>
      <c r="AE2757" s="317"/>
      <c r="AF2757" s="225"/>
      <c r="AG2757" s="182"/>
      <c r="AH2757" s="86"/>
      <c r="AI2757" s="86"/>
      <c r="AJ2757" s="86"/>
      <c r="AK2757" s="86"/>
      <c r="AL2757" s="86"/>
      <c r="AM2757" s="86"/>
      <c r="AN2757" s="89"/>
      <c r="AO2757" s="89"/>
      <c r="AP2757" s="89"/>
      <c r="AQ2757" s="89"/>
      <c r="AR2757" s="89"/>
      <c r="AS2757" s="89"/>
      <c r="AT2757" s="89"/>
      <c r="AU2757" s="89"/>
      <c r="AV2757" s="89"/>
      <c r="AW2757" s="86"/>
      <c r="AX2757" s="86"/>
      <c r="AY2757" s="89"/>
      <c r="AZ2757" s="89"/>
      <c r="BA2757" s="89"/>
      <c r="BB2757" s="89"/>
      <c r="BC2757" s="89"/>
      <c r="BD2757" s="89"/>
      <c r="BE2757" s="89"/>
      <c r="BF2757" s="89"/>
      <c r="BG2757" s="89"/>
      <c r="BH2757" s="268"/>
      <c r="BI2757" s="268"/>
      <c r="BJ2757" s="2"/>
      <c r="BK2757" s="2"/>
      <c r="BL2757" s="2"/>
      <c r="BM2757" s="2"/>
      <c r="BN2757" s="2"/>
      <c r="BO2757" s="2"/>
      <c r="BP2757" s="2"/>
    </row>
    <row r="2758" spans="1:68" s="52" customFormat="1" ht="19.5" customHeight="1">
      <c r="A2758" s="204"/>
      <c r="B2758" s="204"/>
      <c r="C2758" s="219"/>
      <c r="D2758" s="220"/>
      <c r="E2758" s="70"/>
      <c r="F2758" s="70"/>
      <c r="G2758" s="68"/>
      <c r="H2758" s="316"/>
      <c r="I2758" s="71"/>
      <c r="J2758" s="71"/>
      <c r="K2758" s="71"/>
      <c r="L2758" s="71"/>
      <c r="M2758" s="71"/>
      <c r="N2758" s="68"/>
      <c r="O2758" s="220"/>
      <c r="P2758" s="221"/>
      <c r="Q2758" s="221"/>
      <c r="R2758" s="221"/>
      <c r="S2758" s="222"/>
      <c r="T2758" s="68"/>
      <c r="U2758" s="87"/>
      <c r="V2758" s="80"/>
      <c r="W2758" s="223"/>
      <c r="X2758" s="223"/>
      <c r="Y2758" s="150"/>
      <c r="Z2758" s="325"/>
      <c r="AA2758" s="325"/>
      <c r="AB2758" s="223"/>
      <c r="AC2758" s="224"/>
      <c r="AD2758" s="339"/>
      <c r="AE2758" s="317"/>
      <c r="AF2758" s="225"/>
      <c r="AG2758" s="182"/>
      <c r="AH2758" s="86"/>
      <c r="AI2758" s="86"/>
      <c r="AJ2758" s="86"/>
      <c r="AK2758" s="86"/>
      <c r="AL2758" s="86"/>
      <c r="AM2758" s="86"/>
      <c r="AN2758" s="89"/>
      <c r="AO2758" s="89"/>
      <c r="AP2758" s="89"/>
      <c r="AQ2758" s="89"/>
      <c r="AR2758" s="89"/>
      <c r="AS2758" s="89"/>
      <c r="AT2758" s="89"/>
      <c r="AU2758" s="89"/>
      <c r="AV2758" s="89"/>
      <c r="AW2758" s="86"/>
      <c r="AX2758" s="86"/>
      <c r="AY2758" s="89"/>
      <c r="AZ2758" s="89"/>
      <c r="BA2758" s="89"/>
      <c r="BB2758" s="89"/>
      <c r="BC2758" s="89"/>
      <c r="BD2758" s="89"/>
      <c r="BE2758" s="89"/>
      <c r="BF2758" s="89"/>
      <c r="BG2758" s="89"/>
      <c r="BH2758" s="268"/>
      <c r="BI2758" s="268"/>
      <c r="BJ2758" s="2"/>
      <c r="BK2758" s="2"/>
      <c r="BL2758" s="2"/>
      <c r="BM2758" s="2"/>
      <c r="BN2758" s="2"/>
      <c r="BO2758" s="2"/>
      <c r="BP2758" s="2"/>
    </row>
    <row r="2759" spans="1:68" s="52" customFormat="1" ht="19.5" customHeight="1">
      <c r="A2759" s="204"/>
      <c r="B2759" s="204"/>
      <c r="C2759" s="219"/>
      <c r="D2759" s="220"/>
      <c r="E2759" s="181"/>
      <c r="F2759" s="181"/>
      <c r="G2759" s="68"/>
      <c r="H2759" s="316"/>
      <c r="I2759" s="71"/>
      <c r="J2759" s="71"/>
      <c r="K2759" s="71"/>
      <c r="L2759" s="71"/>
      <c r="M2759" s="71"/>
      <c r="N2759" s="68"/>
      <c r="O2759" s="220"/>
      <c r="P2759" s="221"/>
      <c r="Q2759" s="221"/>
      <c r="R2759" s="221"/>
      <c r="S2759" s="222"/>
      <c r="T2759" s="68"/>
      <c r="U2759" s="87"/>
      <c r="V2759" s="80"/>
      <c r="W2759" s="223"/>
      <c r="X2759" s="223"/>
      <c r="Y2759" s="150"/>
      <c r="Z2759" s="325"/>
      <c r="AA2759" s="325"/>
      <c r="AB2759" s="223"/>
      <c r="AC2759" s="224"/>
      <c r="AD2759" s="339"/>
      <c r="AE2759" s="317"/>
      <c r="AF2759" s="225"/>
      <c r="AG2759" s="182"/>
      <c r="AH2759" s="86"/>
      <c r="AI2759" s="86"/>
      <c r="AJ2759" s="86"/>
      <c r="AK2759" s="86"/>
      <c r="AL2759" s="86"/>
      <c r="AM2759" s="86"/>
      <c r="AN2759" s="89"/>
      <c r="AO2759" s="89"/>
      <c r="AP2759" s="89"/>
      <c r="AQ2759" s="89"/>
      <c r="AR2759" s="89"/>
      <c r="AS2759" s="89"/>
      <c r="AT2759" s="89"/>
      <c r="AU2759" s="89"/>
      <c r="AV2759" s="89"/>
      <c r="AW2759" s="86"/>
      <c r="AX2759" s="86"/>
      <c r="AY2759" s="89"/>
      <c r="AZ2759" s="89"/>
      <c r="BA2759" s="89"/>
      <c r="BB2759" s="89"/>
      <c r="BC2759" s="89"/>
      <c r="BD2759" s="89"/>
      <c r="BE2759" s="89"/>
      <c r="BF2759" s="89"/>
      <c r="BG2759" s="89"/>
      <c r="BH2759" s="268"/>
      <c r="BI2759" s="268"/>
      <c r="BJ2759" s="2"/>
      <c r="BK2759" s="2"/>
      <c r="BL2759" s="2"/>
      <c r="BM2759" s="2"/>
      <c r="BN2759" s="2"/>
      <c r="BO2759" s="2"/>
      <c r="BP2759" s="2"/>
    </row>
    <row r="2760" spans="1:68" s="52" customFormat="1" ht="19.5" customHeight="1">
      <c r="A2760" s="204"/>
      <c r="B2760" s="204"/>
      <c r="C2760" s="219"/>
      <c r="D2760" s="220"/>
      <c r="E2760" s="181"/>
      <c r="F2760" s="70"/>
      <c r="G2760" s="68"/>
      <c r="H2760" s="313"/>
      <c r="I2760" s="163"/>
      <c r="J2760" s="163"/>
      <c r="K2760" s="71"/>
      <c r="L2760" s="71"/>
      <c r="M2760" s="71"/>
      <c r="N2760" s="68"/>
      <c r="O2760" s="264"/>
      <c r="P2760" s="221"/>
      <c r="Q2760" s="221"/>
      <c r="R2760" s="221"/>
      <c r="S2760" s="222"/>
      <c r="T2760" s="68"/>
      <c r="U2760" s="87"/>
      <c r="V2760" s="183"/>
      <c r="W2760" s="223"/>
      <c r="X2760" s="223"/>
      <c r="Y2760" s="150"/>
      <c r="Z2760" s="270"/>
      <c r="AA2760" s="270"/>
      <c r="AB2760" s="223"/>
      <c r="AC2760" s="224"/>
      <c r="AD2760" s="336"/>
      <c r="AE2760" s="65"/>
      <c r="AF2760" s="225"/>
      <c r="AG2760" s="182"/>
      <c r="AH2760" s="86"/>
      <c r="AI2760" s="86"/>
      <c r="AJ2760" s="86"/>
      <c r="AK2760" s="86"/>
      <c r="AL2760" s="86"/>
      <c r="AM2760" s="86"/>
      <c r="AN2760" s="89"/>
      <c r="AO2760" s="89"/>
      <c r="AP2760" s="89"/>
      <c r="AQ2760" s="89"/>
      <c r="AR2760" s="89"/>
      <c r="AS2760" s="89"/>
      <c r="AT2760" s="89"/>
      <c r="AU2760" s="89"/>
      <c r="AV2760" s="89"/>
      <c r="AW2760" s="86"/>
      <c r="AX2760" s="86"/>
      <c r="AY2760" s="89"/>
      <c r="AZ2760" s="89"/>
      <c r="BA2760" s="89"/>
      <c r="BB2760" s="89"/>
      <c r="BC2760" s="89"/>
      <c r="BD2760" s="89"/>
      <c r="BE2760" s="89"/>
      <c r="BF2760" s="89"/>
      <c r="BG2760" s="89"/>
      <c r="BH2760" s="268"/>
      <c r="BI2760" s="268"/>
      <c r="BJ2760" s="2"/>
      <c r="BK2760" s="2"/>
      <c r="BL2760" s="2"/>
      <c r="BM2760" s="2"/>
      <c r="BN2760" s="2"/>
      <c r="BO2760" s="2"/>
      <c r="BP2760" s="2"/>
    </row>
    <row r="2761" spans="1:68" s="52" customFormat="1" ht="19.5" customHeight="1">
      <c r="A2761" s="204"/>
      <c r="B2761" s="204"/>
      <c r="C2761" s="219"/>
      <c r="D2761" s="220"/>
      <c r="E2761" s="181"/>
      <c r="F2761" s="181"/>
      <c r="G2761" s="68"/>
      <c r="H2761" s="313"/>
      <c r="I2761" s="71"/>
      <c r="J2761" s="71"/>
      <c r="K2761" s="71"/>
      <c r="L2761" s="71"/>
      <c r="M2761" s="71"/>
      <c r="N2761" s="68"/>
      <c r="O2761" s="220"/>
      <c r="P2761" s="221"/>
      <c r="Q2761" s="221"/>
      <c r="R2761" s="221"/>
      <c r="S2761" s="222"/>
      <c r="T2761" s="68"/>
      <c r="U2761" s="87"/>
      <c r="V2761" s="80"/>
      <c r="W2761" s="223"/>
      <c r="X2761" s="223"/>
      <c r="Y2761" s="150"/>
      <c r="Z2761" s="325"/>
      <c r="AA2761" s="325"/>
      <c r="AB2761" s="223"/>
      <c r="AC2761" s="224"/>
      <c r="AD2761" s="336"/>
      <c r="AE2761" s="65"/>
      <c r="AF2761" s="225"/>
      <c r="AG2761" s="86"/>
      <c r="AH2761" s="86"/>
      <c r="AI2761" s="86"/>
      <c r="AJ2761" s="86"/>
      <c r="AK2761" s="86"/>
      <c r="AL2761" s="86"/>
      <c r="AM2761" s="86"/>
      <c r="AN2761" s="89"/>
      <c r="AO2761" s="89"/>
      <c r="AP2761" s="89"/>
      <c r="AQ2761" s="89"/>
      <c r="AR2761" s="89"/>
      <c r="AS2761" s="89"/>
      <c r="AT2761" s="89"/>
      <c r="AU2761" s="89"/>
      <c r="AV2761" s="89"/>
      <c r="AW2761" s="86"/>
      <c r="AX2761" s="86"/>
      <c r="AY2761" s="89"/>
      <c r="AZ2761" s="89"/>
      <c r="BA2761" s="89"/>
      <c r="BB2761" s="89"/>
      <c r="BC2761" s="89"/>
      <c r="BD2761" s="89"/>
      <c r="BE2761" s="89"/>
      <c r="BF2761" s="89"/>
      <c r="BG2761" s="89"/>
      <c r="BH2761" s="268"/>
      <c r="BI2761" s="268"/>
      <c r="BJ2761" s="2"/>
      <c r="BK2761" s="2"/>
      <c r="BL2761" s="2"/>
      <c r="BM2761" s="2"/>
      <c r="BN2761" s="2"/>
      <c r="BO2761" s="2"/>
      <c r="BP2761" s="2"/>
    </row>
    <row r="2762" spans="1:68" s="52" customFormat="1" ht="19.5" customHeight="1">
      <c r="A2762" s="204"/>
      <c r="B2762" s="204"/>
      <c r="C2762" s="219"/>
      <c r="D2762" s="220"/>
      <c r="E2762" s="70"/>
      <c r="F2762" s="181"/>
      <c r="G2762" s="68"/>
      <c r="H2762" s="313"/>
      <c r="I2762" s="71"/>
      <c r="J2762" s="71"/>
      <c r="K2762" s="71"/>
      <c r="L2762" s="71"/>
      <c r="M2762" s="71"/>
      <c r="N2762" s="68"/>
      <c r="O2762" s="220"/>
      <c r="P2762" s="221"/>
      <c r="Q2762" s="221"/>
      <c r="R2762" s="221"/>
      <c r="S2762" s="222"/>
      <c r="T2762" s="68"/>
      <c r="U2762" s="87"/>
      <c r="V2762" s="80"/>
      <c r="W2762" s="223"/>
      <c r="X2762" s="223"/>
      <c r="Y2762" s="150"/>
      <c r="Z2762" s="325"/>
      <c r="AA2762" s="325"/>
      <c r="AB2762" s="223"/>
      <c r="AC2762" s="224"/>
      <c r="AD2762" s="336"/>
      <c r="AE2762" s="65"/>
      <c r="AF2762" s="225"/>
      <c r="AG2762" s="86"/>
      <c r="AH2762" s="86"/>
      <c r="AI2762" s="86"/>
      <c r="AJ2762" s="86"/>
      <c r="AK2762" s="86"/>
      <c r="AL2762" s="86"/>
      <c r="AM2762" s="86"/>
      <c r="AN2762" s="89"/>
      <c r="AO2762" s="89"/>
      <c r="AP2762" s="89"/>
      <c r="AQ2762" s="89"/>
      <c r="AR2762" s="89"/>
      <c r="AS2762" s="89"/>
      <c r="AT2762" s="89"/>
      <c r="AU2762" s="89"/>
      <c r="AV2762" s="89"/>
      <c r="AW2762" s="86"/>
      <c r="AX2762" s="86"/>
      <c r="AY2762" s="89"/>
      <c r="AZ2762" s="89"/>
      <c r="BA2762" s="89"/>
      <c r="BB2762" s="89"/>
      <c r="BC2762" s="89"/>
      <c r="BD2762" s="89"/>
      <c r="BE2762" s="89"/>
      <c r="BF2762" s="89"/>
      <c r="BG2762" s="89"/>
      <c r="BH2762" s="89"/>
      <c r="BI2762" s="89"/>
      <c r="BJ2762" s="2"/>
      <c r="BK2762" s="2"/>
      <c r="BL2762" s="2"/>
      <c r="BM2762" s="2"/>
      <c r="BN2762" s="2"/>
      <c r="BO2762" s="2"/>
      <c r="BP2762" s="2"/>
    </row>
    <row r="2763" spans="1:68" s="52" customFormat="1" ht="19.5" customHeight="1">
      <c r="A2763" s="204"/>
      <c r="B2763" s="204"/>
      <c r="C2763" s="219"/>
      <c r="D2763" s="220"/>
      <c r="E2763" s="70"/>
      <c r="F2763" s="70"/>
      <c r="G2763" s="68"/>
      <c r="H2763" s="283"/>
      <c r="I2763" s="218"/>
      <c r="J2763" s="218"/>
      <c r="K2763" s="71"/>
      <c r="L2763" s="71"/>
      <c r="M2763" s="71"/>
      <c r="N2763" s="68"/>
      <c r="O2763" s="220"/>
      <c r="P2763" s="221"/>
      <c r="Q2763" s="221"/>
      <c r="R2763" s="221"/>
      <c r="S2763" s="222"/>
      <c r="T2763" s="68"/>
      <c r="U2763" s="87"/>
      <c r="V2763" s="80"/>
      <c r="W2763" s="223"/>
      <c r="X2763" s="223"/>
      <c r="Y2763" s="73"/>
      <c r="Z2763" s="325"/>
      <c r="AA2763" s="325"/>
      <c r="AB2763" s="223"/>
      <c r="AC2763" s="224"/>
      <c r="AD2763" s="336"/>
      <c r="AE2763" s="65"/>
      <c r="AF2763" s="225"/>
      <c r="AG2763" s="182"/>
      <c r="AH2763" s="86"/>
      <c r="AI2763" s="86"/>
      <c r="AJ2763" s="86"/>
      <c r="AK2763" s="86"/>
      <c r="AL2763" s="86"/>
      <c r="AM2763" s="89"/>
      <c r="AN2763" s="89"/>
      <c r="AO2763" s="89"/>
      <c r="AP2763" s="89"/>
      <c r="AQ2763" s="89"/>
      <c r="AR2763" s="89"/>
      <c r="AS2763" s="89"/>
      <c r="AT2763" s="89"/>
      <c r="AU2763" s="89"/>
      <c r="AV2763" s="89"/>
      <c r="AW2763" s="86" t="str">
        <f>+IF($AG2763=AW$22,MONTH($D2763),"")</f>
        <v/>
      </c>
      <c r="AX2763" s="86" t="str">
        <f>+IF($AG2763=AX$22,MONTH($D2763),"")</f>
        <v/>
      </c>
      <c r="AY2763" s="182"/>
      <c r="AZ2763" s="2"/>
      <c r="BA2763" s="2"/>
      <c r="BB2763" s="2"/>
      <c r="BC2763" s="2"/>
      <c r="BD2763" s="2"/>
      <c r="BE2763" s="2"/>
      <c r="BF2763" s="2"/>
      <c r="BG2763" s="2"/>
      <c r="BH2763" s="2"/>
      <c r="BI2763" s="2"/>
      <c r="BJ2763" s="2"/>
      <c r="BK2763" s="2"/>
      <c r="BL2763" s="2"/>
      <c r="BM2763" s="2"/>
      <c r="BN2763" s="2"/>
      <c r="BO2763" s="2"/>
      <c r="BP2763" s="2"/>
    </row>
    <row r="2764" spans="1:68" s="52" customFormat="1" ht="19.5" customHeight="1">
      <c r="A2764" s="204"/>
      <c r="B2764" s="204"/>
      <c r="C2764" s="219"/>
      <c r="D2764" s="220"/>
      <c r="E2764" s="70"/>
      <c r="F2764" s="181"/>
      <c r="G2764" s="68"/>
      <c r="H2764" s="283"/>
      <c r="I2764" s="218"/>
      <c r="J2764" s="218"/>
      <c r="K2764" s="71"/>
      <c r="L2764" s="71"/>
      <c r="M2764" s="71"/>
      <c r="N2764" s="68"/>
      <c r="O2764" s="220"/>
      <c r="P2764" s="221"/>
      <c r="Q2764" s="221"/>
      <c r="R2764" s="221"/>
      <c r="S2764" s="222"/>
      <c r="T2764" s="68"/>
      <c r="U2764" s="87"/>
      <c r="V2764" s="80"/>
      <c r="W2764" s="223"/>
      <c r="X2764" s="223"/>
      <c r="Y2764" s="73"/>
      <c r="Z2764" s="325"/>
      <c r="AA2764" s="325"/>
      <c r="AB2764" s="223"/>
      <c r="AC2764" s="224"/>
      <c r="AD2764" s="336"/>
      <c r="AE2764" s="65"/>
      <c r="AF2764" s="225"/>
      <c r="AG2764" s="182"/>
      <c r="AH2764" s="86"/>
      <c r="AI2764" s="86"/>
      <c r="AJ2764" s="86"/>
      <c r="AK2764" s="86"/>
      <c r="AL2764" s="86"/>
      <c r="AM2764" s="89"/>
      <c r="AN2764" s="89"/>
      <c r="AO2764" s="89"/>
      <c r="AP2764" s="89"/>
      <c r="AQ2764" s="89"/>
      <c r="AR2764" s="89"/>
      <c r="AS2764" s="89"/>
      <c r="AT2764" s="89"/>
      <c r="AU2764" s="89"/>
      <c r="AV2764" s="89"/>
      <c r="AW2764" s="86" t="str">
        <f>+IF($AG2764=AW$22,MONTH($D2764),"")</f>
        <v/>
      </c>
      <c r="AX2764" s="86" t="str">
        <f>+IF($AG2764=AX$22,MONTH($D2764),"")</f>
        <v/>
      </c>
      <c r="AY2764" s="182"/>
      <c r="AZ2764" s="2"/>
      <c r="BA2764" s="2"/>
      <c r="BB2764" s="2"/>
      <c r="BC2764" s="2"/>
      <c r="BD2764" s="2"/>
      <c r="BE2764" s="2"/>
      <c r="BF2764" s="2"/>
      <c r="BG2764" s="2"/>
      <c r="BH2764" s="2"/>
      <c r="BI2764" s="2"/>
      <c r="BJ2764" s="2"/>
      <c r="BK2764" s="2"/>
      <c r="BL2764" s="2"/>
      <c r="BM2764" s="2"/>
      <c r="BN2764" s="2"/>
      <c r="BO2764" s="2"/>
      <c r="BP2764" s="2"/>
    </row>
    <row r="2765" spans="1:68" s="52" customFormat="1" ht="19.5" customHeight="1">
      <c r="A2765" s="204"/>
      <c r="B2765" s="204"/>
      <c r="C2765" s="219"/>
      <c r="D2765" s="220"/>
      <c r="E2765" s="181"/>
      <c r="F2765" s="181"/>
      <c r="G2765" s="71"/>
      <c r="H2765" s="67"/>
      <c r="I2765" s="218"/>
      <c r="J2765" s="218"/>
      <c r="K2765" s="71"/>
      <c r="L2765" s="71"/>
      <c r="M2765" s="71"/>
      <c r="N2765" s="68"/>
      <c r="O2765" s="220"/>
      <c r="P2765" s="221"/>
      <c r="Q2765" s="221"/>
      <c r="R2765" s="221"/>
      <c r="S2765" s="222"/>
      <c r="T2765" s="68"/>
      <c r="U2765" s="87"/>
      <c r="V2765" s="80"/>
      <c r="W2765" s="223"/>
      <c r="X2765" s="223"/>
      <c r="Y2765" s="73"/>
      <c r="Z2765" s="325"/>
      <c r="AA2765" s="325"/>
      <c r="AB2765" s="223"/>
      <c r="AC2765" s="224"/>
      <c r="AD2765" s="336"/>
      <c r="AE2765" s="65"/>
      <c r="AF2765" s="225"/>
      <c r="AG2765" s="182"/>
      <c r="AH2765" s="86"/>
      <c r="AI2765" s="86"/>
      <c r="AJ2765" s="86"/>
      <c r="AK2765" s="86"/>
      <c r="AL2765" s="86"/>
      <c r="AM2765" s="89"/>
      <c r="AN2765" s="89"/>
      <c r="AO2765" s="89"/>
      <c r="AP2765" s="89"/>
      <c r="AQ2765" s="89"/>
      <c r="AR2765" s="89"/>
      <c r="AS2765" s="89"/>
      <c r="AT2765" s="89"/>
      <c r="AU2765" s="89"/>
      <c r="AV2765" s="89"/>
      <c r="AW2765" s="86" t="str">
        <f>+IF($AG2765=AW$22,MONTH($D2765),"")</f>
        <v/>
      </c>
      <c r="AX2765" s="86" t="str">
        <f>+IF($AG2765=AX$22,MONTH($D2765),"")</f>
        <v/>
      </c>
      <c r="AY2765" s="182"/>
      <c r="AZ2765" s="2"/>
      <c r="BA2765" s="2"/>
      <c r="BB2765" s="2"/>
      <c r="BC2765" s="2"/>
      <c r="BD2765" s="2"/>
      <c r="BE2765" s="2"/>
      <c r="BF2765" s="2"/>
      <c r="BG2765" s="2"/>
      <c r="BH2765" s="2"/>
      <c r="BI2765" s="2"/>
      <c r="BJ2765" s="2"/>
      <c r="BK2765" s="2"/>
      <c r="BL2765" s="2"/>
      <c r="BM2765" s="2"/>
      <c r="BN2765" s="2"/>
      <c r="BO2765" s="2"/>
      <c r="BP2765" s="2"/>
    </row>
    <row r="2766" spans="1:68" s="52" customFormat="1" ht="19.5" customHeight="1">
      <c r="A2766" s="204"/>
      <c r="B2766" s="204"/>
      <c r="C2766" s="184"/>
      <c r="D2766" s="187"/>
      <c r="E2766" s="359"/>
      <c r="F2766" s="359"/>
      <c r="G2766" s="184"/>
      <c r="H2766" s="184"/>
      <c r="I2766" s="182"/>
      <c r="J2766" s="182"/>
      <c r="K2766" s="184"/>
      <c r="L2766" s="184"/>
      <c r="M2766" s="184"/>
      <c r="N2766" s="184"/>
      <c r="O2766" s="187"/>
      <c r="P2766" s="364"/>
      <c r="Q2766" s="364"/>
      <c r="R2766" s="364"/>
      <c r="S2766" s="366"/>
      <c r="T2766" s="68"/>
      <c r="U2766" s="367"/>
      <c r="V2766" s="368"/>
      <c r="W2766" s="191"/>
      <c r="X2766" s="191"/>
      <c r="Y2766" s="191"/>
      <c r="Z2766" s="368"/>
      <c r="AA2766" s="368"/>
      <c r="AB2766" s="191"/>
      <c r="AC2766" s="229"/>
      <c r="AD2766" s="369"/>
      <c r="AE2766" s="370"/>
      <c r="AF2766" s="182"/>
      <c r="AG2766" s="182"/>
      <c r="AH2766" s="182"/>
      <c r="AI2766" s="182"/>
      <c r="AJ2766" s="182"/>
      <c r="AK2766" s="182"/>
      <c r="AL2766" s="182"/>
      <c r="AM2766" s="86" t="str">
        <f>+IF(AG2766=$AM$22,MONTH(D2766),"")</f>
        <v/>
      </c>
      <c r="AN2766" s="184" t="str">
        <f>+IF(AL2766=$AM$22,MONTH(E2766),"")</f>
        <v/>
      </c>
      <c r="AO2766" s="184" t="str">
        <f>+IF(AM2766=$AM$22,MONTH(F2766),"")</f>
        <v/>
      </c>
      <c r="AP2766" s="184" t="str">
        <f>+IF(AN2766=$AM$22,MONTH(G2766),"")</f>
        <v/>
      </c>
      <c r="AQ2766" s="184" t="str">
        <f>+IF(AO2766=$AM$22,MONTH(H2766),"")</f>
        <v/>
      </c>
      <c r="AR2766" s="184" t="str">
        <f>+IF(AP2766=$AM$22,MONTH(I2766),"")</f>
        <v/>
      </c>
      <c r="AS2766" s="184" t="str">
        <f>+IF(AQ2766=$AM$22,MONTH(K2766),"")</f>
        <v/>
      </c>
      <c r="AT2766" s="86" t="str">
        <f>+IF(AR2766=$AM$22,MONTH(L2766),"")</f>
        <v/>
      </c>
      <c r="AU2766" s="86" t="str">
        <f>+IF(AS2766=$AM$22,MONTH(M2766),"")</f>
        <v/>
      </c>
      <c r="AV2766" s="86" t="str">
        <f>+IF(AT2766=$AM$22,MONTH(N2766),"")</f>
        <v/>
      </c>
      <c r="AW2766" s="86" t="str">
        <f>+IF(AU2766=$AM$22,MONTH(O2766),"")</f>
        <v/>
      </c>
      <c r="AX2766" s="86" t="str">
        <f>+IF(AV2766=$AM$22,MONTH(P2766),"")</f>
        <v/>
      </c>
      <c r="AY2766" s="182"/>
      <c r="AZ2766" s="2"/>
      <c r="BA2766" s="2"/>
      <c r="BB2766" s="2">
        <v>15</v>
      </c>
      <c r="BC2766" s="2"/>
      <c r="BD2766" s="2"/>
      <c r="BE2766" s="2"/>
      <c r="BF2766" s="2"/>
      <c r="BG2766" s="2"/>
      <c r="BH2766" s="2"/>
      <c r="BI2766" s="2"/>
      <c r="BJ2766" s="2"/>
      <c r="BK2766" s="2"/>
      <c r="BL2766" s="2"/>
      <c r="BM2766" s="2"/>
      <c r="BN2766" s="2"/>
      <c r="BO2766" s="2"/>
      <c r="BP2766" s="2"/>
    </row>
    <row r="2767" spans="1:68" s="51" customFormat="1" ht="19.5" customHeight="1">
      <c r="A2767" s="204" t="str">
        <f>+IFERROR(VALUE(MID(AB2767,4,4)),"")</f>
        <v/>
      </c>
      <c r="B2767" s="204"/>
      <c r="C2767" s="74"/>
      <c r="D2767" s="75"/>
      <c r="E2767" s="358"/>
      <c r="F2767" s="358"/>
      <c r="G2767" s="358"/>
      <c r="H2767" s="360"/>
      <c r="I2767" s="361"/>
      <c r="J2767" s="390"/>
      <c r="K2767" s="362"/>
      <c r="L2767" s="360"/>
      <c r="M2767" s="363"/>
      <c r="N2767" s="363"/>
      <c r="O2767" s="69"/>
      <c r="P2767" s="69"/>
      <c r="Q2767" s="69"/>
      <c r="R2767" s="69"/>
      <c r="S2767" s="365"/>
      <c r="T2767" s="68"/>
      <c r="U2767" s="87"/>
      <c r="V2767" s="68"/>
      <c r="W2767" s="73"/>
      <c r="X2767" s="73"/>
      <c r="Y2767" s="68"/>
      <c r="Z2767" s="68"/>
      <c r="AA2767" s="68"/>
      <c r="AB2767" s="64"/>
      <c r="AC2767" s="73"/>
      <c r="AD2767" s="332"/>
      <c r="AE2767" s="68"/>
      <c r="AF2767" s="151"/>
      <c r="AG2767" s="2"/>
      <c r="AH2767" s="2"/>
      <c r="AI2767" s="2"/>
      <c r="AJ2767" s="2"/>
      <c r="AK2767" s="2"/>
      <c r="AL2767" s="2"/>
      <c r="AM2767" s="2"/>
      <c r="AN2767" s="188"/>
      <c r="AO2767" s="188"/>
      <c r="AP2767" s="188"/>
      <c r="AQ2767" s="188"/>
      <c r="AR2767" s="188"/>
      <c r="AS2767" s="188"/>
      <c r="AT2767" s="12"/>
      <c r="AU2767" s="12"/>
      <c r="AV2767" s="86"/>
      <c r="AW2767" s="12"/>
      <c r="AX2767" s="12"/>
      <c r="AY2767" s="2"/>
      <c r="AZ2767" s="2"/>
      <c r="BA2767" s="2"/>
      <c r="BB2767" s="2">
        <f>+SUM(BB2709:BB2766)</f>
        <v>15</v>
      </c>
      <c r="BC2767" s="2"/>
      <c r="BD2767" s="2"/>
      <c r="BE2767" s="2"/>
      <c r="BF2767" s="2"/>
      <c r="BG2767" s="2"/>
      <c r="BH2767" s="2"/>
      <c r="BI2767" s="2"/>
      <c r="BJ2767" s="182"/>
      <c r="BK2767" s="182"/>
      <c r="BL2767" s="182"/>
      <c r="BM2767" s="182"/>
      <c r="BN2767" s="182"/>
      <c r="BO2767" s="182"/>
      <c r="BP2767" s="182"/>
    </row>
    <row r="2768" spans="1:68" ht="12.75">
      <c r="A2768" s="204"/>
      <c r="B2768" s="204"/>
      <c r="D2768" s="185"/>
      <c r="E2768" s="186"/>
      <c r="F2768" s="188"/>
      <c r="G2768" s="188"/>
      <c r="H2768" s="188"/>
      <c r="K2768" s="188"/>
      <c r="L2768" s="188"/>
      <c r="M2768" s="12"/>
      <c r="N2768" s="12"/>
      <c r="O2768" s="189"/>
      <c r="S2768" s="195"/>
      <c r="Y2768" s="193"/>
      <c r="AC2768" s="187"/>
      <c r="AE2768" s="184"/>
      <c r="AF2768" s="182"/>
      <c r="AN2768" s="188"/>
      <c r="AO2768" s="188"/>
      <c r="AP2768" s="188"/>
      <c r="AQ2768" s="188"/>
      <c r="AR2768" s="188"/>
      <c r="AS2768" s="188"/>
      <c r="AT2768" s="12"/>
      <c r="AU2768" s="12"/>
      <c r="AV2768" s="12"/>
    </row>
    <row r="2769" spans="1:48" ht="12.75">
      <c r="A2769" s="204"/>
      <c r="B2769" s="204"/>
      <c r="D2769" s="185"/>
      <c r="E2769" s="186"/>
      <c r="F2769" s="188"/>
      <c r="G2769" s="188"/>
      <c r="H2769" s="188"/>
      <c r="K2769" s="188"/>
      <c r="L2769" s="188"/>
      <c r="M2769" s="12"/>
      <c r="N2769" s="12"/>
      <c r="S2769" s="195"/>
      <c r="AC2769" s="187"/>
      <c r="AE2769" s="184"/>
      <c r="AF2769" s="182"/>
      <c r="AN2769" s="188"/>
      <c r="AO2769" s="188"/>
      <c r="AP2769" s="188"/>
      <c r="AQ2769" s="188"/>
      <c r="AR2769" s="188"/>
      <c r="AS2769" s="188"/>
      <c r="AT2769" s="12"/>
      <c r="AU2769" s="12"/>
      <c r="AV2769" s="12"/>
    </row>
    <row r="2770" spans="1:48" ht="12.75">
      <c r="A2770" s="204"/>
      <c r="B2770" s="204"/>
      <c r="D2770" s="185"/>
      <c r="E2770" s="186"/>
      <c r="F2770" s="188"/>
      <c r="G2770" s="188"/>
      <c r="H2770" s="188"/>
      <c r="K2770" s="188"/>
      <c r="L2770" s="188"/>
      <c r="M2770" s="12"/>
      <c r="N2770" s="12"/>
      <c r="S2770" s="195"/>
      <c r="AC2770" s="187"/>
      <c r="AE2770" s="184"/>
      <c r="AF2770" s="182"/>
      <c r="AN2770" s="188"/>
      <c r="AO2770" s="188"/>
      <c r="AP2770" s="188"/>
      <c r="AQ2770" s="188"/>
      <c r="AR2770" s="188"/>
      <c r="AS2770" s="188"/>
      <c r="AT2770" s="12"/>
      <c r="AU2770" s="12"/>
      <c r="AV2770" s="12"/>
    </row>
    <row r="2771" spans="1:48" ht="12.75">
      <c r="A2771" s="204"/>
      <c r="B2771" s="204"/>
      <c r="D2771" s="185"/>
      <c r="E2771" s="186"/>
      <c r="F2771" s="188"/>
      <c r="G2771" s="188"/>
      <c r="H2771" s="188"/>
      <c r="K2771" s="188"/>
      <c r="L2771" s="188"/>
      <c r="M2771" s="12"/>
      <c r="N2771" s="12"/>
      <c r="S2771" s="195"/>
      <c r="AC2771" s="187"/>
      <c r="AE2771" s="184"/>
      <c r="AF2771" s="182"/>
      <c r="AN2771" s="188"/>
      <c r="AO2771" s="188"/>
      <c r="AP2771" s="188"/>
      <c r="AQ2771" s="188"/>
      <c r="AR2771" s="188"/>
      <c r="AS2771" s="188"/>
      <c r="AT2771" s="12"/>
      <c r="AU2771" s="12"/>
      <c r="AV2771" s="12"/>
    </row>
    <row r="2772" spans="1:48" ht="12.75">
      <c r="A2772" s="204"/>
      <c r="B2772" s="204"/>
      <c r="D2772" s="185"/>
      <c r="E2772" s="186"/>
      <c r="F2772" s="188"/>
      <c r="G2772" s="188"/>
      <c r="H2772" s="188"/>
      <c r="K2772" s="188"/>
      <c r="L2772" s="188"/>
      <c r="M2772" s="12"/>
      <c r="N2772" s="12"/>
      <c r="S2772" s="195"/>
      <c r="AC2772" s="187"/>
      <c r="AE2772" s="184"/>
      <c r="AF2772" s="182"/>
      <c r="AN2772" s="188"/>
      <c r="AO2772" s="188"/>
      <c r="AP2772" s="188"/>
      <c r="AQ2772" s="188"/>
      <c r="AR2772" s="188"/>
      <c r="AS2772" s="188"/>
      <c r="AT2772" s="12"/>
      <c r="AU2772" s="12"/>
      <c r="AV2772" s="12"/>
    </row>
    <row r="2773" spans="1:48" ht="12.75">
      <c r="A2773" s="204"/>
      <c r="B2773" s="204"/>
      <c r="D2773" s="185"/>
      <c r="E2773" s="186"/>
      <c r="F2773" s="188"/>
      <c r="G2773" s="188"/>
      <c r="H2773" s="188"/>
      <c r="K2773" s="188"/>
      <c r="L2773" s="188"/>
      <c r="M2773" s="12"/>
      <c r="N2773" s="12"/>
      <c r="S2773" s="195"/>
      <c r="AC2773" s="187"/>
      <c r="AE2773" s="184"/>
      <c r="AF2773" s="182"/>
      <c r="AN2773" s="188"/>
      <c r="AO2773" s="188"/>
      <c r="AP2773" s="188"/>
      <c r="AQ2773" s="188"/>
      <c r="AR2773" s="188"/>
      <c r="AS2773" s="188"/>
      <c r="AT2773" s="12"/>
      <c r="AU2773" s="12"/>
      <c r="AV2773" s="12"/>
    </row>
    <row r="2774" spans="1:48" ht="12.75">
      <c r="A2774" s="204"/>
      <c r="B2774" s="204"/>
      <c r="D2774" s="185"/>
      <c r="E2774" s="186"/>
      <c r="F2774" s="188"/>
      <c r="G2774" s="188"/>
      <c r="H2774" s="188"/>
      <c r="K2774" s="188"/>
      <c r="L2774" s="188"/>
      <c r="M2774" s="12"/>
      <c r="N2774" s="12" t="s">
        <v>1402</v>
      </c>
      <c r="S2774" s="195"/>
      <c r="AC2774" s="187"/>
      <c r="AE2774" s="184"/>
      <c r="AF2774" s="182"/>
      <c r="AN2774" s="188"/>
      <c r="AO2774" s="188"/>
      <c r="AP2774" s="188"/>
      <c r="AQ2774" s="188"/>
      <c r="AR2774" s="188"/>
      <c r="AS2774" s="188"/>
      <c r="AT2774" s="12"/>
      <c r="AU2774" s="12"/>
      <c r="AV2774" s="12"/>
    </row>
    <row r="2775" spans="1:48" ht="12.75">
      <c r="A2775" s="204"/>
      <c r="B2775" s="204"/>
      <c r="D2775" s="185"/>
      <c r="E2775" s="186"/>
      <c r="F2775" s="188"/>
      <c r="G2775" s="188"/>
      <c r="H2775" s="188"/>
      <c r="K2775" s="188"/>
      <c r="L2775" s="188"/>
      <c r="M2775" s="12"/>
      <c r="N2775" s="12"/>
      <c r="S2775" s="195"/>
      <c r="AC2775" s="187"/>
      <c r="AE2775" s="184"/>
      <c r="AF2775" s="182"/>
      <c r="AN2775" s="188"/>
      <c r="AO2775" s="188"/>
      <c r="AP2775" s="188"/>
      <c r="AQ2775" s="188"/>
      <c r="AR2775" s="188"/>
      <c r="AS2775" s="188"/>
      <c r="AT2775" s="12"/>
      <c r="AU2775" s="12"/>
      <c r="AV2775" s="12"/>
    </row>
    <row r="2776" spans="1:48" ht="12.75">
      <c r="A2776" s="204"/>
      <c r="B2776" s="204"/>
      <c r="D2776" s="185"/>
      <c r="E2776" s="186"/>
      <c r="F2776" s="188"/>
      <c r="G2776" s="188"/>
      <c r="H2776" s="188"/>
      <c r="K2776" s="188"/>
      <c r="L2776" s="188"/>
      <c r="M2776" s="12"/>
      <c r="N2776" s="12"/>
      <c r="S2776" s="195"/>
      <c r="AC2776" s="187"/>
      <c r="AE2776" s="184"/>
      <c r="AF2776" s="182"/>
      <c r="AN2776" s="188"/>
      <c r="AO2776" s="188"/>
      <c r="AP2776" s="188"/>
      <c r="AQ2776" s="188"/>
      <c r="AR2776" s="188"/>
      <c r="AS2776" s="188"/>
      <c r="AT2776" s="12"/>
      <c r="AU2776" s="12"/>
      <c r="AV2776" s="12"/>
    </row>
    <row r="2777" spans="1:48" ht="12.75">
      <c r="A2777" s="204"/>
      <c r="B2777" s="204"/>
      <c r="D2777" s="185"/>
      <c r="E2777" s="186"/>
      <c r="F2777" s="188"/>
      <c r="G2777" s="188"/>
      <c r="H2777" s="188"/>
      <c r="K2777" s="188"/>
      <c r="L2777" s="188"/>
      <c r="M2777" s="12"/>
      <c r="N2777" s="12"/>
      <c r="S2777" s="195"/>
      <c r="AC2777" s="187"/>
      <c r="AE2777" s="184"/>
      <c r="AF2777" s="182"/>
      <c r="AN2777" s="188"/>
      <c r="AO2777" s="188"/>
      <c r="AP2777" s="188"/>
      <c r="AQ2777" s="188"/>
      <c r="AR2777" s="188"/>
      <c r="AS2777" s="188"/>
      <c r="AT2777" s="12"/>
      <c r="AU2777" s="12"/>
      <c r="AV2777" s="12"/>
    </row>
    <row r="2778" spans="1:48" ht="12.75">
      <c r="A2778" s="204"/>
      <c r="B2778" s="204"/>
      <c r="D2778" s="185"/>
      <c r="E2778" s="186"/>
      <c r="F2778" s="188"/>
      <c r="G2778" s="188"/>
      <c r="H2778" s="188"/>
      <c r="K2778" s="188"/>
      <c r="L2778" s="188"/>
      <c r="M2778" s="12"/>
      <c r="N2778" s="12"/>
      <c r="S2778" s="195"/>
      <c r="AC2778" s="187"/>
      <c r="AE2778" s="184"/>
      <c r="AF2778" s="182"/>
      <c r="AN2778" s="188"/>
      <c r="AO2778" s="188"/>
      <c r="AP2778" s="188"/>
      <c r="AQ2778" s="188"/>
      <c r="AR2778" s="188"/>
      <c r="AS2778" s="188"/>
      <c r="AT2778" s="12"/>
      <c r="AU2778" s="12"/>
      <c r="AV2778" s="12"/>
    </row>
    <row r="2779" spans="1:48" ht="12.75">
      <c r="A2779" s="204"/>
      <c r="B2779" s="204"/>
      <c r="D2779" s="185"/>
      <c r="E2779" s="186"/>
      <c r="F2779" s="188"/>
      <c r="G2779" s="188"/>
      <c r="H2779" s="188"/>
      <c r="K2779" s="188"/>
      <c r="L2779" s="188"/>
      <c r="M2779" s="12"/>
      <c r="N2779" s="12"/>
      <c r="S2779" s="195"/>
      <c r="AC2779" s="187"/>
      <c r="AE2779" s="184"/>
      <c r="AF2779" s="182"/>
      <c r="AN2779" s="188"/>
      <c r="AO2779" s="188"/>
      <c r="AP2779" s="188"/>
      <c r="AQ2779" s="188"/>
      <c r="AR2779" s="188"/>
      <c r="AS2779" s="188"/>
      <c r="AT2779" s="12"/>
      <c r="AU2779" s="12"/>
      <c r="AV2779" s="12"/>
    </row>
    <row r="2780" spans="1:48" ht="12.75">
      <c r="A2780" s="204"/>
      <c r="B2780" s="204"/>
      <c r="D2780" s="185"/>
      <c r="E2780" s="186"/>
      <c r="F2780" s="188"/>
      <c r="G2780" s="188"/>
      <c r="H2780" s="188"/>
      <c r="K2780" s="188"/>
      <c r="L2780" s="188"/>
      <c r="M2780" s="12"/>
      <c r="N2780" s="12"/>
      <c r="S2780" s="195"/>
      <c r="AC2780" s="187"/>
      <c r="AE2780" s="184"/>
      <c r="AF2780" s="182"/>
      <c r="AN2780" s="188"/>
      <c r="AO2780" s="188"/>
      <c r="AP2780" s="188"/>
      <c r="AQ2780" s="188"/>
      <c r="AR2780" s="188"/>
      <c r="AS2780" s="188"/>
      <c r="AT2780" s="12"/>
      <c r="AU2780" s="12"/>
      <c r="AV2780" s="12"/>
    </row>
    <row r="2781" spans="1:48" ht="12.75">
      <c r="A2781" s="204"/>
      <c r="B2781" s="204"/>
      <c r="D2781" s="185"/>
      <c r="E2781" s="186"/>
      <c r="F2781" s="188"/>
      <c r="G2781" s="188"/>
      <c r="H2781" s="188"/>
      <c r="K2781" s="188"/>
      <c r="L2781" s="188"/>
      <c r="M2781" s="12"/>
      <c r="N2781" s="12"/>
      <c r="S2781" s="195"/>
      <c r="AC2781" s="187"/>
      <c r="AE2781" s="184"/>
      <c r="AF2781" s="182"/>
      <c r="AN2781" s="188"/>
      <c r="AO2781" s="188"/>
      <c r="AP2781" s="188"/>
      <c r="AQ2781" s="188"/>
      <c r="AR2781" s="188"/>
      <c r="AS2781" s="188"/>
      <c r="AT2781" s="12"/>
      <c r="AU2781" s="12"/>
      <c r="AV2781" s="12"/>
    </row>
    <row r="2782" spans="1:48" ht="12.75">
      <c r="A2782" s="204"/>
      <c r="B2782" s="204"/>
      <c r="D2782" s="185"/>
      <c r="E2782" s="186"/>
      <c r="F2782" s="188"/>
      <c r="G2782" s="188"/>
      <c r="H2782" s="188"/>
      <c r="K2782" s="188"/>
      <c r="L2782" s="188"/>
      <c r="M2782" s="12"/>
      <c r="N2782" s="12"/>
      <c r="S2782" s="195"/>
      <c r="AC2782" s="187"/>
      <c r="AE2782" s="184"/>
      <c r="AF2782" s="182"/>
      <c r="AN2782" s="188"/>
      <c r="AO2782" s="188"/>
      <c r="AP2782" s="188"/>
      <c r="AQ2782" s="188"/>
      <c r="AR2782" s="188"/>
      <c r="AS2782" s="188"/>
      <c r="AT2782" s="12"/>
      <c r="AU2782" s="12"/>
      <c r="AV2782" s="12"/>
    </row>
    <row r="2783" spans="1:48" ht="12.75">
      <c r="A2783" s="204"/>
      <c r="B2783" s="204"/>
      <c r="D2783" s="185"/>
      <c r="E2783" s="186"/>
      <c r="F2783" s="188"/>
      <c r="G2783" s="188"/>
      <c r="H2783" s="188"/>
      <c r="K2783" s="188"/>
      <c r="L2783" s="188"/>
      <c r="M2783" s="12"/>
      <c r="N2783" s="12"/>
      <c r="S2783" s="195"/>
      <c r="AC2783" s="187"/>
      <c r="AE2783" s="184"/>
      <c r="AF2783" s="182"/>
      <c r="AN2783" s="188"/>
      <c r="AO2783" s="188"/>
      <c r="AP2783" s="188"/>
      <c r="AQ2783" s="188"/>
      <c r="AR2783" s="188"/>
      <c r="AS2783" s="188"/>
      <c r="AT2783" s="12"/>
      <c r="AU2783" s="12"/>
      <c r="AV2783" s="12"/>
    </row>
    <row r="2784" spans="1:48" ht="12.75">
      <c r="A2784" s="204"/>
      <c r="B2784" s="204"/>
      <c r="D2784" s="185"/>
      <c r="E2784" s="186"/>
      <c r="F2784" s="188"/>
      <c r="G2784" s="188"/>
      <c r="H2784" s="188"/>
      <c r="K2784" s="188"/>
      <c r="L2784" s="188"/>
      <c r="M2784" s="12"/>
      <c r="N2784" s="12"/>
      <c r="S2784" s="195"/>
      <c r="AC2784" s="187"/>
      <c r="AE2784" s="184"/>
      <c r="AF2784" s="182"/>
      <c r="AN2784" s="188"/>
      <c r="AO2784" s="188"/>
      <c r="AP2784" s="188"/>
      <c r="AQ2784" s="188"/>
      <c r="AR2784" s="188"/>
      <c r="AS2784" s="188"/>
      <c r="AT2784" s="12"/>
      <c r="AU2784" s="12"/>
      <c r="AV2784" s="12"/>
    </row>
    <row r="2785" spans="1:48" ht="12.75">
      <c r="A2785" s="204"/>
      <c r="B2785" s="204"/>
      <c r="D2785" s="185"/>
      <c r="E2785" s="186"/>
      <c r="F2785" s="188"/>
      <c r="G2785" s="188"/>
      <c r="H2785" s="188"/>
      <c r="K2785" s="188"/>
      <c r="L2785" s="188"/>
      <c r="M2785" s="12"/>
      <c r="N2785" s="12"/>
      <c r="S2785" s="195"/>
      <c r="AC2785" s="187"/>
      <c r="AE2785" s="184"/>
      <c r="AF2785" s="182"/>
      <c r="AN2785" s="188"/>
      <c r="AO2785" s="188"/>
      <c r="AP2785" s="188"/>
      <c r="AQ2785" s="188"/>
      <c r="AR2785" s="188"/>
      <c r="AS2785" s="188"/>
      <c r="AT2785" s="12"/>
      <c r="AU2785" s="12"/>
      <c r="AV2785" s="12"/>
    </row>
    <row r="2786" spans="1:48" ht="12.75">
      <c r="A2786" s="204"/>
      <c r="B2786" s="204"/>
      <c r="D2786" s="185"/>
      <c r="E2786" s="186"/>
      <c r="F2786" s="188"/>
      <c r="G2786" s="188"/>
      <c r="H2786" s="188"/>
      <c r="K2786" s="188"/>
      <c r="L2786" s="188"/>
      <c r="M2786" s="12"/>
      <c r="N2786" s="12"/>
      <c r="S2786" s="195"/>
      <c r="AC2786" s="187"/>
      <c r="AE2786" s="184"/>
      <c r="AF2786" s="182"/>
      <c r="AN2786" s="188"/>
      <c r="AO2786" s="188"/>
      <c r="AP2786" s="188"/>
      <c r="AQ2786" s="188"/>
      <c r="AR2786" s="188"/>
      <c r="AS2786" s="188"/>
      <c r="AT2786" s="12"/>
      <c r="AU2786" s="12"/>
      <c r="AV2786" s="12"/>
    </row>
    <row r="2787" spans="1:48" ht="12.75">
      <c r="A2787" s="204"/>
      <c r="B2787" s="204"/>
      <c r="D2787" s="185"/>
      <c r="E2787" s="186"/>
      <c r="F2787" s="188"/>
      <c r="G2787" s="188"/>
      <c r="H2787" s="188"/>
      <c r="K2787" s="188"/>
      <c r="L2787" s="188"/>
      <c r="M2787" s="12"/>
      <c r="N2787" s="12"/>
      <c r="S2787" s="195"/>
      <c r="AC2787" s="187"/>
      <c r="AE2787" s="184"/>
      <c r="AF2787" s="182"/>
      <c r="AN2787" s="188"/>
      <c r="AO2787" s="188"/>
      <c r="AP2787" s="188"/>
      <c r="AQ2787" s="188"/>
      <c r="AR2787" s="188"/>
      <c r="AS2787" s="188"/>
      <c r="AT2787" s="12"/>
      <c r="AU2787" s="12"/>
      <c r="AV2787" s="12"/>
    </row>
    <row r="2788" spans="1:48" ht="12.75">
      <c r="A2788" s="204"/>
      <c r="B2788" s="204"/>
      <c r="D2788" s="185"/>
      <c r="E2788" s="186"/>
      <c r="F2788" s="188"/>
      <c r="G2788" s="188"/>
      <c r="H2788" s="188"/>
      <c r="K2788" s="188"/>
      <c r="L2788" s="188"/>
      <c r="M2788" s="12"/>
      <c r="N2788" s="12"/>
      <c r="S2788" s="195"/>
      <c r="AC2788" s="187"/>
      <c r="AE2788" s="184"/>
      <c r="AF2788" s="182"/>
      <c r="AN2788" s="188"/>
      <c r="AO2788" s="188"/>
      <c r="AP2788" s="188"/>
      <c r="AQ2788" s="188"/>
      <c r="AR2788" s="188"/>
      <c r="AS2788" s="188"/>
      <c r="AT2788" s="12"/>
      <c r="AU2788" s="12"/>
      <c r="AV2788" s="12"/>
    </row>
    <row r="2789" spans="1:48" ht="12.75">
      <c r="A2789" s="204"/>
      <c r="B2789" s="204"/>
      <c r="D2789" s="185"/>
      <c r="E2789" s="186"/>
      <c r="F2789" s="188"/>
      <c r="G2789" s="188"/>
      <c r="H2789" s="188"/>
      <c r="K2789" s="188"/>
      <c r="L2789" s="188"/>
      <c r="M2789" s="12"/>
      <c r="N2789" s="12"/>
      <c r="S2789" s="195"/>
      <c r="AC2789" s="187"/>
      <c r="AE2789" s="184"/>
      <c r="AF2789" s="182"/>
      <c r="AN2789" s="188"/>
      <c r="AO2789" s="188"/>
      <c r="AP2789" s="188"/>
      <c r="AQ2789" s="188"/>
      <c r="AR2789" s="188"/>
      <c r="AS2789" s="188"/>
      <c r="AT2789" s="12"/>
      <c r="AU2789" s="12"/>
      <c r="AV2789" s="12"/>
    </row>
    <row r="2790" spans="1:48" ht="12.75">
      <c r="A2790" s="204"/>
      <c r="B2790" s="204"/>
      <c r="D2790" s="185"/>
      <c r="E2790" s="186"/>
      <c r="F2790" s="188"/>
      <c r="G2790" s="188"/>
      <c r="H2790" s="188"/>
      <c r="K2790" s="188"/>
      <c r="L2790" s="188"/>
      <c r="M2790" s="12"/>
      <c r="N2790" s="12"/>
      <c r="S2790" s="195"/>
      <c r="AC2790" s="187"/>
      <c r="AE2790" s="184"/>
      <c r="AF2790" s="182"/>
      <c r="AN2790" s="188"/>
      <c r="AO2790" s="188"/>
      <c r="AP2790" s="188"/>
      <c r="AQ2790" s="188"/>
      <c r="AR2790" s="188"/>
      <c r="AS2790" s="188"/>
      <c r="AT2790" s="12"/>
      <c r="AU2790" s="12"/>
      <c r="AV2790" s="12"/>
    </row>
    <row r="2791" spans="1:48" ht="12.75">
      <c r="A2791" s="204"/>
      <c r="B2791" s="204"/>
      <c r="D2791" s="185"/>
      <c r="E2791" s="186"/>
      <c r="F2791" s="188"/>
      <c r="G2791" s="188"/>
      <c r="H2791" s="188"/>
      <c r="K2791" s="188"/>
      <c r="L2791" s="188"/>
      <c r="M2791" s="12"/>
      <c r="N2791" s="12"/>
      <c r="S2791" s="195"/>
      <c r="AC2791" s="187"/>
      <c r="AE2791" s="184"/>
      <c r="AF2791" s="182"/>
      <c r="AN2791" s="188"/>
      <c r="AO2791" s="188"/>
      <c r="AP2791" s="188"/>
      <c r="AQ2791" s="188"/>
      <c r="AR2791" s="188"/>
      <c r="AS2791" s="188"/>
      <c r="AT2791" s="12"/>
      <c r="AU2791" s="12"/>
      <c r="AV2791" s="12"/>
    </row>
    <row r="2792" spans="1:48" ht="12.75">
      <c r="A2792" s="204"/>
      <c r="B2792" s="204"/>
      <c r="D2792" s="185"/>
      <c r="E2792" s="186"/>
      <c r="F2792" s="188"/>
      <c r="G2792" s="188"/>
      <c r="H2792" s="188"/>
      <c r="K2792" s="188"/>
      <c r="L2792" s="188"/>
      <c r="M2792" s="12"/>
      <c r="N2792" s="12"/>
      <c r="S2792" s="195"/>
      <c r="AC2792" s="187"/>
      <c r="AE2792" s="184"/>
      <c r="AF2792" s="182"/>
      <c r="AN2792" s="188"/>
      <c r="AO2792" s="188"/>
      <c r="AP2792" s="188"/>
      <c r="AQ2792" s="188"/>
      <c r="AR2792" s="188"/>
      <c r="AS2792" s="188"/>
      <c r="AT2792" s="12"/>
      <c r="AU2792" s="12"/>
      <c r="AV2792" s="12"/>
    </row>
    <row r="2793" spans="1:48" ht="12.75">
      <c r="A2793" s="204"/>
      <c r="B2793" s="204"/>
      <c r="D2793" s="185"/>
      <c r="E2793" s="186"/>
      <c r="F2793" s="188"/>
      <c r="G2793" s="188"/>
      <c r="H2793" s="188"/>
      <c r="K2793" s="188"/>
      <c r="L2793" s="188"/>
      <c r="M2793" s="12"/>
      <c r="N2793" s="12"/>
      <c r="S2793" s="195"/>
      <c r="AC2793" s="187"/>
      <c r="AE2793" s="184"/>
      <c r="AF2793" s="182"/>
      <c r="AN2793" s="188"/>
      <c r="AO2793" s="188"/>
      <c r="AP2793" s="188"/>
      <c r="AQ2793" s="188"/>
      <c r="AR2793" s="188"/>
      <c r="AS2793" s="188"/>
      <c r="AT2793" s="12"/>
      <c r="AU2793" s="12"/>
      <c r="AV2793" s="12"/>
    </row>
    <row r="2794" spans="1:48" ht="12.75">
      <c r="A2794" s="204"/>
      <c r="B2794" s="204"/>
      <c r="D2794" s="185"/>
      <c r="E2794" s="186"/>
      <c r="F2794" s="188"/>
      <c r="G2794" s="188"/>
      <c r="H2794" s="188"/>
      <c r="K2794" s="188"/>
      <c r="L2794" s="188"/>
      <c r="M2794" s="12"/>
      <c r="N2794" s="12"/>
      <c r="S2794" s="195"/>
      <c r="AC2794" s="187"/>
      <c r="AE2794" s="184"/>
      <c r="AF2794" s="182"/>
      <c r="AN2794" s="188"/>
      <c r="AO2794" s="188"/>
      <c r="AP2794" s="188"/>
      <c r="AQ2794" s="188"/>
      <c r="AR2794" s="188"/>
      <c r="AS2794" s="188"/>
      <c r="AT2794" s="12"/>
      <c r="AU2794" s="12"/>
      <c r="AV2794" s="12"/>
    </row>
    <row r="2795" spans="1:48" ht="12.75">
      <c r="A2795" s="204"/>
      <c r="B2795" s="204"/>
      <c r="D2795" s="185"/>
      <c r="E2795" s="186"/>
      <c r="F2795" s="188"/>
      <c r="G2795" s="188"/>
      <c r="H2795" s="188"/>
      <c r="K2795" s="188"/>
      <c r="L2795" s="188"/>
      <c r="M2795" s="12"/>
      <c r="N2795" s="12"/>
      <c r="S2795" s="195"/>
      <c r="AC2795" s="187"/>
      <c r="AE2795" s="184"/>
      <c r="AF2795" s="182"/>
      <c r="AN2795" s="188"/>
      <c r="AO2795" s="188"/>
      <c r="AP2795" s="188"/>
      <c r="AQ2795" s="188"/>
      <c r="AR2795" s="188"/>
      <c r="AS2795" s="188"/>
      <c r="AT2795" s="12"/>
      <c r="AU2795" s="12"/>
      <c r="AV2795" s="12"/>
    </row>
    <row r="2796" spans="1:48" ht="12.75">
      <c r="A2796" s="204"/>
      <c r="B2796" s="204"/>
      <c r="D2796" s="185"/>
      <c r="E2796" s="186"/>
      <c r="F2796" s="188"/>
      <c r="G2796" s="188"/>
      <c r="H2796" s="188"/>
      <c r="K2796" s="188"/>
      <c r="L2796" s="188"/>
      <c r="M2796" s="12"/>
      <c r="N2796" s="12"/>
      <c r="S2796" s="195"/>
      <c r="AC2796" s="187"/>
      <c r="AE2796" s="184"/>
      <c r="AF2796" s="182"/>
      <c r="AN2796" s="188"/>
      <c r="AO2796" s="188"/>
      <c r="AP2796" s="188"/>
      <c r="AQ2796" s="188"/>
      <c r="AR2796" s="188"/>
      <c r="AS2796" s="188"/>
      <c r="AT2796" s="12"/>
      <c r="AU2796" s="12"/>
      <c r="AV2796" s="12"/>
    </row>
    <row r="2797" spans="1:48" ht="12.75">
      <c r="A2797" s="204"/>
      <c r="B2797" s="204"/>
      <c r="D2797" s="185"/>
      <c r="E2797" s="186"/>
      <c r="F2797" s="188"/>
      <c r="G2797" s="188"/>
      <c r="H2797" s="188"/>
      <c r="K2797" s="188"/>
      <c r="L2797" s="188"/>
      <c r="M2797" s="12"/>
      <c r="N2797" s="12"/>
      <c r="S2797" s="195"/>
      <c r="AC2797" s="187"/>
      <c r="AE2797" s="184"/>
      <c r="AF2797" s="182"/>
      <c r="AN2797" s="188"/>
      <c r="AO2797" s="188"/>
      <c r="AP2797" s="188"/>
      <c r="AQ2797" s="188"/>
      <c r="AR2797" s="188"/>
      <c r="AS2797" s="188"/>
      <c r="AT2797" s="12"/>
      <c r="AU2797" s="12"/>
      <c r="AV2797" s="12"/>
    </row>
    <row r="2798" spans="1:48" ht="12.75">
      <c r="A2798" s="204"/>
      <c r="B2798" s="204"/>
      <c r="D2798" s="185"/>
      <c r="E2798" s="186"/>
      <c r="F2798" s="188"/>
      <c r="G2798" s="188"/>
      <c r="H2798" s="188"/>
      <c r="K2798" s="188"/>
      <c r="L2798" s="188"/>
      <c r="M2798" s="12"/>
      <c r="N2798" s="12"/>
      <c r="S2798" s="195"/>
      <c r="AC2798" s="187"/>
      <c r="AE2798" s="184"/>
      <c r="AF2798" s="182"/>
      <c r="AN2798" s="188"/>
      <c r="AO2798" s="188"/>
      <c r="AP2798" s="188"/>
      <c r="AQ2798" s="188"/>
      <c r="AR2798" s="188"/>
      <c r="AS2798" s="188"/>
      <c r="AT2798" s="12"/>
      <c r="AU2798" s="12"/>
      <c r="AV2798" s="12"/>
    </row>
    <row r="2799" spans="1:48" ht="12.75">
      <c r="A2799" s="204"/>
      <c r="B2799" s="204"/>
      <c r="D2799" s="185"/>
      <c r="E2799" s="186"/>
      <c r="F2799" s="188"/>
      <c r="G2799" s="188"/>
      <c r="H2799" s="188"/>
      <c r="K2799" s="188"/>
      <c r="L2799" s="188"/>
      <c r="M2799" s="12"/>
      <c r="N2799" s="12"/>
      <c r="S2799" s="195"/>
      <c r="AC2799" s="187"/>
      <c r="AE2799" s="184"/>
      <c r="AF2799" s="182"/>
      <c r="AN2799" s="188"/>
      <c r="AO2799" s="188"/>
      <c r="AP2799" s="188"/>
      <c r="AQ2799" s="188"/>
      <c r="AR2799" s="188"/>
      <c r="AS2799" s="188"/>
      <c r="AT2799" s="12"/>
      <c r="AU2799" s="12"/>
      <c r="AV2799" s="12"/>
    </row>
    <row r="2800" spans="1:48" ht="12.75">
      <c r="A2800" s="204"/>
      <c r="B2800" s="204"/>
      <c r="D2800" s="185"/>
      <c r="E2800" s="186"/>
      <c r="F2800" s="188"/>
      <c r="G2800" s="188"/>
      <c r="H2800" s="188"/>
      <c r="K2800" s="188"/>
      <c r="L2800" s="188"/>
      <c r="M2800" s="12"/>
      <c r="N2800" s="12"/>
      <c r="S2800" s="195"/>
      <c r="AC2800" s="187"/>
      <c r="AE2800" s="184"/>
      <c r="AF2800" s="182"/>
      <c r="AN2800" s="188"/>
      <c r="AO2800" s="188"/>
      <c r="AP2800" s="188"/>
      <c r="AQ2800" s="188"/>
      <c r="AR2800" s="188"/>
      <c r="AS2800" s="188"/>
      <c r="AT2800" s="12"/>
      <c r="AU2800" s="12"/>
      <c r="AV2800" s="12"/>
    </row>
    <row r="2801" spans="1:48" ht="12.75">
      <c r="A2801" s="204"/>
      <c r="B2801" s="204"/>
      <c r="D2801" s="185"/>
      <c r="E2801" s="186"/>
      <c r="F2801" s="188"/>
      <c r="G2801" s="188"/>
      <c r="H2801" s="188"/>
      <c r="K2801" s="188"/>
      <c r="L2801" s="188"/>
      <c r="M2801" s="12"/>
      <c r="N2801" s="12"/>
      <c r="S2801" s="195"/>
      <c r="AC2801" s="187"/>
      <c r="AE2801" s="184"/>
      <c r="AF2801" s="182"/>
      <c r="AN2801" s="188"/>
      <c r="AO2801" s="188"/>
      <c r="AP2801" s="188"/>
      <c r="AQ2801" s="188"/>
      <c r="AR2801" s="188"/>
      <c r="AS2801" s="188"/>
      <c r="AT2801" s="12"/>
      <c r="AU2801" s="12"/>
      <c r="AV2801" s="12"/>
    </row>
    <row r="2802" spans="1:48" ht="12.75">
      <c r="A2802" s="204"/>
      <c r="B2802" s="204"/>
      <c r="D2802" s="185"/>
      <c r="E2802" s="186"/>
      <c r="F2802" s="188"/>
      <c r="G2802" s="188"/>
      <c r="H2802" s="188"/>
      <c r="K2802" s="188"/>
      <c r="L2802" s="188"/>
      <c r="M2802" s="12"/>
      <c r="N2802" s="12"/>
      <c r="S2802" s="195"/>
      <c r="AC2802" s="187"/>
      <c r="AE2802" s="184"/>
      <c r="AF2802" s="182"/>
      <c r="AN2802" s="188"/>
      <c r="AO2802" s="188"/>
      <c r="AP2802" s="188"/>
      <c r="AQ2802" s="188"/>
      <c r="AR2802" s="188"/>
      <c r="AS2802" s="188"/>
      <c r="AT2802" s="12"/>
      <c r="AU2802" s="12"/>
      <c r="AV2802" s="12"/>
    </row>
    <row r="2803" spans="1:48" ht="12.75">
      <c r="A2803" s="204"/>
      <c r="B2803" s="204"/>
      <c r="D2803" s="185"/>
      <c r="E2803" s="186"/>
      <c r="F2803" s="188"/>
      <c r="G2803" s="188"/>
      <c r="H2803" s="188"/>
      <c r="K2803" s="188"/>
      <c r="L2803" s="188"/>
      <c r="M2803" s="12"/>
      <c r="N2803" s="12"/>
      <c r="S2803" s="195"/>
      <c r="AC2803" s="187"/>
      <c r="AE2803" s="184"/>
      <c r="AF2803" s="182"/>
      <c r="AN2803" s="188"/>
      <c r="AO2803" s="188"/>
      <c r="AP2803" s="188"/>
      <c r="AQ2803" s="188"/>
      <c r="AR2803" s="188"/>
      <c r="AS2803" s="188"/>
      <c r="AT2803" s="12"/>
      <c r="AU2803" s="12"/>
      <c r="AV2803" s="12"/>
    </row>
    <row r="2804" spans="1:48" ht="12.75">
      <c r="A2804" s="204"/>
      <c r="B2804" s="204"/>
      <c r="D2804" s="185"/>
      <c r="E2804" s="186"/>
      <c r="F2804" s="188"/>
      <c r="G2804" s="188"/>
      <c r="H2804" s="188"/>
      <c r="K2804" s="188"/>
      <c r="L2804" s="188"/>
      <c r="M2804" s="12"/>
      <c r="N2804" s="12"/>
      <c r="S2804" s="195"/>
      <c r="AC2804" s="187"/>
      <c r="AE2804" s="184"/>
      <c r="AF2804" s="182"/>
      <c r="AN2804" s="188"/>
      <c r="AO2804" s="188"/>
      <c r="AP2804" s="188"/>
      <c r="AQ2804" s="188"/>
      <c r="AR2804" s="188"/>
      <c r="AS2804" s="188"/>
      <c r="AT2804" s="12"/>
      <c r="AU2804" s="12"/>
      <c r="AV2804" s="12"/>
    </row>
    <row r="2805" spans="1:48" ht="12.75">
      <c r="A2805" s="204"/>
      <c r="B2805" s="204"/>
      <c r="D2805" s="185"/>
      <c r="E2805" s="186"/>
      <c r="F2805" s="188"/>
      <c r="G2805" s="188"/>
      <c r="H2805" s="188"/>
      <c r="K2805" s="188"/>
      <c r="L2805" s="188"/>
      <c r="M2805" s="12"/>
      <c r="N2805" s="12"/>
      <c r="S2805" s="195"/>
      <c r="AC2805" s="187"/>
      <c r="AE2805" s="184"/>
      <c r="AF2805" s="182"/>
      <c r="AN2805" s="188"/>
      <c r="AO2805" s="188"/>
      <c r="AP2805" s="188"/>
      <c r="AQ2805" s="188"/>
      <c r="AR2805" s="188"/>
      <c r="AS2805" s="188"/>
      <c r="AT2805" s="12"/>
      <c r="AU2805" s="12"/>
      <c r="AV2805" s="12"/>
    </row>
    <row r="2806" spans="1:48" ht="12.75">
      <c r="A2806" s="204"/>
      <c r="B2806" s="204"/>
      <c r="D2806" s="185"/>
      <c r="E2806" s="186"/>
      <c r="F2806" s="188"/>
      <c r="G2806" s="188"/>
      <c r="H2806" s="188"/>
      <c r="K2806" s="188"/>
      <c r="L2806" s="188"/>
      <c r="M2806" s="12"/>
      <c r="N2806" s="12"/>
      <c r="S2806" s="195"/>
      <c r="AC2806" s="187"/>
      <c r="AE2806" s="184"/>
      <c r="AF2806" s="182"/>
      <c r="AN2806" s="188"/>
      <c r="AO2806" s="188"/>
      <c r="AP2806" s="188"/>
      <c r="AQ2806" s="188"/>
      <c r="AR2806" s="188"/>
      <c r="AS2806" s="188"/>
      <c r="AT2806" s="12"/>
      <c r="AU2806" s="12"/>
      <c r="AV2806" s="12"/>
    </row>
    <row r="2807" spans="1:48" ht="12.75">
      <c r="A2807" s="204"/>
      <c r="B2807" s="204"/>
      <c r="D2807" s="185"/>
      <c r="E2807" s="186"/>
      <c r="F2807" s="188"/>
      <c r="G2807" s="188"/>
      <c r="H2807" s="188"/>
      <c r="K2807" s="188"/>
      <c r="L2807" s="188"/>
      <c r="M2807" s="12"/>
      <c r="N2807" s="12"/>
      <c r="S2807" s="195"/>
      <c r="AC2807" s="187"/>
      <c r="AE2807" s="184"/>
      <c r="AF2807" s="182"/>
      <c r="AN2807" s="188"/>
      <c r="AO2807" s="188"/>
      <c r="AP2807" s="188"/>
      <c r="AQ2807" s="188"/>
      <c r="AR2807" s="188"/>
      <c r="AS2807" s="188"/>
      <c r="AT2807" s="12"/>
      <c r="AU2807" s="12"/>
      <c r="AV2807" s="12"/>
    </row>
    <row r="2808" spans="1:48" ht="12.75">
      <c r="A2808" s="204"/>
      <c r="B2808" s="204"/>
      <c r="D2808" s="185"/>
      <c r="E2808" s="186"/>
      <c r="F2808" s="188"/>
      <c r="G2808" s="188"/>
      <c r="H2808" s="188"/>
      <c r="K2808" s="188"/>
      <c r="L2808" s="188"/>
      <c r="M2808" s="12"/>
      <c r="N2808" s="12"/>
      <c r="S2808" s="195"/>
      <c r="AC2808" s="187"/>
      <c r="AE2808" s="184"/>
      <c r="AF2808" s="182"/>
      <c r="AN2808" s="188"/>
      <c r="AO2808" s="188"/>
      <c r="AP2808" s="188"/>
      <c r="AQ2808" s="188"/>
      <c r="AR2808" s="188"/>
      <c r="AS2808" s="188"/>
      <c r="AT2808" s="12"/>
      <c r="AU2808" s="12"/>
      <c r="AV2808" s="12"/>
    </row>
    <row r="2809" spans="1:48" ht="12.75">
      <c r="A2809" s="204"/>
      <c r="B2809" s="204"/>
      <c r="D2809" s="185"/>
      <c r="E2809" s="186"/>
      <c r="F2809" s="188"/>
      <c r="G2809" s="188"/>
      <c r="H2809" s="188"/>
      <c r="K2809" s="188"/>
      <c r="L2809" s="188"/>
      <c r="M2809" s="12"/>
      <c r="N2809" s="12"/>
      <c r="S2809" s="195"/>
      <c r="AC2809" s="187"/>
      <c r="AE2809" s="184"/>
      <c r="AF2809" s="182"/>
      <c r="AN2809" s="188"/>
      <c r="AO2809" s="188"/>
      <c r="AP2809" s="188"/>
      <c r="AQ2809" s="188"/>
      <c r="AR2809" s="188"/>
      <c r="AS2809" s="188"/>
      <c r="AT2809" s="12"/>
      <c r="AU2809" s="12"/>
      <c r="AV2809" s="12"/>
    </row>
    <row r="2810" spans="1:48" ht="12.75">
      <c r="A2810" s="204"/>
      <c r="B2810" s="204"/>
      <c r="D2810" s="185"/>
      <c r="E2810" s="186"/>
      <c r="F2810" s="188"/>
      <c r="G2810" s="188"/>
      <c r="H2810" s="188"/>
      <c r="K2810" s="188"/>
      <c r="L2810" s="188"/>
      <c r="M2810" s="12"/>
      <c r="N2810" s="12"/>
      <c r="S2810" s="195"/>
      <c r="AC2810" s="187"/>
      <c r="AE2810" s="184"/>
      <c r="AF2810" s="182"/>
      <c r="AN2810" s="188"/>
      <c r="AO2810" s="188"/>
      <c r="AP2810" s="188"/>
      <c r="AQ2810" s="188"/>
      <c r="AR2810" s="188"/>
      <c r="AS2810" s="188"/>
      <c r="AT2810" s="12"/>
      <c r="AU2810" s="12"/>
      <c r="AV2810" s="12"/>
    </row>
    <row r="2811" spans="1:48" ht="12.75">
      <c r="A2811" s="204"/>
      <c r="B2811" s="204"/>
      <c r="D2811" s="185"/>
      <c r="E2811" s="186"/>
      <c r="F2811" s="188"/>
      <c r="G2811" s="188"/>
      <c r="H2811" s="188"/>
      <c r="K2811" s="188"/>
      <c r="L2811" s="188"/>
      <c r="M2811" s="12"/>
      <c r="N2811" s="12"/>
      <c r="S2811" s="195"/>
      <c r="AC2811" s="187"/>
      <c r="AE2811" s="184"/>
      <c r="AF2811" s="182"/>
      <c r="AN2811" s="188"/>
      <c r="AO2811" s="188"/>
      <c r="AP2811" s="188"/>
      <c r="AQ2811" s="188"/>
      <c r="AR2811" s="188"/>
      <c r="AS2811" s="188"/>
      <c r="AT2811" s="12"/>
      <c r="AU2811" s="12"/>
      <c r="AV2811" s="12"/>
    </row>
    <row r="2812" spans="1:48" ht="12.75">
      <c r="A2812" s="204"/>
      <c r="B2812" s="204"/>
      <c r="D2812" s="185"/>
      <c r="E2812" s="186"/>
      <c r="F2812" s="188"/>
      <c r="G2812" s="188"/>
      <c r="H2812" s="188"/>
      <c r="K2812" s="188"/>
      <c r="L2812" s="188"/>
      <c r="M2812" s="12"/>
      <c r="N2812" s="12"/>
      <c r="S2812" s="195"/>
      <c r="AC2812" s="187"/>
      <c r="AE2812" s="184"/>
      <c r="AF2812" s="182"/>
      <c r="AN2812" s="188"/>
      <c r="AO2812" s="188"/>
      <c r="AP2812" s="188"/>
      <c r="AQ2812" s="188"/>
      <c r="AR2812" s="188"/>
      <c r="AS2812" s="188"/>
      <c r="AT2812" s="12"/>
      <c r="AU2812" s="12"/>
      <c r="AV2812" s="12"/>
    </row>
    <row r="2813" spans="1:48" ht="12.75">
      <c r="A2813" s="204"/>
      <c r="B2813" s="204"/>
      <c r="D2813" s="185"/>
      <c r="E2813" s="186"/>
      <c r="F2813" s="188"/>
      <c r="G2813" s="188"/>
      <c r="H2813" s="188"/>
      <c r="K2813" s="188"/>
      <c r="L2813" s="188"/>
      <c r="M2813" s="12"/>
      <c r="N2813" s="12"/>
      <c r="S2813" s="195"/>
      <c r="AC2813" s="187"/>
      <c r="AE2813" s="184"/>
      <c r="AF2813" s="182"/>
      <c r="AN2813" s="188"/>
      <c r="AO2813" s="188"/>
      <c r="AP2813" s="188"/>
      <c r="AQ2813" s="188"/>
      <c r="AR2813" s="188"/>
      <c r="AS2813" s="188"/>
      <c r="AT2813" s="12"/>
      <c r="AU2813" s="12"/>
      <c r="AV2813" s="12"/>
    </row>
    <row r="2814" spans="1:48" ht="12.75">
      <c r="A2814" s="204"/>
      <c r="B2814" s="204"/>
      <c r="D2814" s="185"/>
      <c r="E2814" s="186"/>
      <c r="F2814" s="188"/>
      <c r="G2814" s="188"/>
      <c r="H2814" s="188"/>
      <c r="K2814" s="188"/>
      <c r="L2814" s="188"/>
      <c r="M2814" s="12"/>
      <c r="N2814" s="12"/>
      <c r="S2814" s="195"/>
      <c r="AC2814" s="187"/>
      <c r="AE2814" s="184"/>
      <c r="AF2814" s="182"/>
      <c r="AN2814" s="188"/>
      <c r="AO2814" s="188"/>
      <c r="AP2814" s="188"/>
      <c r="AQ2814" s="188"/>
      <c r="AR2814" s="188"/>
      <c r="AS2814" s="188"/>
      <c r="AT2814" s="12"/>
      <c r="AU2814" s="12"/>
      <c r="AV2814" s="12"/>
    </row>
    <row r="2815" spans="1:48" ht="12.75">
      <c r="A2815" s="204"/>
      <c r="B2815" s="204"/>
      <c r="D2815" s="185"/>
      <c r="E2815" s="186"/>
      <c r="F2815" s="188"/>
      <c r="G2815" s="188"/>
      <c r="H2815" s="188"/>
      <c r="K2815" s="188"/>
      <c r="L2815" s="188"/>
      <c r="M2815" s="12"/>
      <c r="N2815" s="12"/>
      <c r="S2815" s="195"/>
      <c r="AC2815" s="187"/>
      <c r="AE2815" s="184"/>
      <c r="AF2815" s="182"/>
      <c r="AN2815" s="188"/>
      <c r="AO2815" s="188"/>
      <c r="AP2815" s="188"/>
      <c r="AQ2815" s="188"/>
      <c r="AR2815" s="188"/>
      <c r="AS2815" s="188"/>
      <c r="AT2815" s="12"/>
      <c r="AU2815" s="12"/>
      <c r="AV2815" s="12"/>
    </row>
    <row r="2816" spans="1:48" ht="12.75">
      <c r="A2816" s="204"/>
      <c r="B2816" s="204"/>
      <c r="D2816" s="185"/>
      <c r="E2816" s="186"/>
      <c r="F2816" s="188"/>
      <c r="G2816" s="188"/>
      <c r="H2816" s="188"/>
      <c r="K2816" s="188"/>
      <c r="L2816" s="188"/>
      <c r="M2816" s="12"/>
      <c r="N2816" s="12"/>
      <c r="S2816" s="195"/>
      <c r="AC2816" s="187"/>
      <c r="AE2816" s="184"/>
      <c r="AF2816" s="182"/>
      <c r="AN2816" s="188"/>
      <c r="AO2816" s="188"/>
      <c r="AP2816" s="188"/>
      <c r="AQ2816" s="188"/>
      <c r="AR2816" s="188"/>
      <c r="AS2816" s="188"/>
      <c r="AT2816" s="12"/>
      <c r="AU2816" s="12"/>
      <c r="AV2816" s="12"/>
    </row>
    <row r="2817" spans="1:48" ht="12.75">
      <c r="A2817" s="204"/>
      <c r="B2817" s="204"/>
      <c r="D2817" s="185"/>
      <c r="E2817" s="186"/>
      <c r="F2817" s="188"/>
      <c r="G2817" s="188"/>
      <c r="H2817" s="188"/>
      <c r="K2817" s="188"/>
      <c r="L2817" s="188"/>
      <c r="M2817" s="12"/>
      <c r="N2817" s="12"/>
      <c r="S2817" s="195"/>
      <c r="AC2817" s="187"/>
      <c r="AE2817" s="184"/>
      <c r="AF2817" s="182"/>
      <c r="AN2817" s="188"/>
      <c r="AO2817" s="188"/>
      <c r="AP2817" s="188"/>
      <c r="AQ2817" s="188"/>
      <c r="AR2817" s="188"/>
      <c r="AS2817" s="188"/>
      <c r="AT2817" s="12"/>
      <c r="AU2817" s="12"/>
      <c r="AV2817" s="12"/>
    </row>
    <row r="2818" spans="1:48" ht="12.75">
      <c r="A2818" s="204"/>
      <c r="B2818" s="204"/>
      <c r="D2818" s="185"/>
      <c r="E2818" s="186"/>
      <c r="F2818" s="188"/>
      <c r="G2818" s="188"/>
      <c r="H2818" s="188"/>
      <c r="K2818" s="188"/>
      <c r="L2818" s="188"/>
      <c r="M2818" s="12"/>
      <c r="N2818" s="12"/>
      <c r="S2818" s="195"/>
      <c r="AC2818" s="187"/>
      <c r="AE2818" s="184"/>
      <c r="AF2818" s="182"/>
      <c r="AN2818" s="188"/>
      <c r="AO2818" s="188"/>
      <c r="AP2818" s="188"/>
      <c r="AQ2818" s="188"/>
      <c r="AR2818" s="188"/>
      <c r="AS2818" s="188"/>
      <c r="AT2818" s="12"/>
      <c r="AU2818" s="12"/>
      <c r="AV2818" s="12"/>
    </row>
    <row r="2819" spans="1:48" ht="12.75">
      <c r="A2819" s="204"/>
      <c r="B2819" s="204"/>
      <c r="D2819" s="185"/>
      <c r="E2819" s="186"/>
      <c r="F2819" s="188"/>
      <c r="G2819" s="188"/>
      <c r="H2819" s="188"/>
      <c r="K2819" s="188"/>
      <c r="L2819" s="188"/>
      <c r="M2819" s="12"/>
      <c r="N2819" s="12"/>
      <c r="S2819" s="195"/>
      <c r="AC2819" s="187"/>
      <c r="AE2819" s="184"/>
      <c r="AF2819" s="182"/>
      <c r="AN2819" s="188"/>
      <c r="AO2819" s="188"/>
      <c r="AP2819" s="188"/>
      <c r="AQ2819" s="188"/>
      <c r="AR2819" s="188"/>
      <c r="AS2819" s="188"/>
      <c r="AT2819" s="12"/>
      <c r="AU2819" s="12"/>
      <c r="AV2819" s="12"/>
    </row>
    <row r="2820" spans="1:48" ht="12.75">
      <c r="A2820" s="204"/>
      <c r="B2820" s="204"/>
      <c r="D2820" s="185"/>
      <c r="E2820" s="186"/>
      <c r="F2820" s="188"/>
      <c r="G2820" s="188"/>
      <c r="H2820" s="188"/>
      <c r="K2820" s="188"/>
      <c r="L2820" s="188"/>
      <c r="M2820" s="12"/>
      <c r="N2820" s="12"/>
      <c r="S2820" s="195"/>
      <c r="AC2820" s="187"/>
      <c r="AE2820" s="184"/>
      <c r="AF2820" s="182"/>
      <c r="AN2820" s="188"/>
      <c r="AO2820" s="188"/>
      <c r="AP2820" s="188"/>
      <c r="AQ2820" s="188"/>
      <c r="AR2820" s="188"/>
      <c r="AS2820" s="188"/>
      <c r="AT2820" s="12"/>
      <c r="AU2820" s="12"/>
      <c r="AV2820" s="12"/>
    </row>
    <row r="2821" spans="1:48" ht="12.75">
      <c r="A2821" s="204"/>
      <c r="B2821" s="204"/>
      <c r="D2821" s="185"/>
      <c r="E2821" s="186"/>
      <c r="F2821" s="188"/>
      <c r="G2821" s="188"/>
      <c r="H2821" s="188"/>
      <c r="K2821" s="188"/>
      <c r="L2821" s="188"/>
      <c r="M2821" s="12"/>
      <c r="N2821" s="12"/>
      <c r="S2821" s="195"/>
      <c r="AC2821" s="187"/>
      <c r="AE2821" s="184"/>
      <c r="AF2821" s="182"/>
      <c r="AN2821" s="188"/>
      <c r="AO2821" s="188"/>
      <c r="AP2821" s="188"/>
      <c r="AQ2821" s="188"/>
      <c r="AR2821" s="188"/>
      <c r="AS2821" s="188"/>
      <c r="AT2821" s="12"/>
      <c r="AU2821" s="12"/>
      <c r="AV2821" s="12"/>
    </row>
    <row r="2822" spans="1:48" ht="12.75">
      <c r="A2822" s="204"/>
      <c r="B2822" s="204"/>
      <c r="D2822" s="185"/>
      <c r="E2822" s="186"/>
      <c r="F2822" s="188"/>
      <c r="G2822" s="188"/>
      <c r="H2822" s="188"/>
      <c r="K2822" s="188"/>
      <c r="L2822" s="188"/>
      <c r="M2822" s="12"/>
      <c r="N2822" s="12"/>
      <c r="S2822" s="195"/>
      <c r="AC2822" s="187"/>
      <c r="AE2822" s="184"/>
      <c r="AF2822" s="182"/>
      <c r="AN2822" s="188"/>
      <c r="AO2822" s="188"/>
      <c r="AP2822" s="188"/>
      <c r="AQ2822" s="188"/>
      <c r="AR2822" s="188"/>
      <c r="AS2822" s="188"/>
      <c r="AT2822" s="12"/>
      <c r="AU2822" s="12"/>
      <c r="AV2822" s="12"/>
    </row>
    <row r="2823" spans="1:48" ht="12.75">
      <c r="A2823" s="204"/>
      <c r="B2823" s="204"/>
      <c r="D2823" s="185"/>
      <c r="E2823" s="186"/>
      <c r="F2823" s="188"/>
      <c r="G2823" s="188"/>
      <c r="H2823" s="188"/>
      <c r="K2823" s="188"/>
      <c r="L2823" s="188"/>
      <c r="M2823" s="12"/>
      <c r="N2823" s="12"/>
      <c r="S2823" s="195"/>
      <c r="AC2823" s="187"/>
      <c r="AE2823" s="184"/>
      <c r="AF2823" s="182"/>
      <c r="AN2823" s="188"/>
      <c r="AO2823" s="188"/>
      <c r="AP2823" s="188"/>
      <c r="AQ2823" s="188"/>
      <c r="AR2823" s="188"/>
      <c r="AS2823" s="188"/>
      <c r="AT2823" s="12"/>
      <c r="AU2823" s="12"/>
      <c r="AV2823" s="12"/>
    </row>
    <row r="2824" spans="1:48" ht="12.75">
      <c r="A2824" s="204"/>
      <c r="B2824" s="204"/>
      <c r="D2824" s="185"/>
      <c r="E2824" s="186"/>
      <c r="F2824" s="188"/>
      <c r="G2824" s="188"/>
      <c r="H2824" s="188"/>
      <c r="K2824" s="188"/>
      <c r="L2824" s="188"/>
      <c r="M2824" s="12"/>
      <c r="N2824" s="12"/>
      <c r="S2824" s="195"/>
      <c r="AC2824" s="187"/>
      <c r="AE2824" s="184"/>
      <c r="AF2824" s="182"/>
      <c r="AN2824" s="188"/>
      <c r="AO2824" s="188"/>
      <c r="AP2824" s="188"/>
      <c r="AQ2824" s="188"/>
      <c r="AR2824" s="188"/>
      <c r="AS2824" s="188"/>
      <c r="AT2824" s="12"/>
      <c r="AU2824" s="12"/>
      <c r="AV2824" s="12"/>
    </row>
    <row r="2825" spans="1:48" ht="12.75">
      <c r="A2825" s="204"/>
      <c r="B2825" s="204"/>
      <c r="D2825" s="185"/>
      <c r="E2825" s="186"/>
      <c r="F2825" s="188"/>
      <c r="G2825" s="188"/>
      <c r="H2825" s="188"/>
      <c r="K2825" s="188"/>
      <c r="L2825" s="188"/>
      <c r="M2825" s="12"/>
      <c r="N2825" s="12"/>
      <c r="S2825" s="195"/>
      <c r="AC2825" s="187"/>
      <c r="AE2825" s="184"/>
      <c r="AF2825" s="182"/>
      <c r="AN2825" s="188"/>
      <c r="AO2825" s="188"/>
      <c r="AP2825" s="188"/>
      <c r="AQ2825" s="188"/>
      <c r="AR2825" s="188"/>
      <c r="AS2825" s="188"/>
      <c r="AT2825" s="12"/>
      <c r="AU2825" s="12"/>
      <c r="AV2825" s="12"/>
    </row>
    <row r="2826" spans="1:48" ht="12.75">
      <c r="A2826" s="204"/>
      <c r="B2826" s="204"/>
      <c r="D2826" s="185"/>
      <c r="E2826" s="186"/>
      <c r="F2826" s="188"/>
      <c r="G2826" s="188"/>
      <c r="H2826" s="188"/>
      <c r="K2826" s="188"/>
      <c r="L2826" s="188"/>
      <c r="M2826" s="12"/>
      <c r="N2826" s="12"/>
      <c r="S2826" s="195"/>
      <c r="AC2826" s="187"/>
      <c r="AE2826" s="184"/>
      <c r="AF2826" s="182"/>
      <c r="AN2826" s="188"/>
      <c r="AO2826" s="188"/>
      <c r="AP2826" s="188"/>
      <c r="AQ2826" s="188"/>
      <c r="AR2826" s="188"/>
      <c r="AS2826" s="188"/>
      <c r="AT2826" s="12"/>
      <c r="AU2826" s="12"/>
      <c r="AV2826" s="12"/>
    </row>
    <row r="2827" spans="1:48" ht="12.75">
      <c r="A2827" s="204"/>
      <c r="B2827" s="204"/>
      <c r="D2827" s="185"/>
      <c r="E2827" s="186"/>
      <c r="F2827" s="188"/>
      <c r="G2827" s="188"/>
      <c r="H2827" s="188"/>
      <c r="K2827" s="188"/>
      <c r="L2827" s="188"/>
      <c r="M2827" s="12"/>
      <c r="N2827" s="12"/>
      <c r="S2827" s="195"/>
      <c r="AC2827" s="187"/>
      <c r="AE2827" s="184"/>
      <c r="AF2827" s="182"/>
      <c r="AN2827" s="188"/>
      <c r="AO2827" s="188"/>
      <c r="AP2827" s="188"/>
      <c r="AQ2827" s="188"/>
      <c r="AR2827" s="188"/>
      <c r="AS2827" s="188"/>
      <c r="AT2827" s="12"/>
      <c r="AU2827" s="12"/>
      <c r="AV2827" s="12"/>
    </row>
    <row r="2828" spans="1:48" ht="12.75">
      <c r="A2828" s="204"/>
      <c r="B2828" s="204"/>
      <c r="D2828" s="185"/>
      <c r="E2828" s="186"/>
      <c r="F2828" s="188"/>
      <c r="G2828" s="188"/>
      <c r="H2828" s="188"/>
      <c r="K2828" s="188"/>
      <c r="L2828" s="188"/>
      <c r="M2828" s="12"/>
      <c r="N2828" s="12"/>
      <c r="S2828" s="195"/>
      <c r="AC2828" s="187"/>
      <c r="AE2828" s="184"/>
      <c r="AF2828" s="182"/>
      <c r="AN2828" s="188"/>
      <c r="AO2828" s="188"/>
      <c r="AP2828" s="188"/>
      <c r="AQ2828" s="188"/>
      <c r="AR2828" s="188"/>
      <c r="AS2828" s="188"/>
      <c r="AT2828" s="12"/>
      <c r="AU2828" s="12"/>
      <c r="AV2828" s="12"/>
    </row>
    <row r="2829" spans="1:48" ht="12.75">
      <c r="A2829" s="204"/>
      <c r="B2829" s="204"/>
      <c r="D2829" s="185"/>
      <c r="E2829" s="186"/>
      <c r="F2829" s="188"/>
      <c r="G2829" s="188"/>
      <c r="H2829" s="188"/>
      <c r="K2829" s="188"/>
      <c r="L2829" s="188"/>
      <c r="M2829" s="12"/>
      <c r="N2829" s="12"/>
      <c r="S2829" s="195"/>
      <c r="AC2829" s="187"/>
      <c r="AE2829" s="184"/>
      <c r="AF2829" s="182"/>
      <c r="AN2829" s="188"/>
      <c r="AO2829" s="188"/>
      <c r="AP2829" s="188"/>
      <c r="AQ2829" s="188"/>
      <c r="AR2829" s="188"/>
      <c r="AS2829" s="188"/>
      <c r="AT2829" s="12"/>
      <c r="AU2829" s="12"/>
      <c r="AV2829" s="12"/>
    </row>
    <row r="2830" spans="1:48" ht="12.75">
      <c r="A2830" s="204"/>
      <c r="B2830" s="204"/>
      <c r="D2830" s="185"/>
      <c r="E2830" s="186"/>
      <c r="F2830" s="188"/>
      <c r="G2830" s="188"/>
      <c r="H2830" s="188"/>
      <c r="K2830" s="188"/>
      <c r="L2830" s="188"/>
      <c r="M2830" s="12"/>
      <c r="N2830" s="12"/>
      <c r="S2830" s="195"/>
      <c r="AC2830" s="187"/>
      <c r="AE2830" s="184"/>
      <c r="AF2830" s="182"/>
      <c r="AN2830" s="188"/>
      <c r="AO2830" s="188"/>
      <c r="AP2830" s="188"/>
      <c r="AQ2830" s="188"/>
      <c r="AR2830" s="188"/>
      <c r="AS2830" s="188"/>
      <c r="AT2830" s="12"/>
      <c r="AU2830" s="12"/>
      <c r="AV2830" s="12"/>
    </row>
    <row r="2831" spans="1:48" ht="12.75">
      <c r="A2831" s="204"/>
      <c r="B2831" s="204"/>
      <c r="D2831" s="185"/>
      <c r="E2831" s="186"/>
      <c r="F2831" s="188"/>
      <c r="G2831" s="188"/>
      <c r="H2831" s="188"/>
      <c r="K2831" s="188"/>
      <c r="L2831" s="188"/>
      <c r="M2831" s="12"/>
      <c r="N2831" s="12"/>
      <c r="S2831" s="195"/>
      <c r="AC2831" s="187"/>
      <c r="AE2831" s="184"/>
      <c r="AF2831" s="182"/>
      <c r="AN2831" s="188"/>
      <c r="AO2831" s="188"/>
      <c r="AP2831" s="188"/>
      <c r="AQ2831" s="188"/>
      <c r="AR2831" s="188"/>
      <c r="AS2831" s="188"/>
      <c r="AT2831" s="12"/>
      <c r="AU2831" s="12"/>
      <c r="AV2831" s="12"/>
    </row>
    <row r="2832" spans="1:48" ht="12.75">
      <c r="A2832" s="204"/>
      <c r="B2832" s="204"/>
      <c r="D2832" s="185"/>
      <c r="E2832" s="186"/>
      <c r="F2832" s="188"/>
      <c r="G2832" s="188"/>
      <c r="H2832" s="188"/>
      <c r="K2832" s="188"/>
      <c r="L2832" s="188"/>
      <c r="M2832" s="12"/>
      <c r="N2832" s="12"/>
      <c r="S2832" s="195"/>
      <c r="AC2832" s="187"/>
      <c r="AE2832" s="184"/>
      <c r="AF2832" s="182"/>
      <c r="AN2832" s="188"/>
      <c r="AO2832" s="188"/>
      <c r="AP2832" s="188"/>
      <c r="AQ2832" s="188"/>
      <c r="AR2832" s="188"/>
      <c r="AS2832" s="188"/>
      <c r="AT2832" s="12"/>
      <c r="AU2832" s="12"/>
      <c r="AV2832" s="12"/>
    </row>
    <row r="2833" spans="1:48" ht="12.75">
      <c r="A2833" s="204"/>
      <c r="B2833" s="204"/>
      <c r="D2833" s="185"/>
      <c r="E2833" s="186"/>
      <c r="F2833" s="188"/>
      <c r="G2833" s="188"/>
      <c r="H2833" s="188"/>
      <c r="K2833" s="188"/>
      <c r="L2833" s="188"/>
      <c r="M2833" s="12"/>
      <c r="N2833" s="12"/>
      <c r="S2833" s="195"/>
      <c r="AC2833" s="187"/>
      <c r="AE2833" s="184"/>
      <c r="AF2833" s="182"/>
      <c r="AN2833" s="188"/>
      <c r="AO2833" s="188"/>
      <c r="AP2833" s="188"/>
      <c r="AQ2833" s="188"/>
      <c r="AR2833" s="188"/>
      <c r="AS2833" s="188"/>
      <c r="AT2833" s="12"/>
      <c r="AU2833" s="12"/>
      <c r="AV2833" s="12"/>
    </row>
    <row r="2834" spans="1:48" ht="12.75">
      <c r="A2834" s="204"/>
      <c r="B2834" s="204"/>
      <c r="D2834" s="185"/>
      <c r="E2834" s="186"/>
      <c r="F2834" s="188"/>
      <c r="G2834" s="188"/>
      <c r="H2834" s="188"/>
      <c r="K2834" s="188"/>
      <c r="L2834" s="188"/>
      <c r="M2834" s="12"/>
      <c r="N2834" s="12"/>
      <c r="S2834" s="195"/>
      <c r="AC2834" s="187"/>
      <c r="AE2834" s="184"/>
      <c r="AF2834" s="182"/>
      <c r="AN2834" s="188"/>
      <c r="AO2834" s="188"/>
      <c r="AP2834" s="188"/>
      <c r="AQ2834" s="188"/>
      <c r="AR2834" s="188"/>
      <c r="AS2834" s="188"/>
      <c r="AT2834" s="12"/>
      <c r="AU2834" s="12"/>
      <c r="AV2834" s="12"/>
    </row>
    <row r="2835" spans="1:48" ht="12.75">
      <c r="A2835" s="204"/>
      <c r="B2835" s="204"/>
      <c r="D2835" s="185"/>
      <c r="E2835" s="186"/>
      <c r="F2835" s="188"/>
      <c r="G2835" s="188"/>
      <c r="H2835" s="188"/>
      <c r="K2835" s="188"/>
      <c r="L2835" s="188"/>
      <c r="M2835" s="12"/>
      <c r="N2835" s="12"/>
      <c r="S2835" s="195"/>
      <c r="AC2835" s="187"/>
      <c r="AE2835" s="184"/>
      <c r="AF2835" s="182"/>
      <c r="AN2835" s="188"/>
      <c r="AO2835" s="188"/>
      <c r="AP2835" s="188"/>
      <c r="AQ2835" s="188"/>
      <c r="AR2835" s="188"/>
      <c r="AS2835" s="188"/>
      <c r="AT2835" s="12"/>
      <c r="AU2835" s="12"/>
      <c r="AV2835" s="12"/>
    </row>
    <row r="2836" spans="1:48" ht="12.75">
      <c r="A2836" s="204"/>
      <c r="B2836" s="204"/>
      <c r="D2836" s="185"/>
      <c r="E2836" s="186"/>
      <c r="F2836" s="188"/>
      <c r="G2836" s="188"/>
      <c r="H2836" s="188"/>
      <c r="K2836" s="188"/>
      <c r="L2836" s="188"/>
      <c r="M2836" s="12"/>
      <c r="N2836" s="12"/>
      <c r="S2836" s="195"/>
      <c r="AC2836" s="187"/>
      <c r="AE2836" s="184"/>
      <c r="AF2836" s="182"/>
      <c r="AN2836" s="188"/>
      <c r="AO2836" s="188"/>
      <c r="AP2836" s="188"/>
      <c r="AQ2836" s="188"/>
      <c r="AR2836" s="188"/>
      <c r="AS2836" s="188"/>
      <c r="AT2836" s="12"/>
      <c r="AU2836" s="12"/>
      <c r="AV2836" s="12"/>
    </row>
    <row r="2837" spans="1:48" ht="12.75">
      <c r="A2837" s="204"/>
      <c r="B2837" s="204"/>
      <c r="D2837" s="185"/>
      <c r="E2837" s="186"/>
      <c r="F2837" s="188"/>
      <c r="G2837" s="188"/>
      <c r="H2837" s="188"/>
      <c r="K2837" s="188"/>
      <c r="L2837" s="188"/>
      <c r="M2837" s="12"/>
      <c r="N2837" s="12"/>
      <c r="S2837" s="195"/>
      <c r="AC2837" s="187"/>
      <c r="AE2837" s="184"/>
      <c r="AF2837" s="182"/>
      <c r="AN2837" s="188"/>
      <c r="AO2837" s="188"/>
      <c r="AP2837" s="188"/>
      <c r="AQ2837" s="188"/>
      <c r="AR2837" s="188"/>
      <c r="AS2837" s="188"/>
      <c r="AT2837" s="12"/>
      <c r="AU2837" s="12"/>
      <c r="AV2837" s="12"/>
    </row>
    <row r="2838" spans="1:48" ht="12.75">
      <c r="A2838" s="204"/>
      <c r="B2838" s="204"/>
      <c r="D2838" s="185"/>
      <c r="E2838" s="186"/>
      <c r="F2838" s="188"/>
      <c r="G2838" s="188"/>
      <c r="H2838" s="188"/>
      <c r="K2838" s="188"/>
      <c r="L2838" s="188"/>
      <c r="M2838" s="12"/>
      <c r="N2838" s="12"/>
      <c r="S2838" s="195"/>
      <c r="AC2838" s="187"/>
      <c r="AE2838" s="184"/>
      <c r="AF2838" s="182"/>
      <c r="AN2838" s="188"/>
      <c r="AO2838" s="188"/>
      <c r="AP2838" s="188"/>
      <c r="AQ2838" s="188"/>
      <c r="AR2838" s="188"/>
      <c r="AS2838" s="188"/>
      <c r="AT2838" s="12"/>
      <c r="AU2838" s="12"/>
      <c r="AV2838" s="12"/>
    </row>
    <row r="2839" spans="1:48" ht="12.75">
      <c r="A2839" s="204"/>
      <c r="B2839" s="204"/>
      <c r="D2839" s="185"/>
      <c r="E2839" s="186"/>
      <c r="F2839" s="188"/>
      <c r="G2839" s="188"/>
      <c r="H2839" s="188"/>
      <c r="K2839" s="188"/>
      <c r="L2839" s="188"/>
      <c r="M2839" s="12"/>
      <c r="N2839" s="12"/>
      <c r="S2839" s="195"/>
      <c r="AC2839" s="187"/>
      <c r="AE2839" s="184"/>
      <c r="AF2839" s="182"/>
      <c r="AN2839" s="188"/>
      <c r="AO2839" s="188"/>
      <c r="AP2839" s="188"/>
      <c r="AQ2839" s="188"/>
      <c r="AR2839" s="188"/>
      <c r="AS2839" s="188"/>
      <c r="AT2839" s="12"/>
      <c r="AU2839" s="12"/>
      <c r="AV2839" s="12"/>
    </row>
    <row r="2840" spans="1:48" ht="12.75">
      <c r="A2840" s="204"/>
      <c r="B2840" s="204"/>
      <c r="D2840" s="185"/>
      <c r="E2840" s="186"/>
      <c r="F2840" s="188"/>
      <c r="G2840" s="188"/>
      <c r="H2840" s="188"/>
      <c r="K2840" s="188"/>
      <c r="L2840" s="188"/>
      <c r="M2840" s="12"/>
      <c r="N2840" s="12"/>
      <c r="S2840" s="195"/>
      <c r="AC2840" s="187"/>
      <c r="AE2840" s="184"/>
      <c r="AF2840" s="182"/>
      <c r="AN2840" s="188"/>
      <c r="AO2840" s="188"/>
      <c r="AP2840" s="188"/>
      <c r="AQ2840" s="188"/>
      <c r="AR2840" s="188"/>
      <c r="AS2840" s="188"/>
      <c r="AT2840" s="12"/>
      <c r="AU2840" s="12"/>
      <c r="AV2840" s="12"/>
    </row>
    <row r="2841" spans="1:48" ht="12.75">
      <c r="A2841" s="204"/>
      <c r="B2841" s="204"/>
      <c r="D2841" s="185"/>
      <c r="E2841" s="186"/>
      <c r="F2841" s="188"/>
      <c r="G2841" s="188"/>
      <c r="H2841" s="188"/>
      <c r="K2841" s="188"/>
      <c r="L2841" s="188"/>
      <c r="M2841" s="12"/>
      <c r="N2841" s="12"/>
      <c r="S2841" s="195"/>
      <c r="AC2841" s="187"/>
      <c r="AE2841" s="184"/>
      <c r="AF2841" s="182"/>
      <c r="AN2841" s="188"/>
      <c r="AO2841" s="188"/>
      <c r="AP2841" s="188"/>
      <c r="AQ2841" s="188"/>
      <c r="AR2841" s="188"/>
      <c r="AS2841" s="188"/>
      <c r="AT2841" s="12"/>
      <c r="AU2841" s="12"/>
      <c r="AV2841" s="12"/>
    </row>
    <row r="2842" spans="1:48" ht="12.75">
      <c r="A2842" s="204"/>
      <c r="B2842" s="204"/>
      <c r="D2842" s="185"/>
      <c r="E2842" s="186"/>
      <c r="F2842" s="188"/>
      <c r="G2842" s="188"/>
      <c r="H2842" s="188"/>
      <c r="K2842" s="188"/>
      <c r="L2842" s="188"/>
      <c r="M2842" s="12"/>
      <c r="N2842" s="12"/>
      <c r="S2842" s="195"/>
      <c r="AC2842" s="187"/>
      <c r="AE2842" s="184"/>
      <c r="AF2842" s="182"/>
      <c r="AN2842" s="188"/>
      <c r="AO2842" s="188"/>
      <c r="AP2842" s="188"/>
      <c r="AQ2842" s="188"/>
      <c r="AR2842" s="188"/>
      <c r="AS2842" s="188"/>
      <c r="AT2842" s="12"/>
      <c r="AU2842" s="12"/>
      <c r="AV2842" s="12"/>
    </row>
    <row r="2843" spans="1:48" ht="12.75">
      <c r="A2843" s="204"/>
      <c r="B2843" s="204"/>
      <c r="D2843" s="185"/>
      <c r="E2843" s="186"/>
      <c r="F2843" s="188"/>
      <c r="G2843" s="188"/>
      <c r="H2843" s="188"/>
      <c r="K2843" s="188"/>
      <c r="L2843" s="188"/>
      <c r="M2843" s="12"/>
      <c r="N2843" s="12"/>
      <c r="S2843" s="195"/>
      <c r="AC2843" s="187"/>
      <c r="AE2843" s="184"/>
      <c r="AF2843" s="182"/>
      <c r="AN2843" s="188"/>
      <c r="AO2843" s="188"/>
      <c r="AP2843" s="188"/>
      <c r="AQ2843" s="188"/>
      <c r="AR2843" s="188"/>
      <c r="AS2843" s="188"/>
      <c r="AT2843" s="12"/>
      <c r="AU2843" s="12"/>
      <c r="AV2843" s="12"/>
    </row>
    <row r="2844" spans="1:48" ht="12.75">
      <c r="A2844" s="204"/>
      <c r="B2844" s="204"/>
      <c r="D2844" s="185"/>
      <c r="E2844" s="186"/>
      <c r="F2844" s="188"/>
      <c r="G2844" s="188"/>
      <c r="H2844" s="188"/>
      <c r="K2844" s="188"/>
      <c r="L2844" s="188"/>
      <c r="M2844" s="12"/>
      <c r="N2844" s="12"/>
      <c r="S2844" s="195"/>
      <c r="AC2844" s="187"/>
      <c r="AE2844" s="184"/>
      <c r="AF2844" s="182"/>
      <c r="AN2844" s="188"/>
      <c r="AO2844" s="188"/>
      <c r="AP2844" s="188"/>
      <c r="AQ2844" s="188"/>
      <c r="AR2844" s="188"/>
      <c r="AS2844" s="188"/>
      <c r="AT2844" s="12"/>
      <c r="AU2844" s="12"/>
      <c r="AV2844" s="12"/>
    </row>
    <row r="2845" spans="1:48" ht="12.75">
      <c r="A2845" s="204"/>
      <c r="B2845" s="204"/>
      <c r="D2845" s="185"/>
      <c r="E2845" s="186"/>
      <c r="F2845" s="188"/>
      <c r="G2845" s="188"/>
      <c r="H2845" s="188"/>
      <c r="K2845" s="188"/>
      <c r="L2845" s="188"/>
      <c r="M2845" s="12"/>
      <c r="N2845" s="12"/>
      <c r="S2845" s="195"/>
      <c r="AC2845" s="187"/>
      <c r="AE2845" s="184"/>
      <c r="AF2845" s="182"/>
      <c r="AN2845" s="188"/>
      <c r="AO2845" s="188"/>
      <c r="AP2845" s="188"/>
      <c r="AQ2845" s="188"/>
      <c r="AR2845" s="188"/>
      <c r="AS2845" s="188"/>
      <c r="AT2845" s="12"/>
      <c r="AU2845" s="12"/>
      <c r="AV2845" s="12"/>
    </row>
    <row r="2846" spans="1:48" ht="12.75">
      <c r="A2846" s="204"/>
      <c r="B2846" s="204"/>
      <c r="D2846" s="185"/>
      <c r="E2846" s="186"/>
      <c r="F2846" s="188"/>
      <c r="G2846" s="188"/>
      <c r="H2846" s="188"/>
      <c r="K2846" s="188"/>
      <c r="L2846" s="188"/>
      <c r="M2846" s="12"/>
      <c r="N2846" s="12"/>
      <c r="S2846" s="195"/>
      <c r="AC2846" s="187"/>
      <c r="AE2846" s="184"/>
      <c r="AF2846" s="182"/>
      <c r="AN2846" s="188"/>
      <c r="AO2846" s="188"/>
      <c r="AP2846" s="188"/>
      <c r="AQ2846" s="188"/>
      <c r="AR2846" s="188"/>
      <c r="AS2846" s="188"/>
      <c r="AT2846" s="12"/>
      <c r="AU2846" s="12"/>
      <c r="AV2846" s="12"/>
    </row>
    <row r="2847" spans="1:48" ht="12.75">
      <c r="A2847" s="204"/>
      <c r="B2847" s="204"/>
      <c r="D2847" s="185"/>
      <c r="E2847" s="186"/>
      <c r="F2847" s="188"/>
      <c r="G2847" s="188"/>
      <c r="H2847" s="188"/>
      <c r="K2847" s="188"/>
      <c r="L2847" s="188"/>
      <c r="M2847" s="12"/>
      <c r="N2847" s="12"/>
      <c r="S2847" s="195"/>
      <c r="AC2847" s="187"/>
      <c r="AE2847" s="184"/>
      <c r="AF2847" s="182"/>
      <c r="AN2847" s="188"/>
      <c r="AO2847" s="188"/>
      <c r="AP2847" s="188"/>
      <c r="AQ2847" s="188"/>
      <c r="AR2847" s="188"/>
      <c r="AS2847" s="188"/>
      <c r="AT2847" s="12"/>
      <c r="AU2847" s="12"/>
      <c r="AV2847" s="12"/>
    </row>
    <row r="2848" spans="1:48" ht="12.75">
      <c r="A2848" s="204"/>
      <c r="B2848" s="204"/>
      <c r="D2848" s="185"/>
      <c r="E2848" s="186"/>
      <c r="F2848" s="188"/>
      <c r="G2848" s="188"/>
      <c r="H2848" s="188"/>
      <c r="K2848" s="188"/>
      <c r="L2848" s="188"/>
      <c r="M2848" s="12"/>
      <c r="N2848" s="12"/>
      <c r="S2848" s="195"/>
      <c r="AC2848" s="187"/>
      <c r="AE2848" s="184"/>
      <c r="AF2848" s="182"/>
    </row>
    <row r="2849" spans="1:32" ht="12.75">
      <c r="A2849" s="204"/>
      <c r="B2849" s="204"/>
      <c r="D2849" s="185"/>
      <c r="E2849" s="186"/>
      <c r="F2849" s="188"/>
      <c r="G2849" s="188"/>
      <c r="H2849" s="188"/>
      <c r="K2849" s="188"/>
      <c r="L2849" s="188"/>
      <c r="M2849" s="12"/>
      <c r="N2849" s="12"/>
      <c r="S2849" s="195"/>
      <c r="AC2849" s="187"/>
      <c r="AE2849" s="184"/>
      <c r="AF2849" s="182"/>
    </row>
    <row r="2850" spans="1:32" ht="12.75">
      <c r="A2850" s="204"/>
      <c r="B2850" s="204"/>
      <c r="D2850" s="185"/>
      <c r="E2850" s="186"/>
      <c r="F2850" s="188"/>
      <c r="G2850" s="188"/>
      <c r="H2850" s="188"/>
      <c r="K2850" s="188"/>
      <c r="L2850" s="188"/>
      <c r="M2850" s="12"/>
      <c r="N2850" s="12"/>
      <c r="S2850" s="195"/>
      <c r="AC2850" s="187"/>
      <c r="AE2850" s="184"/>
      <c r="AF2850" s="182"/>
    </row>
    <row r="2851" spans="1:32" ht="12.75">
      <c r="A2851" s="204"/>
      <c r="B2851" s="204"/>
      <c r="D2851" s="185"/>
      <c r="E2851" s="186"/>
      <c r="F2851" s="188"/>
      <c r="G2851" s="188"/>
      <c r="H2851" s="188"/>
      <c r="K2851" s="188"/>
      <c r="L2851" s="188"/>
      <c r="M2851" s="12"/>
      <c r="N2851" s="12"/>
      <c r="S2851" s="195"/>
      <c r="AC2851" s="187"/>
      <c r="AE2851" s="184"/>
      <c r="AF2851" s="182"/>
    </row>
    <row r="2852" spans="1:32" ht="12.75">
      <c r="A2852" s="204"/>
      <c r="B2852" s="204"/>
      <c r="D2852" s="185"/>
      <c r="E2852" s="186"/>
      <c r="F2852" s="188"/>
      <c r="G2852" s="188"/>
      <c r="H2852" s="188"/>
      <c r="K2852" s="188"/>
      <c r="L2852" s="188"/>
      <c r="M2852" s="12"/>
      <c r="N2852" s="12"/>
      <c r="S2852" s="195"/>
      <c r="AC2852" s="187"/>
      <c r="AE2852" s="184"/>
      <c r="AF2852" s="182"/>
    </row>
    <row r="2853" spans="1:32" ht="12.75">
      <c r="A2853" s="204"/>
      <c r="B2853" s="204"/>
      <c r="D2853" s="185"/>
      <c r="E2853" s="186"/>
      <c r="F2853" s="188"/>
      <c r="G2853" s="188"/>
      <c r="H2853" s="188"/>
      <c r="K2853" s="188"/>
      <c r="L2853" s="188"/>
      <c r="M2853" s="12"/>
      <c r="N2853" s="12"/>
      <c r="S2853" s="195"/>
      <c r="AC2853" s="187"/>
      <c r="AE2853" s="184"/>
      <c r="AF2853" s="182"/>
    </row>
    <row r="2854" spans="1:32" ht="12.75">
      <c r="A2854" s="204"/>
      <c r="B2854" s="204"/>
      <c r="D2854" s="185"/>
      <c r="E2854" s="186"/>
      <c r="F2854" s="188"/>
      <c r="G2854" s="188"/>
      <c r="H2854" s="188"/>
      <c r="K2854" s="188"/>
      <c r="L2854" s="188"/>
      <c r="M2854" s="12"/>
      <c r="N2854" s="12"/>
      <c r="S2854" s="195"/>
      <c r="AC2854" s="187"/>
      <c r="AE2854" s="184"/>
      <c r="AF2854" s="182"/>
    </row>
    <row r="2855" spans="1:32" ht="12.75">
      <c r="A2855" s="204"/>
      <c r="B2855" s="204"/>
      <c r="D2855" s="185"/>
      <c r="E2855" s="186"/>
      <c r="F2855" s="188"/>
      <c r="G2855" s="188"/>
      <c r="H2855" s="188"/>
      <c r="K2855" s="188"/>
      <c r="L2855" s="188"/>
      <c r="M2855" s="12"/>
      <c r="N2855" s="12"/>
      <c r="S2855" s="195"/>
      <c r="AC2855" s="187"/>
      <c r="AE2855" s="184"/>
      <c r="AF2855" s="182"/>
    </row>
    <row r="2856" spans="1:32" ht="12.75">
      <c r="A2856" s="204"/>
      <c r="B2856" s="204"/>
      <c r="D2856" s="185"/>
      <c r="E2856" s="186"/>
      <c r="F2856" s="188"/>
      <c r="G2856" s="188"/>
      <c r="H2856" s="188"/>
      <c r="K2856" s="188"/>
      <c r="L2856" s="188"/>
      <c r="M2856" s="12"/>
      <c r="N2856" s="12"/>
      <c r="S2856" s="195"/>
      <c r="AC2856" s="187"/>
      <c r="AE2856" s="184"/>
      <c r="AF2856" s="182"/>
    </row>
    <row r="2857" spans="1:32" ht="12.75">
      <c r="A2857" s="204"/>
      <c r="B2857" s="204"/>
      <c r="D2857" s="185"/>
      <c r="E2857" s="186"/>
      <c r="F2857" s="188"/>
      <c r="G2857" s="188"/>
      <c r="H2857" s="188"/>
      <c r="K2857" s="188"/>
      <c r="L2857" s="188"/>
      <c r="M2857" s="12"/>
      <c r="N2857" s="12"/>
      <c r="S2857" s="195"/>
      <c r="AC2857" s="187"/>
      <c r="AE2857" s="184"/>
      <c r="AF2857" s="182"/>
    </row>
    <row r="2858" spans="1:32" ht="12.75">
      <c r="A2858" s="204"/>
      <c r="B2858" s="204"/>
      <c r="D2858" s="185"/>
      <c r="E2858" s="186"/>
      <c r="F2858" s="188"/>
      <c r="G2858" s="188"/>
      <c r="H2858" s="188"/>
      <c r="K2858" s="188"/>
      <c r="L2858" s="188"/>
      <c r="M2858" s="12"/>
      <c r="N2858" s="12"/>
      <c r="S2858" s="195"/>
      <c r="AC2858" s="187"/>
      <c r="AE2858" s="184"/>
      <c r="AF2858" s="182"/>
    </row>
    <row r="2859" spans="1:32" ht="12.75">
      <c r="A2859" s="204"/>
      <c r="B2859" s="204"/>
      <c r="D2859" s="185"/>
      <c r="E2859" s="186"/>
      <c r="F2859" s="188"/>
      <c r="G2859" s="188"/>
      <c r="H2859" s="188"/>
      <c r="K2859" s="188"/>
      <c r="L2859" s="188"/>
      <c r="M2859" s="12"/>
      <c r="N2859" s="12"/>
      <c r="S2859" s="195"/>
      <c r="AC2859" s="187"/>
      <c r="AE2859" s="184"/>
      <c r="AF2859" s="182"/>
    </row>
    <row r="2860" spans="1:32" ht="12.75">
      <c r="A2860" s="204"/>
      <c r="B2860" s="204"/>
      <c r="D2860" s="185"/>
      <c r="E2860" s="186"/>
      <c r="F2860" s="188"/>
      <c r="G2860" s="188"/>
      <c r="H2860" s="188"/>
      <c r="K2860" s="188"/>
      <c r="L2860" s="188"/>
      <c r="M2860" s="12"/>
      <c r="N2860" s="12"/>
      <c r="S2860" s="195"/>
      <c r="AC2860" s="187"/>
      <c r="AE2860" s="184"/>
      <c r="AF2860" s="182"/>
    </row>
    <row r="2861" spans="1:32" ht="12.75">
      <c r="A2861" s="204"/>
      <c r="B2861" s="204"/>
      <c r="D2861" s="185"/>
      <c r="E2861" s="186"/>
      <c r="F2861" s="188"/>
      <c r="G2861" s="188"/>
      <c r="H2861" s="188"/>
      <c r="K2861" s="188"/>
      <c r="L2861" s="188"/>
      <c r="M2861" s="12"/>
      <c r="N2861" s="12"/>
      <c r="S2861" s="195"/>
      <c r="AC2861" s="187"/>
      <c r="AE2861" s="184"/>
      <c r="AF2861" s="182"/>
    </row>
    <row r="2862" spans="1:32" ht="12.75">
      <c r="A2862" s="204"/>
      <c r="B2862" s="204"/>
      <c r="D2862" s="185"/>
      <c r="E2862" s="186"/>
      <c r="F2862" s="188"/>
      <c r="G2862" s="188"/>
      <c r="H2862" s="188"/>
      <c r="K2862" s="188"/>
      <c r="L2862" s="188"/>
      <c r="M2862" s="12"/>
      <c r="N2862" s="12"/>
      <c r="S2862" s="195"/>
      <c r="AC2862" s="187"/>
      <c r="AE2862" s="184"/>
      <c r="AF2862" s="182"/>
    </row>
    <row r="2863" spans="1:32" ht="12.75">
      <c r="A2863" s="204"/>
      <c r="B2863" s="204"/>
      <c r="D2863" s="185"/>
      <c r="E2863" s="186"/>
      <c r="F2863" s="188"/>
      <c r="G2863" s="188"/>
      <c r="H2863" s="188"/>
      <c r="K2863" s="188"/>
      <c r="L2863" s="188"/>
      <c r="M2863" s="12"/>
      <c r="N2863" s="12"/>
      <c r="S2863" s="195"/>
      <c r="AC2863" s="187"/>
      <c r="AE2863" s="184"/>
      <c r="AF2863" s="182"/>
    </row>
    <row r="2864" spans="1:32" ht="12.75">
      <c r="A2864" s="204"/>
      <c r="B2864" s="204"/>
      <c r="D2864" s="185"/>
      <c r="E2864" s="186"/>
      <c r="F2864" s="188"/>
      <c r="G2864" s="188"/>
      <c r="H2864" s="188"/>
      <c r="K2864" s="188"/>
      <c r="L2864" s="188"/>
      <c r="M2864" s="12"/>
      <c r="N2864" s="12"/>
      <c r="S2864" s="195"/>
      <c r="AC2864" s="187"/>
      <c r="AE2864" s="184"/>
      <c r="AF2864" s="182"/>
    </row>
    <row r="2865" spans="1:32" ht="12.75">
      <c r="A2865" s="204"/>
      <c r="B2865" s="204"/>
      <c r="D2865" s="185"/>
      <c r="E2865" s="186"/>
      <c r="F2865" s="188"/>
      <c r="G2865" s="188"/>
      <c r="H2865" s="188"/>
      <c r="K2865" s="188"/>
      <c r="L2865" s="188"/>
      <c r="M2865" s="12"/>
      <c r="N2865" s="12"/>
      <c r="S2865" s="195"/>
      <c r="AC2865" s="187"/>
      <c r="AE2865" s="184"/>
      <c r="AF2865" s="182"/>
    </row>
    <row r="2866" spans="1:32" ht="12.75">
      <c r="A2866" s="204"/>
      <c r="B2866" s="204"/>
      <c r="D2866" s="185"/>
      <c r="E2866" s="186"/>
      <c r="F2866" s="188"/>
      <c r="G2866" s="188"/>
      <c r="H2866" s="188"/>
      <c r="K2866" s="188"/>
      <c r="L2866" s="188"/>
      <c r="M2866" s="12"/>
      <c r="N2866" s="12"/>
      <c r="S2866" s="195"/>
      <c r="AC2866" s="187"/>
      <c r="AE2866" s="184"/>
      <c r="AF2866" s="182"/>
    </row>
    <row r="2867" spans="1:32" ht="12.75">
      <c r="A2867" s="204"/>
      <c r="B2867" s="204"/>
      <c r="D2867" s="185"/>
      <c r="E2867" s="186"/>
      <c r="F2867" s="188"/>
      <c r="G2867" s="188"/>
      <c r="H2867" s="188"/>
      <c r="K2867" s="188"/>
      <c r="L2867" s="188"/>
      <c r="M2867" s="12"/>
      <c r="N2867" s="12"/>
      <c r="S2867" s="195"/>
      <c r="AC2867" s="187"/>
      <c r="AE2867" s="184"/>
      <c r="AF2867" s="182"/>
    </row>
    <row r="2868" spans="1:32" ht="12.75">
      <c r="A2868" s="204"/>
      <c r="B2868" s="204"/>
      <c r="D2868" s="185"/>
      <c r="E2868" s="186"/>
      <c r="F2868" s="188"/>
      <c r="G2868" s="188"/>
      <c r="H2868" s="188"/>
      <c r="K2868" s="188"/>
      <c r="L2868" s="188"/>
      <c r="M2868" s="12"/>
      <c r="N2868" s="12"/>
      <c r="S2868" s="195"/>
      <c r="AC2868" s="187"/>
      <c r="AE2868" s="184"/>
      <c r="AF2868" s="182"/>
    </row>
    <row r="2869" spans="1:32" ht="12.75">
      <c r="A2869" s="204"/>
      <c r="B2869" s="204"/>
      <c r="D2869" s="185"/>
      <c r="E2869" s="186"/>
      <c r="F2869" s="188"/>
      <c r="G2869" s="188"/>
      <c r="H2869" s="188"/>
      <c r="K2869" s="188"/>
      <c r="L2869" s="188"/>
      <c r="M2869" s="12"/>
      <c r="N2869" s="12"/>
      <c r="S2869" s="195"/>
      <c r="AC2869" s="187"/>
      <c r="AE2869" s="184"/>
      <c r="AF2869" s="182"/>
    </row>
    <row r="2870" spans="1:32" ht="12.75">
      <c r="A2870" s="204"/>
      <c r="B2870" s="204"/>
      <c r="D2870" s="185"/>
      <c r="E2870" s="186"/>
      <c r="F2870" s="188"/>
      <c r="G2870" s="188"/>
      <c r="H2870" s="188"/>
      <c r="K2870" s="188"/>
      <c r="L2870" s="188"/>
      <c r="M2870" s="12"/>
      <c r="N2870" s="12"/>
      <c r="S2870" s="195"/>
      <c r="AC2870" s="187"/>
      <c r="AE2870" s="184"/>
      <c r="AF2870" s="182"/>
    </row>
    <row r="2871" spans="1:32" ht="12.75">
      <c r="A2871" s="204"/>
      <c r="B2871" s="204"/>
      <c r="D2871" s="185"/>
      <c r="E2871" s="186"/>
      <c r="F2871" s="188"/>
      <c r="G2871" s="188"/>
      <c r="H2871" s="188"/>
      <c r="K2871" s="188"/>
      <c r="L2871" s="188"/>
      <c r="M2871" s="12"/>
      <c r="N2871" s="12"/>
      <c r="S2871" s="195"/>
      <c r="AC2871" s="187"/>
      <c r="AE2871" s="184"/>
      <c r="AF2871" s="182"/>
    </row>
    <row r="2872" spans="1:32" ht="12.75">
      <c r="A2872" s="204"/>
      <c r="B2872" s="204"/>
      <c r="D2872" s="185"/>
      <c r="E2872" s="186"/>
      <c r="F2872" s="188"/>
      <c r="G2872" s="188"/>
      <c r="H2872" s="188"/>
      <c r="K2872" s="188"/>
      <c r="L2872" s="188"/>
      <c r="M2872" s="12"/>
      <c r="N2872" s="12"/>
      <c r="S2872" s="195"/>
      <c r="AC2872" s="187"/>
      <c r="AE2872" s="184"/>
      <c r="AF2872" s="182"/>
    </row>
    <row r="2873" spans="1:32" ht="12.75">
      <c r="A2873" s="204"/>
      <c r="B2873" s="204"/>
      <c r="D2873" s="185"/>
      <c r="E2873" s="186"/>
      <c r="F2873" s="188"/>
      <c r="G2873" s="188"/>
      <c r="H2873" s="188"/>
      <c r="K2873" s="188"/>
      <c r="L2873" s="188"/>
      <c r="M2873" s="12"/>
      <c r="N2873" s="12"/>
      <c r="S2873" s="195"/>
      <c r="AC2873" s="187"/>
      <c r="AE2873" s="184"/>
      <c r="AF2873" s="182"/>
    </row>
    <row r="2874" spans="1:32" ht="12.75">
      <c r="A2874" s="204"/>
      <c r="B2874" s="204"/>
      <c r="D2874" s="185"/>
      <c r="E2874" s="186"/>
      <c r="F2874" s="188"/>
      <c r="G2874" s="188"/>
      <c r="H2874" s="188"/>
      <c r="K2874" s="188"/>
      <c r="L2874" s="188"/>
      <c r="M2874" s="12"/>
      <c r="N2874" s="12"/>
      <c r="S2874" s="195"/>
      <c r="AC2874" s="187"/>
      <c r="AE2874" s="184"/>
      <c r="AF2874" s="182"/>
    </row>
    <row r="2875" spans="1:32" ht="12.75">
      <c r="A2875" s="204"/>
      <c r="B2875" s="204"/>
      <c r="D2875" s="185"/>
      <c r="E2875" s="186"/>
      <c r="F2875" s="188"/>
      <c r="G2875" s="188"/>
      <c r="H2875" s="188"/>
      <c r="K2875" s="188"/>
      <c r="L2875" s="188"/>
      <c r="M2875" s="12"/>
      <c r="N2875" s="12"/>
      <c r="S2875" s="195"/>
      <c r="AC2875" s="187"/>
      <c r="AE2875" s="184"/>
      <c r="AF2875" s="182"/>
    </row>
    <row r="2876" spans="1:32" ht="12.75">
      <c r="A2876" s="204"/>
      <c r="B2876" s="204"/>
      <c r="D2876" s="185"/>
      <c r="E2876" s="186"/>
      <c r="F2876" s="188"/>
      <c r="G2876" s="188"/>
      <c r="H2876" s="188"/>
      <c r="K2876" s="188"/>
      <c r="L2876" s="188"/>
      <c r="M2876" s="12"/>
      <c r="N2876" s="12"/>
      <c r="S2876" s="195"/>
      <c r="AC2876" s="187"/>
      <c r="AE2876" s="184"/>
      <c r="AF2876" s="182"/>
    </row>
    <row r="2877" spans="1:32" ht="12.75">
      <c r="A2877" s="204"/>
      <c r="B2877" s="204"/>
      <c r="D2877" s="185"/>
      <c r="E2877" s="186"/>
      <c r="F2877" s="188"/>
      <c r="G2877" s="188"/>
      <c r="H2877" s="188"/>
      <c r="K2877" s="188"/>
      <c r="L2877" s="188"/>
      <c r="M2877" s="12"/>
      <c r="N2877" s="12"/>
      <c r="S2877" s="195"/>
      <c r="AC2877" s="187"/>
      <c r="AE2877" s="184"/>
      <c r="AF2877" s="182"/>
    </row>
    <row r="2878" spans="1:32" ht="12.75">
      <c r="A2878" s="204"/>
      <c r="B2878" s="204"/>
      <c r="D2878" s="185"/>
      <c r="E2878" s="186"/>
      <c r="F2878" s="188"/>
      <c r="G2878" s="188"/>
      <c r="H2878" s="188"/>
      <c r="K2878" s="188"/>
      <c r="L2878" s="188"/>
      <c r="M2878" s="12"/>
      <c r="N2878" s="12"/>
      <c r="S2878" s="195"/>
      <c r="AC2878" s="187"/>
      <c r="AE2878" s="184"/>
      <c r="AF2878" s="182"/>
    </row>
    <row r="2879" spans="1:32" ht="12.75">
      <c r="A2879" s="204"/>
      <c r="B2879" s="204"/>
      <c r="D2879" s="185"/>
      <c r="E2879" s="186"/>
      <c r="F2879" s="188"/>
      <c r="G2879" s="188"/>
      <c r="H2879" s="188"/>
      <c r="K2879" s="188"/>
      <c r="L2879" s="188"/>
      <c r="M2879" s="12"/>
      <c r="N2879" s="12"/>
      <c r="S2879" s="195"/>
      <c r="AC2879" s="187"/>
      <c r="AE2879" s="184"/>
      <c r="AF2879" s="182"/>
    </row>
    <row r="2880" spans="1:32" ht="12.75">
      <c r="A2880" s="204"/>
      <c r="B2880" s="204"/>
      <c r="D2880" s="185"/>
      <c r="E2880" s="186"/>
      <c r="F2880" s="188"/>
      <c r="G2880" s="188"/>
      <c r="H2880" s="188"/>
      <c r="K2880" s="188"/>
      <c r="L2880" s="188"/>
      <c r="M2880" s="12"/>
      <c r="N2880" s="12"/>
      <c r="S2880" s="195"/>
      <c r="AC2880" s="187"/>
      <c r="AE2880" s="184"/>
      <c r="AF2880" s="182"/>
    </row>
    <row r="2881" spans="1:32" ht="12.75">
      <c r="A2881" s="204"/>
      <c r="B2881" s="204"/>
      <c r="D2881" s="185"/>
      <c r="E2881" s="186"/>
      <c r="F2881" s="188"/>
      <c r="G2881" s="188"/>
      <c r="H2881" s="188"/>
      <c r="K2881" s="188"/>
      <c r="L2881" s="188"/>
      <c r="M2881" s="12"/>
      <c r="N2881" s="12"/>
      <c r="S2881" s="195"/>
      <c r="AC2881" s="187"/>
      <c r="AE2881" s="184"/>
      <c r="AF2881" s="182"/>
    </row>
    <row r="2882" spans="1:32" ht="12.75">
      <c r="A2882" s="204"/>
      <c r="B2882" s="204"/>
      <c r="D2882" s="185"/>
      <c r="E2882" s="186"/>
      <c r="F2882" s="188"/>
      <c r="G2882" s="188"/>
      <c r="H2882" s="188"/>
      <c r="K2882" s="188"/>
      <c r="L2882" s="188"/>
      <c r="M2882" s="12"/>
      <c r="N2882" s="12"/>
      <c r="S2882" s="195"/>
      <c r="AC2882" s="187"/>
      <c r="AE2882" s="184"/>
      <c r="AF2882" s="182"/>
    </row>
    <row r="2883" spans="1:32" ht="12.75">
      <c r="A2883" s="204"/>
      <c r="B2883" s="204"/>
      <c r="D2883" s="185"/>
      <c r="E2883" s="186"/>
      <c r="F2883" s="188"/>
      <c r="G2883" s="188"/>
      <c r="H2883" s="188"/>
      <c r="K2883" s="188"/>
      <c r="L2883" s="188"/>
      <c r="M2883" s="12"/>
      <c r="N2883" s="12"/>
      <c r="S2883" s="195"/>
      <c r="AC2883" s="187"/>
      <c r="AE2883" s="184"/>
      <c r="AF2883" s="182"/>
    </row>
    <row r="2884" spans="1:32" ht="12.75">
      <c r="A2884" s="204"/>
      <c r="B2884" s="204"/>
      <c r="D2884" s="185"/>
      <c r="E2884" s="186"/>
      <c r="F2884" s="188"/>
      <c r="G2884" s="188"/>
      <c r="H2884" s="188"/>
      <c r="K2884" s="188"/>
      <c r="L2884" s="188"/>
      <c r="M2884" s="12"/>
      <c r="N2884" s="12"/>
      <c r="S2884" s="195"/>
      <c r="AC2884" s="187"/>
      <c r="AE2884" s="184"/>
      <c r="AF2884" s="182"/>
    </row>
    <row r="2885" spans="1:32" ht="12.75">
      <c r="A2885" s="204"/>
      <c r="B2885" s="204"/>
      <c r="D2885" s="185"/>
      <c r="E2885" s="186"/>
      <c r="F2885" s="188"/>
      <c r="G2885" s="188"/>
      <c r="H2885" s="188"/>
      <c r="K2885" s="188"/>
      <c r="L2885" s="188"/>
      <c r="M2885" s="12"/>
      <c r="N2885" s="12"/>
      <c r="S2885" s="195"/>
      <c r="AC2885" s="187"/>
      <c r="AE2885" s="184"/>
      <c r="AF2885" s="182"/>
    </row>
    <row r="2886" spans="1:32" ht="12.75">
      <c r="A2886" s="204"/>
      <c r="B2886" s="204"/>
      <c r="D2886" s="185"/>
      <c r="E2886" s="186"/>
      <c r="F2886" s="188"/>
      <c r="G2886" s="188"/>
      <c r="H2886" s="188"/>
      <c r="K2886" s="188"/>
      <c r="L2886" s="188"/>
      <c r="M2886" s="12"/>
      <c r="N2886" s="12"/>
      <c r="S2886" s="195"/>
      <c r="AC2886" s="187"/>
      <c r="AE2886" s="184"/>
      <c r="AF2886" s="182"/>
    </row>
    <row r="2887" spans="1:32" ht="12.75">
      <c r="A2887" s="204"/>
      <c r="B2887" s="204"/>
      <c r="D2887" s="185"/>
      <c r="E2887" s="186"/>
      <c r="F2887" s="188"/>
      <c r="G2887" s="188"/>
      <c r="H2887" s="188"/>
      <c r="K2887" s="188"/>
      <c r="L2887" s="188"/>
      <c r="M2887" s="12"/>
      <c r="N2887" s="12"/>
      <c r="S2887" s="195"/>
      <c r="AC2887" s="187"/>
      <c r="AE2887" s="184"/>
      <c r="AF2887" s="182"/>
    </row>
    <row r="2888" spans="1:32" ht="12.75">
      <c r="A2888" s="204"/>
      <c r="B2888" s="204"/>
      <c r="D2888" s="185"/>
      <c r="E2888" s="186"/>
      <c r="F2888" s="188"/>
      <c r="G2888" s="188"/>
      <c r="H2888" s="188"/>
      <c r="K2888" s="188"/>
      <c r="L2888" s="188"/>
      <c r="M2888" s="12"/>
      <c r="N2888" s="12"/>
      <c r="S2888" s="195"/>
      <c r="AC2888" s="187"/>
      <c r="AE2888" s="184"/>
      <c r="AF2888" s="182"/>
    </row>
    <row r="2889" spans="1:32" ht="12.75">
      <c r="A2889" s="204"/>
      <c r="B2889" s="204"/>
      <c r="D2889" s="185"/>
      <c r="E2889" s="186"/>
      <c r="F2889" s="188"/>
      <c r="G2889" s="188"/>
      <c r="H2889" s="188"/>
      <c r="K2889" s="188"/>
      <c r="L2889" s="188"/>
      <c r="M2889" s="12"/>
      <c r="N2889" s="12"/>
      <c r="S2889" s="195"/>
      <c r="AC2889" s="187"/>
      <c r="AE2889" s="184"/>
      <c r="AF2889" s="182"/>
    </row>
    <row r="2890" spans="1:32" ht="12.75">
      <c r="A2890" s="204"/>
      <c r="B2890" s="204"/>
      <c r="D2890" s="185"/>
      <c r="E2890" s="186"/>
      <c r="F2890" s="188"/>
      <c r="G2890" s="188"/>
      <c r="H2890" s="188"/>
      <c r="K2890" s="188"/>
      <c r="L2890" s="188"/>
      <c r="M2890" s="12"/>
      <c r="N2890" s="12"/>
      <c r="S2890" s="195"/>
      <c r="AC2890" s="187"/>
      <c r="AE2890" s="184"/>
      <c r="AF2890" s="182"/>
    </row>
    <row r="2891" spans="1:32" ht="12.75">
      <c r="A2891" s="204"/>
      <c r="B2891" s="204"/>
      <c r="D2891" s="185"/>
      <c r="E2891" s="186"/>
      <c r="F2891" s="188"/>
      <c r="G2891" s="188"/>
      <c r="H2891" s="188"/>
      <c r="K2891" s="188"/>
      <c r="L2891" s="188"/>
      <c r="M2891" s="12"/>
      <c r="N2891" s="12"/>
      <c r="S2891" s="195"/>
      <c r="AC2891" s="187"/>
      <c r="AE2891" s="184"/>
      <c r="AF2891" s="182"/>
    </row>
    <row r="2892" spans="1:32" ht="12.75">
      <c r="A2892" s="204"/>
      <c r="B2892" s="204"/>
      <c r="D2892" s="185"/>
      <c r="E2892" s="186"/>
      <c r="F2892" s="188"/>
      <c r="G2892" s="188"/>
      <c r="H2892" s="188"/>
      <c r="K2892" s="188"/>
      <c r="L2892" s="188"/>
      <c r="M2892" s="12"/>
      <c r="N2892" s="12"/>
      <c r="S2892" s="195"/>
      <c r="AC2892" s="187"/>
      <c r="AE2892" s="184"/>
      <c r="AF2892" s="182"/>
    </row>
    <row r="2893" spans="1:32" ht="12.75">
      <c r="A2893" s="204"/>
      <c r="B2893" s="204"/>
      <c r="D2893" s="185"/>
      <c r="E2893" s="186"/>
      <c r="F2893" s="188"/>
      <c r="G2893" s="188"/>
      <c r="H2893" s="188"/>
      <c r="K2893" s="188"/>
      <c r="L2893" s="188"/>
      <c r="M2893" s="12"/>
      <c r="N2893" s="12"/>
      <c r="S2893" s="195"/>
      <c r="AC2893" s="187"/>
      <c r="AE2893" s="184"/>
      <c r="AF2893" s="182"/>
    </row>
    <row r="2894" spans="1:32" ht="12.75">
      <c r="A2894" s="204"/>
      <c r="B2894" s="204"/>
      <c r="D2894" s="185"/>
      <c r="E2894" s="186"/>
      <c r="F2894" s="188"/>
      <c r="G2894" s="188"/>
      <c r="H2894" s="188"/>
      <c r="K2894" s="188"/>
      <c r="L2894" s="188"/>
      <c r="M2894" s="12"/>
      <c r="N2894" s="12"/>
      <c r="S2894" s="195"/>
      <c r="AC2894" s="187"/>
      <c r="AE2894" s="184"/>
      <c r="AF2894" s="182"/>
    </row>
    <row r="2895" spans="1:32" ht="12.75">
      <c r="A2895" s="204"/>
      <c r="B2895" s="204"/>
      <c r="D2895" s="185"/>
      <c r="E2895" s="186"/>
      <c r="F2895" s="188"/>
      <c r="G2895" s="188"/>
      <c r="H2895" s="188"/>
      <c r="K2895" s="188"/>
      <c r="L2895" s="188"/>
      <c r="M2895" s="12"/>
      <c r="N2895" s="12"/>
      <c r="S2895" s="195"/>
      <c r="AC2895" s="187"/>
      <c r="AE2895" s="184"/>
      <c r="AF2895" s="182"/>
    </row>
    <row r="2896" spans="1:32" ht="12.75">
      <c r="A2896" s="204"/>
      <c r="B2896" s="204"/>
      <c r="D2896" s="185"/>
      <c r="E2896" s="186"/>
      <c r="F2896" s="188"/>
      <c r="G2896" s="188"/>
      <c r="H2896" s="188"/>
      <c r="K2896" s="188"/>
      <c r="L2896" s="188"/>
      <c r="M2896" s="12"/>
      <c r="N2896" s="12"/>
      <c r="S2896" s="195"/>
      <c r="AC2896" s="187"/>
      <c r="AE2896" s="184"/>
      <c r="AF2896" s="182"/>
    </row>
    <row r="2897" spans="1:32" ht="12.75">
      <c r="A2897" s="204"/>
      <c r="B2897" s="204"/>
      <c r="D2897" s="185"/>
      <c r="E2897" s="186"/>
      <c r="F2897" s="188"/>
      <c r="G2897" s="188"/>
      <c r="H2897" s="188"/>
      <c r="K2897" s="188"/>
      <c r="L2897" s="188"/>
      <c r="M2897" s="12"/>
      <c r="N2897" s="12"/>
      <c r="S2897" s="195"/>
      <c r="AC2897" s="187"/>
      <c r="AE2897" s="184"/>
      <c r="AF2897" s="182"/>
    </row>
    <row r="2898" spans="1:32" ht="12.75">
      <c r="A2898" s="204"/>
      <c r="B2898" s="204"/>
      <c r="D2898" s="185"/>
      <c r="E2898" s="186"/>
      <c r="F2898" s="188"/>
      <c r="G2898" s="188"/>
      <c r="H2898" s="188"/>
      <c r="K2898" s="188"/>
      <c r="L2898" s="188"/>
      <c r="M2898" s="12"/>
      <c r="N2898" s="12"/>
      <c r="S2898" s="195"/>
      <c r="AC2898" s="187"/>
      <c r="AE2898" s="184"/>
      <c r="AF2898" s="182"/>
    </row>
    <row r="2899" spans="1:32" ht="12.75">
      <c r="A2899" s="204"/>
      <c r="B2899" s="204"/>
      <c r="D2899" s="185"/>
      <c r="E2899" s="186"/>
      <c r="F2899" s="188"/>
      <c r="G2899" s="188"/>
      <c r="H2899" s="188"/>
      <c r="K2899" s="188"/>
      <c r="L2899" s="188"/>
      <c r="M2899" s="12"/>
      <c r="N2899" s="12"/>
      <c r="S2899" s="195"/>
      <c r="AC2899" s="187"/>
      <c r="AE2899" s="184"/>
      <c r="AF2899" s="182"/>
    </row>
    <row r="2900" spans="1:32" ht="12.75">
      <c r="A2900" s="204"/>
      <c r="B2900" s="204"/>
      <c r="D2900" s="185"/>
      <c r="E2900" s="186"/>
      <c r="F2900" s="188"/>
      <c r="G2900" s="188"/>
      <c r="H2900" s="188"/>
      <c r="K2900" s="188"/>
      <c r="L2900" s="188"/>
      <c r="M2900" s="12"/>
      <c r="N2900" s="12"/>
      <c r="S2900" s="195"/>
      <c r="AC2900" s="187"/>
      <c r="AE2900" s="184"/>
      <c r="AF2900" s="182"/>
    </row>
    <row r="2901" spans="1:32" ht="12.75">
      <c r="A2901" s="8"/>
      <c r="B2901" s="8"/>
      <c r="D2901" s="185"/>
      <c r="E2901" s="186"/>
      <c r="F2901" s="188"/>
      <c r="G2901" s="188"/>
      <c r="H2901" s="188"/>
      <c r="K2901" s="188"/>
      <c r="L2901" s="188"/>
      <c r="M2901" s="12"/>
      <c r="N2901" s="12"/>
      <c r="S2901" s="195"/>
      <c r="AC2901" s="187"/>
      <c r="AE2901" s="184"/>
      <c r="AF2901" s="182"/>
    </row>
    <row r="2902" spans="1:32" ht="12.75">
      <c r="A2902" s="8"/>
      <c r="B2902" s="8"/>
      <c r="D2902" s="185"/>
      <c r="E2902" s="186"/>
      <c r="F2902" s="188"/>
      <c r="G2902" s="188"/>
      <c r="H2902" s="188"/>
      <c r="K2902" s="188"/>
      <c r="L2902" s="188"/>
      <c r="M2902" s="12"/>
      <c r="N2902" s="12"/>
      <c r="S2902" s="195"/>
      <c r="AC2902" s="187"/>
      <c r="AE2902" s="184"/>
      <c r="AF2902" s="182"/>
    </row>
    <row r="2903" spans="1:32" ht="12.75">
      <c r="A2903" s="8"/>
      <c r="B2903" s="8"/>
      <c r="D2903" s="185"/>
      <c r="E2903" s="186"/>
      <c r="F2903" s="188"/>
      <c r="G2903" s="188"/>
      <c r="H2903" s="188"/>
      <c r="K2903" s="188"/>
      <c r="L2903" s="188"/>
      <c r="M2903" s="12"/>
      <c r="N2903" s="12"/>
      <c r="S2903" s="195"/>
      <c r="AC2903" s="187"/>
      <c r="AE2903" s="184"/>
      <c r="AF2903" s="182"/>
    </row>
    <row r="2904" spans="1:32" ht="12.75">
      <c r="A2904" s="8"/>
      <c r="B2904" s="8"/>
      <c r="D2904" s="185"/>
      <c r="E2904" s="186"/>
      <c r="F2904" s="188"/>
      <c r="G2904" s="188"/>
      <c r="H2904" s="188"/>
      <c r="K2904" s="188"/>
      <c r="L2904" s="188"/>
      <c r="M2904" s="12"/>
      <c r="N2904" s="12"/>
      <c r="S2904" s="195"/>
      <c r="AC2904" s="187"/>
      <c r="AE2904" s="184"/>
      <c r="AF2904" s="182"/>
    </row>
    <row r="2905" spans="1:32" ht="12.75">
      <c r="A2905" s="8"/>
      <c r="B2905" s="8"/>
      <c r="D2905" s="185"/>
      <c r="E2905" s="186"/>
      <c r="F2905" s="188"/>
      <c r="G2905" s="188"/>
      <c r="H2905" s="188"/>
      <c r="K2905" s="188"/>
      <c r="L2905" s="188"/>
      <c r="M2905" s="12"/>
      <c r="N2905" s="12"/>
      <c r="S2905" s="195"/>
      <c r="AC2905" s="187"/>
      <c r="AE2905" s="184"/>
      <c r="AF2905" s="182"/>
    </row>
    <row r="2906" spans="1:32" ht="12.75">
      <c r="A2906" s="8"/>
      <c r="B2906" s="8"/>
      <c r="D2906" s="185"/>
      <c r="E2906" s="186"/>
      <c r="F2906" s="188"/>
      <c r="G2906" s="188"/>
      <c r="H2906" s="188"/>
      <c r="K2906" s="188"/>
      <c r="L2906" s="188"/>
      <c r="M2906" s="12"/>
      <c r="N2906" s="12"/>
      <c r="S2906" s="195"/>
      <c r="AC2906" s="187"/>
      <c r="AE2906" s="184"/>
      <c r="AF2906" s="182"/>
    </row>
    <row r="2907" spans="1:32" ht="12.75">
      <c r="A2907" s="8"/>
      <c r="B2907" s="8"/>
      <c r="D2907" s="185"/>
      <c r="E2907" s="186"/>
      <c r="F2907" s="188"/>
      <c r="G2907" s="188"/>
      <c r="H2907" s="188"/>
      <c r="K2907" s="188"/>
      <c r="L2907" s="188"/>
      <c r="M2907" s="12"/>
      <c r="N2907" s="12"/>
      <c r="S2907" s="195"/>
      <c r="AC2907" s="187"/>
      <c r="AE2907" s="184"/>
      <c r="AF2907" s="182"/>
    </row>
    <row r="2908" spans="1:32" ht="12.75">
      <c r="A2908" s="8"/>
      <c r="B2908" s="8"/>
      <c r="D2908" s="185"/>
      <c r="E2908" s="186"/>
      <c r="F2908" s="188"/>
      <c r="G2908" s="188"/>
      <c r="H2908" s="188"/>
      <c r="K2908" s="188"/>
      <c r="L2908" s="188"/>
      <c r="M2908" s="12"/>
      <c r="N2908" s="12"/>
      <c r="S2908" s="195"/>
      <c r="AC2908" s="187"/>
      <c r="AE2908" s="184"/>
      <c r="AF2908" s="182"/>
    </row>
    <row r="2909" spans="1:32" ht="12.75">
      <c r="A2909" s="8"/>
      <c r="B2909" s="8"/>
      <c r="D2909" s="185"/>
      <c r="E2909" s="186"/>
      <c r="F2909" s="188"/>
      <c r="G2909" s="188"/>
      <c r="H2909" s="188"/>
      <c r="K2909" s="188"/>
      <c r="L2909" s="188"/>
      <c r="M2909" s="12"/>
      <c r="N2909" s="12"/>
      <c r="S2909" s="195"/>
      <c r="AC2909" s="187"/>
      <c r="AE2909" s="184"/>
      <c r="AF2909" s="182"/>
    </row>
    <row r="2910" spans="1:32" ht="12.75">
      <c r="A2910" s="8"/>
      <c r="B2910" s="8"/>
      <c r="D2910" s="185"/>
      <c r="E2910" s="186"/>
      <c r="F2910" s="188"/>
      <c r="G2910" s="188"/>
      <c r="H2910" s="188"/>
      <c r="K2910" s="188"/>
      <c r="L2910" s="188"/>
      <c r="M2910" s="12"/>
      <c r="N2910" s="12"/>
      <c r="S2910" s="195"/>
      <c r="AC2910" s="187"/>
      <c r="AE2910" s="184"/>
      <c r="AF2910" s="182"/>
    </row>
    <row r="2911" spans="1:32" ht="12.75">
      <c r="A2911" s="8"/>
      <c r="B2911" s="8"/>
      <c r="D2911" s="185"/>
      <c r="E2911" s="186"/>
      <c r="F2911" s="188"/>
      <c r="G2911" s="188"/>
      <c r="H2911" s="188"/>
      <c r="K2911" s="188"/>
      <c r="L2911" s="188"/>
      <c r="M2911" s="12"/>
      <c r="N2911" s="12"/>
      <c r="S2911" s="195"/>
      <c r="AC2911" s="187"/>
      <c r="AE2911" s="184"/>
      <c r="AF2911" s="182"/>
    </row>
    <row r="2912" spans="1:32" ht="12.75">
      <c r="A2912" s="8"/>
      <c r="B2912" s="8"/>
      <c r="D2912" s="185"/>
      <c r="E2912" s="186"/>
      <c r="F2912" s="188"/>
      <c r="G2912" s="188"/>
      <c r="H2912" s="188"/>
      <c r="K2912" s="188"/>
      <c r="L2912" s="188"/>
      <c r="M2912" s="12"/>
      <c r="N2912" s="12"/>
      <c r="S2912" s="195"/>
      <c r="AC2912" s="187"/>
      <c r="AE2912" s="184"/>
      <c r="AF2912" s="182"/>
    </row>
    <row r="2913" spans="1:32" ht="12.75">
      <c r="A2913" s="8"/>
      <c r="B2913" s="8"/>
      <c r="D2913" s="185"/>
      <c r="E2913" s="186"/>
      <c r="F2913" s="188"/>
      <c r="G2913" s="188"/>
      <c r="H2913" s="188"/>
      <c r="K2913" s="188"/>
      <c r="L2913" s="188"/>
      <c r="M2913" s="12"/>
      <c r="N2913" s="12"/>
      <c r="S2913" s="195"/>
      <c r="AC2913" s="187"/>
      <c r="AE2913" s="184"/>
      <c r="AF2913" s="182"/>
    </row>
    <row r="2914" spans="1:32" ht="12.75">
      <c r="A2914" s="8"/>
      <c r="B2914" s="8"/>
      <c r="D2914" s="185"/>
      <c r="E2914" s="186"/>
      <c r="F2914" s="188"/>
      <c r="G2914" s="188"/>
      <c r="H2914" s="188"/>
      <c r="K2914" s="188"/>
      <c r="L2914" s="188"/>
      <c r="M2914" s="12"/>
      <c r="N2914" s="12"/>
      <c r="S2914" s="195"/>
      <c r="AC2914" s="187"/>
      <c r="AE2914" s="184"/>
      <c r="AF2914" s="182"/>
    </row>
    <row r="2915" spans="1:32" ht="12.75">
      <c r="A2915" s="8"/>
      <c r="B2915" s="8"/>
      <c r="D2915" s="185"/>
      <c r="E2915" s="186"/>
      <c r="F2915" s="188"/>
      <c r="G2915" s="188"/>
      <c r="H2915" s="188"/>
      <c r="K2915" s="188"/>
      <c r="L2915" s="188"/>
      <c r="M2915" s="12"/>
      <c r="N2915" s="12"/>
      <c r="S2915" s="195"/>
      <c r="AC2915" s="187"/>
      <c r="AE2915" s="184"/>
      <c r="AF2915" s="182"/>
    </row>
    <row r="2916" spans="1:32" ht="12.75">
      <c r="A2916" s="8"/>
      <c r="B2916" s="8"/>
      <c r="D2916" s="185"/>
      <c r="E2916" s="186"/>
      <c r="F2916" s="188"/>
      <c r="G2916" s="188"/>
      <c r="H2916" s="188"/>
      <c r="K2916" s="188"/>
      <c r="L2916" s="188"/>
      <c r="M2916" s="12"/>
      <c r="N2916" s="12"/>
      <c r="S2916" s="195"/>
      <c r="AC2916" s="187"/>
      <c r="AE2916" s="184"/>
      <c r="AF2916" s="182"/>
    </row>
    <row r="2917" spans="1:32" ht="12.75">
      <c r="A2917" s="8"/>
      <c r="B2917" s="8"/>
      <c r="D2917" s="185"/>
      <c r="E2917" s="186"/>
      <c r="F2917" s="188"/>
      <c r="G2917" s="188"/>
      <c r="H2917" s="188"/>
      <c r="K2917" s="188"/>
      <c r="L2917" s="188"/>
      <c r="M2917" s="12"/>
      <c r="N2917" s="12"/>
      <c r="S2917" s="195"/>
      <c r="AC2917" s="187"/>
      <c r="AE2917" s="184"/>
      <c r="AF2917" s="182"/>
    </row>
    <row r="2918" spans="1:32" ht="12.75">
      <c r="A2918" s="8"/>
      <c r="B2918" s="8"/>
      <c r="D2918" s="185"/>
      <c r="E2918" s="186"/>
      <c r="F2918" s="188"/>
      <c r="G2918" s="188"/>
      <c r="H2918" s="188"/>
      <c r="K2918" s="188"/>
      <c r="L2918" s="188"/>
      <c r="M2918" s="12"/>
      <c r="N2918" s="12"/>
      <c r="S2918" s="195"/>
      <c r="AC2918" s="187"/>
      <c r="AE2918" s="184"/>
      <c r="AF2918" s="182"/>
    </row>
    <row r="2919" spans="1:32" ht="12.75">
      <c r="A2919" s="8"/>
      <c r="B2919" s="8"/>
      <c r="D2919" s="185"/>
      <c r="E2919" s="186"/>
      <c r="F2919" s="188"/>
      <c r="G2919" s="188"/>
      <c r="H2919" s="188"/>
      <c r="K2919" s="188"/>
      <c r="L2919" s="188"/>
      <c r="M2919" s="12"/>
      <c r="N2919" s="12"/>
      <c r="S2919" s="195"/>
      <c r="AC2919" s="187"/>
      <c r="AE2919" s="184"/>
      <c r="AF2919" s="182"/>
    </row>
    <row r="2920" spans="1:32" ht="12.75">
      <c r="A2920" s="8"/>
      <c r="B2920" s="8"/>
      <c r="D2920" s="185"/>
      <c r="E2920" s="186"/>
      <c r="F2920" s="188"/>
      <c r="G2920" s="188"/>
      <c r="H2920" s="188"/>
      <c r="K2920" s="188"/>
      <c r="L2920" s="188"/>
      <c r="M2920" s="12"/>
      <c r="N2920" s="12"/>
      <c r="S2920" s="195"/>
      <c r="AC2920" s="187"/>
      <c r="AE2920" s="184"/>
      <c r="AF2920" s="182"/>
    </row>
    <row r="2921" spans="1:32" ht="12.75">
      <c r="A2921" s="8"/>
      <c r="B2921" s="8"/>
      <c r="D2921" s="185"/>
      <c r="E2921" s="186"/>
      <c r="F2921" s="188"/>
      <c r="G2921" s="188"/>
      <c r="H2921" s="188"/>
      <c r="K2921" s="188"/>
      <c r="L2921" s="188"/>
      <c r="M2921" s="12"/>
      <c r="N2921" s="12"/>
      <c r="S2921" s="195"/>
      <c r="AC2921" s="187"/>
      <c r="AE2921" s="184"/>
      <c r="AF2921" s="182"/>
    </row>
    <row r="2922" spans="1:32" ht="12.75">
      <c r="A2922" s="8"/>
      <c r="B2922" s="8"/>
      <c r="D2922" s="185"/>
      <c r="E2922" s="186"/>
      <c r="F2922" s="188"/>
      <c r="G2922" s="188"/>
      <c r="H2922" s="188"/>
      <c r="K2922" s="188"/>
      <c r="L2922" s="188"/>
      <c r="M2922" s="12"/>
      <c r="N2922" s="12"/>
      <c r="S2922" s="195"/>
      <c r="AC2922" s="187"/>
      <c r="AE2922" s="184"/>
      <c r="AF2922" s="182"/>
    </row>
    <row r="2923" spans="1:32" ht="12.75">
      <c r="A2923" s="8"/>
      <c r="B2923" s="8"/>
      <c r="D2923" s="185"/>
      <c r="E2923" s="186"/>
      <c r="F2923" s="188"/>
      <c r="G2923" s="188"/>
      <c r="H2923" s="188"/>
      <c r="K2923" s="188"/>
      <c r="L2923" s="188"/>
      <c r="M2923" s="12"/>
      <c r="N2923" s="12"/>
      <c r="S2923" s="195"/>
      <c r="AC2923" s="187"/>
      <c r="AE2923" s="184"/>
      <c r="AF2923" s="182"/>
    </row>
    <row r="2924" spans="1:32" ht="12.75">
      <c r="A2924" s="8"/>
      <c r="B2924" s="8"/>
      <c r="D2924" s="185"/>
      <c r="E2924" s="186"/>
      <c r="F2924" s="188"/>
      <c r="G2924" s="188"/>
      <c r="H2924" s="188"/>
      <c r="K2924" s="188"/>
      <c r="L2924" s="188"/>
      <c r="M2924" s="12"/>
      <c r="N2924" s="12"/>
      <c r="S2924" s="195"/>
      <c r="AC2924" s="187"/>
      <c r="AE2924" s="184"/>
      <c r="AF2924" s="182"/>
    </row>
    <row r="2925" spans="1:32" ht="12.75">
      <c r="A2925" s="8"/>
      <c r="B2925" s="8"/>
      <c r="D2925" s="185"/>
      <c r="E2925" s="186"/>
      <c r="F2925" s="188"/>
      <c r="G2925" s="188"/>
      <c r="H2925" s="188"/>
      <c r="K2925" s="188"/>
      <c r="L2925" s="188"/>
      <c r="M2925" s="12"/>
      <c r="N2925" s="12"/>
      <c r="S2925" s="195"/>
      <c r="AC2925" s="187"/>
      <c r="AE2925" s="184"/>
      <c r="AF2925" s="182"/>
    </row>
    <row r="2926" spans="1:32" ht="12.75">
      <c r="A2926" s="8"/>
      <c r="B2926" s="8"/>
      <c r="D2926" s="185"/>
      <c r="E2926" s="186"/>
      <c r="F2926" s="188"/>
      <c r="G2926" s="188"/>
      <c r="H2926" s="188"/>
      <c r="K2926" s="188"/>
      <c r="L2926" s="188"/>
      <c r="M2926" s="12"/>
      <c r="N2926" s="12"/>
      <c r="S2926" s="195"/>
      <c r="AC2926" s="187"/>
      <c r="AE2926" s="184"/>
      <c r="AF2926" s="182"/>
    </row>
    <row r="2927" spans="1:32" ht="12.75">
      <c r="A2927" s="8"/>
      <c r="B2927" s="8"/>
      <c r="D2927" s="185"/>
      <c r="E2927" s="186"/>
      <c r="F2927" s="188"/>
      <c r="G2927" s="188"/>
      <c r="H2927" s="188"/>
      <c r="K2927" s="188"/>
      <c r="L2927" s="188"/>
      <c r="M2927" s="12"/>
      <c r="N2927" s="12"/>
      <c r="S2927" s="195"/>
      <c r="AC2927" s="187"/>
      <c r="AE2927" s="184"/>
      <c r="AF2927" s="182"/>
    </row>
    <row r="2928" spans="1:32" ht="12.75">
      <c r="A2928" s="8"/>
      <c r="B2928" s="8"/>
      <c r="D2928" s="185"/>
      <c r="E2928" s="186"/>
      <c r="F2928" s="188"/>
      <c r="G2928" s="188"/>
      <c r="H2928" s="188"/>
      <c r="K2928" s="188"/>
      <c r="L2928" s="188"/>
      <c r="M2928" s="12"/>
      <c r="N2928" s="12"/>
      <c r="S2928" s="195"/>
      <c r="AC2928" s="187"/>
      <c r="AE2928" s="184"/>
      <c r="AF2928" s="182"/>
    </row>
    <row r="2929" spans="1:32" ht="12.75">
      <c r="A2929" s="8"/>
      <c r="B2929" s="8"/>
      <c r="D2929" s="185"/>
      <c r="E2929" s="186"/>
      <c r="F2929" s="188"/>
      <c r="G2929" s="188"/>
      <c r="H2929" s="188"/>
      <c r="K2929" s="188"/>
      <c r="L2929" s="188"/>
      <c r="M2929" s="12"/>
      <c r="N2929" s="12"/>
      <c r="S2929" s="195"/>
      <c r="AC2929" s="187"/>
      <c r="AE2929" s="184"/>
      <c r="AF2929" s="182"/>
    </row>
    <row r="2930" spans="1:32" ht="12.75">
      <c r="A2930" s="8"/>
      <c r="B2930" s="8"/>
      <c r="D2930" s="185"/>
      <c r="E2930" s="186"/>
      <c r="F2930" s="188"/>
      <c r="G2930" s="188"/>
      <c r="H2930" s="188"/>
      <c r="K2930" s="188"/>
      <c r="L2930" s="188"/>
      <c r="M2930" s="12"/>
      <c r="N2930" s="12"/>
      <c r="S2930" s="195"/>
      <c r="AC2930" s="187"/>
      <c r="AE2930" s="184"/>
      <c r="AF2930" s="182"/>
    </row>
    <row r="2931" spans="1:32" ht="12.75">
      <c r="A2931" s="8"/>
      <c r="B2931" s="8"/>
      <c r="D2931" s="185"/>
      <c r="E2931" s="186"/>
      <c r="F2931" s="188"/>
      <c r="G2931" s="188"/>
      <c r="H2931" s="188"/>
      <c r="K2931" s="188"/>
      <c r="L2931" s="188"/>
      <c r="M2931" s="12"/>
      <c r="N2931" s="12"/>
      <c r="S2931" s="195"/>
      <c r="AC2931" s="187"/>
      <c r="AE2931" s="184"/>
      <c r="AF2931" s="182"/>
    </row>
    <row r="2932" spans="1:32" ht="12.75">
      <c r="A2932" s="8"/>
      <c r="B2932" s="8"/>
      <c r="D2932" s="185"/>
      <c r="E2932" s="186"/>
      <c r="F2932" s="188"/>
      <c r="G2932" s="188"/>
      <c r="H2932" s="188"/>
      <c r="K2932" s="188"/>
      <c r="L2932" s="188"/>
      <c r="M2932" s="12"/>
      <c r="N2932" s="12"/>
      <c r="S2932" s="195"/>
      <c r="AC2932" s="187"/>
      <c r="AE2932" s="184"/>
      <c r="AF2932" s="182"/>
    </row>
    <row r="2933" spans="1:32" ht="12.75">
      <c r="A2933" s="8"/>
      <c r="B2933" s="8"/>
      <c r="D2933" s="185"/>
      <c r="E2933" s="186"/>
      <c r="F2933" s="188"/>
      <c r="G2933" s="188"/>
      <c r="H2933" s="188"/>
      <c r="K2933" s="188"/>
      <c r="L2933" s="188"/>
      <c r="M2933" s="12"/>
      <c r="N2933" s="12"/>
      <c r="S2933" s="195"/>
      <c r="AC2933" s="187"/>
      <c r="AE2933" s="184"/>
      <c r="AF2933" s="182"/>
    </row>
    <row r="2934" spans="1:32" ht="12.75">
      <c r="A2934" s="8"/>
      <c r="B2934" s="8"/>
      <c r="D2934" s="185"/>
      <c r="E2934" s="186"/>
      <c r="F2934" s="188"/>
      <c r="G2934" s="188"/>
      <c r="H2934" s="188"/>
      <c r="K2934" s="188"/>
      <c r="L2934" s="188"/>
      <c r="M2934" s="12"/>
      <c r="N2934" s="12"/>
      <c r="S2934" s="195"/>
      <c r="AC2934" s="187"/>
      <c r="AE2934" s="184"/>
      <c r="AF2934" s="182"/>
    </row>
    <row r="2935" spans="1:32" ht="12.75">
      <c r="A2935" s="8"/>
      <c r="B2935" s="8"/>
      <c r="D2935" s="185"/>
      <c r="E2935" s="186"/>
      <c r="F2935" s="188"/>
      <c r="G2935" s="188"/>
      <c r="H2935" s="188"/>
      <c r="K2935" s="188"/>
      <c r="L2935" s="188"/>
      <c r="M2935" s="12"/>
      <c r="N2935" s="12"/>
      <c r="S2935" s="195"/>
      <c r="AC2935" s="187"/>
      <c r="AE2935" s="184"/>
      <c r="AF2935" s="182"/>
    </row>
    <row r="2936" spans="1:32" ht="12.75">
      <c r="A2936" s="8"/>
      <c r="B2936" s="8"/>
      <c r="D2936" s="185"/>
      <c r="E2936" s="186"/>
      <c r="F2936" s="188"/>
      <c r="G2936" s="188"/>
      <c r="H2936" s="188"/>
      <c r="K2936" s="188"/>
      <c r="L2936" s="188"/>
      <c r="M2936" s="12"/>
      <c r="N2936" s="12"/>
      <c r="S2936" s="195"/>
      <c r="AC2936" s="187"/>
      <c r="AE2936" s="184"/>
      <c r="AF2936" s="182"/>
    </row>
    <row r="2937" spans="1:32" ht="12.75">
      <c r="A2937" s="8"/>
      <c r="B2937" s="8"/>
      <c r="D2937" s="185"/>
      <c r="E2937" s="186"/>
      <c r="F2937" s="188"/>
      <c r="G2937" s="188"/>
      <c r="H2937" s="188"/>
      <c r="K2937" s="188"/>
      <c r="L2937" s="188"/>
      <c r="M2937" s="12"/>
      <c r="N2937" s="12"/>
      <c r="S2937" s="195"/>
      <c r="AC2937" s="187"/>
      <c r="AE2937" s="184"/>
      <c r="AF2937" s="182"/>
    </row>
    <row r="2938" spans="1:32" ht="12.75">
      <c r="A2938" s="8"/>
      <c r="B2938" s="8"/>
      <c r="D2938" s="185"/>
      <c r="E2938" s="186"/>
      <c r="F2938" s="188"/>
      <c r="G2938" s="188"/>
      <c r="H2938" s="188"/>
      <c r="K2938" s="188"/>
      <c r="L2938" s="188"/>
      <c r="M2938" s="12"/>
      <c r="N2938" s="12"/>
      <c r="S2938" s="195"/>
      <c r="AC2938" s="187"/>
      <c r="AE2938" s="184"/>
      <c r="AF2938" s="182"/>
    </row>
    <row r="2939" spans="1:32" ht="12.75">
      <c r="A2939" s="8"/>
      <c r="B2939" s="8"/>
      <c r="D2939" s="185"/>
      <c r="E2939" s="186"/>
      <c r="F2939" s="188"/>
      <c r="G2939" s="188"/>
      <c r="H2939" s="188"/>
      <c r="K2939" s="188"/>
      <c r="L2939" s="188"/>
      <c r="M2939" s="12"/>
      <c r="N2939" s="12"/>
      <c r="S2939" s="195"/>
      <c r="AC2939" s="187"/>
      <c r="AE2939" s="184"/>
      <c r="AF2939" s="182"/>
    </row>
    <row r="2940" spans="1:32" ht="12.75">
      <c r="A2940" s="8"/>
      <c r="B2940" s="8"/>
      <c r="D2940" s="185"/>
      <c r="E2940" s="186"/>
      <c r="F2940" s="188"/>
      <c r="G2940" s="188"/>
      <c r="H2940" s="188"/>
      <c r="K2940" s="188"/>
      <c r="L2940" s="188"/>
      <c r="M2940" s="12"/>
      <c r="N2940" s="12"/>
      <c r="S2940" s="195"/>
      <c r="AC2940" s="187"/>
      <c r="AE2940" s="184"/>
      <c r="AF2940" s="182"/>
    </row>
    <row r="2941" spans="1:32" ht="12.75">
      <c r="A2941" s="8"/>
      <c r="B2941" s="8"/>
      <c r="D2941" s="185"/>
      <c r="E2941" s="186"/>
      <c r="F2941" s="188"/>
      <c r="G2941" s="188"/>
      <c r="H2941" s="188"/>
      <c r="K2941" s="188"/>
      <c r="L2941" s="188"/>
      <c r="M2941" s="12"/>
      <c r="N2941" s="12"/>
      <c r="S2941" s="195"/>
      <c r="AC2941" s="187"/>
      <c r="AE2941" s="184"/>
      <c r="AF2941" s="182"/>
    </row>
    <row r="2942" spans="1:32" ht="12.75">
      <c r="A2942" s="8"/>
      <c r="B2942" s="8"/>
      <c r="D2942" s="185"/>
      <c r="E2942" s="186"/>
      <c r="F2942" s="188"/>
      <c r="G2942" s="188"/>
      <c r="H2942" s="188"/>
      <c r="K2942" s="188"/>
      <c r="L2942" s="188"/>
      <c r="M2942" s="12"/>
      <c r="N2942" s="12"/>
      <c r="S2942" s="195"/>
      <c r="AC2942" s="187"/>
      <c r="AE2942" s="184"/>
      <c r="AF2942" s="182"/>
    </row>
    <row r="2943" spans="1:32" ht="12.75">
      <c r="A2943" s="8"/>
      <c r="B2943" s="8"/>
      <c r="D2943" s="185"/>
      <c r="E2943" s="186"/>
      <c r="F2943" s="188"/>
      <c r="G2943" s="188"/>
      <c r="H2943" s="188"/>
      <c r="K2943" s="188"/>
      <c r="L2943" s="188"/>
      <c r="M2943" s="12"/>
      <c r="N2943" s="12"/>
      <c r="S2943" s="195"/>
      <c r="AC2943" s="187"/>
      <c r="AE2943" s="184"/>
      <c r="AF2943" s="182"/>
    </row>
    <row r="2944" spans="1:32" ht="12.75">
      <c r="A2944" s="8"/>
      <c r="B2944" s="8"/>
      <c r="D2944" s="185"/>
      <c r="E2944" s="186"/>
      <c r="F2944" s="188"/>
      <c r="G2944" s="188"/>
      <c r="H2944" s="188"/>
      <c r="K2944" s="188"/>
      <c r="L2944" s="188"/>
      <c r="M2944" s="12"/>
      <c r="N2944" s="12"/>
      <c r="S2944" s="195"/>
      <c r="AC2944" s="187"/>
      <c r="AE2944" s="184"/>
      <c r="AF2944" s="182"/>
    </row>
    <row r="2945" spans="1:32" ht="12.75">
      <c r="A2945" s="8"/>
      <c r="B2945" s="8"/>
      <c r="D2945" s="185"/>
      <c r="E2945" s="186"/>
      <c r="F2945" s="188"/>
      <c r="G2945" s="188"/>
      <c r="H2945" s="188"/>
      <c r="K2945" s="188"/>
      <c r="L2945" s="188"/>
      <c r="M2945" s="12"/>
      <c r="N2945" s="12"/>
      <c r="S2945" s="195"/>
      <c r="AC2945" s="187"/>
      <c r="AE2945" s="184"/>
      <c r="AF2945" s="182"/>
    </row>
    <row r="2946" spans="1:32" ht="12.75">
      <c r="A2946" s="8"/>
      <c r="B2946" s="8"/>
      <c r="D2946" s="185"/>
      <c r="E2946" s="186"/>
      <c r="F2946" s="188"/>
      <c r="G2946" s="188"/>
      <c r="H2946" s="188"/>
      <c r="K2946" s="188"/>
      <c r="L2946" s="188"/>
      <c r="M2946" s="12"/>
      <c r="N2946" s="12"/>
      <c r="S2946" s="195"/>
      <c r="AC2946" s="187"/>
      <c r="AE2946" s="184"/>
      <c r="AF2946" s="182"/>
    </row>
    <row r="2947" spans="1:32" ht="12.75">
      <c r="A2947" s="8"/>
      <c r="B2947" s="8"/>
      <c r="D2947" s="185"/>
      <c r="E2947" s="186"/>
      <c r="F2947" s="188"/>
      <c r="G2947" s="188"/>
      <c r="H2947" s="188"/>
      <c r="K2947" s="188"/>
      <c r="L2947" s="188"/>
      <c r="M2947" s="12"/>
      <c r="N2947" s="12"/>
      <c r="S2947" s="195"/>
      <c r="AC2947" s="187"/>
      <c r="AE2947" s="184"/>
      <c r="AF2947" s="182"/>
    </row>
    <row r="2948" spans="1:32" ht="12.75">
      <c r="A2948" s="8"/>
      <c r="B2948" s="8"/>
      <c r="D2948" s="185"/>
      <c r="E2948" s="186"/>
      <c r="F2948" s="188"/>
      <c r="G2948" s="188"/>
      <c r="H2948" s="188"/>
      <c r="K2948" s="188"/>
      <c r="L2948" s="188"/>
      <c r="M2948" s="12"/>
      <c r="N2948" s="12"/>
      <c r="S2948" s="195"/>
      <c r="AC2948" s="187"/>
      <c r="AE2948" s="184"/>
      <c r="AF2948" s="182"/>
    </row>
    <row r="2949" spans="1:32" ht="12.75">
      <c r="A2949" s="8"/>
      <c r="B2949" s="8"/>
      <c r="D2949" s="185"/>
      <c r="E2949" s="186"/>
      <c r="F2949" s="188"/>
      <c r="G2949" s="188"/>
      <c r="H2949" s="188"/>
      <c r="K2949" s="188"/>
      <c r="L2949" s="188"/>
      <c r="M2949" s="12"/>
      <c r="N2949" s="12"/>
      <c r="S2949" s="195"/>
      <c r="AC2949" s="187"/>
      <c r="AE2949" s="184"/>
      <c r="AF2949" s="182"/>
    </row>
    <row r="2950" spans="1:32" ht="12.75">
      <c r="A2950" s="8"/>
      <c r="B2950" s="8"/>
      <c r="D2950" s="185"/>
      <c r="E2950" s="186"/>
      <c r="F2950" s="188"/>
      <c r="G2950" s="188"/>
      <c r="H2950" s="188"/>
      <c r="K2950" s="188"/>
      <c r="L2950" s="188"/>
      <c r="M2950" s="12"/>
      <c r="N2950" s="12"/>
      <c r="S2950" s="195"/>
      <c r="AC2950" s="187"/>
      <c r="AE2950" s="184"/>
      <c r="AF2950" s="182"/>
    </row>
    <row r="2951" spans="1:32" ht="12.75">
      <c r="A2951" s="8"/>
      <c r="B2951" s="8"/>
      <c r="D2951" s="185"/>
      <c r="E2951" s="186"/>
      <c r="F2951" s="188"/>
      <c r="G2951" s="188"/>
      <c r="H2951" s="188"/>
      <c r="K2951" s="188"/>
      <c r="L2951" s="188"/>
      <c r="M2951" s="12"/>
      <c r="N2951" s="12"/>
      <c r="S2951" s="195"/>
      <c r="AC2951" s="187"/>
      <c r="AE2951" s="184"/>
      <c r="AF2951" s="182"/>
    </row>
    <row r="2952" spans="1:32" ht="12.75">
      <c r="A2952" s="8"/>
      <c r="B2952" s="8"/>
      <c r="D2952" s="185"/>
      <c r="E2952" s="186"/>
      <c r="F2952" s="188"/>
      <c r="G2952" s="188"/>
      <c r="H2952" s="188"/>
      <c r="K2952" s="188"/>
      <c r="L2952" s="188"/>
      <c r="M2952" s="12"/>
      <c r="N2952" s="12"/>
      <c r="S2952" s="195"/>
      <c r="AC2952" s="187"/>
      <c r="AE2952" s="184"/>
      <c r="AF2952" s="182"/>
    </row>
    <row r="2953" spans="1:32" ht="12.75">
      <c r="A2953" s="8"/>
      <c r="B2953" s="8"/>
      <c r="D2953" s="185"/>
      <c r="E2953" s="186"/>
      <c r="F2953" s="188"/>
      <c r="G2953" s="188"/>
      <c r="H2953" s="188"/>
      <c r="K2953" s="188"/>
      <c r="L2953" s="188"/>
      <c r="M2953" s="12"/>
      <c r="N2953" s="12"/>
      <c r="S2953" s="195"/>
      <c r="AC2953" s="187"/>
      <c r="AE2953" s="184"/>
      <c r="AF2953" s="182"/>
    </row>
    <row r="2954" spans="1:32" ht="12.75">
      <c r="A2954" s="8"/>
      <c r="B2954" s="8"/>
      <c r="D2954" s="185"/>
      <c r="E2954" s="186"/>
      <c r="F2954" s="188"/>
      <c r="G2954" s="188"/>
      <c r="H2954" s="188"/>
      <c r="K2954" s="188"/>
      <c r="L2954" s="188"/>
      <c r="M2954" s="12"/>
      <c r="N2954" s="12"/>
      <c r="S2954" s="195"/>
      <c r="AC2954" s="187"/>
      <c r="AE2954" s="184"/>
      <c r="AF2954" s="182"/>
    </row>
    <row r="2955" spans="1:32" ht="12.75">
      <c r="A2955" s="8"/>
      <c r="B2955" s="8"/>
      <c r="D2955" s="185"/>
      <c r="E2955" s="186"/>
      <c r="F2955" s="188"/>
      <c r="G2955" s="188"/>
      <c r="H2955" s="188"/>
      <c r="K2955" s="188"/>
      <c r="L2955" s="188"/>
      <c r="M2955" s="12"/>
      <c r="N2955" s="12"/>
      <c r="S2955" s="195"/>
      <c r="AC2955" s="187"/>
      <c r="AE2955" s="184"/>
      <c r="AF2955" s="182"/>
    </row>
    <row r="2956" spans="1:32" ht="12.75">
      <c r="A2956" s="8"/>
      <c r="B2956" s="8"/>
      <c r="D2956" s="185"/>
      <c r="E2956" s="186"/>
      <c r="F2956" s="188"/>
      <c r="G2956" s="188"/>
      <c r="H2956" s="188"/>
      <c r="K2956" s="188"/>
      <c r="L2956" s="188"/>
      <c r="M2956" s="12"/>
      <c r="N2956" s="12"/>
      <c r="S2956" s="195"/>
      <c r="AC2956" s="187"/>
      <c r="AE2956" s="184"/>
      <c r="AF2956" s="182"/>
    </row>
    <row r="2957" spans="1:32" ht="12.75">
      <c r="A2957" s="8"/>
      <c r="B2957" s="8"/>
      <c r="D2957" s="185"/>
      <c r="E2957" s="186"/>
      <c r="F2957" s="188"/>
      <c r="G2957" s="188"/>
      <c r="H2957" s="188"/>
      <c r="K2957" s="188"/>
      <c r="L2957" s="188"/>
      <c r="M2957" s="12"/>
      <c r="N2957" s="12"/>
      <c r="S2957" s="195"/>
      <c r="AC2957" s="187"/>
      <c r="AE2957" s="184"/>
      <c r="AF2957" s="182"/>
    </row>
    <row r="2958" spans="1:32" ht="12.75">
      <c r="A2958" s="8"/>
      <c r="B2958" s="8"/>
      <c r="D2958" s="185"/>
      <c r="E2958" s="186"/>
      <c r="F2958" s="188"/>
      <c r="G2958" s="188"/>
      <c r="H2958" s="188"/>
      <c r="K2958" s="188"/>
      <c r="L2958" s="188"/>
      <c r="M2958" s="12"/>
      <c r="N2958" s="12"/>
      <c r="S2958" s="195"/>
      <c r="AC2958" s="187"/>
      <c r="AE2958" s="184"/>
      <c r="AF2958" s="182"/>
    </row>
    <row r="2959" spans="1:32" ht="12.75">
      <c r="A2959" s="8"/>
      <c r="B2959" s="8"/>
      <c r="D2959" s="185"/>
      <c r="E2959" s="186"/>
      <c r="F2959" s="188"/>
      <c r="G2959" s="188"/>
      <c r="H2959" s="188"/>
      <c r="K2959" s="188"/>
      <c r="L2959" s="188"/>
      <c r="M2959" s="12"/>
      <c r="N2959" s="12"/>
      <c r="S2959" s="195"/>
      <c r="AC2959" s="187"/>
      <c r="AE2959" s="184"/>
      <c r="AF2959" s="182"/>
    </row>
    <row r="2960" spans="1:32" ht="12.75">
      <c r="A2960" s="8"/>
      <c r="B2960" s="8"/>
      <c r="D2960" s="185"/>
      <c r="E2960" s="186"/>
      <c r="F2960" s="188"/>
      <c r="G2960" s="188"/>
      <c r="H2960" s="188"/>
      <c r="K2960" s="188"/>
      <c r="L2960" s="188"/>
      <c r="M2960" s="12"/>
      <c r="N2960" s="12"/>
      <c r="S2960" s="195"/>
      <c r="AC2960" s="187"/>
      <c r="AE2960" s="184"/>
      <c r="AF2960" s="182"/>
    </row>
    <row r="2961" spans="1:32" ht="12.75">
      <c r="A2961" s="8"/>
      <c r="B2961" s="8"/>
      <c r="D2961" s="185"/>
      <c r="E2961" s="186"/>
      <c r="F2961" s="188"/>
      <c r="G2961" s="188"/>
      <c r="H2961" s="188"/>
      <c r="K2961" s="188"/>
      <c r="L2961" s="188"/>
      <c r="M2961" s="12"/>
      <c r="N2961" s="12"/>
      <c r="S2961" s="195"/>
      <c r="AC2961" s="187"/>
      <c r="AE2961" s="184"/>
      <c r="AF2961" s="182"/>
    </row>
    <row r="2962" spans="1:32" ht="12.75">
      <c r="A2962" s="8"/>
      <c r="B2962" s="8"/>
      <c r="D2962" s="185"/>
      <c r="E2962" s="186"/>
      <c r="F2962" s="188"/>
      <c r="G2962" s="188"/>
      <c r="H2962" s="188"/>
      <c r="K2962" s="188"/>
      <c r="L2962" s="188"/>
      <c r="M2962" s="12"/>
      <c r="N2962" s="12"/>
      <c r="S2962" s="195"/>
      <c r="AC2962" s="187"/>
      <c r="AE2962" s="184"/>
      <c r="AF2962" s="182"/>
    </row>
    <row r="2963" spans="1:32" ht="12.75">
      <c r="A2963" s="8"/>
      <c r="B2963" s="8"/>
      <c r="D2963" s="185"/>
      <c r="E2963" s="186"/>
      <c r="F2963" s="188"/>
      <c r="G2963" s="188"/>
      <c r="H2963" s="188"/>
      <c r="K2963" s="188"/>
      <c r="L2963" s="188"/>
      <c r="M2963" s="12"/>
      <c r="N2963" s="12"/>
      <c r="S2963" s="195"/>
      <c r="AC2963" s="187"/>
      <c r="AE2963" s="184"/>
      <c r="AF2963" s="182"/>
    </row>
    <row r="2964" spans="1:32" ht="12.75">
      <c r="A2964" s="8"/>
      <c r="B2964" s="8"/>
      <c r="D2964" s="185"/>
      <c r="E2964" s="186"/>
      <c r="F2964" s="188"/>
      <c r="G2964" s="188"/>
      <c r="H2964" s="188"/>
      <c r="K2964" s="188"/>
      <c r="L2964" s="188"/>
      <c r="M2964" s="12"/>
      <c r="N2964" s="12"/>
      <c r="S2964" s="195"/>
      <c r="AC2964" s="187"/>
      <c r="AE2964" s="184"/>
      <c r="AF2964" s="182"/>
    </row>
    <row r="2965" spans="1:32" ht="12.75">
      <c r="A2965" s="8"/>
      <c r="B2965" s="8"/>
      <c r="D2965" s="185"/>
      <c r="E2965" s="186"/>
      <c r="F2965" s="188"/>
      <c r="G2965" s="188"/>
      <c r="H2965" s="188"/>
      <c r="K2965" s="188"/>
      <c r="L2965" s="188"/>
      <c r="M2965" s="12"/>
      <c r="N2965" s="12"/>
      <c r="S2965" s="195"/>
      <c r="AC2965" s="187"/>
      <c r="AE2965" s="184"/>
      <c r="AF2965" s="182"/>
    </row>
    <row r="2966" spans="1:32" ht="12.75">
      <c r="A2966" s="8"/>
      <c r="B2966" s="8"/>
      <c r="D2966" s="185"/>
      <c r="E2966" s="186"/>
      <c r="F2966" s="188"/>
      <c r="G2966" s="188"/>
      <c r="H2966" s="188"/>
      <c r="K2966" s="188"/>
      <c r="L2966" s="188"/>
      <c r="M2966" s="12"/>
      <c r="N2966" s="12"/>
      <c r="S2966" s="195"/>
      <c r="AC2966" s="187"/>
      <c r="AE2966" s="184"/>
      <c r="AF2966" s="182"/>
    </row>
    <row r="2967" spans="1:32" ht="12.75">
      <c r="A2967" s="8"/>
      <c r="B2967" s="8"/>
      <c r="D2967" s="185"/>
      <c r="E2967" s="186"/>
      <c r="F2967" s="188"/>
      <c r="G2967" s="188"/>
      <c r="H2967" s="188"/>
      <c r="K2967" s="188"/>
      <c r="L2967" s="188"/>
      <c r="M2967" s="12"/>
      <c r="N2967" s="12"/>
      <c r="S2967" s="195"/>
      <c r="AC2967" s="187"/>
      <c r="AE2967" s="184"/>
      <c r="AF2967" s="182"/>
    </row>
    <row r="2968" spans="1:32" ht="12.75">
      <c r="A2968" s="8"/>
      <c r="B2968" s="8"/>
      <c r="D2968" s="185"/>
      <c r="E2968" s="186"/>
      <c r="F2968" s="188"/>
      <c r="G2968" s="188"/>
      <c r="H2968" s="188"/>
      <c r="K2968" s="188"/>
      <c r="L2968" s="188"/>
      <c r="M2968" s="12"/>
      <c r="N2968" s="12"/>
      <c r="S2968" s="195"/>
      <c r="AC2968" s="187"/>
      <c r="AE2968" s="184"/>
      <c r="AF2968" s="182"/>
    </row>
    <row r="2969" spans="1:32" ht="12.75">
      <c r="A2969" s="8"/>
      <c r="B2969" s="8"/>
      <c r="D2969" s="185"/>
      <c r="E2969" s="186"/>
      <c r="F2969" s="188"/>
      <c r="G2969" s="188"/>
      <c r="H2969" s="188"/>
      <c r="K2969" s="188"/>
      <c r="L2969" s="188"/>
      <c r="M2969" s="12"/>
      <c r="N2969" s="12"/>
      <c r="S2969" s="195"/>
      <c r="AC2969" s="187"/>
      <c r="AE2969" s="184"/>
      <c r="AF2969" s="182"/>
    </row>
    <row r="2970" spans="1:32" ht="12.75">
      <c r="A2970" s="8"/>
      <c r="B2970" s="8"/>
      <c r="D2970" s="185"/>
      <c r="E2970" s="186"/>
      <c r="F2970" s="188"/>
      <c r="G2970" s="188"/>
      <c r="H2970" s="188"/>
      <c r="K2970" s="188"/>
      <c r="L2970" s="188"/>
      <c r="M2970" s="12"/>
      <c r="N2970" s="12"/>
      <c r="S2970" s="195"/>
      <c r="AC2970" s="187"/>
      <c r="AE2970" s="184"/>
      <c r="AF2970" s="182"/>
    </row>
    <row r="2971" spans="1:32" ht="12.75">
      <c r="A2971" s="8"/>
      <c r="B2971" s="8"/>
      <c r="D2971" s="185"/>
      <c r="E2971" s="186"/>
      <c r="F2971" s="188"/>
      <c r="G2971" s="188"/>
      <c r="H2971" s="188"/>
      <c r="K2971" s="188"/>
      <c r="L2971" s="188"/>
      <c r="M2971" s="12"/>
      <c r="N2971" s="12"/>
      <c r="S2971" s="195"/>
      <c r="AC2971" s="187"/>
      <c r="AE2971" s="184"/>
      <c r="AF2971" s="182"/>
    </row>
    <row r="2972" spans="1:32" ht="12.75">
      <c r="A2972" s="8"/>
      <c r="B2972" s="8"/>
      <c r="D2972" s="185"/>
      <c r="E2972" s="186"/>
      <c r="F2972" s="188"/>
      <c r="G2972" s="188"/>
      <c r="H2972" s="188"/>
      <c r="K2972" s="188"/>
      <c r="L2972" s="188"/>
      <c r="M2972" s="12"/>
      <c r="N2972" s="12"/>
      <c r="S2972" s="195"/>
      <c r="AC2972" s="187"/>
      <c r="AE2972" s="184"/>
      <c r="AF2972" s="182"/>
    </row>
    <row r="2973" spans="1:32" ht="12.75">
      <c r="A2973" s="8"/>
      <c r="B2973" s="8"/>
      <c r="D2973" s="185"/>
      <c r="E2973" s="186"/>
      <c r="F2973" s="188"/>
      <c r="G2973" s="188"/>
      <c r="H2973" s="188"/>
      <c r="K2973" s="188"/>
      <c r="L2973" s="188"/>
      <c r="M2973" s="12"/>
      <c r="N2973" s="12"/>
      <c r="S2973" s="195"/>
      <c r="AC2973" s="187"/>
      <c r="AE2973" s="184"/>
      <c r="AF2973" s="182"/>
    </row>
    <row r="2974" spans="1:32" ht="12.75">
      <c r="A2974" s="8"/>
      <c r="B2974" s="8"/>
      <c r="D2974" s="185"/>
      <c r="E2974" s="186"/>
      <c r="F2974" s="188"/>
      <c r="G2974" s="188"/>
      <c r="H2974" s="188"/>
      <c r="K2974" s="188"/>
      <c r="L2974" s="188"/>
      <c r="M2974" s="12"/>
      <c r="N2974" s="12"/>
      <c r="S2974" s="195"/>
      <c r="AC2974" s="187"/>
      <c r="AE2974" s="184"/>
      <c r="AF2974" s="182"/>
    </row>
    <row r="2975" spans="1:32" ht="12.75">
      <c r="A2975" s="8"/>
      <c r="B2975" s="8"/>
      <c r="D2975" s="185"/>
      <c r="E2975" s="186"/>
      <c r="F2975" s="188"/>
      <c r="G2975" s="188"/>
      <c r="H2975" s="188"/>
      <c r="K2975" s="188"/>
      <c r="L2975" s="188"/>
      <c r="M2975" s="12"/>
      <c r="N2975" s="12"/>
      <c r="S2975" s="195"/>
      <c r="AC2975" s="187"/>
      <c r="AE2975" s="184"/>
      <c r="AF2975" s="182"/>
    </row>
    <row r="2976" spans="1:32" ht="12.75">
      <c r="A2976" s="8"/>
      <c r="B2976" s="8"/>
      <c r="D2976" s="185"/>
      <c r="E2976" s="186"/>
      <c r="F2976" s="188"/>
      <c r="G2976" s="188"/>
      <c r="H2976" s="188"/>
      <c r="K2976" s="188"/>
      <c r="L2976" s="188"/>
      <c r="M2976" s="12"/>
      <c r="N2976" s="12"/>
      <c r="S2976" s="195"/>
      <c r="AC2976" s="187"/>
      <c r="AE2976" s="184"/>
      <c r="AF2976" s="182"/>
    </row>
    <row r="2977" spans="1:32" ht="12.75">
      <c r="A2977" s="8"/>
      <c r="B2977" s="8"/>
      <c r="D2977" s="185"/>
      <c r="E2977" s="186"/>
      <c r="F2977" s="188"/>
      <c r="G2977" s="188"/>
      <c r="H2977" s="188"/>
      <c r="K2977" s="188"/>
      <c r="L2977" s="188"/>
      <c r="M2977" s="12"/>
      <c r="N2977" s="12"/>
      <c r="S2977" s="195"/>
      <c r="AC2977" s="187"/>
      <c r="AE2977" s="184"/>
      <c r="AF2977" s="182"/>
    </row>
    <row r="2978" spans="1:32" ht="12.75">
      <c r="A2978" s="8"/>
      <c r="B2978" s="8"/>
      <c r="D2978" s="185"/>
      <c r="E2978" s="186"/>
      <c r="F2978" s="188"/>
      <c r="G2978" s="188"/>
      <c r="H2978" s="188"/>
      <c r="K2978" s="188"/>
      <c r="L2978" s="188"/>
      <c r="M2978" s="12"/>
      <c r="N2978" s="12"/>
      <c r="S2978" s="195"/>
      <c r="AC2978" s="187"/>
      <c r="AE2978" s="184"/>
      <c r="AF2978" s="182"/>
    </row>
    <row r="2979" spans="1:32" ht="12.75">
      <c r="A2979" s="8"/>
      <c r="B2979" s="8"/>
      <c r="D2979" s="185"/>
      <c r="E2979" s="186"/>
      <c r="F2979" s="188"/>
      <c r="G2979" s="188"/>
      <c r="H2979" s="188"/>
      <c r="K2979" s="188"/>
      <c r="L2979" s="188"/>
      <c r="M2979" s="12"/>
      <c r="N2979" s="12"/>
      <c r="S2979" s="195"/>
      <c r="AC2979" s="187"/>
      <c r="AE2979" s="184"/>
      <c r="AF2979" s="182"/>
    </row>
    <row r="2980" spans="1:32" ht="12.75">
      <c r="A2980" s="8"/>
      <c r="B2980" s="8"/>
      <c r="D2980" s="185"/>
      <c r="E2980" s="186"/>
      <c r="F2980" s="188"/>
      <c r="G2980" s="188"/>
      <c r="H2980" s="188"/>
      <c r="K2980" s="188"/>
      <c r="L2980" s="188"/>
      <c r="M2980" s="12"/>
      <c r="N2980" s="12"/>
      <c r="S2980" s="195"/>
      <c r="AC2980" s="187"/>
      <c r="AE2980" s="184"/>
      <c r="AF2980" s="182"/>
    </row>
    <row r="2981" spans="1:32" ht="12.75">
      <c r="A2981" s="8"/>
      <c r="B2981" s="8"/>
      <c r="D2981" s="185"/>
      <c r="E2981" s="186"/>
      <c r="F2981" s="188"/>
      <c r="G2981" s="188"/>
      <c r="H2981" s="188"/>
      <c r="K2981" s="188"/>
      <c r="L2981" s="188"/>
      <c r="M2981" s="12"/>
      <c r="N2981" s="12"/>
      <c r="S2981" s="195"/>
      <c r="AC2981" s="187"/>
      <c r="AE2981" s="184"/>
      <c r="AF2981" s="182"/>
    </row>
    <row r="2982" spans="1:32" ht="12.75">
      <c r="A2982" s="8"/>
      <c r="B2982" s="8"/>
      <c r="D2982" s="185"/>
      <c r="E2982" s="186"/>
      <c r="F2982" s="188"/>
      <c r="G2982" s="188"/>
      <c r="H2982" s="188"/>
      <c r="K2982" s="188"/>
      <c r="L2982" s="188"/>
      <c r="M2982" s="12"/>
      <c r="N2982" s="12"/>
      <c r="S2982" s="195"/>
      <c r="AC2982" s="187"/>
      <c r="AE2982" s="184"/>
      <c r="AF2982" s="182"/>
    </row>
    <row r="2983" spans="1:32" ht="12.75">
      <c r="A2983" s="8"/>
      <c r="B2983" s="8"/>
      <c r="D2983" s="185"/>
      <c r="E2983" s="186"/>
      <c r="F2983" s="188"/>
      <c r="G2983" s="188"/>
      <c r="H2983" s="188"/>
      <c r="K2983" s="188"/>
      <c r="L2983" s="188"/>
      <c r="M2983" s="12"/>
      <c r="N2983" s="12"/>
      <c r="S2983" s="195"/>
      <c r="AC2983" s="187"/>
      <c r="AE2983" s="184"/>
      <c r="AF2983" s="182"/>
    </row>
    <row r="2984" spans="1:32" ht="12.75">
      <c r="A2984" s="8"/>
      <c r="B2984" s="8"/>
      <c r="D2984" s="185"/>
      <c r="E2984" s="186"/>
      <c r="F2984" s="188"/>
      <c r="G2984" s="188"/>
      <c r="H2984" s="188"/>
      <c r="K2984" s="188"/>
      <c r="L2984" s="188"/>
      <c r="M2984" s="12"/>
      <c r="N2984" s="12"/>
      <c r="S2984" s="195"/>
      <c r="AC2984" s="187"/>
      <c r="AE2984" s="184"/>
      <c r="AF2984" s="182"/>
    </row>
    <row r="2985" spans="1:32" ht="12.75">
      <c r="A2985" s="8"/>
      <c r="B2985" s="8"/>
      <c r="D2985" s="185"/>
      <c r="E2985" s="186"/>
      <c r="F2985" s="188"/>
      <c r="G2985" s="188"/>
      <c r="H2985" s="188"/>
      <c r="K2985" s="188"/>
      <c r="L2985" s="188"/>
      <c r="M2985" s="12"/>
      <c r="N2985" s="12"/>
      <c r="S2985" s="195"/>
      <c r="AC2985" s="187"/>
      <c r="AE2985" s="184"/>
      <c r="AF2985" s="182"/>
    </row>
    <row r="2986" spans="1:32" ht="12.75">
      <c r="A2986" s="8"/>
      <c r="B2986" s="8"/>
      <c r="D2986" s="185"/>
      <c r="E2986" s="186"/>
      <c r="F2986" s="188"/>
      <c r="G2986" s="188"/>
      <c r="H2986" s="188"/>
      <c r="K2986" s="188"/>
      <c r="L2986" s="188"/>
      <c r="M2986" s="12"/>
      <c r="N2986" s="12"/>
      <c r="S2986" s="195"/>
      <c r="AC2986" s="187"/>
      <c r="AE2986" s="184"/>
      <c r="AF2986" s="182"/>
    </row>
    <row r="2987" spans="1:32" ht="12.75">
      <c r="A2987" s="8"/>
      <c r="B2987" s="8"/>
      <c r="D2987" s="185"/>
      <c r="E2987" s="186"/>
      <c r="F2987" s="188"/>
      <c r="G2987" s="188"/>
      <c r="H2987" s="188"/>
      <c r="K2987" s="188"/>
      <c r="L2987" s="188"/>
      <c r="M2987" s="12"/>
      <c r="N2987" s="12"/>
      <c r="S2987" s="195"/>
      <c r="AC2987" s="187"/>
      <c r="AE2987" s="184"/>
      <c r="AF2987" s="182"/>
    </row>
    <row r="2988" spans="1:32" ht="12.75">
      <c r="A2988" s="8"/>
      <c r="B2988" s="8"/>
      <c r="D2988" s="185"/>
      <c r="E2988" s="186"/>
      <c r="F2988" s="188"/>
      <c r="G2988" s="188"/>
      <c r="H2988" s="188"/>
      <c r="K2988" s="188"/>
      <c r="L2988" s="188"/>
      <c r="M2988" s="12"/>
      <c r="N2988" s="12"/>
      <c r="S2988" s="195"/>
      <c r="AC2988" s="187"/>
      <c r="AE2988" s="184"/>
      <c r="AF2988" s="182"/>
    </row>
    <row r="2989" spans="1:32" ht="12.75">
      <c r="A2989" s="8"/>
      <c r="B2989" s="8"/>
      <c r="D2989" s="185"/>
      <c r="E2989" s="186"/>
      <c r="F2989" s="188"/>
      <c r="G2989" s="188"/>
      <c r="H2989" s="188"/>
      <c r="K2989" s="188"/>
      <c r="L2989" s="188"/>
      <c r="M2989" s="12"/>
      <c r="N2989" s="12"/>
      <c r="S2989" s="195"/>
      <c r="AC2989" s="187"/>
      <c r="AE2989" s="184"/>
      <c r="AF2989" s="182"/>
    </row>
    <row r="2990" spans="1:32" ht="12.75">
      <c r="A2990" s="8"/>
      <c r="B2990" s="8"/>
      <c r="D2990" s="185"/>
      <c r="E2990" s="186"/>
      <c r="F2990" s="188"/>
      <c r="G2990" s="188"/>
      <c r="H2990" s="188"/>
      <c r="K2990" s="188"/>
      <c r="L2990" s="188"/>
      <c r="M2990" s="12"/>
      <c r="N2990" s="12"/>
      <c r="S2990" s="195"/>
      <c r="AC2990" s="187"/>
      <c r="AE2990" s="184"/>
      <c r="AF2990" s="182"/>
    </row>
    <row r="2991" spans="1:32" ht="12.75">
      <c r="A2991" s="8"/>
      <c r="B2991" s="8"/>
      <c r="D2991" s="185"/>
      <c r="E2991" s="186"/>
      <c r="F2991" s="188"/>
      <c r="G2991" s="188"/>
      <c r="H2991" s="188"/>
      <c r="K2991" s="188"/>
      <c r="L2991" s="188"/>
      <c r="M2991" s="12"/>
      <c r="N2991" s="12"/>
      <c r="S2991" s="195"/>
      <c r="AC2991" s="187"/>
      <c r="AE2991" s="184"/>
      <c r="AF2991" s="182"/>
    </row>
    <row r="2992" spans="1:32" ht="12.75">
      <c r="A2992" s="8"/>
      <c r="B2992" s="8"/>
      <c r="D2992" s="185"/>
      <c r="E2992" s="186"/>
      <c r="F2992" s="188"/>
      <c r="G2992" s="188"/>
      <c r="H2992" s="188"/>
      <c r="K2992" s="188"/>
      <c r="L2992" s="188"/>
      <c r="M2992" s="12"/>
      <c r="N2992" s="12"/>
      <c r="S2992" s="195"/>
      <c r="AC2992" s="187"/>
      <c r="AE2992" s="184"/>
      <c r="AF2992" s="182"/>
    </row>
    <row r="2993" spans="1:32" ht="12.75">
      <c r="A2993" s="8"/>
      <c r="B2993" s="8"/>
      <c r="D2993" s="185"/>
      <c r="E2993" s="186"/>
      <c r="F2993" s="188"/>
      <c r="G2993" s="188"/>
      <c r="H2993" s="188"/>
      <c r="K2993" s="188"/>
      <c r="L2993" s="188"/>
      <c r="M2993" s="12"/>
      <c r="N2993" s="12"/>
      <c r="S2993" s="195"/>
      <c r="AC2993" s="187"/>
      <c r="AE2993" s="184"/>
      <c r="AF2993" s="182"/>
    </row>
    <row r="2994" spans="1:32" ht="12.75">
      <c r="A2994" s="8"/>
      <c r="B2994" s="8"/>
      <c r="D2994" s="185"/>
      <c r="E2994" s="186"/>
      <c r="F2994" s="188"/>
      <c r="G2994" s="188"/>
      <c r="H2994" s="188"/>
      <c r="K2994" s="188"/>
      <c r="L2994" s="188"/>
      <c r="M2994" s="12"/>
      <c r="N2994" s="12"/>
      <c r="S2994" s="195"/>
      <c r="AC2994" s="187"/>
      <c r="AE2994" s="184"/>
      <c r="AF2994" s="182"/>
    </row>
    <row r="2995" spans="1:32" ht="12.75">
      <c r="A2995" s="8"/>
      <c r="B2995" s="8"/>
      <c r="D2995" s="185"/>
      <c r="E2995" s="186"/>
      <c r="F2995" s="188"/>
      <c r="G2995" s="188"/>
      <c r="H2995" s="188"/>
      <c r="K2995" s="188"/>
      <c r="L2995" s="188"/>
      <c r="M2995" s="12"/>
      <c r="N2995" s="12"/>
      <c r="S2995" s="195"/>
      <c r="AC2995" s="187"/>
      <c r="AE2995" s="184"/>
      <c r="AF2995" s="182"/>
    </row>
    <row r="2996" spans="1:32" ht="12.75">
      <c r="A2996" s="8"/>
      <c r="B2996" s="8"/>
      <c r="D2996" s="185"/>
      <c r="E2996" s="186"/>
      <c r="F2996" s="188"/>
      <c r="G2996" s="188"/>
      <c r="H2996" s="188"/>
      <c r="K2996" s="188"/>
      <c r="L2996" s="188"/>
      <c r="M2996" s="12"/>
      <c r="N2996" s="12"/>
      <c r="S2996" s="195"/>
      <c r="AC2996" s="187"/>
      <c r="AE2996" s="184"/>
      <c r="AF2996" s="182"/>
    </row>
    <row r="2997" spans="1:32" ht="12.75">
      <c r="A2997" s="8"/>
      <c r="B2997" s="8"/>
      <c r="D2997" s="185"/>
      <c r="E2997" s="186"/>
      <c r="F2997" s="188"/>
      <c r="G2997" s="188"/>
      <c r="H2997" s="188"/>
      <c r="K2997" s="188"/>
      <c r="L2997" s="188"/>
      <c r="M2997" s="12"/>
      <c r="N2997" s="12"/>
      <c r="S2997" s="195"/>
      <c r="AC2997" s="187"/>
      <c r="AE2997" s="184"/>
      <c r="AF2997" s="182"/>
    </row>
    <row r="2998" spans="1:32" ht="12.75">
      <c r="A2998" s="8"/>
      <c r="B2998" s="8"/>
      <c r="D2998" s="185"/>
      <c r="E2998" s="186"/>
      <c r="F2998" s="188"/>
      <c r="G2998" s="188"/>
      <c r="H2998" s="188"/>
      <c r="K2998" s="188"/>
      <c r="L2998" s="188"/>
      <c r="M2998" s="12"/>
      <c r="N2998" s="12"/>
      <c r="S2998" s="195"/>
      <c r="AC2998" s="187"/>
      <c r="AE2998" s="184"/>
      <c r="AF2998" s="182"/>
    </row>
    <row r="2999" spans="1:32" ht="12.75">
      <c r="A2999" s="8"/>
      <c r="B2999" s="8"/>
      <c r="D2999" s="185"/>
      <c r="E2999" s="186"/>
      <c r="F2999" s="188"/>
      <c r="G2999" s="188"/>
      <c r="H2999" s="188"/>
      <c r="K2999" s="188"/>
      <c r="L2999" s="188"/>
      <c r="M2999" s="12"/>
      <c r="N2999" s="12"/>
      <c r="S2999" s="195"/>
      <c r="AC2999" s="187"/>
      <c r="AE2999" s="184"/>
      <c r="AF2999" s="182"/>
    </row>
    <row r="3000" spans="1:32" ht="12.75">
      <c r="A3000" s="8"/>
      <c r="B3000" s="8"/>
      <c r="D3000" s="185"/>
      <c r="E3000" s="186"/>
      <c r="F3000" s="188"/>
      <c r="G3000" s="188"/>
      <c r="H3000" s="188"/>
      <c r="K3000" s="188"/>
      <c r="L3000" s="188"/>
      <c r="M3000" s="12"/>
      <c r="N3000" s="12"/>
      <c r="S3000" s="195"/>
      <c r="AC3000" s="187"/>
      <c r="AE3000" s="184"/>
      <c r="AF3000" s="182"/>
    </row>
    <row r="3001" spans="1:32" ht="12.75">
      <c r="A3001" s="8"/>
      <c r="B3001" s="8"/>
      <c r="D3001" s="185"/>
      <c r="E3001" s="186"/>
      <c r="F3001" s="188"/>
      <c r="G3001" s="188"/>
      <c r="H3001" s="188"/>
      <c r="K3001" s="188"/>
      <c r="L3001" s="188"/>
      <c r="M3001" s="12"/>
      <c r="N3001" s="12"/>
      <c r="S3001" s="195"/>
      <c r="AC3001" s="187"/>
      <c r="AE3001" s="184"/>
      <c r="AF3001" s="182"/>
    </row>
    <row r="3002" spans="1:32" ht="12.75">
      <c r="A3002" s="8"/>
      <c r="B3002" s="8"/>
      <c r="D3002" s="185"/>
      <c r="E3002" s="186"/>
      <c r="F3002" s="188"/>
      <c r="G3002" s="188"/>
      <c r="H3002" s="188"/>
      <c r="K3002" s="188"/>
      <c r="L3002" s="188"/>
      <c r="M3002" s="12"/>
      <c r="N3002" s="12"/>
      <c r="S3002" s="195"/>
      <c r="AC3002" s="187"/>
      <c r="AE3002" s="184"/>
      <c r="AF3002" s="182"/>
    </row>
    <row r="3003" spans="1:32" ht="12.75">
      <c r="A3003" s="8"/>
      <c r="B3003" s="8"/>
      <c r="D3003" s="185"/>
      <c r="E3003" s="186"/>
      <c r="F3003" s="188"/>
      <c r="G3003" s="188"/>
      <c r="H3003" s="188"/>
      <c r="K3003" s="188"/>
      <c r="L3003" s="188"/>
      <c r="M3003" s="12"/>
      <c r="N3003" s="12"/>
      <c r="S3003" s="195"/>
      <c r="AC3003" s="187"/>
      <c r="AE3003" s="184"/>
      <c r="AF3003" s="182"/>
    </row>
    <row r="3004" spans="1:32" ht="12.75">
      <c r="A3004" s="8"/>
      <c r="B3004" s="8"/>
      <c r="D3004" s="185"/>
      <c r="E3004" s="186"/>
      <c r="F3004" s="188"/>
      <c r="G3004" s="188"/>
      <c r="H3004" s="188"/>
      <c r="K3004" s="188"/>
      <c r="L3004" s="188"/>
      <c r="M3004" s="12"/>
      <c r="N3004" s="12"/>
      <c r="S3004" s="195"/>
      <c r="AC3004" s="187"/>
      <c r="AE3004" s="184"/>
      <c r="AF3004" s="182"/>
    </row>
    <row r="3005" spans="1:32" ht="12.75">
      <c r="A3005" s="8"/>
      <c r="B3005" s="8"/>
      <c r="D3005" s="185"/>
      <c r="E3005" s="186"/>
      <c r="F3005" s="188"/>
      <c r="G3005" s="188"/>
      <c r="H3005" s="188"/>
      <c r="K3005" s="188"/>
      <c r="L3005" s="188"/>
      <c r="M3005" s="12"/>
      <c r="N3005" s="12"/>
      <c r="S3005" s="195"/>
      <c r="AC3005" s="187"/>
      <c r="AE3005" s="184"/>
      <c r="AF3005" s="182"/>
    </row>
    <row r="3006" spans="1:32" ht="12.75">
      <c r="A3006" s="8"/>
      <c r="B3006" s="8"/>
      <c r="D3006" s="185"/>
      <c r="E3006" s="186"/>
      <c r="F3006" s="188"/>
      <c r="G3006" s="188"/>
      <c r="H3006" s="188"/>
      <c r="K3006" s="188"/>
      <c r="L3006" s="188"/>
      <c r="M3006" s="12"/>
      <c r="N3006" s="12"/>
      <c r="S3006" s="195"/>
      <c r="AC3006" s="187"/>
      <c r="AE3006" s="184"/>
      <c r="AF3006" s="182"/>
    </row>
    <row r="3007" spans="1:32" ht="12.75">
      <c r="A3007" s="8"/>
      <c r="B3007" s="8"/>
      <c r="D3007" s="185"/>
      <c r="E3007" s="186"/>
      <c r="F3007" s="188"/>
      <c r="G3007" s="188"/>
      <c r="H3007" s="188"/>
      <c r="K3007" s="188"/>
      <c r="L3007" s="188"/>
      <c r="M3007" s="12"/>
      <c r="N3007" s="12"/>
      <c r="S3007" s="195"/>
      <c r="AC3007" s="187"/>
      <c r="AE3007" s="184"/>
      <c r="AF3007" s="182"/>
    </row>
    <row r="3008" spans="1:32" ht="12.75">
      <c r="A3008" s="8"/>
      <c r="B3008" s="8"/>
      <c r="D3008" s="185"/>
      <c r="E3008" s="186"/>
      <c r="F3008" s="188"/>
      <c r="G3008" s="188"/>
      <c r="H3008" s="188"/>
      <c r="K3008" s="188"/>
      <c r="L3008" s="188"/>
      <c r="M3008" s="12"/>
      <c r="N3008" s="12"/>
      <c r="S3008" s="195"/>
      <c r="AC3008" s="187"/>
      <c r="AE3008" s="184"/>
      <c r="AF3008" s="182"/>
    </row>
    <row r="3009" spans="1:32" ht="12.75">
      <c r="A3009" s="8"/>
      <c r="B3009" s="8"/>
      <c r="D3009" s="185"/>
      <c r="E3009" s="186"/>
      <c r="F3009" s="188"/>
      <c r="G3009" s="188"/>
      <c r="H3009" s="188"/>
      <c r="K3009" s="188"/>
      <c r="L3009" s="188"/>
      <c r="M3009" s="12"/>
      <c r="N3009" s="12"/>
      <c r="S3009" s="195"/>
      <c r="AC3009" s="187"/>
      <c r="AE3009" s="184"/>
      <c r="AF3009" s="182"/>
    </row>
    <row r="3010" spans="1:32" ht="12.75">
      <c r="A3010" s="8"/>
      <c r="B3010" s="8"/>
      <c r="D3010" s="185"/>
      <c r="E3010" s="186"/>
      <c r="F3010" s="188"/>
      <c r="G3010" s="188"/>
      <c r="H3010" s="188"/>
      <c r="K3010" s="188"/>
      <c r="L3010" s="188"/>
      <c r="M3010" s="12"/>
      <c r="N3010" s="12"/>
      <c r="S3010" s="195"/>
      <c r="AC3010" s="187"/>
      <c r="AE3010" s="184"/>
      <c r="AF3010" s="182"/>
    </row>
    <row r="3011" spans="1:32" ht="12.75">
      <c r="A3011" s="8"/>
      <c r="B3011" s="8"/>
      <c r="D3011" s="185"/>
      <c r="E3011" s="186"/>
      <c r="F3011" s="188"/>
      <c r="G3011" s="188"/>
      <c r="H3011" s="188"/>
      <c r="K3011" s="188"/>
      <c r="L3011" s="188"/>
      <c r="M3011" s="12"/>
      <c r="N3011" s="12"/>
      <c r="S3011" s="195"/>
      <c r="AC3011" s="187"/>
      <c r="AE3011" s="184"/>
      <c r="AF3011" s="182"/>
    </row>
    <row r="3012" spans="1:32" ht="12.75">
      <c r="A3012" s="8"/>
      <c r="B3012" s="8"/>
      <c r="D3012" s="185"/>
      <c r="E3012" s="186"/>
      <c r="F3012" s="188"/>
      <c r="G3012" s="188"/>
      <c r="H3012" s="188"/>
      <c r="K3012" s="188"/>
      <c r="L3012" s="188"/>
      <c r="M3012" s="12"/>
      <c r="N3012" s="12"/>
      <c r="S3012" s="195"/>
      <c r="AC3012" s="187"/>
      <c r="AE3012" s="184"/>
      <c r="AF3012" s="182"/>
    </row>
    <row r="3013" spans="1:32" ht="12.75">
      <c r="A3013" s="8"/>
      <c r="B3013" s="8"/>
      <c r="D3013" s="185"/>
      <c r="E3013" s="186"/>
      <c r="F3013" s="188"/>
      <c r="G3013" s="188"/>
      <c r="H3013" s="188"/>
      <c r="K3013" s="188"/>
      <c r="L3013" s="188"/>
      <c r="M3013" s="12"/>
      <c r="N3013" s="12"/>
      <c r="S3013" s="195"/>
      <c r="AC3013" s="187"/>
      <c r="AE3013" s="184"/>
      <c r="AF3013" s="182"/>
    </row>
    <row r="3014" spans="1:32" ht="12.75">
      <c r="A3014" s="8"/>
      <c r="B3014" s="8"/>
      <c r="D3014" s="185"/>
      <c r="E3014" s="186"/>
      <c r="F3014" s="188"/>
      <c r="G3014" s="188"/>
      <c r="H3014" s="188"/>
      <c r="K3014" s="188"/>
      <c r="L3014" s="188"/>
      <c r="M3014" s="12"/>
      <c r="N3014" s="12"/>
      <c r="S3014" s="195"/>
      <c r="AC3014" s="187"/>
      <c r="AE3014" s="184"/>
      <c r="AF3014" s="182"/>
    </row>
    <row r="3015" spans="1:32" ht="12.75">
      <c r="A3015" s="8"/>
      <c r="B3015" s="8"/>
      <c r="D3015" s="185"/>
      <c r="E3015" s="186"/>
      <c r="F3015" s="188"/>
      <c r="G3015" s="188"/>
      <c r="H3015" s="188"/>
      <c r="K3015" s="188"/>
      <c r="L3015" s="188"/>
      <c r="M3015" s="12"/>
      <c r="N3015" s="12"/>
      <c r="S3015" s="195"/>
      <c r="AC3015" s="187"/>
      <c r="AE3015" s="184"/>
      <c r="AF3015" s="182"/>
    </row>
    <row r="3016" spans="1:32" ht="12.75">
      <c r="A3016" s="8"/>
      <c r="B3016" s="8"/>
      <c r="D3016" s="185"/>
      <c r="E3016" s="186"/>
      <c r="F3016" s="188"/>
      <c r="G3016" s="188"/>
      <c r="H3016" s="188"/>
      <c r="K3016" s="188"/>
      <c r="L3016" s="188"/>
      <c r="M3016" s="12"/>
      <c r="N3016" s="12"/>
      <c r="S3016" s="195"/>
      <c r="AC3016" s="187"/>
      <c r="AE3016" s="184"/>
      <c r="AF3016" s="182"/>
    </row>
    <row r="3017" spans="1:32" ht="12.75">
      <c r="A3017" s="8"/>
      <c r="B3017" s="8"/>
      <c r="D3017" s="185"/>
      <c r="E3017" s="186"/>
      <c r="F3017" s="188"/>
      <c r="G3017" s="188"/>
      <c r="H3017" s="188"/>
      <c r="K3017" s="188"/>
      <c r="L3017" s="188"/>
      <c r="M3017" s="12"/>
      <c r="N3017" s="12"/>
      <c r="S3017" s="195"/>
      <c r="AC3017" s="187"/>
      <c r="AE3017" s="184"/>
      <c r="AF3017" s="182"/>
    </row>
    <row r="3018" spans="1:32" ht="12.75">
      <c r="A3018" s="8"/>
      <c r="B3018" s="8"/>
      <c r="D3018" s="185"/>
      <c r="E3018" s="186"/>
      <c r="F3018" s="188"/>
      <c r="G3018" s="188"/>
      <c r="H3018" s="188"/>
      <c r="K3018" s="188"/>
      <c r="L3018" s="188"/>
      <c r="M3018" s="12"/>
      <c r="N3018" s="12"/>
      <c r="S3018" s="195"/>
      <c r="AC3018" s="187"/>
      <c r="AE3018" s="184"/>
      <c r="AF3018" s="182"/>
    </row>
    <row r="3019" spans="1:32" ht="12.75">
      <c r="A3019" s="8"/>
      <c r="B3019" s="8"/>
      <c r="D3019" s="185"/>
      <c r="E3019" s="186"/>
      <c r="F3019" s="188"/>
      <c r="G3019" s="188"/>
      <c r="H3019" s="188"/>
      <c r="K3019" s="188"/>
      <c r="L3019" s="188"/>
      <c r="M3019" s="12"/>
      <c r="N3019" s="12"/>
      <c r="S3019" s="195"/>
      <c r="AC3019" s="187"/>
      <c r="AE3019" s="184"/>
      <c r="AF3019" s="182"/>
    </row>
    <row r="3020" spans="1:32" ht="12.75">
      <c r="A3020" s="8"/>
      <c r="B3020" s="8"/>
      <c r="D3020" s="185"/>
      <c r="E3020" s="186"/>
      <c r="F3020" s="188"/>
      <c r="G3020" s="188"/>
      <c r="H3020" s="188"/>
      <c r="K3020" s="188"/>
      <c r="L3020" s="188"/>
      <c r="M3020" s="12"/>
      <c r="N3020" s="12"/>
      <c r="S3020" s="195"/>
      <c r="AC3020" s="187"/>
      <c r="AE3020" s="184"/>
      <c r="AF3020" s="182"/>
    </row>
    <row r="3021" spans="1:32" ht="12.75">
      <c r="A3021" s="8"/>
      <c r="B3021" s="8"/>
      <c r="D3021" s="185"/>
      <c r="E3021" s="186"/>
      <c r="F3021" s="188"/>
      <c r="G3021" s="188"/>
      <c r="H3021" s="188"/>
      <c r="K3021" s="188"/>
      <c r="L3021" s="188"/>
      <c r="M3021" s="12"/>
      <c r="N3021" s="12"/>
      <c r="S3021" s="195"/>
      <c r="AC3021" s="187"/>
      <c r="AE3021" s="184"/>
      <c r="AF3021" s="182"/>
    </row>
    <row r="3022" spans="1:32" ht="12.75">
      <c r="A3022" s="8"/>
      <c r="B3022" s="8"/>
      <c r="D3022" s="185"/>
      <c r="E3022" s="186"/>
      <c r="F3022" s="188"/>
      <c r="G3022" s="188"/>
      <c r="H3022" s="188"/>
      <c r="K3022" s="188"/>
      <c r="L3022" s="188"/>
      <c r="M3022" s="12"/>
      <c r="N3022" s="12"/>
      <c r="S3022" s="195"/>
      <c r="AC3022" s="187"/>
      <c r="AE3022" s="184"/>
      <c r="AF3022" s="182"/>
    </row>
    <row r="3023" spans="1:32" ht="12.75">
      <c r="A3023" s="8"/>
      <c r="B3023" s="8"/>
      <c r="D3023" s="185"/>
      <c r="E3023" s="186"/>
      <c r="F3023" s="188"/>
      <c r="G3023" s="188"/>
      <c r="H3023" s="188"/>
      <c r="K3023" s="188"/>
      <c r="L3023" s="188"/>
      <c r="M3023" s="12"/>
      <c r="N3023" s="12"/>
      <c r="S3023" s="195"/>
      <c r="AC3023" s="187"/>
      <c r="AE3023" s="184"/>
      <c r="AF3023" s="182"/>
    </row>
    <row r="3024" spans="1:32" ht="12.75">
      <c r="A3024" s="8"/>
      <c r="B3024" s="8"/>
      <c r="D3024" s="185"/>
      <c r="E3024" s="186"/>
      <c r="F3024" s="188"/>
      <c r="G3024" s="188"/>
      <c r="H3024" s="188"/>
      <c r="K3024" s="188"/>
      <c r="L3024" s="188"/>
      <c r="M3024" s="12"/>
      <c r="N3024" s="12"/>
      <c r="S3024" s="195"/>
      <c r="AC3024" s="187"/>
      <c r="AE3024" s="184"/>
      <c r="AF3024" s="182"/>
    </row>
    <row r="3025" spans="1:32" ht="12.75">
      <c r="A3025" s="8"/>
      <c r="B3025" s="8"/>
      <c r="D3025" s="185"/>
      <c r="E3025" s="186"/>
      <c r="F3025" s="188"/>
      <c r="G3025" s="188"/>
      <c r="H3025" s="188"/>
      <c r="K3025" s="188"/>
      <c r="L3025" s="188"/>
      <c r="M3025" s="12"/>
      <c r="N3025" s="12"/>
      <c r="S3025" s="195"/>
      <c r="AC3025" s="187"/>
      <c r="AE3025" s="184"/>
      <c r="AF3025" s="182"/>
    </row>
    <row r="3026" spans="1:32" ht="12.75">
      <c r="A3026" s="8"/>
      <c r="B3026" s="8"/>
      <c r="D3026" s="185"/>
      <c r="E3026" s="186"/>
      <c r="F3026" s="188"/>
      <c r="G3026" s="188"/>
      <c r="H3026" s="188"/>
      <c r="K3026" s="188"/>
      <c r="L3026" s="188"/>
      <c r="M3026" s="12"/>
      <c r="N3026" s="12"/>
      <c r="S3026" s="195"/>
      <c r="AC3026" s="187"/>
      <c r="AE3026" s="184"/>
      <c r="AF3026" s="182"/>
    </row>
    <row r="3027" spans="1:32" ht="12.75">
      <c r="A3027" s="8"/>
      <c r="B3027" s="8"/>
      <c r="D3027" s="185"/>
      <c r="E3027" s="186"/>
      <c r="F3027" s="188"/>
      <c r="G3027" s="188"/>
      <c r="H3027" s="188"/>
      <c r="K3027" s="188"/>
      <c r="L3027" s="188"/>
      <c r="M3027" s="12"/>
      <c r="N3027" s="12"/>
      <c r="S3027" s="195"/>
      <c r="AC3027" s="187"/>
      <c r="AE3027" s="184"/>
      <c r="AF3027" s="182"/>
    </row>
    <row r="3028" spans="1:32" ht="12.75">
      <c r="A3028" s="8"/>
      <c r="B3028" s="8"/>
      <c r="D3028" s="185"/>
      <c r="E3028" s="186"/>
      <c r="F3028" s="188"/>
      <c r="G3028" s="188"/>
      <c r="H3028" s="188"/>
      <c r="K3028" s="188"/>
      <c r="L3028" s="188"/>
      <c r="M3028" s="12"/>
      <c r="N3028" s="12"/>
      <c r="S3028" s="195"/>
      <c r="AC3028" s="187"/>
      <c r="AE3028" s="184"/>
      <c r="AF3028" s="182"/>
    </row>
    <row r="3029" spans="1:32" ht="12.75">
      <c r="A3029" s="8"/>
      <c r="B3029" s="8"/>
      <c r="D3029" s="185"/>
      <c r="E3029" s="186"/>
      <c r="F3029" s="188"/>
      <c r="G3029" s="188"/>
      <c r="H3029" s="188"/>
      <c r="K3029" s="188"/>
      <c r="L3029" s="188"/>
      <c r="M3029" s="12"/>
      <c r="N3029" s="12"/>
      <c r="S3029" s="195"/>
      <c r="AC3029" s="187"/>
      <c r="AE3029" s="184"/>
      <c r="AF3029" s="182"/>
    </row>
    <row r="3030" spans="1:32" ht="12.75">
      <c r="A3030" s="8"/>
      <c r="B3030" s="8"/>
      <c r="D3030" s="185"/>
      <c r="E3030" s="186"/>
      <c r="F3030" s="188"/>
      <c r="G3030" s="188"/>
      <c r="H3030" s="188"/>
      <c r="K3030" s="188"/>
      <c r="L3030" s="188"/>
      <c r="M3030" s="12"/>
      <c r="N3030" s="12"/>
      <c r="S3030" s="195"/>
      <c r="AC3030" s="187"/>
      <c r="AE3030" s="184"/>
      <c r="AF3030" s="182"/>
    </row>
    <row r="3031" spans="1:32" ht="12.75">
      <c r="A3031" s="8"/>
      <c r="B3031" s="8"/>
      <c r="D3031" s="185"/>
      <c r="E3031" s="186"/>
      <c r="F3031" s="188"/>
      <c r="G3031" s="188"/>
      <c r="H3031" s="188"/>
      <c r="K3031" s="188"/>
      <c r="L3031" s="188"/>
      <c r="M3031" s="12"/>
      <c r="N3031" s="12"/>
      <c r="S3031" s="195"/>
      <c r="AC3031" s="187"/>
      <c r="AE3031" s="184"/>
      <c r="AF3031" s="182"/>
    </row>
    <row r="3032" spans="1:32" ht="12.75">
      <c r="A3032" s="8"/>
      <c r="B3032" s="8"/>
      <c r="D3032" s="185"/>
      <c r="E3032" s="186"/>
      <c r="F3032" s="188"/>
      <c r="G3032" s="188"/>
      <c r="H3032" s="188"/>
      <c r="K3032" s="188"/>
      <c r="L3032" s="188"/>
      <c r="M3032" s="12"/>
      <c r="N3032" s="12"/>
      <c r="S3032" s="195"/>
      <c r="AC3032" s="187"/>
      <c r="AE3032" s="184"/>
      <c r="AF3032" s="182"/>
    </row>
    <row r="3033" spans="1:32" ht="12.75">
      <c r="A3033" s="8"/>
      <c r="B3033" s="8"/>
      <c r="D3033" s="185"/>
      <c r="E3033" s="186"/>
      <c r="F3033" s="188"/>
      <c r="G3033" s="188"/>
      <c r="H3033" s="188"/>
      <c r="K3033" s="188"/>
      <c r="L3033" s="188"/>
      <c r="M3033" s="12"/>
      <c r="N3033" s="12"/>
      <c r="S3033" s="195"/>
      <c r="AC3033" s="187"/>
      <c r="AE3033" s="184"/>
      <c r="AF3033" s="182"/>
    </row>
    <row r="3034" spans="1:32" ht="12.75">
      <c r="A3034" s="8"/>
      <c r="B3034" s="8"/>
      <c r="D3034" s="185"/>
      <c r="E3034" s="186"/>
      <c r="F3034" s="188"/>
      <c r="G3034" s="188"/>
      <c r="H3034" s="188"/>
      <c r="K3034" s="188"/>
      <c r="L3034" s="188"/>
      <c r="M3034" s="12"/>
      <c r="N3034" s="12"/>
      <c r="S3034" s="195"/>
      <c r="AC3034" s="187"/>
      <c r="AE3034" s="184"/>
      <c r="AF3034" s="182"/>
    </row>
    <row r="3035" spans="1:32" ht="12.75">
      <c r="A3035" s="8"/>
      <c r="B3035" s="8"/>
      <c r="E3035" s="186"/>
      <c r="F3035" s="188"/>
      <c r="G3035" s="188"/>
      <c r="H3035" s="188"/>
      <c r="K3035" s="188"/>
      <c r="L3035" s="188"/>
      <c r="M3035" s="12"/>
      <c r="N3035" s="12"/>
      <c r="S3035" s="195"/>
      <c r="AC3035" s="187"/>
      <c r="AE3035" s="184"/>
      <c r="AF3035" s="182"/>
    </row>
    <row r="3036" spans="1:32" ht="12.75">
      <c r="A3036" s="8"/>
      <c r="B3036" s="8"/>
      <c r="E3036" s="186"/>
      <c r="F3036" s="188"/>
      <c r="G3036" s="188"/>
      <c r="H3036" s="188"/>
      <c r="K3036" s="188"/>
      <c r="L3036" s="188"/>
      <c r="M3036" s="12"/>
      <c r="N3036" s="12"/>
      <c r="S3036" s="195"/>
      <c r="AC3036" s="187"/>
      <c r="AE3036" s="184"/>
      <c r="AF3036" s="182"/>
    </row>
    <row r="3037" spans="1:32" ht="12.75">
      <c r="A3037" s="8"/>
      <c r="B3037" s="8"/>
      <c r="E3037" s="186"/>
      <c r="F3037" s="188"/>
      <c r="G3037" s="188"/>
      <c r="H3037" s="188"/>
      <c r="K3037" s="188"/>
      <c r="L3037" s="188"/>
      <c r="M3037" s="12"/>
      <c r="N3037" s="12"/>
      <c r="S3037" s="195"/>
      <c r="AC3037" s="187"/>
      <c r="AE3037" s="184"/>
      <c r="AF3037" s="182"/>
    </row>
    <row r="3038" spans="1:32" ht="12.75">
      <c r="A3038" s="8"/>
      <c r="B3038" s="8"/>
      <c r="E3038" s="186"/>
      <c r="F3038" s="188"/>
      <c r="G3038" s="188"/>
      <c r="H3038" s="188"/>
      <c r="K3038" s="188"/>
      <c r="L3038" s="188"/>
      <c r="M3038" s="12"/>
      <c r="N3038" s="12"/>
      <c r="S3038" s="195"/>
      <c r="AC3038" s="187"/>
      <c r="AE3038" s="184"/>
      <c r="AF3038" s="182"/>
    </row>
    <row r="3039" spans="1:32" ht="12.75">
      <c r="A3039" s="8"/>
      <c r="B3039" s="8"/>
      <c r="E3039" s="186"/>
      <c r="F3039" s="188"/>
      <c r="G3039" s="188"/>
      <c r="H3039" s="188"/>
      <c r="K3039" s="188"/>
      <c r="L3039" s="188"/>
      <c r="M3039" s="12"/>
      <c r="N3039" s="12"/>
      <c r="S3039" s="195"/>
      <c r="AC3039" s="187"/>
      <c r="AE3039" s="184"/>
      <c r="AF3039" s="182"/>
    </row>
    <row r="3040" spans="1:32" ht="12.75">
      <c r="A3040" s="8"/>
      <c r="B3040" s="8"/>
      <c r="E3040" s="186"/>
      <c r="F3040" s="188"/>
      <c r="G3040" s="188"/>
      <c r="H3040" s="188"/>
      <c r="K3040" s="188"/>
      <c r="L3040" s="188"/>
      <c r="M3040" s="12"/>
      <c r="N3040" s="12"/>
      <c r="S3040" s="195"/>
      <c r="AC3040" s="187"/>
      <c r="AE3040" s="184"/>
      <c r="AF3040" s="182"/>
    </row>
    <row r="3041" spans="1:32" ht="12.75">
      <c r="A3041" s="8"/>
      <c r="B3041" s="8"/>
      <c r="E3041" s="186"/>
      <c r="F3041" s="188"/>
      <c r="G3041" s="188"/>
      <c r="H3041" s="188"/>
      <c r="K3041" s="188"/>
      <c r="L3041" s="188"/>
      <c r="M3041" s="12"/>
      <c r="N3041" s="12"/>
      <c r="S3041" s="195"/>
      <c r="AC3041" s="187"/>
      <c r="AE3041" s="184"/>
      <c r="AF3041" s="182"/>
    </row>
    <row r="3042" spans="1:32" ht="12.75">
      <c r="A3042" s="8"/>
      <c r="B3042" s="8"/>
      <c r="E3042" s="186"/>
      <c r="F3042" s="188"/>
      <c r="G3042" s="188"/>
      <c r="H3042" s="188"/>
      <c r="K3042" s="188"/>
      <c r="L3042" s="188"/>
      <c r="M3042" s="12"/>
      <c r="N3042" s="12"/>
      <c r="S3042" s="195"/>
      <c r="AC3042" s="187"/>
      <c r="AE3042" s="184"/>
      <c r="AF3042" s="182"/>
    </row>
    <row r="3043" spans="1:32" ht="12.75">
      <c r="A3043" s="8"/>
      <c r="B3043" s="8"/>
      <c r="E3043" s="186"/>
      <c r="F3043" s="188"/>
      <c r="G3043" s="188"/>
      <c r="H3043" s="188"/>
      <c r="K3043" s="188"/>
      <c r="L3043" s="188"/>
      <c r="M3043" s="12"/>
      <c r="N3043" s="12"/>
      <c r="S3043" s="195"/>
      <c r="AC3043" s="187"/>
      <c r="AE3043" s="184"/>
      <c r="AF3043" s="182"/>
    </row>
    <row r="3044" spans="1:32" ht="12.75">
      <c r="A3044" s="8"/>
      <c r="B3044" s="8"/>
      <c r="E3044" s="186"/>
      <c r="F3044" s="188"/>
      <c r="G3044" s="188"/>
      <c r="H3044" s="188"/>
      <c r="K3044" s="188"/>
      <c r="L3044" s="188"/>
      <c r="M3044" s="12"/>
      <c r="N3044" s="12"/>
      <c r="S3044" s="195"/>
      <c r="AC3044" s="187"/>
      <c r="AE3044" s="184"/>
      <c r="AF3044" s="182"/>
    </row>
    <row r="3045" spans="1:32" ht="12.75">
      <c r="A3045" s="8"/>
      <c r="B3045" s="8"/>
      <c r="E3045" s="186"/>
      <c r="F3045" s="188"/>
      <c r="G3045" s="188"/>
      <c r="H3045" s="188"/>
      <c r="K3045" s="188"/>
      <c r="L3045" s="188"/>
      <c r="M3045" s="12"/>
      <c r="N3045" s="12"/>
      <c r="S3045" s="195"/>
      <c r="AC3045" s="187"/>
      <c r="AE3045" s="184"/>
      <c r="AF3045" s="182"/>
    </row>
    <row r="3046" spans="1:32" ht="12.75">
      <c r="A3046" s="8"/>
      <c r="B3046" s="8"/>
      <c r="E3046" s="186"/>
      <c r="F3046" s="188"/>
      <c r="G3046" s="188"/>
      <c r="H3046" s="188"/>
      <c r="K3046" s="188"/>
      <c r="L3046" s="188"/>
      <c r="M3046" s="12"/>
      <c r="N3046" s="12"/>
      <c r="S3046" s="195"/>
      <c r="AC3046" s="187"/>
      <c r="AE3046" s="184"/>
      <c r="AF3046" s="182"/>
    </row>
    <row r="3047" spans="1:32" ht="12.75">
      <c r="A3047" s="8"/>
      <c r="B3047" s="8"/>
      <c r="E3047" s="186"/>
      <c r="F3047" s="188"/>
      <c r="G3047" s="188"/>
      <c r="H3047" s="188"/>
      <c r="K3047" s="188"/>
      <c r="L3047" s="188"/>
      <c r="M3047" s="12"/>
      <c r="N3047" s="12"/>
      <c r="S3047" s="195"/>
      <c r="AC3047" s="187"/>
      <c r="AE3047" s="184"/>
      <c r="AF3047" s="182"/>
    </row>
    <row r="3048" spans="1:32" ht="12.75">
      <c r="A3048" s="8"/>
      <c r="B3048" s="8"/>
      <c r="E3048" s="186"/>
      <c r="F3048" s="188"/>
      <c r="G3048" s="188"/>
      <c r="H3048" s="188"/>
      <c r="K3048" s="188"/>
      <c r="L3048" s="188"/>
      <c r="M3048" s="12"/>
      <c r="N3048" s="12"/>
      <c r="S3048" s="195"/>
      <c r="AC3048" s="187"/>
      <c r="AE3048" s="184"/>
      <c r="AF3048" s="182"/>
    </row>
    <row r="3049" spans="1:32" ht="12.75">
      <c r="A3049" s="8"/>
      <c r="B3049" s="8"/>
      <c r="E3049" s="186"/>
      <c r="F3049" s="188"/>
      <c r="G3049" s="188"/>
      <c r="H3049" s="188"/>
      <c r="K3049" s="188"/>
      <c r="L3049" s="188"/>
      <c r="M3049" s="12"/>
      <c r="N3049" s="12"/>
      <c r="S3049" s="195"/>
      <c r="AC3049" s="187"/>
      <c r="AE3049" s="184"/>
      <c r="AF3049" s="182"/>
    </row>
    <row r="3050" spans="1:32" ht="12.75">
      <c r="A3050" s="8"/>
      <c r="B3050" s="8"/>
      <c r="E3050" s="186"/>
      <c r="F3050" s="188"/>
      <c r="G3050" s="188"/>
      <c r="H3050" s="188"/>
      <c r="K3050" s="188"/>
      <c r="L3050" s="188"/>
      <c r="M3050" s="12"/>
      <c r="N3050" s="12"/>
      <c r="S3050" s="195"/>
      <c r="AC3050" s="187"/>
      <c r="AE3050" s="184"/>
      <c r="AF3050" s="182"/>
    </row>
    <row r="3051" spans="1:32" ht="12.75">
      <c r="A3051" s="8"/>
      <c r="B3051" s="8"/>
      <c r="E3051" s="186"/>
      <c r="F3051" s="188"/>
      <c r="G3051" s="188"/>
      <c r="H3051" s="188"/>
      <c r="K3051" s="188"/>
      <c r="L3051" s="188"/>
      <c r="M3051" s="12"/>
      <c r="N3051" s="12"/>
      <c r="S3051" s="195"/>
      <c r="AC3051" s="187"/>
      <c r="AE3051" s="184"/>
      <c r="AF3051" s="182"/>
    </row>
    <row r="3052" spans="1:32" ht="12.75">
      <c r="A3052" s="8"/>
      <c r="B3052" s="8"/>
      <c r="E3052" s="186"/>
      <c r="F3052" s="188"/>
      <c r="G3052" s="188"/>
      <c r="H3052" s="188"/>
      <c r="K3052" s="188"/>
      <c r="L3052" s="188"/>
      <c r="M3052" s="12"/>
      <c r="N3052" s="12"/>
      <c r="S3052" s="195"/>
      <c r="AC3052" s="187"/>
      <c r="AE3052" s="184"/>
      <c r="AF3052" s="182"/>
    </row>
    <row r="3053" spans="1:32" ht="12.75">
      <c r="A3053" s="8"/>
      <c r="B3053" s="8"/>
      <c r="E3053" s="186"/>
      <c r="F3053" s="188"/>
      <c r="G3053" s="188"/>
      <c r="H3053" s="188"/>
      <c r="K3053" s="188"/>
      <c r="L3053" s="188"/>
      <c r="M3053" s="12"/>
      <c r="N3053" s="12"/>
      <c r="S3053" s="195"/>
      <c r="AC3053" s="187"/>
      <c r="AE3053" s="184"/>
      <c r="AF3053" s="182"/>
    </row>
    <row r="3054" spans="1:32" ht="12.75">
      <c r="A3054" s="8"/>
      <c r="B3054" s="8"/>
      <c r="E3054" s="186"/>
      <c r="F3054" s="188"/>
      <c r="G3054" s="188"/>
      <c r="H3054" s="188"/>
      <c r="K3054" s="188"/>
      <c r="L3054" s="188"/>
      <c r="M3054" s="12"/>
      <c r="N3054" s="12"/>
      <c r="S3054" s="195"/>
      <c r="AC3054" s="187"/>
      <c r="AE3054" s="184"/>
      <c r="AF3054" s="182"/>
    </row>
    <row r="3055" spans="1:32" ht="12.75">
      <c r="A3055" s="8"/>
      <c r="B3055" s="8"/>
      <c r="E3055" s="186"/>
      <c r="F3055" s="188"/>
      <c r="G3055" s="188"/>
      <c r="H3055" s="188"/>
      <c r="K3055" s="188"/>
      <c r="L3055" s="188"/>
      <c r="M3055" s="12"/>
      <c r="N3055" s="12"/>
      <c r="S3055" s="195"/>
      <c r="AC3055" s="187"/>
      <c r="AE3055" s="184"/>
      <c r="AF3055" s="182"/>
    </row>
    <row r="3056" spans="1:32" ht="12.75">
      <c r="A3056" s="8"/>
      <c r="B3056" s="8"/>
      <c r="E3056" s="186"/>
      <c r="F3056" s="188"/>
      <c r="G3056" s="188"/>
      <c r="H3056" s="188"/>
      <c r="K3056" s="188"/>
      <c r="L3056" s="188"/>
      <c r="M3056" s="12"/>
      <c r="N3056" s="12"/>
      <c r="S3056" s="195"/>
      <c r="AC3056" s="187"/>
      <c r="AE3056" s="184"/>
      <c r="AF3056" s="182"/>
    </row>
    <row r="3057" spans="1:32" ht="12.75">
      <c r="A3057" s="8"/>
      <c r="B3057" s="8"/>
      <c r="E3057" s="186"/>
      <c r="F3057" s="188"/>
      <c r="G3057" s="188"/>
      <c r="H3057" s="188"/>
      <c r="K3057" s="188"/>
      <c r="L3057" s="188"/>
      <c r="M3057" s="12"/>
      <c r="N3057" s="12"/>
      <c r="S3057" s="195"/>
      <c r="AC3057" s="187"/>
      <c r="AE3057" s="184"/>
      <c r="AF3057" s="182"/>
    </row>
    <row r="3058" spans="1:32" ht="12.75">
      <c r="A3058" s="8"/>
      <c r="B3058" s="8"/>
      <c r="E3058" s="186"/>
      <c r="F3058" s="188"/>
      <c r="G3058" s="188"/>
      <c r="H3058" s="188"/>
      <c r="K3058" s="188"/>
      <c r="L3058" s="188"/>
      <c r="M3058" s="12"/>
      <c r="N3058" s="12"/>
      <c r="S3058" s="195"/>
      <c r="AC3058" s="187"/>
      <c r="AE3058" s="184"/>
      <c r="AF3058" s="182"/>
    </row>
    <row r="3059" spans="1:32" ht="12.75">
      <c r="A3059" s="8"/>
      <c r="B3059" s="8"/>
      <c r="E3059" s="186"/>
      <c r="F3059" s="188"/>
      <c r="G3059" s="188"/>
      <c r="H3059" s="188"/>
      <c r="K3059" s="188"/>
      <c r="L3059" s="188"/>
      <c r="M3059" s="12"/>
      <c r="N3059" s="12"/>
      <c r="S3059" s="195"/>
      <c r="AC3059" s="187"/>
      <c r="AE3059" s="184"/>
      <c r="AF3059" s="182"/>
    </row>
    <row r="3060" spans="1:32" ht="12.75">
      <c r="A3060" s="8"/>
      <c r="B3060" s="8"/>
      <c r="E3060" s="186"/>
      <c r="F3060" s="188"/>
      <c r="G3060" s="188"/>
      <c r="H3060" s="188"/>
      <c r="K3060" s="188"/>
      <c r="L3060" s="188"/>
      <c r="M3060" s="12"/>
      <c r="N3060" s="12"/>
      <c r="S3060" s="195"/>
      <c r="AC3060" s="187"/>
      <c r="AE3060" s="184"/>
      <c r="AF3060" s="182"/>
    </row>
    <row r="3061" spans="1:32" ht="12.75">
      <c r="A3061" s="8"/>
      <c r="B3061" s="8"/>
      <c r="E3061" s="186"/>
      <c r="F3061" s="188"/>
      <c r="G3061" s="188"/>
      <c r="H3061" s="188"/>
      <c r="K3061" s="188"/>
      <c r="L3061" s="188"/>
      <c r="M3061" s="12"/>
      <c r="N3061" s="12"/>
      <c r="S3061" s="195"/>
      <c r="AC3061" s="187"/>
      <c r="AE3061" s="184"/>
      <c r="AF3061" s="182"/>
    </row>
    <row r="3062" spans="1:32" ht="12.75">
      <c r="A3062" s="8"/>
      <c r="B3062" s="8"/>
      <c r="E3062" s="186"/>
      <c r="F3062" s="188"/>
      <c r="G3062" s="188"/>
      <c r="H3062" s="188"/>
      <c r="K3062" s="188"/>
      <c r="L3062" s="188"/>
      <c r="M3062" s="12"/>
      <c r="N3062" s="12"/>
      <c r="S3062" s="195"/>
      <c r="AC3062" s="187"/>
      <c r="AE3062" s="184"/>
      <c r="AF3062" s="182"/>
    </row>
    <row r="3063" spans="1:32" ht="12.75">
      <c r="A3063" s="8"/>
      <c r="B3063" s="8"/>
      <c r="E3063" s="186"/>
      <c r="F3063" s="188"/>
      <c r="G3063" s="188"/>
      <c r="H3063" s="188"/>
      <c r="K3063" s="188"/>
      <c r="L3063" s="188"/>
      <c r="M3063" s="12"/>
      <c r="N3063" s="12"/>
      <c r="S3063" s="195"/>
      <c r="AC3063" s="187"/>
      <c r="AE3063" s="184"/>
      <c r="AF3063" s="182"/>
    </row>
    <row r="3064" spans="1:32" ht="12.75">
      <c r="A3064" s="8"/>
      <c r="B3064" s="8"/>
      <c r="E3064" s="186"/>
      <c r="F3064" s="188"/>
      <c r="G3064" s="188"/>
      <c r="H3064" s="188"/>
      <c r="K3064" s="188"/>
      <c r="L3064" s="188"/>
      <c r="M3064" s="12"/>
      <c r="N3064" s="12"/>
      <c r="S3064" s="195"/>
      <c r="AC3064" s="187"/>
      <c r="AE3064" s="184"/>
      <c r="AF3064" s="182"/>
    </row>
    <row r="3065" spans="1:32" ht="12.75">
      <c r="A3065" s="8"/>
      <c r="B3065" s="8"/>
      <c r="E3065" s="186"/>
      <c r="F3065" s="188"/>
      <c r="G3065" s="188"/>
      <c r="H3065" s="188"/>
      <c r="K3065" s="188"/>
      <c r="L3065" s="188"/>
      <c r="M3065" s="12"/>
      <c r="N3065" s="12"/>
      <c r="S3065" s="195"/>
      <c r="AC3065" s="187"/>
      <c r="AE3065" s="184"/>
      <c r="AF3065" s="182"/>
    </row>
    <row r="3066" spans="1:32" ht="12.75">
      <c r="A3066" s="8"/>
      <c r="B3066" s="8"/>
      <c r="E3066" s="186"/>
      <c r="F3066" s="188"/>
      <c r="G3066" s="188"/>
      <c r="H3066" s="188"/>
      <c r="K3066" s="188"/>
      <c r="L3066" s="188"/>
      <c r="M3066" s="12"/>
      <c r="N3066" s="12"/>
      <c r="S3066" s="195"/>
      <c r="AC3066" s="187"/>
      <c r="AE3066" s="184"/>
      <c r="AF3066" s="182"/>
    </row>
    <row r="3067" spans="1:32" ht="12.75">
      <c r="A3067" s="8"/>
      <c r="B3067" s="8"/>
      <c r="E3067" s="186"/>
      <c r="F3067" s="188"/>
      <c r="G3067" s="188"/>
      <c r="H3067" s="188"/>
      <c r="K3067" s="188"/>
      <c r="L3067" s="188"/>
      <c r="M3067" s="12"/>
      <c r="N3067" s="12"/>
      <c r="S3067" s="195"/>
      <c r="AC3067" s="187"/>
      <c r="AE3067" s="184"/>
      <c r="AF3067" s="182"/>
    </row>
    <row r="3068" spans="1:32" ht="12.75">
      <c r="A3068" s="8"/>
      <c r="B3068" s="8"/>
      <c r="E3068" s="186"/>
      <c r="F3068" s="188"/>
      <c r="G3068" s="188"/>
      <c r="H3068" s="188"/>
      <c r="K3068" s="188"/>
      <c r="L3068" s="188"/>
      <c r="M3068" s="12"/>
      <c r="N3068" s="12"/>
      <c r="S3068" s="195"/>
      <c r="AC3068" s="187"/>
      <c r="AE3068" s="184"/>
      <c r="AF3068" s="182"/>
    </row>
    <row r="3069" spans="1:32" ht="12.75">
      <c r="A3069" s="8"/>
      <c r="B3069" s="8"/>
      <c r="E3069" s="186"/>
      <c r="F3069" s="188"/>
      <c r="G3069" s="188"/>
      <c r="H3069" s="188"/>
      <c r="K3069" s="188"/>
      <c r="L3069" s="188"/>
      <c r="M3069" s="12"/>
      <c r="N3069" s="12"/>
      <c r="S3069" s="195"/>
      <c r="AC3069" s="187"/>
      <c r="AE3069" s="184"/>
      <c r="AF3069" s="182"/>
    </row>
    <row r="3070" spans="1:32" ht="12.75">
      <c r="A3070" s="8"/>
      <c r="B3070" s="8"/>
      <c r="E3070" s="186"/>
      <c r="F3070" s="188"/>
      <c r="G3070" s="188"/>
      <c r="H3070" s="188"/>
      <c r="K3070" s="188"/>
      <c r="L3070" s="188"/>
      <c r="M3070" s="12"/>
      <c r="N3070" s="12"/>
      <c r="S3070" s="195"/>
      <c r="AC3070" s="187"/>
      <c r="AE3070" s="184"/>
      <c r="AF3070" s="182"/>
    </row>
    <row r="3071" spans="1:32" ht="12.75">
      <c r="A3071" s="8"/>
      <c r="B3071" s="8"/>
      <c r="E3071" s="186"/>
      <c r="F3071" s="188"/>
      <c r="G3071" s="188"/>
      <c r="H3071" s="188"/>
      <c r="K3071" s="188"/>
      <c r="L3071" s="188"/>
      <c r="M3071" s="12"/>
      <c r="N3071" s="12"/>
      <c r="S3071" s="195"/>
      <c r="AC3071" s="187"/>
      <c r="AE3071" s="184"/>
      <c r="AF3071" s="182"/>
    </row>
    <row r="3072" spans="1:32" ht="12.75">
      <c r="A3072" s="8"/>
      <c r="B3072" s="8"/>
      <c r="E3072" s="186"/>
      <c r="F3072" s="188"/>
      <c r="G3072" s="188"/>
      <c r="H3072" s="188"/>
      <c r="K3072" s="188"/>
      <c r="L3072" s="188"/>
      <c r="M3072" s="12"/>
      <c r="N3072" s="12"/>
      <c r="S3072" s="195"/>
      <c r="AC3072" s="187"/>
      <c r="AE3072" s="184"/>
      <c r="AF3072" s="182"/>
    </row>
    <row r="3073" spans="1:32" ht="12.75">
      <c r="A3073" s="8"/>
      <c r="B3073" s="8"/>
      <c r="E3073" s="186"/>
      <c r="F3073" s="188"/>
      <c r="G3073" s="188"/>
      <c r="H3073" s="188"/>
      <c r="K3073" s="188"/>
      <c r="L3073" s="188"/>
      <c r="M3073" s="12"/>
      <c r="N3073" s="12"/>
      <c r="S3073" s="195"/>
      <c r="AC3073" s="187"/>
      <c r="AE3073" s="184"/>
      <c r="AF3073" s="182"/>
    </row>
    <row r="3074" spans="1:32" ht="12.75">
      <c r="A3074" s="8"/>
      <c r="B3074" s="8"/>
      <c r="E3074" s="186"/>
      <c r="F3074" s="188"/>
      <c r="G3074" s="188"/>
      <c r="H3074" s="188"/>
      <c r="K3074" s="188"/>
      <c r="L3074" s="188"/>
      <c r="M3074" s="12"/>
      <c r="N3074" s="12"/>
      <c r="S3074" s="195"/>
      <c r="AC3074" s="187"/>
      <c r="AE3074" s="184"/>
      <c r="AF3074" s="182"/>
    </row>
    <row r="3075" spans="1:32" ht="12.75">
      <c r="A3075" s="8"/>
      <c r="B3075" s="8"/>
      <c r="E3075" s="186"/>
      <c r="F3075" s="188"/>
      <c r="G3075" s="188"/>
      <c r="H3075" s="188"/>
      <c r="K3075" s="188"/>
      <c r="L3075" s="188"/>
      <c r="M3075" s="12"/>
      <c r="N3075" s="12"/>
      <c r="S3075" s="195"/>
      <c r="AC3075" s="187"/>
      <c r="AE3075" s="184"/>
      <c r="AF3075" s="182"/>
    </row>
    <row r="3076" spans="1:32" ht="12.75">
      <c r="A3076" s="8"/>
      <c r="B3076" s="8"/>
      <c r="E3076" s="186"/>
      <c r="F3076" s="188"/>
      <c r="G3076" s="188"/>
      <c r="H3076" s="188"/>
      <c r="K3076" s="188"/>
      <c r="L3076" s="188"/>
      <c r="M3076" s="12"/>
      <c r="N3076" s="12"/>
      <c r="S3076" s="195"/>
      <c r="AC3076" s="187"/>
      <c r="AE3076" s="184"/>
      <c r="AF3076" s="182"/>
    </row>
    <row r="3077" spans="1:32" ht="12.75">
      <c r="A3077" s="8"/>
      <c r="B3077" s="8"/>
      <c r="E3077" s="186"/>
      <c r="F3077" s="188"/>
      <c r="G3077" s="188"/>
      <c r="H3077" s="188"/>
      <c r="K3077" s="188"/>
      <c r="L3077" s="188"/>
      <c r="M3077" s="12"/>
      <c r="N3077" s="12"/>
      <c r="S3077" s="195"/>
      <c r="AC3077" s="187"/>
      <c r="AE3077" s="184"/>
      <c r="AF3077" s="182"/>
    </row>
    <row r="3078" spans="1:32" ht="12.75">
      <c r="A3078" s="8"/>
      <c r="B3078" s="8"/>
      <c r="E3078" s="186"/>
      <c r="F3078" s="188"/>
      <c r="G3078" s="188"/>
      <c r="H3078" s="188"/>
      <c r="K3078" s="188"/>
      <c r="L3078" s="188"/>
      <c r="M3078" s="12"/>
      <c r="N3078" s="12"/>
      <c r="S3078" s="195"/>
      <c r="AC3078" s="187"/>
      <c r="AE3078" s="184"/>
      <c r="AF3078" s="182"/>
    </row>
    <row r="3079" spans="1:32" ht="12.75">
      <c r="A3079" s="8"/>
      <c r="B3079" s="8"/>
      <c r="E3079" s="186"/>
      <c r="F3079" s="188"/>
      <c r="G3079" s="188"/>
      <c r="H3079" s="188"/>
      <c r="K3079" s="188"/>
      <c r="L3079" s="188"/>
      <c r="M3079" s="12"/>
      <c r="N3079" s="12"/>
      <c r="S3079" s="195"/>
      <c r="AC3079" s="187"/>
      <c r="AE3079" s="184"/>
      <c r="AF3079" s="182"/>
    </row>
    <row r="3080" spans="1:32" ht="12.75">
      <c r="A3080" s="8"/>
      <c r="B3080" s="8"/>
      <c r="E3080" s="186"/>
      <c r="F3080" s="188"/>
      <c r="G3080" s="188"/>
      <c r="H3080" s="188"/>
      <c r="K3080" s="188"/>
      <c r="L3080" s="188"/>
      <c r="M3080" s="12"/>
      <c r="N3080" s="12"/>
      <c r="S3080" s="195"/>
      <c r="AC3080" s="187"/>
      <c r="AE3080" s="184"/>
      <c r="AF3080" s="182"/>
    </row>
    <row r="3081" spans="1:32" ht="12.75">
      <c r="A3081" s="8"/>
      <c r="B3081" s="8"/>
      <c r="E3081" s="186"/>
      <c r="F3081" s="188"/>
      <c r="G3081" s="188"/>
      <c r="H3081" s="188"/>
      <c r="K3081" s="188"/>
      <c r="L3081" s="188"/>
      <c r="M3081" s="12"/>
      <c r="N3081" s="12"/>
      <c r="S3081" s="195"/>
      <c r="AC3081" s="187"/>
      <c r="AE3081" s="184"/>
      <c r="AF3081" s="182"/>
    </row>
    <row r="3082" spans="1:32" ht="12.75">
      <c r="A3082" s="8"/>
      <c r="B3082" s="8"/>
      <c r="E3082" s="186"/>
      <c r="F3082" s="188"/>
      <c r="G3082" s="188"/>
      <c r="H3082" s="188"/>
      <c r="K3082" s="188"/>
      <c r="L3082" s="188"/>
      <c r="M3082" s="12"/>
      <c r="N3082" s="12"/>
      <c r="S3082" s="195"/>
      <c r="AC3082" s="187"/>
      <c r="AE3082" s="184"/>
      <c r="AF3082" s="182"/>
    </row>
    <row r="3083" spans="1:32" ht="12.75">
      <c r="A3083" s="8"/>
      <c r="B3083" s="8"/>
      <c r="E3083" s="186"/>
      <c r="F3083" s="188"/>
      <c r="G3083" s="188"/>
      <c r="H3083" s="188"/>
      <c r="K3083" s="188"/>
      <c r="L3083" s="188"/>
      <c r="M3083" s="12"/>
      <c r="N3083" s="12"/>
      <c r="S3083" s="195"/>
      <c r="AC3083" s="187"/>
      <c r="AE3083" s="184"/>
      <c r="AF3083" s="182"/>
    </row>
    <row r="3084" spans="1:32" ht="12.75">
      <c r="A3084" s="8"/>
      <c r="B3084" s="8"/>
      <c r="E3084" s="186"/>
      <c r="F3084" s="188"/>
      <c r="G3084" s="188"/>
      <c r="H3084" s="188"/>
      <c r="K3084" s="188"/>
      <c r="L3084" s="188"/>
      <c r="M3084" s="12"/>
      <c r="N3084" s="12"/>
      <c r="S3084" s="195"/>
      <c r="AC3084" s="187"/>
      <c r="AE3084" s="184"/>
      <c r="AF3084" s="182"/>
    </row>
    <row r="3085" spans="1:32" ht="12.75">
      <c r="A3085" s="8"/>
      <c r="B3085" s="8"/>
      <c r="E3085" s="186"/>
      <c r="F3085" s="188"/>
      <c r="G3085" s="188"/>
      <c r="H3085" s="188"/>
      <c r="K3085" s="188"/>
      <c r="L3085" s="188"/>
      <c r="M3085" s="12"/>
      <c r="N3085" s="12"/>
      <c r="S3085" s="195"/>
      <c r="AC3085" s="187"/>
      <c r="AE3085" s="184"/>
      <c r="AF3085" s="182"/>
    </row>
    <row r="3086" spans="1:32" ht="12.75">
      <c r="A3086" s="8"/>
      <c r="B3086" s="8"/>
      <c r="E3086" s="186"/>
      <c r="F3086" s="188"/>
      <c r="G3086" s="188"/>
      <c r="H3086" s="188"/>
      <c r="K3086" s="188"/>
      <c r="L3086" s="188"/>
      <c r="M3086" s="12"/>
      <c r="N3086" s="12"/>
      <c r="S3086" s="195"/>
      <c r="AC3086" s="187"/>
      <c r="AE3086" s="184"/>
      <c r="AF3086" s="182"/>
    </row>
    <row r="3087" spans="1:32" ht="12.75">
      <c r="A3087" s="8"/>
      <c r="B3087" s="8"/>
      <c r="E3087" s="186"/>
      <c r="F3087" s="188"/>
      <c r="G3087" s="188"/>
      <c r="H3087" s="188"/>
      <c r="K3087" s="188"/>
      <c r="L3087" s="188"/>
      <c r="M3087" s="12"/>
      <c r="N3087" s="12"/>
      <c r="S3087" s="195"/>
      <c r="AC3087" s="187"/>
      <c r="AE3087" s="184"/>
      <c r="AF3087" s="182"/>
    </row>
    <row r="3088" spans="1:32" ht="12.75">
      <c r="A3088" s="8"/>
      <c r="B3088" s="8"/>
      <c r="E3088" s="186"/>
      <c r="F3088" s="188"/>
      <c r="G3088" s="188"/>
      <c r="H3088" s="188"/>
      <c r="K3088" s="188"/>
      <c r="L3088" s="188"/>
      <c r="M3088" s="12"/>
      <c r="N3088" s="12"/>
      <c r="S3088" s="195"/>
      <c r="AC3088" s="187"/>
      <c r="AE3088" s="184"/>
      <c r="AF3088" s="182"/>
    </row>
    <row r="3089" spans="1:32" ht="12.75">
      <c r="A3089" s="8"/>
      <c r="B3089" s="8"/>
      <c r="E3089" s="186"/>
      <c r="F3089" s="188"/>
      <c r="G3089" s="188"/>
      <c r="H3089" s="188"/>
      <c r="K3089" s="188"/>
      <c r="L3089" s="188"/>
      <c r="M3089" s="12"/>
      <c r="N3089" s="12"/>
      <c r="S3089" s="195"/>
      <c r="AC3089" s="187"/>
      <c r="AE3089" s="184"/>
      <c r="AF3089" s="182"/>
    </row>
    <row r="3090" spans="1:32" ht="12.75">
      <c r="A3090" s="8"/>
      <c r="B3090" s="8"/>
      <c r="E3090" s="186"/>
      <c r="F3090" s="188"/>
      <c r="G3090" s="188"/>
      <c r="H3090" s="188"/>
      <c r="K3090" s="188"/>
      <c r="L3090" s="188"/>
      <c r="M3090" s="12"/>
      <c r="N3090" s="12"/>
      <c r="S3090" s="195"/>
      <c r="AC3090" s="187"/>
      <c r="AE3090" s="184"/>
      <c r="AF3090" s="182"/>
    </row>
    <row r="3091" spans="1:32" ht="12.75">
      <c r="A3091" s="8"/>
      <c r="B3091" s="8"/>
      <c r="E3091" s="186"/>
      <c r="F3091" s="188"/>
      <c r="G3091" s="188"/>
      <c r="H3091" s="188"/>
      <c r="K3091" s="188"/>
      <c r="L3091" s="188"/>
      <c r="M3091" s="12"/>
      <c r="N3091" s="12"/>
      <c r="S3091" s="195"/>
      <c r="AC3091" s="187"/>
      <c r="AE3091" s="184"/>
      <c r="AF3091" s="182"/>
    </row>
    <row r="3092" spans="1:32" ht="12.75">
      <c r="A3092" s="8"/>
      <c r="B3092" s="8"/>
      <c r="E3092" s="186"/>
      <c r="F3092" s="188"/>
      <c r="G3092" s="188"/>
      <c r="H3092" s="188"/>
      <c r="K3092" s="188"/>
      <c r="L3092" s="188"/>
      <c r="M3092" s="12"/>
      <c r="N3092" s="12"/>
      <c r="S3092" s="195"/>
      <c r="AC3092" s="187"/>
      <c r="AE3092" s="184"/>
      <c r="AF3092" s="182"/>
    </row>
    <row r="3093" spans="1:32" ht="12.75">
      <c r="A3093" s="8"/>
      <c r="B3093" s="8"/>
      <c r="E3093" s="186"/>
      <c r="F3093" s="188"/>
      <c r="G3093" s="188"/>
      <c r="H3093" s="188"/>
      <c r="K3093" s="188"/>
      <c r="L3093" s="188"/>
      <c r="M3093" s="12"/>
      <c r="N3093" s="12"/>
      <c r="S3093" s="195"/>
      <c r="AC3093" s="187"/>
      <c r="AE3093" s="184"/>
      <c r="AF3093" s="182"/>
    </row>
    <row r="3094" spans="1:32" ht="12.75">
      <c r="A3094" s="8"/>
      <c r="B3094" s="8"/>
      <c r="E3094" s="186"/>
      <c r="F3094" s="188"/>
      <c r="G3094" s="188"/>
      <c r="H3094" s="188"/>
      <c r="K3094" s="188"/>
      <c r="L3094" s="188"/>
      <c r="M3094" s="12"/>
      <c r="N3094" s="12"/>
      <c r="S3094" s="195"/>
      <c r="AC3094" s="187"/>
      <c r="AE3094" s="184"/>
      <c r="AF3094" s="182"/>
    </row>
    <row r="3095" spans="1:32" ht="12.75">
      <c r="A3095" s="8"/>
      <c r="B3095" s="8"/>
      <c r="E3095" s="186"/>
      <c r="F3095" s="188"/>
      <c r="G3095" s="188"/>
      <c r="H3095" s="188"/>
      <c r="K3095" s="188"/>
      <c r="L3095" s="188"/>
      <c r="M3095" s="12"/>
      <c r="N3095" s="12"/>
      <c r="S3095" s="195"/>
      <c r="AC3095" s="187"/>
      <c r="AE3095" s="184"/>
      <c r="AF3095" s="182"/>
    </row>
    <row r="3096" spans="1:32" ht="12.75">
      <c r="A3096" s="8"/>
      <c r="B3096" s="8"/>
      <c r="E3096" s="186"/>
      <c r="F3096" s="188"/>
      <c r="G3096" s="188"/>
      <c r="H3096" s="188"/>
      <c r="K3096" s="188"/>
      <c r="L3096" s="188"/>
      <c r="M3096" s="12"/>
      <c r="N3096" s="12"/>
      <c r="S3096" s="195"/>
      <c r="AC3096" s="187"/>
      <c r="AE3096" s="184"/>
      <c r="AF3096" s="182"/>
    </row>
    <row r="3097" spans="1:32" ht="12.75">
      <c r="A3097" s="8"/>
      <c r="B3097" s="8"/>
      <c r="E3097" s="186"/>
      <c r="F3097" s="188"/>
      <c r="G3097" s="188"/>
      <c r="H3097" s="188"/>
      <c r="K3097" s="188"/>
      <c r="L3097" s="188"/>
      <c r="M3097" s="12"/>
      <c r="N3097" s="12"/>
      <c r="S3097" s="195"/>
      <c r="AC3097" s="187"/>
      <c r="AE3097" s="184"/>
      <c r="AF3097" s="182"/>
    </row>
    <row r="3098" spans="1:32" ht="12.75">
      <c r="A3098" s="8"/>
      <c r="B3098" s="8"/>
      <c r="E3098" s="186"/>
      <c r="F3098" s="188"/>
      <c r="G3098" s="188"/>
      <c r="H3098" s="188"/>
      <c r="K3098" s="188"/>
      <c r="L3098" s="188"/>
      <c r="M3098" s="12"/>
      <c r="N3098" s="12"/>
      <c r="S3098" s="195"/>
      <c r="AC3098" s="187"/>
      <c r="AE3098" s="184"/>
      <c r="AF3098" s="182"/>
    </row>
    <row r="3099" spans="1:32" ht="12.75">
      <c r="A3099" s="8"/>
      <c r="B3099" s="8"/>
      <c r="E3099" s="186"/>
      <c r="F3099" s="188"/>
      <c r="G3099" s="188"/>
      <c r="H3099" s="188"/>
      <c r="K3099" s="188"/>
      <c r="L3099" s="188"/>
      <c r="M3099" s="12"/>
      <c r="N3099" s="12"/>
      <c r="S3099" s="195"/>
      <c r="AC3099" s="187"/>
      <c r="AE3099" s="184"/>
      <c r="AF3099" s="182"/>
    </row>
    <row r="3100" spans="1:32" ht="12.75">
      <c r="A3100" s="8"/>
      <c r="B3100" s="8"/>
      <c r="E3100" s="186"/>
      <c r="F3100" s="188"/>
      <c r="G3100" s="188"/>
      <c r="H3100" s="188"/>
      <c r="K3100" s="188"/>
      <c r="L3100" s="188"/>
      <c r="M3100" s="12"/>
      <c r="N3100" s="12"/>
      <c r="S3100" s="195"/>
      <c r="AC3100" s="187"/>
      <c r="AE3100" s="184"/>
      <c r="AF3100" s="182"/>
    </row>
    <row r="3101" spans="1:32" ht="12.75">
      <c r="A3101" s="8"/>
      <c r="B3101" s="8"/>
      <c r="E3101" s="186"/>
      <c r="F3101" s="188"/>
      <c r="G3101" s="188"/>
      <c r="H3101" s="188"/>
      <c r="K3101" s="188"/>
      <c r="L3101" s="188"/>
      <c r="M3101" s="12"/>
      <c r="N3101" s="12"/>
      <c r="S3101" s="195"/>
      <c r="AC3101" s="187"/>
      <c r="AE3101" s="184"/>
      <c r="AF3101" s="182"/>
    </row>
    <row r="3102" spans="1:32" ht="12.75">
      <c r="A3102" s="8"/>
      <c r="B3102" s="8"/>
      <c r="E3102" s="186"/>
      <c r="F3102" s="188"/>
      <c r="G3102" s="188"/>
      <c r="H3102" s="188"/>
      <c r="K3102" s="188"/>
      <c r="L3102" s="188"/>
      <c r="M3102" s="12"/>
      <c r="N3102" s="12"/>
      <c r="S3102" s="195"/>
      <c r="AC3102" s="187"/>
      <c r="AE3102" s="184"/>
      <c r="AF3102" s="182"/>
    </row>
    <row r="3103" spans="1:32" ht="12.75">
      <c r="A3103" s="8"/>
      <c r="B3103" s="8"/>
      <c r="E3103" s="186"/>
      <c r="F3103" s="188"/>
      <c r="G3103" s="188"/>
      <c r="H3103" s="188"/>
      <c r="K3103" s="188"/>
      <c r="L3103" s="188"/>
      <c r="M3103" s="12"/>
      <c r="N3103" s="12"/>
      <c r="S3103" s="195"/>
      <c r="AC3103" s="187"/>
      <c r="AE3103" s="184"/>
      <c r="AF3103" s="182"/>
    </row>
    <row r="3104" spans="1:32" ht="12.75">
      <c r="A3104" s="8"/>
      <c r="B3104" s="8"/>
      <c r="E3104" s="186"/>
      <c r="F3104" s="188"/>
      <c r="G3104" s="188"/>
      <c r="H3104" s="188"/>
      <c r="K3104" s="188"/>
      <c r="L3104" s="188"/>
      <c r="M3104" s="12"/>
      <c r="N3104" s="12"/>
      <c r="S3104" s="195"/>
      <c r="AC3104" s="187"/>
      <c r="AE3104" s="184"/>
      <c r="AF3104" s="182"/>
    </row>
    <row r="3105" spans="1:32" ht="12.75">
      <c r="A3105" s="8"/>
      <c r="B3105" s="8"/>
      <c r="E3105" s="186"/>
      <c r="F3105" s="188"/>
      <c r="G3105" s="188"/>
      <c r="H3105" s="188"/>
      <c r="K3105" s="188"/>
      <c r="L3105" s="188"/>
      <c r="M3105" s="12"/>
      <c r="N3105" s="12"/>
      <c r="S3105" s="195"/>
      <c r="AC3105" s="187"/>
      <c r="AE3105" s="184"/>
      <c r="AF3105" s="182"/>
    </row>
    <row r="3106" spans="1:32" ht="12.75">
      <c r="A3106" s="8"/>
      <c r="B3106" s="8"/>
      <c r="E3106" s="186"/>
      <c r="F3106" s="188"/>
      <c r="G3106" s="188"/>
      <c r="H3106" s="188"/>
      <c r="K3106" s="188"/>
      <c r="L3106" s="188"/>
      <c r="M3106" s="12"/>
      <c r="N3106" s="12"/>
      <c r="S3106" s="195"/>
      <c r="AC3106" s="187"/>
      <c r="AE3106" s="184"/>
      <c r="AF3106" s="182"/>
    </row>
    <row r="3107" spans="1:32" ht="12.75">
      <c r="A3107" s="8"/>
      <c r="B3107" s="8"/>
      <c r="E3107" s="186"/>
      <c r="F3107" s="188"/>
      <c r="G3107" s="188"/>
      <c r="H3107" s="188"/>
      <c r="K3107" s="188"/>
      <c r="L3107" s="188"/>
      <c r="M3107" s="12"/>
      <c r="N3107" s="12"/>
      <c r="S3107" s="195"/>
      <c r="AC3107" s="187"/>
      <c r="AE3107" s="184"/>
      <c r="AF3107" s="182"/>
    </row>
    <row r="3108" spans="1:32" ht="12.75">
      <c r="A3108" s="8"/>
      <c r="B3108" s="8"/>
      <c r="E3108" s="186"/>
      <c r="F3108" s="188"/>
      <c r="G3108" s="188"/>
      <c r="H3108" s="188"/>
      <c r="K3108" s="188"/>
      <c r="L3108" s="188"/>
      <c r="M3108" s="12"/>
      <c r="N3108" s="12"/>
      <c r="S3108" s="195"/>
      <c r="AC3108" s="187"/>
      <c r="AE3108" s="184"/>
      <c r="AF3108" s="182"/>
    </row>
    <row r="3109" spans="1:32" ht="12.75">
      <c r="A3109" s="8"/>
      <c r="B3109" s="8"/>
      <c r="E3109" s="186"/>
      <c r="F3109" s="188"/>
      <c r="G3109" s="188"/>
      <c r="H3109" s="188"/>
      <c r="K3109" s="188"/>
      <c r="L3109" s="188"/>
      <c r="M3109" s="12"/>
      <c r="N3109" s="12"/>
      <c r="S3109" s="195"/>
      <c r="AC3109" s="187"/>
      <c r="AE3109" s="184"/>
      <c r="AF3109" s="182"/>
    </row>
    <row r="3110" spans="1:32" ht="12.75">
      <c r="A3110" s="8"/>
      <c r="B3110" s="8"/>
      <c r="E3110" s="186"/>
      <c r="F3110" s="188"/>
      <c r="G3110" s="188"/>
      <c r="H3110" s="188"/>
      <c r="K3110" s="188"/>
      <c r="L3110" s="188"/>
      <c r="M3110" s="12"/>
      <c r="N3110" s="12"/>
      <c r="S3110" s="195"/>
      <c r="AC3110" s="187"/>
      <c r="AE3110" s="184"/>
      <c r="AF3110" s="182"/>
    </row>
    <row r="3111" spans="1:32" ht="12.75">
      <c r="A3111" s="8"/>
      <c r="B3111" s="8"/>
      <c r="E3111" s="186"/>
      <c r="F3111" s="188"/>
      <c r="G3111" s="188"/>
      <c r="H3111" s="188"/>
      <c r="K3111" s="188"/>
      <c r="L3111" s="188"/>
      <c r="M3111" s="12"/>
      <c r="N3111" s="12"/>
      <c r="S3111" s="195"/>
      <c r="AC3111" s="187"/>
      <c r="AE3111" s="184"/>
      <c r="AF3111" s="182"/>
    </row>
    <row r="3112" spans="1:32" ht="12.75">
      <c r="A3112" s="8"/>
      <c r="B3112" s="8"/>
      <c r="E3112" s="186"/>
      <c r="F3112" s="188"/>
      <c r="G3112" s="188"/>
      <c r="H3112" s="188"/>
      <c r="K3112" s="188"/>
      <c r="L3112" s="188"/>
      <c r="M3112" s="12"/>
      <c r="N3112" s="12"/>
      <c r="S3112" s="195"/>
      <c r="AC3112" s="187"/>
      <c r="AE3112" s="184"/>
      <c r="AF3112" s="182"/>
    </row>
    <row r="3113" spans="1:32" ht="12.75">
      <c r="A3113" s="8"/>
      <c r="B3113" s="8"/>
      <c r="E3113" s="186"/>
      <c r="F3113" s="188"/>
      <c r="G3113" s="188"/>
      <c r="H3113" s="188"/>
      <c r="K3113" s="188"/>
      <c r="L3113" s="188"/>
      <c r="M3113" s="12"/>
      <c r="N3113" s="12"/>
      <c r="S3113" s="195"/>
      <c r="AC3113" s="187"/>
      <c r="AE3113" s="184"/>
      <c r="AF3113" s="182"/>
    </row>
    <row r="3114" spans="1:32" ht="12.75">
      <c r="A3114" s="8"/>
      <c r="B3114" s="8"/>
      <c r="E3114" s="186"/>
      <c r="F3114" s="188"/>
      <c r="G3114" s="188"/>
      <c r="H3114" s="188"/>
      <c r="K3114" s="188"/>
      <c r="L3114" s="188"/>
      <c r="M3114" s="12"/>
      <c r="N3114" s="12"/>
      <c r="S3114" s="195"/>
      <c r="AC3114" s="187"/>
      <c r="AE3114" s="184"/>
      <c r="AF3114" s="182"/>
    </row>
    <row r="3115" spans="1:32" ht="12.75">
      <c r="A3115" s="8"/>
      <c r="B3115" s="8"/>
      <c r="E3115" s="186"/>
      <c r="F3115" s="188"/>
      <c r="G3115" s="188"/>
      <c r="H3115" s="188"/>
      <c r="K3115" s="188"/>
      <c r="L3115" s="188"/>
      <c r="M3115" s="12"/>
      <c r="N3115" s="12"/>
      <c r="S3115" s="195"/>
      <c r="AC3115" s="187"/>
      <c r="AE3115" s="184"/>
      <c r="AF3115" s="182"/>
    </row>
    <row r="3116" spans="1:32" ht="12.75">
      <c r="A3116" s="8"/>
      <c r="B3116" s="8"/>
      <c r="E3116" s="186"/>
      <c r="F3116" s="188"/>
      <c r="G3116" s="188"/>
      <c r="H3116" s="188"/>
      <c r="K3116" s="188"/>
      <c r="L3116" s="188"/>
      <c r="M3116" s="12"/>
      <c r="N3116" s="12"/>
      <c r="S3116" s="195"/>
      <c r="AC3116" s="187"/>
      <c r="AE3116" s="184"/>
      <c r="AF3116" s="182"/>
    </row>
    <row r="3117" spans="1:32" ht="12.75">
      <c r="A3117" s="8"/>
      <c r="B3117" s="8"/>
      <c r="E3117" s="186"/>
      <c r="F3117" s="188"/>
      <c r="G3117" s="188"/>
      <c r="H3117" s="188"/>
      <c r="K3117" s="188"/>
      <c r="L3117" s="188"/>
      <c r="M3117" s="12"/>
      <c r="N3117" s="12"/>
      <c r="S3117" s="195"/>
      <c r="AC3117" s="187"/>
      <c r="AE3117" s="184"/>
      <c r="AF3117" s="182"/>
    </row>
    <row r="3118" spans="1:32" ht="12.75">
      <c r="A3118" s="8"/>
      <c r="B3118" s="8"/>
      <c r="E3118" s="186"/>
      <c r="F3118" s="188"/>
      <c r="G3118" s="188"/>
      <c r="H3118" s="188"/>
      <c r="K3118" s="188"/>
      <c r="L3118" s="188"/>
      <c r="M3118" s="12"/>
      <c r="N3118" s="12"/>
      <c r="S3118" s="195"/>
      <c r="AC3118" s="187"/>
      <c r="AE3118" s="184"/>
      <c r="AF3118" s="182"/>
    </row>
    <row r="3119" spans="1:32" ht="12.75">
      <c r="A3119" s="8"/>
      <c r="B3119" s="8"/>
      <c r="E3119" s="186"/>
      <c r="F3119" s="188"/>
      <c r="G3119" s="188"/>
      <c r="H3119" s="188"/>
      <c r="K3119" s="188"/>
      <c r="L3119" s="188"/>
      <c r="M3119" s="12"/>
      <c r="N3119" s="12"/>
      <c r="S3119" s="195"/>
      <c r="AC3119" s="187"/>
      <c r="AE3119" s="184"/>
      <c r="AF3119" s="182"/>
    </row>
    <row r="3120" spans="1:32" ht="12.75">
      <c r="A3120" s="8"/>
      <c r="B3120" s="8"/>
      <c r="E3120" s="186"/>
      <c r="F3120" s="188"/>
      <c r="G3120" s="188"/>
      <c r="H3120" s="188"/>
      <c r="K3120" s="188"/>
      <c r="L3120" s="188"/>
      <c r="M3120" s="12"/>
      <c r="N3120" s="12"/>
      <c r="S3120" s="195"/>
      <c r="AC3120" s="187"/>
      <c r="AE3120" s="184"/>
      <c r="AF3120" s="182"/>
    </row>
    <row r="3121" spans="1:32" ht="12.75">
      <c r="A3121" s="8"/>
      <c r="B3121" s="8"/>
      <c r="E3121" s="186"/>
      <c r="F3121" s="188"/>
      <c r="G3121" s="188"/>
      <c r="H3121" s="188"/>
      <c r="K3121" s="188"/>
      <c r="L3121" s="188"/>
      <c r="M3121" s="12"/>
      <c r="N3121" s="12"/>
      <c r="S3121" s="195"/>
      <c r="AC3121" s="187"/>
      <c r="AE3121" s="184"/>
      <c r="AF3121" s="182"/>
    </row>
    <row r="3122" spans="1:32" ht="12.75">
      <c r="A3122" s="8"/>
      <c r="B3122" s="8"/>
      <c r="E3122" s="186"/>
      <c r="F3122" s="188"/>
      <c r="G3122" s="188"/>
      <c r="H3122" s="188"/>
      <c r="K3122" s="188"/>
      <c r="L3122" s="188"/>
      <c r="M3122" s="12"/>
      <c r="N3122" s="12"/>
      <c r="S3122" s="195"/>
      <c r="AC3122" s="187"/>
      <c r="AE3122" s="184"/>
      <c r="AF3122" s="182"/>
    </row>
    <row r="3123" spans="1:32" ht="12.75">
      <c r="A3123" s="8"/>
      <c r="B3123" s="8"/>
      <c r="E3123" s="186"/>
      <c r="F3123" s="188"/>
      <c r="G3123" s="188"/>
      <c r="H3123" s="188"/>
      <c r="K3123" s="188"/>
      <c r="L3123" s="188"/>
      <c r="M3123" s="12"/>
      <c r="N3123" s="12"/>
      <c r="S3123" s="195"/>
      <c r="AC3123" s="187"/>
      <c r="AE3123" s="184"/>
      <c r="AF3123" s="182"/>
    </row>
    <row r="3124" spans="1:32" ht="12.75">
      <c r="A3124" s="8"/>
      <c r="B3124" s="8"/>
      <c r="E3124" s="186"/>
      <c r="F3124" s="188"/>
      <c r="G3124" s="188"/>
      <c r="H3124" s="188"/>
      <c r="K3124" s="188"/>
      <c r="L3124" s="188"/>
      <c r="M3124" s="12"/>
      <c r="N3124" s="12"/>
      <c r="S3124" s="195"/>
      <c r="AC3124" s="187"/>
      <c r="AE3124" s="184"/>
      <c r="AF3124" s="182"/>
    </row>
    <row r="3125" spans="1:32" ht="12.75">
      <c r="A3125" s="8"/>
      <c r="B3125" s="8"/>
      <c r="E3125" s="186"/>
      <c r="F3125" s="188"/>
      <c r="G3125" s="188"/>
      <c r="H3125" s="188"/>
      <c r="K3125" s="188"/>
      <c r="L3125" s="188"/>
      <c r="M3125" s="12"/>
      <c r="N3125" s="12"/>
      <c r="S3125" s="195"/>
      <c r="AC3125" s="187"/>
      <c r="AE3125" s="184"/>
      <c r="AF3125" s="182"/>
    </row>
    <row r="3126" spans="1:32" ht="12.75">
      <c r="A3126" s="8"/>
      <c r="B3126" s="8"/>
      <c r="E3126" s="186"/>
      <c r="F3126" s="188"/>
      <c r="G3126" s="188"/>
      <c r="H3126" s="188"/>
      <c r="K3126" s="188"/>
      <c r="L3126" s="188"/>
      <c r="M3126" s="12"/>
      <c r="N3126" s="12"/>
      <c r="S3126" s="195"/>
      <c r="AC3126" s="187"/>
      <c r="AE3126" s="184"/>
      <c r="AF3126" s="182"/>
    </row>
    <row r="3127" spans="1:32" ht="12.75">
      <c r="A3127" s="8"/>
      <c r="B3127" s="8"/>
      <c r="E3127" s="186"/>
      <c r="F3127" s="188"/>
      <c r="G3127" s="188"/>
      <c r="H3127" s="188"/>
      <c r="K3127" s="188"/>
      <c r="L3127" s="188"/>
      <c r="M3127" s="12"/>
      <c r="N3127" s="12"/>
      <c r="S3127" s="195"/>
      <c r="AC3127" s="187"/>
      <c r="AE3127" s="184"/>
      <c r="AF3127" s="182"/>
    </row>
    <row r="3128" spans="1:32" ht="12.75">
      <c r="A3128" s="8"/>
      <c r="B3128" s="8"/>
      <c r="E3128" s="186"/>
      <c r="F3128" s="188"/>
      <c r="G3128" s="188"/>
      <c r="H3128" s="188"/>
      <c r="K3128" s="188"/>
      <c r="L3128" s="188"/>
      <c r="M3128" s="12"/>
      <c r="N3128" s="12"/>
      <c r="S3128" s="195"/>
      <c r="AC3128" s="187"/>
      <c r="AE3128" s="184"/>
      <c r="AF3128" s="182"/>
    </row>
    <row r="3129" spans="1:32" ht="12.75">
      <c r="A3129" s="8"/>
      <c r="B3129" s="8"/>
      <c r="E3129" s="186"/>
      <c r="F3129" s="188"/>
      <c r="G3129" s="188"/>
      <c r="H3129" s="188"/>
      <c r="K3129" s="188"/>
      <c r="L3129" s="188"/>
      <c r="M3129" s="12"/>
      <c r="N3129" s="12"/>
      <c r="S3129" s="195"/>
      <c r="AC3129" s="187"/>
      <c r="AE3129" s="184"/>
      <c r="AF3129" s="182"/>
    </row>
    <row r="3130" spans="1:32" ht="12.75">
      <c r="A3130" s="8"/>
      <c r="B3130" s="8"/>
      <c r="E3130" s="186"/>
      <c r="F3130" s="188"/>
      <c r="G3130" s="188"/>
      <c r="H3130" s="188"/>
      <c r="K3130" s="188"/>
      <c r="L3130" s="188"/>
      <c r="M3130" s="12"/>
      <c r="N3130" s="12"/>
      <c r="S3130" s="195"/>
      <c r="AC3130" s="187"/>
      <c r="AE3130" s="184"/>
      <c r="AF3130" s="182"/>
    </row>
    <row r="3131" spans="1:32" ht="12.75">
      <c r="A3131" s="8"/>
      <c r="B3131" s="8"/>
      <c r="E3131" s="186"/>
      <c r="F3131" s="188"/>
      <c r="G3131" s="188"/>
      <c r="H3131" s="188"/>
      <c r="K3131" s="188"/>
      <c r="L3131" s="188"/>
      <c r="M3131" s="12"/>
      <c r="N3131" s="12"/>
      <c r="S3131" s="195"/>
      <c r="AC3131" s="187"/>
      <c r="AE3131" s="184"/>
      <c r="AF3131" s="182"/>
    </row>
    <row r="3132" spans="1:32" ht="12.75">
      <c r="A3132" s="8"/>
      <c r="B3132" s="8"/>
      <c r="E3132" s="186"/>
      <c r="F3132" s="188"/>
      <c r="G3132" s="188"/>
      <c r="H3132" s="188"/>
      <c r="K3132" s="188"/>
      <c r="L3132" s="188"/>
      <c r="M3132" s="12"/>
      <c r="N3132" s="12"/>
      <c r="S3132" s="195"/>
      <c r="AC3132" s="187"/>
      <c r="AE3132" s="184"/>
      <c r="AF3132" s="182"/>
    </row>
    <row r="3133" spans="1:32" ht="12.75">
      <c r="A3133" s="8"/>
      <c r="B3133" s="8"/>
      <c r="E3133" s="186"/>
      <c r="F3133" s="188"/>
      <c r="G3133" s="188"/>
      <c r="H3133" s="188"/>
      <c r="K3133" s="188"/>
      <c r="L3133" s="188"/>
      <c r="M3133" s="12"/>
      <c r="N3133" s="12"/>
      <c r="S3133" s="195"/>
      <c r="AC3133" s="187"/>
      <c r="AE3133" s="184"/>
      <c r="AF3133" s="182"/>
    </row>
    <row r="3134" spans="1:32" ht="12.75">
      <c r="A3134" s="8"/>
      <c r="B3134" s="8"/>
      <c r="E3134" s="186"/>
      <c r="F3134" s="188"/>
      <c r="G3134" s="188"/>
      <c r="H3134" s="188"/>
      <c r="K3134" s="188"/>
      <c r="L3134" s="188"/>
      <c r="M3134" s="12"/>
      <c r="N3134" s="12"/>
      <c r="S3134" s="195"/>
      <c r="AC3134" s="187"/>
      <c r="AE3134" s="184"/>
      <c r="AF3134" s="182"/>
    </row>
    <row r="3135" spans="1:32" ht="12.75">
      <c r="A3135" s="8"/>
      <c r="B3135" s="8"/>
      <c r="E3135" s="186"/>
      <c r="F3135" s="188"/>
      <c r="G3135" s="188"/>
      <c r="H3135" s="188"/>
      <c r="K3135" s="188"/>
      <c r="L3135" s="188"/>
      <c r="M3135" s="12"/>
      <c r="N3135" s="12"/>
      <c r="S3135" s="195"/>
      <c r="AC3135" s="187"/>
      <c r="AE3135" s="184"/>
      <c r="AF3135" s="182"/>
    </row>
    <row r="3136" spans="1:32" ht="12.75">
      <c r="A3136" s="8"/>
      <c r="B3136" s="8"/>
      <c r="E3136" s="186"/>
      <c r="F3136" s="188"/>
      <c r="G3136" s="188"/>
      <c r="H3136" s="188"/>
      <c r="K3136" s="188"/>
      <c r="L3136" s="188"/>
      <c r="M3136" s="12"/>
      <c r="N3136" s="12"/>
      <c r="S3136" s="195"/>
      <c r="AC3136" s="187"/>
      <c r="AE3136" s="184"/>
      <c r="AF3136" s="182"/>
    </row>
    <row r="3137" spans="1:32" ht="14.25" customHeight="1">
      <c r="A3137" s="8"/>
      <c r="B3137" s="8"/>
      <c r="F3137" s="188"/>
      <c r="G3137" s="188"/>
      <c r="H3137" s="188"/>
      <c r="K3137" s="188"/>
      <c r="L3137" s="188"/>
      <c r="M3137" s="12"/>
      <c r="N3137" s="12"/>
      <c r="S3137" s="195"/>
      <c r="AC3137" s="187"/>
      <c r="AE3137" s="184"/>
      <c r="AF3137" s="182"/>
    </row>
    <row r="3138" spans="1:32" ht="14.25" customHeight="1">
      <c r="A3138" s="8"/>
      <c r="B3138" s="8"/>
      <c r="F3138" s="188"/>
      <c r="G3138" s="188"/>
      <c r="H3138" s="188"/>
      <c r="K3138" s="188"/>
      <c r="L3138" s="188"/>
      <c r="M3138" s="12"/>
      <c r="N3138" s="12"/>
      <c r="S3138" s="195"/>
      <c r="AC3138" s="187"/>
      <c r="AE3138" s="184"/>
      <c r="AF3138" s="182"/>
    </row>
    <row r="3139" spans="1:32" ht="14.25" customHeight="1">
      <c r="B3139" s="8"/>
      <c r="F3139" s="188"/>
      <c r="G3139" s="188"/>
      <c r="H3139" s="188"/>
      <c r="K3139" s="188"/>
      <c r="L3139" s="188"/>
      <c r="M3139" s="12"/>
      <c r="N3139" s="12"/>
      <c r="S3139" s="195"/>
      <c r="AC3139" s="187"/>
      <c r="AE3139" s="184"/>
      <c r="AF3139" s="182"/>
    </row>
    <row r="3140" spans="1:32" ht="14.25" customHeight="1">
      <c r="B3140" s="8"/>
      <c r="F3140" s="188"/>
      <c r="G3140" s="188"/>
      <c r="H3140" s="188"/>
      <c r="K3140" s="188"/>
      <c r="L3140" s="188"/>
      <c r="M3140" s="12"/>
      <c r="N3140" s="12"/>
      <c r="S3140" s="195"/>
      <c r="AC3140" s="187"/>
      <c r="AE3140" s="184"/>
      <c r="AF3140" s="182"/>
    </row>
    <row r="3141" spans="1:32" ht="14.25" customHeight="1">
      <c r="B3141" s="8"/>
      <c r="F3141" s="188"/>
      <c r="G3141" s="188"/>
      <c r="H3141" s="188"/>
      <c r="K3141" s="188"/>
      <c r="L3141" s="188"/>
      <c r="M3141" s="12"/>
      <c r="N3141" s="12"/>
      <c r="S3141" s="195"/>
      <c r="AC3141" s="187"/>
      <c r="AE3141" s="184"/>
      <c r="AF3141" s="182"/>
    </row>
    <row r="3142" spans="1:32" ht="14.25" customHeight="1">
      <c r="B3142" s="8"/>
      <c r="F3142" s="188"/>
      <c r="G3142" s="188"/>
      <c r="H3142" s="188"/>
      <c r="K3142" s="188"/>
      <c r="L3142" s="188"/>
      <c r="M3142" s="12"/>
      <c r="N3142" s="12"/>
      <c r="S3142" s="195"/>
      <c r="AC3142" s="187"/>
      <c r="AE3142" s="184"/>
      <c r="AF3142" s="182"/>
    </row>
    <row r="3143" spans="1:32" ht="14.25" customHeight="1">
      <c r="B3143" s="8"/>
      <c r="F3143" s="188"/>
      <c r="G3143" s="188"/>
      <c r="H3143" s="188"/>
      <c r="K3143" s="188"/>
      <c r="L3143" s="188"/>
      <c r="M3143" s="12"/>
      <c r="N3143" s="12"/>
      <c r="S3143" s="195"/>
      <c r="AC3143" s="187"/>
      <c r="AE3143" s="184"/>
      <c r="AF3143" s="182"/>
    </row>
    <row r="3144" spans="1:32" ht="14.25" customHeight="1">
      <c r="B3144" s="8"/>
      <c r="F3144" s="188"/>
      <c r="G3144" s="188"/>
      <c r="H3144" s="188"/>
      <c r="K3144" s="188"/>
      <c r="L3144" s="188"/>
      <c r="M3144" s="12"/>
      <c r="N3144" s="12"/>
      <c r="S3144" s="195"/>
      <c r="AC3144" s="187"/>
      <c r="AE3144" s="184"/>
      <c r="AF3144" s="182"/>
    </row>
    <row r="3145" spans="1:32" ht="14.25" customHeight="1">
      <c r="B3145" s="8"/>
      <c r="F3145" s="188"/>
      <c r="G3145" s="188"/>
      <c r="H3145" s="188"/>
      <c r="K3145" s="188"/>
      <c r="L3145" s="188"/>
      <c r="M3145" s="12"/>
      <c r="N3145" s="12"/>
      <c r="S3145" s="195"/>
      <c r="AC3145" s="187"/>
      <c r="AE3145" s="184"/>
      <c r="AF3145" s="182"/>
    </row>
    <row r="3146" spans="1:32" ht="14.25" customHeight="1">
      <c r="B3146" s="8"/>
      <c r="F3146" s="188"/>
      <c r="G3146" s="188"/>
      <c r="H3146" s="188"/>
      <c r="K3146" s="188"/>
      <c r="L3146" s="188"/>
      <c r="M3146" s="12"/>
      <c r="N3146" s="12"/>
      <c r="S3146" s="195"/>
      <c r="AC3146" s="187"/>
      <c r="AE3146" s="184"/>
      <c r="AF3146" s="182"/>
    </row>
    <row r="3147" spans="1:32" ht="14.25" customHeight="1">
      <c r="B3147" s="8"/>
      <c r="F3147" s="188"/>
      <c r="G3147" s="188"/>
      <c r="H3147" s="188"/>
      <c r="K3147" s="188"/>
      <c r="L3147" s="188"/>
      <c r="M3147" s="12"/>
      <c r="N3147" s="12"/>
      <c r="S3147" s="195"/>
      <c r="AC3147" s="187"/>
      <c r="AE3147" s="184"/>
      <c r="AF3147" s="182"/>
    </row>
    <row r="3148" spans="1:32" ht="14.25" customHeight="1">
      <c r="B3148" s="8"/>
      <c r="F3148" s="188"/>
      <c r="G3148" s="188"/>
      <c r="H3148" s="188"/>
      <c r="K3148" s="188"/>
      <c r="L3148" s="188"/>
      <c r="M3148" s="12"/>
      <c r="N3148" s="12"/>
      <c r="S3148" s="195"/>
      <c r="AC3148" s="187"/>
      <c r="AE3148" s="184"/>
      <c r="AF3148" s="182"/>
    </row>
    <row r="3149" spans="1:32" ht="14.25" customHeight="1">
      <c r="B3149" s="8"/>
      <c r="F3149" s="188"/>
      <c r="G3149" s="188"/>
      <c r="H3149" s="188"/>
      <c r="K3149" s="188"/>
      <c r="L3149" s="188"/>
      <c r="M3149" s="12"/>
      <c r="N3149" s="12"/>
      <c r="S3149" s="195"/>
      <c r="AC3149" s="187"/>
      <c r="AE3149" s="184"/>
      <c r="AF3149" s="182"/>
    </row>
    <row r="3150" spans="1:32" ht="14.25" customHeight="1">
      <c r="B3150" s="8"/>
      <c r="F3150" s="188"/>
      <c r="G3150" s="188"/>
      <c r="H3150" s="188"/>
      <c r="K3150" s="188"/>
      <c r="L3150" s="188"/>
      <c r="M3150" s="12"/>
      <c r="N3150" s="12"/>
      <c r="S3150" s="195"/>
      <c r="AC3150" s="187"/>
      <c r="AE3150" s="184"/>
      <c r="AF3150" s="182"/>
    </row>
    <row r="3151" spans="1:32" ht="14.25" customHeight="1">
      <c r="B3151" s="8"/>
      <c r="F3151" s="188"/>
      <c r="G3151" s="188"/>
      <c r="H3151" s="188"/>
      <c r="K3151" s="188"/>
      <c r="L3151" s="188"/>
      <c r="M3151" s="12"/>
      <c r="N3151" s="12"/>
      <c r="S3151" s="195"/>
      <c r="AC3151" s="187"/>
      <c r="AE3151" s="184"/>
      <c r="AF3151" s="182"/>
    </row>
    <row r="3152" spans="1:32" ht="14.25" customHeight="1">
      <c r="B3152" s="8"/>
      <c r="F3152" s="188"/>
      <c r="G3152" s="188"/>
      <c r="H3152" s="188"/>
      <c r="K3152" s="188"/>
      <c r="L3152" s="188"/>
      <c r="M3152" s="12"/>
      <c r="N3152" s="12"/>
      <c r="S3152" s="195"/>
      <c r="AC3152" s="187"/>
      <c r="AE3152" s="184"/>
      <c r="AF3152" s="182"/>
    </row>
    <row r="3153" spans="2:32" ht="14.25" customHeight="1">
      <c r="B3153" s="8"/>
      <c r="F3153" s="188"/>
      <c r="G3153" s="188"/>
      <c r="H3153" s="188"/>
      <c r="K3153" s="188"/>
      <c r="L3153" s="188"/>
      <c r="M3153" s="12"/>
      <c r="N3153" s="12"/>
      <c r="S3153" s="195"/>
      <c r="AC3153" s="187"/>
      <c r="AE3153" s="184"/>
      <c r="AF3153" s="182"/>
    </row>
    <row r="3154" spans="2:32" ht="14.25" customHeight="1">
      <c r="B3154" s="8"/>
      <c r="F3154" s="188"/>
      <c r="G3154" s="188"/>
      <c r="H3154" s="188"/>
      <c r="K3154" s="188"/>
      <c r="L3154" s="188"/>
      <c r="M3154" s="12"/>
      <c r="N3154" s="12"/>
      <c r="S3154" s="195"/>
      <c r="AC3154" s="187"/>
      <c r="AE3154" s="184"/>
      <c r="AF3154" s="182"/>
    </row>
    <row r="3155" spans="2:32" ht="14.25" customHeight="1">
      <c r="B3155" s="8"/>
      <c r="F3155" s="188"/>
      <c r="G3155" s="188"/>
      <c r="H3155" s="188"/>
      <c r="K3155" s="188"/>
      <c r="L3155" s="188"/>
      <c r="M3155" s="12"/>
      <c r="N3155" s="12"/>
      <c r="S3155" s="195"/>
      <c r="AC3155" s="187"/>
      <c r="AE3155" s="184"/>
      <c r="AF3155" s="182"/>
    </row>
    <row r="3156" spans="2:32" ht="14.25" customHeight="1">
      <c r="B3156" s="8"/>
      <c r="F3156" s="188"/>
      <c r="G3156" s="188"/>
      <c r="H3156" s="188"/>
      <c r="K3156" s="188"/>
      <c r="L3156" s="188"/>
      <c r="M3156" s="12"/>
      <c r="N3156" s="12"/>
      <c r="S3156" s="195"/>
      <c r="AC3156" s="187"/>
      <c r="AE3156" s="184"/>
      <c r="AF3156" s="182"/>
    </row>
    <row r="3157" spans="2:32" ht="14.25" customHeight="1">
      <c r="B3157" s="8"/>
      <c r="F3157" s="188"/>
      <c r="G3157" s="188"/>
      <c r="H3157" s="188"/>
      <c r="K3157" s="188"/>
      <c r="L3157" s="188"/>
      <c r="M3157" s="12"/>
      <c r="N3157" s="12"/>
      <c r="S3157" s="195"/>
      <c r="AC3157" s="187"/>
      <c r="AE3157" s="184"/>
      <c r="AF3157" s="182"/>
    </row>
    <row r="3158" spans="2:32" ht="14.25" customHeight="1">
      <c r="B3158" s="8"/>
      <c r="F3158" s="188"/>
      <c r="G3158" s="188"/>
      <c r="H3158" s="188"/>
      <c r="K3158" s="188"/>
      <c r="L3158" s="188"/>
      <c r="M3158" s="12"/>
      <c r="N3158" s="12"/>
      <c r="S3158" s="195"/>
      <c r="AC3158" s="187"/>
      <c r="AE3158" s="184"/>
      <c r="AF3158" s="182"/>
    </row>
    <row r="3159" spans="2:32" ht="14.25" customHeight="1">
      <c r="B3159" s="8"/>
      <c r="F3159" s="188"/>
      <c r="G3159" s="188"/>
      <c r="H3159" s="188"/>
      <c r="K3159" s="188"/>
      <c r="L3159" s="188"/>
      <c r="M3159" s="12"/>
      <c r="N3159" s="12"/>
      <c r="S3159" s="195"/>
      <c r="AC3159" s="187"/>
      <c r="AE3159" s="184"/>
      <c r="AF3159" s="182"/>
    </row>
    <row r="3160" spans="2:32" ht="14.25" customHeight="1">
      <c r="B3160" s="8"/>
      <c r="F3160" s="188"/>
      <c r="G3160" s="188"/>
      <c r="H3160" s="188"/>
      <c r="K3160" s="188"/>
      <c r="L3160" s="188"/>
      <c r="M3160" s="12"/>
      <c r="N3160" s="12"/>
      <c r="S3160" s="195"/>
      <c r="AC3160" s="187"/>
      <c r="AE3160" s="184"/>
      <c r="AF3160" s="182"/>
    </row>
    <row r="3161" spans="2:32" ht="14.25" customHeight="1">
      <c r="B3161" s="8"/>
      <c r="F3161" s="188"/>
      <c r="G3161" s="188"/>
      <c r="H3161" s="188"/>
      <c r="K3161" s="188"/>
      <c r="L3161" s="188"/>
      <c r="M3161" s="12"/>
      <c r="N3161" s="12"/>
      <c r="S3161" s="195"/>
      <c r="AC3161" s="187"/>
      <c r="AE3161" s="184"/>
      <c r="AF3161" s="182"/>
    </row>
    <row r="3162" spans="2:32" ht="14.25" customHeight="1">
      <c r="B3162" s="8"/>
      <c r="F3162" s="188"/>
      <c r="G3162" s="188"/>
      <c r="H3162" s="188"/>
      <c r="K3162" s="188"/>
      <c r="L3162" s="188"/>
      <c r="M3162" s="12"/>
      <c r="N3162" s="12"/>
      <c r="S3162" s="195"/>
      <c r="AC3162" s="187"/>
      <c r="AE3162" s="184"/>
      <c r="AF3162" s="182"/>
    </row>
  </sheetData>
  <autoFilter ref="A22:BM2757" xr:uid="{00000000-0001-0000-0000-000000000000}">
    <filterColumn colId="19">
      <filters>
        <filter val="EP"/>
      </filters>
    </filterColumn>
    <sortState xmlns:xlrd2="http://schemas.microsoft.com/office/spreadsheetml/2017/richdata2" ref="A23:BM2757">
      <sortCondition descending="1" ref="B22:B2757"/>
    </sortState>
  </autoFilter>
  <sortState xmlns:xlrd2="http://schemas.microsoft.com/office/spreadsheetml/2017/richdata2" ref="A22:BF22">
    <sortCondition descending="1" ref="A22"/>
  </sortState>
  <mergeCells count="2">
    <mergeCell ref="C2:I2"/>
    <mergeCell ref="C1:I1"/>
  </mergeCells>
  <phoneticPr fontId="4" type="noConversion"/>
  <conditionalFormatting sqref="T1:T2766">
    <cfRule type="cellIs" dxfId="113" priority="6" operator="equal">
      <formula>"NL"</formula>
    </cfRule>
    <cfRule type="cellIs" dxfId="112" priority="7" operator="equal">
      <formula>"DP"</formula>
    </cfRule>
    <cfRule type="cellIs" dxfId="111" priority="8" operator="equal">
      <formula>"PG"</formula>
    </cfRule>
    <cfRule type="cellIs" dxfId="110" priority="9" operator="equal">
      <formula>"PP"</formula>
    </cfRule>
  </conditionalFormatting>
  <conditionalFormatting sqref="U2234">
    <cfRule type="cellIs" dxfId="109" priority="1838" operator="equal">
      <formula>"NL"</formula>
    </cfRule>
    <cfRule type="cellIs" dxfId="108" priority="1839" operator="equal">
      <formula>"DP"</formula>
    </cfRule>
    <cfRule type="cellIs" dxfId="107" priority="1840" operator="equal">
      <formula>"PG"</formula>
    </cfRule>
    <cfRule type="cellIs" dxfId="106" priority="1841" operator="equal">
      <formula>"PP"</formula>
    </cfRule>
  </conditionalFormatting>
  <conditionalFormatting sqref="U2239:U2240">
    <cfRule type="cellIs" dxfId="105" priority="1842" operator="equal">
      <formula>"NL"</formula>
    </cfRule>
    <cfRule type="cellIs" dxfId="104" priority="1843" operator="equal">
      <formula>"DP"</formula>
    </cfRule>
    <cfRule type="cellIs" dxfId="103" priority="1844" operator="equal">
      <formula>"PG"</formula>
    </cfRule>
    <cfRule type="cellIs" dxfId="102" priority="1845" operator="equal">
      <formula>"PP"</formula>
    </cfRule>
  </conditionalFormatting>
  <conditionalFormatting sqref="U2242:U2243">
    <cfRule type="cellIs" dxfId="101" priority="1862" operator="equal">
      <formula>"NL"</formula>
    </cfRule>
    <cfRule type="cellIs" dxfId="100" priority="1863" operator="equal">
      <formula>"DP"</formula>
    </cfRule>
    <cfRule type="cellIs" dxfId="99" priority="1864" operator="equal">
      <formula>"PG"</formula>
    </cfRule>
    <cfRule type="cellIs" dxfId="98" priority="1865" operator="equal">
      <formula>"PP"</formula>
    </cfRule>
  </conditionalFormatting>
  <conditionalFormatting sqref="U2252:U2253">
    <cfRule type="cellIs" dxfId="97" priority="1866" operator="equal">
      <formula>"NL"</formula>
    </cfRule>
    <cfRule type="cellIs" dxfId="96" priority="1867" operator="equal">
      <formula>"DP"</formula>
    </cfRule>
    <cfRule type="cellIs" dxfId="95" priority="1868" operator="equal">
      <formula>"PG"</formula>
    </cfRule>
    <cfRule type="cellIs" dxfId="94" priority="1869" operator="equal">
      <formula>"PP"</formula>
    </cfRule>
  </conditionalFormatting>
  <conditionalFormatting sqref="U2291:U2292">
    <cfRule type="cellIs" dxfId="93" priority="1878" operator="equal">
      <formula>"NL"</formula>
    </cfRule>
    <cfRule type="cellIs" dxfId="92" priority="1879" operator="equal">
      <formula>"DP"</formula>
    </cfRule>
    <cfRule type="cellIs" dxfId="91" priority="1880" operator="equal">
      <formula>"PG"</formula>
    </cfRule>
    <cfRule type="cellIs" dxfId="90" priority="1881" operator="equal">
      <formula>"PP"</formula>
    </cfRule>
  </conditionalFormatting>
  <conditionalFormatting sqref="U2324 W2374:W2413 U2397:U2405">
    <cfRule type="cellIs" dxfId="89" priority="2430" operator="equal">
      <formula>"NL"</formula>
    </cfRule>
    <cfRule type="cellIs" dxfId="88" priority="2431" operator="equal">
      <formula>"DP"</formula>
    </cfRule>
    <cfRule type="cellIs" dxfId="87" priority="2432" operator="equal">
      <formula>"PG"</formula>
    </cfRule>
    <cfRule type="cellIs" dxfId="86" priority="2433" operator="equal">
      <formula>"PP"</formula>
    </cfRule>
  </conditionalFormatting>
  <conditionalFormatting sqref="U2326:U2327">
    <cfRule type="cellIs" dxfId="85" priority="1894" operator="equal">
      <formula>"NL"</formula>
    </cfRule>
    <cfRule type="cellIs" dxfId="84" priority="1895" operator="equal">
      <formula>"DP"</formula>
    </cfRule>
    <cfRule type="cellIs" dxfId="83" priority="1896" operator="equal">
      <formula>"PG"</formula>
    </cfRule>
    <cfRule type="cellIs" dxfId="82" priority="1897" operator="equal">
      <formula>"PP"</formula>
    </cfRule>
  </conditionalFormatting>
  <conditionalFormatting sqref="U2329">
    <cfRule type="cellIs" dxfId="81" priority="1890" operator="equal">
      <formula>"NL"</formula>
    </cfRule>
    <cfRule type="cellIs" dxfId="80" priority="1891" operator="equal">
      <formula>"DP"</formula>
    </cfRule>
    <cfRule type="cellIs" dxfId="79" priority="1892" operator="equal">
      <formula>"PG"</formula>
    </cfRule>
    <cfRule type="cellIs" dxfId="78" priority="1893" operator="equal">
      <formula>"PP"</formula>
    </cfRule>
  </conditionalFormatting>
  <conditionalFormatting sqref="U2407:U2417">
    <cfRule type="cellIs" dxfId="77" priority="1922" operator="equal">
      <formula>"NL"</formula>
    </cfRule>
    <cfRule type="cellIs" dxfId="76" priority="1923" operator="equal">
      <formula>"DP"</formula>
    </cfRule>
    <cfRule type="cellIs" dxfId="75" priority="1924" operator="equal">
      <formula>"PG"</formula>
    </cfRule>
    <cfRule type="cellIs" dxfId="74" priority="1925" operator="equal">
      <formula>"PP"</formula>
    </cfRule>
  </conditionalFormatting>
  <conditionalFormatting sqref="U2425:U2427">
    <cfRule type="cellIs" dxfId="73" priority="2018" operator="equal">
      <formula>"NL"</formula>
    </cfRule>
    <cfRule type="cellIs" dxfId="72" priority="2019" operator="equal">
      <formula>"DP"</formula>
    </cfRule>
    <cfRule type="cellIs" dxfId="71" priority="2020" operator="equal">
      <formula>"PG"</formula>
    </cfRule>
    <cfRule type="cellIs" dxfId="70" priority="2021" operator="equal">
      <formula>"PP"</formula>
    </cfRule>
  </conditionalFormatting>
  <conditionalFormatting sqref="U2432:U2462">
    <cfRule type="cellIs" dxfId="69" priority="1986" operator="equal">
      <formula>"NL"</formula>
    </cfRule>
    <cfRule type="cellIs" dxfId="68" priority="1987" operator="equal">
      <formula>"DP"</formula>
    </cfRule>
    <cfRule type="cellIs" dxfId="67" priority="1988" operator="equal">
      <formula>"PG"</formula>
    </cfRule>
    <cfRule type="cellIs" dxfId="66" priority="1989" operator="equal">
      <formula>"PP"</formula>
    </cfRule>
  </conditionalFormatting>
  <conditionalFormatting sqref="U2464">
    <cfRule type="cellIs" dxfId="65" priority="2062" operator="equal">
      <formula>"NL"</formula>
    </cfRule>
    <cfRule type="cellIs" dxfId="64" priority="2063" operator="equal">
      <formula>"DP"</formula>
    </cfRule>
    <cfRule type="cellIs" dxfId="63" priority="2064" operator="equal">
      <formula>"PG"</formula>
    </cfRule>
    <cfRule type="cellIs" dxfId="62" priority="2065" operator="equal">
      <formula>"PP"</formula>
    </cfRule>
  </conditionalFormatting>
  <conditionalFormatting sqref="U2467:U2499">
    <cfRule type="cellIs" dxfId="61" priority="2274" operator="equal">
      <formula>"NL"</formula>
    </cfRule>
    <cfRule type="cellIs" dxfId="60" priority="2275" operator="equal">
      <formula>"DP"</formula>
    </cfRule>
    <cfRule type="cellIs" dxfId="59" priority="2276" operator="equal">
      <formula>"PG"</formula>
    </cfRule>
    <cfRule type="cellIs" dxfId="58" priority="2277" operator="equal">
      <formula>"PP"</formula>
    </cfRule>
  </conditionalFormatting>
  <conditionalFormatting sqref="U2531">
    <cfRule type="cellIs" dxfId="57" priority="2422" operator="equal">
      <formula>"NL"</formula>
    </cfRule>
    <cfRule type="cellIs" dxfId="56" priority="2423" operator="equal">
      <formula>"DP"</formula>
    </cfRule>
    <cfRule type="cellIs" dxfId="55" priority="2424" operator="equal">
      <formula>"PG"</formula>
    </cfRule>
    <cfRule type="cellIs" dxfId="54" priority="2425" operator="equal">
      <formula>"PP"</formula>
    </cfRule>
  </conditionalFormatting>
  <conditionalFormatting sqref="U2358:W2358 Y2358:AA2358 U2374:V2378 Z2374:AA2378 V2411:V2412 Z2411:AA2412 V2418 W2418:W2465 Z2418:AA2486 U2419:V2431 V2432:V2486 U2433:W2433 U2436:W2436 U2442:W2442 U2450:W2451 U2466:W2466 W2467:W2485 U2469:V2469 U2521:W2521 Z2521:AA2521 U2540:U2668 T2767:U2767 T2768:T1048576">
    <cfRule type="cellIs" dxfId="53" priority="18" operator="equal">
      <formula>"NL"</formula>
    </cfRule>
    <cfRule type="cellIs" dxfId="52" priority="19" operator="equal">
      <formula>"DP"</formula>
    </cfRule>
    <cfRule type="cellIs" dxfId="51" priority="20" operator="equal">
      <formula>"PG"</formula>
    </cfRule>
    <cfRule type="cellIs" dxfId="50" priority="21" operator="equal">
      <formula>"PP"</formula>
    </cfRule>
  </conditionalFormatting>
  <conditionalFormatting sqref="W2496">
    <cfRule type="cellIs" dxfId="49" priority="1914" operator="equal">
      <formula>"NL"</formula>
    </cfRule>
    <cfRule type="cellIs" dxfId="48" priority="1915" operator="equal">
      <formula>"DP"</formula>
    </cfRule>
    <cfRule type="cellIs" dxfId="47" priority="1916" operator="equal">
      <formula>"PG"</formula>
    </cfRule>
    <cfRule type="cellIs" dxfId="46" priority="1917" operator="equal">
      <formula>"PP"</formula>
    </cfRule>
  </conditionalFormatting>
  <conditionalFormatting sqref="AB1:AB1048576">
    <cfRule type="duplicateValues" dxfId="45" priority="1"/>
  </conditionalFormatting>
  <dataValidations count="7">
    <dataValidation type="list" allowBlank="1" showInputMessage="1" showErrorMessage="1" sqref="M687:M691 M695:M698 M155:M158 M743:M2765 M161:M168 M170:M183 M185:M203 M207:M212 M216:M218 M220:M264 M266:M278 M281:M286 M291:M292 M288:M289 M295:M297 M299:M329 M331 M333:M378 M380:M395 M397:M408 M410:M439 M441:M461 M463:M467 M469:M473 M475 M480:M481 M483:M488 M490 M2767 M496:M511 M493 M513:M518 M523:M525 M559:M576 M520:M521 M556:M557 M527:M543 M578:M579 M545:M553 M593:M603 M605 M610:M611 M616 M582:M591 M621 M623:M631 M634 M641:M643 M647:M656 M658:M659 M665:M666 M668:M671 M676:M681 M723:M741 M716:M719 M713:M714 M707:M711 M705 M23:M153" xr:uid="{00000000-0002-0000-0000-000001000000}">
      <formula1>$O$8:$O$9</formula1>
    </dataValidation>
    <dataValidation type="list" allowBlank="1" showInputMessage="1" showErrorMessage="1" sqref="L723:L741 L687:L691 L155:L158 L1244:L2765 L333:L378 L831:L1229 L185:L203 L207:L212 L216:L218 L161:L168 L266:L278 L281:L286 L291:L292 L288:L289 L295:L297 L299:L329 L331 L170:L183 L380:L395 L397:L408 L410:L439 L441:L461 L463:L467 L469:L473 L475 L480:L481 L483:L488 L490 L2767 L220:L264 L493 L1234:L1242 L1231:L1232 L527:L543 L783:L829 L764:L781 L743:L762 L523:L525 L559:L576 L496:L511 L556:L557 L520:L521 L578:L579 L545:L553 L605 L610:L611 L616 L582:L603 L621 L623:L631 L634 L641:L643 L647:L656 L658:L659 L665:L666 L668:L671 L676:L681 L513:L518 L716:L719 L713:L714 L707:L711 L705 L695:L698 L23:L153" xr:uid="{00000000-0002-0000-0000-000002000000}">
      <formula1>$O$2:$O$6</formula1>
    </dataValidation>
    <dataValidation type="list" allowBlank="1" showInputMessage="1" showErrorMessage="1" sqref="U2228 T687:T691 T641:T643 T155:T158 T695:T698 T161:T168 T170:T183 T185:T203 T743:T2639 T207:T218 T266:T279 T291:T292 T281:T289 T295:T297 T299:T329 T331 T333:T378 T380:T395 T397:T408 T220:T264 T441:T461 T463:T467 T469:T473 T475 T480:T481 T483:T488 T490 T2767 T496:T511 T493 T513:T518 T523:T525 T559:T576 T520:T521 T556:T557 T527:T543 T578:T579 T545:T553 T410:T439 T609:T611 T616 T582:T591 T621 T593:T605 T634 T623:T631 T645 T647:T659 T668:T671 T676:T681 U2181 U2198 U2211 U2202 T2640:U2765 T723:T741 T716:T719 T713:T714 T707:T711 T705 T665:T666 T23:T153" xr:uid="{00000000-0002-0000-0000-000005000000}">
      <formula1>$O$11:$O$18</formula1>
    </dataValidation>
    <dataValidation type="list" allowBlank="1" showInputMessage="1" showErrorMessage="1" sqref="AD2042:AE2042 AD2708:AE2765 AD2228:AE2228 AD2202:AE2202 AD2198:AE2198 AD2211:AE2211 AD2181:AE2181 AB2685:AB2694 AB2708:AB2765 AB2228 AB2042 AB2696:AB2697 AB2706 AB2699:AB2703 AB2202 AB2198 AB2211" xr:uid="{00000000-0002-0000-0000-000000000000}">
      <formula1>#REF!</formula1>
    </dataValidation>
    <dataValidation type="list" errorStyle="warning" allowBlank="1" showInputMessage="1" showErrorMessage="1" sqref="K2211 K2655:K2670 K2708:K2717 K2721:K2765 K2719 K2228 K2042 K2699:K2702 K2202 K2181 K2198 K2640:K2653 K2687:K2696" xr:uid="{00000000-0002-0000-0000-000003000000}">
      <formula1>#REF!</formula1>
    </dataValidation>
    <dataValidation type="list" allowBlank="1" showInputMessage="1" showErrorMessage="1" sqref="AB2695" xr:uid="{00000000-0002-0000-0000-000007000000}">
      <formula1>$D$2768:$D$2828</formula1>
    </dataValidation>
    <dataValidation allowBlank="1" showInputMessage="1" showErrorMessage="1" sqref="AB2181" xr:uid="{FBF7004D-1C47-4168-92E4-8C235B949670}"/>
  </dataValidations>
  <hyperlinks>
    <hyperlink ref="H929" r:id="rId1" xr:uid="{4B86E796-E4E4-48AC-A7EB-DAC14A750389}"/>
    <hyperlink ref="H931" r:id="rId2" xr:uid="{4A644C97-24D9-4303-A24E-3B253632BAC1}"/>
    <hyperlink ref="G931" r:id="rId3" display="mailto:jose.rojas@ryq.cl" xr:uid="{C70F243D-48B9-4B69-BCB9-C7447B8EA40A}"/>
    <hyperlink ref="H933" r:id="rId4" xr:uid="{5664ACCF-A698-432B-BE86-183C6DBE31F6}"/>
    <hyperlink ref="H934" r:id="rId5" display="daigo.shioyama@angloamerican.com" xr:uid="{2DFAB963-69BC-43C3-85FB-E4B96ABB16A7}"/>
    <hyperlink ref="H935" r:id="rId6" xr:uid="{D35DA975-127D-46DF-BE66-B47B599655EA}"/>
    <hyperlink ref="H936" r:id="rId7" xr:uid="{68816321-62A1-4B32-A6A4-FB8E73DD34BF}"/>
    <hyperlink ref="H937" r:id="rId8" xr:uid="{C68BB592-C036-4E80-AC5F-6D4B2D133F48}"/>
    <hyperlink ref="H938" r:id="rId9" xr:uid="{24C30138-6DC4-41C3-9F3B-D455B89261A6}"/>
    <hyperlink ref="H939" r:id="rId10" xr:uid="{90683BE3-6F19-408B-B8A2-386825FB56C9}"/>
    <hyperlink ref="H941" r:id="rId11" xr:uid="{68DE1174-CBBD-4A19-86E8-93F2A1E4403E}"/>
    <hyperlink ref="H944" r:id="rId12" xr:uid="{892BFF6C-066F-42D4-8EFB-52A064E987F1}"/>
    <hyperlink ref="H945" r:id="rId13" xr:uid="{215250F0-87F1-4485-A9CC-F89F47BF32E6}"/>
    <hyperlink ref="H946" r:id="rId14" xr:uid="{EB7477DC-9909-4E93-B363-671A65FBC44F}"/>
    <hyperlink ref="H947" r:id="rId15" xr:uid="{51A5D1D1-8643-4C76-9409-B2DDB7DFF0CA}"/>
    <hyperlink ref="H1129" r:id="rId16" xr:uid="{28814CA8-DE29-4066-A23B-01015675B845}"/>
    <hyperlink ref="H1500" r:id="rId17" xr:uid="{CAACD3A4-CE9F-406C-AD2B-81249153DBB9}"/>
    <hyperlink ref="H1068" r:id="rId18" xr:uid="{2E841FCF-CAEF-4F3B-A38A-D1EA4CC278F0}"/>
    <hyperlink ref="H949" r:id="rId19" xr:uid="{C21861EC-3277-4391-B8E6-A71D3EF2CC45}"/>
    <hyperlink ref="H950" r:id="rId20" xr:uid="{9B1FE69B-991B-4485-A67F-FC461977AE39}"/>
    <hyperlink ref="H951" r:id="rId21" xr:uid="{855927DC-EEF5-4400-BE20-16482A10E134}"/>
    <hyperlink ref="H954" r:id="rId22" xr:uid="{DF19D62F-E1DB-4BD1-9E43-BF03E162FA61}"/>
    <hyperlink ref="H955" r:id="rId23" xr:uid="{4950A219-4245-420B-B564-BB2DFB211FC9}"/>
    <hyperlink ref="H956" r:id="rId24" xr:uid="{C57ADCAE-2C2C-4A31-A701-997A60ECF1A9}"/>
    <hyperlink ref="H960" r:id="rId25" xr:uid="{D1280680-E30C-480F-B3AA-CB48CEA40BD9}"/>
    <hyperlink ref="H961" r:id="rId26" xr:uid="{65C4D814-B0A3-46CA-9C31-EA43A218153F}"/>
    <hyperlink ref="H962" r:id="rId27" xr:uid="{B5E4629C-6223-4302-968D-AD4E5C17A5B7}"/>
    <hyperlink ref="H965" r:id="rId28" xr:uid="{C04256E7-3619-47B6-BBA5-35D7BB2A8D50}"/>
    <hyperlink ref="H972" r:id="rId29" xr:uid="{7FA1D6BD-7E95-4AD3-AFBF-8814D88E8556}"/>
    <hyperlink ref="H967" r:id="rId30" xr:uid="{D5BFBF76-10F2-44A9-AFA3-C1BED8FBB601}"/>
    <hyperlink ref="H968" r:id="rId31" xr:uid="{47EEDDB2-F0AA-4EFE-B7B2-48F773787203}"/>
    <hyperlink ref="H969" r:id="rId32" xr:uid="{5DF7F454-E2A0-41F3-BFAD-408B308C4FFC}"/>
    <hyperlink ref="H970" r:id="rId33" xr:uid="{33F65766-62B7-4B35-948E-EC8B19DDE05C}"/>
    <hyperlink ref="H971" r:id="rId34" xr:uid="{96FF9BB2-8BBB-4835-9C19-D28B09E28AFD}"/>
    <hyperlink ref="H973" r:id="rId35" xr:uid="{545FB992-4F65-4CE5-A33E-819AC03D94B4}"/>
    <hyperlink ref="H980" r:id="rId36" xr:uid="{19674AFD-27F0-4FCF-8DFF-793C24DD5494}"/>
    <hyperlink ref="H1010" r:id="rId37" xr:uid="{B1AF37E6-37AF-4A3F-87D5-4EA7E16202B5}"/>
    <hyperlink ref="H1141" r:id="rId38" xr:uid="{0597573C-6F0E-4498-9A6F-259F6D4A5B00}"/>
    <hyperlink ref="H981" r:id="rId39" xr:uid="{FB8171FB-C093-4B7C-8E54-E1900DCE46A6}"/>
    <hyperlink ref="H982" r:id="rId40" xr:uid="{E1F73984-28B8-4BA5-93F1-DBC0AA86D53A}"/>
    <hyperlink ref="H984" r:id="rId41" xr:uid="{1CD0FF35-0D70-4F9F-8CF8-FD2806A40DC1}"/>
    <hyperlink ref="H986" r:id="rId42" xr:uid="{CF24515A-274D-4867-BC02-825B70EE6CA6}"/>
    <hyperlink ref="H987" r:id="rId43" xr:uid="{8DF49E86-9821-44EF-9160-1F2B20A7DFC6}"/>
    <hyperlink ref="H989" r:id="rId44" xr:uid="{6CAEE23D-FB52-49A3-BB0C-DAFF48A95216}"/>
    <hyperlink ref="H990" r:id="rId45" xr:uid="{F90F5FF5-E3E5-413D-A183-CD888D6AE291}"/>
    <hyperlink ref="H992" r:id="rId46" xr:uid="{A18B6432-4EB0-4FEC-BEFB-147965D2BDAE}"/>
    <hyperlink ref="H991" r:id="rId47" xr:uid="{188A949E-9ADF-4EA5-ABB4-DBDE6AC67063}"/>
    <hyperlink ref="H993" r:id="rId48" xr:uid="{B0E02E1E-0274-46DB-ACFC-642E00BF9E30}"/>
    <hyperlink ref="H994" r:id="rId49" xr:uid="{1FE3AF6D-DA34-4883-AC07-1122D4E0A07A}"/>
    <hyperlink ref="H996" r:id="rId50" xr:uid="{EB7A5011-8736-4D30-905A-558235D1E916}"/>
    <hyperlink ref="H997" r:id="rId51" xr:uid="{8108D237-CF58-4C46-BDC8-511F14B85C90}"/>
    <hyperlink ref="H1003" r:id="rId52" xr:uid="{9F4A35C9-80F1-4728-A3A7-BCC94F0B9C36}"/>
    <hyperlink ref="H1430" r:id="rId53" xr:uid="{B03917C3-B859-445D-A798-9940BC1F5C17}"/>
    <hyperlink ref="H1421" r:id="rId54" xr:uid="{8F4D43A5-D2BD-4674-939D-F82857413F17}"/>
    <hyperlink ref="H1004" r:id="rId55" xr:uid="{78D6A38B-B739-4D07-8165-5EA7F60E8F06}"/>
    <hyperlink ref="H1005" r:id="rId56" xr:uid="{DFB1019D-382B-49FC-B942-598B3C90ED4D}"/>
    <hyperlink ref="H1006" r:id="rId57" xr:uid="{926F634F-B752-41AA-A71D-7348A1FC4F29}"/>
    <hyperlink ref="H1248" r:id="rId58" xr:uid="{5395A7C3-75E8-4572-9E80-5B72C3A0B033}"/>
    <hyperlink ref="G1008" r:id="rId59" display="mailto:mcarranza@ohla-peru.pe" xr:uid="{1B789328-9486-4BAC-BD2B-2734D438A266}"/>
    <hyperlink ref="H1008" r:id="rId60" xr:uid="{576C9873-8CCA-40D8-9D40-B7FA59F7241C}"/>
    <hyperlink ref="H1009" r:id="rId61" xr:uid="{85BFD8EE-D0D0-477B-A3E5-469755F30240}"/>
    <hyperlink ref="H1016" r:id="rId62" xr:uid="{CD7F41A3-7A37-4D3F-B106-28E10E9A3013}"/>
    <hyperlink ref="H1011" r:id="rId63" xr:uid="{5B81B08C-34DD-4C09-A93F-6ECD162B3934}"/>
    <hyperlink ref="H1012" r:id="rId64" xr:uid="{656D41C7-4C41-4614-B7FD-D614E6D35F68}"/>
    <hyperlink ref="H1013" r:id="rId65" xr:uid="{8256C09C-EA19-48EC-B117-9F8515274ECF}"/>
    <hyperlink ref="H1014" r:id="rId66" xr:uid="{3814DAA5-8C10-4664-955E-9C745A9D545C}"/>
    <hyperlink ref="H1017" r:id="rId67" xr:uid="{60F23482-2C54-407B-AF76-C78004C1BF04}"/>
    <hyperlink ref="H1027" r:id="rId68" xr:uid="{87658E7E-F67D-4CC0-815E-93DD470CBC9C}"/>
    <hyperlink ref="H1031" r:id="rId69" xr:uid="{5E45AB3B-6DAD-4BE3-A731-9A46A396EE44}"/>
    <hyperlink ref="H1032" r:id="rId70" xr:uid="{109E2F67-8517-44AD-A3DB-0FBDC7D08062}"/>
    <hyperlink ref="H1034" r:id="rId71" xr:uid="{6D4A01A0-E9C1-48C5-BA8D-E06528E77D9C}"/>
    <hyperlink ref="H1036" r:id="rId72" xr:uid="{BCB20206-20A7-4958-B5E7-C4DD3B8F7B0D}"/>
    <hyperlink ref="H1037" r:id="rId73" xr:uid="{4E7269AE-0CE9-4E71-83D2-B89BA05698CC}"/>
    <hyperlink ref="H1038" r:id="rId74" xr:uid="{0F5AE4AC-0FC5-431F-8784-79944DFDEF4B}"/>
    <hyperlink ref="H1041" r:id="rId75" xr:uid="{82057AE8-3B83-419E-8AB8-67529834A24F}"/>
    <hyperlink ref="H1042" r:id="rId76" xr:uid="{595FBB77-68D1-47A9-9FCB-D3C8AF8294BC}"/>
    <hyperlink ref="H1043" r:id="rId77" xr:uid="{A7022D0A-C90F-4793-BC21-ECF3C3857317}"/>
    <hyperlink ref="H1044" r:id="rId78" xr:uid="{E396DFBE-AA43-4657-B1E5-22C835004204}"/>
    <hyperlink ref="H1210" r:id="rId79" xr:uid="{7111BA26-D225-4DFC-BAA7-31510B5CD3D0}"/>
    <hyperlink ref="H1045" r:id="rId80" xr:uid="{5B5A8EF4-8EE0-45E4-8134-36E4E98EDC2B}"/>
    <hyperlink ref="H1046" r:id="rId81" xr:uid="{AD70B8EB-75AA-4541-8A0F-19755C72AA8B}"/>
    <hyperlink ref="H1047" r:id="rId82" xr:uid="{BC29F9DA-E6A1-404F-8B8E-E109E21A05D9}"/>
    <hyperlink ref="H1048" r:id="rId83" xr:uid="{52B7FFA7-00B7-4546-9A5A-5B5C3912D315}"/>
    <hyperlink ref="H1049" r:id="rId84" xr:uid="{F1858FE8-8834-4B6C-8292-50B957E631E1}"/>
    <hyperlink ref="H1050" r:id="rId85" xr:uid="{3B2A4431-8DF2-4E19-A788-EC8DDBD89E2B}"/>
    <hyperlink ref="H1051" r:id="rId86" xr:uid="{83AB7D45-B53D-4E79-AA1A-A88242754567}"/>
    <hyperlink ref="H1052" r:id="rId87" display="mailto:sgalleguillos.esed@caserones.cl" xr:uid="{EFDC3BBA-8609-4624-A65F-409D5724B388}"/>
    <hyperlink ref="H1053" r:id="rId88" xr:uid="{744DD476-7B13-4BA3-9A5C-6B7FF606D530}"/>
    <hyperlink ref="H1054" r:id="rId89" xr:uid="{C3D26FC5-5999-46DE-A295-8DFCFA86DA58}"/>
    <hyperlink ref="H1055" r:id="rId90" xr:uid="{53ABC742-A012-4D5D-8B11-228E8896AE52}"/>
    <hyperlink ref="H1056" r:id="rId91" xr:uid="{ADDEF902-8367-4AEB-BA54-CA4B54C24E52}"/>
    <hyperlink ref="H1057" r:id="rId92" xr:uid="{30F78813-6D01-44D2-BBD6-2273787FEDA7}"/>
    <hyperlink ref="G1058" r:id="rId93" display="mailto:jose.rojas@ryq.cl" xr:uid="{B05033FA-97D1-40FD-AA8F-1779EB43EAB4}"/>
    <hyperlink ref="H1059" r:id="rId94" xr:uid="{7E7BBC92-BA48-4162-BFE7-AAC789291708}"/>
    <hyperlink ref="G1059" r:id="rId95" display="mailto:jose.rojas@ryq.cl" xr:uid="{F65119A3-FD1F-40C8-AA51-9AE849733446}"/>
    <hyperlink ref="H1060" r:id="rId96" xr:uid="{542348B0-8303-4FF6-98AB-256031194D54}"/>
    <hyperlink ref="H1062" r:id="rId97" xr:uid="{B22502F3-F5DA-4A3F-B3DE-58D98BC4D903}"/>
    <hyperlink ref="G1067" r:id="rId98" display="mailto:jose.rojas@ryq.cl" xr:uid="{EDB6A666-6D08-49B4-9055-17614029C88B}"/>
    <hyperlink ref="G1068" r:id="rId99" display="mailto:jose.rojas@ryq.cl" xr:uid="{EE3DF5D6-0E1D-408E-9F00-C2A7BA6D0B22}"/>
    <hyperlink ref="H1073" r:id="rId100" xr:uid="{FBA7A584-A099-4A14-B2BB-BB48B561BC89}"/>
    <hyperlink ref="G1069" r:id="rId101" display="mailto:jose.rojas@ryq.cl" xr:uid="{F1B43242-C74D-4EB0-BDE0-D4DC7F68D349}"/>
    <hyperlink ref="G1070" r:id="rId102" display="mailto:jose.rojas@ryq.cl" xr:uid="{657B8112-063A-4135-B8AF-BBEFCFF7ABA1}"/>
    <hyperlink ref="H1071" r:id="rId103" xr:uid="{2F07E9ED-54D5-4549-874C-3C0917C67E75}"/>
    <hyperlink ref="G1071" r:id="rId104" display="mailto:jose.rojas@ryq.cl" xr:uid="{D5DAFD12-67D7-44C1-97B3-FD23B638D3E4}"/>
    <hyperlink ref="H1072" r:id="rId105" xr:uid="{750BB3F9-76DD-4EFE-BBCB-35E13F8B2BEC}"/>
    <hyperlink ref="G1072" r:id="rId106" display="mailto:jose.rojas@ryq.cl" xr:uid="{066A581C-66DA-4D18-95F8-A502B9903182}"/>
    <hyperlink ref="H1074" r:id="rId107" xr:uid="{2B571D8A-6560-4092-8118-3E4EA850B126}"/>
    <hyperlink ref="H1075" r:id="rId108" display="daigo.shioyama@angloamerican.com" xr:uid="{8DF16AB2-2F38-4A57-8F90-BD6A7184B002}"/>
    <hyperlink ref="H1077" r:id="rId109" xr:uid="{148516F3-C0DC-4A6F-878A-29F2E96CCCA2}"/>
    <hyperlink ref="G1077" r:id="rId110" display="mailto:jose.moreno@besalco.cl" xr:uid="{82103E52-8090-4A79-8005-2B378EB14C8D}"/>
    <hyperlink ref="H1078" r:id="rId111" xr:uid="{5AF410CE-67C0-4872-9C11-954219F0DE2C}"/>
    <hyperlink ref="G1078" r:id="rId112" display="mailto:jose.moreno@besalco.cl" xr:uid="{8BC22A57-91FE-42F2-A4FD-A23130CDF070}"/>
    <hyperlink ref="G1079" r:id="rId113" display="mailto:mcarranza@ohla-peru.pe" xr:uid="{00C4179F-CBC7-4711-B69F-0AD3AA978089}"/>
    <hyperlink ref="H1079" r:id="rId114" xr:uid="{33472DC1-B176-4FAE-B237-03DA98E1678F}"/>
    <hyperlink ref="H1081" r:id="rId115" xr:uid="{0A5B886E-FCAD-442A-8C1D-40402205CB83}"/>
    <hyperlink ref="H1082" r:id="rId116" xr:uid="{04D214A4-8C90-4361-B05D-6D7842A79AB8}"/>
    <hyperlink ref="H1084" r:id="rId117" display="hguerra@cmp.cl" xr:uid="{3077985C-5D60-4C31-B1DE-D8746130DC95}"/>
    <hyperlink ref="H1085" r:id="rId118" xr:uid="{F2EAB73C-A301-40B6-B311-C617C4BBE634}"/>
    <hyperlink ref="H1086" r:id="rId119" xr:uid="{BA00C2DD-81D3-430B-A1E3-D412FAF23306}"/>
    <hyperlink ref="H1087" r:id="rId120" xr:uid="{E7351855-3743-4F57-A60A-B88845EEF091}"/>
    <hyperlink ref="H1088" r:id="rId121" xr:uid="{65C3C0A0-0072-4BD8-B30C-58A5330FFD5C}"/>
    <hyperlink ref="H1089" r:id="rId122" xr:uid="{1CFA9544-AE90-4F95-9AEC-E5333E9F6A2D}"/>
    <hyperlink ref="H1091" r:id="rId123" xr:uid="{14FDD9C4-BFCF-4770-B710-F78351600F8B}"/>
    <hyperlink ref="H1092" r:id="rId124" xr:uid="{027D020D-08F5-46A9-9E4F-8E8166EC3425}"/>
    <hyperlink ref="H1093" r:id="rId125" xr:uid="{C664AC59-CFD8-4D7A-8F7F-8DBA9F986951}"/>
    <hyperlink ref="H1094" r:id="rId126" xr:uid="{EAE1D336-3FC6-4341-A300-9F6985F52846}"/>
    <hyperlink ref="H1095" r:id="rId127" xr:uid="{3AB84109-EDE2-49A1-BA72-09B7F9689762}"/>
    <hyperlink ref="H1096" r:id="rId128" xr:uid="{36C1466A-7A26-4AFE-AF18-F5CFB7EC5485}"/>
    <hyperlink ref="H1097" r:id="rId129" xr:uid="{59B5C3AF-DC8B-4DE1-9DC5-47693BFA8992}"/>
    <hyperlink ref="H1108" r:id="rId130" xr:uid="{55EDE00B-9094-4827-BAC0-8D830C4C7C25}"/>
    <hyperlink ref="H1099" r:id="rId131" xr:uid="{0C6F2A5A-E787-4ABE-A3E7-5A351BDD1EA3}"/>
    <hyperlink ref="H1100" r:id="rId132" xr:uid="{5FD2B670-FCB9-4A3A-B7A5-3BD6B4155E84}"/>
    <hyperlink ref="H1101" r:id="rId133" xr:uid="{8276C160-F49E-4C86-B174-714668A557E0}"/>
    <hyperlink ref="H1102" r:id="rId134" xr:uid="{230DDF43-6339-4999-980D-4C221413C461}"/>
    <hyperlink ref="G1102" r:id="rId135" display="mailto:jose.moreno@besalco.cl" xr:uid="{CE205800-F264-4F81-9951-A09FD2D89C90}"/>
    <hyperlink ref="H1104" r:id="rId136" xr:uid="{E7B92109-4182-4025-8AD8-F5198B2507C4}"/>
    <hyperlink ref="G1105" r:id="rId137" display="mailto:jose.rojas@ryq.cl" xr:uid="{EF6E4C8D-5357-4B84-8D16-7D86B69500F5}"/>
    <hyperlink ref="G1106" r:id="rId138" display="mailto:jose.rojas@ryq.cl" xr:uid="{B014D965-B845-4996-A1C2-0B27A0057F3F}"/>
    <hyperlink ref="G1107" r:id="rId139" display="mailto:jose.rojas@ryq.cl" xr:uid="{55E13002-FB8C-45F8-B676-92A8280B2419}"/>
    <hyperlink ref="H1109" r:id="rId140" xr:uid="{94A033BA-D02C-41DD-9E79-240E2267FE68}"/>
    <hyperlink ref="H1111" r:id="rId141" xr:uid="{66ADCC30-5FB6-4FE0-AC2F-3024EF23AAE0}"/>
    <hyperlink ref="H1110" r:id="rId142" xr:uid="{13894158-B5B0-4149-85EC-8F2932907D48}"/>
    <hyperlink ref="AB2689" location="'SH016'!A1" display="SH016" xr:uid="{AEAFC9C6-A526-402D-B8CB-D0DFE9CBDA40}"/>
    <hyperlink ref="AB2691" location="'SH014'!A1" display="SH014" xr:uid="{FB568F47-633B-421B-B1F3-01D19FF27C1E}"/>
    <hyperlink ref="AB2694" location="'SH013'!A1" display="SH013" xr:uid="{A6F9D338-4CF8-43E3-817F-F2CFA880322A}"/>
    <hyperlink ref="AB2712" location="SH007!A1" display="SH007" xr:uid="{A535BA80-FBC8-4C02-B224-2BCF80A9CE5B}"/>
    <hyperlink ref="AB2714" location="SH008!A1" display="SH008" xr:uid="{B81CAC30-49DC-416B-96C5-D613691AED7E}"/>
    <hyperlink ref="AB2713" location="SH006!A1" display="SH006" xr:uid="{C4C1F6A6-20EA-4630-9AA5-046610BDF335}"/>
    <hyperlink ref="AB2718" location="SH004!A1" display="SH004" xr:uid="{37254EE7-1912-4240-839A-12D8F7905B97}"/>
    <hyperlink ref="AB2729" location="SH002!A1" display="SH002" xr:uid="{2A1424A5-D7E0-4007-866D-789E36992191}"/>
    <hyperlink ref="AB2728" location="SH003!A1" display="SH003" xr:uid="{44E737BB-CE7B-45B0-80EA-B9462071BF26}"/>
    <hyperlink ref="H2283" r:id="rId143" xr:uid="{BE432618-E9FD-4450-9E3E-676CDB417B32}"/>
    <hyperlink ref="H2002" r:id="rId144" xr:uid="{2023B473-38F6-4106-B0B0-6F9D16F34D19}"/>
    <hyperlink ref="H2043" r:id="rId145" xr:uid="{FF247FA2-61C6-4DF6-98DB-1BEC8034AE89}"/>
    <hyperlink ref="H2111" r:id="rId146" xr:uid="{0616026F-B325-4A30-88AD-7A4CC615F3B1}"/>
    <hyperlink ref="H2123" r:id="rId147" xr:uid="{748406B7-CFA2-4BAC-82A7-C339BD8F7118}"/>
    <hyperlink ref="H2122" r:id="rId148" xr:uid="{4FF9BDFB-28F7-454A-A749-E28898B9E55E}"/>
    <hyperlink ref="H2121" r:id="rId149" xr:uid="{5F5FAC48-4E99-47C8-9532-4E1936332DBE}"/>
    <hyperlink ref="H2125" r:id="rId150" xr:uid="{5ECD4033-6C9D-4780-9D0C-E6EA6D9F8860}"/>
    <hyperlink ref="H2128" r:id="rId151" xr:uid="{F15FFD6B-B0F6-4627-AC30-513EE406C88E}"/>
    <hyperlink ref="H2127" r:id="rId152" xr:uid="{A4B91D6A-DE0E-408A-A7D2-467D1BE226F9}"/>
    <hyperlink ref="H2126" r:id="rId153" xr:uid="{BD712A1D-86BC-4D22-B483-FCEC28CB92E2}"/>
    <hyperlink ref="H2137" r:id="rId154" xr:uid="{EC54495F-9349-41EB-9C4D-F2009F42DEA9}"/>
    <hyperlink ref="H2146" r:id="rId155" xr:uid="{2A09C636-325E-423B-8F86-5F0DAA68BB5D}"/>
    <hyperlink ref="H2150" r:id="rId156" xr:uid="{0E8611DA-58EB-4DE4-BF97-19CB42BDA2DC}"/>
    <hyperlink ref="H2155" r:id="rId157" xr:uid="{8449F0D7-A9E2-4BCF-981D-3C5490D2C02D}"/>
    <hyperlink ref="H2156" r:id="rId158" xr:uid="{2741CD54-606E-4135-9294-1002C6AA1F7D}"/>
    <hyperlink ref="H2157" r:id="rId159" xr:uid="{715E493D-AFCB-4D86-939E-3FF0378C6A78}"/>
    <hyperlink ref="H2183" r:id="rId160" xr:uid="{0DC82099-4C0E-4460-AF5B-1081D7764934}"/>
    <hyperlink ref="H2178" r:id="rId161" xr:uid="{35B390A0-AA58-46C5-9606-6A75A6B1C63A}"/>
    <hyperlink ref="H2148" r:id="rId162" xr:uid="{9D8182D6-A3E6-4038-A8D3-F14E41D89297}"/>
    <hyperlink ref="G1112" r:id="rId163" display="mailto:jmunozd@caserones.cl" xr:uid="{5C036526-60BD-4FEA-8A41-5D97D5E344A2}"/>
    <hyperlink ref="H1113" r:id="rId164" xr:uid="{FE18D428-F9C9-45C2-8CAD-13C20B31A209}"/>
    <hyperlink ref="H1114" r:id="rId165" xr:uid="{C5C23FF9-964B-4444-9336-7CE7D12D072E}"/>
    <hyperlink ref="H1115" r:id="rId166" xr:uid="{377FFEDA-C72D-4F9B-958F-6808B4BB8D2F}"/>
    <hyperlink ref="H1117" r:id="rId167" xr:uid="{9295CA84-70F6-4CAD-98EF-2EA989479BD9}"/>
    <hyperlink ref="H1118" r:id="rId168" xr:uid="{4552AF57-6800-4701-93CE-712BC5BC93E9}"/>
    <hyperlink ref="H1119" r:id="rId169" xr:uid="{85FC1D5F-FA91-4200-9DF1-0ACE774B7862}"/>
    <hyperlink ref="G1119" r:id="rId170" display="mailto:jose.rojas@ryq.cl" xr:uid="{92FB7D31-908A-4654-9A48-3AD92A8EA4C0}"/>
    <hyperlink ref="H1120" r:id="rId171" xr:uid="{61AC299B-ADE3-4B23-BA59-7725DB0B11BF}"/>
    <hyperlink ref="H1121" r:id="rId172" xr:uid="{4959559F-7E0D-47FA-AF5C-9E9934902EB7}"/>
    <hyperlink ref="H1122" r:id="rId173" xr:uid="{C767A12C-D050-4883-9A2F-F98EF561733C}"/>
    <hyperlink ref="H1123" r:id="rId174" xr:uid="{15D99B88-42C9-494B-AB28-1EBF89911A7E}"/>
    <hyperlink ref="H1124" r:id="rId175" xr:uid="{B131BFB5-577A-4943-9925-DAA49E170B35}"/>
    <hyperlink ref="G1125" r:id="rId176" display="mailto:jose.rojas@ryq.cl" xr:uid="{0DE38311-2F23-4014-9118-AB3541EFAD99}"/>
    <hyperlink ref="H1126" r:id="rId177" xr:uid="{80603A25-AAA0-4006-8631-3A9C6BB72861}"/>
    <hyperlink ref="G1126" r:id="rId178" display="mailto:jose.rojas@ryq.cl" xr:uid="{1C7D7C06-EF62-450B-8B12-07916FA74A76}"/>
    <hyperlink ref="H1127" r:id="rId179" xr:uid="{4BA7BE05-7729-47F8-92CF-A93E1FD1CDCA}"/>
    <hyperlink ref="G1127" r:id="rId180" display="mailto:jose.rojas@ryq.cl" xr:uid="{54078C36-F00F-407D-B766-3DF57496F5D3}"/>
    <hyperlink ref="H1128" r:id="rId181" display="mailto:jengels@tailpro.com" xr:uid="{173F5633-7EDC-4239-9244-5AEB4DA366D7}"/>
    <hyperlink ref="G1128" r:id="rId182" display="mailto:jose.rojas@ryq.cl" xr:uid="{8C1EAC47-C331-46D8-813D-78CD11633AAA}"/>
    <hyperlink ref="H1130" r:id="rId183" xr:uid="{C5D27B93-2185-4F31-9981-EAA69FD54D0D}"/>
    <hyperlink ref="H1131" r:id="rId184" xr:uid="{B07CFFE3-C95D-4180-853F-B57FD3F664DA}"/>
    <hyperlink ref="H1164" r:id="rId185" xr:uid="{1ABD9FAD-BCE4-4A19-96E5-CC23C448716E}"/>
    <hyperlink ref="H1132" r:id="rId186" xr:uid="{0AB49BDD-CDB2-4D34-80B9-072724C685F1}"/>
    <hyperlink ref="H1133" r:id="rId187" xr:uid="{C0D3A171-7EE4-4095-8BCE-1CB62188D8EC}"/>
    <hyperlink ref="H1135" r:id="rId188" xr:uid="{D901E4F4-7413-4E9F-83DE-8974225E9250}"/>
    <hyperlink ref="H1136" r:id="rId189" xr:uid="{CCF5FC9C-84EB-46A9-BE70-5E0DF339497B}"/>
    <hyperlink ref="H1138" r:id="rId190" xr:uid="{6A7636CC-C73C-4733-9E04-ED2501C61825}"/>
    <hyperlink ref="H1139" r:id="rId191" xr:uid="{0525E97E-3626-445C-9C10-0135A99AD592}"/>
    <hyperlink ref="H1140" r:id="rId192" xr:uid="{8466D12A-D21F-40C0-A1F0-D2E46F46F591}"/>
    <hyperlink ref="G1141" r:id="rId193" display="mailto:jose.rojas@ryq.cl" xr:uid="{8B9BC47B-FF6D-4A8F-9BFE-5F8D6657D453}"/>
    <hyperlink ref="H1143" r:id="rId194" xr:uid="{91A79D05-8CCD-46ED-BED1-AF7D2873F242}"/>
    <hyperlink ref="H1142" r:id="rId195" xr:uid="{4E8EE790-8CD7-4798-AB5D-3E1296322728}"/>
    <hyperlink ref="H1144" r:id="rId196" xr:uid="{3E1C5F28-6839-4C99-9259-0885AEBB33DE}"/>
    <hyperlink ref="G1144" r:id="rId197" display="mailto:jose.rojas@ryq.cl" xr:uid="{65000E3A-0EE6-4147-B4DD-7CDB1789507A}"/>
    <hyperlink ref="H1146" r:id="rId198" xr:uid="{95D8CAE1-464B-4DD4-B77E-F32D138AE48F}"/>
    <hyperlink ref="H1147" r:id="rId199" xr:uid="{DA6EE64E-271B-4A77-A291-AF0ED975F590}"/>
    <hyperlink ref="G1148" r:id="rId200" display="mailto:jose.rojas@ryq.cl" xr:uid="{5887A897-6363-47C2-919C-622CB460BEEE}"/>
    <hyperlink ref="H1149" r:id="rId201" xr:uid="{578DB389-B3EF-46FD-B2BD-9C52BEB28913}"/>
    <hyperlink ref="H1150" r:id="rId202" xr:uid="{CD64FF27-1F01-4A14-83D1-468B604773F2}"/>
    <hyperlink ref="H1151" r:id="rId203" xr:uid="{EC22E110-1ACD-4AED-BD1A-60576751BD68}"/>
    <hyperlink ref="H1152" r:id="rId204" xr:uid="{5574FD33-4852-4CD0-B483-88DC0F8C7A5A}"/>
    <hyperlink ref="H1153" r:id="rId205" xr:uid="{CE693DE6-B849-4E12-B59F-E89D86423B41}"/>
    <hyperlink ref="H1154" r:id="rId206" xr:uid="{8671F859-B90E-4D6B-BED8-35617F4EB15A}"/>
    <hyperlink ref="H1156" r:id="rId207" display="Tiago.Portela@vale.com" xr:uid="{5254B955-66D4-493E-B8D3-8679B9407A32}"/>
    <hyperlink ref="H1157" r:id="rId208" xr:uid="{EE1F28EB-01B1-4DAC-BF4F-8F566D0890F7}"/>
    <hyperlink ref="H1158" r:id="rId209" xr:uid="{BD6089E4-1E40-49B8-B6F4-5DEDDCBC9329}"/>
    <hyperlink ref="H1160" r:id="rId210" xr:uid="{AA7EE5E1-C955-4517-8C8C-EA223E0AC5A7}"/>
    <hyperlink ref="H1161" r:id="rId211" xr:uid="{2337FA1B-8A88-4EB2-9F39-6BB43A6840D9}"/>
    <hyperlink ref="H1162" r:id="rId212" xr:uid="{9945EF85-FF67-4D7F-88F0-86848B533C9E}"/>
    <hyperlink ref="H1165" r:id="rId213" xr:uid="{863E9795-529A-462A-901F-F9013809CBC8}"/>
    <hyperlink ref="H1166" r:id="rId214" display="daigo.shioyama@angloamerican.com" xr:uid="{B8DFC906-66CD-485E-AEAE-4B7B67A89F96}"/>
    <hyperlink ref="H1167" r:id="rId215" xr:uid="{F3E3EE51-C1FD-4414-B1EA-6C9C90F0C043}"/>
    <hyperlink ref="H1168" r:id="rId216" xr:uid="{6D836367-0AAE-4F0A-9005-4765CD7B16C0}"/>
    <hyperlink ref="H1172" r:id="rId217" xr:uid="{4CDCD331-E791-44AF-9ECA-BBB26C35532F}"/>
    <hyperlink ref="H1174" r:id="rId218" xr:uid="{EE7E8FA5-2A56-4A76-8833-9669F0133051}"/>
    <hyperlink ref="H1176" r:id="rId219" xr:uid="{07D3AB4C-6F86-4529-92A4-E932E15DB08C}"/>
    <hyperlink ref="G1176" r:id="rId220" display="mailto:jose.rojas@ryq.cl" xr:uid="{5535E02F-D96E-40E6-9A6A-323C14E53556}"/>
    <hyperlink ref="H1177" r:id="rId221" xr:uid="{61799B05-0AB9-4A85-8CFD-556DC5B67D79}"/>
    <hyperlink ref="H1178" r:id="rId222" xr:uid="{4CB57FB7-7402-49A3-A470-B2144019660C}"/>
    <hyperlink ref="H1180" r:id="rId223" xr:uid="{05F8E08A-38A5-4DA0-B618-96552B1BDBF4}"/>
    <hyperlink ref="H1181" r:id="rId224" xr:uid="{677F0B55-7355-4FB3-A2E8-2B067E8E71B1}"/>
    <hyperlink ref="H1182" r:id="rId225" xr:uid="{DB2EDBD9-F594-4537-86FA-733808BE9EF8}"/>
    <hyperlink ref="G1182" r:id="rId226" display="mailto:jmunozd@caserones.cl" xr:uid="{C45E9FED-DE1B-43B2-BFF6-64AF5AD7827F}"/>
    <hyperlink ref="H1183" r:id="rId227" xr:uid="{476A500E-F763-4F5D-AD54-36057364191F}"/>
    <hyperlink ref="H1186" r:id="rId228" xr:uid="{A78B2496-E2D4-44E5-A605-777B021594B1}"/>
    <hyperlink ref="H1188" r:id="rId229" xr:uid="{AC907BB1-7ED4-4041-A3A7-A0B25E882071}"/>
    <hyperlink ref="G1188" r:id="rId230" display="mailto:jose.rojas@ryq.cl" xr:uid="{D47CD6F8-06C5-4552-90B9-6C6DAC461CFB}"/>
    <hyperlink ref="H1189" r:id="rId231" xr:uid="{BAAB35F2-38B7-4872-A886-C87AF526A3EE}"/>
    <hyperlink ref="H1190" r:id="rId232" xr:uid="{D89B6E07-C137-43CF-AAE3-365CDA5F287D}"/>
    <hyperlink ref="H1191" r:id="rId233" xr:uid="{D7D5992F-CA60-467C-AAD5-2BA8FC2E6287}"/>
    <hyperlink ref="H1194" r:id="rId234" xr:uid="{A44418C9-B31B-4912-A0E1-5863F63137FD}"/>
    <hyperlink ref="H1195" r:id="rId235" xr:uid="{0996C7E0-D172-4CAD-BFA6-94BFBCEFB641}"/>
    <hyperlink ref="H1192" r:id="rId236" xr:uid="{2641CB08-D619-4985-8344-653E30AABF83}"/>
    <hyperlink ref="H1200" r:id="rId237" xr:uid="{EFA1353D-EEC5-43D7-A3D3-C55F61E95F0B}"/>
    <hyperlink ref="H1203" r:id="rId238" xr:uid="{F2469DD0-1181-48B9-8E1D-C4901B8BC10A}"/>
    <hyperlink ref="H1205" r:id="rId239" xr:uid="{3F97255E-42BC-42D4-83F0-7ECC9A633C6A}"/>
    <hyperlink ref="H1206" r:id="rId240" xr:uid="{7F62B0AD-D632-4F7A-9B00-469E667AFE72}"/>
    <hyperlink ref="G1206" r:id="rId241" display="mailto:jmunozd@caserones.cl" xr:uid="{0DEDC61D-49CD-4F43-A357-D33CCAA9BA2B}"/>
    <hyperlink ref="H1207" r:id="rId242" xr:uid="{16831F81-56CB-4D60-ABEE-EF702996D99D}"/>
    <hyperlink ref="H1208" r:id="rId243" xr:uid="{0C225C0A-DD4E-4273-9F1F-C19D7ACAD9CC}"/>
    <hyperlink ref="H1211" r:id="rId244" xr:uid="{4CE91A9E-14B1-4413-96D7-E1E8B9F36328}"/>
    <hyperlink ref="G1211" r:id="rId245" display="mailto:jose.rojas@ryq.cl" xr:uid="{0BBF6D02-0186-41FC-8B1E-85CC4565D418}"/>
    <hyperlink ref="H1217" r:id="rId246" xr:uid="{CB680356-3CFC-4A66-9E89-4CA992332CB8}"/>
    <hyperlink ref="G1217" r:id="rId247" display="mailto:jose.rojas@ryq.cl" xr:uid="{2E0F0834-1634-413D-A395-D90659B9F1BA}"/>
    <hyperlink ref="H1220" r:id="rId248" xr:uid="{242401F6-EDF9-417C-86E5-EAE2665B1C3A}"/>
    <hyperlink ref="H1222" r:id="rId249" xr:uid="{490D0E1F-4222-470A-9279-B5FD89CAC238}"/>
    <hyperlink ref="G1222" r:id="rId250" display="mailto:jose.rojas@ryq.cl" xr:uid="{746B634B-5ADF-406F-AB96-1306D11F4979}"/>
    <hyperlink ref="H1232" r:id="rId251" xr:uid="{2730D251-CA40-4B3C-91BA-AE1F260C9C8D}"/>
    <hyperlink ref="H1233" r:id="rId252" display="stephan.matulic@bhp.com" xr:uid="{E63075D5-CE7B-4B15-BEE5-0CED94206658}"/>
    <hyperlink ref="H1234" r:id="rId253" xr:uid="{701DA2C6-0822-4BDA-932B-6AFA70C082EB}"/>
    <hyperlink ref="H1239" r:id="rId254" xr:uid="{2F0FB938-2EAC-4144-A127-493467976179}"/>
    <hyperlink ref="H1238" r:id="rId255" xr:uid="{F325154D-0EB2-418C-AE7A-DB84150BA1F9}"/>
    <hyperlink ref="H1240" r:id="rId256" xr:uid="{54F28489-4CF4-4101-A101-3D8AEB6C8447}"/>
    <hyperlink ref="G1242" r:id="rId257" display="mailto:jose.rojas@ryq.cl" xr:uid="{1F0233FB-9F42-4B4D-9714-46260E652376}"/>
    <hyperlink ref="H1268" r:id="rId258" xr:uid="{342E30B5-B032-47A5-B9E1-14F13C594A8D}"/>
    <hyperlink ref="H1249" r:id="rId259" xr:uid="{066525D7-0415-451A-BA94-A03453F7FE8D}"/>
    <hyperlink ref="H1250" r:id="rId260" xr:uid="{D21166FD-461E-4BD6-8461-A5E5F24BCB38}"/>
    <hyperlink ref="H1251" r:id="rId261" xr:uid="{A3E75462-E0CC-41E2-B24A-16EE762435EB}"/>
    <hyperlink ref="H1254" r:id="rId262" xr:uid="{A1553D6D-B87C-4F1C-A68C-C32F112635D0}"/>
    <hyperlink ref="G1257" r:id="rId263" display="mailto:jose.rojas@ryq.cl" xr:uid="{60EB1DD8-B4CD-40FC-BAB3-A5C80F4BACA1}"/>
    <hyperlink ref="G1258" r:id="rId264" display="mailto:jose.rojas@ryq.cl" xr:uid="{E5DCD820-9F2D-4D19-A61B-B04372426453}"/>
    <hyperlink ref="H1260" r:id="rId265" xr:uid="{DE174DFD-A0B8-4A3A-852E-187A9A93FD40}"/>
    <hyperlink ref="H1265" r:id="rId266" xr:uid="{AFDC305B-2478-420B-ABEA-DEFACF5398B2}"/>
    <hyperlink ref="H1443" r:id="rId267" xr:uid="{3800E54C-4621-4399-AE19-F9129510F736}"/>
    <hyperlink ref="H1477" r:id="rId268" xr:uid="{269067A1-3C2C-4F46-A1D0-693DC62B5528}"/>
    <hyperlink ref="H1512" r:id="rId269" xr:uid="{128CBB16-73B9-428F-AC02-D32782997707}"/>
    <hyperlink ref="H1266" r:id="rId270" xr:uid="{B1AC767D-5009-457B-A53E-BD73A870B3A8}"/>
    <hyperlink ref="H1269" r:id="rId271" xr:uid="{0FB0A20C-1365-4DA4-A504-D7D27D64186C}"/>
    <hyperlink ref="G1269" r:id="rId272" display="mailto:jose.rojas@ryq.cl" xr:uid="{FC0C83EB-633A-47D3-AC93-12CA57895A4A}"/>
    <hyperlink ref="H1270" r:id="rId273" xr:uid="{C4F63F0C-0BEA-43D0-A74A-92C056B85E94}"/>
    <hyperlink ref="G1279" r:id="rId274" display="mailto:jose.rojas@ryq.cl" xr:uid="{B31E08A1-D25D-4118-AEC5-5595BEAA1FEC}"/>
    <hyperlink ref="H1283" r:id="rId275" xr:uid="{887A4E03-27FF-4803-9BAF-90E1A2584CD5}"/>
    <hyperlink ref="H1285" r:id="rId276" xr:uid="{62D90EB3-68E5-41AA-A509-FF57E2DAD758}"/>
    <hyperlink ref="G1285" r:id="rId277" display="mailto:jose.rojas@ryq.cl" xr:uid="{C802CEF3-3FC3-410D-9F64-CEC147BBD7D0}"/>
    <hyperlink ref="H1286" r:id="rId278" xr:uid="{BD11D488-9BE7-496B-B55A-B7603CCB6DDC}"/>
    <hyperlink ref="G1286" r:id="rId279" display="mailto:jose.rojas@ryq.cl" xr:uid="{EAAFADAB-5F4A-4342-8312-63C1858FB7B2}"/>
    <hyperlink ref="H1287" r:id="rId280" xr:uid="{9B4D7B38-F5E3-4D49-A746-A352E26F487A}"/>
    <hyperlink ref="G1287" r:id="rId281" display="mailto:jose.rojas@ryq.cl" xr:uid="{DB9CAFB3-1340-4CFD-924A-2F3E11CD2FA9}"/>
    <hyperlink ref="H1288" r:id="rId282" xr:uid="{8F287E4A-4631-498D-870A-F3220B963CBF}"/>
    <hyperlink ref="G1288" r:id="rId283" display="mailto:jose.rojas@ryq.cl" xr:uid="{6C5B46FF-2219-4EBE-A0E2-82973A19BDF2}"/>
    <hyperlink ref="H1289" r:id="rId284" xr:uid="{25766DE5-0F32-40A9-850C-7797B8B5C0F5}"/>
    <hyperlink ref="G1290" r:id="rId285" display="mailto:jose.rojas@ryq.cl" xr:uid="{66974706-FD29-4B69-A6AD-D253136D5089}"/>
    <hyperlink ref="H1291" r:id="rId286" display="efg@ipe.bo" xr:uid="{86674C01-68CB-4EB3-A450-9BA2DBCCB869}"/>
    <hyperlink ref="G1291" r:id="rId287" display="mailto:jose.rojas@ryq.cl" xr:uid="{A0D422E0-FF27-4577-9F3A-D35B2B876EB4}"/>
    <hyperlink ref="H1292" r:id="rId288" xr:uid="{6B5661B3-4724-491B-ABAF-EEB0280B4EF0}"/>
    <hyperlink ref="G1292" r:id="rId289" display="mailto:jose.rojas@ryq.cl" xr:uid="{846135DC-2DEE-4108-BD07-307CFBEA9DAD}"/>
    <hyperlink ref="G1293" r:id="rId290" display="mailto:jose.rojas@ryq.cl" xr:uid="{335FAB6D-879A-4F1F-B910-6014A9B0664B}"/>
    <hyperlink ref="H1294" r:id="rId291" xr:uid="{A8C37F0C-E75C-408D-A2C7-23ABD7B872FE}"/>
    <hyperlink ref="G1294" r:id="rId292" display="mailto:gabrielacp@ide-tech.com" xr:uid="{6D4EA217-7DDD-47CF-BDBD-81729080792D}"/>
    <hyperlink ref="H1297" r:id="rId293" xr:uid="{94D67CFE-02F7-4D07-9960-DB063394ED2E}"/>
    <hyperlink ref="G1297" r:id="rId294" display="mailto:gabrielacp@ide-tech.com" xr:uid="{3F8A106A-F891-4AA7-AA66-93165DF4D64B}"/>
    <hyperlink ref="H1299" r:id="rId295" xr:uid="{2CB92FEC-61C1-4B05-AE24-C1AEDFA7E040}"/>
    <hyperlink ref="H1300" r:id="rId296" xr:uid="{755F1D92-3D63-429F-8AFB-1147CE68B6C1}"/>
    <hyperlink ref="H1302" r:id="rId297" xr:uid="{B5E65F0B-1A80-47C3-96D9-1BAD7C601423}"/>
    <hyperlink ref="G1305" r:id="rId298" display="mailto:jose.rojas@ryq.cl" xr:uid="{4ACA5EFF-9606-47C3-B734-8FCFC584BBEC}"/>
    <hyperlink ref="H1307" r:id="rId299" xr:uid="{D4BA1AC5-2EB1-4CC3-8335-25D635F3BF01}"/>
    <hyperlink ref="G1306" r:id="rId300" display="mailto:jmunozd@caserones.cl" xr:uid="{5E14A166-5E2A-420D-9D8E-F63C91D19A53}"/>
    <hyperlink ref="G1307" r:id="rId301" display="mailto:jmunozd@caserones.cl" xr:uid="{7636C546-95BA-45DD-9B2E-EF79E4910B33}"/>
    <hyperlink ref="G1314" r:id="rId302" display="mailto:o.diaz@icpingenieria.cl" xr:uid="{1FCB748B-BD5C-4D31-BEDF-1C0FE54D33B5}"/>
    <hyperlink ref="G1315" r:id="rId303" display="mailto:o.diaz@icpingenieria.cl" xr:uid="{F04BA176-4D81-4D12-AE2D-31DC061E114A}"/>
    <hyperlink ref="H1321" r:id="rId304" display="mailto:jengels@tailpro.com" xr:uid="{0B28F2AF-F2E5-41A2-89D6-726E563210A4}"/>
    <hyperlink ref="G1321" r:id="rId305" display="mailto:jose.rojas@ryq.cl" xr:uid="{BE95DB5F-59C7-4ADB-8D37-D8AAF5CC28E4}"/>
    <hyperlink ref="G1322" r:id="rId306" display="mailto:jose.rojas@ryq.cl" xr:uid="{DAAC014F-F2FE-4815-B21A-B4A4A458880F}"/>
    <hyperlink ref="G1324" r:id="rId307" display="mailto:jose.rojas@ryq.cl" xr:uid="{E341A964-EA30-4F07-AD14-A438346F387F}"/>
    <hyperlink ref="H1549" r:id="rId308" xr:uid="{B4F32313-E702-405D-821F-B557C766FB00}"/>
    <hyperlink ref="H1546" r:id="rId309" xr:uid="{774CAE0A-240C-4FDD-B648-B9ACC17CFB5D}"/>
    <hyperlink ref="H1545" r:id="rId310" xr:uid="{B327C43F-B8B1-4957-9C70-341AFE0CD0ED}"/>
    <hyperlink ref="H1544" r:id="rId311" xr:uid="{28F93D8B-8302-4674-88C9-3AD67D93C90E}"/>
    <hyperlink ref="H1543" r:id="rId312" xr:uid="{5FBEF5F2-4C4E-49CE-B5D8-C05F136FFE9E}"/>
    <hyperlink ref="H1730" r:id="rId313" xr:uid="{00000000-0004-0000-0000-0000A1010000}"/>
    <hyperlink ref="H1836" r:id="rId314" xr:uid="{00000000-0004-0000-0000-0000A0010000}"/>
    <hyperlink ref="H1839" r:id="rId315" xr:uid="{00000000-0004-0000-0000-00009F010000}"/>
    <hyperlink ref="H1846" r:id="rId316" xr:uid="{00000000-0004-0000-0000-00009E010000}"/>
    <hyperlink ref="H1847" r:id="rId317" xr:uid="{00000000-0004-0000-0000-00009D010000}"/>
    <hyperlink ref="H1851" r:id="rId318" xr:uid="{00000000-0004-0000-0000-00009C010000}"/>
    <hyperlink ref="H1852" r:id="rId319" xr:uid="{00000000-0004-0000-0000-00009B010000}"/>
    <hyperlink ref="H1853" r:id="rId320" xr:uid="{00000000-0004-0000-0000-00009A010000}"/>
    <hyperlink ref="H1857" r:id="rId321" xr:uid="{00000000-0004-0000-0000-000099010000}"/>
    <hyperlink ref="H1862" r:id="rId322" xr:uid="{00000000-0004-0000-0000-000098010000}"/>
    <hyperlink ref="H1863" r:id="rId323" xr:uid="{00000000-0004-0000-0000-000097010000}"/>
    <hyperlink ref="H1875" r:id="rId324" xr:uid="{00000000-0004-0000-0000-000096010000}"/>
    <hyperlink ref="H1948" r:id="rId325" display="mailto:rodrigo.toro@honeywell.com" xr:uid="{00000000-0004-0000-0000-000095010000}"/>
    <hyperlink ref="H1996" r:id="rId326" xr:uid="{00000000-0004-0000-0000-000094010000}"/>
    <hyperlink ref="H1994" r:id="rId327" xr:uid="{00000000-0004-0000-0000-000093010000}"/>
    <hyperlink ref="H1997" r:id="rId328" xr:uid="{00000000-0004-0000-0000-000092010000}"/>
    <hyperlink ref="H1998" r:id="rId329" xr:uid="{00000000-0004-0000-0000-000091010000}"/>
    <hyperlink ref="H2000" r:id="rId330" xr:uid="{00000000-0004-0000-0000-00008F010000}"/>
    <hyperlink ref="H1999" r:id="rId331" xr:uid="{00000000-0004-0000-0000-00008E010000}"/>
    <hyperlink ref="H2020" r:id="rId332" xr:uid="{00000000-0004-0000-0000-00008D010000}"/>
    <hyperlink ref="H2039" r:id="rId333" xr:uid="{00000000-0004-0000-0000-00008C010000}"/>
    <hyperlink ref="H2040" r:id="rId334" xr:uid="{00000000-0004-0000-0000-00008B010000}"/>
    <hyperlink ref="H2042" r:id="rId335" xr:uid="{00000000-0004-0000-0000-00008A010000}"/>
    <hyperlink ref="H2114" r:id="rId336" xr:uid="{00000000-0004-0000-0000-000088010000}"/>
    <hyperlink ref="H2115" r:id="rId337" xr:uid="{00000000-0004-0000-0000-000087010000}"/>
    <hyperlink ref="H2124" r:id="rId338" xr:uid="{00000000-0004-0000-0000-000082010000}"/>
    <hyperlink ref="H2120" r:id="rId339" xr:uid="{00000000-0004-0000-0000-00007E010000}"/>
    <hyperlink ref="H2118" r:id="rId340" xr:uid="{00000000-0004-0000-0000-00007D010000}"/>
    <hyperlink ref="H2117" r:id="rId341" xr:uid="{00000000-0004-0000-0000-00007C010000}"/>
    <hyperlink ref="H2116" r:id="rId342" xr:uid="{00000000-0004-0000-0000-00007B010000}"/>
    <hyperlink ref="H2131" r:id="rId343" xr:uid="{00000000-0004-0000-0000-000079010000}"/>
    <hyperlink ref="H2132" r:id="rId344" xr:uid="{00000000-0004-0000-0000-000078010000}"/>
    <hyperlink ref="H2133" r:id="rId345" xr:uid="{00000000-0004-0000-0000-000077010000}"/>
    <hyperlink ref="H2138" r:id="rId346" xr:uid="{00000000-0004-0000-0000-000075010000}"/>
    <hyperlink ref="H2139" r:id="rId347" xr:uid="{00000000-0004-0000-0000-000074010000}"/>
    <hyperlink ref="H2174" r:id="rId348" xr:uid="{00000000-0004-0000-0000-000072010000}"/>
    <hyperlink ref="H2144" r:id="rId349" xr:uid="{00000000-0004-0000-0000-000071010000}"/>
    <hyperlink ref="H2149" r:id="rId350" xr:uid="{00000000-0004-0000-0000-00006F010000}"/>
    <hyperlink ref="H2147" r:id="rId351" xr:uid="{00000000-0004-0000-0000-00006D010000}"/>
    <hyperlink ref="H2151" r:id="rId352" xr:uid="{00000000-0004-0000-0000-00006B010000}"/>
    <hyperlink ref="H2154" r:id="rId353" xr:uid="{00000000-0004-0000-0000-00006A010000}"/>
    <hyperlink ref="H2163" r:id="rId354" xr:uid="{00000000-0004-0000-0000-000066010000}"/>
    <hyperlink ref="H2168" r:id="rId355" xr:uid="{00000000-0004-0000-0000-000065010000}"/>
    <hyperlink ref="H2170" r:id="rId356" xr:uid="{00000000-0004-0000-0000-000064010000}"/>
    <hyperlink ref="H2171" r:id="rId357" xr:uid="{00000000-0004-0000-0000-000063010000}"/>
    <hyperlink ref="H2172" r:id="rId358" xr:uid="{00000000-0004-0000-0000-000062010000}"/>
    <hyperlink ref="H2176" r:id="rId359" xr:uid="{00000000-0004-0000-0000-000061010000}"/>
    <hyperlink ref="H2177" r:id="rId360" xr:uid="{00000000-0004-0000-0000-000060010000}"/>
    <hyperlink ref="H2179" r:id="rId361" xr:uid="{00000000-0004-0000-0000-00005F010000}"/>
    <hyperlink ref="H2181" r:id="rId362" xr:uid="{00000000-0004-0000-0000-00005E010000}"/>
    <hyperlink ref="H2186" r:id="rId363" xr:uid="{00000000-0004-0000-0000-00005D010000}"/>
    <hyperlink ref="H2185" r:id="rId364" xr:uid="{00000000-0004-0000-0000-00005B010000}"/>
    <hyperlink ref="H2188" r:id="rId365" xr:uid="{00000000-0004-0000-0000-00005A010000}"/>
    <hyperlink ref="H2189" r:id="rId366" xr:uid="{00000000-0004-0000-0000-000059010000}"/>
    <hyperlink ref="H2193" r:id="rId367" xr:uid="{00000000-0004-0000-0000-000058010000}"/>
    <hyperlink ref="H2194" r:id="rId368" xr:uid="{00000000-0004-0000-0000-000057010000}"/>
    <hyperlink ref="H2195" r:id="rId369" xr:uid="{00000000-0004-0000-0000-000056010000}"/>
    <hyperlink ref="H2198" r:id="rId370" xr:uid="{00000000-0004-0000-0000-000055010000}"/>
    <hyperlink ref="H2199" r:id="rId371" xr:uid="{00000000-0004-0000-0000-000054010000}"/>
    <hyperlink ref="H2200" r:id="rId372" xr:uid="{00000000-0004-0000-0000-000053010000}"/>
    <hyperlink ref="H2202" r:id="rId373" xr:uid="{00000000-0004-0000-0000-000052010000}"/>
    <hyperlink ref="H2203" r:id="rId374" xr:uid="{00000000-0004-0000-0000-000051010000}"/>
    <hyperlink ref="H2205" r:id="rId375" display="mailto:felipe.yevenes@sqm.com" xr:uid="{00000000-0004-0000-0000-000050010000}"/>
    <hyperlink ref="H2204" r:id="rId376" xr:uid="{00000000-0004-0000-0000-00004F010000}"/>
    <hyperlink ref="H2206" r:id="rId377" xr:uid="{00000000-0004-0000-0000-00004E010000}"/>
    <hyperlink ref="H2208" r:id="rId378" xr:uid="{00000000-0004-0000-0000-00004D010000}"/>
    <hyperlink ref="H2207" r:id="rId379" xr:uid="{00000000-0004-0000-0000-00004C010000}"/>
    <hyperlink ref="H2209" r:id="rId380" xr:uid="{00000000-0004-0000-0000-00004B010000}"/>
    <hyperlink ref="H2210" r:id="rId381" xr:uid="{00000000-0004-0000-0000-00004A010000}"/>
    <hyperlink ref="H2211" r:id="rId382" xr:uid="{00000000-0004-0000-0000-000049010000}"/>
    <hyperlink ref="H2212" r:id="rId383" xr:uid="{00000000-0004-0000-0000-000048010000}"/>
    <hyperlink ref="H2213" r:id="rId384" xr:uid="{00000000-0004-0000-0000-000047010000}"/>
    <hyperlink ref="H2224" r:id="rId385" xr:uid="{00000000-0004-0000-0000-000046010000}"/>
    <hyperlink ref="H2221" r:id="rId386" xr:uid="{00000000-0004-0000-0000-000045010000}"/>
    <hyperlink ref="H2385" r:id="rId387" xr:uid="{00000000-0004-0000-0000-000044010000}"/>
    <hyperlink ref="H2389" r:id="rId388" xr:uid="{00000000-0004-0000-0000-000043010000}"/>
    <hyperlink ref="H2498" r:id="rId389" xr:uid="{00000000-0004-0000-0000-000042010000}"/>
    <hyperlink ref="H2216" r:id="rId390" xr:uid="{00000000-0004-0000-0000-000041010000}"/>
    <hyperlink ref="H2218" r:id="rId391" xr:uid="{00000000-0004-0000-0000-000040010000}"/>
    <hyperlink ref="H2229" r:id="rId392" xr:uid="{00000000-0004-0000-0000-00003F010000}"/>
    <hyperlink ref="H2230" r:id="rId393" xr:uid="{00000000-0004-0000-0000-00003E010000}"/>
    <hyperlink ref="H2250" r:id="rId394" xr:uid="{00000000-0004-0000-0000-00003D010000}"/>
    <hyperlink ref="H2238" r:id="rId395" xr:uid="{00000000-0004-0000-0000-00003C010000}"/>
    <hyperlink ref="H2239" r:id="rId396" xr:uid="{00000000-0004-0000-0000-00003B010000}"/>
    <hyperlink ref="H2240" r:id="rId397" xr:uid="{00000000-0004-0000-0000-00003A010000}"/>
    <hyperlink ref="H2247" r:id="rId398" xr:uid="{00000000-0004-0000-0000-000039010000}"/>
    <hyperlink ref="H2251" r:id="rId399" xr:uid="{00000000-0004-0000-0000-000038010000}"/>
    <hyperlink ref="H2252" r:id="rId400" xr:uid="{00000000-0004-0000-0000-000037010000}"/>
    <hyperlink ref="H2255" r:id="rId401" xr:uid="{00000000-0004-0000-0000-000036010000}"/>
    <hyperlink ref="H2257" r:id="rId402" xr:uid="{00000000-0004-0000-0000-000035010000}"/>
    <hyperlink ref="H2259" r:id="rId403" xr:uid="{00000000-0004-0000-0000-000034010000}"/>
    <hyperlink ref="H2260" r:id="rId404" xr:uid="{00000000-0004-0000-0000-000033010000}"/>
    <hyperlink ref="H2262" r:id="rId405" xr:uid="{00000000-0004-0000-0000-000032010000}"/>
    <hyperlink ref="H2264" r:id="rId406" xr:uid="{00000000-0004-0000-0000-000031010000}"/>
    <hyperlink ref="H2265" r:id="rId407" xr:uid="{00000000-0004-0000-0000-000030010000}"/>
    <hyperlink ref="H2266" r:id="rId408" xr:uid="{00000000-0004-0000-0000-00002F010000}"/>
    <hyperlink ref="H2267" r:id="rId409" xr:uid="{00000000-0004-0000-0000-00002E010000}"/>
    <hyperlink ref="H2268" r:id="rId410" xr:uid="{00000000-0004-0000-0000-00002D010000}"/>
    <hyperlink ref="H2269" r:id="rId411" xr:uid="{00000000-0004-0000-0000-00002C010000}"/>
    <hyperlink ref="G2269" r:id="rId412" display="rodrigo.fernandez@ryq.cl" xr:uid="{00000000-0004-0000-0000-00002B010000}"/>
    <hyperlink ref="H2270" r:id="rId413" xr:uid="{00000000-0004-0000-0000-00002A010000}"/>
    <hyperlink ref="H2285" r:id="rId414" xr:uid="{00000000-0004-0000-0000-000029010000}"/>
    <hyperlink ref="H2286" r:id="rId415" xr:uid="{00000000-0004-0000-0000-000028010000}"/>
    <hyperlink ref="H2289" r:id="rId416" xr:uid="{00000000-0004-0000-0000-000027010000}"/>
    <hyperlink ref="H2290" r:id="rId417" xr:uid="{00000000-0004-0000-0000-000026010000}"/>
    <hyperlink ref="H2294" r:id="rId418" xr:uid="{00000000-0004-0000-0000-000025010000}"/>
    <hyperlink ref="H2295" r:id="rId419" xr:uid="{00000000-0004-0000-0000-000024010000}"/>
    <hyperlink ref="H2281" r:id="rId420" xr:uid="{00000000-0004-0000-0000-000023010000}"/>
    <hyperlink ref="H2287" r:id="rId421" xr:uid="{00000000-0004-0000-0000-000021010000}"/>
    <hyperlink ref="H2298" r:id="rId422" xr:uid="{00000000-0004-0000-0000-000020010000}"/>
    <hyperlink ref="H2302" r:id="rId423" xr:uid="{00000000-0004-0000-0000-00001F010000}"/>
    <hyperlink ref="H2304" r:id="rId424" xr:uid="{00000000-0004-0000-0000-00001C010000}"/>
    <hyperlink ref="H2303" r:id="rId425" xr:uid="{00000000-0004-0000-0000-00001B010000}"/>
    <hyperlink ref="H2306" r:id="rId426" xr:uid="{00000000-0004-0000-0000-000019010000}"/>
    <hyperlink ref="H2307" r:id="rId427" xr:uid="{00000000-0004-0000-0000-00000F010000}"/>
    <hyperlink ref="H2308" r:id="rId428" xr:uid="{00000000-0004-0000-0000-00000E010000}"/>
    <hyperlink ref="H2309" r:id="rId429" xr:uid="{00000000-0004-0000-0000-00000D010000}"/>
    <hyperlink ref="H2310" r:id="rId430" xr:uid="{00000000-0004-0000-0000-00000C010000}"/>
    <hyperlink ref="H2311" r:id="rId431" xr:uid="{00000000-0004-0000-0000-00000B010000}"/>
    <hyperlink ref="H2312" r:id="rId432" xr:uid="{00000000-0004-0000-0000-00000A010000}"/>
    <hyperlink ref="H2315" r:id="rId433" xr:uid="{00000000-0004-0000-0000-000009010000}"/>
    <hyperlink ref="H2317" r:id="rId434" xr:uid="{00000000-0004-0000-0000-000008010000}"/>
    <hyperlink ref="H2318" r:id="rId435" xr:uid="{00000000-0004-0000-0000-000006010000}"/>
    <hyperlink ref="H2319" r:id="rId436" xr:uid="{00000000-0004-0000-0000-000004010000}"/>
    <hyperlink ref="H2327" r:id="rId437" xr:uid="{00000000-0004-0000-0000-000003010000}"/>
    <hyperlink ref="H2320" r:id="rId438" xr:uid="{00000000-0004-0000-0000-0000FB000000}"/>
    <hyperlink ref="H2321" r:id="rId439" xr:uid="{00000000-0004-0000-0000-0000F9000000}"/>
    <hyperlink ref="H2322" r:id="rId440" xr:uid="{00000000-0004-0000-0000-0000F7000000}"/>
    <hyperlink ref="H2332" r:id="rId441" xr:uid="{00000000-0004-0000-0000-0000F6000000}"/>
    <hyperlink ref="H2333" r:id="rId442" xr:uid="{00000000-0004-0000-0000-0000F5000000}"/>
    <hyperlink ref="H2336" r:id="rId443" display="mailto:fvera@nutram.cl" xr:uid="{00000000-0004-0000-0000-0000F0000000}"/>
    <hyperlink ref="H2335" r:id="rId444" display="mailto:fvera@nutram.cl" xr:uid="{00000000-0004-0000-0000-0000EF000000}"/>
    <hyperlink ref="H2334" r:id="rId445" display="mailto:fvera@nutram.cl" xr:uid="{00000000-0004-0000-0000-0000EE000000}"/>
    <hyperlink ref="H2343" r:id="rId446" xr:uid="{00000000-0004-0000-0000-0000ED000000}"/>
    <hyperlink ref="H2342" r:id="rId447" xr:uid="{00000000-0004-0000-0000-0000EC000000}"/>
    <hyperlink ref="H2340" r:id="rId448" xr:uid="{00000000-0004-0000-0000-0000EB000000}"/>
    <hyperlink ref="H2339" r:id="rId449" xr:uid="{00000000-0004-0000-0000-0000EA000000}"/>
    <hyperlink ref="H2337" r:id="rId450" xr:uid="{00000000-0004-0000-0000-0000E9000000}"/>
    <hyperlink ref="H2338" r:id="rId451" xr:uid="{00000000-0004-0000-0000-0000E8000000}"/>
    <hyperlink ref="H2344" r:id="rId452" xr:uid="{00000000-0004-0000-0000-0000E7000000}"/>
    <hyperlink ref="H2345" r:id="rId453" xr:uid="{00000000-0004-0000-0000-0000E6000000}"/>
    <hyperlink ref="H2348" r:id="rId454" display="mailto:vsalinas@caserones.cl" xr:uid="{00000000-0004-0000-0000-0000E5000000}"/>
    <hyperlink ref="H2346" r:id="rId455" display="mailto:Jorge.Agustini@mmg.com" xr:uid="{00000000-0004-0000-0000-0000E4000000}"/>
    <hyperlink ref="H2349" r:id="rId456" xr:uid="{00000000-0004-0000-0000-0000E3000000}"/>
    <hyperlink ref="H2350" r:id="rId457" xr:uid="{00000000-0004-0000-0000-000051000000}"/>
    <hyperlink ref="H2351" r:id="rId458" xr:uid="{00000000-0004-0000-0000-00004C000000}"/>
    <hyperlink ref="H2358" r:id="rId459" xr:uid="{00000000-0004-0000-0000-00004A000000}"/>
    <hyperlink ref="H2360" r:id="rId460" display="mailto:jsolis@mineracentinela.cl" xr:uid="{00000000-0004-0000-0000-000049000000}"/>
    <hyperlink ref="H2363" r:id="rId461" display="mailto:jsolis@mineracentinela.cl" xr:uid="{00000000-0004-0000-0000-000048000000}"/>
    <hyperlink ref="H2365" r:id="rId462" display="mailto:jsolis@mineracentinela.cl" xr:uid="{00000000-0004-0000-0000-000047000000}"/>
    <hyperlink ref="H2366" r:id="rId463" display="mailto:jsolis@mineracentinela.cl" xr:uid="{00000000-0004-0000-0000-000046000000}"/>
    <hyperlink ref="H2361" r:id="rId464" display="mailto:cfarias@caserones.cl" xr:uid="{00000000-0004-0000-0000-000045000000}"/>
    <hyperlink ref="H2375" r:id="rId465" xr:uid="{00000000-0004-0000-0000-000044000000}"/>
    <hyperlink ref="H2371" r:id="rId466" xr:uid="{00000000-0004-0000-0000-000043000000}"/>
    <hyperlink ref="H2370" r:id="rId467" xr:uid="{00000000-0004-0000-0000-000042000000}"/>
    <hyperlink ref="H2373" r:id="rId468" xr:uid="{00000000-0004-0000-0000-000041000000}"/>
    <hyperlink ref="H2376" r:id="rId469" display="mailto:pcheng@mineracentinela.cl" xr:uid="{00000000-0004-0000-0000-000040000000}"/>
    <hyperlink ref="H2362" r:id="rId470" xr:uid="{00000000-0004-0000-0000-00003F000000}"/>
    <hyperlink ref="H2372" r:id="rId471" display="mailto:jsolis@mineracentinela.cl" xr:uid="{00000000-0004-0000-0000-00003E000000}"/>
    <hyperlink ref="H2530" r:id="rId472" xr:uid="{00000000-0004-0000-0000-00003D000000}"/>
    <hyperlink ref="H2581" r:id="rId473" xr:uid="{00000000-0004-0000-0000-00003C000000}"/>
    <hyperlink ref="H2655" r:id="rId474" xr:uid="{00000000-0004-0000-0000-00003B000000}"/>
    <hyperlink ref="H2641" r:id="rId475" xr:uid="{00000000-0004-0000-0000-00003A000000}"/>
    <hyperlink ref="H2617" r:id="rId476" xr:uid="{00000000-0004-0000-0000-000039000000}"/>
    <hyperlink ref="H2614" r:id="rId477" xr:uid="{00000000-0004-0000-0000-000038000000}"/>
    <hyperlink ref="H2612" r:id="rId478" xr:uid="{00000000-0004-0000-0000-000037000000}"/>
    <hyperlink ref="H2598" r:id="rId479" xr:uid="{00000000-0004-0000-0000-000036000000}"/>
    <hyperlink ref="H2590" r:id="rId480" xr:uid="{00000000-0004-0000-0000-000035000000}"/>
    <hyperlink ref="H2588" r:id="rId481" xr:uid="{00000000-0004-0000-0000-000034000000}"/>
    <hyperlink ref="H2586" r:id="rId482" xr:uid="{00000000-0004-0000-0000-000033000000}"/>
    <hyperlink ref="H2574" r:id="rId483" xr:uid="{00000000-0004-0000-0000-000032000000}"/>
    <hyperlink ref="H2568" r:id="rId484" xr:uid="{00000000-0004-0000-0000-000031000000}"/>
    <hyperlink ref="H2561" r:id="rId485" xr:uid="{00000000-0004-0000-0000-000030000000}"/>
    <hyperlink ref="H2553" r:id="rId486" xr:uid="{00000000-0004-0000-0000-00002F000000}"/>
    <hyperlink ref="H2549" r:id="rId487" xr:uid="{00000000-0004-0000-0000-00002E000000}"/>
    <hyperlink ref="H2525" r:id="rId488" xr:uid="{00000000-0004-0000-0000-00002D000000}"/>
    <hyperlink ref="H2510" r:id="rId489" xr:uid="{00000000-0004-0000-0000-00002C000000}"/>
    <hyperlink ref="H2496" r:id="rId490" xr:uid="{00000000-0004-0000-0000-00002B000000}"/>
    <hyperlink ref="H2493" r:id="rId491" xr:uid="{00000000-0004-0000-0000-00002A000000}"/>
    <hyperlink ref="H2491" r:id="rId492" xr:uid="{00000000-0004-0000-0000-000029000000}"/>
    <hyperlink ref="H2475" r:id="rId493" xr:uid="{00000000-0004-0000-0000-000028000000}"/>
    <hyperlink ref="H2459" r:id="rId494" xr:uid="{00000000-0004-0000-0000-000027000000}"/>
    <hyperlink ref="H2453" r:id="rId495" xr:uid="{00000000-0004-0000-0000-000026000000}"/>
    <hyperlink ref="H2424" r:id="rId496" xr:uid="{00000000-0004-0000-0000-000025000000}"/>
    <hyperlink ref="H2420" r:id="rId497" xr:uid="{00000000-0004-0000-0000-000024000000}"/>
    <hyperlink ref="H2418" r:id="rId498" xr:uid="{00000000-0004-0000-0000-000023000000}"/>
    <hyperlink ref="H2415" r:id="rId499" xr:uid="{00000000-0004-0000-0000-000022000000}"/>
    <hyperlink ref="H2397" r:id="rId500" xr:uid="{00000000-0004-0000-0000-000021000000}"/>
    <hyperlink ref="H2401" r:id="rId501" xr:uid="{00000000-0004-0000-0000-000020000000}"/>
    <hyperlink ref="H2400" r:id="rId502" xr:uid="{00000000-0004-0000-0000-00001F000000}"/>
    <hyperlink ref="H2399" r:id="rId503" xr:uid="{00000000-0004-0000-0000-00001E000000}"/>
    <hyperlink ref="H2398" r:id="rId504" xr:uid="{00000000-0004-0000-0000-00001D000000}"/>
    <hyperlink ref="H2392" r:id="rId505" xr:uid="{00000000-0004-0000-0000-00001C000000}"/>
    <hyperlink ref="H2391" r:id="rId506" xr:uid="{00000000-0004-0000-0000-00001B000000}"/>
    <hyperlink ref="H2383" r:id="rId507" xr:uid="{00000000-0004-0000-0000-00001A000000}"/>
    <hyperlink ref="H2382" r:id="rId508" xr:uid="{00000000-0004-0000-0000-000019000000}"/>
    <hyperlink ref="H2379" r:id="rId509" xr:uid="{00000000-0004-0000-0000-000018000000}"/>
    <hyperlink ref="H2378" r:id="rId510" xr:uid="{00000000-0004-0000-0000-000017000000}"/>
    <hyperlink ref="H2576" r:id="rId511" xr:uid="{00000000-0004-0000-0000-000016000000}"/>
    <hyperlink ref="H2577" r:id="rId512" xr:uid="{00000000-0004-0000-0000-000015000000}"/>
    <hyperlink ref="AB2680" location="'SH022'!A1" display="SH022" xr:uid="{00000000-0004-0000-0000-000014000000}"/>
    <hyperlink ref="AB2681" location="'SH021'!A1" display="SH021" xr:uid="{00000000-0004-0000-0000-000013000000}"/>
    <hyperlink ref="AB2682" location="'SH020'!A1" display="SH020" xr:uid="{00000000-0004-0000-0000-000012000000}"/>
    <hyperlink ref="AB2685" location="'SH019'!A1" display="SH019" xr:uid="{00000000-0004-0000-0000-000011000000}"/>
    <hyperlink ref="AB2687" location="'SH018'!A1" display="SH018" xr:uid="{00000000-0004-0000-0000-000010000000}"/>
    <hyperlink ref="AB2690" location="'SH015'!A1" display="SH015" xr:uid="{00000000-0004-0000-0000-00000E000000}"/>
    <hyperlink ref="AB2698" location="'SH0012'!A1" display="SH012" xr:uid="{00000000-0004-0000-0000-00000B000000}"/>
    <hyperlink ref="AB2705" location="'SH011'!A1" display="SH011" xr:uid="{00000000-0004-0000-0000-00000A000000}"/>
    <hyperlink ref="AB2707" location="'SH010'!A1" display="SH010" xr:uid="{00000000-0004-0000-0000-000009000000}"/>
    <hyperlink ref="AB2708" location="'SH009'!A1" display="SH009" xr:uid="{00000000-0004-0000-0000-000008000000}"/>
    <hyperlink ref="AB2715" location="SH005!A1" display="SH005" xr:uid="{00000000-0004-0000-0000-000004000000}"/>
    <hyperlink ref="AB2730" location="SH001!A1" display="SH001" xr:uid="{00000000-0004-0000-0000-000002000000}"/>
    <hyperlink ref="G926" r:id="rId513" display="mailto:jose.rojas@ryq.cl" xr:uid="{1002BD92-8672-4B39-8009-3445CA3E9688}"/>
    <hyperlink ref="H922" r:id="rId514" xr:uid="{023F0A77-72E6-469E-9D69-C401E456CE4A}"/>
    <hyperlink ref="H920" r:id="rId515" xr:uid="{4A140C2C-DDD5-4CA2-88BA-07A21AF426F1}"/>
    <hyperlink ref="H921" r:id="rId516" xr:uid="{F4E1CC65-383E-45BE-B11E-58A50F3CE701}"/>
    <hyperlink ref="H927" r:id="rId517" xr:uid="{BA972135-33D2-41D6-AF4A-5E2FB578C8AD}"/>
    <hyperlink ref="H918" r:id="rId518" xr:uid="{E117C805-E466-4B0A-861C-923690A9EAC6}"/>
    <hyperlink ref="H916" r:id="rId519" xr:uid="{F08CDB3F-FC6B-42A7-A4C2-99BD87F9F5EC}"/>
    <hyperlink ref="H915" r:id="rId520" xr:uid="{15123412-52AD-44CD-8163-5B9D3FC364CC}"/>
    <hyperlink ref="H913" r:id="rId521" xr:uid="{D94839AB-B2A0-4AA8-8C54-CEA08524E204}"/>
    <hyperlink ref="H911" r:id="rId522" xr:uid="{C1BC3763-4F0B-4DE7-9458-30F5923A3283}"/>
    <hyperlink ref="H910" r:id="rId523" xr:uid="{66B92660-4EA9-445B-9AD7-AA7D0DA536F0}"/>
    <hyperlink ref="H912" r:id="rId524" xr:uid="{3CB0EE45-AD01-4FC5-B77C-E6CA337B09D8}"/>
    <hyperlink ref="H932" r:id="rId525" xr:uid="{2686A36C-AF44-40AC-B810-2756A88CFE3A}"/>
    <hyperlink ref="H909" r:id="rId526" xr:uid="{188C6482-1A62-4004-994C-2F163F8D1981}"/>
    <hyperlink ref="H899" r:id="rId527" xr:uid="{331C9869-057F-42D7-9251-492A451F224D}"/>
    <hyperlink ref="H895" r:id="rId528" xr:uid="{FC10B1B9-EE3F-4FB6-A2DF-97D9FF315310}"/>
    <hyperlink ref="H893" r:id="rId529" xr:uid="{77104A0C-4D38-4520-9E23-48285778B003}"/>
    <hyperlink ref="H892" r:id="rId530" xr:uid="{A63FA15D-379B-4E0B-9C32-43DC2BE461B7}"/>
    <hyperlink ref="H887" r:id="rId531" display="mailto:Julio.Ibanez@sqm.com" xr:uid="{BC5DD7B0-98CD-4E1D-8807-E6646A089883}"/>
    <hyperlink ref="H889" r:id="rId532" xr:uid="{913B1FF0-FD97-4A9B-8A70-894320598835}"/>
    <hyperlink ref="H883" r:id="rId533" tooltip="mailto:oguazzottiv@hvcontratistas.com.pe" display="mailto:oguazzottiv@hvcontratistas.com.pe" xr:uid="{8E86A7DA-931C-41F5-AC49-F0CBF0F8ED33}"/>
    <hyperlink ref="H878" r:id="rId534" xr:uid="{C825113A-573D-452B-A01B-CA6020D0322F}"/>
    <hyperlink ref="H877" r:id="rId535" display="mailto:jdrojas@cmp.cl" xr:uid="{6A319B5A-813F-429F-A6AF-181CCCC3CBA5}"/>
    <hyperlink ref="H879" r:id="rId536" xr:uid="{8607DA20-FBB7-4A1A-AC20-EFE504152C62}"/>
    <hyperlink ref="H872" r:id="rId537" xr:uid="{EC56DB6A-602E-4D67-8670-A796FC1BAB41}"/>
    <hyperlink ref="H884" r:id="rId538" xr:uid="{9FCAC697-B798-40DD-A6BD-E79FEEE40E57}"/>
    <hyperlink ref="H904" r:id="rId539" xr:uid="{23645663-127A-4E6E-84C6-C2BBC229BCA9}"/>
    <hyperlink ref="H906" r:id="rId540" xr:uid="{9348BE32-FE2A-4F77-A7E0-7875509457D8}"/>
    <hyperlink ref="H907" r:id="rId541" xr:uid="{13FE07CA-727A-44C6-A5F0-24B82012A90A}"/>
    <hyperlink ref="H914" r:id="rId542" display="guilherme.euler@vale.com_x000a_" xr:uid="{BA218DAE-D27A-4633-9839-5D3B542ED4AB}"/>
    <hyperlink ref="H873" r:id="rId543" xr:uid="{FC9CE801-2BA8-4FC4-B92E-5A2392C05E39}"/>
    <hyperlink ref="H880" r:id="rId544" xr:uid="{77BA7BCD-5D04-42B6-9DAA-58FD1A0FCD6B}"/>
    <hyperlink ref="H885" r:id="rId545" xr:uid="{E6CA61CE-E49E-4FC3-953C-4D8089E1A556}"/>
    <hyperlink ref="H867" r:id="rId546" xr:uid="{DBB7D84E-613A-43F4-938B-C9037A4E838D}"/>
    <hyperlink ref="H857" r:id="rId547" xr:uid="{2F38CDC2-4651-4441-A58C-5FD013ED7B61}"/>
    <hyperlink ref="H865" r:id="rId548" xr:uid="{6487C433-5068-4D9F-A769-BD29625DA016}"/>
    <hyperlink ref="H868" r:id="rId549" xr:uid="{81188651-BC98-4A23-B60C-43254B81824E}"/>
    <hyperlink ref="H856" r:id="rId550" xr:uid="{BF19A651-205C-4CF6-99EE-73D9C26367E8}"/>
    <hyperlink ref="H852" r:id="rId551" xr:uid="{819D2D87-1DE2-450B-BA3F-4FF2F97D8151}"/>
    <hyperlink ref="H851" r:id="rId552" xr:uid="{B5797886-6BB4-4A4F-BE77-11EDD659BA69}"/>
    <hyperlink ref="H850" r:id="rId553" xr:uid="{73AACC1F-57F1-4D6E-8FFC-E8558933C218}"/>
    <hyperlink ref="H845" r:id="rId554" xr:uid="{8640A2ED-370C-420B-A756-3DAC057A25E5}"/>
    <hyperlink ref="H844" r:id="rId555" xr:uid="{6B4A911C-08B0-4DB1-BA2F-75C6FA6F0901}"/>
    <hyperlink ref="H841" r:id="rId556" xr:uid="{C6D885F8-488E-4E21-8E26-782133C49CD7}"/>
    <hyperlink ref="H836" r:id="rId557" xr:uid="{10D8768F-175D-4365-9526-C73C0DC51E71}"/>
    <hyperlink ref="H863" r:id="rId558" xr:uid="{7F8D0512-6453-43B7-81A1-79896042E702}"/>
    <hyperlink ref="H832" r:id="rId559" xr:uid="{3FA2675D-F7B9-4DA7-97ED-5AAAFB465B46}"/>
    <hyperlink ref="H829" r:id="rId560" xr:uid="{4EA6EB41-A595-44D2-80F3-7B67CA610D91}"/>
    <hyperlink ref="H830" r:id="rId561" xr:uid="{764656FF-11AE-467A-9508-89E23CF003E7}"/>
    <hyperlink ref="H826" r:id="rId562" xr:uid="{716FC6D9-D743-4DF3-B701-14F7ED13C46E}"/>
    <hyperlink ref="H823" r:id="rId563" xr:uid="{09B80013-CE84-49BD-913E-2D7C4B011513}"/>
    <hyperlink ref="H824" r:id="rId564" xr:uid="{1062BE3D-4252-446A-96FA-15FF9D39560D}"/>
    <hyperlink ref="H825" r:id="rId565" xr:uid="{FD6ADDED-7B0B-4666-944C-1EB2386E5A10}"/>
    <hyperlink ref="H820" r:id="rId566" xr:uid="{BF326956-B4E1-4FEC-AB13-0A0FF7350F0A}"/>
    <hyperlink ref="H819" r:id="rId567" xr:uid="{3327D6B9-2C05-43C6-A85B-0E328A52F220}"/>
    <hyperlink ref="H818" r:id="rId568" xr:uid="{50ABC873-EDF4-4F34-8071-129A49880D59}"/>
    <hyperlink ref="H817" r:id="rId569" xr:uid="{8653A2DD-3683-4D9B-8853-7EA7D9F504B2}"/>
    <hyperlink ref="H816" r:id="rId570" xr:uid="{0BBE36FE-C9C9-459A-9274-062278640F29}"/>
    <hyperlink ref="H810" r:id="rId571" xr:uid="{461103F8-9E6C-4B25-8AA2-A73D455FEB91}"/>
    <hyperlink ref="H809" r:id="rId572" xr:uid="{D959B29F-2989-412A-AA51-0988BE263895}"/>
    <hyperlink ref="H808" r:id="rId573" xr:uid="{DB782F53-94BF-4D7C-A1C9-68769EC3297C}"/>
    <hyperlink ref="H811" r:id="rId574" xr:uid="{3F12AA70-C42A-4DD3-9B45-21787074AE2D}"/>
    <hyperlink ref="H803" r:id="rId575" xr:uid="{6A7E065B-2193-47CA-8F4F-A17CE64EA69F}"/>
    <hyperlink ref="H807" r:id="rId576" xr:uid="{9DCFB9BC-B0EE-437C-88B2-A75B96B06254}"/>
    <hyperlink ref="H804" r:id="rId577" xr:uid="{250516BA-6FB8-41BE-B5B1-42A9A87867E2}"/>
    <hyperlink ref="H806" r:id="rId578" xr:uid="{0D2A1772-77DF-4275-8DAA-06AFB6B3F0BF}"/>
    <hyperlink ref="H802" r:id="rId579" xr:uid="{4390316F-BF4A-49DD-A7A8-AB576808ACC5}"/>
    <hyperlink ref="H801" r:id="rId580" xr:uid="{0DF72310-A88A-4A8A-884E-8328807D5B84}"/>
    <hyperlink ref="H800" r:id="rId581" xr:uid="{5942E38C-CE75-4B23-BCC4-FDFF312BECBC}"/>
    <hyperlink ref="H799" r:id="rId582" xr:uid="{3DAA89A5-E0CC-4CB2-B221-8C0A6BF51571}"/>
    <hyperlink ref="H798" r:id="rId583" xr:uid="{4B228CB1-E45A-49A4-ADBF-8705694499A3}"/>
    <hyperlink ref="H795" r:id="rId584" xr:uid="{03B0E34E-4EDF-4DE1-908B-2241A163CDC2}"/>
    <hyperlink ref="H794" r:id="rId585" xr:uid="{A4EA600F-232C-47CB-811F-3B0B101417C9}"/>
    <hyperlink ref="H793" r:id="rId586" xr:uid="{302CB437-8137-442C-A343-5E30150C4066}"/>
    <hyperlink ref="H792" r:id="rId587" xr:uid="{4D93E54F-F2C1-43B5-A407-F3DB4E9F62AB}"/>
    <hyperlink ref="H791" r:id="rId588" xr:uid="{4EC3D4AC-E38F-4B6A-99AC-1C1D2CFD8E55}"/>
    <hyperlink ref="H785" r:id="rId589" xr:uid="{BB631D1A-39AE-4B7B-B12A-E56460EA93CA}"/>
    <hyperlink ref="H784" r:id="rId590" xr:uid="{83CCAC5A-6838-4031-81A7-6B971DFBECAA}"/>
    <hyperlink ref="H781" r:id="rId591" xr:uid="{51DA8588-8B1C-461C-A485-D796BC8B805F}"/>
    <hyperlink ref="H778" r:id="rId592" xr:uid="{F02A8662-FDF7-435B-8742-92F35D527554}"/>
    <hyperlink ref="H777" r:id="rId593" xr:uid="{0BCA7ABE-066A-4F44-B7C7-88B34CCC461D}"/>
    <hyperlink ref="H776" r:id="rId594" xr:uid="{46B4CA7C-A537-42B8-B863-CDED8567F43F}"/>
    <hyperlink ref="H775" r:id="rId595" xr:uid="{EAF82302-7B76-48F4-BFD3-A15A4DEF8A64}"/>
    <hyperlink ref="H773" r:id="rId596" xr:uid="{4AD04E9D-D252-4D1D-8E27-79E4CAAC7326}"/>
    <hyperlink ref="H772" r:id="rId597" xr:uid="{296E0E71-D8AA-4034-9731-6ECFFEB4CEF5}"/>
    <hyperlink ref="G772" r:id="rId598" display="mailto:gunter.lipper@equinoxgold.com" xr:uid="{72B3E4F0-D5EE-432A-9B98-BA35946B23F8}"/>
    <hyperlink ref="H782" r:id="rId599" xr:uid="{F1611DA2-1112-4ADD-8663-6703D47E7D7D}"/>
    <hyperlink ref="H771" r:id="rId600" xr:uid="{471EB5DF-5EDA-48EC-B92F-D08210489AC8}"/>
    <hyperlink ref="G771" r:id="rId601" display="mailto:gunter.lipper@equinoxgold.com" xr:uid="{1A5E5CE7-119D-4E5C-8428-EAFF9F292BE2}"/>
    <hyperlink ref="H770" r:id="rId602" xr:uid="{FBF73D0A-C0D8-47F4-B36E-FDF41420D7CE}"/>
    <hyperlink ref="H769" r:id="rId603" xr:uid="{69ADC55C-25E5-475B-97DA-80ABB4B9ACC5}"/>
    <hyperlink ref="H768" r:id="rId604" display="mailto:jdrojas@cmp.cl" xr:uid="{7186D0F9-8D11-494C-A8EA-88FEBC1D8369}"/>
    <hyperlink ref="G767" r:id="rId605" display="mailto:jbriceno@jej.cl" xr:uid="{432407A7-F913-4A01-9611-F1742D3B7FFC}"/>
    <hyperlink ref="H767" r:id="rId606" xr:uid="{383D1E47-16D9-4D1B-BB0F-70C39A419231}"/>
    <hyperlink ref="H765" r:id="rId607" xr:uid="{8C6F9A88-BA56-434F-B216-4402340DD47E}"/>
    <hyperlink ref="H764" r:id="rId608" xr:uid="{C2C8B187-1BF6-4022-8A6E-9431A97EB022}"/>
    <hyperlink ref="G764" r:id="rId609" display="mailto:jose.rojas@ryq.cl" xr:uid="{F637F6F2-54C1-448B-8CEF-F9592A8579D0}"/>
    <hyperlink ref="H762" r:id="rId610" xr:uid="{C8FB8344-F8CC-4D7D-A928-CC5DB710A579}"/>
    <hyperlink ref="H760" r:id="rId611" xr:uid="{925B8615-E66C-4407-A4F5-31D954D7070F}"/>
    <hyperlink ref="H758" r:id="rId612" xr:uid="{9AFDB8BD-B5C0-4E12-A63B-5E263685E50F}"/>
    <hyperlink ref="H757" r:id="rId613" display="e_cconstanzo@aguascap.cl " xr:uid="{EE3D1EE2-9EEF-4FB1-9E3F-047E05CE1F5F}"/>
    <hyperlink ref="H756" r:id="rId614" xr:uid="{F9265F8E-CF3E-487E-8781-C58620B48E3B}"/>
    <hyperlink ref="H754" r:id="rId615" xr:uid="{5F26E517-62F5-4B67-A2F1-13F15530BD03}"/>
    <hyperlink ref="H753" r:id="rId616" xr:uid="{F89DC6EA-3FD7-4071-8CEA-8EBE37C18EB2}"/>
    <hyperlink ref="H752" r:id="rId617" xr:uid="{7CF27A56-F34D-4015-B0D3-15EA358D3345}"/>
    <hyperlink ref="H751" r:id="rId618" xr:uid="{FF9AD772-189F-45AC-8670-295D9EF8F5ED}"/>
    <hyperlink ref="H750" r:id="rId619" xr:uid="{74837D73-A064-4DA9-BDD8-C4F91F1FAAE0}"/>
    <hyperlink ref="H749" r:id="rId620" xr:uid="{7341D0CC-E150-4560-8A14-BC584C93BF05}"/>
    <hyperlink ref="H748" r:id="rId621" xr:uid="{D2BEAF7D-393E-446D-89FC-6C983D646468}"/>
    <hyperlink ref="H747" r:id="rId622" xr:uid="{572D798D-8EBA-4487-9E34-6D4B77FAD2A7}"/>
    <hyperlink ref="H746" r:id="rId623" xr:uid="{AB5C2BBB-94F3-42E9-B9E7-13F6A64C61D5}"/>
    <hyperlink ref="H744" r:id="rId624" xr:uid="{89E2022E-51D8-4F58-A8DB-15997A01A4DC}"/>
    <hyperlink ref="H745" r:id="rId625" xr:uid="{7E220842-0EFE-4A18-9539-6131839CE29B}"/>
    <hyperlink ref="H743" r:id="rId626" xr:uid="{34B7C8D1-C23A-4FB3-9035-076BD1B8F574}"/>
    <hyperlink ref="H742" r:id="rId627" xr:uid="{85600150-0417-4844-8018-9886CE1F854B}"/>
    <hyperlink ref="H740" r:id="rId628" display="mailto:claudio.pavez@coxabengoa.com" xr:uid="{B2DF5A79-5764-4386-B3E0-0007A698B5DE}"/>
    <hyperlink ref="H731" r:id="rId629" xr:uid="{847CEAE2-9C1E-446E-B4F5-55319D7A619D}"/>
    <hyperlink ref="H730" r:id="rId630" xr:uid="{D765E370-FED3-413E-834B-5A3AE68A21E1}"/>
    <hyperlink ref="H729" r:id="rId631" xr:uid="{140210E9-6186-486E-8A79-88C45F71390A}"/>
    <hyperlink ref="H728" r:id="rId632" xr:uid="{DD432533-E041-4EA4-A36F-F10BEED17E7B}"/>
    <hyperlink ref="H727" r:id="rId633" display="mailto:rquez001@codelco.cl" xr:uid="{AF59A3A0-AECC-417F-8A4C-9D26F33F7C45}"/>
    <hyperlink ref="H726" r:id="rId634" display="mailto:rquez001@codelco.cl" xr:uid="{EC0AA8D0-DE25-479E-8616-00BDF389194C}"/>
    <hyperlink ref="H725" r:id="rId635" xr:uid="{31649CA6-8047-459E-9B41-F552E442E7A2}"/>
    <hyperlink ref="H724" r:id="rId636" xr:uid="{0A338A6A-F081-4471-8829-243F2E4A8EE1}"/>
    <hyperlink ref="H721" r:id="rId637" xr:uid="{4E2D31DF-1923-4E0A-9997-BF96870ED349}"/>
    <hyperlink ref="H723" r:id="rId638" xr:uid="{2F730C01-297C-46D2-AECD-3B944D6D3439}"/>
    <hyperlink ref="H722" r:id="rId639" xr:uid="{59BFE385-63D2-43DE-BFA3-8CF1669D4F21}"/>
    <hyperlink ref="H720" r:id="rId640" display="mailto:stephan.matulic@bhp.com" xr:uid="{0052E836-2010-4DDA-A69D-A7691A6DEE86}"/>
    <hyperlink ref="H719" r:id="rId641" xr:uid="{4845D3E1-ADC6-4FE3-8DA7-BC9C76F4FA34}"/>
    <hyperlink ref="H718" r:id="rId642" xr:uid="{24E9859E-ADF5-4B98-AF8F-407D1357A116}"/>
    <hyperlink ref="H717" r:id="rId643" xr:uid="{3C0648E7-7978-4688-8B2B-53D3A756BD76}"/>
    <hyperlink ref="H716" r:id="rId644" xr:uid="{14518128-C612-4B91-A001-C878356FBFC0}"/>
    <hyperlink ref="H715" r:id="rId645" xr:uid="{36D0DBCF-FC3E-408D-9A03-6B78CBED7F1F}"/>
    <hyperlink ref="H714" r:id="rId646" xr:uid="{934360FA-4CCB-41BC-AAEE-C28F1997A2F4}"/>
    <hyperlink ref="H713" r:id="rId647" xr:uid="{ED9882D2-8263-4948-B6DC-CE213EE06303}"/>
    <hyperlink ref="H711" r:id="rId648" xr:uid="{5409F642-5BD2-46F0-BC7B-9C640F119184}"/>
    <hyperlink ref="H710" r:id="rId649" xr:uid="{4E647A4B-36CE-493D-B6C6-1FBBDEFAFEEC}"/>
    <hyperlink ref="H709" r:id="rId650" xr:uid="{5916D0BB-ECA1-4E57-9C23-3CEA47FAC5BB}"/>
    <hyperlink ref="H704" r:id="rId651" xr:uid="{7B869677-2C79-4C44-B761-33B54658C0F6}"/>
    <hyperlink ref="H705" r:id="rId652" xr:uid="{5ABE8516-AC5F-4208-970B-FBC9BF628695}"/>
    <hyperlink ref="H702" r:id="rId653" xr:uid="{6DCD64B3-CEB5-4DC8-AE71-34832DE83A05}"/>
    <hyperlink ref="H701" r:id="rId654" xr:uid="{E8B9D612-2EC5-4A72-8E5A-6D781B25C7F9}"/>
    <hyperlink ref="H698" r:id="rId655" xr:uid="{77D05C1E-F8B2-4FD8-BAC3-4E7905FB1449}"/>
    <hyperlink ref="H696" r:id="rId656" xr:uid="{B07A0CAD-4FC7-4388-B09F-D95BACBC8B18}"/>
    <hyperlink ref="H695" r:id="rId657" xr:uid="{5FF9FBEB-B463-4F16-84C4-0E2AE6C04508}"/>
    <hyperlink ref="H694" r:id="rId658" xr:uid="{E886DAD9-1153-4299-8294-15929C7CDA36}"/>
    <hyperlink ref="H693" r:id="rId659" xr:uid="{713DE475-141D-42F3-830B-B8B5E68A9D1E}"/>
    <hyperlink ref="H691" r:id="rId660" xr:uid="{33DD4D8D-BBB4-4563-B77E-115A617BDE6C}"/>
    <hyperlink ref="H689" r:id="rId661" xr:uid="{AB6E85C7-F04F-4B85-B30A-2DD9A7298920}"/>
    <hyperlink ref="H688" r:id="rId662" xr:uid="{B99E23D5-1203-40A6-8FC2-A9FCD4258B16}"/>
    <hyperlink ref="H687" r:id="rId663" xr:uid="{94134729-6861-4AA0-A870-21E83C9FD841}"/>
    <hyperlink ref="H684" r:id="rId664" xr:uid="{FB8D0E6E-C19E-497A-8976-3DB64B0C7C4D}"/>
    <hyperlink ref="H683" r:id="rId665" xr:uid="{8E47CD6C-2F9F-4FF3-A33A-F4A24B545625}"/>
    <hyperlink ref="H1290" r:id="rId666" xr:uid="{174CB1AA-3DDE-4B58-9FC6-55841A05EB63}"/>
    <hyperlink ref="H1242" r:id="rId667" xr:uid="{649B44FA-E586-4789-81DD-49744CD38C9E}"/>
    <hyperlink ref="H1433" r:id="rId668" xr:uid="{77655937-89FF-4101-A979-10ABC9A90903}"/>
    <hyperlink ref="H1445" r:id="rId669" xr:uid="{31A80ACF-C1BA-4701-A422-E35717D1DE63}"/>
    <hyperlink ref="H1878" r:id="rId670" xr:uid="{55D779A7-6A5E-46C4-B43A-A5543336742D}"/>
    <hyperlink ref="H682" r:id="rId671" xr:uid="{2D28E64D-D0C8-464E-849C-CA3E8180C8D1}"/>
    <hyperlink ref="H681" r:id="rId672" xr:uid="{843184D6-B4CC-49AE-984D-1BAD2B0198D4}"/>
    <hyperlink ref="H680" r:id="rId673" xr:uid="{B6B45598-A2C7-4C45-8126-FBF450D10E0C}"/>
    <hyperlink ref="H679" r:id="rId674" xr:uid="{E5C6A1F2-1E10-40D4-A037-3037623928CD}"/>
    <hyperlink ref="H677" r:id="rId675" xr:uid="{A5C86268-C217-4996-9C79-2A441B7CCB7B}"/>
    <hyperlink ref="H676" r:id="rId676" xr:uid="{2ACB9327-0243-47CC-97A4-E9D14B0A2C25}"/>
    <hyperlink ref="H675" r:id="rId677" xr:uid="{2A52BC46-ECB9-46C3-ADCB-A090AE06199A}"/>
    <hyperlink ref="H674" r:id="rId678" xr:uid="{346040C5-FFAF-40F9-A910-09F107B86490}"/>
    <hyperlink ref="H673" r:id="rId679" xr:uid="{FA9C55BC-E53D-4028-A917-17AD6AE3C7D0}"/>
    <hyperlink ref="H672" r:id="rId680" xr:uid="{1935A764-5ACE-4E35-A8A5-440C16ECAD24}"/>
    <hyperlink ref="H671" r:id="rId681" xr:uid="{193F1AF4-D8C5-4653-AF9B-B46D43F9436A}"/>
    <hyperlink ref="H670" r:id="rId682" xr:uid="{51C5FB50-9731-4B2A-9CEA-85AA6E3DD399}"/>
    <hyperlink ref="H667" r:id="rId683" xr:uid="{D17BF437-8C7F-4D12-B5E4-7EB37788BF15}"/>
    <hyperlink ref="H662" r:id="rId684" xr:uid="{7B284DC8-1515-4356-9DC9-D17540A64F4D}"/>
    <hyperlink ref="H660" r:id="rId685" xr:uid="{27D7395D-F06A-4A7E-9428-6A7670905795}"/>
    <hyperlink ref="H661" r:id="rId686" xr:uid="{6B4DFBB8-2ABB-41F0-A426-F72BBB6DE6AC}"/>
    <hyperlink ref="H659" r:id="rId687" xr:uid="{D9DC1079-4C39-4B4A-B4E6-78422A765B3C}"/>
    <hyperlink ref="H658" r:id="rId688" xr:uid="{4748CFCC-83E2-4517-B0A7-EEFA5C12417C}"/>
    <hyperlink ref="H657" r:id="rId689" xr:uid="{6FFE38BE-C062-41E0-9347-D802512CE2FE}"/>
    <hyperlink ref="H664" r:id="rId690" xr:uid="{F73065B8-C4ED-49B5-91E1-152974D27AB6}"/>
    <hyperlink ref="H654" r:id="rId691" xr:uid="{D07080E1-9439-4590-99F3-FF5D0175CC95}"/>
    <hyperlink ref="H653" r:id="rId692" xr:uid="{DC6B96C9-AF02-46B5-8BFF-D087A0A3D735}"/>
    <hyperlink ref="H651" r:id="rId693" xr:uid="{469DA7C9-FCBE-4FC7-B34F-19BF0EDF61E9}"/>
    <hyperlink ref="H650" r:id="rId694" xr:uid="{FF45F50F-B82B-4558-BBB0-1F8BC19F9C8D}"/>
    <hyperlink ref="H649" r:id="rId695" xr:uid="{52670777-3A73-4FC4-8727-6B8F018C11E5}"/>
    <hyperlink ref="H648" r:id="rId696" xr:uid="{DD552D08-82D0-48E6-8511-0513C8275A6B}"/>
    <hyperlink ref="H647" r:id="rId697" xr:uid="{906BAD3B-19DC-455D-98C2-5C88D0B1A9DF}"/>
    <hyperlink ref="H645" r:id="rId698" xr:uid="{892DF777-1037-499C-B4BC-DDFB38E4E3FC}"/>
    <hyperlink ref="G644" r:id="rId699" display="mailto:mcarranza@ohla-peru.pe" xr:uid="{659DE501-CD9E-4CB1-AA99-41097D02DEC8}"/>
    <hyperlink ref="H644" r:id="rId700" xr:uid="{04EF808A-05A1-4194-8D4F-3E12FC61DCF9}"/>
    <hyperlink ref="G643" r:id="rId701" display="mailto:mcarranza@ohla-peru.pe" xr:uid="{A9090D0B-EF07-448C-BD4A-7948F21EEFD8}"/>
    <hyperlink ref="H643" r:id="rId702" xr:uid="{754A9997-CA70-4F41-935F-942486A64DE6}"/>
    <hyperlink ref="H641" r:id="rId703" xr:uid="{74B9741F-F00F-4922-90D9-367431BE4A8C}"/>
    <hyperlink ref="H640" r:id="rId704" xr:uid="{57A65E6E-E41D-46BB-A421-EE6CE6C6B9CF}"/>
    <hyperlink ref="H639" r:id="rId705" xr:uid="{B0FD8642-8C72-410B-90B9-D222400FDBF3}"/>
    <hyperlink ref="H636" r:id="rId706" xr:uid="{8046789D-9BB1-44C5-9FEE-A1BD75923B75}"/>
    <hyperlink ref="H638" r:id="rId707" xr:uid="{687E5E90-21E8-4A11-ABE9-E28C364D89B1}"/>
    <hyperlink ref="H634" r:id="rId708" xr:uid="{6A0E76E7-2397-4095-A17B-62DFB926E7FD}"/>
    <hyperlink ref="H635" r:id="rId709" xr:uid="{42EBB469-E6EC-4A56-A5E9-9B4FE8C7B188}"/>
    <hyperlink ref="H630" r:id="rId710" xr:uid="{5BEC283A-991B-480D-BB41-3EC0F8A86D7F}"/>
    <hyperlink ref="H629" r:id="rId711" xr:uid="{355B0CA4-18E2-453E-97A1-43B412DFF20A}"/>
    <hyperlink ref="H628" r:id="rId712" display="mailto:rquez001@codelco.cl" xr:uid="{4154F620-FD6F-425A-973F-72E834EBFD4A}"/>
    <hyperlink ref="H626" r:id="rId713" xr:uid="{0BDA6F20-9D0D-4625-81B0-0580B05CB66A}"/>
    <hyperlink ref="H625" r:id="rId714" xr:uid="{9C291366-294B-427C-8B96-7F893652A0D5}"/>
    <hyperlink ref="H623" r:id="rId715" xr:uid="{47398B98-CC61-4DE9-BF07-C070B0B44C5F}"/>
    <hyperlink ref="H622" r:id="rId716" xr:uid="{F141B567-05FA-445F-9E84-AD58F2A0552E}"/>
    <hyperlink ref="H619" r:id="rId717" xr:uid="{B8C354A0-F7E5-4CC3-8610-33D7D5EA88AD}"/>
    <hyperlink ref="H618" r:id="rId718" xr:uid="{0FD3AD35-3779-4987-92CD-5782994FF6FC}"/>
    <hyperlink ref="H617" r:id="rId719" xr:uid="{7A2B9A60-B049-4520-B44C-393CF63F4456}"/>
    <hyperlink ref="H613" r:id="rId720" xr:uid="{BE62613C-07FB-42B5-B2DC-B5ADA92C0661}"/>
    <hyperlink ref="H611" r:id="rId721" xr:uid="{91D55965-F0F5-418B-AEAD-DC7716E30AD2}"/>
    <hyperlink ref="H607" r:id="rId722" xr:uid="{33F9A19A-14C1-445D-A4DD-395A3CCDA6DD}"/>
    <hyperlink ref="H606" r:id="rId723" xr:uid="{3E397B54-0094-4599-AECE-4ABF5E9D9C67}"/>
    <hyperlink ref="H605" r:id="rId724" xr:uid="{A7D71731-594A-474E-9667-C35274529B7B}"/>
    <hyperlink ref="H604" r:id="rId725" xr:uid="{9F6BB97B-CBA3-43FA-9C5B-07079835CC69}"/>
    <hyperlink ref="H678" r:id="rId726" xr:uid="{87C201CF-E275-4EDE-923A-D207DC15BD46}"/>
    <hyperlink ref="H601" r:id="rId727" xr:uid="{76BEAEBC-C07B-435D-805D-680F2854C44A}"/>
    <hyperlink ref="H596" r:id="rId728" xr:uid="{588312CA-9CDB-4B11-AB7C-BFC4324BEE26}"/>
    <hyperlink ref="H597" r:id="rId729" xr:uid="{739D5E64-E8AA-46B1-9F87-B6FF8A3C8EAE}"/>
    <hyperlink ref="H600" r:id="rId730" xr:uid="{2147C0A3-6D90-4D91-B842-59907694B8B3}"/>
    <hyperlink ref="H594" r:id="rId731" xr:uid="{13690652-8A3C-49D8-98B8-EDA32FA54DE9}"/>
    <hyperlink ref="H593" r:id="rId732" xr:uid="{B67284EA-B9AE-4E92-8BA5-6BCB4BC2BF9F}"/>
    <hyperlink ref="G592" r:id="rId733" display="mailto:mcarranza@ohla-peru.pe" xr:uid="{7DEF548F-3043-4E34-9843-4371CC9CBAA4}"/>
    <hyperlink ref="H592" r:id="rId734" xr:uid="{B4A169C8-83D3-418C-AEDB-D4F618DDC447}"/>
    <hyperlink ref="G586" r:id="rId735" display="mailto:mcarranza@ohla-peru.pe" xr:uid="{A0200C0A-8F0C-454F-B154-A6A70059D799}"/>
    <hyperlink ref="H586" r:id="rId736" xr:uid="{AE59E547-8134-4ED7-BD21-CD0578911C9A}"/>
    <hyperlink ref="H585" r:id="rId737" xr:uid="{64381829-85D7-46BA-BACF-10F88E256AB7}"/>
    <hyperlink ref="H584" r:id="rId738" xr:uid="{6B84B7B5-4D04-452E-99B9-A3960CD83F64}"/>
    <hyperlink ref="H582" r:id="rId739" xr:uid="{6CB4D9CA-A952-464A-83B2-2650A826287E}"/>
    <hyperlink ref="H581" r:id="rId740" xr:uid="{D499E5AB-541E-4514-8B3D-EFC2BB8FD705}"/>
    <hyperlink ref="H579" r:id="rId741" xr:uid="{B1B5F86B-2D67-4B82-91AC-62E87981FAFA}"/>
    <hyperlink ref="H577" r:id="rId742" xr:uid="{3DEB9B27-154D-4EE3-9FD6-549977BD19D9}"/>
    <hyperlink ref="H570" r:id="rId743" xr:uid="{68D4BD3B-0F16-4BB1-8A5F-2C86127E56FD}"/>
    <hyperlink ref="H569" r:id="rId744" xr:uid="{A0386004-C064-4D65-8D4E-2E832744A5CF}"/>
    <hyperlink ref="H566" r:id="rId745" xr:uid="{E21613EE-EF0E-4C75-B9C2-BC7CB370A440}"/>
    <hyperlink ref="H564" r:id="rId746" xr:uid="{098B182B-5061-4547-BA5F-41BA03BFA259}"/>
    <hyperlink ref="H563" r:id="rId747" xr:uid="{C56AB5DD-CA26-4A84-A206-1F459CA6AA2D}"/>
    <hyperlink ref="H568" r:id="rId748" xr:uid="{3A5157D1-31EA-4F65-B0F4-16B0849AEF74}"/>
    <hyperlink ref="H560" r:id="rId749" xr:uid="{0E077FA0-6B5D-4C9F-A7F0-9649F80ABA09}"/>
    <hyperlink ref="H559" r:id="rId750" xr:uid="{E018008F-6E1C-4A2D-85F8-BB1FD0F5FF57}"/>
    <hyperlink ref="H556" r:id="rId751" xr:uid="{82E632F1-017F-4D82-990E-2466A93FADB0}"/>
    <hyperlink ref="H557" r:id="rId752" xr:uid="{487168B9-19E1-4335-A618-512184456B3B}"/>
    <hyperlink ref="H558" r:id="rId753" xr:uid="{30A60106-741D-45C3-B56A-48835D252A24}"/>
    <hyperlink ref="H565" r:id="rId754" xr:uid="{F756097E-7EEF-4B7F-87F3-FFF70AC8C5AA}"/>
    <hyperlink ref="H567" r:id="rId755" xr:uid="{65091DD2-CABB-4EBC-A792-6271D7A81213}"/>
    <hyperlink ref="H571" r:id="rId756" xr:uid="{D5D7AED6-8339-416A-A15E-94D198AAE2FF}"/>
    <hyperlink ref="H574" r:id="rId757" xr:uid="{F395CBEA-64C1-45E0-96AA-E96DF383D4D8}"/>
    <hyperlink ref="H575" r:id="rId758" xr:uid="{15546B7E-E39B-4C66-A143-5F0825DF65FD}"/>
    <hyperlink ref="H576" r:id="rId759" xr:uid="{02C3601D-6700-46F0-AF7D-368519D871A7}"/>
    <hyperlink ref="H609" r:id="rId760" xr:uid="{3AC5263A-0E0D-4392-ACF3-BB962A485C1F}"/>
    <hyperlink ref="H552" r:id="rId761" xr:uid="{6EB7CA3D-7C7F-4654-8E1D-0733511DB847}"/>
    <hyperlink ref="H551" r:id="rId762" xr:uid="{B208858B-DA23-4EBD-ADFE-0476B49CCB0B}"/>
    <hyperlink ref="H549" r:id="rId763" xr:uid="{EE021F26-4AAF-4217-833F-BF9A58CBC27C}"/>
    <hyperlink ref="H553" r:id="rId764" xr:uid="{31D10944-68DB-448E-9DBB-4C1CDE5EBBD0}"/>
    <hyperlink ref="H546" r:id="rId765" xr:uid="{03AEF1F0-1719-4A04-909A-BDB159EB826A}"/>
    <hyperlink ref="H545" r:id="rId766" xr:uid="{F6AB304D-3516-47C9-A08A-E03B2FF4FF95}"/>
    <hyperlink ref="H544" r:id="rId767" xr:uid="{B95BD896-E0C1-4527-A821-BFBB8B6A8E1A}"/>
    <hyperlink ref="H543" r:id="rId768" xr:uid="{76E918C4-1027-4FD0-AB6D-EA21459C473C}"/>
    <hyperlink ref="H542" r:id="rId769" xr:uid="{6FA47F9F-DD3F-4CFC-9376-E9A4F6E91918}"/>
    <hyperlink ref="H540" r:id="rId770" xr:uid="{DD356A8C-2CFF-46CC-9FA6-54CF3F2ACE7D}"/>
    <hyperlink ref="H539" r:id="rId771" xr:uid="{7210AD87-5B67-4845-B401-7B273E3FE455}"/>
    <hyperlink ref="H538" r:id="rId772" xr:uid="{98041F4E-FA24-4925-AA64-013CB5F39AD1}"/>
    <hyperlink ref="H537" r:id="rId773" xr:uid="{EDA34560-4FDC-454A-8C15-960B73B4C0F6}"/>
    <hyperlink ref="H536" r:id="rId774" xr:uid="{771BD164-B103-4901-A571-2C9A703A7C00}"/>
    <hyperlink ref="H535" r:id="rId775" xr:uid="{CCECB898-BDA2-4A8F-A2E3-6ED341C68C2A}"/>
    <hyperlink ref="H534" r:id="rId776" xr:uid="{6383660B-ADB9-449F-A925-021F4412BCE0}"/>
    <hyperlink ref="H533" r:id="rId777" xr:uid="{705F5119-F1D6-4B0B-BEAB-D574A0994F5A}"/>
    <hyperlink ref="H532" r:id="rId778" xr:uid="{332DD526-A0E2-4B63-BB22-E04778E6D3B6}"/>
    <hyperlink ref="H528" r:id="rId779" xr:uid="{A235C3F1-F8C3-4EAF-8E9C-FAEE840557C2}"/>
    <hyperlink ref="H527" r:id="rId780" xr:uid="{E65F8EB5-0A74-4AB7-8ADB-64AE8C8AA058}"/>
    <hyperlink ref="H525" r:id="rId781" xr:uid="{88D785CE-2CC5-48EE-97E7-111017C5E563}"/>
    <hyperlink ref="H524" r:id="rId782" xr:uid="{B94CA4C0-1352-43E6-8D9C-6E840B015E30}"/>
    <hyperlink ref="H523" r:id="rId783" xr:uid="{4748C7EB-EE00-4A3E-85F6-95B99BA054D9}"/>
    <hyperlink ref="H522" r:id="rId784" xr:uid="{AD4226A3-C233-4AE0-9179-F4399096147A}"/>
    <hyperlink ref="H521" r:id="rId785" xr:uid="{F5EC411D-0806-49B1-9541-E5C9F582F692}"/>
    <hyperlink ref="H520" r:id="rId786" xr:uid="{B6BCE2B8-05B2-4554-826C-3B095A4F595E}"/>
    <hyperlink ref="H519" r:id="rId787" xr:uid="{3C8F7772-AA2E-4316-BFEA-BAE401A4ADBB}"/>
    <hyperlink ref="H518" r:id="rId788" xr:uid="{ADB68883-6156-4B86-BA21-792DD0045175}"/>
    <hyperlink ref="H516" r:id="rId789" xr:uid="{DB4994FD-833F-42BF-B5BD-E20E98E4CD7F}"/>
    <hyperlink ref="H517" r:id="rId790" xr:uid="{166CC89F-2B7F-4AA3-A81C-3FA445CAB7B8}"/>
    <hyperlink ref="H515" r:id="rId791" xr:uid="{A65E72B8-B821-45C3-8088-5EFC98890572}"/>
    <hyperlink ref="H514" r:id="rId792" xr:uid="{0E8E8918-9071-453E-8E58-022DF83DD90D}"/>
    <hyperlink ref="H513" r:id="rId793" xr:uid="{B6988346-62E7-44FF-B48C-9399D1C062A7}"/>
    <hyperlink ref="H512" r:id="rId794" xr:uid="{8DE3700F-F16A-4B90-8080-DCD4ECB1FB3C}"/>
    <hyperlink ref="H510" r:id="rId795" xr:uid="{D97594EA-0350-436A-B8CE-E7F1CB9A15FB}"/>
    <hyperlink ref="H509" r:id="rId796" xr:uid="{F307D8D7-D4A4-4650-BE81-731C29254A48}"/>
    <hyperlink ref="H506" r:id="rId797" xr:uid="{C1A77704-0D7D-4D80-BD05-4B79DA09B59A}"/>
    <hyperlink ref="H505" r:id="rId798" xr:uid="{35AF9AB6-17A8-45E9-AD84-0FB911FDBDCE}"/>
    <hyperlink ref="H489" r:id="rId799" xr:uid="{CB9DFCB5-749A-458A-9917-F08E4C6A7CCD}"/>
    <hyperlink ref="H490" r:id="rId800" xr:uid="{89DDE334-31EB-441D-8C25-A4A3607E5DFA}"/>
    <hyperlink ref="H491" r:id="rId801" xr:uid="{EF3590B0-5C2C-41FB-AD97-35532F5A1B62}"/>
    <hyperlink ref="H492" r:id="rId802" xr:uid="{6A5E00C5-9D10-47FA-B44E-63A7DD0DBDC7}"/>
    <hyperlink ref="H493" r:id="rId803" xr:uid="{3AEEE4DD-D958-4857-AEA8-F763316AE8B0}"/>
    <hyperlink ref="H494" r:id="rId804" xr:uid="{425B999F-9A18-4553-8A8E-765AA9A2CCC2}"/>
    <hyperlink ref="H495" r:id="rId805" xr:uid="{100648FF-CB2D-4279-BB19-68C2E7D8641D}"/>
    <hyperlink ref="H496" r:id="rId806" xr:uid="{D5382C8C-A94D-4BCD-A6D0-B31E0E224479}"/>
    <hyperlink ref="H497" r:id="rId807" xr:uid="{978B2D72-BBFF-445C-A2FA-1229C1648154}"/>
    <hyperlink ref="H498" r:id="rId808" xr:uid="{0FDC1EE1-3BCC-44D1-B27E-64A73F5C9060}"/>
    <hyperlink ref="H499" r:id="rId809" xr:uid="{21C77F8E-4A0F-4B66-891A-A5819818C743}"/>
    <hyperlink ref="H500" r:id="rId810" xr:uid="{73E9837E-FFFE-446F-8963-7751F34C8378}"/>
    <hyperlink ref="H501" r:id="rId811" xr:uid="{CEF1C573-7088-433A-8081-3E882E8A2EEA}"/>
    <hyperlink ref="H488" r:id="rId812" xr:uid="{645DA3E3-E802-4CD8-98E1-657C48AEC42F}"/>
    <hyperlink ref="H487" r:id="rId813" xr:uid="{A2B4B827-C3C8-4C31-8B63-0D57154E4A8C}"/>
    <hyperlink ref="H486" r:id="rId814" xr:uid="{1A138F19-5487-46B2-9184-07193F7E5AF8}"/>
    <hyperlink ref="H485" r:id="rId815" xr:uid="{F38F83E0-BBEA-48FF-BA4D-7A3A69EABE70}"/>
    <hyperlink ref="H663" r:id="rId816" xr:uid="{64B1DABB-8786-4EA9-8EEF-BBADE4BDE863}"/>
    <hyperlink ref="H479" r:id="rId817" xr:uid="{11261294-6759-411A-BFE3-1E85AE83DFCA}"/>
    <hyperlink ref="H477" r:id="rId818" xr:uid="{FBDE82AD-41DB-4992-B5A3-19BBBF392FCA}"/>
    <hyperlink ref="H476" r:id="rId819" xr:uid="{10AC4674-8BAD-44DB-A297-44E72C3713DB}"/>
    <hyperlink ref="H475" r:id="rId820" xr:uid="{1A078D75-2A98-466E-BAF7-6C2E82D516F3}"/>
    <hyperlink ref="H474" r:id="rId821" xr:uid="{FE1C5977-CB01-4BBA-A0D1-B598C8342827}"/>
    <hyperlink ref="H472" r:id="rId822" xr:uid="{47C7D68D-2F74-4AFA-8BE7-8DA86457933E}"/>
    <hyperlink ref="H473" r:id="rId823" xr:uid="{5823625A-B829-4303-BCB6-3B3F5715A9DD}"/>
    <hyperlink ref="H471" r:id="rId824" xr:uid="{D371814C-85A2-453E-94A8-A0D4C40262C9}"/>
    <hyperlink ref="H469" r:id="rId825" xr:uid="{D6BD18CD-97D7-4D89-99E9-5D844A0F4CA3}"/>
    <hyperlink ref="H467" r:id="rId826" xr:uid="{7046127C-2678-4D80-BF15-46A20A59D82B}"/>
    <hyperlink ref="H466" r:id="rId827" xr:uid="{08B2D679-7594-4A42-9386-FE58722D6AA0}"/>
    <hyperlink ref="H465" r:id="rId828" xr:uid="{4F65991B-5802-4D4F-A050-DC93CFD21614}"/>
    <hyperlink ref="H464" r:id="rId829" xr:uid="{03A7094D-2D42-408B-A537-479CB2735BE5}"/>
    <hyperlink ref="H463" r:id="rId830" xr:uid="{2979DD5E-014E-4B5D-A122-8D027A9EE422}"/>
    <hyperlink ref="H462" r:id="rId831" xr:uid="{0688CF93-D6DD-46EB-87BE-D0D3003D9154}"/>
    <hyperlink ref="H461" r:id="rId832" xr:uid="{7D3BF054-5AB1-4851-B74A-FFC5AD9009C2}"/>
    <hyperlink ref="H460" r:id="rId833" xr:uid="{779F3E74-3B0F-4EB7-BB70-4E497DEC3A60}"/>
    <hyperlink ref="H459" r:id="rId834" xr:uid="{ACB9AB56-6547-42A9-9968-53FD00DCCEB5}"/>
    <hyperlink ref="H458" r:id="rId835" xr:uid="{409D0724-ADC0-47C8-9729-1454EC8E6DCF}"/>
    <hyperlink ref="H457" r:id="rId836" xr:uid="{7FB56EB2-B1E0-416A-8350-77C86FD74042}"/>
    <hyperlink ref="H456" r:id="rId837" xr:uid="{6BF9CD65-6C9E-4738-8BBD-188DC53D81DA}"/>
    <hyperlink ref="H455" r:id="rId838" xr:uid="{94252976-13FB-49B2-852B-7E85F058E295}"/>
    <hyperlink ref="H454" r:id="rId839" xr:uid="{FDF19565-2DB4-4022-B5A9-C8CE7A551DE4}"/>
    <hyperlink ref="H453" r:id="rId840" xr:uid="{E2A85733-5E8C-46FB-8FDD-6DD6A5DCF3C0}"/>
    <hyperlink ref="H452" r:id="rId841" xr:uid="{41AAE59D-7C24-49D3-B23C-DBF3C39CD5E3}"/>
    <hyperlink ref="H449" r:id="rId842" xr:uid="{31009713-BF42-4009-9095-BEA235DC63F6}"/>
    <hyperlink ref="H447" r:id="rId843" xr:uid="{B0B11118-FAF5-4532-8FDF-9FA76237A82C}"/>
    <hyperlink ref="H445" r:id="rId844" xr:uid="{B36572DE-AEAA-44D4-9631-752BA417F483}"/>
    <hyperlink ref="H443" r:id="rId845" xr:uid="{1637E26A-133A-4556-9FB4-9C0F5E314CDC}"/>
    <hyperlink ref="H442" r:id="rId846" xr:uid="{E5F32386-BCD5-432E-9F8B-CFABA132DFFD}"/>
    <hyperlink ref="H441" r:id="rId847" xr:uid="{794928ED-1CC3-4FD3-9839-B8E3FD436D1F}"/>
    <hyperlink ref="G439" r:id="rId848" display="mailto:mcarranza@ohla-peru.pe" xr:uid="{A343AB7D-F031-4A83-A5FE-87ADAA40B7B5}"/>
    <hyperlink ref="H439" r:id="rId849" xr:uid="{F166EF9F-A8E5-4D16-A24D-E4CAEBDBDE26}"/>
    <hyperlink ref="G438" r:id="rId850" display="mailto:mcarranza@ohla-peru.pe" xr:uid="{40D4E7AF-0958-438A-83B8-25E144509D3E}"/>
    <hyperlink ref="H438" r:id="rId851" xr:uid="{33ACA801-7F04-49DD-944F-85A01BF7BC7E}"/>
    <hyperlink ref="H437" r:id="rId852" xr:uid="{96D9272C-8539-496C-BB5B-A0E52766DD48}"/>
    <hyperlink ref="H435" r:id="rId853" xr:uid="{66CF5BDD-3C97-4DD4-A5FF-6F94EED959C3}"/>
    <hyperlink ref="H434" r:id="rId854" xr:uid="{9943C0C8-13AF-4C95-9257-F190AFE0FDC6}"/>
    <hyperlink ref="H433" r:id="rId855" xr:uid="{8D038E5D-8C32-42B3-94E1-BA0B8C268D7E}"/>
    <hyperlink ref="H431" r:id="rId856" xr:uid="{9076C052-087F-4D5E-8A41-5786BE05584B}"/>
    <hyperlink ref="H432" r:id="rId857" xr:uid="{F640F97E-2878-48F9-A504-21B3F05C61BC}"/>
    <hyperlink ref="H428" r:id="rId858" xr:uid="{E2EF384E-D4C3-4A91-8ECB-1CA94125B40A}"/>
    <hyperlink ref="H427" r:id="rId859" xr:uid="{B08B13AF-22F9-49C2-BBC2-7BD9B8319CB0}"/>
    <hyperlink ref="H426" r:id="rId860" xr:uid="{9A6AEDCB-71D2-435E-AB37-76A15FFA9027}"/>
    <hyperlink ref="H425" r:id="rId861" xr:uid="{9E656752-FB07-4BE9-9537-D056570CC1A4}"/>
    <hyperlink ref="H430" r:id="rId862" xr:uid="{076F4817-3AF5-4BEA-87CA-8077FC95F346}"/>
    <hyperlink ref="H429" r:id="rId863" xr:uid="{6498B07A-2D6A-4563-BDAF-A95D03EAF6F2}"/>
    <hyperlink ref="H424" r:id="rId864" xr:uid="{0753ACBD-A10C-4E6D-8E9B-48A4499E60C5}"/>
    <hyperlink ref="H423" r:id="rId865" xr:uid="{86DB9F12-FD82-4303-AC22-3161E1EEF829}"/>
    <hyperlink ref="H422" r:id="rId866" xr:uid="{24A7CBA9-667C-4F92-86DE-93E70FCCFFFD}"/>
    <hyperlink ref="H420" r:id="rId867" xr:uid="{E1D4898B-E294-413A-B23B-844F6B2B8738}"/>
    <hyperlink ref="H419" r:id="rId868" xr:uid="{76091739-2E1C-4029-8F78-8D7121477041}"/>
    <hyperlink ref="H418" r:id="rId869" xr:uid="{21C93909-73D7-4819-B9F0-FD37DEAD2CBD}"/>
    <hyperlink ref="H416" r:id="rId870" xr:uid="{B547DCCC-CFA1-4C26-9528-F0966C7ADEDA}"/>
    <hyperlink ref="H415" r:id="rId871" xr:uid="{1284B4DC-E6F7-4186-A847-3EF99BCC58C5}"/>
    <hyperlink ref="H414" r:id="rId872" xr:uid="{95896B83-8652-47B8-9DC3-6DD0CBEF923A}"/>
    <hyperlink ref="H412" r:id="rId873" xr:uid="{4E1B893E-A708-4B3E-8235-FCF1D833F0E0}"/>
    <hyperlink ref="H410" r:id="rId874" xr:uid="{FB874832-5D73-4F9B-8594-3E16E9368EBE}"/>
    <hyperlink ref="H408" r:id="rId875" xr:uid="{3020E769-5233-40F2-A667-6ADB0B678ED6}"/>
    <hyperlink ref="G407" r:id="rId876" display="mailto:mcarranza@ohla-peru.pe" xr:uid="{7184882E-F00C-4700-A00F-E8B0EA695562}"/>
    <hyperlink ref="H407" r:id="rId877" xr:uid="{255BDA0A-B504-43AA-948D-175A960BFE6B}"/>
    <hyperlink ref="H401" r:id="rId878" xr:uid="{14EF40B2-DFF8-4513-A72B-8EC3523D28FB}"/>
    <hyperlink ref="H402" r:id="rId879" xr:uid="{F4B464D9-FEB1-4958-B317-ECF2748928BF}"/>
    <hyperlink ref="H405" r:id="rId880" xr:uid="{56256C08-5758-40D3-8D8E-E93A22ACF5A8}"/>
    <hyperlink ref="H406" r:id="rId881" xr:uid="{81C1EA1E-BE8A-4A99-80EE-986FC34CB3D6}"/>
    <hyperlink ref="H397" r:id="rId882" xr:uid="{9CE31EA4-77BE-4B38-BB4B-907A895A19A9}"/>
    <hyperlink ref="H395" r:id="rId883" xr:uid="{B7783A13-D2C7-4854-B0F1-44FD9C48E8FE}"/>
    <hyperlink ref="H394" r:id="rId884" xr:uid="{F284F4F1-83FC-44A8-BA2E-C83AEDDBBAED}"/>
    <hyperlink ref="H398" r:id="rId885" display="mailto:rquez001@codelco.cl" xr:uid="{09B4359C-F01F-497F-9D75-CDC140087A7A}"/>
    <hyperlink ref="H391" r:id="rId886" xr:uid="{721B9C70-480A-4610-993E-3D4AEE0AEF72}"/>
    <hyperlink ref="H392" r:id="rId887" xr:uid="{6032D5DD-4B43-4DB2-8B65-7090E4472614}"/>
    <hyperlink ref="H389" r:id="rId888" xr:uid="{35496CB5-EFAE-49E8-B86A-7954D669BB63}"/>
    <hyperlink ref="H387" r:id="rId889" xr:uid="{80568F57-5AC6-4AAC-AA7D-B32B5F561BB7}"/>
    <hyperlink ref="H386" r:id="rId890" display="jeahumada@collahuasi.cl" xr:uid="{0F26B8FF-DEB1-4806-A03E-CD9CB4FB4114}"/>
    <hyperlink ref="H385" r:id="rId891" xr:uid="{CE40C431-AB64-4A1D-AE5A-7CF18080EBAD}"/>
    <hyperlink ref="H384" r:id="rId892" xr:uid="{B10F7F25-D787-47AF-88E2-34A6D849598A}"/>
    <hyperlink ref="H383" r:id="rId893" xr:uid="{BB5FB4EE-34CA-445B-B866-49BBC1CA0DEE}"/>
    <hyperlink ref="H380" r:id="rId894" xr:uid="{9C53601E-089B-42B1-892A-0666F7423DFE}"/>
    <hyperlink ref="H382" r:id="rId895" xr:uid="{463384A4-1FAC-4FBA-B237-78D78D107FFC}"/>
    <hyperlink ref="H379" r:id="rId896" xr:uid="{FE685295-E3D7-41F5-AD51-192EFDDC1FDA}"/>
    <hyperlink ref="H378" r:id="rId897" xr:uid="{99FEBED4-6750-4DFB-9CF1-1A162F7ADC26}"/>
    <hyperlink ref="H376" r:id="rId898" xr:uid="{CD6025A4-B436-44D9-9AAD-8665907D2804}"/>
    <hyperlink ref="H375" r:id="rId899" xr:uid="{60AA06C3-E6C9-4E93-96D3-EEBBB6154EF2}"/>
    <hyperlink ref="H373" r:id="rId900" xr:uid="{58D8E6BC-F094-4EAF-878D-52BB8A4E2F4D}"/>
    <hyperlink ref="H369" r:id="rId901" xr:uid="{5EF2BB61-9CEE-4BA8-A131-807AE6997CC7}"/>
    <hyperlink ref="H368" r:id="rId902" xr:uid="{A921EF2E-9B91-4885-9497-9F63A0AFEB88}"/>
    <hyperlink ref="H365" r:id="rId903" xr:uid="{4C45FC2A-778B-41B0-B200-36533B00978C}"/>
    <hyperlink ref="H364" r:id="rId904" xr:uid="{DA374517-A7E1-4CC2-A643-9D35EF65D8DA}"/>
    <hyperlink ref="H362" r:id="rId905" xr:uid="{4E4E1625-B442-455D-9627-9600B0EE8704}"/>
    <hyperlink ref="H361" r:id="rId906" xr:uid="{0C619EC4-C0FB-49D4-B2BF-2B66CE9CFF88}"/>
    <hyperlink ref="H359" r:id="rId907" xr:uid="{58E00B8C-BB12-45BD-BE04-26D65995AD01}"/>
    <hyperlink ref="H357" r:id="rId908" xr:uid="{9B2E02EC-B585-455F-A8D0-A4DA5F7A353B}"/>
    <hyperlink ref="G385" r:id="rId909" display="mailto:mcarranza@ohla-peru.pe" xr:uid="{A72BBB8F-7003-4810-AEE2-3174CC012F44}"/>
    <hyperlink ref="H356" r:id="rId910" xr:uid="{2F56A5D3-A8B0-4965-886F-32C83F8AB044}"/>
    <hyperlink ref="H355" r:id="rId911" xr:uid="{3B51B04A-E266-4472-BB0C-CB1AF39D8589}"/>
    <hyperlink ref="H350" r:id="rId912" xr:uid="{215C09EC-6F6C-4419-82A0-D7556B405CB5}"/>
    <hyperlink ref="H349" r:id="rId913" xr:uid="{76D3313C-7909-4852-9401-3F836A887986}"/>
    <hyperlink ref="H347" r:id="rId914" xr:uid="{F996CA9D-E8C0-45D9-9ADF-F8AA4BA75EC5}"/>
    <hyperlink ref="H346" r:id="rId915" xr:uid="{3FC4E2D2-7D2E-42D3-B984-400FE9F1B59C}"/>
    <hyperlink ref="H345" r:id="rId916" xr:uid="{5B874A7B-06AE-40F5-9279-0DB12D641D9E}"/>
    <hyperlink ref="H344" r:id="rId917" xr:uid="{38D015B5-7AEE-4423-A507-DF7761761D50}"/>
    <hyperlink ref="H342" r:id="rId918" xr:uid="{1B844F28-91BC-4F71-AF97-9018580C21D9}"/>
    <hyperlink ref="H340" r:id="rId919" xr:uid="{54A32F35-B696-490A-8EDB-C53FD9AAACCA}"/>
    <hyperlink ref="H339" r:id="rId920" xr:uid="{164E4C47-44B2-4C02-9FC4-502C1C7843FA}"/>
    <hyperlink ref="H338" r:id="rId921" xr:uid="{EB3AEC5C-0096-481C-B340-2967D1F495F1}"/>
    <hyperlink ref="H336" r:id="rId922" xr:uid="{BC454175-E9A9-4869-9E8A-CD732558D850}"/>
    <hyperlink ref="H335" r:id="rId923" xr:uid="{D463BC13-2690-40CE-B880-2853D13E38F4}"/>
    <hyperlink ref="H333" r:id="rId924" xr:uid="{F436C302-581A-495A-885A-668BD78FC553}"/>
    <hyperlink ref="H332" r:id="rId925" xr:uid="{7D9F8EB5-BCCD-456B-86E8-E68D98633E83}"/>
    <hyperlink ref="H331" r:id="rId926" xr:uid="{4DD55133-62C5-4260-96A9-481066A7A826}"/>
    <hyperlink ref="H330" r:id="rId927" xr:uid="{18F28FA7-F0E5-4771-9CA2-7E7C5BD1716D}"/>
    <hyperlink ref="H329" r:id="rId928" xr:uid="{78909727-5E0C-41E7-9138-FCD851C936B1}"/>
    <hyperlink ref="H327" r:id="rId929" xr:uid="{9B5D5B66-AF5F-44AE-A053-FF657B97C595}"/>
    <hyperlink ref="H325" r:id="rId930" xr:uid="{85C0A6CA-FEDD-4E0F-819B-9834AA0AA5F2}"/>
    <hyperlink ref="H326" r:id="rId931" xr:uid="{1CA2C7DA-506C-475C-8E14-1264D031B5A9}"/>
    <hyperlink ref="H324" r:id="rId932" xr:uid="{7C8650AE-9CF8-4E5B-A1DB-A416E3EA5136}"/>
    <hyperlink ref="H323" r:id="rId933" xr:uid="{C84BD60C-F4F8-4EFA-AAA3-C895E40FEB68}"/>
    <hyperlink ref="H322" r:id="rId934" xr:uid="{FBDF94DA-DE6C-4370-9FB0-C94B884AFBC3}"/>
    <hyperlink ref="H337" r:id="rId935" xr:uid="{2D231DEE-DA7B-4B27-889B-DEBF8ECC27CF}"/>
    <hyperlink ref="H321" r:id="rId936" xr:uid="{5F25799D-CFAB-4B69-9DDC-D31600BD198E}"/>
    <hyperlink ref="H317" r:id="rId937" xr:uid="{D9B40D44-AC62-4F09-948D-2A33EBDBF56C}"/>
    <hyperlink ref="H316" r:id="rId938" xr:uid="{C51CE206-2346-4328-8572-697D6F71F931}"/>
    <hyperlink ref="H315" r:id="rId939" xr:uid="{AB1336BF-0685-47A7-8693-27440E2D704C}"/>
    <hyperlink ref="H314" r:id="rId940" xr:uid="{DE5477BD-F9AB-4130-85F4-0760DD3E6228}"/>
    <hyperlink ref="H320" r:id="rId941" xr:uid="{70DEF153-F75C-4C97-96C7-D15F5ACBA94D}"/>
    <hyperlink ref="H312" r:id="rId942" xr:uid="{D1BABA71-4A25-4027-8167-03979B1F54CD}"/>
    <hyperlink ref="H311" r:id="rId943" xr:uid="{B9DB9669-4AE8-4F88-9CFA-342D8A2441F9}"/>
    <hyperlink ref="H310" r:id="rId944" xr:uid="{5A028D73-1C66-4515-B6C1-616ED008F342}"/>
    <hyperlink ref="G309" r:id="rId945" display="Rony Vieira - c0637231@vale.com" xr:uid="{AB0DDC32-79C4-44FB-A4CD-CE5420E01E77}"/>
    <hyperlink ref="H309" r:id="rId946" xr:uid="{39E7D143-8AB6-4302-AACA-6384DCC0B67D}"/>
    <hyperlink ref="G307" r:id="rId947" display="Rony Vieira - c0637231@vale.com" xr:uid="{B837686E-D4A2-4A31-A547-0558304DF62D}"/>
    <hyperlink ref="H307" r:id="rId948" xr:uid="{9DFAA0F3-4DCE-4DF5-A9CF-1C1DCF220A02}"/>
    <hyperlink ref="H305" r:id="rId949" xr:uid="{95E8F900-0B54-4671-B186-3595DFA1A690}"/>
    <hyperlink ref="G304" r:id="rId950" display="Rony Vieira - c0637231@vale.com" xr:uid="{4B16B4A5-EFD6-41B5-8BB1-1513B0272E1C}"/>
    <hyperlink ref="H304" r:id="rId951" xr:uid="{39D4B19C-2674-4941-870A-E721A1E75210}"/>
    <hyperlink ref="H302" r:id="rId952" display="mailto:rquez001@codelco.cl" xr:uid="{06CC86DB-DA57-49E8-9BB3-A3D390AF2169}"/>
    <hyperlink ref="H301" r:id="rId953" display="mailto:rquez001@codelco.cl" xr:uid="{262831F0-F306-4A19-B03E-1008DA357586}"/>
    <hyperlink ref="H303" r:id="rId954" xr:uid="{9315693A-632C-4F39-8E48-715BDD867D66}"/>
    <hyperlink ref="H300" r:id="rId955" xr:uid="{272A0253-117D-4AC8-8366-36557CA1E0E9}"/>
    <hyperlink ref="H299" r:id="rId956" xr:uid="{46475B1C-4207-46F7-B225-602D665706C8}"/>
    <hyperlink ref="H298" r:id="rId957" xr:uid="{B2D8D699-89FE-4947-960A-7D4849C236FF}"/>
    <hyperlink ref="H297" r:id="rId958" xr:uid="{E278C3A5-DEE6-45E3-A7C0-0D55F89A9955}"/>
    <hyperlink ref="G296" r:id="rId959" display="Rony Vieira - c0637231@vale.com" xr:uid="{FB552A30-1314-44D3-8D33-372EEDD0F482}"/>
    <hyperlink ref="H296" r:id="rId960" xr:uid="{04202989-3100-4D5C-B9D8-4615A1DD8985}"/>
    <hyperlink ref="H294" r:id="rId961" xr:uid="{C5F43E13-9C35-44EB-90AD-C690532F90C1}"/>
    <hyperlink ref="H293" r:id="rId962" xr:uid="{F1576264-9513-4874-BC0E-F95109E7821A}"/>
    <hyperlink ref="H292" r:id="rId963" xr:uid="{C5CEFE77-C245-48ED-928D-9939579640B4}"/>
    <hyperlink ref="H288" r:id="rId964" xr:uid="{2DD293BB-56F8-4397-9742-3F4B9031ADCA}"/>
    <hyperlink ref="H289" r:id="rId965" xr:uid="{82DDE3D8-6E43-432D-9503-2A70414D611E}"/>
    <hyperlink ref="H287" r:id="rId966" xr:uid="{F0AECF0F-94B8-4C3C-BB5E-EE187A926F16}"/>
    <hyperlink ref="H286" r:id="rId967" xr:uid="{CC05B460-6EA3-4378-B3CC-B5805D38AE30}"/>
    <hyperlink ref="G1388" r:id="rId968" display="mailto:jose.rojas@ryq.cl" xr:uid="{E414DA22-21E1-41D5-876B-3A7C306595C8}"/>
    <hyperlink ref="G283" r:id="rId969" display="Rony Vieira - c0637231@vale.com" xr:uid="{CD52791F-05D9-41B7-B2E5-4889F12BA36F}"/>
    <hyperlink ref="H283" r:id="rId970" xr:uid="{4AD468EE-F5A5-4DEC-AFD4-DD3E87B9B1C6}"/>
    <hyperlink ref="H282" r:id="rId971" xr:uid="{01E1E5AD-09A6-4D80-9DCD-6784B3A813CA}"/>
    <hyperlink ref="H279" r:id="rId972" xr:uid="{65C87884-B341-42DE-AEBC-2B2A484E1C73}"/>
    <hyperlink ref="H281" r:id="rId973" xr:uid="{7295D4CF-BEB2-4841-9456-DEAFD4323B65}"/>
    <hyperlink ref="H280" r:id="rId974" xr:uid="{7E5AAD17-E32C-4CD2-A4B6-495A6D018900}"/>
    <hyperlink ref="H277" r:id="rId975" xr:uid="{FEA7994A-6D22-4F39-8C76-FE12353A78EF}"/>
    <hyperlink ref="H275" r:id="rId976" xr:uid="{7F10D5F9-34E2-4EC9-81CA-CFC333466EB7}"/>
    <hyperlink ref="H276" r:id="rId977" xr:uid="{59CE2AAC-1A1C-45DF-9771-43EBD9A499E3}"/>
    <hyperlink ref="H274" r:id="rId978" xr:uid="{28478F15-487B-40C2-A173-0E02F19681CC}"/>
    <hyperlink ref="H273" r:id="rId979" xr:uid="{043B2165-C4A9-41BB-A1B8-452605F8964F}"/>
    <hyperlink ref="H272" r:id="rId980" xr:uid="{FF21BC2D-29B9-415B-835A-43DD205325A3}"/>
    <hyperlink ref="H269" r:id="rId981" xr:uid="{0B78ECCE-A896-42F6-B8C5-41011E2FA30B}"/>
    <hyperlink ref="H267" r:id="rId982" xr:uid="{9BF5E67D-141E-4150-85FA-0BF6EA063F7F}"/>
    <hyperlink ref="G266" r:id="rId983" display="Rony Vieira - c0637231@vale.com" xr:uid="{F29E9EE0-8D54-4D6B-9F23-9E9211B43437}"/>
    <hyperlink ref="H266" r:id="rId984" xr:uid="{66B11846-4AE2-4CF3-BD0C-52D8F7000602}"/>
    <hyperlink ref="H264" r:id="rId985" xr:uid="{E63139D5-6C7C-4751-AE62-CE0A7309B51D}"/>
    <hyperlink ref="G263" r:id="rId986" display="Rony Vieira - c0637231@vale.com" xr:uid="{E8D8C971-A425-4204-87EE-D0ADCD39DC65}"/>
    <hyperlink ref="H263" r:id="rId987" xr:uid="{8F0AB0B8-6384-4F15-A6F4-C85346E1401B}"/>
    <hyperlink ref="H262" r:id="rId988" xr:uid="{84C93625-7FB5-4D4D-9AE2-66305822E1F7}"/>
    <hyperlink ref="H260" r:id="rId989" xr:uid="{72C59FE6-93DF-401A-8BF4-19BAF0862AE8}"/>
    <hyperlink ref="G258" r:id="rId990" display="Rony Vieira - c0637231@vale.com" xr:uid="{71A9C0A7-5CE5-4534-8C12-9A099F5AD150}"/>
    <hyperlink ref="H258" r:id="rId991" xr:uid="{F010AA62-7542-4EB6-B26D-02C2B26A87F1}"/>
    <hyperlink ref="G257" r:id="rId992" display="Rony Vieira - c0637231@vale.com" xr:uid="{1A7F12B0-70DF-4956-922F-DE6FBF88ECA9}"/>
    <hyperlink ref="H257" r:id="rId993" xr:uid="{E4EE24D0-93A1-46F3-ADF0-41C1F83F20C0}"/>
    <hyperlink ref="H256" r:id="rId994" display="mailto:stephan.matulic@bhp.com" xr:uid="{0C71F8B3-1291-44C8-8BF6-16A5E9605AD5}"/>
    <hyperlink ref="H255" r:id="rId995" xr:uid="{65E83FA2-07C7-4F1F-B381-F90722C74D82}"/>
    <hyperlink ref="H254" r:id="rId996" xr:uid="{648BEF17-2C5C-4EDF-B8C3-F738004CD869}"/>
    <hyperlink ref="H253" r:id="rId997" xr:uid="{0E095092-B5F4-4A8A-8521-17F77DCE0F85}"/>
    <hyperlink ref="G252" r:id="rId998" display="Lucas Siqueira - lucas.phillipe.siqueira@vale.com" xr:uid="{7AD8FED2-EFF2-461F-8397-ED631A5D9674}"/>
    <hyperlink ref="G251" r:id="rId999" display="Lucas Siqueira - lucas.phillipe.siqueira@vale.com" xr:uid="{9799C624-A118-4DA7-8728-711D459AF4F6}"/>
    <hyperlink ref="G247" r:id="rId1000" display="Lucas Siqueira - lucas.phillipe.siqueira@vale.com" xr:uid="{DCE3C68A-7663-4381-8461-70F63C64D19F}"/>
    <hyperlink ref="H247" r:id="rId1001" xr:uid="{C2BB3904-7E04-4B70-B858-B95A57A99A7C}"/>
    <hyperlink ref="G246" r:id="rId1002" display="Lucas Siqueira - lucas.phillipe.siqueira@vale.com" xr:uid="{89DF6100-B3A2-4B03-893F-0BB2390C523F}"/>
    <hyperlink ref="H246" r:id="rId1003" xr:uid="{07FD0D71-C1D3-43DE-BE41-F2023A318A08}"/>
    <hyperlink ref="G245" r:id="rId1004" display="Lucas Siqueira - lucas.phillipe.siqueira@vale.com" xr:uid="{5CC3D696-58B0-4458-8357-D1DA5BE3BAC7}"/>
    <hyperlink ref="H245" r:id="rId1005" xr:uid="{2229C099-AD44-48F8-9B0D-3CB24A820AD2}"/>
    <hyperlink ref="H244" r:id="rId1006" xr:uid="{851E792F-71B4-4E93-937E-12EFE6A53A12}"/>
    <hyperlink ref="H241" r:id="rId1007" xr:uid="{48CA9FEC-901F-4E97-B9B8-8248ECDC47D4}"/>
    <hyperlink ref="H242" r:id="rId1008" xr:uid="{8249513A-C3F5-4BC6-8991-B30EE9D05CED}"/>
    <hyperlink ref="H248" r:id="rId1009" xr:uid="{07F178FB-400E-4BDB-B6E4-921D7294828B}"/>
    <hyperlink ref="H239" r:id="rId1010" xr:uid="{E79151B9-8375-4A20-843E-3D9C2B9D7756}"/>
    <hyperlink ref="H238" r:id="rId1011" xr:uid="{41C12F41-AF89-4564-9240-692034619C1E}"/>
    <hyperlink ref="H237" r:id="rId1012" xr:uid="{F6CF3B19-0B6E-4A81-9165-C4D300628E24}"/>
    <hyperlink ref="G235" r:id="rId1013" display="Lucas Siqueira - lucas.phillipe.siqueira@vale.com" xr:uid="{FA51090F-2350-4282-B58C-785E10D985EF}"/>
    <hyperlink ref="H235" r:id="rId1014" xr:uid="{81BD6913-BD69-41FA-B68D-5982912F7C5C}"/>
    <hyperlink ref="H234" r:id="rId1015" display="mailto:rquez001@codelco.cl" xr:uid="{4EA7D8F4-33B0-473C-926C-8A34813FF90D}"/>
    <hyperlink ref="H233" r:id="rId1016" xr:uid="{695709B3-5ADB-4F5B-9D1E-8977914D170D}"/>
    <hyperlink ref="H231" r:id="rId1017" xr:uid="{B530CC73-EE87-4A61-875B-617325832916}"/>
    <hyperlink ref="H232" r:id="rId1018" xr:uid="{8A960986-C340-45F2-BF10-74A693F02BD9}"/>
    <hyperlink ref="H230" r:id="rId1019" xr:uid="{CF39A7CF-80A4-4E49-B391-92D41019D8AA}"/>
    <hyperlink ref="H229" r:id="rId1020" xr:uid="{6A2F6610-0AF2-48AB-ABF3-1B37C753AC63}"/>
    <hyperlink ref="H227" r:id="rId1021" xr:uid="{59FE7352-E8A5-486A-8CE9-C4CA569B9AAD}"/>
    <hyperlink ref="H226" r:id="rId1022" xr:uid="{F3ACE881-D71C-4F65-856D-27C18BD12188}"/>
    <hyperlink ref="H225" r:id="rId1023" xr:uid="{29F806EB-415B-48A7-9D67-AA06DD9D57C5}"/>
    <hyperlink ref="H223" r:id="rId1024" xr:uid="{D8E9BD9A-6727-473A-A1B5-E9BC5FD38F51}"/>
    <hyperlink ref="H220" r:id="rId1025" xr:uid="{08FD48E6-B6B4-4FCA-8C91-532C3763063C}"/>
    <hyperlink ref="H219" r:id="rId1026" xr:uid="{266C12A4-3395-4A68-89FE-9F2C289636A2}"/>
    <hyperlink ref="H218" r:id="rId1027" xr:uid="{669A2256-0C59-4305-B74E-635E2AEA20E1}"/>
    <hyperlink ref="G217" r:id="rId1028" display="Lucas Siqueira - lucas.phillipe.siqueira@vale.com" xr:uid="{83DE4C6D-FCFE-4319-A2A7-EE2C8E9424FE}"/>
    <hyperlink ref="H217" r:id="rId1029" xr:uid="{528C1ECF-C944-4182-812F-FF333703AC86}"/>
    <hyperlink ref="H215" r:id="rId1030" xr:uid="{1C1A6BB3-ECC5-46A7-8813-726DEC920AD6}"/>
    <hyperlink ref="H213" r:id="rId1031" xr:uid="{D38356CE-B0E7-445D-92EA-945B8C8D4FE1}"/>
    <hyperlink ref="H210" r:id="rId1032" xr:uid="{BB064537-C0F2-420D-ABBB-86BA0AC49D6C}"/>
    <hyperlink ref="H209" r:id="rId1033" xr:uid="{444178B1-3B70-4FFE-B258-4F78B3B75C6A}"/>
    <hyperlink ref="H211" r:id="rId1034" xr:uid="{90FEAEE8-402A-4FFA-BEE8-B3970B227AF8}"/>
    <hyperlink ref="H208" r:id="rId1035" xr:uid="{CD3366EF-9718-4E15-AF36-826A976E2181}"/>
    <hyperlink ref="H207" r:id="rId1036" xr:uid="{B34563B9-BD86-45C4-B767-6A33A8989F5E}"/>
    <hyperlink ref="H206" r:id="rId1037" xr:uid="{ED668863-9C85-4E51-9C43-49A42257F2E2}"/>
    <hyperlink ref="H204" r:id="rId1038" xr:uid="{D841070E-9A91-4D73-A490-3112A1164EB4}"/>
    <hyperlink ref="H203" r:id="rId1039" xr:uid="{DE4E7D37-AAE0-4B90-A4AF-BD5930DF7BFD}"/>
    <hyperlink ref="H202" r:id="rId1040" xr:uid="{CE3FBF27-C872-46FF-9C33-01D2BCEBC2A7}"/>
    <hyperlink ref="H201" r:id="rId1041" xr:uid="{8FA5685A-75F7-40B6-BEA9-D62118DEE8DE}"/>
    <hyperlink ref="H200" r:id="rId1042" xr:uid="{10C04597-37EF-404F-BF1A-F8C72C3D772E}"/>
    <hyperlink ref="H196" r:id="rId1043" xr:uid="{AF87E106-5915-4383-A7E0-CC710ED0D215}"/>
    <hyperlink ref="H195" r:id="rId1044" xr:uid="{C7C98BD0-84BB-4426-A738-FF60F6FDF50B}"/>
    <hyperlink ref="G194" r:id="rId1045" display="Lucas Siqueira - lucas.phillipe.siqueira@vale.com" xr:uid="{08B04E63-B4DA-425C-B3CC-A5D2575F9936}"/>
    <hyperlink ref="H194" r:id="rId1046" xr:uid="{5F1B1A14-214E-4C70-B817-9833E23258A4}"/>
    <hyperlink ref="H193" r:id="rId1047" xr:uid="{5CDF4534-71D6-49A6-840D-266E30599AAA}"/>
    <hyperlink ref="H192" r:id="rId1048" xr:uid="{54A7300B-E394-4BAE-81B8-C096CA1E9256}"/>
    <hyperlink ref="H191" r:id="rId1049" xr:uid="{E78A805B-750A-4449-B8BD-6747D8F988B8}"/>
    <hyperlink ref="H189" r:id="rId1050" xr:uid="{120FE700-3FB9-4F58-8988-18719EF996CF}"/>
    <hyperlink ref="H188" r:id="rId1051" xr:uid="{07FE76C1-F45A-4563-AF8B-8935FAF7961A}"/>
    <hyperlink ref="H187" r:id="rId1052" xr:uid="{EB64E360-06AE-411C-960D-C1168BEBBC7B}"/>
    <hyperlink ref="H186" r:id="rId1053" xr:uid="{E6BACC04-4109-4792-822D-CD276740B554}"/>
    <hyperlink ref="H185" r:id="rId1054" xr:uid="{5FEB5082-EC4B-4B6E-9B33-B8B2DCC7066D}"/>
    <hyperlink ref="H183" r:id="rId1055" xr:uid="{82388977-E5F5-4CB4-A52C-1FB03EB06B5B}"/>
    <hyperlink ref="G182" r:id="rId1056" display="Lucas Siqueira - lucas.phillipe.siqueira@vale.com" xr:uid="{0FB6992B-F217-4927-B1D7-C3D63E79E3AE}"/>
    <hyperlink ref="H182" r:id="rId1057" xr:uid="{26CD7EEB-DA48-408F-9908-3619C0F26E91}"/>
    <hyperlink ref="H181" r:id="rId1058" xr:uid="{049294B0-D3EA-4109-95D7-5352D85348B8}"/>
    <hyperlink ref="H179" r:id="rId1059" xr:uid="{BE33B494-63E5-4A9A-A833-48D872CDEF39}"/>
    <hyperlink ref="G176" r:id="rId1060" display="Lucas Siqueira - lucas.phillipe.siqueira@vale.com" xr:uid="{588BB2DB-CF38-4E02-B015-CF0EA5FE72D5}"/>
    <hyperlink ref="H176" r:id="rId1061" xr:uid="{E2200BA8-BA58-450B-958C-40B547C26188}"/>
    <hyperlink ref="H175" r:id="rId1062" xr:uid="{459F196F-5F20-4DAC-975C-D7C68491F128}"/>
    <hyperlink ref="H173" r:id="rId1063" xr:uid="{32745996-3B7B-4CDE-A9C4-C24ED3DDC605}"/>
    <hyperlink ref="H172" r:id="rId1064" xr:uid="{FC1389DF-5980-418F-A6C9-E59AFF07C2BF}"/>
    <hyperlink ref="H169" r:id="rId1065" xr:uid="{61077C48-8BF9-44EF-96C1-0C0B154CCCE8}"/>
    <hyperlink ref="G171" r:id="rId1066" display="Lucas Siqueira - lucas.phillipe.siqueira@vale.com" xr:uid="{DD2111AD-665E-4D65-9905-A23DE41EC95E}"/>
    <hyperlink ref="H171" r:id="rId1067" xr:uid="{E087599B-0BDC-4466-ACD2-7E2B3FBFB042}"/>
    <hyperlink ref="G170" r:id="rId1068" display="Lucas Siqueira - lucas.phillipe.siqueira@vale.com" xr:uid="{DCC6DCFF-14E9-40D1-A4A9-D86B512FCCED}"/>
    <hyperlink ref="H170" r:id="rId1069" xr:uid="{B5FDF577-8423-4FE3-919B-A4266830C9EA}"/>
    <hyperlink ref="H168" r:id="rId1070" xr:uid="{70A3D0A4-11FC-48D2-992C-EA2E4EB53E8F}"/>
    <hyperlink ref="H166" r:id="rId1071" xr:uid="{04928FFA-713E-48A5-8271-D7DB22D3F94C}"/>
    <hyperlink ref="H163" r:id="rId1072" xr:uid="{A22D4EB9-2B4D-43FE-8FCA-C4F91037B511}"/>
    <hyperlink ref="H162" r:id="rId1073" display="mailto:stephan.matulic@bhp.com" xr:uid="{A9A3B3D0-4DEA-42D6-89F3-FC6B379BF8CE}"/>
    <hyperlink ref="H180" r:id="rId1074" xr:uid="{A85CF303-D1E3-4A4C-A8BA-90CBC4F66664}"/>
    <hyperlink ref="H160" r:id="rId1075" xr:uid="{180E7616-6396-43F4-A335-9C0D7FD25029}"/>
    <hyperlink ref="H159" r:id="rId1076" xr:uid="{474F07B7-A7CB-484C-A9A8-8F78FD1E62B3}"/>
    <hyperlink ref="H156" r:id="rId1077" xr:uid="{012E13A6-5419-4599-A76C-EC941D61CEB6}"/>
    <hyperlink ref="H158" r:id="rId1078" xr:uid="{96C012F0-BCC0-4C42-AA9F-CCC0AD393DD1}"/>
    <hyperlink ref="H157" r:id="rId1079" xr:uid="{D83AD0A6-D13A-4BED-965A-4C2ABD3E0C24}"/>
    <hyperlink ref="H155" r:id="rId1080" xr:uid="{C7C45E74-5525-423A-BF9E-EC4BBC14EBD6}"/>
    <hyperlink ref="H153" r:id="rId1081" xr:uid="{18F3F185-49C1-4706-8C95-828CB3CD26EE}"/>
    <hyperlink ref="H154" r:id="rId1082" xr:uid="{8F7B1BE8-A8AA-4F6F-91DD-3EC58CFE4069}"/>
    <hyperlink ref="H151" r:id="rId1083" xr:uid="{EC694DE3-1E76-4FE8-9D28-97FAE22E39CC}"/>
    <hyperlink ref="H150" r:id="rId1084" xr:uid="{FD60E021-9F19-4172-8EF8-78DF799F94DC}"/>
    <hyperlink ref="G150" r:id="rId1085" display="mailto:jose.rojas@ryq.cl" xr:uid="{38062FE2-EAC4-47C9-AB0E-46FCC8DBF8C0}"/>
    <hyperlink ref="H146" r:id="rId1086" xr:uid="{C3651C6B-A706-4869-8FA3-0E482C52CA0B}"/>
    <hyperlink ref="G147" r:id="rId1087" display="Lucas Siqueira - lucas.phillipe.siqueira@vale.com" xr:uid="{1F1175B7-BFFA-4486-A879-50558C906D93}"/>
    <hyperlink ref="H147" r:id="rId1088" xr:uid="{F7A7E8BA-AFC8-4212-854A-AC5380764041}"/>
    <hyperlink ref="H143" r:id="rId1089" xr:uid="{E6C63C9A-D099-4E0E-AA7F-F1B0637905F3}"/>
    <hyperlink ref="G143" r:id="rId1090" display="mailto:jose.rojas@ryq.cl" xr:uid="{9F9ADA97-615E-406F-AF56-07FA9A037C29}"/>
    <hyperlink ref="H142" r:id="rId1091" xr:uid="{A5121330-7EE0-484D-9225-C4544E7812D9}"/>
    <hyperlink ref="H140" r:id="rId1092" xr:uid="{F15485FC-EC7E-415F-80C4-4D8DF6EC330E}"/>
    <hyperlink ref="H138" r:id="rId1093" xr:uid="{F5A04880-CB34-439C-A649-8C4C94799B73}"/>
    <hyperlink ref="H139" r:id="rId1094" xr:uid="{206F88F1-5A29-4136-9D00-A9694604E511}"/>
    <hyperlink ref="H137" r:id="rId1095" xr:uid="{5BF9E44A-059D-4BE1-A88D-32C5807F9250}"/>
    <hyperlink ref="H136" r:id="rId1096" xr:uid="{A571283C-F26E-49E7-B909-4BFDF9AD0112}"/>
    <hyperlink ref="H135" r:id="rId1097" xr:uid="{61E6A7B8-DEF9-4447-B2B8-21DCBBDEFF4B}"/>
    <hyperlink ref="H134" r:id="rId1098" xr:uid="{1B245906-2DBC-4423-8B1F-278D67721094}"/>
    <hyperlink ref="H133" r:id="rId1099" xr:uid="{F959FF59-305F-4EE0-BA4E-518570DD7850}"/>
    <hyperlink ref="H131" r:id="rId1100" xr:uid="{E1A2D3E0-E112-47D5-8420-15D56BBD4D22}"/>
    <hyperlink ref="G130" r:id="rId1101" display="Lucas Siqueira - lucas.phillipe.siqueira@vale.com" xr:uid="{5BDBB91D-32DC-4E23-8C3A-1121FE7FBDBB}"/>
    <hyperlink ref="H130" r:id="rId1102" xr:uid="{F59E67B0-03AF-4732-9813-743926E1ECA0}"/>
    <hyperlink ref="H129" r:id="rId1103" xr:uid="{3A977258-2182-493C-A13D-A28599559221}"/>
    <hyperlink ref="H128" r:id="rId1104" xr:uid="{43F20709-AE74-4BC3-BCA0-FA190D911019}"/>
    <hyperlink ref="H127" r:id="rId1105" xr:uid="{E974AB46-D4DA-4DD3-81D2-A1CE672C9377}"/>
    <hyperlink ref="H125" r:id="rId1106" xr:uid="{73E50D69-F587-4D32-941C-DAE616C87772}"/>
    <hyperlink ref="H124" r:id="rId1107" xr:uid="{D836884A-1EED-4EF4-8CA8-2DFFD45D006D}"/>
    <hyperlink ref="H122" r:id="rId1108" xr:uid="{E419C983-803F-4E05-8231-F2E25E9CEEEC}"/>
    <hyperlink ref="H120" r:id="rId1109" xr:uid="{8E5254D9-B677-4503-A229-8EB7E4410F0A}"/>
    <hyperlink ref="H119" r:id="rId1110" xr:uid="{F059916E-6C1B-4EF8-849A-97910F918F9A}"/>
    <hyperlink ref="H118" r:id="rId1111" xr:uid="{68D54816-7104-4C6C-BC75-AB9065AE11D7}"/>
    <hyperlink ref="H117" r:id="rId1112" xr:uid="{1AE9F22C-EA5F-45D4-BE05-B1793DBE2335}"/>
    <hyperlink ref="H114" r:id="rId1113" xr:uid="{2AF181AF-3037-40EC-9AB7-1BFDAE5740FF}"/>
    <hyperlink ref="H111" r:id="rId1114" display="mailto:stephan.matulic@bhp.com" xr:uid="{789F738B-9B55-4482-9BD4-C706CDF64CEB}"/>
    <hyperlink ref="H110" r:id="rId1115" display="mailto:stephan.matulic@bhp.com" xr:uid="{9FB3A5EF-43CB-4B92-A558-CB5F4205495C}"/>
    <hyperlink ref="H109" r:id="rId1116" display="mailto:stephan.matulic@bhp.com" xr:uid="{6CDDB926-10FD-4FC7-9710-67A26C89F233}"/>
    <hyperlink ref="H108" r:id="rId1117" display="mailto:stephan.matulic@bhp.com" xr:uid="{4ABFA2FD-3839-4E6E-BA84-9062657F1049}"/>
    <hyperlink ref="H107" r:id="rId1118" display="mailto:stephan.matulic@bhp.com" xr:uid="{4D76D6B3-63DF-4E9A-9742-CA26474E968C}"/>
    <hyperlink ref="H106" r:id="rId1119" display="mailto:stephan.matulic@bhp.com" xr:uid="{9003326B-7D45-4A9E-96B0-85E14328E021}"/>
    <hyperlink ref="H105" r:id="rId1120" display="mailto:stephan.matulic@bhp.com" xr:uid="{510EDE61-92A4-4D08-8085-828A2100A37A}"/>
    <hyperlink ref="H104" r:id="rId1121" display="mailto:stephan.matulic@bhp.com" xr:uid="{6AD18A68-3812-482A-B0DA-600FDAEEE109}"/>
    <hyperlink ref="H103" r:id="rId1122" display="mailto:stephan.matulic@bhp.com" xr:uid="{42D01F26-28D1-42A9-9A0C-AEEE71907405}"/>
    <hyperlink ref="H102" r:id="rId1123" display="mailto:stephan.matulic@bhp.com" xr:uid="{D4ADA0E5-644E-41A4-AA03-E6687991C7CD}"/>
    <hyperlink ref="H101" r:id="rId1124" display="mailto:stephan.matulic@bhp.com" xr:uid="{00AFF758-C49D-4223-BCAE-2105976AD3B9}"/>
    <hyperlink ref="H100" r:id="rId1125" display="mailto:stephan.matulic@bhp.com" xr:uid="{0D9F52D7-9900-45DB-AA01-939A2FA2C8B4}"/>
    <hyperlink ref="H99" r:id="rId1126" display="mailto:stephan.matulic@bhp.com" xr:uid="{5BED34EB-079B-4860-963D-F7F1A57D35B4}"/>
    <hyperlink ref="H98" r:id="rId1127" display="mailto:stephan.matulic@bhp.com" xr:uid="{822F41B5-A6E1-4D03-884D-1A3C2849FC8C}"/>
    <hyperlink ref="H97" r:id="rId1128" display="mailto:stephan.matulic@bhp.com" xr:uid="{9419A968-1EA6-45DD-9EDB-90EA19181D48}"/>
    <hyperlink ref="H96" r:id="rId1129" display="mailto:stephan.matulic@bhp.com" xr:uid="{16F892AE-371D-48F6-B3AC-8A3B279ACEAE}"/>
    <hyperlink ref="H95" r:id="rId1130" display="mailto:stephan.matulic@bhp.com" xr:uid="{AFDE1C5F-A173-4E07-A91C-53BD97E96459}"/>
    <hyperlink ref="H94" r:id="rId1131" display="mailto:stephan.matulic@bhp.com" xr:uid="{619FFEF8-E224-40B7-AFE6-767796529DBF}"/>
    <hyperlink ref="H93" r:id="rId1132" display="mailto:stephan.matulic@bhp.com" xr:uid="{69C1C5FC-B00D-4F58-AB07-A520F9E7F45A}"/>
    <hyperlink ref="H92" r:id="rId1133" display="mailto:stephan.matulic@bhp.com" xr:uid="{7FBC9D12-30D4-494D-A2E1-0A8C3BB32CE4}"/>
    <hyperlink ref="H91" r:id="rId1134" display="mailto:stephan.matulic@bhp.com" xr:uid="{6A821CAC-AAA4-4A84-B4B0-21B42F570C19}"/>
    <hyperlink ref="H90" r:id="rId1135" display="mailto:stephan.matulic@bhp.com" xr:uid="{6697E319-8EC9-4F8D-A9BA-94C9C8FFF6F9}"/>
    <hyperlink ref="H89" r:id="rId1136" display="mailto:stephan.matulic@bhp.com" xr:uid="{C0F0442B-3300-4E71-8744-F8700FEDCC12}"/>
    <hyperlink ref="H88" r:id="rId1137" display="mailto:stephan.matulic@bhp.com" xr:uid="{52B95A55-4069-4493-8909-DBEA136897FB}"/>
    <hyperlink ref="H87" r:id="rId1138" display="mailto:stephan.matulic@bhp.com" xr:uid="{488FBDBF-8762-4B5F-AC08-2169B9B46C7E}"/>
    <hyperlink ref="H86" r:id="rId1139" display="mailto:stephan.matulic@bhp.com" xr:uid="{2775ACBE-9430-4E9D-B068-D6CC30EE0BBF}"/>
    <hyperlink ref="H85" r:id="rId1140" display="mailto:stephan.matulic@bhp.com" xr:uid="{D9999791-1A85-416D-9C0D-53FFE30E89B7}"/>
    <hyperlink ref="H84" r:id="rId1141" display="mailto:stephan.matulic@bhp.com" xr:uid="{0825AC09-E847-4B0E-97B7-3F6E85B5DFAE}"/>
    <hyperlink ref="H83" r:id="rId1142" display="mailto:stephan.matulic@bhp.com" xr:uid="{3BA1C309-65BC-4D6B-AEC4-632668528C25}"/>
    <hyperlink ref="H82" r:id="rId1143" display="mailto:stephan.matulic@bhp.com" xr:uid="{AC9122F8-1048-4AC2-A32D-363A1E1C9D61}"/>
    <hyperlink ref="H81" r:id="rId1144" xr:uid="{90BF3096-10B1-4B86-941D-E80F19C6BBC5}"/>
    <hyperlink ref="H80" r:id="rId1145" xr:uid="{0111AF06-0336-443A-ABC2-0E36A9FFD45E}"/>
    <hyperlink ref="H79" r:id="rId1146" xr:uid="{EC2DE481-7A3D-4481-95D4-FE1C376E88BD}"/>
    <hyperlink ref="H78" r:id="rId1147" xr:uid="{B4358D4E-C41D-43AC-BABA-093DC69D7B8D}"/>
    <hyperlink ref="H76" r:id="rId1148" xr:uid="{5EC51500-0A29-4DE1-8B30-CB0ECF546A11}"/>
    <hyperlink ref="H73" r:id="rId1149" xr:uid="{3B53D02D-689C-47E5-BA0C-B4CAAA56CB30}"/>
    <hyperlink ref="H71" r:id="rId1150" xr:uid="{B5A425D3-3E56-4043-BA3D-4BD3C760606B}"/>
    <hyperlink ref="H70" r:id="rId1151" xr:uid="{20179F4E-03E8-4C30-B840-284142409075}"/>
    <hyperlink ref="H69" r:id="rId1152" xr:uid="{6DC6CD6C-0B17-4A65-A8FD-C92562DBE918}"/>
    <hyperlink ref="H68" r:id="rId1153" xr:uid="{8AEC4001-1956-4B84-BA69-1AE795BB0D1E}"/>
    <hyperlink ref="H67" r:id="rId1154" xr:uid="{A6E4F14F-DED4-4D91-8410-2ADC4A3B1AE8}"/>
    <hyperlink ref="H66" r:id="rId1155" xr:uid="{644AE151-6880-444F-B796-03D8A0E2B2CB}"/>
    <hyperlink ref="H65" r:id="rId1156" xr:uid="{454498F2-469B-4A61-A416-05A9A4E29AE9}"/>
    <hyperlink ref="H116" r:id="rId1157" xr:uid="{79C2294F-20BE-4F01-AC22-DFA1D1A99D61}"/>
    <hyperlink ref="H63" r:id="rId1158" xr:uid="{06A1EAB3-17ED-4614-B746-FD734954C897}"/>
    <hyperlink ref="H59" r:id="rId1159" xr:uid="{652CF41F-F4F8-439C-BB2E-27122A5421B8}"/>
    <hyperlink ref="H58" r:id="rId1160" xr:uid="{F4F18E7B-5F6E-4C50-9BBD-F685ECF8C650}"/>
    <hyperlink ref="H57" r:id="rId1161" xr:uid="{B033A810-CF84-4E68-8531-C2F5C063FAF6}"/>
    <hyperlink ref="H56" r:id="rId1162" xr:uid="{7A0EE4CE-2A97-4D99-865C-BFF5900F13D2}"/>
    <hyperlink ref="H55" r:id="rId1163" xr:uid="{59FFB62D-89C1-4E54-99B1-49CA48A106F0}"/>
    <hyperlink ref="H54" r:id="rId1164" xr:uid="{97EA8BFF-6D09-4241-9A03-99F8974744FD}"/>
    <hyperlink ref="H53" r:id="rId1165" xr:uid="{B4AA8982-7196-475E-AB4F-DB9B65813C8B}"/>
    <hyperlink ref="H52" r:id="rId1166" xr:uid="{8D749AF6-3153-43DD-8A10-07FCEBB9DAEB}"/>
    <hyperlink ref="H51" r:id="rId1167" xr:uid="{10B3CAA0-C333-43A5-8B94-6E5D42674AC5}"/>
    <hyperlink ref="H50" r:id="rId1168" xr:uid="{B433F782-0C83-4DCA-8076-E9C06B254D0A}"/>
    <hyperlink ref="H46" r:id="rId1169" xr:uid="{0C47F1E5-A7E6-4401-AF37-AC66BCA35B51}"/>
    <hyperlink ref="H47" r:id="rId1170" xr:uid="{11356560-3D3D-416E-B6EB-BDB8CD593833}"/>
    <hyperlink ref="H49" r:id="rId1171" xr:uid="{EEC2EB70-CA90-4A60-9202-C04B1C62AF35}"/>
    <hyperlink ref="H48" r:id="rId1172" xr:uid="{F51BE7C6-71C3-4071-A4A7-2E86EAD484FF}"/>
    <hyperlink ref="H44" r:id="rId1173" xr:uid="{1CDDE270-8472-4C84-82DF-78908D8EAC76}"/>
    <hyperlink ref="H45" r:id="rId1174" xr:uid="{3DA5D51B-B48F-46A6-92ED-33E7624EB575}"/>
    <hyperlink ref="H43" r:id="rId1175" xr:uid="{125A98A4-3701-4F13-A41C-222984EFE021}"/>
    <hyperlink ref="H41" r:id="rId1176" xr:uid="{9D9D24AD-2FD6-4275-AE31-3FE4A5383D74}"/>
    <hyperlink ref="H40" r:id="rId1177" xr:uid="{6B54BD98-48FF-405C-9D75-7F4D0BA483C3}"/>
    <hyperlink ref="H39" r:id="rId1178" xr:uid="{55ADA7EF-52C1-429C-A13F-1DCA33FA45EA}"/>
    <hyperlink ref="H38" r:id="rId1179" xr:uid="{E38B5FB2-12CD-4DEF-A319-5E2CA3D7C7F7}"/>
    <hyperlink ref="H35" r:id="rId1180" xr:uid="{2DBDDC26-6FA3-42D5-98D7-8D4567E8EF0C}"/>
    <hyperlink ref="H34" r:id="rId1181" xr:uid="{F92D77B5-C02B-487A-BF47-BCC18F442E87}"/>
    <hyperlink ref="H33" r:id="rId1182" xr:uid="{BB8AC78C-195A-4969-B506-737392DB4DF9}"/>
    <hyperlink ref="H30" r:id="rId1183" xr:uid="{55D49D90-E441-4970-ACBA-996E9B18E6FF}"/>
    <hyperlink ref="H29" r:id="rId1184" xr:uid="{4C9AE5A3-E57C-4A92-B5BB-871450A2311A}"/>
    <hyperlink ref="H28" r:id="rId1185" xr:uid="{AD33302A-AD9D-4733-ABE7-5CD5893F7852}"/>
    <hyperlink ref="H27" r:id="rId1186" xr:uid="{DD220728-4E2B-4B7D-893B-B6978D67C22E}"/>
    <hyperlink ref="H26" r:id="rId1187" xr:uid="{77B8C4B0-606A-433B-A808-DBDEC37F36EE}"/>
    <hyperlink ref="H25" r:id="rId1188" xr:uid="{14EB0007-46AE-453B-9A6C-5C63E52879A1}"/>
    <hyperlink ref="H24" r:id="rId1189" xr:uid="{AA10D50D-FB85-4D7D-A84C-CF362DC3AB5A}"/>
  </hyperlinks>
  <printOptions horizontalCentered="1"/>
  <pageMargins left="0.23622047244094491" right="0.23622047244094491" top="0.74803149606299213" bottom="0.74803149606299213" header="0.31496062992125984" footer="0.31496062992125984"/>
  <pageSetup paperSize="17" orientation="landscape" r:id="rId1190"/>
  <headerFooter alignWithMargins="0">
    <oddFooter>&amp;LF-005, Rev. 0&amp;C&amp;F&amp;RPágina &amp;P de &amp;N</oddFooter>
  </headerFooter>
  <legacyDrawing r:id="rId1191"/>
  <extLst>
    <ext xmlns:x14="http://schemas.microsoft.com/office/spreadsheetml/2009/9/main" uri="{CCE6A557-97BC-4b89-ADB6-D9C93CAAB3DF}">
      <x14:dataValidations xmlns:xm="http://schemas.microsoft.com/office/excel/2006/main" count="1">
        <x14:dataValidation type="list" allowBlank="1" showInputMessage="1" showErrorMessage="1" xr:uid="{AE73ED6E-C9AE-491C-A3DC-2AF08984A5CC}">
          <x14:formula1>
            <xm:f>Sheet1!$A$2:$A$8</xm:f>
          </x14:formula1>
          <xm:sqref>Z605:Z611 Z2767 Z170:Z603 Z161:Z168 Z615:Z2765 Z155:Z158 Z23:Z153</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806D-0C31-4D5C-8384-3174F5AA5375}">
  <dimension ref="A1:A8"/>
  <sheetViews>
    <sheetView workbookViewId="0">
      <selection activeCell="A10" sqref="A10"/>
    </sheetView>
  </sheetViews>
  <sheetFormatPr defaultColWidth="11.42578125" defaultRowHeight="13.15"/>
  <sheetData>
    <row r="1" spans="1:1">
      <c r="A1" t="s">
        <v>9300</v>
      </c>
    </row>
    <row r="2" spans="1:1">
      <c r="A2" s="322" t="s">
        <v>9301</v>
      </c>
    </row>
    <row r="3" spans="1:1">
      <c r="A3" s="323" t="s">
        <v>9302</v>
      </c>
    </row>
    <row r="4" spans="1:1">
      <c r="A4" s="323" t="s">
        <v>9303</v>
      </c>
    </row>
    <row r="5" spans="1:1">
      <c r="A5" s="323" t="s">
        <v>9304</v>
      </c>
    </row>
    <row r="6" spans="1:1">
      <c r="A6" s="323" t="s">
        <v>9305</v>
      </c>
    </row>
    <row r="7" spans="1:1">
      <c r="A7" s="323" t="s">
        <v>3007</v>
      </c>
    </row>
    <row r="8" spans="1:1">
      <c r="A8" s="324" t="s">
        <v>3007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D30"/>
  <sheetViews>
    <sheetView topLeftCell="A22" workbookViewId="0">
      <selection activeCell="A22" sqref="A22:D30"/>
    </sheetView>
  </sheetViews>
  <sheetFormatPr defaultColWidth="11.42578125" defaultRowHeight="13.15"/>
  <sheetData>
    <row r="1" spans="1:4" ht="13.9">
      <c r="A1" s="2"/>
      <c r="B1" s="2"/>
      <c r="C1" s="2"/>
      <c r="D1" s="2"/>
    </row>
    <row r="2" spans="1:4" ht="13.9">
      <c r="A2" s="2"/>
      <c r="B2" s="2"/>
      <c r="C2" s="2"/>
      <c r="D2" s="2"/>
    </row>
    <row r="3" spans="1:4" ht="13.9">
      <c r="A3" s="2"/>
      <c r="B3" s="2"/>
      <c r="C3" s="2"/>
      <c r="D3" s="2"/>
    </row>
    <row r="4" spans="1:4" ht="13.9">
      <c r="A4" s="2"/>
      <c r="B4" s="2"/>
      <c r="C4" s="2"/>
      <c r="D4" s="2"/>
    </row>
    <row r="5" spans="1:4" ht="13.9">
      <c r="A5" s="3"/>
      <c r="B5" s="3"/>
      <c r="C5" s="3"/>
      <c r="D5" s="3"/>
    </row>
    <row r="6" spans="1:4" ht="13.9">
      <c r="A6" s="3"/>
      <c r="B6" s="3"/>
      <c r="C6" s="3"/>
      <c r="D6" s="3"/>
    </row>
    <row r="7" spans="1:4" ht="13.9">
      <c r="A7" s="3"/>
      <c r="B7" s="3"/>
      <c r="C7" s="3"/>
      <c r="D7" s="3"/>
    </row>
    <row r="8" spans="1:4" ht="13.9">
      <c r="A8" s="3"/>
      <c r="B8" s="3"/>
      <c r="C8" s="3"/>
      <c r="D8" s="3"/>
    </row>
    <row r="9" spans="1:4" ht="13.9">
      <c r="A9" s="3"/>
      <c r="B9" s="3"/>
      <c r="C9" s="3"/>
      <c r="D9" s="3"/>
    </row>
    <row r="10" spans="1:4" ht="13.9">
      <c r="A10" s="3"/>
      <c r="B10" s="3"/>
      <c r="C10" s="3"/>
      <c r="D10" s="3"/>
    </row>
    <row r="11" spans="1:4" ht="13.9">
      <c r="A11" s="3"/>
      <c r="B11" s="3"/>
      <c r="C11" s="3"/>
      <c r="D11" s="3"/>
    </row>
    <row r="12" spans="1:4" ht="13.9">
      <c r="A12" s="3"/>
      <c r="B12" s="3"/>
      <c r="C12" s="3"/>
      <c r="D12" s="3"/>
    </row>
    <row r="13" spans="1:4" ht="13.9">
      <c r="A13" s="3"/>
      <c r="B13" s="3"/>
      <c r="C13" s="3"/>
      <c r="D13" s="3"/>
    </row>
    <row r="14" spans="1:4" ht="13.9">
      <c r="A14" s="3"/>
      <c r="B14" s="3"/>
      <c r="C14" s="3"/>
      <c r="D14" s="3"/>
    </row>
    <row r="15" spans="1:4" ht="13.9">
      <c r="A15" s="3"/>
      <c r="B15" s="3"/>
      <c r="C15" s="3"/>
      <c r="D15" s="3"/>
    </row>
    <row r="16" spans="1:4" ht="13.9">
      <c r="A16" s="3"/>
      <c r="B16" s="3"/>
      <c r="C16" s="3"/>
      <c r="D16" s="3"/>
    </row>
    <row r="17" spans="1:4" ht="13.9">
      <c r="A17" s="3"/>
      <c r="B17" s="3"/>
      <c r="C17" s="3"/>
      <c r="D17" s="3"/>
    </row>
    <row r="18" spans="1:4" ht="13.9">
      <c r="A18" s="3"/>
      <c r="B18" s="3"/>
      <c r="C18" s="3"/>
      <c r="D18" s="3"/>
    </row>
    <row r="19" spans="1:4" ht="13.9">
      <c r="A19" s="2"/>
      <c r="B19" s="2"/>
      <c r="C19" s="2"/>
      <c r="D19" s="2"/>
    </row>
    <row r="20" spans="1:4" ht="13.9">
      <c r="A20" s="2"/>
      <c r="B20" s="2"/>
      <c r="C20" s="2"/>
      <c r="D20" s="2"/>
    </row>
    <row r="21" spans="1:4" ht="14.45" thickBot="1">
      <c r="A21" s="2"/>
      <c r="B21" s="2"/>
      <c r="C21" s="2"/>
      <c r="D21" s="2"/>
    </row>
    <row r="22" spans="1:4" ht="28.15" thickBot="1">
      <c r="A22" s="30" t="s">
        <v>9306</v>
      </c>
      <c r="B22" s="31" t="s">
        <v>9307</v>
      </c>
      <c r="C22" s="31" t="s">
        <v>9308</v>
      </c>
      <c r="D22" s="32" t="s">
        <v>9309</v>
      </c>
    </row>
    <row r="23" spans="1:4" ht="27.6">
      <c r="A23" s="33" t="s">
        <v>9310</v>
      </c>
      <c r="B23" s="34" t="s">
        <v>200</v>
      </c>
      <c r="C23" s="35" t="s">
        <v>9311</v>
      </c>
      <c r="D23" s="36"/>
    </row>
    <row r="24" spans="1:4" ht="55.15">
      <c r="A24" s="37" t="s">
        <v>9312</v>
      </c>
      <c r="B24" s="38" t="s">
        <v>201</v>
      </c>
      <c r="C24" s="39" t="s">
        <v>9313</v>
      </c>
      <c r="D24" s="40" t="s">
        <v>9314</v>
      </c>
    </row>
    <row r="25" spans="1:4" ht="55.15">
      <c r="A25" s="37" t="s">
        <v>9315</v>
      </c>
      <c r="B25" s="38" t="s">
        <v>202</v>
      </c>
      <c r="C25" s="39" t="s">
        <v>9316</v>
      </c>
      <c r="D25" s="40" t="s">
        <v>9317</v>
      </c>
    </row>
    <row r="26" spans="1:4" ht="41.45">
      <c r="A26" s="37" t="s">
        <v>9318</v>
      </c>
      <c r="B26" s="38" t="s">
        <v>203</v>
      </c>
      <c r="C26" s="39" t="s">
        <v>9319</v>
      </c>
      <c r="D26" s="40" t="s">
        <v>9317</v>
      </c>
    </row>
    <row r="27" spans="1:4" ht="96.6">
      <c r="A27" s="37" t="s">
        <v>9320</v>
      </c>
      <c r="B27" s="38" t="s">
        <v>204</v>
      </c>
      <c r="C27" s="39" t="s">
        <v>9321</v>
      </c>
      <c r="D27" s="40" t="s">
        <v>9317</v>
      </c>
    </row>
    <row r="28" spans="1:4" ht="82.9">
      <c r="A28" s="37" t="s">
        <v>9322</v>
      </c>
      <c r="B28" s="38" t="s">
        <v>205</v>
      </c>
      <c r="C28" s="39" t="s">
        <v>9323</v>
      </c>
      <c r="D28" s="40" t="s">
        <v>9314</v>
      </c>
    </row>
    <row r="29" spans="1:4" ht="55.15">
      <c r="A29" s="37" t="s">
        <v>9324</v>
      </c>
      <c r="B29" s="38" t="s">
        <v>206</v>
      </c>
      <c r="C29" s="39" t="s">
        <v>9325</v>
      </c>
      <c r="D29" s="40" t="s">
        <v>9317</v>
      </c>
    </row>
    <row r="30" spans="1:4" ht="14.45" thickBot="1">
      <c r="A30" s="41" t="s">
        <v>9326</v>
      </c>
      <c r="B30" s="42" t="s">
        <v>207</v>
      </c>
      <c r="C30" s="43" t="s">
        <v>9327</v>
      </c>
      <c r="D30" s="44" t="s">
        <v>9317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C1:N289"/>
  <sheetViews>
    <sheetView workbookViewId="0">
      <selection activeCell="K14" sqref="K14"/>
    </sheetView>
  </sheetViews>
  <sheetFormatPr defaultColWidth="11.42578125" defaultRowHeight="13.15"/>
  <cols>
    <col min="6" max="6" width="11.42578125" customWidth="1"/>
    <col min="9" max="9" width="14.42578125" bestFit="1" customWidth="1"/>
    <col min="12" max="12" width="11.85546875" bestFit="1" customWidth="1"/>
  </cols>
  <sheetData>
    <row r="1" spans="3:14">
      <c r="L1" t="s">
        <v>9328</v>
      </c>
    </row>
    <row r="2" spans="3:14" ht="27.6">
      <c r="C2" s="73">
        <v>1883</v>
      </c>
      <c r="D2" s="68"/>
      <c r="E2" s="73">
        <v>47.248399999999997</v>
      </c>
      <c r="F2" s="83">
        <v>25092.087095061073</v>
      </c>
      <c r="G2" s="73" t="s">
        <v>9329</v>
      </c>
      <c r="H2" s="182">
        <v>2018</v>
      </c>
      <c r="I2" s="78">
        <f t="shared" ref="I2:I65" si="0">IFERROR(F2*(C2/SUMIF(H:H,H2,C:C)),0)</f>
        <v>25092.087095061073</v>
      </c>
      <c r="K2">
        <v>2010</v>
      </c>
      <c r="L2" s="77">
        <f t="shared" ref="L2:L10" si="1">SUMIF(H:H,K2,I:I)</f>
        <v>42212.266117076542</v>
      </c>
    </row>
    <row r="3" spans="3:14" ht="27.6">
      <c r="C3" s="73">
        <v>441</v>
      </c>
      <c r="D3" s="68"/>
      <c r="E3" s="73">
        <v>11.172000000000001</v>
      </c>
      <c r="F3" s="83">
        <v>25333.333333333336</v>
      </c>
      <c r="G3" s="73" t="s">
        <v>6733</v>
      </c>
      <c r="H3" s="182">
        <v>2017</v>
      </c>
      <c r="I3" s="78">
        <f t="shared" si="0"/>
        <v>280.06317214409268</v>
      </c>
      <c r="K3">
        <v>2011</v>
      </c>
      <c r="L3" s="77">
        <f t="shared" si="1"/>
        <v>29980.384503637299</v>
      </c>
      <c r="M3" s="29">
        <f>(L3-L2)/L2</f>
        <v>-0.28977078793907635</v>
      </c>
      <c r="N3" s="79"/>
    </row>
    <row r="4" spans="3:14" ht="27.6">
      <c r="C4" s="73">
        <v>1315</v>
      </c>
      <c r="D4" s="68"/>
      <c r="E4" s="73">
        <v>32.387099999999997</v>
      </c>
      <c r="F4" s="83">
        <v>24628.973384030418</v>
      </c>
      <c r="G4" s="73" t="s">
        <v>6755</v>
      </c>
      <c r="H4" s="182">
        <v>2017</v>
      </c>
      <c r="I4" s="78">
        <f t="shared" si="0"/>
        <v>811.88989997743863</v>
      </c>
      <c r="K4">
        <v>2012</v>
      </c>
      <c r="L4" s="77">
        <f t="shared" si="1"/>
        <v>32701.369106168484</v>
      </c>
      <c r="M4" s="29">
        <f t="shared" ref="M4:M10" si="2">(L4-L3)/L3</f>
        <v>9.0758829400639215E-2</v>
      </c>
    </row>
    <row r="5" spans="3:14" ht="27.6">
      <c r="C5" s="73">
        <v>37</v>
      </c>
      <c r="D5" s="68"/>
      <c r="E5" s="73">
        <v>1.4418</v>
      </c>
      <c r="F5" s="83">
        <v>38967.567567567567</v>
      </c>
      <c r="G5" s="73" t="s">
        <v>6766</v>
      </c>
      <c r="H5" s="182">
        <v>2017</v>
      </c>
      <c r="I5" s="78">
        <f t="shared" si="0"/>
        <v>36.143491013010454</v>
      </c>
      <c r="K5">
        <v>2013</v>
      </c>
      <c r="L5" s="77">
        <f t="shared" si="1"/>
        <v>34915.704073743676</v>
      </c>
      <c r="M5" s="29">
        <f t="shared" si="2"/>
        <v>6.7713830585689472E-2</v>
      </c>
    </row>
    <row r="6" spans="3:14" ht="13.9">
      <c r="C6" s="73">
        <v>1065</v>
      </c>
      <c r="D6" s="68"/>
      <c r="E6" s="73">
        <v>34.591489000000003</v>
      </c>
      <c r="F6" s="83">
        <v>32480.271361502346</v>
      </c>
      <c r="G6" s="73"/>
      <c r="H6" s="182">
        <v>2017</v>
      </c>
      <c r="I6" s="78">
        <f t="shared" si="0"/>
        <v>867.15020932039795</v>
      </c>
      <c r="K6">
        <v>2014</v>
      </c>
      <c r="L6" s="77">
        <f t="shared" si="1"/>
        <v>39753.103524760103</v>
      </c>
      <c r="M6" s="29">
        <f t="shared" si="2"/>
        <v>0.13854509251194252</v>
      </c>
    </row>
    <row r="7" spans="3:14" ht="27.6">
      <c r="C7" s="73">
        <v>1144</v>
      </c>
      <c r="D7" s="68"/>
      <c r="E7" s="73">
        <v>29.476800000000001</v>
      </c>
      <c r="F7" s="83">
        <v>25766.433566433567</v>
      </c>
      <c r="G7" s="73" t="s">
        <v>6776</v>
      </c>
      <c r="H7" s="182">
        <v>2017</v>
      </c>
      <c r="I7" s="78">
        <f t="shared" si="0"/>
        <v>738.93359404376929</v>
      </c>
      <c r="K7">
        <v>2015</v>
      </c>
      <c r="L7" s="77">
        <f t="shared" si="1"/>
        <v>33822.963830603629</v>
      </c>
      <c r="M7" s="29">
        <f t="shared" si="2"/>
        <v>-0.14917425731208395</v>
      </c>
    </row>
    <row r="8" spans="3:14" ht="13.9">
      <c r="C8" s="73">
        <v>109</v>
      </c>
      <c r="D8" s="68"/>
      <c r="E8" s="73">
        <v>2.560908</v>
      </c>
      <c r="F8" s="83">
        <v>23494.568807339449</v>
      </c>
      <c r="G8" s="73" t="s">
        <v>6788</v>
      </c>
      <c r="H8" s="182">
        <v>2017</v>
      </c>
      <c r="I8" s="78">
        <f t="shared" si="0"/>
        <v>64.197638565089861</v>
      </c>
      <c r="K8">
        <v>2016</v>
      </c>
      <c r="L8" s="77">
        <f t="shared" si="1"/>
        <v>31922.001105365129</v>
      </c>
      <c r="M8" s="29">
        <f t="shared" si="2"/>
        <v>-5.6203316029876556E-2</v>
      </c>
    </row>
    <row r="9" spans="3:14" ht="13.9">
      <c r="C9" s="73">
        <v>800</v>
      </c>
      <c r="D9" s="68"/>
      <c r="E9" s="73">
        <v>26.124748</v>
      </c>
      <c r="F9" s="83">
        <v>32655.934999999998</v>
      </c>
      <c r="G9" s="73" t="s">
        <v>6799</v>
      </c>
      <c r="H9" s="182">
        <v>2017</v>
      </c>
      <c r="I9" s="78">
        <f t="shared" si="0"/>
        <v>654.90331152390252</v>
      </c>
      <c r="K9">
        <v>2017</v>
      </c>
      <c r="L9" s="77">
        <f t="shared" si="1"/>
        <v>26889.388147702488</v>
      </c>
      <c r="M9" s="29">
        <f t="shared" si="2"/>
        <v>-0.1576534297161217</v>
      </c>
      <c r="N9" s="29">
        <f>(L9-L7)/L7</f>
        <v>-0.20499610021246914</v>
      </c>
    </row>
    <row r="10" spans="3:14" ht="27.6">
      <c r="C10" s="73">
        <v>240</v>
      </c>
      <c r="D10" s="68"/>
      <c r="E10" s="73">
        <v>8.0863999999999994</v>
      </c>
      <c r="F10" s="83">
        <v>33693.333333333328</v>
      </c>
      <c r="G10" s="73" t="s">
        <v>9330</v>
      </c>
      <c r="H10" s="182">
        <v>2017</v>
      </c>
      <c r="I10" s="78">
        <f t="shared" si="0"/>
        <v>202.71239126620037</v>
      </c>
      <c r="K10">
        <v>2018</v>
      </c>
      <c r="L10" s="77">
        <f t="shared" si="1"/>
        <v>25092.087095061073</v>
      </c>
      <c r="M10" s="29">
        <f t="shared" si="2"/>
        <v>-6.684053362497136E-2</v>
      </c>
    </row>
    <row r="11" spans="3:14" ht="13.9">
      <c r="C11" s="73">
        <v>80</v>
      </c>
      <c r="D11" s="68"/>
      <c r="E11" s="73">
        <v>2.9260000000000002</v>
      </c>
      <c r="F11" s="83">
        <v>36575</v>
      </c>
      <c r="G11" s="73" t="s">
        <v>9331</v>
      </c>
      <c r="H11" s="182">
        <v>2017</v>
      </c>
      <c r="I11" s="78">
        <f t="shared" si="0"/>
        <v>73.349878418690935</v>
      </c>
    </row>
    <row r="12" spans="3:14" ht="13.9">
      <c r="C12" s="73">
        <v>232</v>
      </c>
      <c r="D12" s="68"/>
      <c r="E12" s="73">
        <v>7.5011999999999999</v>
      </c>
      <c r="F12" s="83">
        <v>32332.758620689656</v>
      </c>
      <c r="G12" s="73" t="s">
        <v>9332</v>
      </c>
      <c r="H12" s="182">
        <v>2017</v>
      </c>
      <c r="I12" s="78">
        <f t="shared" si="0"/>
        <v>188.04241558246221</v>
      </c>
    </row>
    <row r="13" spans="3:14" ht="13.9">
      <c r="C13" s="73">
        <v>30</v>
      </c>
      <c r="D13" s="68"/>
      <c r="E13" s="73">
        <v>0.7238</v>
      </c>
      <c r="F13" s="83">
        <v>24126.666666666668</v>
      </c>
      <c r="G13" s="73"/>
      <c r="H13" s="182">
        <v>2017</v>
      </c>
      <c r="I13" s="78">
        <f t="shared" si="0"/>
        <v>18.144443608834074</v>
      </c>
    </row>
    <row r="14" spans="3:14" ht="27.6">
      <c r="C14" s="73">
        <v>525</v>
      </c>
      <c r="D14" s="68"/>
      <c r="E14" s="73">
        <v>12.635</v>
      </c>
      <c r="F14" s="83">
        <v>24066.666666666668</v>
      </c>
      <c r="G14" s="73" t="s">
        <v>9333</v>
      </c>
      <c r="H14" s="182">
        <v>2017</v>
      </c>
      <c r="I14" s="78">
        <f t="shared" si="0"/>
        <v>316.73811135343811</v>
      </c>
    </row>
    <row r="15" spans="3:14" ht="27.6">
      <c r="C15" s="73">
        <v>1240</v>
      </c>
      <c r="D15" s="68"/>
      <c r="E15" s="73">
        <v>27.664000000000001</v>
      </c>
      <c r="F15" s="83">
        <v>22309.677419354841</v>
      </c>
      <c r="G15" s="73" t="s">
        <v>9334</v>
      </c>
      <c r="H15" s="182">
        <v>2017</v>
      </c>
      <c r="I15" s="78">
        <f t="shared" si="0"/>
        <v>693.4897595948961</v>
      </c>
    </row>
    <row r="16" spans="3:14" ht="27.6">
      <c r="C16" s="73">
        <v>942</v>
      </c>
      <c r="D16" s="68"/>
      <c r="E16" s="73">
        <v>25.024125399999999</v>
      </c>
      <c r="F16" s="83">
        <v>26564.888959660297</v>
      </c>
      <c r="G16" s="73" t="s">
        <v>9335</v>
      </c>
      <c r="H16" s="182">
        <v>2017</v>
      </c>
      <c r="I16" s="78">
        <f t="shared" si="0"/>
        <v>627.3125617307162</v>
      </c>
    </row>
    <row r="17" spans="3:9" ht="13.9">
      <c r="C17" s="226">
        <v>175</v>
      </c>
      <c r="D17" s="94"/>
      <c r="E17" s="226">
        <v>3.8182610000000001</v>
      </c>
      <c r="F17" s="83">
        <v>21818.634285714284</v>
      </c>
      <c r="G17" s="73" t="s">
        <v>9336</v>
      </c>
      <c r="H17" s="182">
        <v>2017</v>
      </c>
      <c r="I17" s="78">
        <f t="shared" si="0"/>
        <v>95.717354791807679</v>
      </c>
    </row>
    <row r="18" spans="3:9" ht="13.9">
      <c r="C18" s="226">
        <v>2135</v>
      </c>
      <c r="D18" s="94"/>
      <c r="E18" s="226">
        <v>59.995261999999997</v>
      </c>
      <c r="F18" s="83">
        <v>28100.825292740046</v>
      </c>
      <c r="G18" s="73" t="s">
        <v>9337</v>
      </c>
      <c r="H18" s="182">
        <v>2017</v>
      </c>
      <c r="I18" s="78">
        <f t="shared" si="0"/>
        <v>1503.9798952144595</v>
      </c>
    </row>
    <row r="19" spans="3:9" ht="27.6">
      <c r="C19" s="73">
        <v>396</v>
      </c>
      <c r="D19" s="68"/>
      <c r="E19" s="73">
        <v>10.66372</v>
      </c>
      <c r="F19" s="83">
        <v>26928.585858585855</v>
      </c>
      <c r="G19" s="73" t="s">
        <v>9338</v>
      </c>
      <c r="H19" s="182">
        <v>2017</v>
      </c>
      <c r="I19" s="78">
        <f t="shared" si="0"/>
        <v>267.32145095384919</v>
      </c>
    </row>
    <row r="20" spans="3:9" ht="27.6">
      <c r="C20" s="73">
        <v>1058</v>
      </c>
      <c r="D20" s="68"/>
      <c r="E20" s="73">
        <v>27.876799999999999</v>
      </c>
      <c r="F20" s="83">
        <v>26348.582230623819</v>
      </c>
      <c r="G20" s="73" t="s">
        <v>9339</v>
      </c>
      <c r="H20" s="182">
        <v>2017</v>
      </c>
      <c r="I20" s="78">
        <f t="shared" si="0"/>
        <v>698.82429620716448</v>
      </c>
    </row>
    <row r="21" spans="3:9" ht="27.6">
      <c r="C21" s="73">
        <v>37</v>
      </c>
      <c r="D21" s="68"/>
      <c r="E21" s="73">
        <v>1.4363999999999999</v>
      </c>
      <c r="F21" s="83">
        <v>38821.621621621613</v>
      </c>
      <c r="G21" s="73" t="s">
        <v>6960</v>
      </c>
      <c r="H21" s="182">
        <v>2017</v>
      </c>
      <c r="I21" s="78">
        <f t="shared" si="0"/>
        <v>36.008122132811906</v>
      </c>
    </row>
    <row r="22" spans="3:9" ht="13.9">
      <c r="C22" s="73">
        <v>100</v>
      </c>
      <c r="D22" s="68"/>
      <c r="E22" s="73">
        <v>2.66</v>
      </c>
      <c r="F22" s="83">
        <v>26600.000000000004</v>
      </c>
      <c r="G22" s="73" t="s">
        <v>6946</v>
      </c>
      <c r="H22" s="182">
        <v>2017</v>
      </c>
      <c r="I22" s="78">
        <f t="shared" si="0"/>
        <v>66.681707653355403</v>
      </c>
    </row>
    <row r="23" spans="3:9" ht="13.9">
      <c r="C23" s="73">
        <v>192</v>
      </c>
      <c r="D23" s="68"/>
      <c r="E23" s="73">
        <v>3.4216245000000001</v>
      </c>
      <c r="F23" s="83">
        <v>17820.9609375</v>
      </c>
      <c r="G23" s="73" t="s">
        <v>6978</v>
      </c>
      <c r="H23" s="182">
        <v>2017</v>
      </c>
      <c r="I23" s="78">
        <f t="shared" si="0"/>
        <v>85.774347597202379</v>
      </c>
    </row>
    <row r="24" spans="3:9" ht="13.9">
      <c r="C24" s="73"/>
      <c r="D24" s="68"/>
      <c r="E24" s="73"/>
      <c r="F24" s="83"/>
      <c r="G24" s="73" t="s">
        <v>6974</v>
      </c>
      <c r="H24" s="182">
        <v>2017</v>
      </c>
      <c r="I24" s="78">
        <f t="shared" si="0"/>
        <v>0</v>
      </c>
    </row>
    <row r="25" spans="3:9" ht="13.9">
      <c r="C25" s="73">
        <v>200</v>
      </c>
      <c r="D25" s="68"/>
      <c r="E25" s="73"/>
      <c r="F25" s="83"/>
      <c r="G25" s="73" t="s">
        <v>6971</v>
      </c>
      <c r="H25" s="182">
        <v>2017</v>
      </c>
      <c r="I25" s="78">
        <f t="shared" si="0"/>
        <v>0</v>
      </c>
    </row>
    <row r="26" spans="3:9" ht="13.9">
      <c r="C26" s="73">
        <v>20</v>
      </c>
      <c r="D26" s="68"/>
      <c r="E26" s="73">
        <v>1.24285</v>
      </c>
      <c r="F26" s="169">
        <v>62142.5</v>
      </c>
      <c r="G26" s="73" t="s">
        <v>6999</v>
      </c>
      <c r="H26" s="182">
        <v>2017</v>
      </c>
      <c r="I26" s="78">
        <f t="shared" si="0"/>
        <v>31.156150510140133</v>
      </c>
    </row>
    <row r="27" spans="3:9" ht="27.6">
      <c r="C27" s="73">
        <v>142</v>
      </c>
      <c r="D27" s="68"/>
      <c r="E27" s="73">
        <v>3.8159357000000003</v>
      </c>
      <c r="F27" s="169">
        <v>26872.78661971831</v>
      </c>
      <c r="G27" s="73" t="s">
        <v>7002</v>
      </c>
      <c r="H27" s="182">
        <v>2017</v>
      </c>
      <c r="I27" s="78">
        <f t="shared" si="0"/>
        <v>95.659063447895505</v>
      </c>
    </row>
    <row r="28" spans="3:9" ht="13.9">
      <c r="C28" s="73">
        <v>739</v>
      </c>
      <c r="D28" s="68"/>
      <c r="E28" s="73">
        <v>29.736774</v>
      </c>
      <c r="F28" s="169">
        <v>40239.20703653586</v>
      </c>
      <c r="G28" s="73" t="s">
        <v>7009</v>
      </c>
      <c r="H28" s="182">
        <v>2017</v>
      </c>
      <c r="I28" s="78">
        <f t="shared" si="0"/>
        <v>745.4507031661276</v>
      </c>
    </row>
    <row r="29" spans="3:9" ht="13.9">
      <c r="C29" s="73">
        <v>3159</v>
      </c>
      <c r="D29" s="68"/>
      <c r="E29" s="73">
        <v>121.70334</v>
      </c>
      <c r="F29" s="169">
        <v>38525.906932573598</v>
      </c>
      <c r="G29" s="73" t="s">
        <v>6493</v>
      </c>
      <c r="H29" s="182">
        <v>2017</v>
      </c>
      <c r="I29" s="78">
        <f t="shared" si="0"/>
        <v>3050.8971948559824</v>
      </c>
    </row>
    <row r="30" spans="3:9" ht="13.9">
      <c r="C30" s="73">
        <v>4000</v>
      </c>
      <c r="D30" s="68"/>
      <c r="E30" s="73">
        <v>39.087220000000002</v>
      </c>
      <c r="F30" s="169">
        <v>9771.8050000000003</v>
      </c>
      <c r="G30" s="73" t="s">
        <v>7042</v>
      </c>
      <c r="H30" s="182">
        <v>2017</v>
      </c>
      <c r="I30" s="78">
        <f t="shared" si="0"/>
        <v>979.85059286555861</v>
      </c>
    </row>
    <row r="31" spans="3:9" ht="13.9">
      <c r="C31" s="73">
        <v>445</v>
      </c>
      <c r="D31" s="68"/>
      <c r="E31" s="73">
        <v>11.827655</v>
      </c>
      <c r="F31" s="169">
        <v>26579</v>
      </c>
      <c r="G31" s="73"/>
      <c r="H31" s="182">
        <v>2017</v>
      </c>
      <c r="I31" s="78">
        <f t="shared" si="0"/>
        <v>296.49933568975462</v>
      </c>
    </row>
    <row r="32" spans="3:9" ht="13.9">
      <c r="C32" s="73">
        <v>210</v>
      </c>
      <c r="D32" s="68"/>
      <c r="E32" s="73">
        <v>7.40259</v>
      </c>
      <c r="F32" s="169">
        <v>35250.428571428572</v>
      </c>
      <c r="G32" s="73" t="s">
        <v>7094</v>
      </c>
      <c r="H32" s="182">
        <v>2017</v>
      </c>
      <c r="I32" s="78">
        <f t="shared" si="0"/>
        <v>185.57042942016997</v>
      </c>
    </row>
    <row r="33" spans="3:9" ht="13.9">
      <c r="C33" s="73">
        <v>397</v>
      </c>
      <c r="D33" s="68"/>
      <c r="E33" s="73">
        <v>5.2450349999999997</v>
      </c>
      <c r="F33" s="169">
        <v>13211.675062972292</v>
      </c>
      <c r="G33" s="73" t="s">
        <v>7107</v>
      </c>
      <c r="H33" s="182">
        <v>2017</v>
      </c>
      <c r="I33" s="78">
        <f t="shared" si="0"/>
        <v>131.48416936151011</v>
      </c>
    </row>
    <row r="34" spans="3:9" ht="13.9">
      <c r="C34" s="73"/>
      <c r="D34" s="68"/>
      <c r="E34" s="73"/>
      <c r="F34" s="169"/>
      <c r="G34" s="73" t="s">
        <v>7127</v>
      </c>
      <c r="H34" s="182">
        <v>2017</v>
      </c>
      <c r="I34" s="78">
        <f t="shared" si="0"/>
        <v>0</v>
      </c>
    </row>
    <row r="35" spans="3:9" ht="13.9">
      <c r="C35" s="73">
        <v>468</v>
      </c>
      <c r="D35" s="68"/>
      <c r="E35" s="73">
        <v>11.523479999999999</v>
      </c>
      <c r="F35" s="83">
        <v>24622.820512820512</v>
      </c>
      <c r="G35" s="73" t="s">
        <v>7133</v>
      </c>
      <c r="H35" s="182">
        <v>2017</v>
      </c>
      <c r="I35" s="78">
        <f t="shared" si="0"/>
        <v>288.87418214634874</v>
      </c>
    </row>
    <row r="36" spans="3:9" ht="13.9">
      <c r="C36" s="226">
        <v>810</v>
      </c>
      <c r="D36" s="68"/>
      <c r="E36" s="226">
        <v>24.130590000000002</v>
      </c>
      <c r="F36" s="253">
        <v>29790.851851851854</v>
      </c>
      <c r="G36" s="73"/>
      <c r="H36" s="182">
        <v>2017</v>
      </c>
      <c r="I36" s="78">
        <f t="shared" si="0"/>
        <v>604.91313830187255</v>
      </c>
    </row>
    <row r="37" spans="3:9" ht="13.9">
      <c r="C37" s="73">
        <v>524</v>
      </c>
      <c r="D37" s="68"/>
      <c r="E37" s="73">
        <v>19.022400000000001</v>
      </c>
      <c r="F37" s="169">
        <v>36302.290076335885</v>
      </c>
      <c r="G37" s="73" t="s">
        <v>7138</v>
      </c>
      <c r="H37" s="182">
        <v>2017</v>
      </c>
      <c r="I37" s="78">
        <f t="shared" si="0"/>
        <v>476.85944197939392</v>
      </c>
    </row>
    <row r="38" spans="3:9" ht="13.9">
      <c r="C38" s="73">
        <v>2922</v>
      </c>
      <c r="D38" s="68"/>
      <c r="E38" s="73">
        <v>82.052222</v>
      </c>
      <c r="F38" s="83">
        <v>28080.842573579743</v>
      </c>
      <c r="G38" s="73" t="s">
        <v>7144</v>
      </c>
      <c r="H38" s="182">
        <v>2017</v>
      </c>
      <c r="I38" s="78">
        <f t="shared" si="0"/>
        <v>2056.9106314707583</v>
      </c>
    </row>
    <row r="39" spans="3:9" ht="13.9">
      <c r="C39" s="73">
        <v>621</v>
      </c>
      <c r="D39" s="68"/>
      <c r="E39" s="73">
        <v>20.019808000000001</v>
      </c>
      <c r="F39" s="169">
        <v>32238.016103059585</v>
      </c>
      <c r="G39" s="73" t="s">
        <v>7154</v>
      </c>
      <c r="H39" s="182">
        <v>2017</v>
      </c>
      <c r="I39" s="78">
        <f t="shared" si="0"/>
        <v>501.86277606477654</v>
      </c>
    </row>
    <row r="40" spans="3:9" ht="13.9">
      <c r="C40" s="73">
        <v>2291</v>
      </c>
      <c r="D40" s="68"/>
      <c r="E40" s="73">
        <v>69.218819999999994</v>
      </c>
      <c r="F40" s="83">
        <v>30213.365342645131</v>
      </c>
      <c r="G40" s="73" t="s">
        <v>7160</v>
      </c>
      <c r="H40" s="182">
        <v>2017</v>
      </c>
      <c r="I40" s="78">
        <f t="shared" si="0"/>
        <v>1735.1989170489583</v>
      </c>
    </row>
    <row r="41" spans="3:9" ht="27.6">
      <c r="C41" s="73">
        <v>53</v>
      </c>
      <c r="D41" s="68"/>
      <c r="E41" s="73">
        <v>9.1318049999999999</v>
      </c>
      <c r="F41" s="169">
        <v>172298.20754716982</v>
      </c>
      <c r="G41" s="73" t="s">
        <v>7166</v>
      </c>
      <c r="H41" s="182">
        <v>2017</v>
      </c>
      <c r="I41" s="78">
        <f t="shared" si="0"/>
        <v>228.91892908174776</v>
      </c>
    </row>
    <row r="42" spans="3:9" ht="13.9">
      <c r="C42" s="73">
        <v>150</v>
      </c>
      <c r="D42" s="68"/>
      <c r="E42" s="73">
        <v>7.1232749999999996</v>
      </c>
      <c r="F42" s="169">
        <v>47488.499999999993</v>
      </c>
      <c r="G42" s="73" t="s">
        <v>7199</v>
      </c>
      <c r="H42" s="182">
        <v>2017</v>
      </c>
      <c r="I42" s="78">
        <f t="shared" si="0"/>
        <v>178.56847409190038</v>
      </c>
    </row>
    <row r="43" spans="3:9" ht="13.9">
      <c r="C43" s="73">
        <v>10000</v>
      </c>
      <c r="D43" s="68"/>
      <c r="E43" s="73">
        <v>260.637495</v>
      </c>
      <c r="F43" s="169">
        <v>26063.749500000002</v>
      </c>
      <c r="G43" s="73" t="s">
        <v>7204</v>
      </c>
      <c r="H43" s="182">
        <v>2017</v>
      </c>
      <c r="I43" s="78">
        <f t="shared" si="0"/>
        <v>6533.741821463489</v>
      </c>
    </row>
    <row r="44" spans="3:9" ht="13.9">
      <c r="C44" s="73">
        <v>243</v>
      </c>
      <c r="D44" s="68"/>
      <c r="E44" s="73">
        <v>8.7218499999999999</v>
      </c>
      <c r="F44" s="169">
        <v>35892.386831275719</v>
      </c>
      <c r="G44" s="73"/>
      <c r="H44" s="182">
        <v>2017</v>
      </c>
      <c r="I44" s="78">
        <f t="shared" si="0"/>
        <v>218.64204958511945</v>
      </c>
    </row>
    <row r="45" spans="3:9" ht="13.9">
      <c r="C45" s="73">
        <v>204</v>
      </c>
      <c r="D45" s="68"/>
      <c r="E45" s="73">
        <v>8.8140000000000001</v>
      </c>
      <c r="F45" s="169">
        <v>43205.882352941175</v>
      </c>
      <c r="G45" s="73" t="s">
        <v>7234</v>
      </c>
      <c r="H45" s="182">
        <v>2017</v>
      </c>
      <c r="I45" s="78">
        <f t="shared" si="0"/>
        <v>220.95209445739641</v>
      </c>
    </row>
    <row r="46" spans="3:9" ht="13.9">
      <c r="C46" s="73">
        <v>147</v>
      </c>
      <c r="D46" s="68"/>
      <c r="E46" s="73">
        <v>4.4000000000000004</v>
      </c>
      <c r="F46" s="169">
        <v>29931.972789115647</v>
      </c>
      <c r="G46" s="73" t="s">
        <v>7042</v>
      </c>
      <c r="H46" s="182">
        <v>2016</v>
      </c>
      <c r="I46" s="78">
        <f t="shared" si="0"/>
        <v>68.743555291691408</v>
      </c>
    </row>
    <row r="47" spans="3:9" ht="13.9">
      <c r="C47" s="73">
        <v>1558</v>
      </c>
      <c r="D47" s="68"/>
      <c r="E47" s="73">
        <v>52.268892999999998</v>
      </c>
      <c r="F47" s="169">
        <v>33548.711810012835</v>
      </c>
      <c r="G47" s="73" t="s">
        <v>7272</v>
      </c>
      <c r="H47" s="182">
        <v>2016</v>
      </c>
      <c r="I47" s="78">
        <f t="shared" si="0"/>
        <v>816.62489454113665</v>
      </c>
    </row>
    <row r="48" spans="3:9" ht="13.9">
      <c r="C48" s="73">
        <v>1133</v>
      </c>
      <c r="D48" s="68"/>
      <c r="E48" s="73">
        <v>47.076999999999998</v>
      </c>
      <c r="F48" s="169">
        <v>41550.750220653135</v>
      </c>
      <c r="G48" s="73" t="s">
        <v>7279</v>
      </c>
      <c r="H48" s="182">
        <v>2016</v>
      </c>
      <c r="I48" s="78">
        <f t="shared" si="0"/>
        <v>735.50917101521725</v>
      </c>
    </row>
    <row r="49" spans="3:9" ht="27.6">
      <c r="C49" s="73">
        <v>150</v>
      </c>
      <c r="D49" s="68"/>
      <c r="E49" s="73">
        <v>4.8994</v>
      </c>
      <c r="F49" s="169">
        <v>32662.666666666668</v>
      </c>
      <c r="G49" s="73" t="s">
        <v>9340</v>
      </c>
      <c r="H49" s="182">
        <v>2016</v>
      </c>
      <c r="I49" s="78">
        <f t="shared" si="0"/>
        <v>76.545948817298381</v>
      </c>
    </row>
    <row r="50" spans="3:9" ht="27.6">
      <c r="C50" s="73">
        <v>40</v>
      </c>
      <c r="D50" s="68"/>
      <c r="E50" s="73">
        <v>1.1528</v>
      </c>
      <c r="F50" s="169">
        <v>28820.000000000004</v>
      </c>
      <c r="G50" s="73" t="s">
        <v>9341</v>
      </c>
      <c r="H50" s="182">
        <v>2016</v>
      </c>
      <c r="I50" s="78">
        <f t="shared" si="0"/>
        <v>18.010811486423151</v>
      </c>
    </row>
    <row r="51" spans="3:9" ht="13.9">
      <c r="C51" s="73">
        <v>639</v>
      </c>
      <c r="D51" s="68"/>
      <c r="E51" s="73">
        <v>16.872800000000002</v>
      </c>
      <c r="F51" s="169">
        <v>26405.007824726137</v>
      </c>
      <c r="G51" s="73" t="s">
        <v>7293</v>
      </c>
      <c r="H51" s="182">
        <v>2016</v>
      </c>
      <c r="I51" s="78">
        <f t="shared" si="0"/>
        <v>263.6127863012843</v>
      </c>
    </row>
    <row r="52" spans="3:9" ht="27.6">
      <c r="C52" s="73">
        <v>1111</v>
      </c>
      <c r="D52" s="68"/>
      <c r="E52" s="73">
        <v>31.7544</v>
      </c>
      <c r="F52" s="169">
        <v>28581.81818181818</v>
      </c>
      <c r="G52" s="73" t="s">
        <v>9342</v>
      </c>
      <c r="H52" s="182">
        <v>2016</v>
      </c>
      <c r="I52" s="78">
        <f t="shared" si="0"/>
        <v>496.11598912601937</v>
      </c>
    </row>
    <row r="53" spans="3:9" ht="27.6">
      <c r="C53" s="73">
        <v>450</v>
      </c>
      <c r="D53" s="68"/>
      <c r="E53" s="73">
        <v>12.8904</v>
      </c>
      <c r="F53" s="169">
        <v>28645.333333333332</v>
      </c>
      <c r="G53" s="73" t="s">
        <v>9343</v>
      </c>
      <c r="H53" s="182">
        <v>2016</v>
      </c>
      <c r="I53" s="78">
        <f t="shared" si="0"/>
        <v>201.39361934818612</v>
      </c>
    </row>
    <row r="54" spans="3:9" ht="27.6">
      <c r="C54" s="73">
        <v>1000</v>
      </c>
      <c r="D54" s="68"/>
      <c r="E54" s="73">
        <v>28.610399999999998</v>
      </c>
      <c r="F54" s="169">
        <v>28610.399999999998</v>
      </c>
      <c r="G54" s="73" t="s">
        <v>9344</v>
      </c>
      <c r="H54" s="182">
        <v>2016</v>
      </c>
      <c r="I54" s="78">
        <f t="shared" si="0"/>
        <v>446.99559416304714</v>
      </c>
    </row>
    <row r="55" spans="3:9" ht="13.9">
      <c r="C55" s="73">
        <v>150</v>
      </c>
      <c r="D55" s="68"/>
      <c r="E55" s="73">
        <v>4.92</v>
      </c>
      <c r="F55" s="169">
        <v>32800</v>
      </c>
      <c r="G55" s="226" t="s">
        <v>7279</v>
      </c>
      <c r="H55" s="182">
        <v>2016</v>
      </c>
      <c r="I55" s="78">
        <f t="shared" si="0"/>
        <v>76.867793644345852</v>
      </c>
    </row>
    <row r="56" spans="3:9" ht="13.9">
      <c r="C56" s="73">
        <v>820</v>
      </c>
      <c r="D56" s="68"/>
      <c r="E56" s="73">
        <v>30.807179999999999</v>
      </c>
      <c r="F56" s="169">
        <v>37569.731707317078</v>
      </c>
      <c r="G56" s="73" t="s">
        <v>7234</v>
      </c>
      <c r="H56" s="182">
        <v>2016</v>
      </c>
      <c r="I56" s="78">
        <f t="shared" si="0"/>
        <v>481.3170640252477</v>
      </c>
    </row>
    <row r="57" spans="3:9" ht="13.9">
      <c r="C57" s="73">
        <v>558</v>
      </c>
      <c r="D57" s="68"/>
      <c r="E57" s="73">
        <v>20.081800000000001</v>
      </c>
      <c r="F57" s="169">
        <v>35988.888888888891</v>
      </c>
      <c r="G57" s="73" t="s">
        <v>7107</v>
      </c>
      <c r="H57" s="182">
        <v>2016</v>
      </c>
      <c r="I57" s="78">
        <f t="shared" si="0"/>
        <v>313.7487110583383</v>
      </c>
    </row>
    <row r="58" spans="3:9" ht="13.9">
      <c r="C58" s="73">
        <v>320</v>
      </c>
      <c r="D58" s="68"/>
      <c r="E58" s="73">
        <v>12.02614</v>
      </c>
      <c r="F58" s="169">
        <v>37581.6875</v>
      </c>
      <c r="G58" s="73" t="s">
        <v>7351</v>
      </c>
      <c r="H58" s="182">
        <v>2016</v>
      </c>
      <c r="I58" s="78">
        <f t="shared" si="0"/>
        <v>187.89082273536857</v>
      </c>
    </row>
    <row r="59" spans="3:9" ht="13.9">
      <c r="C59" s="226">
        <v>663</v>
      </c>
      <c r="D59" s="94"/>
      <c r="E59" s="226">
        <v>24.6</v>
      </c>
      <c r="F59" s="169">
        <v>37104.072398190045</v>
      </c>
      <c r="G59" s="226"/>
      <c r="H59" s="182">
        <v>2016</v>
      </c>
      <c r="I59" s="78">
        <f t="shared" si="0"/>
        <v>384.3389682217292</v>
      </c>
    </row>
    <row r="60" spans="3:9" ht="27.6">
      <c r="C60" s="73">
        <v>469</v>
      </c>
      <c r="D60" s="68"/>
      <c r="E60" s="73">
        <v>13.997400000000001</v>
      </c>
      <c r="F60" s="169">
        <v>29845.202558635396</v>
      </c>
      <c r="G60" s="73" t="s">
        <v>9345</v>
      </c>
      <c r="H60" s="182">
        <v>2016</v>
      </c>
      <c r="I60" s="78">
        <f t="shared" si="0"/>
        <v>218.68887291816392</v>
      </c>
    </row>
    <row r="61" spans="3:9" ht="13.9">
      <c r="C61" s="73">
        <v>1067</v>
      </c>
      <c r="D61" s="68"/>
      <c r="E61" s="73">
        <v>48.76052</v>
      </c>
      <c r="F61" s="169">
        <v>45698.706654170572</v>
      </c>
      <c r="G61" s="73" t="s">
        <v>7367</v>
      </c>
      <c r="H61" s="182">
        <v>2016</v>
      </c>
      <c r="I61" s="78">
        <f t="shared" si="0"/>
        <v>761.81170515264193</v>
      </c>
    </row>
    <row r="62" spans="3:9" ht="13.9">
      <c r="C62" s="73">
        <v>143</v>
      </c>
      <c r="D62" s="68"/>
      <c r="E62" s="73">
        <v>5.6109999999999998</v>
      </c>
      <c r="F62" s="169">
        <v>39237.762237762239</v>
      </c>
      <c r="G62" s="73" t="s">
        <v>7377</v>
      </c>
      <c r="H62" s="182">
        <v>2016</v>
      </c>
      <c r="I62" s="78">
        <f t="shared" si="0"/>
        <v>87.663656532200108</v>
      </c>
    </row>
    <row r="63" spans="3:9" ht="13.9">
      <c r="C63" s="73">
        <v>3998</v>
      </c>
      <c r="D63" s="68"/>
      <c r="E63" s="73">
        <v>99.190754999999996</v>
      </c>
      <c r="F63" s="169">
        <v>24810.093796898447</v>
      </c>
      <c r="G63" s="73" t="s">
        <v>7042</v>
      </c>
      <c r="H63" s="182">
        <v>2016</v>
      </c>
      <c r="I63" s="78">
        <f t="shared" si="0"/>
        <v>1549.7102615379806</v>
      </c>
    </row>
    <row r="64" spans="3:9" ht="27.6">
      <c r="C64" s="73">
        <v>814</v>
      </c>
      <c r="D64" s="68"/>
      <c r="E64" s="73">
        <v>24.452400000000001</v>
      </c>
      <c r="F64" s="169">
        <v>30039.80343980344</v>
      </c>
      <c r="G64" s="73" t="s">
        <v>9346</v>
      </c>
      <c r="H64" s="182">
        <v>2016</v>
      </c>
      <c r="I64" s="78">
        <f t="shared" si="0"/>
        <v>382.03293441239884</v>
      </c>
    </row>
    <row r="65" spans="3:9" ht="13.9">
      <c r="C65" s="73">
        <v>50</v>
      </c>
      <c r="D65" s="68"/>
      <c r="E65" s="73">
        <v>2.46</v>
      </c>
      <c r="F65" s="83"/>
      <c r="G65" s="73" t="s">
        <v>7397</v>
      </c>
      <c r="H65" s="182">
        <v>2016</v>
      </c>
      <c r="I65" s="78">
        <f t="shared" si="0"/>
        <v>0</v>
      </c>
    </row>
    <row r="66" spans="3:9" ht="27.6">
      <c r="C66" s="73">
        <v>605</v>
      </c>
      <c r="D66" s="68"/>
      <c r="E66" s="73">
        <v>17.466000000000001</v>
      </c>
      <c r="F66" s="169">
        <v>28869.421487603307</v>
      </c>
      <c r="G66" s="73" t="s">
        <v>9347</v>
      </c>
      <c r="H66" s="182">
        <v>2016</v>
      </c>
      <c r="I66" s="78">
        <f t="shared" ref="I66:I129" si="3">IFERROR(F66*(C66/SUMIF(H:H,H66,C:C)),0)</f>
        <v>272.88066743742775</v>
      </c>
    </row>
    <row r="67" spans="3:9" ht="27.6">
      <c r="C67" s="73">
        <v>544</v>
      </c>
      <c r="D67" s="68"/>
      <c r="E67" s="73">
        <v>16.6296</v>
      </c>
      <c r="F67" s="169">
        <v>30569.117647058822</v>
      </c>
      <c r="G67" s="73" t="s">
        <v>9348</v>
      </c>
      <c r="H67" s="182">
        <v>2016</v>
      </c>
      <c r="I67" s="78">
        <f t="shared" si="3"/>
        <v>259.81314251788893</v>
      </c>
    </row>
    <row r="68" spans="3:9" ht="13.9">
      <c r="C68" s="73">
        <v>536</v>
      </c>
      <c r="D68" s="68"/>
      <c r="E68" s="73">
        <v>18.669432</v>
      </c>
      <c r="F68" s="169">
        <v>34831.029850746272</v>
      </c>
      <c r="G68" s="73" t="s">
        <v>7419</v>
      </c>
      <c r="H68" s="182">
        <v>2016</v>
      </c>
      <c r="I68" s="78">
        <f t="shared" si="3"/>
        <v>291.68252976283475</v>
      </c>
    </row>
    <row r="69" spans="3:9" ht="27.6">
      <c r="C69" s="73">
        <v>960</v>
      </c>
      <c r="D69" s="68"/>
      <c r="E69" s="73">
        <v>27.404399999999999</v>
      </c>
      <c r="F69" s="169">
        <v>28546.25</v>
      </c>
      <c r="G69" s="73" t="s">
        <v>9349</v>
      </c>
      <c r="H69" s="182">
        <v>2016</v>
      </c>
      <c r="I69" s="78">
        <f t="shared" si="3"/>
        <v>428.15361059900636</v>
      </c>
    </row>
    <row r="70" spans="3:9" ht="13.9">
      <c r="C70" s="73">
        <v>1330</v>
      </c>
      <c r="D70" s="68"/>
      <c r="E70" s="73">
        <v>64.747200000000007</v>
      </c>
      <c r="F70" s="169">
        <v>48682.1052631579</v>
      </c>
      <c r="G70" s="73" t="s">
        <v>7474</v>
      </c>
      <c r="H70" s="182">
        <v>2016</v>
      </c>
      <c r="I70" s="78">
        <f t="shared" si="3"/>
        <v>1011.5801643595914</v>
      </c>
    </row>
    <row r="71" spans="3:9" ht="27.6">
      <c r="C71" s="73">
        <v>645</v>
      </c>
      <c r="D71" s="68"/>
      <c r="E71" s="73">
        <v>19.556999999999999</v>
      </c>
      <c r="F71" s="169">
        <v>30320.930232558138</v>
      </c>
      <c r="G71" s="73" t="s">
        <v>9350</v>
      </c>
      <c r="H71" s="182">
        <v>2016</v>
      </c>
      <c r="I71" s="78">
        <f t="shared" si="3"/>
        <v>305.54947973627469</v>
      </c>
    </row>
    <row r="72" spans="3:9" ht="13.9">
      <c r="C72" s="73">
        <v>1295</v>
      </c>
      <c r="D72" s="68"/>
      <c r="E72" s="73">
        <v>40.230618749999998</v>
      </c>
      <c r="F72" s="169">
        <v>31066.114864864863</v>
      </c>
      <c r="G72" s="73" t="s">
        <v>7444</v>
      </c>
      <c r="H72" s="182">
        <v>2016</v>
      </c>
      <c r="I72" s="78">
        <f t="shared" si="3"/>
        <v>628.54449192263223</v>
      </c>
    </row>
    <row r="73" spans="3:9" ht="27.6">
      <c r="C73" s="73">
        <v>940</v>
      </c>
      <c r="D73" s="68"/>
      <c r="E73" s="73">
        <v>28.634399999999999</v>
      </c>
      <c r="F73" s="169">
        <v>30462.127659574468</v>
      </c>
      <c r="G73" s="73" t="s">
        <v>9351</v>
      </c>
      <c r="H73" s="182">
        <v>2016</v>
      </c>
      <c r="I73" s="78">
        <f t="shared" si="3"/>
        <v>447.37055901009279</v>
      </c>
    </row>
    <row r="74" spans="3:9" ht="13.9">
      <c r="C74" s="73">
        <v>320</v>
      </c>
      <c r="D74" s="68"/>
      <c r="E74" s="73">
        <v>12.5853</v>
      </c>
      <c r="F74" s="169">
        <v>39329.0625</v>
      </c>
      <c r="G74" s="73" t="s">
        <v>7450</v>
      </c>
      <c r="H74" s="182">
        <v>2016</v>
      </c>
      <c r="I74" s="78">
        <f t="shared" si="3"/>
        <v>196.62687873011905</v>
      </c>
    </row>
    <row r="75" spans="3:9" ht="27.6">
      <c r="C75" s="73">
        <v>367</v>
      </c>
      <c r="D75" s="68"/>
      <c r="E75" s="73">
        <v>12.029400000000001</v>
      </c>
      <c r="F75" s="169">
        <v>32777.65667574932</v>
      </c>
      <c r="G75" s="73" t="s">
        <v>9352</v>
      </c>
      <c r="H75" s="182">
        <v>2016</v>
      </c>
      <c r="I75" s="78">
        <f t="shared" si="3"/>
        <v>187.94175546042561</v>
      </c>
    </row>
    <row r="76" spans="3:9" ht="27.6">
      <c r="C76" s="73">
        <v>978</v>
      </c>
      <c r="D76" s="68"/>
      <c r="E76" s="73">
        <v>27.256799999999998</v>
      </c>
      <c r="F76" s="169">
        <v>27869.938650306747</v>
      </c>
      <c r="G76" s="73" t="s">
        <v>9353</v>
      </c>
      <c r="H76" s="182">
        <v>2016</v>
      </c>
      <c r="I76" s="78">
        <f t="shared" si="3"/>
        <v>425.84757678967594</v>
      </c>
    </row>
    <row r="77" spans="3:9" ht="27.6">
      <c r="C77" s="73">
        <v>4339</v>
      </c>
      <c r="D77" s="68"/>
      <c r="E77" s="73">
        <v>138.065</v>
      </c>
      <c r="F77" s="169">
        <v>31819.543673657525</v>
      </c>
      <c r="G77" s="73" t="s">
        <v>9354</v>
      </c>
      <c r="H77" s="182">
        <v>2016</v>
      </c>
      <c r="I77" s="78">
        <f t="shared" si="3"/>
        <v>2157.0634003062214</v>
      </c>
    </row>
    <row r="78" spans="3:9" ht="13.9">
      <c r="C78" s="73">
        <v>86</v>
      </c>
      <c r="D78" s="68"/>
      <c r="E78" s="73">
        <v>3.2595000000000001</v>
      </c>
      <c r="F78" s="169">
        <v>37901.162790697679</v>
      </c>
      <c r="G78" s="73" t="s">
        <v>7486</v>
      </c>
      <c r="H78" s="182">
        <v>2016</v>
      </c>
      <c r="I78" s="78">
        <f t="shared" si="3"/>
        <v>50.924913289379127</v>
      </c>
    </row>
    <row r="79" spans="3:9" ht="13.9">
      <c r="C79" s="73">
        <v>1260</v>
      </c>
      <c r="D79" s="68"/>
      <c r="E79" s="73">
        <v>64.9285</v>
      </c>
      <c r="F79" s="169">
        <v>51530.555555555562</v>
      </c>
      <c r="G79" s="73" t="s">
        <v>7367</v>
      </c>
      <c r="H79" s="182">
        <v>2016</v>
      </c>
      <c r="I79" s="78">
        <f t="shared" si="3"/>
        <v>1014.412711308315</v>
      </c>
    </row>
    <row r="80" spans="3:9" ht="13.9">
      <c r="C80" s="73">
        <v>328</v>
      </c>
      <c r="D80" s="68"/>
      <c r="E80" s="73">
        <v>12.693199999999999</v>
      </c>
      <c r="F80" s="169">
        <v>38698.780487804877</v>
      </c>
      <c r="G80" s="73" t="s">
        <v>7499</v>
      </c>
      <c r="H80" s="182">
        <v>2016</v>
      </c>
      <c r="I80" s="78">
        <f t="shared" si="3"/>
        <v>198.31265818829485</v>
      </c>
    </row>
    <row r="81" spans="3:9" ht="13.9">
      <c r="C81" s="73">
        <v>755</v>
      </c>
      <c r="D81" s="68"/>
      <c r="E81" s="73">
        <v>38.811500000000002</v>
      </c>
      <c r="F81" s="169">
        <v>51405.960264900663</v>
      </c>
      <c r="G81" s="73" t="s">
        <v>7367</v>
      </c>
      <c r="H81" s="182">
        <v>2016</v>
      </c>
      <c r="I81" s="78">
        <f t="shared" si="3"/>
        <v>606.37284004624576</v>
      </c>
    </row>
    <row r="82" spans="3:9" ht="13.9">
      <c r="C82" s="73">
        <v>305</v>
      </c>
      <c r="D82" s="68"/>
      <c r="E82" s="73">
        <v>12.793950000000001</v>
      </c>
      <c r="F82" s="169">
        <v>41947.37704918033</v>
      </c>
      <c r="G82" s="73" t="s">
        <v>7516</v>
      </c>
      <c r="H82" s="182">
        <v>2016</v>
      </c>
      <c r="I82" s="78">
        <f t="shared" si="3"/>
        <v>199.88672936912164</v>
      </c>
    </row>
    <row r="83" spans="3:9" ht="13.9">
      <c r="C83" s="73">
        <v>150</v>
      </c>
      <c r="D83" s="68"/>
      <c r="E83" s="73">
        <v>5.18</v>
      </c>
      <c r="F83" s="169">
        <v>34533.333333333336</v>
      </c>
      <c r="G83" s="73" t="s">
        <v>7523</v>
      </c>
      <c r="H83" s="182">
        <v>2016</v>
      </c>
      <c r="I83" s="78">
        <f t="shared" si="3"/>
        <v>80.929912820673067</v>
      </c>
    </row>
    <row r="84" spans="3:9" ht="13.9">
      <c r="C84" s="73">
        <v>50</v>
      </c>
      <c r="D84" s="68"/>
      <c r="E84" s="73">
        <v>1</v>
      </c>
      <c r="F84" s="169">
        <v>20000</v>
      </c>
      <c r="G84" s="73" t="s">
        <v>7529</v>
      </c>
      <c r="H84" s="182">
        <v>2016</v>
      </c>
      <c r="I84" s="78">
        <f t="shared" si="3"/>
        <v>15.623535293566228</v>
      </c>
    </row>
    <row r="85" spans="3:9" ht="27.6">
      <c r="C85" s="73">
        <v>180</v>
      </c>
      <c r="D85" s="94"/>
      <c r="E85" s="73">
        <v>7</v>
      </c>
      <c r="F85" s="169">
        <v>38888.888888888891</v>
      </c>
      <c r="G85" s="73" t="s">
        <v>9355</v>
      </c>
      <c r="H85" s="182">
        <v>2016</v>
      </c>
      <c r="I85" s="78">
        <f t="shared" si="3"/>
        <v>109.3647470549636</v>
      </c>
    </row>
    <row r="86" spans="3:9" ht="27.6">
      <c r="C86" s="73">
        <v>801</v>
      </c>
      <c r="D86" s="68"/>
      <c r="E86" s="73">
        <v>23.4438</v>
      </c>
      <c r="F86" s="169">
        <v>29268.164794007491</v>
      </c>
      <c r="G86" s="73" t="s">
        <v>9356</v>
      </c>
      <c r="H86" s="182">
        <v>2016</v>
      </c>
      <c r="I86" s="78">
        <f t="shared" si="3"/>
        <v>366.27503671530792</v>
      </c>
    </row>
    <row r="87" spans="3:9" ht="13.9">
      <c r="C87" s="73">
        <v>37</v>
      </c>
      <c r="D87" s="68"/>
      <c r="E87" s="73">
        <v>1.5251999999999999</v>
      </c>
      <c r="F87" s="169">
        <v>41221.621621621613</v>
      </c>
      <c r="G87" s="73"/>
      <c r="H87" s="182">
        <v>2016</v>
      </c>
      <c r="I87" s="78">
        <f t="shared" si="3"/>
        <v>23.829016029747208</v>
      </c>
    </row>
    <row r="88" spans="3:9" ht="13.9">
      <c r="C88" s="73">
        <v>429</v>
      </c>
      <c r="D88" s="68"/>
      <c r="E88" s="73">
        <v>21.962199999999999</v>
      </c>
      <c r="F88" s="169">
        <v>51193.939393939392</v>
      </c>
      <c r="G88" s="73"/>
      <c r="H88" s="182">
        <v>2016</v>
      </c>
      <c r="I88" s="78">
        <f t="shared" si="3"/>
        <v>343.1272068243602</v>
      </c>
    </row>
    <row r="89" spans="3:9" ht="27.6">
      <c r="C89" s="73">
        <v>358</v>
      </c>
      <c r="D89" s="68"/>
      <c r="E89" s="73">
        <v>11.648</v>
      </c>
      <c r="F89" s="169">
        <v>32536.312849162008</v>
      </c>
      <c r="G89" s="73" t="s">
        <v>9357</v>
      </c>
      <c r="H89" s="182">
        <v>2016</v>
      </c>
      <c r="I89" s="78">
        <f t="shared" si="3"/>
        <v>181.98293909945943</v>
      </c>
    </row>
    <row r="90" spans="3:9" ht="27.6">
      <c r="C90" s="73">
        <v>1386</v>
      </c>
      <c r="D90" s="68"/>
      <c r="E90" s="73">
        <v>43.827199999999998</v>
      </c>
      <c r="F90" s="169">
        <v>31621.356421356417</v>
      </c>
      <c r="G90" s="73" t="s">
        <v>9358</v>
      </c>
      <c r="H90" s="182">
        <v>2016</v>
      </c>
      <c r="I90" s="78">
        <f t="shared" si="3"/>
        <v>684.7358060181856</v>
      </c>
    </row>
    <row r="91" spans="3:9" ht="27.6">
      <c r="C91" s="73">
        <v>399</v>
      </c>
      <c r="D91" s="68"/>
      <c r="E91" s="73">
        <v>13.1328</v>
      </c>
      <c r="F91" s="169">
        <v>32914.285714285717</v>
      </c>
      <c r="G91" s="73" t="s">
        <v>9359</v>
      </c>
      <c r="H91" s="182">
        <v>2016</v>
      </c>
      <c r="I91" s="78">
        <f t="shared" si="3"/>
        <v>205.18076430334656</v>
      </c>
    </row>
    <row r="92" spans="3:9" ht="27.6">
      <c r="C92" s="73">
        <v>547</v>
      </c>
      <c r="D92" s="68"/>
      <c r="E92" s="73">
        <v>18.942</v>
      </c>
      <c r="F92" s="169">
        <v>34628.884826325411</v>
      </c>
      <c r="G92" s="73" t="s">
        <v>9360</v>
      </c>
      <c r="H92" s="182">
        <v>2016</v>
      </c>
      <c r="I92" s="78">
        <f t="shared" si="3"/>
        <v>295.9410055307315</v>
      </c>
    </row>
    <row r="93" spans="3:9" ht="13.9">
      <c r="C93" s="73">
        <v>125</v>
      </c>
      <c r="D93" s="68"/>
      <c r="E93" s="73">
        <v>6.5190000000000001</v>
      </c>
      <c r="F93" s="169">
        <v>52152.000000000007</v>
      </c>
      <c r="G93" s="73" t="s">
        <v>7580</v>
      </c>
      <c r="H93" s="182">
        <v>2016</v>
      </c>
      <c r="I93" s="78">
        <f t="shared" si="3"/>
        <v>101.84982657875825</v>
      </c>
    </row>
    <row r="94" spans="3:9" ht="27.6">
      <c r="C94" s="73">
        <v>246</v>
      </c>
      <c r="D94" s="68"/>
      <c r="E94" s="73">
        <v>8.3886000000000003</v>
      </c>
      <c r="F94" s="169">
        <v>34100</v>
      </c>
      <c r="G94" s="73" t="s">
        <v>9361</v>
      </c>
      <c r="H94" s="182">
        <v>2016</v>
      </c>
      <c r="I94" s="78">
        <f t="shared" si="3"/>
        <v>131.05958816360967</v>
      </c>
    </row>
    <row r="95" spans="3:9" ht="13.9">
      <c r="C95" s="73">
        <v>3121</v>
      </c>
      <c r="D95" s="68"/>
      <c r="E95" s="73">
        <v>137.16480000000001</v>
      </c>
      <c r="F95" s="169">
        <v>43948.990708106379</v>
      </c>
      <c r="G95" s="73" t="s">
        <v>7604</v>
      </c>
      <c r="H95" s="182">
        <v>2016</v>
      </c>
      <c r="I95" s="78">
        <f t="shared" si="3"/>
        <v>2142.9990938349533</v>
      </c>
    </row>
    <row r="96" spans="3:9" ht="13.9">
      <c r="C96" s="73">
        <v>22995</v>
      </c>
      <c r="D96" s="68"/>
      <c r="E96" s="73">
        <v>624.14921400000003</v>
      </c>
      <c r="F96" s="169">
        <v>27142.822961513371</v>
      </c>
      <c r="G96" s="73" t="s">
        <v>7630</v>
      </c>
      <c r="H96" s="182">
        <v>2016</v>
      </c>
      <c r="I96" s="78">
        <f t="shared" si="3"/>
        <v>9751.417273380619</v>
      </c>
    </row>
    <row r="97" spans="3:9" ht="13.9">
      <c r="C97" s="73">
        <v>2309</v>
      </c>
      <c r="D97" s="68"/>
      <c r="E97" s="73">
        <v>79.181700000000006</v>
      </c>
      <c r="F97" s="169">
        <v>34292.637505413601</v>
      </c>
      <c r="G97" s="73" t="s">
        <v>7633</v>
      </c>
      <c r="H97" s="182">
        <v>2016</v>
      </c>
      <c r="I97" s="78">
        <f t="shared" si="3"/>
        <v>1237.098084554573</v>
      </c>
    </row>
    <row r="98" spans="3:9" ht="27.6">
      <c r="C98" s="73">
        <v>330</v>
      </c>
      <c r="D98" s="68"/>
      <c r="E98" s="73">
        <v>11.443199999999999</v>
      </c>
      <c r="F98" s="169">
        <v>34676.36363636364</v>
      </c>
      <c r="G98" s="73" t="s">
        <v>9362</v>
      </c>
      <c r="H98" s="182">
        <v>2015</v>
      </c>
      <c r="I98" s="78">
        <f t="shared" si="3"/>
        <v>231.09639113839694</v>
      </c>
    </row>
    <row r="99" spans="3:9" ht="13.9">
      <c r="C99" s="73">
        <v>744</v>
      </c>
      <c r="D99" s="68"/>
      <c r="E99" s="73">
        <v>43.758000000000003</v>
      </c>
      <c r="F99" s="169">
        <v>58814.516129032265</v>
      </c>
      <c r="G99" s="73" t="s">
        <v>7367</v>
      </c>
      <c r="H99" s="182">
        <v>2015</v>
      </c>
      <c r="I99" s="78">
        <f t="shared" si="3"/>
        <v>883.6965082698872</v>
      </c>
    </row>
    <row r="100" spans="3:9" ht="27.6">
      <c r="C100" s="73">
        <v>350</v>
      </c>
      <c r="D100" s="68"/>
      <c r="E100" s="73">
        <v>11.020799999999999</v>
      </c>
      <c r="F100" s="169">
        <v>31487.999999999996</v>
      </c>
      <c r="G100" s="73" t="s">
        <v>9363</v>
      </c>
      <c r="H100" s="182">
        <v>2015</v>
      </c>
      <c r="I100" s="78">
        <f t="shared" si="3"/>
        <v>222.5659874386574</v>
      </c>
    </row>
    <row r="101" spans="3:9" ht="13.9">
      <c r="C101" s="73">
        <v>663</v>
      </c>
      <c r="D101" s="68"/>
      <c r="E101" s="73">
        <v>29.8644</v>
      </c>
      <c r="F101" s="169">
        <v>45044.343891402714</v>
      </c>
      <c r="G101" s="73" t="s">
        <v>7696</v>
      </c>
      <c r="H101" s="182">
        <v>2015</v>
      </c>
      <c r="I101" s="78">
        <f t="shared" si="3"/>
        <v>603.11408203243332</v>
      </c>
    </row>
    <row r="102" spans="3:9" ht="27.6">
      <c r="C102" s="73">
        <v>463</v>
      </c>
      <c r="D102" s="68"/>
      <c r="E102" s="73">
        <v>16.039200000000001</v>
      </c>
      <c r="F102" s="169">
        <v>34641.900647948161</v>
      </c>
      <c r="G102" s="73" t="s">
        <v>9364</v>
      </c>
      <c r="H102" s="182">
        <v>2015</v>
      </c>
      <c r="I102" s="78">
        <f t="shared" si="3"/>
        <v>323.9129995759032</v>
      </c>
    </row>
    <row r="103" spans="3:9" ht="27.6">
      <c r="C103" s="73">
        <v>2759</v>
      </c>
      <c r="D103" s="68"/>
      <c r="E103" s="73">
        <v>96.874799999999993</v>
      </c>
      <c r="F103" s="169">
        <v>35112.287060529176</v>
      </c>
      <c r="G103" s="73" t="s">
        <v>9365</v>
      </c>
      <c r="H103" s="182">
        <v>2015</v>
      </c>
      <c r="I103" s="78">
        <f t="shared" si="3"/>
        <v>1956.3947735121271</v>
      </c>
    </row>
    <row r="104" spans="3:9" ht="27.6">
      <c r="C104" s="73">
        <v>400</v>
      </c>
      <c r="D104" s="68"/>
      <c r="E104" s="73">
        <v>13.776</v>
      </c>
      <c r="F104" s="169">
        <v>34440</v>
      </c>
      <c r="G104" s="73" t="s">
        <v>9366</v>
      </c>
      <c r="H104" s="182">
        <v>2015</v>
      </c>
      <c r="I104" s="78">
        <f t="shared" si="3"/>
        <v>278.20748429832179</v>
      </c>
    </row>
    <row r="105" spans="3:9" ht="27.6">
      <c r="C105" s="73">
        <v>110</v>
      </c>
      <c r="D105" s="68"/>
      <c r="E105" s="73">
        <v>4.6740000000000004</v>
      </c>
      <c r="F105" s="169">
        <v>42490.909090909096</v>
      </c>
      <c r="G105" s="73" t="s">
        <v>9367</v>
      </c>
      <c r="H105" s="182">
        <v>2015</v>
      </c>
      <c r="I105" s="78">
        <f t="shared" si="3"/>
        <v>94.391825029787768</v>
      </c>
    </row>
    <row r="106" spans="3:9" ht="27.6">
      <c r="C106" s="73">
        <v>894</v>
      </c>
      <c r="D106" s="68"/>
      <c r="E106" s="73">
        <v>27.502800000000001</v>
      </c>
      <c r="F106" s="169">
        <v>30763.758389261748</v>
      </c>
      <c r="G106" s="73" t="s">
        <v>9368</v>
      </c>
      <c r="H106" s="182">
        <v>2015</v>
      </c>
      <c r="I106" s="78">
        <f t="shared" si="3"/>
        <v>555.42137043843536</v>
      </c>
    </row>
    <row r="107" spans="3:9" ht="13.9">
      <c r="C107" s="73">
        <v>84</v>
      </c>
      <c r="D107" s="68"/>
      <c r="E107" s="73">
        <v>3.0011999999999999</v>
      </c>
      <c r="F107" s="169">
        <v>35728.571428571428</v>
      </c>
      <c r="G107" s="73"/>
      <c r="H107" s="182">
        <v>2015</v>
      </c>
      <c r="I107" s="78">
        <f t="shared" si="3"/>
        <v>60.609487650705816</v>
      </c>
    </row>
    <row r="108" spans="3:9" ht="27.6">
      <c r="C108" s="73">
        <v>110</v>
      </c>
      <c r="D108" s="68"/>
      <c r="E108" s="73">
        <v>4.0590000000000002</v>
      </c>
      <c r="F108" s="169">
        <v>36900</v>
      </c>
      <c r="G108" s="73" t="s">
        <v>9369</v>
      </c>
      <c r="H108" s="182">
        <v>2015</v>
      </c>
      <c r="I108" s="78">
        <f t="shared" si="3"/>
        <v>81.9718480521841</v>
      </c>
    </row>
    <row r="109" spans="3:9" ht="13.9">
      <c r="C109" s="73">
        <v>180</v>
      </c>
      <c r="D109" s="68"/>
      <c r="E109" s="73">
        <v>7.0754999999999999</v>
      </c>
      <c r="F109" s="169">
        <v>39308.333333333336</v>
      </c>
      <c r="G109" s="73"/>
      <c r="H109" s="182">
        <v>2015</v>
      </c>
      <c r="I109" s="78">
        <f t="shared" si="3"/>
        <v>142.89032049599129</v>
      </c>
    </row>
    <row r="110" spans="3:9" ht="13.9">
      <c r="C110" s="73">
        <v>126</v>
      </c>
      <c r="D110" s="68"/>
      <c r="E110" s="73">
        <v>7.8</v>
      </c>
      <c r="F110" s="169">
        <v>61904.761904761901</v>
      </c>
      <c r="G110" s="73"/>
      <c r="H110" s="182">
        <v>2015</v>
      </c>
      <c r="I110" s="78">
        <f t="shared" si="3"/>
        <v>157.52165922814385</v>
      </c>
    </row>
    <row r="111" spans="3:9" ht="13.9">
      <c r="C111" s="73">
        <v>95</v>
      </c>
      <c r="D111" s="68"/>
      <c r="E111" s="73">
        <v>2.2749999999999999</v>
      </c>
      <c r="F111" s="169">
        <v>23947.36842105263</v>
      </c>
      <c r="G111" s="73"/>
      <c r="H111" s="182">
        <v>2015</v>
      </c>
      <c r="I111" s="78">
        <f t="shared" si="3"/>
        <v>45.943817274875293</v>
      </c>
    </row>
    <row r="112" spans="3:9" ht="13.9">
      <c r="C112" s="73"/>
      <c r="D112" s="68"/>
      <c r="E112" s="73"/>
      <c r="F112" s="83"/>
      <c r="G112" s="73"/>
      <c r="H112" s="182">
        <v>2015</v>
      </c>
      <c r="I112" s="78">
        <f t="shared" si="3"/>
        <v>0</v>
      </c>
    </row>
    <row r="113" spans="3:9" ht="13.9">
      <c r="C113" s="73">
        <v>998</v>
      </c>
      <c r="D113" s="68"/>
      <c r="E113" s="73">
        <v>23.116800000000001</v>
      </c>
      <c r="F113" s="169">
        <v>23163.126252505012</v>
      </c>
      <c r="G113" s="73"/>
      <c r="H113" s="182">
        <v>2015</v>
      </c>
      <c r="I113" s="78">
        <f t="shared" si="3"/>
        <v>466.84572974937907</v>
      </c>
    </row>
    <row r="114" spans="3:9" ht="13.9">
      <c r="C114" s="73">
        <v>1553</v>
      </c>
      <c r="D114" s="68"/>
      <c r="E114" s="73">
        <v>59.0154</v>
      </c>
      <c r="F114" s="150">
        <v>38000.901481004505</v>
      </c>
      <c r="G114" s="73"/>
      <c r="H114" s="182">
        <v>2015</v>
      </c>
      <c r="I114" s="78">
        <f t="shared" si="3"/>
        <v>1191.8209907708463</v>
      </c>
    </row>
    <row r="115" spans="3:9" ht="13.9">
      <c r="C115" s="73">
        <v>570</v>
      </c>
      <c r="D115" s="68"/>
      <c r="E115" s="73">
        <v>23.173200000000001</v>
      </c>
      <c r="F115" s="169">
        <v>40654.736842105267</v>
      </c>
      <c r="G115" s="73" t="s">
        <v>7850</v>
      </c>
      <c r="H115" s="182">
        <v>2015</v>
      </c>
      <c r="I115" s="78">
        <f t="shared" si="3"/>
        <v>467.98473251610562</v>
      </c>
    </row>
    <row r="116" spans="3:9" ht="27.6">
      <c r="C116" s="73">
        <v>200</v>
      </c>
      <c r="D116" s="68"/>
      <c r="E116" s="73">
        <v>6.8879999999999999</v>
      </c>
      <c r="F116" s="169">
        <v>34440</v>
      </c>
      <c r="G116" s="73" t="s">
        <v>9370</v>
      </c>
      <c r="H116" s="182">
        <v>2015</v>
      </c>
      <c r="I116" s="78">
        <f t="shared" si="3"/>
        <v>139.10374214916089</v>
      </c>
    </row>
    <row r="117" spans="3:9" ht="27.6">
      <c r="C117" s="73">
        <v>626</v>
      </c>
      <c r="D117" s="68"/>
      <c r="E117" s="73">
        <v>19.5078</v>
      </c>
      <c r="F117" s="169">
        <v>31162.61980830671</v>
      </c>
      <c r="G117" s="73" t="s">
        <v>9371</v>
      </c>
      <c r="H117" s="182">
        <v>2015</v>
      </c>
      <c r="I117" s="78">
        <f t="shared" si="3"/>
        <v>393.96166972958781</v>
      </c>
    </row>
    <row r="118" spans="3:9" ht="27.6">
      <c r="C118" s="73">
        <v>250</v>
      </c>
      <c r="D118" s="68"/>
      <c r="E118" s="73">
        <v>8.61</v>
      </c>
      <c r="F118" s="169">
        <v>34440</v>
      </c>
      <c r="G118" s="73" t="s">
        <v>9372</v>
      </c>
      <c r="H118" s="182">
        <v>2015</v>
      </c>
      <c r="I118" s="78">
        <f t="shared" si="3"/>
        <v>173.87967768645112</v>
      </c>
    </row>
    <row r="119" spans="3:9" ht="27.6">
      <c r="C119" s="73">
        <v>126</v>
      </c>
      <c r="D119" s="68"/>
      <c r="E119" s="73">
        <v>6.15</v>
      </c>
      <c r="F119" s="169">
        <v>48809.523809523809</v>
      </c>
      <c r="G119" s="73" t="s">
        <v>9373</v>
      </c>
      <c r="H119" s="182">
        <v>2015</v>
      </c>
      <c r="I119" s="78">
        <f t="shared" si="3"/>
        <v>124.1997697760365</v>
      </c>
    </row>
    <row r="120" spans="3:9" ht="13.9">
      <c r="C120" s="73">
        <v>220</v>
      </c>
      <c r="D120" s="68"/>
      <c r="E120" s="73">
        <v>6.5928000000000004</v>
      </c>
      <c r="F120" s="169">
        <v>29967.272727272728</v>
      </c>
      <c r="G120" s="73"/>
      <c r="H120" s="182">
        <v>2015</v>
      </c>
      <c r="I120" s="78">
        <f t="shared" si="3"/>
        <v>133.14215319991115</v>
      </c>
    </row>
    <row r="121" spans="3:9" ht="27.6">
      <c r="C121" s="73">
        <v>252</v>
      </c>
      <c r="D121" s="68"/>
      <c r="E121" s="73">
        <v>7.2569999999999997</v>
      </c>
      <c r="F121" s="169">
        <v>28797.619047619046</v>
      </c>
      <c r="G121" s="73" t="s">
        <v>9374</v>
      </c>
      <c r="H121" s="182">
        <v>2015</v>
      </c>
      <c r="I121" s="78">
        <f t="shared" si="3"/>
        <v>146.55572833572307</v>
      </c>
    </row>
    <row r="122" spans="3:9" ht="13.9">
      <c r="C122" s="73">
        <v>3304</v>
      </c>
      <c r="D122" s="68"/>
      <c r="E122" s="73">
        <v>120.95820000000001</v>
      </c>
      <c r="F122" s="169">
        <v>36609.624697336563</v>
      </c>
      <c r="G122" s="73" t="s">
        <v>7862</v>
      </c>
      <c r="H122" s="182">
        <v>2015</v>
      </c>
      <c r="I122" s="78">
        <f t="shared" si="3"/>
        <v>2442.7610719550867</v>
      </c>
    </row>
    <row r="123" spans="3:9" ht="27.6">
      <c r="C123" s="73">
        <v>560</v>
      </c>
      <c r="D123" s="68"/>
      <c r="E123" s="73">
        <v>16.0884</v>
      </c>
      <c r="F123" s="169">
        <v>28729.285714285714</v>
      </c>
      <c r="G123" s="73" t="s">
        <v>9375</v>
      </c>
      <c r="H123" s="182">
        <v>2015</v>
      </c>
      <c r="I123" s="78">
        <f t="shared" si="3"/>
        <v>324.90659773411153</v>
      </c>
    </row>
    <row r="124" spans="3:9" ht="13.9">
      <c r="C124" s="73">
        <v>184</v>
      </c>
      <c r="D124" s="68"/>
      <c r="E124" s="73">
        <v>5.85</v>
      </c>
      <c r="F124" s="169">
        <v>31793.47826086956</v>
      </c>
      <c r="G124" s="73"/>
      <c r="H124" s="182">
        <v>2015</v>
      </c>
      <c r="I124" s="78">
        <f t="shared" si="3"/>
        <v>118.14124442110788</v>
      </c>
    </row>
    <row r="125" spans="3:9" ht="27.6">
      <c r="C125" s="73">
        <v>300</v>
      </c>
      <c r="D125" s="68"/>
      <c r="E125" s="73">
        <v>10.332000000000001</v>
      </c>
      <c r="F125" s="169">
        <v>34440.000000000007</v>
      </c>
      <c r="G125" s="73" t="s">
        <v>9376</v>
      </c>
      <c r="H125" s="182">
        <v>2015</v>
      </c>
      <c r="I125" s="78">
        <f t="shared" si="3"/>
        <v>208.65561322374137</v>
      </c>
    </row>
    <row r="126" spans="3:9" ht="27.6">
      <c r="C126" s="73">
        <v>622</v>
      </c>
      <c r="D126" s="68"/>
      <c r="E126" s="73">
        <v>19.311</v>
      </c>
      <c r="F126" s="169">
        <v>31046.623794212221</v>
      </c>
      <c r="G126" s="73" t="s">
        <v>9377</v>
      </c>
      <c r="H126" s="182">
        <v>2015</v>
      </c>
      <c r="I126" s="78">
        <f t="shared" si="3"/>
        <v>389.98727709675467</v>
      </c>
    </row>
    <row r="127" spans="3:9" ht="27.6">
      <c r="C127" s="73">
        <v>472</v>
      </c>
      <c r="D127" s="68"/>
      <c r="E127" s="73">
        <v>16.752600000000001</v>
      </c>
      <c r="F127" s="169">
        <v>35492.796610169491</v>
      </c>
      <c r="G127" s="73" t="s">
        <v>9378</v>
      </c>
      <c r="H127" s="182">
        <v>2015</v>
      </c>
      <c r="I127" s="78">
        <f t="shared" si="3"/>
        <v>338.32017286992345</v>
      </c>
    </row>
    <row r="128" spans="3:9" ht="27.6">
      <c r="C128" s="73">
        <v>852</v>
      </c>
      <c r="D128" s="68"/>
      <c r="E128" s="73">
        <v>32.619599999999998</v>
      </c>
      <c r="F128" s="169">
        <v>38285.915492957749</v>
      </c>
      <c r="G128" s="73" t="s">
        <v>9379</v>
      </c>
      <c r="H128" s="182">
        <v>2015</v>
      </c>
      <c r="I128" s="78">
        <f t="shared" si="3"/>
        <v>658.75557889209779</v>
      </c>
    </row>
    <row r="129" spans="3:9" ht="27.6">
      <c r="C129" s="73">
        <v>825</v>
      </c>
      <c r="D129" s="68"/>
      <c r="E129" s="73">
        <v>25.657800000000002</v>
      </c>
      <c r="F129" s="169">
        <v>31100.363636363636</v>
      </c>
      <c r="G129" s="73" t="s">
        <v>9380</v>
      </c>
      <c r="H129" s="182">
        <v>2015</v>
      </c>
      <c r="I129" s="78">
        <f t="shared" si="3"/>
        <v>518.16143950562434</v>
      </c>
    </row>
    <row r="130" spans="3:9" ht="27.6">
      <c r="C130" s="73">
        <v>840</v>
      </c>
      <c r="D130" s="68"/>
      <c r="E130" s="73">
        <v>28.486799999999999</v>
      </c>
      <c r="F130" s="169">
        <v>33912.857142857138</v>
      </c>
      <c r="G130" s="73" t="s">
        <v>9381</v>
      </c>
      <c r="H130" s="182">
        <v>2015</v>
      </c>
      <c r="I130" s="78">
        <f t="shared" ref="I130:I193" si="4">IFERROR(F130*(C130/SUMIF(H:H,H130,C:C)),0)</f>
        <v>575.29333360260114</v>
      </c>
    </row>
    <row r="131" spans="3:9" ht="27.6">
      <c r="C131" s="73">
        <v>670</v>
      </c>
      <c r="D131" s="68"/>
      <c r="E131" s="73">
        <v>23.492999999999999</v>
      </c>
      <c r="F131" s="169">
        <v>35064.179104477611</v>
      </c>
      <c r="G131" s="73" t="s">
        <v>9382</v>
      </c>
      <c r="H131" s="182">
        <v>2015</v>
      </c>
      <c r="I131" s="78">
        <f t="shared" si="4"/>
        <v>474.44312054445948</v>
      </c>
    </row>
    <row r="132" spans="3:9" ht="27.6">
      <c r="C132" s="73">
        <v>1195</v>
      </c>
      <c r="D132" s="68"/>
      <c r="E132" s="73">
        <v>42.558</v>
      </c>
      <c r="F132" s="169">
        <v>35613.389121338914</v>
      </c>
      <c r="G132" s="73" t="s">
        <v>9383</v>
      </c>
      <c r="H132" s="182">
        <v>2015</v>
      </c>
      <c r="I132" s="78">
        <f t="shared" si="4"/>
        <v>859.46240685017278</v>
      </c>
    </row>
    <row r="133" spans="3:9" ht="27.6">
      <c r="C133" s="73">
        <v>193</v>
      </c>
      <c r="D133" s="68"/>
      <c r="E133" s="73">
        <v>6.8141999999999996</v>
      </c>
      <c r="F133" s="169">
        <v>35306.735751295339</v>
      </c>
      <c r="G133" s="73" t="s">
        <v>9384</v>
      </c>
      <c r="H133" s="182">
        <v>2015</v>
      </c>
      <c r="I133" s="78">
        <f t="shared" si="4"/>
        <v>137.61334491184846</v>
      </c>
    </row>
    <row r="134" spans="3:9" ht="13.9">
      <c r="C134" s="73">
        <v>262</v>
      </c>
      <c r="D134" s="68"/>
      <c r="E134" s="73">
        <v>9.3233999999999995</v>
      </c>
      <c r="F134" s="169">
        <v>35585.496183206102</v>
      </c>
      <c r="G134" s="73"/>
      <c r="H134" s="182">
        <v>2015</v>
      </c>
      <c r="I134" s="78">
        <f t="shared" si="4"/>
        <v>188.28685098047131</v>
      </c>
    </row>
    <row r="135" spans="3:9" ht="27.6">
      <c r="C135" s="73">
        <v>172</v>
      </c>
      <c r="D135" s="68"/>
      <c r="E135" s="73">
        <v>6.5928000000000004</v>
      </c>
      <c r="F135" s="150">
        <v>38330.232558139542</v>
      </c>
      <c r="G135" s="73" t="s">
        <v>9385</v>
      </c>
      <c r="H135" s="182">
        <v>2015</v>
      </c>
      <c r="I135" s="78">
        <f t="shared" si="4"/>
        <v>133.14215319991115</v>
      </c>
    </row>
    <row r="136" spans="3:9" ht="13.9">
      <c r="C136" s="73">
        <v>4931</v>
      </c>
      <c r="D136" s="68"/>
      <c r="E136" s="73">
        <v>111.6</v>
      </c>
      <c r="F136" s="169">
        <v>22632.326100182516</v>
      </c>
      <c r="G136" s="73" t="s">
        <v>7913</v>
      </c>
      <c r="H136" s="182">
        <v>2015</v>
      </c>
      <c r="I136" s="78">
        <f t="shared" si="4"/>
        <v>2253.771432033443</v>
      </c>
    </row>
    <row r="137" spans="3:9" ht="13.9">
      <c r="C137" s="73">
        <v>657</v>
      </c>
      <c r="D137" s="68"/>
      <c r="E137" s="73">
        <v>23.52</v>
      </c>
      <c r="F137" s="169">
        <v>35799.086757990866</v>
      </c>
      <c r="G137" s="73"/>
      <c r="H137" s="182">
        <v>2015</v>
      </c>
      <c r="I137" s="78">
        <f t="shared" si="4"/>
        <v>474.98838782640303</v>
      </c>
    </row>
    <row r="138" spans="3:9" ht="27.6">
      <c r="C138" s="73">
        <v>938</v>
      </c>
      <c r="D138" s="68"/>
      <c r="E138" s="73">
        <v>35.353499999999997</v>
      </c>
      <c r="F138" s="169">
        <v>37690.298507462678</v>
      </c>
      <c r="G138" s="73" t="s">
        <v>9386</v>
      </c>
      <c r="H138" s="182">
        <v>2015</v>
      </c>
      <c r="I138" s="78">
        <f t="shared" si="4"/>
        <v>713.96692045156192</v>
      </c>
    </row>
    <row r="139" spans="3:9" ht="13.9">
      <c r="C139" s="73">
        <v>30</v>
      </c>
      <c r="D139" s="68"/>
      <c r="E139" s="73">
        <v>2.2050000000000001</v>
      </c>
      <c r="F139" s="169">
        <v>73500</v>
      </c>
      <c r="G139" s="73" t="s">
        <v>7947</v>
      </c>
      <c r="H139" s="182">
        <v>2015</v>
      </c>
      <c r="I139" s="78">
        <f t="shared" si="4"/>
        <v>44.530161358725287</v>
      </c>
    </row>
    <row r="140" spans="3:9" ht="13.9">
      <c r="C140" s="73">
        <v>742</v>
      </c>
      <c r="D140" s="68"/>
      <c r="E140" s="73">
        <v>30.135000000000002</v>
      </c>
      <c r="F140" s="169">
        <v>40613.207547169812</v>
      </c>
      <c r="G140" s="73" t="s">
        <v>7952</v>
      </c>
      <c r="H140" s="182">
        <v>2015</v>
      </c>
      <c r="I140" s="78">
        <f t="shared" si="4"/>
        <v>608.57887190257895</v>
      </c>
    </row>
    <row r="141" spans="3:9" ht="13.9">
      <c r="C141" s="73">
        <v>306</v>
      </c>
      <c r="D141" s="68"/>
      <c r="E141" s="73">
        <v>12.470499999999999</v>
      </c>
      <c r="F141" s="169">
        <v>40753.267973856207</v>
      </c>
      <c r="G141" s="73" t="s">
        <v>7955</v>
      </c>
      <c r="H141" s="182">
        <v>2015</v>
      </c>
      <c r="I141" s="78">
        <f t="shared" si="4"/>
        <v>251.84280146212413</v>
      </c>
    </row>
    <row r="142" spans="3:9" ht="13.9">
      <c r="C142" s="73">
        <v>1500</v>
      </c>
      <c r="D142" s="68"/>
      <c r="E142" s="73">
        <v>57.183</v>
      </c>
      <c r="F142" s="169">
        <v>38122</v>
      </c>
      <c r="G142" s="73" t="s">
        <v>9387</v>
      </c>
      <c r="H142" s="182">
        <v>2015</v>
      </c>
      <c r="I142" s="78">
        <f t="shared" si="4"/>
        <v>1154.8155179029425</v>
      </c>
    </row>
    <row r="143" spans="3:9" ht="13.9">
      <c r="C143" s="73">
        <v>360</v>
      </c>
      <c r="D143" s="68"/>
      <c r="E143" s="73">
        <v>18.423999999999999</v>
      </c>
      <c r="F143" s="169">
        <v>51177.777777777774</v>
      </c>
      <c r="G143" s="73"/>
      <c r="H143" s="182">
        <v>2015</v>
      </c>
      <c r="I143" s="78">
        <f t="shared" si="4"/>
        <v>372.07423713068238</v>
      </c>
    </row>
    <row r="144" spans="3:9" ht="13.9">
      <c r="C144" s="73">
        <v>750</v>
      </c>
      <c r="D144" s="68"/>
      <c r="E144" s="73">
        <v>27.195</v>
      </c>
      <c r="F144" s="169">
        <v>36260</v>
      </c>
      <c r="G144" s="73" t="s">
        <v>9388</v>
      </c>
      <c r="H144" s="182">
        <v>2015</v>
      </c>
      <c r="I144" s="78">
        <f t="shared" si="4"/>
        <v>549.2053234242785</v>
      </c>
    </row>
    <row r="145" spans="3:9" ht="13.9">
      <c r="C145" s="73">
        <v>235</v>
      </c>
      <c r="D145" s="68"/>
      <c r="E145" s="73">
        <v>9.4079999999999995</v>
      </c>
      <c r="F145" s="169">
        <v>40034.042553191488</v>
      </c>
      <c r="G145" s="73"/>
      <c r="H145" s="182">
        <v>2015</v>
      </c>
      <c r="I145" s="78">
        <f t="shared" si="4"/>
        <v>189.99535513056122</v>
      </c>
    </row>
    <row r="146" spans="3:9" ht="13.9">
      <c r="C146" s="73">
        <v>54</v>
      </c>
      <c r="D146" s="68"/>
      <c r="E146" s="73">
        <v>2.548</v>
      </c>
      <c r="F146" s="169">
        <v>47185.185185185182</v>
      </c>
      <c r="G146" s="73"/>
      <c r="H146" s="182">
        <v>2015</v>
      </c>
      <c r="I146" s="78">
        <f t="shared" si="4"/>
        <v>51.457075347860325</v>
      </c>
    </row>
    <row r="147" spans="3:9" ht="13.9">
      <c r="C147" s="73">
        <v>226</v>
      </c>
      <c r="D147" s="68"/>
      <c r="E147" s="73">
        <v>8.5259999999999998</v>
      </c>
      <c r="F147" s="169">
        <v>37725.663716814153</v>
      </c>
      <c r="G147" s="73"/>
      <c r="H147" s="182">
        <v>2015</v>
      </c>
      <c r="I147" s="78">
        <f t="shared" si="4"/>
        <v>172.18329058707107</v>
      </c>
    </row>
    <row r="148" spans="3:9" ht="13.9">
      <c r="C148" s="73">
        <v>78</v>
      </c>
      <c r="D148" s="68"/>
      <c r="E148" s="73">
        <v>3.4544999999999999</v>
      </c>
      <c r="F148" s="169">
        <v>44288.461538461539</v>
      </c>
      <c r="G148" s="73"/>
      <c r="H148" s="182">
        <v>2015</v>
      </c>
      <c r="I148" s="78">
        <f t="shared" si="4"/>
        <v>69.763919462002946</v>
      </c>
    </row>
    <row r="149" spans="3:9" ht="13.9">
      <c r="C149" s="73">
        <v>1808</v>
      </c>
      <c r="D149" s="68"/>
      <c r="E149" s="73">
        <v>66.64</v>
      </c>
      <c r="F149" s="169">
        <v>36858.407079646015</v>
      </c>
      <c r="G149" s="73"/>
      <c r="H149" s="182">
        <v>2015</v>
      </c>
      <c r="I149" s="78">
        <f t="shared" si="4"/>
        <v>1345.8004321748085</v>
      </c>
    </row>
    <row r="150" spans="3:9" ht="13.9">
      <c r="C150" s="73">
        <v>1496</v>
      </c>
      <c r="D150" s="68"/>
      <c r="E150" s="73">
        <v>27.445799999999998</v>
      </c>
      <c r="F150" s="169">
        <v>18346.122994652404</v>
      </c>
      <c r="G150" s="73"/>
      <c r="H150" s="182">
        <v>2015</v>
      </c>
      <c r="I150" s="78">
        <f t="shared" si="4"/>
        <v>554.27025062099881</v>
      </c>
    </row>
    <row r="151" spans="3:9" ht="13.9">
      <c r="C151" s="73">
        <v>200</v>
      </c>
      <c r="D151" s="68"/>
      <c r="E151" s="73">
        <v>7.5949999999999998</v>
      </c>
      <c r="F151" s="169">
        <v>37975</v>
      </c>
      <c r="G151" s="73" t="s">
        <v>7997</v>
      </c>
      <c r="H151" s="182">
        <v>2015</v>
      </c>
      <c r="I151" s="78">
        <f t="shared" si="4"/>
        <v>153.38166690227598</v>
      </c>
    </row>
    <row r="152" spans="3:9" ht="13.9">
      <c r="C152" s="73">
        <v>684</v>
      </c>
      <c r="D152" s="68"/>
      <c r="E152" s="73">
        <v>22.662500000000001</v>
      </c>
      <c r="F152" s="169">
        <v>33132.309941520471</v>
      </c>
      <c r="G152" s="73" t="s">
        <v>7997</v>
      </c>
      <c r="H152" s="182">
        <v>2015</v>
      </c>
      <c r="I152" s="78">
        <f t="shared" si="4"/>
        <v>457.67110285356551</v>
      </c>
    </row>
    <row r="153" spans="3:9" ht="13.9">
      <c r="C153" s="73">
        <v>135</v>
      </c>
      <c r="D153" s="68"/>
      <c r="E153" s="73">
        <v>4.4589999999999996</v>
      </c>
      <c r="F153" s="150">
        <v>33029.62962962962</v>
      </c>
      <c r="G153" s="73"/>
      <c r="H153" s="182">
        <v>2015</v>
      </c>
      <c r="I153" s="78">
        <f t="shared" si="4"/>
        <v>90.049881858755555</v>
      </c>
    </row>
    <row r="154" spans="3:9" ht="13.9">
      <c r="C154" s="73">
        <v>105</v>
      </c>
      <c r="D154" s="68"/>
      <c r="E154" s="73">
        <v>4.5324999999999998</v>
      </c>
      <c r="F154" s="169">
        <v>43166.666666666664</v>
      </c>
      <c r="G154" s="73"/>
      <c r="H154" s="182">
        <v>2015</v>
      </c>
      <c r="I154" s="78">
        <f t="shared" si="4"/>
        <v>91.534220570713089</v>
      </c>
    </row>
    <row r="155" spans="3:9" ht="13.9">
      <c r="C155" s="73">
        <v>625</v>
      </c>
      <c r="D155" s="68"/>
      <c r="E155" s="73">
        <v>21.56</v>
      </c>
      <c r="F155" s="169">
        <v>34496</v>
      </c>
      <c r="G155" s="73"/>
      <c r="H155" s="182">
        <v>2015</v>
      </c>
      <c r="I155" s="78">
        <f t="shared" si="4"/>
        <v>435.4060221742028</v>
      </c>
    </row>
    <row r="156" spans="3:9" ht="13.9">
      <c r="C156" s="73">
        <v>44</v>
      </c>
      <c r="D156" s="68"/>
      <c r="E156" s="73">
        <v>4.851</v>
      </c>
      <c r="F156" s="150">
        <v>110250</v>
      </c>
      <c r="G156" s="73"/>
      <c r="H156" s="182">
        <v>2015</v>
      </c>
      <c r="I156" s="78">
        <f t="shared" si="4"/>
        <v>97.966354989195636</v>
      </c>
    </row>
    <row r="157" spans="3:9" ht="13.9">
      <c r="C157" s="73">
        <v>2080</v>
      </c>
      <c r="D157" s="68"/>
      <c r="E157" s="73">
        <v>40.302500000000002</v>
      </c>
      <c r="F157" s="169">
        <v>19376.201923076922</v>
      </c>
      <c r="G157" s="73"/>
      <c r="H157" s="182">
        <v>2015</v>
      </c>
      <c r="I157" s="78">
        <f t="shared" si="4"/>
        <v>813.91239372336759</v>
      </c>
    </row>
    <row r="158" spans="3:9" ht="13.9">
      <c r="C158" s="73">
        <v>75</v>
      </c>
      <c r="D158" s="228"/>
      <c r="E158" s="83">
        <v>2.6949999999999998</v>
      </c>
      <c r="F158" s="169">
        <v>35933.333333333328</v>
      </c>
      <c r="G158" s="73" t="s">
        <v>7997</v>
      </c>
      <c r="H158" s="182">
        <v>2015</v>
      </c>
      <c r="I158" s="78">
        <f t="shared" si="4"/>
        <v>54.425752771775343</v>
      </c>
    </row>
    <row r="159" spans="3:9" ht="13.9">
      <c r="C159" s="73">
        <v>30</v>
      </c>
      <c r="D159" s="68"/>
      <c r="E159" s="73">
        <v>1.2495000000000001</v>
      </c>
      <c r="F159" s="150">
        <v>41650</v>
      </c>
      <c r="G159" s="73" t="s">
        <v>7997</v>
      </c>
      <c r="H159" s="182">
        <v>2015</v>
      </c>
      <c r="I159" s="78">
        <f t="shared" si="4"/>
        <v>25.233758103277662</v>
      </c>
    </row>
    <row r="160" spans="3:9" ht="13.9">
      <c r="C160" s="73"/>
      <c r="D160" s="68"/>
      <c r="E160" s="73"/>
      <c r="F160" s="73"/>
      <c r="G160" s="73"/>
      <c r="H160" s="182">
        <v>2015</v>
      </c>
      <c r="I160" s="78">
        <f t="shared" si="4"/>
        <v>0</v>
      </c>
    </row>
    <row r="161" spans="3:9" ht="13.9">
      <c r="C161" s="73">
        <v>465</v>
      </c>
      <c r="D161" s="68"/>
      <c r="E161" s="73">
        <v>16.929500000000001</v>
      </c>
      <c r="F161" s="150">
        <v>36407.526881720434</v>
      </c>
      <c r="G161" s="73"/>
      <c r="H161" s="182">
        <v>2015</v>
      </c>
      <c r="I161" s="78">
        <f t="shared" si="4"/>
        <v>341.89268332087971</v>
      </c>
    </row>
    <row r="162" spans="3:9" ht="13.9">
      <c r="C162" s="83">
        <v>220</v>
      </c>
      <c r="D162" s="228"/>
      <c r="E162" s="83">
        <v>8.3055000000000003</v>
      </c>
      <c r="F162" s="169">
        <v>37752.272727272728</v>
      </c>
      <c r="G162" s="73"/>
      <c r="H162" s="182">
        <v>2015</v>
      </c>
      <c r="I162" s="78">
        <f t="shared" si="4"/>
        <v>167.7302744511986</v>
      </c>
    </row>
    <row r="163" spans="3:9" ht="13.9">
      <c r="C163" s="114">
        <v>1436</v>
      </c>
      <c r="D163" s="254"/>
      <c r="E163" s="114">
        <v>50.494500000000002</v>
      </c>
      <c r="F163" s="255">
        <v>35163.300835654598</v>
      </c>
      <c r="G163" s="73"/>
      <c r="H163" s="182">
        <v>2015</v>
      </c>
      <c r="I163" s="78">
        <f t="shared" si="4"/>
        <v>1019.7406951148091</v>
      </c>
    </row>
    <row r="164" spans="3:9" ht="13.9">
      <c r="C164" s="223">
        <v>225</v>
      </c>
      <c r="D164" s="158"/>
      <c r="E164" s="113">
        <v>9.0404999999999998</v>
      </c>
      <c r="F164" s="256">
        <v>40180</v>
      </c>
      <c r="G164" s="73" t="s">
        <v>7997</v>
      </c>
      <c r="H164" s="182">
        <v>2015</v>
      </c>
      <c r="I164" s="78">
        <f t="shared" si="4"/>
        <v>182.57366157077368</v>
      </c>
    </row>
    <row r="165" spans="3:9" ht="13.9">
      <c r="C165" s="83">
        <v>198</v>
      </c>
      <c r="D165" s="228"/>
      <c r="E165" s="83">
        <v>7.7981999999999996</v>
      </c>
      <c r="F165" s="169">
        <v>39384.84848484848</v>
      </c>
      <c r="G165" s="73"/>
      <c r="H165" s="182">
        <v>2015</v>
      </c>
      <c r="I165" s="78">
        <f t="shared" si="4"/>
        <v>157.48530807601429</v>
      </c>
    </row>
    <row r="166" spans="3:9" ht="13.9">
      <c r="C166" s="114">
        <v>5799</v>
      </c>
      <c r="D166" s="254"/>
      <c r="E166" s="114">
        <v>210.57599999999999</v>
      </c>
      <c r="F166" s="255">
        <v>36312.467666839104</v>
      </c>
      <c r="G166" s="73" t="s">
        <v>7997</v>
      </c>
      <c r="H166" s="182">
        <v>2015</v>
      </c>
      <c r="I166" s="78">
        <f t="shared" si="4"/>
        <v>4252.6001171314892</v>
      </c>
    </row>
    <row r="167" spans="3:9" ht="13.9">
      <c r="C167" s="223">
        <v>531</v>
      </c>
      <c r="D167" s="71"/>
      <c r="E167" s="223">
        <v>21.339500000000001</v>
      </c>
      <c r="F167" s="240">
        <v>40187.382297551791</v>
      </c>
      <c r="G167" s="73" t="s">
        <v>7997</v>
      </c>
      <c r="H167" s="182">
        <v>2015</v>
      </c>
      <c r="I167" s="78">
        <f t="shared" si="4"/>
        <v>430.95300603833027</v>
      </c>
    </row>
    <row r="168" spans="3:9" ht="13.9">
      <c r="C168" s="73">
        <v>625</v>
      </c>
      <c r="D168" s="68"/>
      <c r="E168" s="73">
        <v>24.5</v>
      </c>
      <c r="F168" s="150">
        <v>39200</v>
      </c>
      <c r="G168" s="73" t="s">
        <v>8216</v>
      </c>
      <c r="H168" s="182">
        <v>2014</v>
      </c>
      <c r="I168" s="78">
        <f t="shared" si="4"/>
        <v>787.56609929761964</v>
      </c>
    </row>
    <row r="169" spans="3:9" ht="13.9">
      <c r="C169" s="73">
        <v>905</v>
      </c>
      <c r="D169" s="68"/>
      <c r="E169" s="216">
        <v>36.945999999999998</v>
      </c>
      <c r="F169" s="150">
        <v>40824.30939226519</v>
      </c>
      <c r="G169" s="73" t="s">
        <v>8119</v>
      </c>
      <c r="H169" s="182">
        <v>2014</v>
      </c>
      <c r="I169" s="78">
        <f t="shared" si="4"/>
        <v>1187.6496777408101</v>
      </c>
    </row>
    <row r="170" spans="3:9" ht="13.9">
      <c r="C170" s="73">
        <v>314</v>
      </c>
      <c r="D170" s="68"/>
      <c r="E170" s="73">
        <v>12.054</v>
      </c>
      <c r="F170" s="150">
        <v>38388.535031847139</v>
      </c>
      <c r="G170" s="73" t="s">
        <v>7997</v>
      </c>
      <c r="H170" s="182">
        <v>2014</v>
      </c>
      <c r="I170" s="78">
        <f t="shared" si="4"/>
        <v>387.48252085442891</v>
      </c>
    </row>
    <row r="171" spans="3:9" ht="13.9">
      <c r="C171" s="73">
        <v>115</v>
      </c>
      <c r="D171" s="68"/>
      <c r="E171" s="73">
        <v>4.0098000000000003</v>
      </c>
      <c r="F171" s="150">
        <v>34867.82608695652</v>
      </c>
      <c r="G171" s="73" t="s">
        <v>7997</v>
      </c>
      <c r="H171" s="182">
        <v>2014</v>
      </c>
      <c r="I171" s="78">
        <f t="shared" si="4"/>
        <v>128.89724673320796</v>
      </c>
    </row>
    <row r="172" spans="3:9" ht="13.9">
      <c r="C172" s="73">
        <v>476</v>
      </c>
      <c r="D172" s="68"/>
      <c r="E172" s="73">
        <v>23.260300000000001</v>
      </c>
      <c r="F172" s="150">
        <v>48866.176470588238</v>
      </c>
      <c r="G172" s="73" t="s">
        <v>7997</v>
      </c>
      <c r="H172" s="182">
        <v>2014</v>
      </c>
      <c r="I172" s="78">
        <f t="shared" si="4"/>
        <v>747.71525467316019</v>
      </c>
    </row>
    <row r="173" spans="3:9" ht="13.9">
      <c r="C173" s="73">
        <v>40</v>
      </c>
      <c r="D173" s="68"/>
      <c r="E173" s="216">
        <v>1.96</v>
      </c>
      <c r="F173" s="150">
        <v>49000</v>
      </c>
      <c r="G173" s="73" t="s">
        <v>8154</v>
      </c>
      <c r="H173" s="182">
        <v>2014</v>
      </c>
      <c r="I173" s="78">
        <f t="shared" si="4"/>
        <v>63.00528794380957</v>
      </c>
    </row>
    <row r="174" spans="3:9" ht="13.9">
      <c r="C174" s="73">
        <v>28</v>
      </c>
      <c r="D174" s="68"/>
      <c r="E174" s="73">
        <v>1.6316999999999997</v>
      </c>
      <c r="F174" s="150">
        <v>58274.999999999985</v>
      </c>
      <c r="G174" s="73" t="s">
        <v>7997</v>
      </c>
      <c r="H174" s="182">
        <v>2014</v>
      </c>
      <c r="I174" s="78">
        <f t="shared" si="4"/>
        <v>52.451902213221459</v>
      </c>
    </row>
    <row r="175" spans="3:9" ht="13.9">
      <c r="C175" s="73">
        <v>115</v>
      </c>
      <c r="D175" s="68"/>
      <c r="E175" s="73">
        <v>3.9812500000000002</v>
      </c>
      <c r="F175" s="150">
        <v>34619.565217391304</v>
      </c>
      <c r="G175" s="73" t="s">
        <v>7997</v>
      </c>
      <c r="H175" s="182">
        <v>2014</v>
      </c>
      <c r="I175" s="78">
        <f t="shared" si="4"/>
        <v>127.97949113586319</v>
      </c>
    </row>
    <row r="176" spans="3:9" ht="13.9">
      <c r="C176" s="73">
        <v>16</v>
      </c>
      <c r="D176" s="68"/>
      <c r="E176" s="73">
        <v>0.85750000000000004</v>
      </c>
      <c r="F176" s="150">
        <v>53593.75</v>
      </c>
      <c r="G176" s="73" t="s">
        <v>7997</v>
      </c>
      <c r="H176" s="182">
        <v>2014</v>
      </c>
      <c r="I176" s="78">
        <f t="shared" si="4"/>
        <v>27.564813475416685</v>
      </c>
    </row>
    <row r="177" spans="3:9" ht="13.9">
      <c r="C177" s="73">
        <v>14</v>
      </c>
      <c r="D177" s="68"/>
      <c r="E177" s="73">
        <v>0.73499999999999999</v>
      </c>
      <c r="F177" s="150">
        <v>52500</v>
      </c>
      <c r="G177" s="73" t="s">
        <v>7997</v>
      </c>
      <c r="H177" s="182">
        <v>2014</v>
      </c>
      <c r="I177" s="78">
        <f t="shared" si="4"/>
        <v>23.626982978928591</v>
      </c>
    </row>
    <row r="178" spans="3:9" ht="13.9">
      <c r="C178" s="73">
        <v>25</v>
      </c>
      <c r="D178" s="68"/>
      <c r="E178" s="216">
        <v>1.31565</v>
      </c>
      <c r="F178" s="150">
        <v>52626</v>
      </c>
      <c r="G178" s="73" t="s">
        <v>7997</v>
      </c>
      <c r="H178" s="182">
        <v>2014</v>
      </c>
      <c r="I178" s="78">
        <f t="shared" si="4"/>
        <v>42.292299532282172</v>
      </c>
    </row>
    <row r="179" spans="3:9" ht="13.9">
      <c r="C179" s="73">
        <v>244</v>
      </c>
      <c r="D179" s="68"/>
      <c r="E179" s="73">
        <v>9.7754999999999992</v>
      </c>
      <c r="F179" s="150">
        <v>40063.524590163928</v>
      </c>
      <c r="G179" s="73" t="s">
        <v>7997</v>
      </c>
      <c r="H179" s="182">
        <v>2014</v>
      </c>
      <c r="I179" s="78">
        <f t="shared" si="4"/>
        <v>314.23887361975017</v>
      </c>
    </row>
    <row r="180" spans="3:9" ht="13.9">
      <c r="C180" s="73">
        <v>1023</v>
      </c>
      <c r="D180" s="68"/>
      <c r="E180" s="73">
        <v>38.244500000000002</v>
      </c>
      <c r="F180" s="150">
        <v>37384.652981427178</v>
      </c>
      <c r="G180" s="73" t="s">
        <v>7997</v>
      </c>
      <c r="H180" s="182">
        <v>2014</v>
      </c>
      <c r="I180" s="78">
        <f t="shared" si="4"/>
        <v>1229.3906810035844</v>
      </c>
    </row>
    <row r="181" spans="3:9" ht="13.9">
      <c r="C181" s="73">
        <v>320</v>
      </c>
      <c r="D181" s="68"/>
      <c r="E181" s="73">
        <v>9.9960000000000004</v>
      </c>
      <c r="F181" s="150">
        <v>31237.5</v>
      </c>
      <c r="G181" s="73" t="s">
        <v>7997</v>
      </c>
      <c r="H181" s="182">
        <v>2014</v>
      </c>
      <c r="I181" s="78">
        <f t="shared" si="4"/>
        <v>321.32696851342882</v>
      </c>
    </row>
    <row r="182" spans="3:9" ht="13.9">
      <c r="C182" s="73">
        <v>412</v>
      </c>
      <c r="D182" s="68"/>
      <c r="E182" s="73">
        <v>15.337</v>
      </c>
      <c r="F182" s="150">
        <v>37225.728155339806</v>
      </c>
      <c r="G182" s="73" t="s">
        <v>7997</v>
      </c>
      <c r="H182" s="182">
        <v>2014</v>
      </c>
      <c r="I182" s="78">
        <f t="shared" si="4"/>
        <v>493.0163781603099</v>
      </c>
    </row>
    <row r="183" spans="3:9" ht="13.9">
      <c r="C183" s="73">
        <v>240</v>
      </c>
      <c r="D183" s="68"/>
      <c r="E183" s="73">
        <v>11.637499999999999</v>
      </c>
      <c r="F183" s="150">
        <v>48489.583333333328</v>
      </c>
      <c r="G183" s="73" t="s">
        <v>7997</v>
      </c>
      <c r="H183" s="182">
        <v>2014</v>
      </c>
      <c r="I183" s="78">
        <f t="shared" si="4"/>
        <v>374.09389716636929</v>
      </c>
    </row>
    <row r="184" spans="3:9" ht="13.9">
      <c r="C184" s="73">
        <v>1184</v>
      </c>
      <c r="D184" s="68"/>
      <c r="E184" s="73">
        <v>46.158000000000001</v>
      </c>
      <c r="F184" s="150">
        <v>38984.7972972973</v>
      </c>
      <c r="G184" s="73" t="s">
        <v>7997</v>
      </c>
      <c r="H184" s="182">
        <v>2014</v>
      </c>
      <c r="I184" s="78">
        <f t="shared" si="4"/>
        <v>1483.7745310767154</v>
      </c>
    </row>
    <row r="185" spans="3:9" ht="13.9">
      <c r="C185" s="73">
        <v>70</v>
      </c>
      <c r="D185" s="68"/>
      <c r="E185" s="216">
        <v>2.7829999999999999</v>
      </c>
      <c r="F185" s="150">
        <v>39757.142857142862</v>
      </c>
      <c r="G185" s="73" t="s">
        <v>8272</v>
      </c>
      <c r="H185" s="182">
        <v>2014</v>
      </c>
      <c r="I185" s="78">
        <f t="shared" si="4"/>
        <v>89.461079769194924</v>
      </c>
    </row>
    <row r="186" spans="3:9" ht="13.9">
      <c r="C186" s="73">
        <v>247</v>
      </c>
      <c r="D186" s="68"/>
      <c r="E186" s="73">
        <v>6.7865000000000002</v>
      </c>
      <c r="F186" s="150">
        <v>27475.708502024292</v>
      </c>
      <c r="G186" s="73" t="s">
        <v>8257</v>
      </c>
      <c r="H186" s="182">
        <v>2014</v>
      </c>
      <c r="I186" s="78">
        <f t="shared" si="4"/>
        <v>218.15580950544066</v>
      </c>
    </row>
    <row r="187" spans="3:9" ht="13.9">
      <c r="C187" s="73">
        <v>44.5</v>
      </c>
      <c r="D187" s="68"/>
      <c r="E187" s="216">
        <v>0.749</v>
      </c>
      <c r="F187" s="150">
        <v>16831.460674157301</v>
      </c>
      <c r="G187" s="73" t="s">
        <v>8253</v>
      </c>
      <c r="H187" s="182">
        <v>2014</v>
      </c>
      <c r="I187" s="78">
        <f t="shared" si="4"/>
        <v>24.077020749955796</v>
      </c>
    </row>
    <row r="188" spans="3:9" ht="13.9">
      <c r="C188" s="73"/>
      <c r="D188" s="68"/>
      <c r="E188" s="73"/>
      <c r="F188" s="73"/>
      <c r="G188" s="73" t="s">
        <v>8247</v>
      </c>
      <c r="H188" s="182">
        <v>2014</v>
      </c>
      <c r="I188" s="78">
        <f t="shared" si="4"/>
        <v>0</v>
      </c>
    </row>
    <row r="189" spans="3:9" ht="13.9">
      <c r="C189" s="73"/>
      <c r="D189" s="68"/>
      <c r="E189" s="216">
        <v>0.40179999999999993</v>
      </c>
      <c r="F189" s="73"/>
      <c r="G189" s="73" t="s">
        <v>8250</v>
      </c>
      <c r="H189" s="182">
        <v>2014</v>
      </c>
      <c r="I189" s="78">
        <f t="shared" si="4"/>
        <v>0</v>
      </c>
    </row>
    <row r="190" spans="3:9" ht="13.9">
      <c r="C190" s="73">
        <v>2064</v>
      </c>
      <c r="D190" s="73"/>
      <c r="E190" s="73">
        <v>99.072000000000003</v>
      </c>
      <c r="F190" s="150">
        <v>48000</v>
      </c>
      <c r="G190" s="73" t="s">
        <v>7997</v>
      </c>
      <c r="H190" s="182">
        <v>2014</v>
      </c>
      <c r="I190" s="78">
        <f t="shared" si="4"/>
        <v>3184.7244322291335</v>
      </c>
    </row>
    <row r="191" spans="3:9" ht="13.9">
      <c r="C191" s="73">
        <v>47</v>
      </c>
      <c r="D191" s="73"/>
      <c r="E191" s="216">
        <v>2.3561999999999999</v>
      </c>
      <c r="F191" s="150">
        <v>50131.914893617017</v>
      </c>
      <c r="G191" s="57" t="s">
        <v>8312</v>
      </c>
      <c r="H191" s="182">
        <v>2014</v>
      </c>
      <c r="I191" s="78">
        <f t="shared" si="4"/>
        <v>75.741356863879645</v>
      </c>
    </row>
    <row r="192" spans="3:9" ht="13.9">
      <c r="C192" s="73">
        <v>12</v>
      </c>
      <c r="D192" s="73"/>
      <c r="E192" s="231">
        <v>0.39983999999999997</v>
      </c>
      <c r="F192" s="73">
        <v>33320</v>
      </c>
      <c r="G192" s="57" t="s">
        <v>8315</v>
      </c>
      <c r="H192" s="182">
        <v>2014</v>
      </c>
      <c r="I192" s="78">
        <f t="shared" si="4"/>
        <v>12.853078740537152</v>
      </c>
    </row>
    <row r="193" spans="3:9" ht="13.9">
      <c r="C193" s="73">
        <v>355</v>
      </c>
      <c r="D193" s="226"/>
      <c r="E193" s="73">
        <v>11.4954</v>
      </c>
      <c r="F193" s="150">
        <v>32381.408450704224</v>
      </c>
      <c r="G193" s="57"/>
      <c r="H193" s="182">
        <v>2014</v>
      </c>
      <c r="I193" s="78">
        <f t="shared" si="4"/>
        <v>369.52601379044313</v>
      </c>
    </row>
    <row r="194" spans="3:9" ht="13.9">
      <c r="C194" s="73">
        <v>12527</v>
      </c>
      <c r="D194" s="226"/>
      <c r="E194" s="73">
        <v>524.57039999999995</v>
      </c>
      <c r="F194" s="150">
        <v>41875.181607727303</v>
      </c>
      <c r="G194" s="62" t="s">
        <v>8340</v>
      </c>
      <c r="H194" s="182">
        <v>2014</v>
      </c>
      <c r="I194" s="78">
        <f t="shared" ref="I194:I257" si="5">IFERROR(F194*(C194/SUMIF(H:H,H194,C:C)),0)</f>
        <v>16862.606683060898</v>
      </c>
    </row>
    <row r="195" spans="3:9" ht="13.9">
      <c r="C195" s="73">
        <v>675</v>
      </c>
      <c r="D195" s="73"/>
      <c r="E195" s="216">
        <v>25.625</v>
      </c>
      <c r="F195" s="73">
        <v>37962.962962962964</v>
      </c>
      <c r="G195" s="57" t="s">
        <v>8347</v>
      </c>
      <c r="H195" s="182">
        <v>2014</v>
      </c>
      <c r="I195" s="78">
        <f t="shared" si="5"/>
        <v>823.72984875516329</v>
      </c>
    </row>
    <row r="196" spans="3:9" ht="13.9">
      <c r="C196" s="73">
        <v>2</v>
      </c>
      <c r="D196" s="73"/>
      <c r="E196" s="216">
        <v>0.05</v>
      </c>
      <c r="F196" s="73">
        <v>25000</v>
      </c>
      <c r="G196" s="57" t="s">
        <v>8367</v>
      </c>
      <c r="H196" s="182">
        <v>2014</v>
      </c>
      <c r="I196" s="78">
        <f t="shared" si="5"/>
        <v>1.6072777536686114</v>
      </c>
    </row>
    <row r="197" spans="3:9" ht="13.9">
      <c r="C197" s="73">
        <v>462</v>
      </c>
      <c r="D197" s="73"/>
      <c r="E197" s="216">
        <v>16.945</v>
      </c>
      <c r="F197" s="73">
        <v>36677.48917748918</v>
      </c>
      <c r="G197" s="57" t="s">
        <v>8386</v>
      </c>
      <c r="H197" s="182">
        <v>2014</v>
      </c>
      <c r="I197" s="78">
        <f t="shared" si="5"/>
        <v>544.70643071829249</v>
      </c>
    </row>
    <row r="198" spans="3:9" ht="13.9">
      <c r="C198" s="150">
        <v>3519</v>
      </c>
      <c r="D198" s="150"/>
      <c r="E198" s="215">
        <v>125.335881</v>
      </c>
      <c r="F198" s="150">
        <v>35616.902813299232</v>
      </c>
      <c r="G198" s="61" t="s">
        <v>8390</v>
      </c>
      <c r="H198" s="182">
        <v>2014</v>
      </c>
      <c r="I198" s="78">
        <f t="shared" si="5"/>
        <v>4028.9914653551277</v>
      </c>
    </row>
    <row r="199" spans="3:9" ht="13.9">
      <c r="C199" s="73">
        <v>120</v>
      </c>
      <c r="D199" s="73"/>
      <c r="E199" s="216">
        <v>4.1124999999999998</v>
      </c>
      <c r="F199" s="73">
        <v>34270.833333333336</v>
      </c>
      <c r="G199" s="57" t="s">
        <v>8407</v>
      </c>
      <c r="H199" s="182">
        <v>2014</v>
      </c>
      <c r="I199" s="78">
        <f t="shared" si="5"/>
        <v>132.1985952392433</v>
      </c>
    </row>
    <row r="200" spans="3:9" ht="13.9">
      <c r="C200" s="73">
        <v>4868</v>
      </c>
      <c r="D200" s="73"/>
      <c r="E200" s="216">
        <v>173.97900000000001</v>
      </c>
      <c r="F200" s="73">
        <v>35739.317995069847</v>
      </c>
      <c r="G200" s="57" t="s">
        <v>7997</v>
      </c>
      <c r="H200" s="182">
        <v>2014</v>
      </c>
      <c r="I200" s="78">
        <f t="shared" si="5"/>
        <v>5592.6515261102277</v>
      </c>
    </row>
    <row r="201" spans="3:9" ht="13.9">
      <c r="C201" s="73">
        <v>1110</v>
      </c>
      <c r="D201" s="73"/>
      <c r="E201" s="216">
        <v>45.895499999999998</v>
      </c>
      <c r="F201" s="73">
        <v>41347.297297297293</v>
      </c>
      <c r="G201" s="57" t="s">
        <v>8477</v>
      </c>
      <c r="H201" s="182">
        <v>2013</v>
      </c>
      <c r="I201" s="78">
        <f t="shared" si="5"/>
        <v>5458.8760035682426</v>
      </c>
    </row>
    <row r="202" spans="3:9" ht="13.9">
      <c r="C202" s="226"/>
      <c r="D202" s="226"/>
      <c r="E202" s="257"/>
      <c r="F202" s="226"/>
      <c r="G202" s="63" t="s">
        <v>8462</v>
      </c>
      <c r="H202" s="182">
        <v>2013</v>
      </c>
      <c r="I202" s="78">
        <f t="shared" si="5"/>
        <v>0</v>
      </c>
    </row>
    <row r="203" spans="3:9" ht="13.9">
      <c r="C203" s="73">
        <v>637</v>
      </c>
      <c r="D203" s="73"/>
      <c r="E203" s="216">
        <v>27.295000000000002</v>
      </c>
      <c r="F203" s="73">
        <v>42849.293563579275</v>
      </c>
      <c r="G203" s="57" t="s">
        <v>8473</v>
      </c>
      <c r="H203" s="182">
        <v>2013</v>
      </c>
      <c r="I203" s="78">
        <f t="shared" si="5"/>
        <v>3246.5060957478436</v>
      </c>
    </row>
    <row r="204" spans="3:9" ht="13.9">
      <c r="C204" s="73">
        <v>19</v>
      </c>
      <c r="D204" s="73"/>
      <c r="E204" s="216">
        <v>0.66990000000000005</v>
      </c>
      <c r="F204" s="73">
        <v>35257.894736842107</v>
      </c>
      <c r="G204" s="57" t="s">
        <v>8489</v>
      </c>
      <c r="H204" s="182">
        <v>2013</v>
      </c>
      <c r="I204" s="78">
        <f t="shared" si="5"/>
        <v>79.678858162355041</v>
      </c>
    </row>
    <row r="205" spans="3:9" ht="13.9">
      <c r="C205" s="73">
        <v>574</v>
      </c>
      <c r="D205" s="73"/>
      <c r="E205" s="216">
        <v>19.510000000000002</v>
      </c>
      <c r="F205" s="73">
        <v>33989.547038327531</v>
      </c>
      <c r="G205" s="57" t="s">
        <v>8503</v>
      </c>
      <c r="H205" s="182">
        <v>2013</v>
      </c>
      <c r="I205" s="78">
        <f t="shared" si="5"/>
        <v>2320.5471305382102</v>
      </c>
    </row>
    <row r="206" spans="3:9" ht="13.9">
      <c r="C206" s="73">
        <v>340</v>
      </c>
      <c r="D206" s="73"/>
      <c r="E206" s="216">
        <v>11.5</v>
      </c>
      <c r="F206" s="73">
        <v>33823.529411764706</v>
      </c>
      <c r="G206" s="57" t="s">
        <v>8510</v>
      </c>
      <c r="H206" s="182">
        <v>2013</v>
      </c>
      <c r="I206" s="78">
        <f t="shared" si="5"/>
        <v>1367.8263455248291</v>
      </c>
    </row>
    <row r="207" spans="3:9" ht="13.9">
      <c r="C207" s="73">
        <v>1075</v>
      </c>
      <c r="D207" s="73"/>
      <c r="E207" s="216">
        <v>33.139204999999997</v>
      </c>
      <c r="F207" s="73">
        <v>30827.167441860463</v>
      </c>
      <c r="G207" s="57" t="s">
        <v>8517</v>
      </c>
      <c r="H207" s="182">
        <v>2013</v>
      </c>
      <c r="I207" s="78">
        <f t="shared" si="5"/>
        <v>3941.6241451085339</v>
      </c>
    </row>
    <row r="208" spans="3:9" ht="13.9">
      <c r="C208" s="73">
        <v>100</v>
      </c>
      <c r="D208" s="73"/>
      <c r="E208" s="216">
        <v>3.4350000000000001</v>
      </c>
      <c r="F208" s="73">
        <v>34350</v>
      </c>
      <c r="G208" s="57" t="s">
        <v>8605</v>
      </c>
      <c r="H208" s="182">
        <v>2013</v>
      </c>
      <c r="I208" s="78">
        <f t="shared" si="5"/>
        <v>408.56378233719897</v>
      </c>
    </row>
    <row r="209" spans="3:9" ht="13.9">
      <c r="C209" s="73">
        <v>145</v>
      </c>
      <c r="D209" s="73"/>
      <c r="E209" s="216">
        <v>5.3586</v>
      </c>
      <c r="F209" s="73">
        <v>36955.862068965522</v>
      </c>
      <c r="G209" s="57" t="s">
        <v>8591</v>
      </c>
      <c r="H209" s="182">
        <v>2013</v>
      </c>
      <c r="I209" s="78">
        <f t="shared" si="5"/>
        <v>637.35950044603044</v>
      </c>
    </row>
    <row r="210" spans="3:9" ht="13.9">
      <c r="C210" s="73">
        <v>50</v>
      </c>
      <c r="D210" s="73"/>
      <c r="E210" s="216">
        <v>2.4961000000000002</v>
      </c>
      <c r="F210" s="73">
        <v>49922</v>
      </c>
      <c r="G210" s="57" t="s">
        <v>8618</v>
      </c>
      <c r="H210" s="182">
        <v>2013</v>
      </c>
      <c r="I210" s="78">
        <f t="shared" si="5"/>
        <v>296.88968183169789</v>
      </c>
    </row>
    <row r="211" spans="3:9" ht="13.9">
      <c r="C211" s="73">
        <v>209</v>
      </c>
      <c r="D211" s="73"/>
      <c r="E211" s="216">
        <v>7.6257000000000001</v>
      </c>
      <c r="F211" s="73">
        <v>36486.602870813404</v>
      </c>
      <c r="G211" s="63" t="s">
        <v>8621</v>
      </c>
      <c r="H211" s="182">
        <v>2013</v>
      </c>
      <c r="I211" s="78">
        <f t="shared" si="5"/>
        <v>907.01159678858187</v>
      </c>
    </row>
    <row r="212" spans="3:9" ht="13.9">
      <c r="C212" s="73">
        <v>50</v>
      </c>
      <c r="D212" s="73"/>
      <c r="E212" s="216">
        <v>0</v>
      </c>
      <c r="F212" s="73">
        <v>0</v>
      </c>
      <c r="G212" s="63" t="s">
        <v>8640</v>
      </c>
      <c r="H212" s="182">
        <v>2013</v>
      </c>
      <c r="I212" s="78">
        <f t="shared" si="5"/>
        <v>0</v>
      </c>
    </row>
    <row r="213" spans="3:9" ht="13.9">
      <c r="C213" s="73">
        <v>42.5</v>
      </c>
      <c r="D213" s="73"/>
      <c r="E213" s="216">
        <v>1.7724169999999999</v>
      </c>
      <c r="F213" s="73">
        <v>41703.929411764708</v>
      </c>
      <c r="G213" s="57" t="s">
        <v>8660</v>
      </c>
      <c r="H213" s="182">
        <v>2013</v>
      </c>
      <c r="I213" s="78">
        <f t="shared" si="5"/>
        <v>210.81379720487661</v>
      </c>
    </row>
    <row r="214" spans="3:9" ht="13.9">
      <c r="C214" s="73">
        <v>1756</v>
      </c>
      <c r="D214" s="73"/>
      <c r="E214" s="216">
        <v>62.2896</v>
      </c>
      <c r="F214" s="73">
        <v>35472.437357630981</v>
      </c>
      <c r="G214" s="57" t="s">
        <v>8618</v>
      </c>
      <c r="H214" s="182">
        <v>2013</v>
      </c>
      <c r="I214" s="78">
        <f t="shared" si="5"/>
        <v>7408.8135593220341</v>
      </c>
    </row>
    <row r="215" spans="3:9" ht="13.9">
      <c r="C215" s="73">
        <v>22</v>
      </c>
      <c r="D215" s="73"/>
      <c r="E215" s="216">
        <v>0.84360000000000002</v>
      </c>
      <c r="F215" s="73">
        <v>38345.454545454544</v>
      </c>
      <c r="G215" s="57" t="s">
        <v>8675</v>
      </c>
      <c r="H215" s="182">
        <v>2013</v>
      </c>
      <c r="I215" s="78">
        <f t="shared" si="5"/>
        <v>100.33898305084746</v>
      </c>
    </row>
    <row r="216" spans="3:9" ht="13.9">
      <c r="C216" s="73">
        <v>432</v>
      </c>
      <c r="D216" s="73"/>
      <c r="E216" s="216">
        <v>20.7</v>
      </c>
      <c r="F216" s="73">
        <v>47916.666666666664</v>
      </c>
      <c r="G216" s="57" t="s">
        <v>8692</v>
      </c>
      <c r="H216" s="182">
        <v>2013</v>
      </c>
      <c r="I216" s="78">
        <f t="shared" si="5"/>
        <v>2462.0874219446923</v>
      </c>
    </row>
    <row r="217" spans="3:9" ht="13.9">
      <c r="C217" s="73">
        <v>240</v>
      </c>
      <c r="D217" s="73"/>
      <c r="E217" s="216">
        <v>5.4720000000000004</v>
      </c>
      <c r="F217" s="73">
        <v>22800</v>
      </c>
      <c r="G217" s="57" t="s">
        <v>8695</v>
      </c>
      <c r="H217" s="182">
        <v>2013</v>
      </c>
      <c r="I217" s="78">
        <f t="shared" si="5"/>
        <v>650.84745762711862</v>
      </c>
    </row>
    <row r="218" spans="3:9" ht="13.9">
      <c r="C218" s="73">
        <v>21</v>
      </c>
      <c r="D218" s="73"/>
      <c r="E218" s="216">
        <v>1.2927599999999999</v>
      </c>
      <c r="F218" s="73">
        <v>61560</v>
      </c>
      <c r="G218" s="57" t="s">
        <v>8675</v>
      </c>
      <c r="H218" s="182">
        <v>2013</v>
      </c>
      <c r="I218" s="78">
        <f t="shared" si="5"/>
        <v>153.76271186440678</v>
      </c>
    </row>
    <row r="219" spans="3:9" ht="13.9">
      <c r="C219" s="73">
        <v>1350</v>
      </c>
      <c r="D219" s="73"/>
      <c r="E219" s="216">
        <v>35.64</v>
      </c>
      <c r="F219" s="73">
        <v>26400</v>
      </c>
      <c r="G219" s="57" t="s">
        <v>8707</v>
      </c>
      <c r="H219" s="182">
        <v>2013</v>
      </c>
      <c r="I219" s="78">
        <f t="shared" si="5"/>
        <v>4239.0722569134696</v>
      </c>
    </row>
    <row r="220" spans="3:9" ht="13.9">
      <c r="C220" s="73">
        <v>235</v>
      </c>
      <c r="D220" s="73"/>
      <c r="E220" s="216">
        <v>8.6183999999999994</v>
      </c>
      <c r="F220" s="73">
        <v>36674.042553191488</v>
      </c>
      <c r="G220" s="57" t="s">
        <v>8711</v>
      </c>
      <c r="H220" s="182">
        <v>2013</v>
      </c>
      <c r="I220" s="78">
        <f t="shared" si="5"/>
        <v>1025.0847457627117</v>
      </c>
    </row>
    <row r="221" spans="3:9" ht="13.9">
      <c r="C221" s="73">
        <v>455</v>
      </c>
      <c r="D221" s="73"/>
      <c r="E221" s="216">
        <v>16.302</v>
      </c>
      <c r="F221" s="73">
        <v>35828.571428571428</v>
      </c>
      <c r="G221" s="57" t="s">
        <v>8744</v>
      </c>
      <c r="H221" s="182">
        <v>2012</v>
      </c>
      <c r="I221" s="78">
        <f t="shared" si="5"/>
        <v>797.76847977684804</v>
      </c>
    </row>
    <row r="222" spans="3:9" ht="13.9">
      <c r="C222" s="73">
        <v>170</v>
      </c>
      <c r="D222" s="73"/>
      <c r="E222" s="216">
        <v>7.1820000000000004</v>
      </c>
      <c r="F222" s="73">
        <v>42247.058823529413</v>
      </c>
      <c r="G222" s="57" t="s">
        <v>8761</v>
      </c>
      <c r="H222" s="182">
        <v>2012</v>
      </c>
      <c r="I222" s="78">
        <f t="shared" si="5"/>
        <v>351.46443514644352</v>
      </c>
    </row>
    <row r="223" spans="3:9" ht="13.9">
      <c r="C223" s="73">
        <v>2094</v>
      </c>
      <c r="D223" s="73"/>
      <c r="E223" s="216">
        <v>77.406000000000006</v>
      </c>
      <c r="F223" s="73">
        <v>36965.616045845272</v>
      </c>
      <c r="G223" s="57" t="s">
        <v>8695</v>
      </c>
      <c r="H223" s="182">
        <v>2012</v>
      </c>
      <c r="I223" s="78">
        <f t="shared" si="5"/>
        <v>3788.0055788005579</v>
      </c>
    </row>
    <row r="224" spans="3:9" ht="13.9">
      <c r="C224" s="73">
        <v>154</v>
      </c>
      <c r="D224" s="73"/>
      <c r="E224" s="216">
        <v>5.7683999999999997</v>
      </c>
      <c r="F224" s="73">
        <v>37457.142857142855</v>
      </c>
      <c r="G224" s="57" t="s">
        <v>8769</v>
      </c>
      <c r="H224" s="182">
        <v>2012</v>
      </c>
      <c r="I224" s="78">
        <f t="shared" si="5"/>
        <v>282.28730822873081</v>
      </c>
    </row>
    <row r="225" spans="3:9" ht="13.9">
      <c r="C225" s="73">
        <v>1125</v>
      </c>
      <c r="D225" s="73"/>
      <c r="E225" s="216">
        <v>45.387999999999998</v>
      </c>
      <c r="F225" s="73">
        <v>40344.888888888891</v>
      </c>
      <c r="G225" s="57" t="s">
        <v>8695</v>
      </c>
      <c r="H225" s="182">
        <v>2012</v>
      </c>
      <c r="I225" s="78">
        <f t="shared" si="5"/>
        <v>2221.1456115882456</v>
      </c>
    </row>
    <row r="226" spans="3:9" ht="13.9">
      <c r="C226" s="73">
        <v>80</v>
      </c>
      <c r="D226" s="73"/>
      <c r="E226" s="216">
        <v>2.964</v>
      </c>
      <c r="F226" s="73">
        <v>37050</v>
      </c>
      <c r="G226" s="57" t="s">
        <v>8772</v>
      </c>
      <c r="H226" s="182">
        <v>2012</v>
      </c>
      <c r="I226" s="78">
        <f t="shared" si="5"/>
        <v>145.04881450488145</v>
      </c>
    </row>
    <row r="227" spans="3:9" ht="13.9">
      <c r="C227" s="73">
        <v>1310</v>
      </c>
      <c r="D227" s="73"/>
      <c r="E227" s="216">
        <v>44.809800000000003</v>
      </c>
      <c r="F227" s="73">
        <v>34205.954198473286</v>
      </c>
      <c r="G227" s="57" t="s">
        <v>8591</v>
      </c>
      <c r="H227" s="182">
        <v>2012</v>
      </c>
      <c r="I227" s="78">
        <f t="shared" si="5"/>
        <v>2192.850326653454</v>
      </c>
    </row>
    <row r="228" spans="3:9" ht="13.9">
      <c r="C228" s="73">
        <v>85</v>
      </c>
      <c r="D228" s="73"/>
      <c r="E228" s="216">
        <v>4.4550000000000001</v>
      </c>
      <c r="F228" s="73">
        <v>52411.76470588235</v>
      </c>
      <c r="G228" s="57" t="s">
        <v>8827</v>
      </c>
      <c r="H228" s="182">
        <v>2012</v>
      </c>
      <c r="I228" s="78">
        <f t="shared" si="5"/>
        <v>218.01365338031266</v>
      </c>
    </row>
    <row r="229" spans="3:9" ht="13.9">
      <c r="C229" s="73">
        <v>30</v>
      </c>
      <c r="D229" s="73"/>
      <c r="E229" s="216">
        <v>0.67777699999999996</v>
      </c>
      <c r="F229" s="73">
        <v>22592.566666666666</v>
      </c>
      <c r="G229" s="57" t="s">
        <v>8820</v>
      </c>
      <c r="H229" s="182">
        <v>2012</v>
      </c>
      <c r="I229" s="78">
        <f t="shared" si="5"/>
        <v>33.168269348405879</v>
      </c>
    </row>
    <row r="230" spans="3:9" ht="13.9">
      <c r="C230" s="73">
        <v>36</v>
      </c>
      <c r="D230" s="73"/>
      <c r="E230" s="216">
        <v>2.0249999999999999</v>
      </c>
      <c r="F230" s="73">
        <v>56249.999999999993</v>
      </c>
      <c r="G230" s="57" t="s">
        <v>8835</v>
      </c>
      <c r="H230" s="182">
        <v>2012</v>
      </c>
      <c r="I230" s="78">
        <f t="shared" si="5"/>
        <v>99.097115172869394</v>
      </c>
    </row>
    <row r="231" spans="3:9" ht="13.9">
      <c r="C231" s="73">
        <v>85</v>
      </c>
      <c r="D231" s="73"/>
      <c r="E231" s="216">
        <v>1.9125000000000001</v>
      </c>
      <c r="F231" s="73">
        <v>22500.000000000004</v>
      </c>
      <c r="G231" s="57" t="s">
        <v>8817</v>
      </c>
      <c r="H231" s="182">
        <v>2012</v>
      </c>
      <c r="I231" s="78">
        <f t="shared" si="5"/>
        <v>93.591719885487791</v>
      </c>
    </row>
    <row r="232" spans="3:9" ht="13.9">
      <c r="C232" s="73">
        <v>55</v>
      </c>
      <c r="D232" s="73"/>
      <c r="E232" s="216">
        <v>2.2725</v>
      </c>
      <c r="F232" s="73">
        <v>41318.181818181816</v>
      </c>
      <c r="G232" s="57" t="s">
        <v>8846</v>
      </c>
      <c r="H232" s="182">
        <v>2012</v>
      </c>
      <c r="I232" s="78">
        <f t="shared" si="5"/>
        <v>111.208984805109</v>
      </c>
    </row>
    <row r="233" spans="3:9" ht="13.9">
      <c r="C233" s="73">
        <v>825</v>
      </c>
      <c r="D233" s="73"/>
      <c r="E233" s="216">
        <v>35.933999999999997</v>
      </c>
      <c r="F233" s="73">
        <v>43556.36363636364</v>
      </c>
      <c r="G233" s="57" t="s">
        <v>8860</v>
      </c>
      <c r="H233" s="182">
        <v>2012</v>
      </c>
      <c r="I233" s="78">
        <f t="shared" si="5"/>
        <v>1758.4966600601927</v>
      </c>
    </row>
    <row r="234" spans="3:9" ht="13.9">
      <c r="C234" s="73">
        <v>580</v>
      </c>
      <c r="D234" s="73"/>
      <c r="E234" s="216">
        <v>22.5548</v>
      </c>
      <c r="F234" s="73">
        <v>38887.586206896551</v>
      </c>
      <c r="G234" s="57" t="s">
        <v>8863</v>
      </c>
      <c r="H234" s="182">
        <v>2012</v>
      </c>
      <c r="I234" s="78">
        <f t="shared" si="5"/>
        <v>1103.760796691869</v>
      </c>
    </row>
    <row r="235" spans="3:9" ht="13.9">
      <c r="C235" s="73">
        <v>300</v>
      </c>
      <c r="D235" s="73"/>
      <c r="E235" s="216">
        <v>11.3226</v>
      </c>
      <c r="F235" s="73">
        <v>37742</v>
      </c>
      <c r="G235" s="57" t="s">
        <v>8866</v>
      </c>
      <c r="H235" s="182">
        <v>2012</v>
      </c>
      <c r="I235" s="78">
        <f t="shared" si="5"/>
        <v>554.09234383028695</v>
      </c>
    </row>
    <row r="236" spans="3:9" ht="13.9">
      <c r="C236" s="73">
        <v>2210</v>
      </c>
      <c r="D236" s="73"/>
      <c r="E236" s="216">
        <v>64.642499999999998</v>
      </c>
      <c r="F236" s="73">
        <v>29250</v>
      </c>
      <c r="G236" s="57" t="s">
        <v>8888</v>
      </c>
      <c r="H236" s="182">
        <v>2012</v>
      </c>
      <c r="I236" s="78">
        <f t="shared" si="5"/>
        <v>3163.4001321294872</v>
      </c>
    </row>
    <row r="237" spans="3:9" ht="13.9">
      <c r="C237" s="73">
        <v>625</v>
      </c>
      <c r="D237" s="73"/>
      <c r="E237" s="216">
        <v>26.797499999999999</v>
      </c>
      <c r="F237" s="73">
        <v>42876</v>
      </c>
      <c r="G237" s="57" t="s">
        <v>8876</v>
      </c>
      <c r="H237" s="182">
        <v>2012</v>
      </c>
      <c r="I237" s="78">
        <f t="shared" si="5"/>
        <v>1311.3851574543053</v>
      </c>
    </row>
    <row r="238" spans="3:9" ht="13.9">
      <c r="C238" s="73">
        <v>865</v>
      </c>
      <c r="D238" s="73"/>
      <c r="E238" s="216">
        <v>35.19</v>
      </c>
      <c r="F238" s="73">
        <v>40682.080924855487</v>
      </c>
      <c r="G238" s="57" t="s">
        <v>8884</v>
      </c>
      <c r="H238" s="182">
        <v>2012</v>
      </c>
      <c r="I238" s="78">
        <f t="shared" si="5"/>
        <v>1722.0876458929749</v>
      </c>
    </row>
    <row r="239" spans="3:9" ht="13.9">
      <c r="C239" s="73">
        <v>85</v>
      </c>
      <c r="D239" s="73"/>
      <c r="E239" s="216">
        <v>2.1037500000000007</v>
      </c>
      <c r="F239" s="73">
        <v>24750.000000000007</v>
      </c>
      <c r="G239" s="57" t="s">
        <v>9389</v>
      </c>
      <c r="H239" s="182">
        <v>2012</v>
      </c>
      <c r="I239" s="78">
        <f t="shared" si="5"/>
        <v>102.95089187403657</v>
      </c>
    </row>
    <row r="240" spans="3:9" ht="13.9">
      <c r="C240" s="73">
        <v>127.5</v>
      </c>
      <c r="D240" s="73"/>
      <c r="E240" s="216">
        <v>3.1680000000000006</v>
      </c>
      <c r="F240" s="73">
        <v>24847.058823529416</v>
      </c>
      <c r="G240" s="57" t="s">
        <v>8894</v>
      </c>
      <c r="H240" s="182">
        <v>2012</v>
      </c>
      <c r="I240" s="78">
        <f t="shared" si="5"/>
        <v>155.03193129266685</v>
      </c>
    </row>
    <row r="241" spans="3:9" ht="13.9">
      <c r="C241" s="73">
        <v>7893</v>
      </c>
      <c r="D241" s="73"/>
      <c r="E241" s="216">
        <v>178.5504</v>
      </c>
      <c r="F241" s="73">
        <v>22621.360699353856</v>
      </c>
      <c r="G241" s="57" t="s">
        <v>8898</v>
      </c>
      <c r="H241" s="182">
        <v>2012</v>
      </c>
      <c r="I241" s="78">
        <f t="shared" si="5"/>
        <v>8737.6936064009387</v>
      </c>
    </row>
    <row r="242" spans="3:9" ht="13.9">
      <c r="C242" s="73">
        <v>735</v>
      </c>
      <c r="D242" s="73"/>
      <c r="E242" s="216">
        <v>34.809600000000003</v>
      </c>
      <c r="F242" s="73">
        <v>47360.000000000007</v>
      </c>
      <c r="G242" s="57" t="s">
        <v>8909</v>
      </c>
      <c r="H242" s="89">
        <v>2012</v>
      </c>
      <c r="I242" s="78">
        <f t="shared" si="5"/>
        <v>1703.4720692945757</v>
      </c>
    </row>
    <row r="243" spans="3:9" ht="13.9">
      <c r="C243" s="73">
        <v>510</v>
      </c>
      <c r="D243" s="73"/>
      <c r="E243" s="216">
        <v>42</v>
      </c>
      <c r="F243" s="73">
        <v>82352.941176470587</v>
      </c>
      <c r="G243" s="63" t="s">
        <v>8920</v>
      </c>
      <c r="H243" s="182">
        <v>2012</v>
      </c>
      <c r="I243" s="78">
        <f t="shared" si="5"/>
        <v>2055.3475739558103</v>
      </c>
    </row>
    <row r="244" spans="3:9" ht="13.9">
      <c r="C244" s="73">
        <v>443</v>
      </c>
      <c r="D244" s="73"/>
      <c r="E244" s="216">
        <v>12.21</v>
      </c>
      <c r="F244" s="73">
        <v>27562.076749435666</v>
      </c>
      <c r="G244" s="57" t="s">
        <v>8934</v>
      </c>
      <c r="H244" s="182">
        <v>2011</v>
      </c>
      <c r="I244" s="78">
        <f t="shared" si="5"/>
        <v>865.25129084301318</v>
      </c>
    </row>
    <row r="245" spans="3:9" ht="13.9">
      <c r="C245" s="73">
        <v>136</v>
      </c>
      <c r="D245" s="73"/>
      <c r="E245" s="216">
        <v>4.4400000000000004</v>
      </c>
      <c r="F245" s="73">
        <v>32647.058823529416</v>
      </c>
      <c r="G245" s="57" t="s">
        <v>8937</v>
      </c>
      <c r="H245" s="182">
        <v>2011</v>
      </c>
      <c r="I245" s="78">
        <f t="shared" si="5"/>
        <v>314.636833033823</v>
      </c>
    </row>
    <row r="246" spans="3:9" ht="13.9">
      <c r="C246" s="223">
        <v>220</v>
      </c>
      <c r="D246" s="223"/>
      <c r="E246" s="216">
        <v>7.2267000000000001</v>
      </c>
      <c r="F246" s="73">
        <v>32848.636363636368</v>
      </c>
      <c r="G246" s="57" t="s">
        <v>8952</v>
      </c>
      <c r="H246" s="182">
        <v>2011</v>
      </c>
      <c r="I246" s="78">
        <f t="shared" si="5"/>
        <v>512.11396425349744</v>
      </c>
    </row>
    <row r="247" spans="3:9" ht="13.9">
      <c r="C247" s="73">
        <v>845</v>
      </c>
      <c r="D247" s="73"/>
      <c r="E247" s="216">
        <v>37.179090000000002</v>
      </c>
      <c r="F247" s="73">
        <v>43998.923076923078</v>
      </c>
      <c r="G247" s="57" t="s">
        <v>8955</v>
      </c>
      <c r="H247" s="182">
        <v>2011</v>
      </c>
      <c r="I247" s="78">
        <f t="shared" si="5"/>
        <v>2634.6646695224049</v>
      </c>
    </row>
    <row r="248" spans="3:9" ht="13.9">
      <c r="C248" s="73">
        <v>1353</v>
      </c>
      <c r="D248" s="73"/>
      <c r="E248" s="216">
        <v>31.295000000000002</v>
      </c>
      <c r="F248" s="73">
        <v>23130.08130081301</v>
      </c>
      <c r="G248" s="63" t="s">
        <v>8959</v>
      </c>
      <c r="H248" s="182">
        <v>2011</v>
      </c>
      <c r="I248" s="78">
        <f t="shared" si="5"/>
        <v>2217.6936238273629</v>
      </c>
    </row>
    <row r="249" spans="3:9" ht="13.9">
      <c r="C249" s="223">
        <v>3336</v>
      </c>
      <c r="D249" s="223"/>
      <c r="E249" s="216">
        <v>62.662500000000001</v>
      </c>
      <c r="F249" s="73">
        <v>18783.723021582733</v>
      </c>
      <c r="G249" s="57" t="s">
        <v>8962</v>
      </c>
      <c r="H249" s="182">
        <v>2011</v>
      </c>
      <c r="I249" s="78">
        <f t="shared" si="5"/>
        <v>4440.5248986445795</v>
      </c>
    </row>
    <row r="250" spans="3:9" ht="13.9">
      <c r="C250" s="223">
        <v>180</v>
      </c>
      <c r="D250" s="223"/>
      <c r="E250" s="216">
        <v>8.5200000000000014</v>
      </c>
      <c r="F250" s="73">
        <v>47333.333333333336</v>
      </c>
      <c r="G250" s="57" t="s">
        <v>8966</v>
      </c>
      <c r="H250" s="182">
        <v>2011</v>
      </c>
      <c r="I250" s="78">
        <f t="shared" si="5"/>
        <v>603.76257149733601</v>
      </c>
    </row>
    <row r="251" spans="3:9" ht="13.9">
      <c r="C251" s="223"/>
      <c r="D251" s="223"/>
      <c r="E251" s="216"/>
      <c r="F251" s="73" t="s">
        <v>134</v>
      </c>
      <c r="G251" s="57" t="s">
        <v>8970</v>
      </c>
      <c r="H251" s="182">
        <v>2011</v>
      </c>
      <c r="I251" s="78">
        <f t="shared" si="5"/>
        <v>0</v>
      </c>
    </row>
    <row r="252" spans="3:9" ht="13.9">
      <c r="C252" s="223">
        <v>373</v>
      </c>
      <c r="D252" s="223"/>
      <c r="E252" s="216">
        <v>9.3249999999999993</v>
      </c>
      <c r="F252" s="73">
        <v>24999.999999999996</v>
      </c>
      <c r="G252" s="57" t="s">
        <v>8994</v>
      </c>
      <c r="H252" s="182">
        <v>2011</v>
      </c>
      <c r="I252" s="78">
        <f t="shared" si="5"/>
        <v>660.80821352261228</v>
      </c>
    </row>
    <row r="253" spans="3:9" ht="13.9">
      <c r="C253" s="223">
        <v>320</v>
      </c>
      <c r="D253" s="223"/>
      <c r="E253" s="216">
        <v>7.2</v>
      </c>
      <c r="F253" s="73">
        <v>22500</v>
      </c>
      <c r="G253" s="57" t="s">
        <v>9014</v>
      </c>
      <c r="H253" s="182">
        <v>2011</v>
      </c>
      <c r="I253" s="78">
        <f t="shared" si="5"/>
        <v>510.22189140619946</v>
      </c>
    </row>
    <row r="254" spans="3:9" ht="13.9">
      <c r="C254" s="223">
        <v>63</v>
      </c>
      <c r="D254" s="223"/>
      <c r="E254" s="216">
        <v>1.405</v>
      </c>
      <c r="F254" s="73">
        <v>22301.5873015873</v>
      </c>
      <c r="G254" s="57" t="s">
        <v>8327</v>
      </c>
      <c r="H254" s="182">
        <v>2011</v>
      </c>
      <c r="I254" s="78">
        <f t="shared" si="5"/>
        <v>99.564132975793086</v>
      </c>
    </row>
    <row r="255" spans="3:9" ht="13.9">
      <c r="C255" s="223"/>
      <c r="D255" s="223"/>
      <c r="E255" s="216"/>
      <c r="F255" s="73" t="s">
        <v>134</v>
      </c>
      <c r="G255" s="57" t="s">
        <v>8331</v>
      </c>
      <c r="H255" s="182">
        <v>2011</v>
      </c>
      <c r="I255" s="78">
        <f t="shared" si="5"/>
        <v>0</v>
      </c>
    </row>
    <row r="256" spans="3:9" ht="13.9">
      <c r="C256" s="223">
        <v>600</v>
      </c>
      <c r="D256" s="223"/>
      <c r="E256" s="216">
        <v>13.5</v>
      </c>
      <c r="F256" s="73">
        <v>22500</v>
      </c>
      <c r="G256" s="63" t="s">
        <v>8997</v>
      </c>
      <c r="H256" s="182">
        <v>2011</v>
      </c>
      <c r="I256" s="78">
        <f t="shared" si="5"/>
        <v>956.66604638662386</v>
      </c>
    </row>
    <row r="257" spans="3:9" ht="13.9">
      <c r="C257" s="223">
        <v>309</v>
      </c>
      <c r="D257" s="223"/>
      <c r="E257" s="216">
        <v>8.0856960000000004</v>
      </c>
      <c r="F257" s="73">
        <v>26167.300970873788</v>
      </c>
      <c r="G257" s="57" t="s">
        <v>9001</v>
      </c>
      <c r="H257" s="182">
        <v>2011</v>
      </c>
      <c r="I257" s="78">
        <f t="shared" si="5"/>
        <v>572.98598700771413</v>
      </c>
    </row>
    <row r="258" spans="3:9" ht="13.9">
      <c r="C258" s="223">
        <v>1341</v>
      </c>
      <c r="D258" s="223"/>
      <c r="E258" s="216">
        <v>42.493848</v>
      </c>
      <c r="F258" s="73">
        <v>31688.178970917226</v>
      </c>
      <c r="G258" s="57" t="s">
        <v>9005</v>
      </c>
      <c r="H258" s="182">
        <v>2011</v>
      </c>
      <c r="I258" s="78">
        <f t="shared" ref="I258:I289" si="6">IFERROR(F258*(C258/SUMIF(H:H,H258,C:C)),0)</f>
        <v>3011.2904860677149</v>
      </c>
    </row>
    <row r="259" spans="3:9" ht="13.9">
      <c r="C259" s="223">
        <v>154.80000000000001</v>
      </c>
      <c r="D259" s="223"/>
      <c r="E259" s="216">
        <v>2.2337639999999999</v>
      </c>
      <c r="F259" s="73">
        <v>14429.999999999998</v>
      </c>
      <c r="G259" s="57" t="s">
        <v>8336</v>
      </c>
      <c r="H259" s="182">
        <v>2011</v>
      </c>
      <c r="I259" s="78">
        <f t="shared" si="6"/>
        <v>158.29379069931633</v>
      </c>
    </row>
    <row r="260" spans="3:9" ht="13.9">
      <c r="C260" s="223">
        <v>1770</v>
      </c>
      <c r="D260" s="223"/>
      <c r="E260" s="216">
        <v>54.157499999999999</v>
      </c>
      <c r="F260" s="73">
        <v>30597.457627118642</v>
      </c>
      <c r="G260" s="57" t="s">
        <v>9018</v>
      </c>
      <c r="H260" s="182">
        <v>2011</v>
      </c>
      <c r="I260" s="78">
        <f t="shared" si="6"/>
        <v>3837.8252894210063</v>
      </c>
    </row>
    <row r="261" spans="3:9" ht="13.9">
      <c r="C261" s="223">
        <v>94.3</v>
      </c>
      <c r="D261" s="223"/>
      <c r="E261" s="216">
        <v>2.2631999999999999</v>
      </c>
      <c r="F261" s="73">
        <v>24000</v>
      </c>
      <c r="G261" s="57" t="s">
        <v>9025</v>
      </c>
      <c r="H261" s="182">
        <v>2011</v>
      </c>
      <c r="I261" s="78">
        <f t="shared" si="6"/>
        <v>160.37974786534869</v>
      </c>
    </row>
    <row r="262" spans="3:9" ht="13.9">
      <c r="C262" s="223">
        <v>208</v>
      </c>
      <c r="D262" s="223"/>
      <c r="E262" s="216">
        <v>7.7470199999999991</v>
      </c>
      <c r="F262" s="73">
        <v>37245.288461538454</v>
      </c>
      <c r="G262" s="64" t="s">
        <v>8344</v>
      </c>
      <c r="H262" s="182">
        <v>2011</v>
      </c>
      <c r="I262" s="78">
        <f t="shared" si="6"/>
        <v>548.98599960578531</v>
      </c>
    </row>
    <row r="263" spans="3:9" ht="13.9">
      <c r="C263" s="223"/>
      <c r="D263" s="223"/>
      <c r="E263" s="216"/>
      <c r="F263" s="73" t="s">
        <v>134</v>
      </c>
      <c r="G263" s="57" t="s">
        <v>8349</v>
      </c>
      <c r="H263" s="182">
        <v>2011</v>
      </c>
      <c r="I263" s="78">
        <f t="shared" si="6"/>
        <v>0</v>
      </c>
    </row>
    <row r="264" spans="3:9" ht="13.9">
      <c r="C264" s="223">
        <v>75</v>
      </c>
      <c r="D264" s="223"/>
      <c r="E264" s="216">
        <v>1.8220000000000001</v>
      </c>
      <c r="F264" s="73">
        <v>24293.333333333332</v>
      </c>
      <c r="G264" s="57" t="s">
        <v>9040</v>
      </c>
      <c r="H264" s="182">
        <v>2011</v>
      </c>
      <c r="I264" s="78">
        <f t="shared" si="6"/>
        <v>129.11448418640211</v>
      </c>
    </row>
    <row r="265" spans="3:9" ht="13.9">
      <c r="C265" s="223">
        <v>1080</v>
      </c>
      <c r="D265" s="223"/>
      <c r="E265" s="216">
        <v>69.551999999999992</v>
      </c>
      <c r="F265" s="73">
        <v>64400</v>
      </c>
      <c r="G265" s="57" t="s">
        <v>9050</v>
      </c>
      <c r="H265" s="182">
        <v>2011</v>
      </c>
      <c r="I265" s="78">
        <f t="shared" si="6"/>
        <v>4928.7434709838872</v>
      </c>
    </row>
    <row r="266" spans="3:9" ht="13.9">
      <c r="C266" s="223">
        <v>350</v>
      </c>
      <c r="D266" s="223"/>
      <c r="E266" s="234">
        <v>17.5501</v>
      </c>
      <c r="F266" s="73">
        <v>50143.142857142855</v>
      </c>
      <c r="G266" s="65" t="s">
        <v>9060</v>
      </c>
      <c r="H266" s="182">
        <v>2011</v>
      </c>
      <c r="I266" s="78">
        <f t="shared" si="6"/>
        <v>1243.6729467177695</v>
      </c>
    </row>
    <row r="267" spans="3:9" ht="13.9">
      <c r="C267" s="223"/>
      <c r="D267" s="223"/>
      <c r="E267" s="234">
        <v>19.600000000000001</v>
      </c>
      <c r="F267" s="73" t="s">
        <v>134</v>
      </c>
      <c r="G267" s="65" t="s">
        <v>9064</v>
      </c>
      <c r="H267" s="182">
        <v>2011</v>
      </c>
      <c r="I267" s="78">
        <f t="shared" si="6"/>
        <v>0</v>
      </c>
    </row>
    <row r="268" spans="3:9" ht="13.9">
      <c r="C268" s="223">
        <v>860.4074074074075</v>
      </c>
      <c r="D268" s="223"/>
      <c r="E268" s="234">
        <v>22.2</v>
      </c>
      <c r="F268" s="73">
        <v>25801.730446386289</v>
      </c>
      <c r="G268" s="65" t="s">
        <v>9071</v>
      </c>
      <c r="H268" s="182">
        <v>2011</v>
      </c>
      <c r="I268" s="78">
        <f t="shared" si="6"/>
        <v>1573.1841651691147</v>
      </c>
    </row>
    <row r="269" spans="3:9" ht="13.9">
      <c r="C269" s="223">
        <v>475</v>
      </c>
      <c r="D269" s="223"/>
      <c r="E269" s="234">
        <v>10.175000000000001</v>
      </c>
      <c r="F269" s="73">
        <v>21421.052631578947</v>
      </c>
      <c r="G269" s="66" t="s">
        <v>9080</v>
      </c>
      <c r="H269" s="182">
        <v>2010</v>
      </c>
      <c r="I269" s="78">
        <f t="shared" si="6"/>
        <v>1174.8066043182082</v>
      </c>
    </row>
    <row r="270" spans="3:9" ht="13.9">
      <c r="C270" s="223">
        <v>125</v>
      </c>
      <c r="D270" s="223"/>
      <c r="E270" s="234">
        <v>3.43</v>
      </c>
      <c r="F270" s="73">
        <v>27440.000000000004</v>
      </c>
      <c r="G270" s="66" t="s">
        <v>9087</v>
      </c>
      <c r="H270" s="182">
        <v>2010</v>
      </c>
      <c r="I270" s="78">
        <f t="shared" si="6"/>
        <v>396.02817226648199</v>
      </c>
    </row>
    <row r="271" spans="3:9" ht="13.9">
      <c r="C271" s="223">
        <v>600</v>
      </c>
      <c r="D271" s="223"/>
      <c r="E271" s="234">
        <v>91.570000000000007</v>
      </c>
      <c r="F271" s="73">
        <v>152616.66666666669</v>
      </c>
      <c r="G271" s="66" t="s">
        <v>9104</v>
      </c>
      <c r="H271" s="182">
        <v>2010</v>
      </c>
      <c r="I271" s="78">
        <f t="shared" si="6"/>
        <v>10572.682138321212</v>
      </c>
    </row>
    <row r="272" spans="3:9" ht="13.9">
      <c r="C272" s="223">
        <v>180</v>
      </c>
      <c r="D272" s="223"/>
      <c r="E272" s="234">
        <v>5.0235143400000002</v>
      </c>
      <c r="F272" s="73">
        <v>27908.413</v>
      </c>
      <c r="G272" s="66" t="s">
        <v>9112</v>
      </c>
      <c r="H272" s="182">
        <v>2010</v>
      </c>
      <c r="I272" s="78">
        <f t="shared" si="6"/>
        <v>580.01551091098031</v>
      </c>
    </row>
    <row r="273" spans="3:9" ht="13.9">
      <c r="C273" s="223">
        <v>13</v>
      </c>
      <c r="D273" s="223"/>
      <c r="E273" s="234"/>
      <c r="F273" s="73">
        <v>0</v>
      </c>
      <c r="G273" s="66" t="s">
        <v>9132</v>
      </c>
      <c r="H273" s="182">
        <v>2010</v>
      </c>
      <c r="I273" s="78">
        <f t="shared" si="6"/>
        <v>0</v>
      </c>
    </row>
    <row r="274" spans="3:9" ht="13.9">
      <c r="C274" s="223">
        <v>1500</v>
      </c>
      <c r="D274" s="223"/>
      <c r="E274" s="234">
        <v>36.18</v>
      </c>
      <c r="F274" s="73">
        <v>24120</v>
      </c>
      <c r="G274" s="66" t="s">
        <v>9128</v>
      </c>
      <c r="H274" s="182">
        <v>2010</v>
      </c>
      <c r="I274" s="78">
        <f t="shared" si="6"/>
        <v>4177.3467267059232</v>
      </c>
    </row>
    <row r="275" spans="3:9" ht="13.9">
      <c r="C275" s="223">
        <v>19</v>
      </c>
      <c r="D275" s="223"/>
      <c r="E275" s="239">
        <v>0.627</v>
      </c>
      <c r="F275" s="73">
        <v>33000</v>
      </c>
      <c r="G275" s="66" t="s">
        <v>9145</v>
      </c>
      <c r="H275" s="182">
        <v>2010</v>
      </c>
      <c r="I275" s="78">
        <f t="shared" si="6"/>
        <v>72.393488049878769</v>
      </c>
    </row>
    <row r="276" spans="3:9" ht="13.9">
      <c r="C276" s="223">
        <v>924</v>
      </c>
      <c r="D276" s="223"/>
      <c r="E276" s="234">
        <v>38.511000000000003</v>
      </c>
      <c r="F276" s="73">
        <v>41678.571428571435</v>
      </c>
      <c r="G276" s="66" t="s">
        <v>9141</v>
      </c>
      <c r="H276" s="182">
        <v>2010</v>
      </c>
      <c r="I276" s="78">
        <f t="shared" si="6"/>
        <v>4446.4842396951863</v>
      </c>
    </row>
    <row r="277" spans="3:9" ht="13.9">
      <c r="C277" s="223">
        <v>90</v>
      </c>
      <c r="D277" s="223"/>
      <c r="E277" s="234">
        <v>3.8431799999999998</v>
      </c>
      <c r="F277" s="73">
        <v>42702</v>
      </c>
      <c r="G277" s="66" t="s">
        <v>9160</v>
      </c>
      <c r="H277" s="182">
        <v>2010</v>
      </c>
      <c r="I277" s="78">
        <f t="shared" si="6"/>
        <v>443.73397990994113</v>
      </c>
    </row>
    <row r="278" spans="3:9" ht="13.9">
      <c r="C278" s="223">
        <v>2568</v>
      </c>
      <c r="D278" s="223"/>
      <c r="E278" s="234">
        <v>121.1224</v>
      </c>
      <c r="F278" s="73">
        <v>47166.043613707167</v>
      </c>
      <c r="G278" s="65" t="s">
        <v>9141</v>
      </c>
      <c r="H278" s="182">
        <v>2010</v>
      </c>
      <c r="I278" s="78">
        <f t="shared" si="6"/>
        <v>13984.805449717122</v>
      </c>
    </row>
    <row r="279" spans="3:9" ht="13.9">
      <c r="C279" s="240">
        <v>99</v>
      </c>
      <c r="D279" s="240"/>
      <c r="E279" s="241">
        <v>0.51480000000000004</v>
      </c>
      <c r="F279" s="73">
        <v>5200.0000000000009</v>
      </c>
      <c r="G279" s="66" t="s">
        <v>9187</v>
      </c>
      <c r="H279" s="182">
        <v>2010</v>
      </c>
      <c r="I279" s="78">
        <f t="shared" si="6"/>
        <v>59.438863872532053</v>
      </c>
    </row>
    <row r="280" spans="3:9" ht="13.9">
      <c r="C280" s="223">
        <v>155</v>
      </c>
      <c r="D280" s="223"/>
      <c r="E280" s="242">
        <v>6.5875000000000004</v>
      </c>
      <c r="F280" s="73">
        <v>42500</v>
      </c>
      <c r="G280" s="66" t="s">
        <v>9195</v>
      </c>
      <c r="H280" s="182">
        <v>2010</v>
      </c>
      <c r="I280" s="78">
        <f t="shared" si="6"/>
        <v>760.59346495785712</v>
      </c>
    </row>
    <row r="281" spans="3:9" ht="13.9">
      <c r="C281" s="223">
        <v>40</v>
      </c>
      <c r="D281" s="223"/>
      <c r="E281" s="234">
        <v>0.5</v>
      </c>
      <c r="F281" s="73">
        <v>12500</v>
      </c>
      <c r="G281" s="65" t="s">
        <v>9201</v>
      </c>
      <c r="H281" s="182">
        <v>2010</v>
      </c>
      <c r="I281" s="78">
        <f t="shared" si="6"/>
        <v>57.73005426625101</v>
      </c>
    </row>
    <row r="282" spans="3:9" ht="13.9">
      <c r="C282" s="223">
        <v>10</v>
      </c>
      <c r="D282" s="223"/>
      <c r="E282" s="234">
        <v>0.31841999999999998</v>
      </c>
      <c r="F282" s="73">
        <v>31841.999999999996</v>
      </c>
      <c r="G282" s="65" t="s">
        <v>9222</v>
      </c>
      <c r="H282" s="182">
        <v>2010</v>
      </c>
      <c r="I282" s="78">
        <f t="shared" si="6"/>
        <v>36.764807758919289</v>
      </c>
    </row>
    <row r="283" spans="3:9" ht="13.9">
      <c r="C283" s="223">
        <v>415</v>
      </c>
      <c r="D283" s="223"/>
      <c r="E283" s="234">
        <v>10.359054</v>
      </c>
      <c r="F283" s="73">
        <v>24961.575903614459</v>
      </c>
      <c r="G283" s="65" t="s">
        <v>9227</v>
      </c>
      <c r="H283" s="182">
        <v>2010</v>
      </c>
      <c r="I283" s="78">
        <f t="shared" si="6"/>
        <v>1196.0574991340493</v>
      </c>
    </row>
    <row r="284" spans="3:9" ht="13.9">
      <c r="C284" s="223">
        <v>30</v>
      </c>
      <c r="D284" s="223"/>
      <c r="E284" s="234">
        <v>0.48399999999999999</v>
      </c>
      <c r="F284" s="73">
        <v>16133.333333333332</v>
      </c>
      <c r="G284" s="65" t="s">
        <v>9231</v>
      </c>
      <c r="H284" s="182">
        <v>2010</v>
      </c>
      <c r="I284" s="78">
        <f t="shared" si="6"/>
        <v>55.882692529730974</v>
      </c>
    </row>
    <row r="285" spans="3:9" ht="13.9">
      <c r="C285" s="223">
        <v>207</v>
      </c>
      <c r="D285" s="223"/>
      <c r="E285" s="234">
        <v>5.554227</v>
      </c>
      <c r="F285" s="73">
        <v>26832.014492753624</v>
      </c>
      <c r="G285" s="65" t="s">
        <v>9236</v>
      </c>
      <c r="H285" s="182">
        <v>2010</v>
      </c>
      <c r="I285" s="78">
        <f t="shared" si="6"/>
        <v>641.29165223415316</v>
      </c>
    </row>
    <row r="286" spans="3:9" ht="13.9">
      <c r="C286" s="223">
        <v>916</v>
      </c>
      <c r="D286" s="223"/>
      <c r="E286" s="242">
        <v>21.450798500000001</v>
      </c>
      <c r="F286" s="73">
        <v>23417.902292576418</v>
      </c>
      <c r="G286" s="65" t="s">
        <v>9248</v>
      </c>
      <c r="H286" s="182">
        <v>2010</v>
      </c>
      <c r="I286" s="78">
        <f t="shared" si="6"/>
        <v>2476.7115229188316</v>
      </c>
    </row>
    <row r="287" spans="3:9" ht="13.9">
      <c r="C287" s="223">
        <v>15</v>
      </c>
      <c r="D287" s="223"/>
      <c r="E287" s="234">
        <v>0.1</v>
      </c>
      <c r="F287" s="73">
        <v>6666.666666666667</v>
      </c>
      <c r="G287" s="65" t="s">
        <v>9298</v>
      </c>
      <c r="H287" s="182">
        <v>2010</v>
      </c>
      <c r="I287" s="78">
        <f t="shared" si="6"/>
        <v>11.546010853250204</v>
      </c>
    </row>
    <row r="288" spans="3:9" ht="13.9">
      <c r="C288" s="223">
        <v>200</v>
      </c>
      <c r="D288" s="223"/>
      <c r="E288" s="234">
        <v>5.8860729999999997</v>
      </c>
      <c r="F288" s="73">
        <v>29430.365000000002</v>
      </c>
      <c r="G288" s="65" t="s">
        <v>9289</v>
      </c>
      <c r="H288" s="182">
        <v>2010</v>
      </c>
      <c r="I288" s="78">
        <f t="shared" si="6"/>
        <v>679.60662741022975</v>
      </c>
    </row>
    <row r="289" spans="3:9" ht="13.9">
      <c r="C289" s="223">
        <v>80</v>
      </c>
      <c r="D289" s="223"/>
      <c r="E289" s="234">
        <v>3.36347</v>
      </c>
      <c r="F289" s="73">
        <v>42043.375</v>
      </c>
      <c r="G289" s="65" t="s">
        <v>9293</v>
      </c>
      <c r="H289" s="182">
        <v>2010</v>
      </c>
      <c r="I289" s="78">
        <f t="shared" si="6"/>
        <v>388.34661124581453</v>
      </c>
    </row>
  </sheetData>
  <conditionalFormatting sqref="C135:D135 F135">
    <cfRule type="cellIs" dxfId="44" priority="33" operator="equal">
      <formula>"NL"</formula>
    </cfRule>
    <cfRule type="cellIs" dxfId="43" priority="34" operator="equal">
      <formula>"DP"</formula>
    </cfRule>
    <cfRule type="cellIs" dxfId="42" priority="35" operator="equal">
      <formula>"PG"</formula>
    </cfRule>
    <cfRule type="cellIs" dxfId="41" priority="36" operator="equal">
      <formula>"PP"</formula>
    </cfRule>
  </conditionalFormatting>
  <conditionalFormatting sqref="C145:D161">
    <cfRule type="cellIs" dxfId="40" priority="29" operator="equal">
      <formula>"NL"</formula>
    </cfRule>
    <cfRule type="cellIs" dxfId="39" priority="30" operator="equal">
      <formula>"DP"</formula>
    </cfRule>
    <cfRule type="cellIs" dxfId="38" priority="31" operator="equal">
      <formula>"PG"</formula>
    </cfRule>
    <cfRule type="cellIs" dxfId="37" priority="32" operator="equal">
      <formula>"PP"</formula>
    </cfRule>
  </conditionalFormatting>
  <conditionalFormatting sqref="C167:D186">
    <cfRule type="cellIs" dxfId="36" priority="5" operator="equal">
      <formula>"NL"</formula>
    </cfRule>
    <cfRule type="cellIs" dxfId="35" priority="6" operator="equal">
      <formula>"DP"</formula>
    </cfRule>
    <cfRule type="cellIs" dxfId="34" priority="7" operator="equal">
      <formula>"PG"</formula>
    </cfRule>
    <cfRule type="cellIs" dxfId="33" priority="8" operator="equal">
      <formula>"PP"</formula>
    </cfRule>
  </conditionalFormatting>
  <conditionalFormatting sqref="C188:D192">
    <cfRule type="cellIs" dxfId="32" priority="1" operator="equal">
      <formula>"NL"</formula>
    </cfRule>
    <cfRule type="cellIs" dxfId="31" priority="2" operator="equal">
      <formula>"DP"</formula>
    </cfRule>
    <cfRule type="cellIs" dxfId="30" priority="3" operator="equal">
      <formula>"PG"</formula>
    </cfRule>
    <cfRule type="cellIs" dxfId="29" priority="4" operator="equal">
      <formula>"PP"</formula>
    </cfRule>
  </conditionalFormatting>
  <dataValidations count="2">
    <dataValidation type="list" allowBlank="1" showInputMessage="1" showErrorMessage="1" sqref="G254:G259 G265:G289 G263 G261" xr:uid="{00000000-0002-0000-0400-000000000000}">
      <formula1>$C$887:$C$927</formula1>
    </dataValidation>
    <dataValidation type="list" allowBlank="1" showInputMessage="1" showErrorMessage="1" sqref="G260" xr:uid="{00000000-0002-0000-0400-000001000000}">
      <formula1>$C$887:$C$1138</formula1>
    </dataValidation>
  </dataValidations>
  <hyperlinks>
    <hyperlink ref="G270" location="'SH020'!A1" display="SH020" xr:uid="{00000000-0004-0000-0400-000000000000}"/>
    <hyperlink ref="G269" location="'SH021'!A1" display="SH021" xr:uid="{00000000-0004-0000-0400-000001000000}"/>
    <hyperlink ref="G272" location="'SH018'!A1" display="SH018" xr:uid="{00000000-0004-0000-0400-000002000000}"/>
    <hyperlink ref="G271" location="'SH019'!A1" display="SH019" xr:uid="{00000000-0004-0000-0400-000003000000}"/>
    <hyperlink ref="G273" location="'SH014'!A1" display="SH014" xr:uid="{00000000-0004-0000-0400-000004000000}"/>
    <hyperlink ref="G274" location="'SH015'!A1" display="SH015" xr:uid="{00000000-0004-0000-0400-000005000000}"/>
    <hyperlink ref="G275" location="'SH013'!A1" display="SH013" xr:uid="{00000000-0004-0000-0400-000006000000}"/>
    <hyperlink ref="G277" location="'SH0012'!A1" display="SH012" xr:uid="{00000000-0004-0000-0400-000007000000}"/>
    <hyperlink ref="G279" location="'SH011'!A1" display="SH011" xr:uid="{00000000-0004-0000-0400-000008000000}"/>
    <hyperlink ref="G281" location="'SH009'!A1" display="SH009" xr:uid="{00000000-0004-0000-0400-000009000000}"/>
    <hyperlink ref="G280" location="'SH010'!A1" display="SH010" xr:uid="{00000000-0004-0000-0400-00000A000000}"/>
    <hyperlink ref="G282" location="SH007!A1" display="SH007" xr:uid="{00000000-0004-0000-0400-00000B000000}"/>
    <hyperlink ref="G283" location="SH006!A1" display="SH006" xr:uid="{00000000-0004-0000-0400-00000C000000}"/>
    <hyperlink ref="G284" location="SH008!A1" display="SH008" xr:uid="{00000000-0004-0000-0400-00000D000000}"/>
    <hyperlink ref="G286" location="SH004!A1" display="SH004" xr:uid="{00000000-0004-0000-0400-00000E000000}"/>
    <hyperlink ref="G285" location="SH005!A1" display="SH005" xr:uid="{00000000-0004-0000-0400-00000F000000}"/>
    <hyperlink ref="G288" location="SH003!A1" display="SH003" xr:uid="{00000000-0004-0000-0400-000010000000}"/>
    <hyperlink ref="G289" location="SH002!A1" display="SH002" xr:uid="{00000000-0004-0000-0400-000011000000}"/>
    <hyperlink ref="G287" location="SH001!A1" display="SH001" xr:uid="{00000000-0004-0000-0400-00001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R266"/>
  <sheetViews>
    <sheetView topLeftCell="A146" zoomScale="115" zoomScaleNormal="115" workbookViewId="0">
      <selection activeCell="C163" sqref="C163"/>
    </sheetView>
  </sheetViews>
  <sheetFormatPr defaultColWidth="11.42578125" defaultRowHeight="13.15"/>
  <cols>
    <col min="1" max="1" width="4.85546875" style="97" customWidth="1"/>
    <col min="2" max="2" width="30.28515625" bestFit="1" customWidth="1"/>
    <col min="3" max="4" width="7.42578125" customWidth="1"/>
    <col min="5" max="5" width="9" customWidth="1"/>
    <col min="6" max="6" width="7.42578125" customWidth="1"/>
    <col min="7" max="7" width="10.42578125" customWidth="1"/>
    <col min="8" max="8" width="7.42578125" customWidth="1"/>
    <col min="9" max="9" width="6.140625" style="97" customWidth="1"/>
    <col min="10" max="10" width="5.42578125" style="97" customWidth="1"/>
    <col min="11" max="11" width="30.28515625" bestFit="1" customWidth="1"/>
    <col min="12" max="12" width="5.42578125" customWidth="1"/>
    <col min="13" max="13" width="7.42578125" customWidth="1"/>
    <col min="14" max="14" width="9.7109375" customWidth="1"/>
    <col min="15" max="16" width="7.42578125" customWidth="1"/>
    <col min="17" max="17" width="10" customWidth="1"/>
    <col min="18" max="18" width="6.140625" style="97" customWidth="1"/>
    <col min="19" max="19" width="5.28515625" style="97" customWidth="1"/>
    <col min="20" max="20" width="30" customWidth="1"/>
    <col min="21" max="22" width="8.28515625" customWidth="1"/>
    <col min="23" max="23" width="10.140625" customWidth="1"/>
    <col min="24" max="26" width="8.28515625" customWidth="1"/>
    <col min="27" max="27" width="5" style="97" customWidth="1"/>
    <col min="28" max="28" width="5.42578125" style="97" customWidth="1"/>
    <col min="29" max="29" width="26.85546875" bestFit="1" customWidth="1"/>
    <col min="30" max="35" width="8.28515625" customWidth="1"/>
    <col min="36" max="36" width="11.42578125" style="97"/>
    <col min="37" max="37" width="5.42578125" style="97" customWidth="1"/>
    <col min="38" max="38" width="26.85546875" bestFit="1" customWidth="1"/>
    <col min="39" max="44" width="8.28515625" customWidth="1"/>
    <col min="45" max="46" width="11.42578125" style="97"/>
    <col min="47" max="47" width="11.42578125" style="97" customWidth="1"/>
    <col min="48" max="56" width="11.42578125" style="97"/>
    <col min="69" max="69" width="22" bestFit="1" customWidth="1"/>
    <col min="70" max="70" width="25.42578125" customWidth="1"/>
  </cols>
  <sheetData>
    <row r="1" spans="1:70" s="97" customFormat="1"/>
    <row r="2" spans="1:70" s="97" customFormat="1">
      <c r="AU2" s="401" t="s">
        <v>9390</v>
      </c>
      <c r="AV2" s="401"/>
      <c r="BN2" s="97">
        <f>SUMIFS(Ofertas!W2374:W2765,Ofertas!T2374:T2765,Indicadores!A6,Ofertas!AG2374:AG2765,Indicadores!B3)</f>
        <v>8661</v>
      </c>
      <c r="BP2" s="110" t="s">
        <v>9391</v>
      </c>
      <c r="BQ2" s="110" t="s">
        <v>119</v>
      </c>
    </row>
    <row r="3" spans="1:70" s="97" customFormat="1" ht="15.6">
      <c r="B3" s="98">
        <v>2010</v>
      </c>
      <c r="J3" s="99"/>
      <c r="K3" s="109">
        <v>2010</v>
      </c>
      <c r="L3" s="100" t="s">
        <v>120</v>
      </c>
      <c r="M3" s="398" t="s">
        <v>9392</v>
      </c>
      <c r="N3" s="399"/>
      <c r="O3" s="399"/>
      <c r="P3" s="399"/>
      <c r="Q3" s="400"/>
      <c r="S3" s="99"/>
      <c r="T3" s="109">
        <v>2010</v>
      </c>
      <c r="U3" s="100" t="s">
        <v>123</v>
      </c>
      <c r="V3" s="398" t="s">
        <v>9393</v>
      </c>
      <c r="W3" s="399"/>
      <c r="X3" s="399"/>
      <c r="Y3" s="399"/>
      <c r="Z3" s="400"/>
      <c r="AU3" s="105" t="s">
        <v>9394</v>
      </c>
      <c r="AV3" s="105" t="s">
        <v>9395</v>
      </c>
      <c r="BP3" s="110">
        <v>2010</v>
      </c>
      <c r="BQ3" s="110" t="s">
        <v>120</v>
      </c>
      <c r="BR3" s="97" t="s">
        <v>9396</v>
      </c>
    </row>
    <row r="4" spans="1:70" ht="15.6">
      <c r="B4" s="4" t="s">
        <v>9397</v>
      </c>
      <c r="C4" s="5" t="s">
        <v>9398</v>
      </c>
      <c r="D4" s="20" t="s">
        <v>9399</v>
      </c>
      <c r="E4" s="5" t="s">
        <v>9400</v>
      </c>
      <c r="F4" s="5" t="s">
        <v>9401</v>
      </c>
      <c r="G4" s="5" t="s">
        <v>9402</v>
      </c>
      <c r="H4" s="5" t="s">
        <v>9403</v>
      </c>
      <c r="I4" s="99"/>
      <c r="J4" s="102"/>
      <c r="K4" s="4" t="s">
        <v>9397</v>
      </c>
      <c r="L4" s="5" t="s">
        <v>9398</v>
      </c>
      <c r="M4" s="5" t="s">
        <v>9399</v>
      </c>
      <c r="N4" s="5" t="s">
        <v>9400</v>
      </c>
      <c r="O4" s="5" t="s">
        <v>9401</v>
      </c>
      <c r="P4" s="5" t="s">
        <v>9402</v>
      </c>
      <c r="Q4" s="5" t="s">
        <v>9403</v>
      </c>
      <c r="R4" s="99"/>
      <c r="S4" s="102"/>
      <c r="T4" s="4" t="s">
        <v>9397</v>
      </c>
      <c r="U4" s="5" t="s">
        <v>9398</v>
      </c>
      <c r="V4" s="5" t="s">
        <v>9399</v>
      </c>
      <c r="W4" s="5" t="s">
        <v>9400</v>
      </c>
      <c r="X4" s="5" t="s">
        <v>9401</v>
      </c>
      <c r="Y4" s="5" t="s">
        <v>9402</v>
      </c>
      <c r="Z4" s="5" t="s">
        <v>9403</v>
      </c>
      <c r="AU4" s="105">
        <v>2010</v>
      </c>
      <c r="AV4" s="106">
        <v>6000</v>
      </c>
      <c r="BP4" s="15">
        <v>2011</v>
      </c>
      <c r="BQ4" s="15" t="s">
        <v>123</v>
      </c>
      <c r="BR4" t="s">
        <v>9404</v>
      </c>
    </row>
    <row r="5" spans="1:70" ht="15.6">
      <c r="B5" s="6" t="s">
        <v>9405</v>
      </c>
      <c r="C5" s="7">
        <f>SUM(C6:C10)</f>
        <v>51</v>
      </c>
      <c r="D5" s="21">
        <f>SUM(D6:D10)</f>
        <v>59.235294117647065</v>
      </c>
      <c r="E5" s="7">
        <f>SUM(E6:E10)</f>
        <v>58189</v>
      </c>
      <c r="F5" s="19">
        <f t="shared" ref="F5:H5" si="0">SUM(F6:F10)</f>
        <v>1</v>
      </c>
      <c r="G5" s="7">
        <f t="shared" si="0"/>
        <v>1776.7817568400001</v>
      </c>
      <c r="H5" s="7">
        <f t="shared" si="0"/>
        <v>100</v>
      </c>
      <c r="I5" s="102"/>
      <c r="J5" s="103"/>
      <c r="K5" s="25" t="s">
        <v>9405</v>
      </c>
      <c r="L5" s="7">
        <f>SUM(L6:L10)</f>
        <v>45</v>
      </c>
      <c r="M5" s="7">
        <f>SUM(M6:M10)</f>
        <v>100</v>
      </c>
      <c r="N5" s="7">
        <f t="shared" ref="N5:Q5" si="1">SUM(N6:N10)</f>
        <v>32472</v>
      </c>
      <c r="O5" s="7">
        <f t="shared" si="1"/>
        <v>73.594512195121951</v>
      </c>
      <c r="P5" s="7">
        <f t="shared" si="1"/>
        <v>1022.4407568399999</v>
      </c>
      <c r="Q5" s="7">
        <f t="shared" si="1"/>
        <v>100</v>
      </c>
      <c r="R5" s="102"/>
      <c r="S5" s="104"/>
      <c r="T5" s="6" t="s">
        <v>9405</v>
      </c>
      <c r="U5" s="7">
        <f>SUM(U6:U10)</f>
        <v>6</v>
      </c>
      <c r="V5" s="7">
        <f>SUM(V6:V10)</f>
        <v>100</v>
      </c>
      <c r="W5" s="7">
        <f t="shared" ref="W5:Z5" si="2">SUM(W6:W10)</f>
        <v>25717</v>
      </c>
      <c r="X5" s="7">
        <f t="shared" si="2"/>
        <v>100</v>
      </c>
      <c r="Y5" s="7">
        <f t="shared" si="2"/>
        <v>754.34100000000001</v>
      </c>
      <c r="Z5" s="7">
        <f t="shared" si="2"/>
        <v>100</v>
      </c>
      <c r="AU5" s="105">
        <v>2011</v>
      </c>
      <c r="AV5" s="106">
        <v>25871.606666666612</v>
      </c>
      <c r="BP5" s="15">
        <v>2012</v>
      </c>
      <c r="BQ5" s="15" t="s">
        <v>125</v>
      </c>
      <c r="BR5" t="s">
        <v>9406</v>
      </c>
    </row>
    <row r="6" spans="1:70" ht="15.6">
      <c r="A6" s="101" t="s">
        <v>3</v>
      </c>
      <c r="B6" s="22" t="s">
        <v>9407</v>
      </c>
      <c r="C6" s="23">
        <f>COUNTIFS(Ofertas!$T$2242:$T$2765,Indicadores!A6,Ofertas!$AG$2242:$AG$2765,$B$3)</f>
        <v>21</v>
      </c>
      <c r="D6" s="19">
        <f>C6/$C$5</f>
        <v>0.41176470588235292</v>
      </c>
      <c r="E6" s="7">
        <f>SUMIFS(Ofertas!$W$2242:$W$2765,Ofertas!$T$2242:$T$2765,Indicadores!A6,Ofertas!$AG$2242:$AG$2765,Indicadores!$B$3)</f>
        <v>8661</v>
      </c>
      <c r="F6" s="19">
        <f>E6/$E$5</f>
        <v>0.14884256474591417</v>
      </c>
      <c r="G6" s="7">
        <f>SUMIFS(Ofertas!$X$2242:$X$2765,Ofertas!$T$2242:$T$2765,Indicadores!A6,Ofertas!$AG$2242:$AG$2765,Indicadores!$B$3)</f>
        <v>365.60043684000004</v>
      </c>
      <c r="H6" s="24">
        <f>G6/$G$5*100</f>
        <v>20.576552828312415</v>
      </c>
      <c r="I6" s="103"/>
      <c r="J6" s="101" t="s">
        <v>3</v>
      </c>
      <c r="K6" s="22" t="s">
        <v>9407</v>
      </c>
      <c r="L6" s="23">
        <f>COUNTIFS(Ofertas!$T$2242:$T$2765,Indicadores!J6,Ofertas!$AG$2242:$AG$2765,$K$3,Ofertas!$L$2242:$L$2765,Indicadores!$L$3)</f>
        <v>21</v>
      </c>
      <c r="M6" s="24">
        <f>L6/$L$5*100</f>
        <v>46.666666666666664</v>
      </c>
      <c r="N6" s="7">
        <f>SUMIFS(Ofertas!$W$2242:$W$2765,Ofertas!$T$2242:$T$2765,Indicadores!J6,Ofertas!$AG$2242:$AG$2765,Indicadores!$K$3,Ofertas!$L$2242:$L$2765,Indicadores!$L$3)</f>
        <v>8661</v>
      </c>
      <c r="O6" s="28">
        <f>N6/$N$5</f>
        <v>0.26672209903917221</v>
      </c>
      <c r="P6" s="7">
        <f>SUMIFS(Ofertas!$X$2242:$X$2765,Ofertas!$T$2242:$T$2765,Indicadores!J6,Ofertas!$AG$2242:$AG$2765,Indicadores!$K$3,Ofertas!$L$2242:$L$2765,Indicadores!$L$3)</f>
        <v>365.60043684000004</v>
      </c>
      <c r="Q6" s="24">
        <f>P6/$P$5*100</f>
        <v>35.757615724351673</v>
      </c>
      <c r="R6" s="103"/>
      <c r="S6" s="101" t="s">
        <v>3</v>
      </c>
      <c r="T6" s="22" t="s">
        <v>9407</v>
      </c>
      <c r="U6" s="23">
        <f>COUNTIFS(Ofertas!$T$2242:$T$2765,Indicadores!S6,Ofertas!$AG$2242:$AG$2765,$T$3,Ofertas!$L$2242:$L$2765,Indicadores!$U$3)</f>
        <v>0</v>
      </c>
      <c r="V6" s="24">
        <f>U6/$U$5*100</f>
        <v>0</v>
      </c>
      <c r="W6" s="7">
        <f>SUMIFS(Ofertas!$W$2242:$W$2765,Ofertas!$T$2242:$T$2765,Indicadores!S6,Ofertas!$AG$2242:$AG$2765,Indicadores!$T$3,Ofertas!$L$2242:$L$2765,Indicadores!$U$3)</f>
        <v>0</v>
      </c>
      <c r="X6" s="28">
        <f>W6/$W$5</f>
        <v>0</v>
      </c>
      <c r="Y6" s="7">
        <f>SUMIFS(Ofertas!$X$2242:$X$2765,Ofertas!$T$2242:$T$2765,Indicadores!S6,Ofertas!$AG$2242:$AG$2765,Indicadores!$T$3,Ofertas!$L$2242:$L$2765,Indicadores!$U$3)</f>
        <v>0</v>
      </c>
      <c r="Z6" s="24">
        <f>Y6/$Y$5*100</f>
        <v>0</v>
      </c>
      <c r="AU6" s="105">
        <v>2012</v>
      </c>
      <c r="AV6" s="106">
        <v>25836.366666666661</v>
      </c>
      <c r="BP6" s="15">
        <v>2013</v>
      </c>
      <c r="BQ6" s="15" t="s">
        <v>129</v>
      </c>
      <c r="BR6" t="s">
        <v>9408</v>
      </c>
    </row>
    <row r="7" spans="1:70" ht="15.6">
      <c r="A7" s="101" t="s">
        <v>165</v>
      </c>
      <c r="B7" s="22" t="s">
        <v>9409</v>
      </c>
      <c r="C7" s="23">
        <f>COUNTIFS(Ofertas!$T$2242:$T$2765,Indicadores!A7,Ofertas!$AG$2242:$AG$2765,$B$3)</f>
        <v>30</v>
      </c>
      <c r="D7" s="24">
        <f t="shared" ref="D7:D10" si="3">C7/$C$5*100</f>
        <v>58.82352941176471</v>
      </c>
      <c r="E7" s="7">
        <f>SUMIFS(Ofertas!$W$2242:$W$2765,Ofertas!$T$2242:$T$2765,Indicadores!A7,Ofertas!$AG$2242:$AG$2765,Indicadores!$B$3)</f>
        <v>49528</v>
      </c>
      <c r="F7" s="19">
        <f>E7/$E$5</f>
        <v>0.85115743525408583</v>
      </c>
      <c r="G7" s="7">
        <f>SUMIFS(Ofertas!$X$2242:$X$2765,Ofertas!$T$2242:$T$2765,Indicadores!A7,Ofertas!$AG$2242:$AG$2765,Indicadores!$B$3)</f>
        <v>1411.1813199999999</v>
      </c>
      <c r="H7" s="24">
        <f t="shared" ref="H7:H10" si="4">G7/$G$5*100</f>
        <v>79.423447171687585</v>
      </c>
      <c r="I7" s="103"/>
      <c r="J7" s="101" t="s">
        <v>165</v>
      </c>
      <c r="K7" s="22" t="s">
        <v>9409</v>
      </c>
      <c r="L7" s="23">
        <f>COUNTIFS(Ofertas!$T$2242:$T$2765,Indicadores!J7,Ofertas!$AG$2242:$AG$2765,$K$3,Ofertas!$L$2242:$L$2765,Indicadores!$L$3)</f>
        <v>24</v>
      </c>
      <c r="M7" s="24">
        <f t="shared" ref="M7:M10" si="5">L7/$L$5*100</f>
        <v>53.333333333333336</v>
      </c>
      <c r="N7" s="7">
        <f>SUMIFS(Ofertas!$W$2242:$W$2765,Ofertas!$T$2242:$T$2765,Indicadores!J7,Ofertas!$AG$2242:$AG$2765,Indicadores!$K$3,Ofertas!$L$2242:$L$2765,Indicadores!$L$3)</f>
        <v>23811</v>
      </c>
      <c r="O7" s="26">
        <f t="shared" ref="O7:O10" si="6">N7/$N$5*100</f>
        <v>73.327790096082779</v>
      </c>
      <c r="P7" s="7">
        <f>SUMIFS(Ofertas!$X$2242:$X$2765,Ofertas!$T$2242:$T$2765,Indicadores!J7,Ofertas!$AG$2242:$AG$2765,Indicadores!$K$3,Ofertas!$L$2242:$L$2765,Indicadores!$L$3)</f>
        <v>656.84031999999991</v>
      </c>
      <c r="Q7" s="24">
        <f t="shared" ref="Q7:Q10" si="7">P7/$P$5*100</f>
        <v>64.242384275648334</v>
      </c>
      <c r="R7" s="103"/>
      <c r="S7" s="101" t="s">
        <v>165</v>
      </c>
      <c r="T7" s="22" t="s">
        <v>9409</v>
      </c>
      <c r="U7" s="23">
        <f>COUNTIFS(Ofertas!$T$2242:$T$2765,Indicadores!S7,Ofertas!$AG$2242:$AG$2765,$T$3,Ofertas!$L$2242:$L$2765,Indicadores!$U$3)</f>
        <v>6</v>
      </c>
      <c r="V7" s="24">
        <f>U7/$U$5*100</f>
        <v>100</v>
      </c>
      <c r="W7" s="7">
        <f>SUMIFS(Ofertas!$W$2242:$W$2765,Ofertas!$T$2242:$T$2765,Indicadores!S7,Ofertas!$AG$2242:$AG$2765,Indicadores!$T$3,Ofertas!$L$2242:$L$2765,Indicadores!$U$3)</f>
        <v>25717</v>
      </c>
      <c r="X7" s="26">
        <f>W7/$W$5*100</f>
        <v>100</v>
      </c>
      <c r="Y7" s="7">
        <f>SUMIFS(Ofertas!$X$2242:$X$2765,Ofertas!$T$2242:$T$2765,Indicadores!S7,Ofertas!$AG$2242:$AG$2765,Indicadores!$T$3,Ofertas!$L$2242:$L$2765,Indicadores!$U$3)</f>
        <v>754.34100000000001</v>
      </c>
      <c r="Z7" s="24">
        <f>Y7/$Y$5*100</f>
        <v>100</v>
      </c>
      <c r="AU7" s="105">
        <v>2013</v>
      </c>
      <c r="AV7" s="106">
        <v>23559</v>
      </c>
      <c r="BP7" s="15">
        <v>2014</v>
      </c>
      <c r="BQ7" s="15" t="s">
        <v>134</v>
      </c>
      <c r="BR7" t="s">
        <v>9410</v>
      </c>
    </row>
    <row r="8" spans="1:70" ht="15.6">
      <c r="A8" s="101" t="s">
        <v>168</v>
      </c>
      <c r="B8" s="22" t="s">
        <v>9411</v>
      </c>
      <c r="C8" s="23">
        <f>COUNTIFS(Ofertas!$T$2242:$T$2765,Indicadores!A8,Ofertas!$AG$2242:$AG$2765,$B$3)</f>
        <v>0</v>
      </c>
      <c r="D8" s="24">
        <f t="shared" si="3"/>
        <v>0</v>
      </c>
      <c r="E8" s="7">
        <f>SUMIFS(Ofertas!$W$2242:$W$2765,Ofertas!$T$2242:$T$2765,Indicadores!A8,Ofertas!$AG$2242:$AG$2765,Indicadores!$B$3)</f>
        <v>0</v>
      </c>
      <c r="F8" s="24">
        <f t="shared" ref="F8:F10" si="8">E8/$E$5*100</f>
        <v>0</v>
      </c>
      <c r="G8" s="7">
        <f>SUMIFS(Ofertas!$X$2242:$X$2765,Ofertas!$T$2242:$T$2765,Indicadores!A8,Ofertas!$AG$2242:$AG$2765,Indicadores!$B$3)</f>
        <v>0</v>
      </c>
      <c r="H8" s="24">
        <f t="shared" si="4"/>
        <v>0</v>
      </c>
      <c r="I8" s="103"/>
      <c r="J8" s="101" t="s">
        <v>168</v>
      </c>
      <c r="K8" s="22" t="s">
        <v>9411</v>
      </c>
      <c r="L8" s="23">
        <f>COUNTIFS(Ofertas!$T$2242:$T$2765,Indicadores!J8,Ofertas!$AG$2242:$AG$2765,$K$3,Ofertas!$L$2242:$L$2765,Indicadores!$L$3)</f>
        <v>0</v>
      </c>
      <c r="M8" s="24">
        <f t="shared" si="5"/>
        <v>0</v>
      </c>
      <c r="N8" s="7">
        <f>SUMIFS(Ofertas!$W$2242:$W$2765,Ofertas!$T$2242:$T$2765,Indicadores!J8,Ofertas!$AG$2242:$AG$2765,Indicadores!$K$3,Ofertas!$L$2242:$L$2765,Indicadores!$L$3)</f>
        <v>0</v>
      </c>
      <c r="O8" s="26">
        <f t="shared" si="6"/>
        <v>0</v>
      </c>
      <c r="P8" s="7">
        <f>SUMIFS(Ofertas!$X$2242:$X$2765,Ofertas!$T$2242:$T$2765,Indicadores!J8,Ofertas!$AG$2242:$AG$2765,Indicadores!$K$3,Ofertas!$L$2242:$L$2765,Indicadores!$L$3)</f>
        <v>0</v>
      </c>
      <c r="Q8" s="24">
        <f t="shared" si="7"/>
        <v>0</v>
      </c>
      <c r="R8" s="103"/>
      <c r="S8" s="101" t="s">
        <v>168</v>
      </c>
      <c r="T8" s="22" t="s">
        <v>9411</v>
      </c>
      <c r="U8" s="23">
        <f>COUNTIFS(Ofertas!$T$2242:$T$2765,Indicadores!S8,Ofertas!$AG$2242:$AG$2765,$T$3,Ofertas!$L$2242:$L$2765,Indicadores!$U$3)</f>
        <v>0</v>
      </c>
      <c r="V8" s="24">
        <f>U8/$U$5*100</f>
        <v>0</v>
      </c>
      <c r="W8" s="7">
        <f>SUMIFS(Ofertas!$W$2242:$W$2765,Ofertas!$T$2242:$T$2765,Indicadores!S8,Ofertas!$AG$2242:$AG$2765,Indicadores!$T$3,Ofertas!$L$2242:$L$2765,Indicadores!$U$3)</f>
        <v>0</v>
      </c>
      <c r="X8" s="26">
        <f>W8/$W$5*100</f>
        <v>0</v>
      </c>
      <c r="Y8" s="7">
        <f>SUMIFS(Ofertas!$X$2242:$X$2765,Ofertas!$T$2242:$T$2765,Indicadores!S8,Ofertas!$AG$2242:$AG$2765,Indicadores!$T$3,Ofertas!$L$2242:$L$2765,Indicadores!$U$3)</f>
        <v>0</v>
      </c>
      <c r="Z8" s="24">
        <f>Y8/$Y$5*100</f>
        <v>0</v>
      </c>
      <c r="AU8" s="105">
        <v>2014</v>
      </c>
      <c r="AV8" s="106">
        <v>33299</v>
      </c>
      <c r="BP8" s="15">
        <v>2015</v>
      </c>
      <c r="BQ8" s="15"/>
    </row>
    <row r="9" spans="1:70" ht="15.6">
      <c r="A9" s="101" t="s">
        <v>158</v>
      </c>
      <c r="B9" s="22" t="s">
        <v>159</v>
      </c>
      <c r="C9" s="23">
        <f>COUNTIFS(Ofertas!$T$2242:$T$2765,Indicadores!A9,Ofertas!$AG$2242:$AG$2765,$B$3)</f>
        <v>0</v>
      </c>
      <c r="D9" s="24">
        <f t="shared" si="3"/>
        <v>0</v>
      </c>
      <c r="E9" s="7">
        <f>SUMIFS(Ofertas!$W$2242:$W$2765,Ofertas!$T$2242:$T$2765,Indicadores!A9,Ofertas!$AG$2242:$AG$2765,Indicadores!$B$3)</f>
        <v>0</v>
      </c>
      <c r="F9" s="24">
        <f t="shared" si="8"/>
        <v>0</v>
      </c>
      <c r="G9" s="7">
        <f>SUMIFS(Ofertas!$X$2242:$X$2765,Ofertas!$T$2242:$T$2765,Indicadores!A9,Ofertas!$AG$2242:$AG$2765,Indicadores!$B$3)</f>
        <v>0</v>
      </c>
      <c r="H9" s="24">
        <f t="shared" si="4"/>
        <v>0</v>
      </c>
      <c r="I9" s="103"/>
      <c r="J9" s="101" t="s">
        <v>158</v>
      </c>
      <c r="K9" s="22" t="s">
        <v>159</v>
      </c>
      <c r="L9" s="23">
        <f>COUNTIFS(Ofertas!$T$2242:$T$2765,Indicadores!J9,Ofertas!$AG$2242:$AG$2765,$K$3,Ofertas!$L$2242:$L$2765,Indicadores!$L$3)</f>
        <v>0</v>
      </c>
      <c r="M9" s="24">
        <f t="shared" si="5"/>
        <v>0</v>
      </c>
      <c r="N9" s="7">
        <f>SUMIFS(Ofertas!$W$2242:$W$2765,Ofertas!$T$2242:$T$2765,Indicadores!J9,Ofertas!$AG$2242:$AG$2765,Indicadores!$K$3,Ofertas!$L$2242:$L$2765,Indicadores!$L$3)</f>
        <v>0</v>
      </c>
      <c r="O9" s="26">
        <f t="shared" si="6"/>
        <v>0</v>
      </c>
      <c r="P9" s="7">
        <f>SUMIFS(Ofertas!$X$2242:$X$2765,Ofertas!$T$2242:$T$2765,Indicadores!J9,Ofertas!$AG$2242:$AG$2765,Indicadores!$K$3,Ofertas!$L$2242:$L$2765,Indicadores!$L$3)</f>
        <v>0</v>
      </c>
      <c r="Q9" s="24">
        <f t="shared" si="7"/>
        <v>0</v>
      </c>
      <c r="R9" s="103"/>
      <c r="S9" s="101" t="s">
        <v>158</v>
      </c>
      <c r="T9" s="22" t="s">
        <v>159</v>
      </c>
      <c r="U9" s="23">
        <f>COUNTIFS(Ofertas!$T$2242:$T$2765,Indicadores!S9,Ofertas!$AG$2242:$AG$2765,$T$3,Ofertas!$L$2242:$L$2765,Indicadores!$U$3)</f>
        <v>0</v>
      </c>
      <c r="V9" s="24">
        <f>U9/$U$5*100</f>
        <v>0</v>
      </c>
      <c r="W9" s="7">
        <f>SUMIFS(Ofertas!$W$2242:$W$2765,Ofertas!$T$2242:$T$2765,Indicadores!S9,Ofertas!$AG$2242:$AG$2765,Indicadores!$T$3,Ofertas!$L$2242:$L$2765,Indicadores!$U$3)</f>
        <v>0</v>
      </c>
      <c r="X9" s="26">
        <f>W9/$W$5*100</f>
        <v>0</v>
      </c>
      <c r="Y9" s="7">
        <f>SUMIFS(Ofertas!$X$2242:$X$2765,Ofertas!$T$2242:$T$2765,Indicadores!S9,Ofertas!$AG$2242:$AG$2765,Indicadores!$T$3,Ofertas!$L$2242:$L$2765,Indicadores!$U$3)</f>
        <v>0</v>
      </c>
      <c r="Z9" s="24">
        <f>Y9/$Y$5*100</f>
        <v>0</v>
      </c>
      <c r="AU9" s="105">
        <v>2015</v>
      </c>
      <c r="AV9" s="106">
        <v>49033</v>
      </c>
      <c r="BP9" s="15">
        <v>2016</v>
      </c>
      <c r="BQ9" s="15"/>
    </row>
    <row r="10" spans="1:70" ht="15.6">
      <c r="A10" s="101" t="s">
        <v>64</v>
      </c>
      <c r="B10" s="22" t="s">
        <v>9412</v>
      </c>
      <c r="C10" s="23">
        <f>COUNTIFS(Ofertas!$T$2242:$T$2765,Indicadores!A10,Ofertas!$AG$2242:$AG$2765,$B$3)</f>
        <v>0</v>
      </c>
      <c r="D10" s="24">
        <f t="shared" si="3"/>
        <v>0</v>
      </c>
      <c r="E10" s="7">
        <f>SUMIFS(Ofertas!$W$2242:$W$2765,Ofertas!$T$2242:$T$2765,Indicadores!A10,Ofertas!$AG$2242:$AG$2765,Indicadores!$B$3)</f>
        <v>0</v>
      </c>
      <c r="F10" s="24">
        <f t="shared" si="8"/>
        <v>0</v>
      </c>
      <c r="G10" s="7">
        <f>SUMIFS(Ofertas!$X$2242:$X$2765,Ofertas!$T$2242:$T$2765,Indicadores!A10,Ofertas!$AG$2242:$AG$2765,Indicadores!$B$3)</f>
        <v>0</v>
      </c>
      <c r="H10" s="24">
        <f t="shared" si="4"/>
        <v>0</v>
      </c>
      <c r="I10" s="103"/>
      <c r="J10" s="101" t="s">
        <v>64</v>
      </c>
      <c r="K10" s="22" t="s">
        <v>9412</v>
      </c>
      <c r="L10" s="23">
        <f>COUNTIFS(Ofertas!$T$2242:$T$2765,Indicadores!J10,Ofertas!$AG$2242:$AG$2765,$K$3,Ofertas!$L$2242:$L$2765,Indicadores!$L$3)</f>
        <v>0</v>
      </c>
      <c r="M10" s="24">
        <f t="shared" si="5"/>
        <v>0</v>
      </c>
      <c r="N10" s="7">
        <f>SUMIFS(Ofertas!$W$2242:$W$2765,Ofertas!$T$2242:$T$2765,Indicadores!J10,Ofertas!$AG$2242:$AG$2765,Indicadores!$K$3,Ofertas!$L$2242:$L$2765,Indicadores!$L$3)</f>
        <v>0</v>
      </c>
      <c r="O10" s="26">
        <f t="shared" si="6"/>
        <v>0</v>
      </c>
      <c r="P10" s="7">
        <f>SUMIFS(Ofertas!$X$2242:$X$2765,Ofertas!$T$2242:$T$2765,Indicadores!J10,Ofertas!$AG$2242:$AG$2765,Indicadores!$K$3,Ofertas!$L$2242:$L$2765,Indicadores!$L$3)</f>
        <v>0</v>
      </c>
      <c r="Q10" s="24">
        <f t="shared" si="7"/>
        <v>0</v>
      </c>
      <c r="R10" s="103"/>
      <c r="S10" s="101" t="s">
        <v>64</v>
      </c>
      <c r="T10" s="22" t="s">
        <v>9412</v>
      </c>
      <c r="U10" s="23">
        <f>COUNTIFS(Ofertas!$T$2242:$T$2765,Indicadores!S10,Ofertas!$AG$2242:$AG$2765,$T$3,Ofertas!$L$2242:$L$2765,Indicadores!$U$3)</f>
        <v>0</v>
      </c>
      <c r="V10" s="24">
        <f>U10/$U$5*100</f>
        <v>0</v>
      </c>
      <c r="W10" s="7">
        <f>SUMIFS(Ofertas!$W$2242:$W$2765,Ofertas!$T$2242:$T$2765,Indicadores!S10,Ofertas!$AG$2242:$AG$2765,Indicadores!$T$3,Ofertas!$L$2242:$L$2765,Indicadores!$U$3)</f>
        <v>0</v>
      </c>
      <c r="X10" s="26">
        <f>W10/$W$5*100</f>
        <v>0</v>
      </c>
      <c r="Y10" s="7">
        <f>SUMIFS(Ofertas!$X$2242:$X$2765,Ofertas!$T$2242:$T$2765,Indicadores!S10,Ofertas!$AG$2242:$AG$2765,Indicadores!$T$3,Ofertas!$L$2242:$L$2765,Indicadores!$U$3)</f>
        <v>0</v>
      </c>
      <c r="Z10" s="24">
        <f>Y10/$Y$5*100</f>
        <v>0</v>
      </c>
      <c r="AU10" s="105">
        <v>2016</v>
      </c>
      <c r="AV10" s="106">
        <v>76874.895064233482</v>
      </c>
    </row>
    <row r="11" spans="1:70" s="97" customFormat="1" ht="15.6">
      <c r="AU11" s="105">
        <v>2017</v>
      </c>
      <c r="AV11" s="106">
        <v>60269</v>
      </c>
    </row>
    <row r="12" spans="1:70" s="97" customFormat="1" ht="15.6">
      <c r="B12" s="98">
        <v>2011</v>
      </c>
      <c r="J12" s="99"/>
      <c r="K12" s="109">
        <v>2011</v>
      </c>
      <c r="L12" s="100" t="s">
        <v>120</v>
      </c>
      <c r="M12" s="398" t="s">
        <v>9392</v>
      </c>
      <c r="N12" s="399"/>
      <c r="O12" s="399"/>
      <c r="P12" s="399"/>
      <c r="Q12" s="400"/>
      <c r="S12" s="99"/>
      <c r="T12" s="109">
        <v>2011</v>
      </c>
      <c r="U12" s="100" t="s">
        <v>123</v>
      </c>
      <c r="V12" s="398" t="s">
        <v>9393</v>
      </c>
      <c r="W12" s="399"/>
      <c r="X12" s="399"/>
      <c r="Y12" s="399"/>
      <c r="Z12" s="400"/>
      <c r="AU12" s="105">
        <v>2018</v>
      </c>
      <c r="AV12" s="106">
        <v>42085</v>
      </c>
    </row>
    <row r="13" spans="1:70" ht="15.6">
      <c r="B13" s="4" t="s">
        <v>9397</v>
      </c>
      <c r="C13" s="5" t="s">
        <v>9398</v>
      </c>
      <c r="D13" s="5" t="s">
        <v>9399</v>
      </c>
      <c r="E13" s="5" t="s">
        <v>9400</v>
      </c>
      <c r="F13" s="5" t="s">
        <v>9401</v>
      </c>
      <c r="G13" s="5" t="s">
        <v>9402</v>
      </c>
      <c r="H13" s="5" t="s">
        <v>9403</v>
      </c>
      <c r="I13" s="99"/>
      <c r="J13" s="102"/>
      <c r="K13" s="4" t="s">
        <v>9397</v>
      </c>
      <c r="L13" s="5" t="s">
        <v>9398</v>
      </c>
      <c r="M13" s="5" t="s">
        <v>9399</v>
      </c>
      <c r="N13" s="5" t="s">
        <v>9400</v>
      </c>
      <c r="O13" s="5" t="s">
        <v>9401</v>
      </c>
      <c r="P13" s="5" t="s">
        <v>9402</v>
      </c>
      <c r="Q13" s="5" t="s">
        <v>9403</v>
      </c>
      <c r="R13" s="99"/>
      <c r="S13" s="102"/>
      <c r="T13" s="4" t="s">
        <v>9397</v>
      </c>
      <c r="U13" s="5" t="s">
        <v>9398</v>
      </c>
      <c r="V13" s="5" t="s">
        <v>9399</v>
      </c>
      <c r="W13" s="5" t="s">
        <v>9400</v>
      </c>
      <c r="X13" s="5" t="s">
        <v>9401</v>
      </c>
      <c r="Y13" s="5" t="s">
        <v>9402</v>
      </c>
      <c r="Z13" s="5" t="s">
        <v>9403</v>
      </c>
      <c r="AU13" s="105">
        <v>2019</v>
      </c>
      <c r="AV13" s="106">
        <v>86458</v>
      </c>
    </row>
    <row r="14" spans="1:70" ht="15.6">
      <c r="B14" s="25" t="s">
        <v>9405</v>
      </c>
      <c r="C14" s="7">
        <f>SUM(C15:C19)</f>
        <v>50</v>
      </c>
      <c r="D14" s="7">
        <f>SUM(D15:D19)</f>
        <v>50.5</v>
      </c>
      <c r="E14" s="7">
        <f t="shared" ref="E14:H14" si="9">SUM(E15:E19)</f>
        <v>102632.50740740741</v>
      </c>
      <c r="F14" s="19">
        <f t="shared" si="9"/>
        <v>1</v>
      </c>
      <c r="G14" s="7">
        <f t="shared" si="9"/>
        <v>4304.8253700000005</v>
      </c>
      <c r="H14" s="19">
        <f t="shared" si="9"/>
        <v>1</v>
      </c>
      <c r="I14" s="102"/>
      <c r="J14" s="103"/>
      <c r="K14" s="25" t="s">
        <v>9405</v>
      </c>
      <c r="L14" s="7">
        <f>SUM(L15:L19)</f>
        <v>42</v>
      </c>
      <c r="M14" s="7">
        <f>SUM(M15:M19)</f>
        <v>100</v>
      </c>
      <c r="N14" s="7">
        <f t="shared" ref="N14:Q14" si="10">SUM(N15:N19)</f>
        <v>27932.507407407407</v>
      </c>
      <c r="O14" s="7">
        <f t="shared" si="10"/>
        <v>39.260260148238274</v>
      </c>
      <c r="P14" s="7">
        <f t="shared" si="10"/>
        <v>896.68687</v>
      </c>
      <c r="Q14" s="7">
        <f t="shared" si="10"/>
        <v>100</v>
      </c>
      <c r="R14" s="102"/>
      <c r="S14" s="104"/>
      <c r="T14" s="6" t="s">
        <v>9405</v>
      </c>
      <c r="U14" s="7">
        <f>SUM(U15:U19)</f>
        <v>8</v>
      </c>
      <c r="V14" s="7">
        <f>SUM(V15:V19)</f>
        <v>100</v>
      </c>
      <c r="W14" s="7">
        <f t="shared" ref="W14:Z14" si="11">SUM(W15:W19)</f>
        <v>74700</v>
      </c>
      <c r="X14" s="7">
        <f t="shared" si="11"/>
        <v>100</v>
      </c>
      <c r="Y14" s="7">
        <f t="shared" si="11"/>
        <v>3408.1385</v>
      </c>
      <c r="Z14" s="7">
        <f t="shared" si="11"/>
        <v>100</v>
      </c>
      <c r="AU14" s="105">
        <v>2020</v>
      </c>
      <c r="AV14" s="106">
        <v>68104</v>
      </c>
    </row>
    <row r="15" spans="1:70" ht="15.6">
      <c r="A15" s="101" t="s">
        <v>3</v>
      </c>
      <c r="B15" s="22" t="s">
        <v>9407</v>
      </c>
      <c r="C15" s="23">
        <f>COUNTIFS(Ofertas!$T$2242:$T$2765,Indicadores!A15,Ofertas!$AG$2242:$AG$2765,$B$12)</f>
        <v>25</v>
      </c>
      <c r="D15" s="19">
        <f>C15/$C$14</f>
        <v>0.5</v>
      </c>
      <c r="E15" s="7">
        <f>SUMIFS(Ofertas!$W$2242:$W$2765,Ofertas!$T$2242:$T$2765,Indicadores!A15,Ofertas!$AG$2242:$AG$2765,Indicadores!$B$12)</f>
        <v>17137.507407407407</v>
      </c>
      <c r="F15" s="19">
        <f>E15/$E$14</f>
        <v>0.16697933082136238</v>
      </c>
      <c r="G15" s="7">
        <f>SUMIFS(Ofertas!$X$2242:$X$2765,Ofertas!$T$2242:$T$2765,Indicadores!A15,Ofertas!$AG$2242:$AG$2765,Indicadores!$B$12)</f>
        <v>501.15985999999998</v>
      </c>
      <c r="H15" s="24">
        <f>G15/$G$14</f>
        <v>0.11641816262572341</v>
      </c>
      <c r="I15" s="104"/>
      <c r="J15" s="101" t="s">
        <v>3</v>
      </c>
      <c r="K15" s="22" t="s">
        <v>9407</v>
      </c>
      <c r="L15" s="23">
        <f>COUNTIFS(Ofertas!$T$2242:$T$2765,Indicadores!J15,Ofertas!$AG$2242:$AG$2765,$K$12,Ofertas!$L$2242:$L$2765,Indicadores!$L$12)</f>
        <v>25</v>
      </c>
      <c r="M15" s="24">
        <f>L15/$L$14*100</f>
        <v>59.523809523809526</v>
      </c>
      <c r="N15" s="7">
        <f>SUMIFS(Ofertas!$W$2242:$W$2765,Ofertas!$T$2242:$T$2765,Indicadores!J15,Ofertas!$AG$2242:$AG$2765,Indicadores!$K$12,Ofertas!$L$2242:$L$2765,Indicadores!$L$12)</f>
        <v>17137.507407407407</v>
      </c>
      <c r="O15" s="28">
        <f>N15/$N$14</f>
        <v>0.61353272577537099</v>
      </c>
      <c r="P15" s="7">
        <f>SUMIFS(Ofertas!$X$2242:$X$2765,Ofertas!$T$2242:$T$2765,Indicadores!J15,Ofertas!$AG$2242:$AG$2765,Indicadores!$K$12,Ofertas!$L$2242:$L$2765,Indicadores!$L$12)</f>
        <v>501.15985999999998</v>
      </c>
      <c r="Q15" s="24">
        <f>P15/$P$14*100</f>
        <v>55.89017490576169</v>
      </c>
      <c r="R15" s="104"/>
      <c r="S15" s="101" t="s">
        <v>3</v>
      </c>
      <c r="T15" s="22" t="s">
        <v>9407</v>
      </c>
      <c r="U15" s="23">
        <f>COUNTIFS(Ofertas!$T$2242:$T$2765,Indicadores!S15,Ofertas!$AG$2242:$AG$2765,$T$12,Ofertas!$L$2242:$L$2765,Indicadores!$U$12)</f>
        <v>0</v>
      </c>
      <c r="V15" s="24">
        <f>U15/$U$14*100</f>
        <v>0</v>
      </c>
      <c r="W15" s="7">
        <f>SUMIFS(Ofertas!$W$2242:$W$2765,Ofertas!$T$2242:$T$2765,Indicadores!S15,Ofertas!$AG$2242:$AG$2765,Indicadores!$T$12,Ofertas!$L$2242:$L$2765,Indicadores!$U$12)</f>
        <v>0</v>
      </c>
      <c r="X15" s="28">
        <f>W15/$W$14</f>
        <v>0</v>
      </c>
      <c r="Y15" s="7">
        <f>SUMIFS(Ofertas!$X$2242:$X$2765,Ofertas!$T$2242:$T$2765,Indicadores!S15,Ofertas!$AG$2242:$AG$2765,Indicadores!$T$12,Ofertas!$L$2242:$L$2765,Indicadores!$U$12)</f>
        <v>0</v>
      </c>
      <c r="Z15" s="24">
        <f>Y15/$Y$14*100</f>
        <v>0</v>
      </c>
      <c r="AU15" s="105">
        <v>2021</v>
      </c>
      <c r="AV15" s="106">
        <v>60000</v>
      </c>
    </row>
    <row r="16" spans="1:70" ht="13.9">
      <c r="A16" s="101" t="s">
        <v>165</v>
      </c>
      <c r="B16" s="22" t="s">
        <v>9409</v>
      </c>
      <c r="C16" s="23">
        <f>COUNTIFS(Ofertas!$T$2242:$T$2765,Indicadores!A16,Ofertas!$AG$2242:$AG$2765,$B$12)</f>
        <v>25</v>
      </c>
      <c r="D16" s="24">
        <f t="shared" ref="D16:D19" si="12">C16/$C$14*100</f>
        <v>50</v>
      </c>
      <c r="E16" s="7">
        <f>SUMIFS(Ofertas!$W$2242:$W$2765,Ofertas!$T$2242:$T$2765,Indicadores!A16,Ofertas!$AG$2242:$AG$2765,Indicadores!$B$12)</f>
        <v>85495</v>
      </c>
      <c r="F16" s="19">
        <f>E16/$E$14</f>
        <v>0.8330206691786376</v>
      </c>
      <c r="G16" s="7">
        <f>SUMIFS(Ofertas!$X$2242:$X$2765,Ofertas!$T$2242:$T$2765,Indicadores!A16,Ofertas!$AG$2242:$AG$2765,Indicadores!$B$12)</f>
        <v>3803.6655100000003</v>
      </c>
      <c r="H16" s="24">
        <f>G16/$G$14</f>
        <v>0.88358183737427654</v>
      </c>
      <c r="I16" s="104"/>
      <c r="J16" s="101" t="s">
        <v>165</v>
      </c>
      <c r="K16" s="22" t="s">
        <v>9409</v>
      </c>
      <c r="L16" s="23">
        <f>COUNTIFS(Ofertas!$T$2242:$T$2765,Indicadores!J16,Ofertas!$AG$2242:$AG$2765,$K$12,Ofertas!$L$2242:$L$2765,Indicadores!$L$12)</f>
        <v>17</v>
      </c>
      <c r="M16" s="24">
        <f t="shared" ref="M16:M19" si="13">L16/$L$14*100</f>
        <v>40.476190476190474</v>
      </c>
      <c r="N16" s="7">
        <f>SUMIFS(Ofertas!$W$2242:$W$2765,Ofertas!$T$2242:$T$2765,Indicadores!J16,Ofertas!$AG$2242:$AG$2765,Indicadores!$K$12,Ofertas!$L$2242:$L$2765,Indicadores!$L$12)</f>
        <v>10795</v>
      </c>
      <c r="O16" s="26">
        <f t="shared" ref="O16:O19" si="14">N16/$N$14*100</f>
        <v>38.646727422462902</v>
      </c>
      <c r="P16" s="7">
        <f>SUMIFS(Ofertas!$X$2242:$X$2765,Ofertas!$T$2242:$T$2765,Indicadores!J16,Ofertas!$AG$2242:$AG$2765,Indicadores!$K$12,Ofertas!$L$2242:$L$2765,Indicadores!$L$12)</f>
        <v>395.52701000000002</v>
      </c>
      <c r="Q16" s="24">
        <f t="shared" ref="Q16:Q19" si="15">P16/$P$14*100</f>
        <v>44.10982509423831</v>
      </c>
      <c r="R16" s="104"/>
      <c r="S16" s="101" t="s">
        <v>165</v>
      </c>
      <c r="T16" s="22" t="s">
        <v>9409</v>
      </c>
      <c r="U16" s="23">
        <f>COUNTIFS(Ofertas!$T$2242:$T$2765,Indicadores!S16,Ofertas!$AG$2242:$AG$2765,$T$12,Ofertas!$L$2242:$L$2765,Indicadores!$U$12)</f>
        <v>8</v>
      </c>
      <c r="V16" s="24">
        <f>U16/$U$14*100</f>
        <v>100</v>
      </c>
      <c r="W16" s="7">
        <f>SUMIFS(Ofertas!$W$2242:$W$2765,Ofertas!$T$2242:$T$2765,Indicadores!S16,Ofertas!$AG$2242:$AG$2765,Indicadores!$T$12,Ofertas!$L$2242:$L$2765,Indicadores!$U$12)</f>
        <v>74700</v>
      </c>
      <c r="X16" s="26">
        <f>W16/$W$14*100</f>
        <v>100</v>
      </c>
      <c r="Y16" s="7">
        <f>SUMIFS(Ofertas!$X$2242:$X$2765,Ofertas!$T$2242:$T$2765,Indicadores!S16,Ofertas!$AG$2242:$AG$2765,Indicadores!$T$12,Ofertas!$L$2242:$L$2765,Indicadores!$U$12)</f>
        <v>3408.1385</v>
      </c>
      <c r="Z16" s="24">
        <f>Y16/$Y$14*100</f>
        <v>100</v>
      </c>
    </row>
    <row r="17" spans="1:50" ht="13.9">
      <c r="A17" s="101" t="s">
        <v>168</v>
      </c>
      <c r="B17" s="22" t="s">
        <v>9411</v>
      </c>
      <c r="C17" s="23">
        <f>COUNTIFS(Ofertas!$T$2242:$T$2765,Indicadores!A17,Ofertas!$AG$2242:$AG$2765,$B$12)</f>
        <v>0</v>
      </c>
      <c r="D17" s="24">
        <f t="shared" si="12"/>
        <v>0</v>
      </c>
      <c r="E17" s="7">
        <f>SUMIFS(Ofertas!$W$2242:$W$2765,Ofertas!$T$2242:$T$2765,Indicadores!A17,Ofertas!$AG$2242:$AG$2765,Indicadores!$B$12)</f>
        <v>0</v>
      </c>
      <c r="F17" s="24">
        <f t="shared" ref="F17:F19" si="16">E17/$E$5*100</f>
        <v>0</v>
      </c>
      <c r="G17" s="7">
        <f>SUMIFS(Ofertas!$X$2242:$X$2765,Ofertas!$T$2242:$T$2765,Indicadores!A17,Ofertas!$AG$2242:$AG$2765,Indicadores!$B$12)</f>
        <v>0</v>
      </c>
      <c r="H17" s="24">
        <f t="shared" ref="H17:H19" si="17">G17/$G$5*100</f>
        <v>0</v>
      </c>
      <c r="I17" s="103"/>
      <c r="J17" s="101" t="s">
        <v>168</v>
      </c>
      <c r="K17" s="22" t="s">
        <v>9411</v>
      </c>
      <c r="L17" s="23">
        <f>COUNTIFS(Ofertas!$T$2242:$T$2765,Indicadores!J17,Ofertas!$AG$2242:$AG$2765,$K$12,Ofertas!$L$2242:$L$2765,Indicadores!$L$12)</f>
        <v>0</v>
      </c>
      <c r="M17" s="24">
        <f t="shared" si="13"/>
        <v>0</v>
      </c>
      <c r="N17" s="7">
        <f>SUMIFS(Ofertas!$W$2242:$W$2765,Ofertas!$T$2242:$T$2765,Indicadores!J17,Ofertas!$AG$2242:$AG$2765,Indicadores!$K$12,Ofertas!$L$2242:$L$2765,Indicadores!$L$12)</f>
        <v>0</v>
      </c>
      <c r="O17" s="26">
        <f t="shared" si="14"/>
        <v>0</v>
      </c>
      <c r="P17" s="7">
        <f>SUMIFS(Ofertas!$X$2242:$X$2765,Ofertas!$T$2242:$T$2765,Indicadores!J17,Ofertas!$AG$2242:$AG$2765,Indicadores!$K$12,Ofertas!$L$2242:$L$2765,Indicadores!$L$12)</f>
        <v>0</v>
      </c>
      <c r="Q17" s="24">
        <f t="shared" si="15"/>
        <v>0</v>
      </c>
      <c r="R17" s="103"/>
      <c r="S17" s="101" t="s">
        <v>168</v>
      </c>
      <c r="T17" s="22" t="s">
        <v>9411</v>
      </c>
      <c r="U17" s="23">
        <f>COUNTIFS(Ofertas!$T$2242:$T$2765,Indicadores!S17,Ofertas!$AG$2242:$AG$2765,$T$12,Ofertas!$L$2242:$L$2765,Indicadores!$U$12)</f>
        <v>0</v>
      </c>
      <c r="V17" s="24">
        <f>U17/$U$14*100</f>
        <v>0</v>
      </c>
      <c r="W17" s="7">
        <f>SUMIFS(Ofertas!$W$2242:$W$2765,Ofertas!$T$2242:$T$2765,Indicadores!S17,Ofertas!$AG$2242:$AG$2765,Indicadores!$T$12,Ofertas!$L$2242:$L$2765,Indicadores!$U$12)</f>
        <v>0</v>
      </c>
      <c r="X17" s="26">
        <f>W17/$W$14*100</f>
        <v>0</v>
      </c>
      <c r="Y17" s="7">
        <f>SUMIFS(Ofertas!$X$2242:$X$2765,Ofertas!$T$2242:$T$2765,Indicadores!S17,Ofertas!$AG$2242:$AG$2765,Indicadores!$T$12,Ofertas!$L$2242:$L$2765,Indicadores!$U$12)</f>
        <v>0</v>
      </c>
      <c r="Z17" s="24">
        <f>Y17/$Y$14*100</f>
        <v>0</v>
      </c>
    </row>
    <row r="18" spans="1:50" ht="13.9">
      <c r="A18" s="101" t="s">
        <v>158</v>
      </c>
      <c r="B18" s="22" t="s">
        <v>159</v>
      </c>
      <c r="C18" s="23">
        <f>COUNTIFS(Ofertas!$T$2242:$T$2765,Indicadores!A18,Ofertas!$AG$2242:$AG$2765,$B$12)</f>
        <v>0</v>
      </c>
      <c r="D18" s="24">
        <f t="shared" si="12"/>
        <v>0</v>
      </c>
      <c r="E18" s="7">
        <f>SUMIFS(Ofertas!$W$2242:$W$2765,Ofertas!$T$2242:$T$2765,Indicadores!A18,Ofertas!$AG$2242:$AG$2765,Indicadores!$B$12)</f>
        <v>0</v>
      </c>
      <c r="F18" s="24">
        <f t="shared" si="16"/>
        <v>0</v>
      </c>
      <c r="G18" s="7">
        <f>SUMIFS(Ofertas!$X$2242:$X$2765,Ofertas!$T$2242:$T$2765,Indicadores!A18,Ofertas!$AG$2242:$AG$2765,Indicadores!$B$12)</f>
        <v>0</v>
      </c>
      <c r="H18" s="24">
        <f t="shared" si="17"/>
        <v>0</v>
      </c>
      <c r="I18" s="103"/>
      <c r="J18" s="101" t="s">
        <v>158</v>
      </c>
      <c r="K18" s="22" t="s">
        <v>159</v>
      </c>
      <c r="L18" s="23">
        <f>COUNTIFS(Ofertas!$T$2242:$T$2765,Indicadores!J18,Ofertas!$AG$2242:$AG$2765,$K$12,Ofertas!$L$2242:$L$2765,Indicadores!$L$12)</f>
        <v>0</v>
      </c>
      <c r="M18" s="24">
        <f t="shared" si="13"/>
        <v>0</v>
      </c>
      <c r="N18" s="7">
        <f>SUMIFS(Ofertas!$W$2242:$W$2765,Ofertas!$T$2242:$T$2765,Indicadores!J18,Ofertas!$AG$2242:$AG$2765,Indicadores!$K$12,Ofertas!$L$2242:$L$2765,Indicadores!$L$12)</f>
        <v>0</v>
      </c>
      <c r="O18" s="26">
        <f t="shared" si="14"/>
        <v>0</v>
      </c>
      <c r="P18" s="7">
        <f>SUMIFS(Ofertas!$X$2242:$X$2765,Ofertas!$T$2242:$T$2765,Indicadores!J18,Ofertas!$AG$2242:$AG$2765,Indicadores!$K$12,Ofertas!$L$2242:$L$2765,Indicadores!$L$12)</f>
        <v>0</v>
      </c>
      <c r="Q18" s="24">
        <f t="shared" si="15"/>
        <v>0</v>
      </c>
      <c r="R18" s="103"/>
      <c r="S18" s="101" t="s">
        <v>158</v>
      </c>
      <c r="T18" s="22" t="s">
        <v>159</v>
      </c>
      <c r="U18" s="23">
        <f>COUNTIFS(Ofertas!$T$2242:$T$2765,Indicadores!S18,Ofertas!$AG$2242:$AG$2765,$T$12,Ofertas!$L$2242:$L$2765,Indicadores!$U$12)</f>
        <v>0</v>
      </c>
      <c r="V18" s="24">
        <f>U18/$U$14*100</f>
        <v>0</v>
      </c>
      <c r="W18" s="7">
        <f>SUMIFS(Ofertas!$W$2242:$W$2765,Ofertas!$T$2242:$T$2765,Indicadores!S18,Ofertas!$AG$2242:$AG$2765,Indicadores!$T$12,Ofertas!$L$2242:$L$2765,Indicadores!$U$12)</f>
        <v>0</v>
      </c>
      <c r="X18" s="26">
        <f>W18/$W$14*100</f>
        <v>0</v>
      </c>
      <c r="Y18" s="7">
        <f>SUMIFS(Ofertas!$X$2242:$X$2765,Ofertas!$T$2242:$T$2765,Indicadores!S18,Ofertas!$AG$2242:$AG$2765,Indicadores!$T$12,Ofertas!$L$2242:$L$2765,Indicadores!$U$12)</f>
        <v>0</v>
      </c>
      <c r="Z18" s="24">
        <f>Y18/$Y$14*100</f>
        <v>0</v>
      </c>
    </row>
    <row r="19" spans="1:50" ht="13.9">
      <c r="A19" s="101" t="s">
        <v>64</v>
      </c>
      <c r="B19" s="22" t="s">
        <v>9412</v>
      </c>
      <c r="C19" s="23">
        <f>COUNTIFS(Ofertas!$T$2242:$T$2765,Indicadores!A19,Ofertas!$AG$2242:$AG$2765,$B$12)</f>
        <v>0</v>
      </c>
      <c r="D19" s="24">
        <f t="shared" si="12"/>
        <v>0</v>
      </c>
      <c r="E19" s="7">
        <f>SUMIFS(Ofertas!$W$2242:$W$2765,Ofertas!$T$2242:$T$2765,Indicadores!A19,Ofertas!$AG$2242:$AG$2765,Indicadores!$B$12)</f>
        <v>0</v>
      </c>
      <c r="F19" s="24">
        <f t="shared" si="16"/>
        <v>0</v>
      </c>
      <c r="G19" s="7">
        <f>SUMIFS(Ofertas!$X$2242:$X$2765,Ofertas!$T$2242:$T$2765,Indicadores!A19,Ofertas!$AG$2242:$AG$2765,Indicadores!$B$12)</f>
        <v>0</v>
      </c>
      <c r="H19" s="24">
        <f t="shared" si="17"/>
        <v>0</v>
      </c>
      <c r="I19" s="103"/>
      <c r="J19" s="101" t="s">
        <v>64</v>
      </c>
      <c r="K19" s="22" t="s">
        <v>9412</v>
      </c>
      <c r="L19" s="23">
        <f>COUNTIFS(Ofertas!$T$2242:$T$2765,Indicadores!J19,Ofertas!$AG$2242:$AG$2765,$K$12,Ofertas!$L$2242:$L$2765,Indicadores!$L$12)</f>
        <v>0</v>
      </c>
      <c r="M19" s="24">
        <f t="shared" si="13"/>
        <v>0</v>
      </c>
      <c r="N19" s="7">
        <f>SUMIFS(Ofertas!$W$2242:$W$2765,Ofertas!$T$2242:$T$2765,Indicadores!J19,Ofertas!$AG$2242:$AG$2765,Indicadores!$K$12,Ofertas!$L$2242:$L$2765,Indicadores!$L$12)</f>
        <v>0</v>
      </c>
      <c r="O19" s="26">
        <f t="shared" si="14"/>
        <v>0</v>
      </c>
      <c r="P19" s="7">
        <f>SUMIFS(Ofertas!$X$2242:$X$2765,Ofertas!$T$2242:$T$2765,Indicadores!J19,Ofertas!$AG$2242:$AG$2765,Indicadores!$K$12,Ofertas!$L$2242:$L$2765,Indicadores!$L$12)</f>
        <v>0</v>
      </c>
      <c r="Q19" s="24">
        <f t="shared" si="15"/>
        <v>0</v>
      </c>
      <c r="R19" s="103"/>
      <c r="S19" s="101" t="s">
        <v>64</v>
      </c>
      <c r="T19" s="22" t="s">
        <v>9412</v>
      </c>
      <c r="U19" s="23">
        <f>COUNTIFS(Ofertas!$T$2242:$T$2765,Indicadores!S19,Ofertas!$AG$2242:$AG$2765,$T$12,Ofertas!$L$2242:$L$2765,Indicadores!$U$12)</f>
        <v>0</v>
      </c>
      <c r="V19" s="24">
        <f>U19/$U$14*100</f>
        <v>0</v>
      </c>
      <c r="W19" s="7">
        <f>SUMIFS(Ofertas!$W$2242:$W$2765,Ofertas!$T$2242:$T$2765,Indicadores!S19,Ofertas!$AG$2242:$AG$2765,Indicadores!$T$12,Ofertas!$L$2242:$L$2765,Indicadores!$U$12)</f>
        <v>0</v>
      </c>
      <c r="X19" s="26">
        <f>W19/$W$14*100</f>
        <v>0</v>
      </c>
      <c r="Y19" s="7">
        <f>SUMIFS(Ofertas!$X$2242:$X$2765,Ofertas!$T$2242:$T$2765,Indicadores!S19,Ofertas!$AG$2242:$AG$2765,Indicadores!$T$12,Ofertas!$L$2242:$L$2765,Indicadores!$U$12)</f>
        <v>0</v>
      </c>
      <c r="Z19" s="24">
        <f>Y19/$Y$14*100</f>
        <v>0</v>
      </c>
      <c r="AT19" s="107"/>
      <c r="AU19" s="107"/>
      <c r="AV19" s="107"/>
      <c r="AW19" s="108"/>
      <c r="AX19" s="108"/>
    </row>
    <row r="20" spans="1:50" s="97" customFormat="1"/>
    <row r="21" spans="1:50" s="97" customFormat="1" ht="13.9">
      <c r="B21" s="98">
        <v>2012</v>
      </c>
      <c r="J21" s="99"/>
      <c r="K21" s="109">
        <v>2012</v>
      </c>
      <c r="L21" s="100" t="s">
        <v>120</v>
      </c>
      <c r="M21" s="398" t="s">
        <v>9392</v>
      </c>
      <c r="N21" s="399"/>
      <c r="O21" s="399"/>
      <c r="P21" s="399"/>
      <c r="Q21" s="400"/>
      <c r="S21" s="99"/>
      <c r="T21" s="109">
        <v>2012</v>
      </c>
      <c r="U21" s="100" t="s">
        <v>123</v>
      </c>
      <c r="V21" s="398" t="s">
        <v>9393</v>
      </c>
      <c r="W21" s="399"/>
      <c r="X21" s="399"/>
      <c r="Y21" s="399"/>
      <c r="Z21" s="400"/>
    </row>
    <row r="22" spans="1:50" ht="13.9">
      <c r="B22" s="4" t="s">
        <v>9397</v>
      </c>
      <c r="C22" s="5" t="s">
        <v>9398</v>
      </c>
      <c r="D22" s="5" t="s">
        <v>9399</v>
      </c>
      <c r="E22" s="5" t="s">
        <v>9400</v>
      </c>
      <c r="F22" s="5" t="s">
        <v>9401</v>
      </c>
      <c r="G22" s="5" t="s">
        <v>9402</v>
      </c>
      <c r="H22" s="5" t="s">
        <v>9403</v>
      </c>
      <c r="I22" s="99"/>
      <c r="J22" s="102"/>
      <c r="K22" s="27" t="s">
        <v>9397</v>
      </c>
      <c r="L22" s="5" t="s">
        <v>9398</v>
      </c>
      <c r="M22" s="5" t="s">
        <v>9399</v>
      </c>
      <c r="N22" s="5" t="s">
        <v>9400</v>
      </c>
      <c r="O22" s="5" t="s">
        <v>9401</v>
      </c>
      <c r="P22" s="5" t="s">
        <v>9402</v>
      </c>
      <c r="Q22" s="5" t="s">
        <v>9403</v>
      </c>
      <c r="R22" s="99"/>
      <c r="S22" s="102"/>
      <c r="T22" s="4" t="s">
        <v>9397</v>
      </c>
      <c r="U22" s="5" t="s">
        <v>9398</v>
      </c>
      <c r="V22" s="5" t="s">
        <v>9399</v>
      </c>
      <c r="W22" s="5" t="s">
        <v>9400</v>
      </c>
      <c r="X22" s="5" t="s">
        <v>9401</v>
      </c>
      <c r="Y22" s="5" t="s">
        <v>9402</v>
      </c>
      <c r="Z22" s="5" t="s">
        <v>9403</v>
      </c>
    </row>
    <row r="23" spans="1:50" ht="13.9">
      <c r="B23" s="25" t="s">
        <v>9405</v>
      </c>
      <c r="C23" s="7">
        <f>SUM(C24:C28)</f>
        <v>60</v>
      </c>
      <c r="D23" s="19">
        <f>SUM(D24:D28)</f>
        <v>1</v>
      </c>
      <c r="E23" s="7">
        <f t="shared" ref="E23:H23" si="18">SUM(E24:E28)</f>
        <v>128917.5</v>
      </c>
      <c r="F23" s="19">
        <f t="shared" si="18"/>
        <v>1</v>
      </c>
      <c r="G23" s="7">
        <f t="shared" si="18"/>
        <v>4372.6884270200007</v>
      </c>
      <c r="H23" s="19">
        <f t="shared" si="18"/>
        <v>0.99999999999999989</v>
      </c>
      <c r="I23" s="102"/>
      <c r="J23" s="103"/>
      <c r="K23" s="25" t="s">
        <v>9405</v>
      </c>
      <c r="L23" s="7">
        <f>SUM(L24:L28)</f>
        <v>52</v>
      </c>
      <c r="M23" s="7">
        <f>SUM(M24:M28)</f>
        <v>100</v>
      </c>
      <c r="N23" s="7">
        <f t="shared" ref="N23:Q23" si="19">SUM(N24:N28)</f>
        <v>92328.5</v>
      </c>
      <c r="O23" s="7">
        <f t="shared" si="19"/>
        <v>78.759099303032102</v>
      </c>
      <c r="P23" s="7">
        <f t="shared" si="19"/>
        <v>3334.8189270000003</v>
      </c>
      <c r="Q23" s="7">
        <f t="shared" si="19"/>
        <v>100.00000000000001</v>
      </c>
      <c r="R23" s="102"/>
      <c r="S23" s="104"/>
      <c r="T23" s="25" t="s">
        <v>9405</v>
      </c>
      <c r="U23" s="7">
        <f>SUM(U24:U28)</f>
        <v>8</v>
      </c>
      <c r="V23" s="7">
        <f>SUM(V24:V28)</f>
        <v>100</v>
      </c>
      <c r="W23" s="7">
        <f t="shared" ref="W23:Z23" si="20">SUM(W24:W28)</f>
        <v>36589</v>
      </c>
      <c r="X23" s="7">
        <f t="shared" si="20"/>
        <v>98.308917980813902</v>
      </c>
      <c r="Y23" s="7">
        <f t="shared" si="20"/>
        <v>1037.86950002</v>
      </c>
      <c r="Z23" s="7">
        <f t="shared" si="20"/>
        <v>100</v>
      </c>
    </row>
    <row r="24" spans="1:50" ht="13.9">
      <c r="A24" s="101" t="s">
        <v>3</v>
      </c>
      <c r="B24" s="22" t="s">
        <v>9407</v>
      </c>
      <c r="C24" s="23">
        <f>COUNTIFS(Ofertas!$T$2242:$T$2765,Indicadores!A24,Ofertas!$AG$2242:$AG$2765,$B$21)</f>
        <v>23</v>
      </c>
      <c r="D24" s="19">
        <f>C24/$C$23</f>
        <v>0.38333333333333336</v>
      </c>
      <c r="E24" s="7">
        <f>SUMIFS(Ofertas!$W$2242:$W$2765,Ofertas!$T$2242:$T$2765,Indicadores!A24,Ofertas!$AG$2242:$AG$2765,Indicadores!$B$21)</f>
        <v>20434.5</v>
      </c>
      <c r="F24" s="19">
        <f>E24/$E$23</f>
        <v>0.15850834836232475</v>
      </c>
      <c r="G24" s="7">
        <f>SUMIFS(Ofertas!$X$2242:$X$2765,Ofertas!$T$2242:$T$2765,Indicadores!A24,Ofertas!$AG$2242:$AG$2765,Indicadores!$B$21)</f>
        <v>668.23612700000012</v>
      </c>
      <c r="H24" s="24">
        <f>G24/$G$23</f>
        <v>0.15282043030342432</v>
      </c>
      <c r="I24" s="104"/>
      <c r="J24" s="101" t="s">
        <v>3</v>
      </c>
      <c r="K24" s="22" t="s">
        <v>9407</v>
      </c>
      <c r="L24" s="23">
        <f>COUNTIFS(Ofertas!$T$2242:$T$2765,Indicadores!J24,Ofertas!$AG$2242:$AG$2765,$K$21,Ofertas!$L$2242:$L$2765,Indicadores!$L$21)</f>
        <v>22</v>
      </c>
      <c r="M24" s="24">
        <f>L24/$L$23*100</f>
        <v>42.307692307692307</v>
      </c>
      <c r="N24" s="7">
        <f>SUMIFS(Ofertas!$W$2242:$W$2765,Ofertas!$T$2242:$T$2765,Indicadores!J24,Ofertas!$AG$2242:$AG$2765,Indicadores!$K$21,Ofertas!$L$2242:$L$2765,Indicadores!$L$21)</f>
        <v>19809.5</v>
      </c>
      <c r="O24" s="28">
        <f>N24/$N$23</f>
        <v>0.21455455249462518</v>
      </c>
      <c r="P24" s="7">
        <f>SUMIFS(Ofertas!$X$2242:$X$2765,Ofertas!$T$2242:$T$2765,Indicadores!J24,Ofertas!$AG$2242:$AG$2765,Indicadores!$K$21,Ofertas!$L$2242:$L$2765,Indicadores!$L$21)</f>
        <v>641.43862700000011</v>
      </c>
      <c r="Q24" s="24">
        <f>P24/$P$23*100</f>
        <v>19.23458637608962</v>
      </c>
      <c r="R24" s="104"/>
      <c r="S24" s="101" t="s">
        <v>3</v>
      </c>
      <c r="T24" s="22" t="s">
        <v>9407</v>
      </c>
      <c r="U24" s="23">
        <f>COUNTIFS(Ofertas!$T$2242:$T$2765,Indicadores!S24,Ofertas!$AG$2242:$AG$2765,$T$21,Ofertas!$L$2242:$L$2765,Indicadores!$U$21)</f>
        <v>1</v>
      </c>
      <c r="V24" s="24">
        <f>U24/$U$23*100</f>
        <v>12.5</v>
      </c>
      <c r="W24" s="7">
        <f>SUMIFS(Ofertas!$W$2242:$W$2765,Ofertas!$T$2242:$T$2765,Indicadores!S24,Ofertas!$AG$2242:$AG$2765,Indicadores!$T$21,Ofertas!$L$2242:$L$2765,Indicadores!$U$21)</f>
        <v>625</v>
      </c>
      <c r="X24" s="28">
        <f>W24/$W$23</f>
        <v>1.7081636557435293E-2</v>
      </c>
      <c r="Y24" s="7">
        <f>SUMIFS(Ofertas!$X$2242:$X$2765,Ofertas!$T$2242:$T$2765,Indicadores!S24,Ofertas!$AG$2242:$AG$2765,Indicadores!$T$21,Ofertas!$L$2242:$L$2765,Indicadores!$U$21)</f>
        <v>26.797499999999999</v>
      </c>
      <c r="Z24" s="24">
        <f>Y24/$Y$23*100</f>
        <v>2.581972010882255</v>
      </c>
      <c r="AT24" s="107"/>
      <c r="AU24" s="107"/>
      <c r="AV24" s="107"/>
      <c r="AW24" s="108"/>
      <c r="AX24" s="108"/>
    </row>
    <row r="25" spans="1:50" ht="13.9">
      <c r="A25" s="101" t="s">
        <v>165</v>
      </c>
      <c r="B25" s="22" t="s">
        <v>9409</v>
      </c>
      <c r="C25" s="23">
        <f>COUNTIFS(Ofertas!$T$2242:$T$2765,Indicadores!A25,Ofertas!$AG$2242:$AG$2765,$B$21)</f>
        <v>37</v>
      </c>
      <c r="D25" s="19">
        <f t="shared" ref="D25:D28" si="21">C25/$C$23</f>
        <v>0.6166666666666667</v>
      </c>
      <c r="E25" s="7">
        <f>SUMIFS(Ofertas!$W$2242:$W$2765,Ofertas!$T$2242:$T$2765,Indicadores!A25,Ofertas!$AG$2242:$AG$2765,Indicadores!$B$21)</f>
        <v>108483</v>
      </c>
      <c r="F25" s="19">
        <f t="shared" ref="F25:F28" si="22">E25/$E$23</f>
        <v>0.84149165163767525</v>
      </c>
      <c r="G25" s="7">
        <f>SUMIFS(Ofertas!$X$2242:$X$2765,Ofertas!$T$2242:$T$2765,Indicadores!A25,Ofertas!$AG$2242:$AG$2765,Indicadores!$B$21)</f>
        <v>3704.4523000200002</v>
      </c>
      <c r="H25" s="24">
        <f t="shared" ref="H25:H28" si="23">G25/$G$23</f>
        <v>0.8471795696965756</v>
      </c>
      <c r="I25" s="104"/>
      <c r="J25" s="101" t="s">
        <v>165</v>
      </c>
      <c r="K25" s="22" t="s">
        <v>9409</v>
      </c>
      <c r="L25" s="23">
        <f>COUNTIFS(Ofertas!$T$2242:$T$2765,Indicadores!J25,Ofertas!$AG$2242:$AG$2765,$K$21,Ofertas!$L$2242:$L$2765,Indicadores!$L$21)</f>
        <v>30</v>
      </c>
      <c r="M25" s="24">
        <f t="shared" ref="M25:M28" si="24">L25/$L$23*100</f>
        <v>57.692307692307686</v>
      </c>
      <c r="N25" s="7">
        <f>SUMIFS(Ofertas!$W$2242:$W$2765,Ofertas!$T$2242:$T$2765,Indicadores!J25,Ofertas!$AG$2242:$AG$2765,Indicadores!$K$21,Ofertas!$L$2242:$L$2765,Indicadores!$L$21)</f>
        <v>72519</v>
      </c>
      <c r="O25" s="26">
        <f t="shared" ref="O25:O28" si="25">N25/$N$23*100</f>
        <v>78.544544750537483</v>
      </c>
      <c r="P25" s="7">
        <f>SUMIFS(Ofertas!$X$2242:$X$2765,Ofertas!$T$2242:$T$2765,Indicadores!J25,Ofertas!$AG$2242:$AG$2765,Indicadores!$K$21,Ofertas!$L$2242:$L$2765,Indicadores!$L$21)</f>
        <v>2693.3803000000003</v>
      </c>
      <c r="Q25" s="24">
        <f t="shared" ref="Q25:Q28" si="26">P25/$P$23*100</f>
        <v>80.765413623910391</v>
      </c>
      <c r="R25" s="104"/>
      <c r="S25" s="101" t="s">
        <v>165</v>
      </c>
      <c r="T25" s="22" t="s">
        <v>9409</v>
      </c>
      <c r="U25" s="23">
        <f>COUNTIFS(Ofertas!$T$2242:$T$2765,Indicadores!S25,Ofertas!$AG$2242:$AG$2765,$T$21,Ofertas!$L$2242:$L$2765,Indicadores!$U$21)</f>
        <v>7</v>
      </c>
      <c r="V25" s="24">
        <f t="shared" ref="V25:V28" si="27">U25/$U$23*100</f>
        <v>87.5</v>
      </c>
      <c r="W25" s="7">
        <f>SUMIFS(Ofertas!$W$2242:$W$2765,Ofertas!$T$2242:$T$2765,Indicadores!S25,Ofertas!$AG$2242:$AG$2765,Indicadores!$T$21,Ofertas!$L$2242:$L$2765,Indicadores!$U$21)</f>
        <v>35964</v>
      </c>
      <c r="X25" s="26">
        <f t="shared" ref="X25:X28" si="28">W25/$W$23*100</f>
        <v>98.291836344256467</v>
      </c>
      <c r="Y25" s="7">
        <f>SUMIFS(Ofertas!$X$2242:$X$2765,Ofertas!$T$2242:$T$2765,Indicadores!S25,Ofertas!$AG$2242:$AG$2765,Indicadores!$T$21,Ofertas!$L$2242:$L$2765,Indicadores!$U$21)</f>
        <v>1011.07200002</v>
      </c>
      <c r="Z25" s="24">
        <f t="shared" ref="Z25:Z28" si="29">Y25/$Y$23*100</f>
        <v>97.418027989117746</v>
      </c>
    </row>
    <row r="26" spans="1:50" ht="13.9">
      <c r="A26" s="101" t="s">
        <v>168</v>
      </c>
      <c r="B26" s="22" t="s">
        <v>9411</v>
      </c>
      <c r="C26" s="23">
        <f>COUNTIFS(Ofertas!$T$2242:$T$2765,Indicadores!A26,Ofertas!$AG$2242:$AG$2765,$B$21)</f>
        <v>0</v>
      </c>
      <c r="D26" s="24">
        <f t="shared" si="21"/>
        <v>0</v>
      </c>
      <c r="E26" s="7">
        <f>SUMIFS(Ofertas!$W$2242:$W$2765,Ofertas!$T$2242:$T$2765,Indicadores!A26,Ofertas!$AG$2242:$AG$2765,Indicadores!$B$21)</f>
        <v>0</v>
      </c>
      <c r="F26" s="24">
        <f t="shared" si="22"/>
        <v>0</v>
      </c>
      <c r="G26" s="7">
        <f>SUMIFS(Ofertas!$X$2242:$X$2765,Ofertas!$T$2242:$T$2765,Indicadores!A26,Ofertas!$AG$2242:$AG$2765,Indicadores!$B$21)</f>
        <v>0</v>
      </c>
      <c r="H26" s="24">
        <f t="shared" si="23"/>
        <v>0</v>
      </c>
      <c r="I26" s="103"/>
      <c r="J26" s="101" t="s">
        <v>168</v>
      </c>
      <c r="K26" s="22" t="s">
        <v>9411</v>
      </c>
      <c r="L26" s="23">
        <f>COUNTIFS(Ofertas!$T$2242:$T$2765,Indicadores!J26,Ofertas!$AG$2242:$AG$2765,$K$21,Ofertas!$L$2242:$L$2765,Indicadores!$L$21)</f>
        <v>0</v>
      </c>
      <c r="M26" s="24">
        <f t="shared" si="24"/>
        <v>0</v>
      </c>
      <c r="N26" s="7">
        <f>SUMIFS(Ofertas!$W$2242:$W$2765,Ofertas!$T$2242:$T$2765,Indicadores!J26,Ofertas!$AG$2242:$AG$2765,Indicadores!$K$21,Ofertas!$L$2242:$L$2765,Indicadores!$L$21)</f>
        <v>0</v>
      </c>
      <c r="O26" s="26">
        <f t="shared" si="25"/>
        <v>0</v>
      </c>
      <c r="P26" s="7">
        <f>SUMIFS(Ofertas!$X$2242:$X$2765,Ofertas!$T$2242:$T$2765,Indicadores!J26,Ofertas!$AG$2242:$AG$2765,Indicadores!$K$21,Ofertas!$L$2242:$L$2765,Indicadores!$L$21)</f>
        <v>0</v>
      </c>
      <c r="Q26" s="24">
        <f t="shared" si="26"/>
        <v>0</v>
      </c>
      <c r="R26" s="103"/>
      <c r="S26" s="101" t="s">
        <v>168</v>
      </c>
      <c r="T26" s="22" t="s">
        <v>9411</v>
      </c>
      <c r="U26" s="23">
        <f>COUNTIFS(Ofertas!$T$2242:$T$2765,Indicadores!S26,Ofertas!$AG$2242:$AG$2765,$T$21,Ofertas!$L$2242:$L$2765,Indicadores!$U$21)</f>
        <v>0</v>
      </c>
      <c r="V26" s="24">
        <f t="shared" si="27"/>
        <v>0</v>
      </c>
      <c r="W26" s="7">
        <f>SUMIFS(Ofertas!$W$2242:$W$2765,Ofertas!$T$2242:$T$2765,Indicadores!S26,Ofertas!$AG$2242:$AG$2765,Indicadores!$T$21,Ofertas!$L$2242:$L$2765,Indicadores!$U$21)</f>
        <v>0</v>
      </c>
      <c r="X26" s="26">
        <f t="shared" si="28"/>
        <v>0</v>
      </c>
      <c r="Y26" s="7">
        <f>SUMIFS(Ofertas!$X$2242:$X$2765,Ofertas!$T$2242:$T$2765,Indicadores!S26,Ofertas!$AG$2242:$AG$2765,Indicadores!$T$21,Ofertas!$L$2242:$L$2765,Indicadores!$U$21)</f>
        <v>0</v>
      </c>
      <c r="Z26" s="24">
        <f t="shared" si="29"/>
        <v>0</v>
      </c>
    </row>
    <row r="27" spans="1:50" ht="13.9">
      <c r="A27" s="101" t="s">
        <v>158</v>
      </c>
      <c r="B27" s="22" t="s">
        <v>159</v>
      </c>
      <c r="C27" s="23">
        <f>COUNTIFS(Ofertas!$T$2242:$T$2765,Indicadores!A27,Ofertas!$AG$2242:$AG$2765,$B$21)</f>
        <v>0</v>
      </c>
      <c r="D27" s="24">
        <f t="shared" si="21"/>
        <v>0</v>
      </c>
      <c r="E27" s="7">
        <f>SUMIFS(Ofertas!$W$2242:$W$2765,Ofertas!$T$2242:$T$2765,Indicadores!A27,Ofertas!$AG$2242:$AG$2765,Indicadores!$B$21)</f>
        <v>0</v>
      </c>
      <c r="F27" s="24">
        <f t="shared" si="22"/>
        <v>0</v>
      </c>
      <c r="G27" s="7">
        <f>SUMIFS(Ofertas!$X$2242:$X$2765,Ofertas!$T$2242:$T$2765,Indicadores!A27,Ofertas!$AG$2242:$AG$2765,Indicadores!$B$21)</f>
        <v>0</v>
      </c>
      <c r="H27" s="24">
        <f t="shared" si="23"/>
        <v>0</v>
      </c>
      <c r="I27" s="103"/>
      <c r="J27" s="101" t="s">
        <v>158</v>
      </c>
      <c r="K27" s="22" t="s">
        <v>159</v>
      </c>
      <c r="L27" s="23">
        <f>COUNTIFS(Ofertas!$T$2242:$T$2765,Indicadores!J27,Ofertas!$AG$2242:$AG$2765,$K$21,Ofertas!$L$2242:$L$2765,Indicadores!$L$21)</f>
        <v>0</v>
      </c>
      <c r="M27" s="24">
        <f t="shared" si="24"/>
        <v>0</v>
      </c>
      <c r="N27" s="7">
        <f>SUMIFS(Ofertas!$W$2242:$W$2765,Ofertas!$T$2242:$T$2765,Indicadores!J27,Ofertas!$AG$2242:$AG$2765,Indicadores!$K$21,Ofertas!$L$2242:$L$2765,Indicadores!$L$21)</f>
        <v>0</v>
      </c>
      <c r="O27" s="26">
        <f t="shared" si="25"/>
        <v>0</v>
      </c>
      <c r="P27" s="7">
        <f>SUMIFS(Ofertas!$X$2242:$X$2765,Ofertas!$T$2242:$T$2765,Indicadores!J27,Ofertas!$AG$2242:$AG$2765,Indicadores!$K$21,Ofertas!$L$2242:$L$2765,Indicadores!$L$21)</f>
        <v>0</v>
      </c>
      <c r="Q27" s="24">
        <f t="shared" si="26"/>
        <v>0</v>
      </c>
      <c r="R27" s="103"/>
      <c r="S27" s="101" t="s">
        <v>158</v>
      </c>
      <c r="T27" s="22" t="s">
        <v>159</v>
      </c>
      <c r="U27" s="23">
        <f>COUNTIFS(Ofertas!$T$2242:$T$2765,Indicadores!S27,Ofertas!$AG$2242:$AG$2765,$T$21,Ofertas!$L$2242:$L$2765,Indicadores!$U$21)</f>
        <v>0</v>
      </c>
      <c r="V27" s="24">
        <f t="shared" si="27"/>
        <v>0</v>
      </c>
      <c r="W27" s="7">
        <f>SUMIFS(Ofertas!$W$2242:$W$2765,Ofertas!$T$2242:$T$2765,Indicadores!S27,Ofertas!$AG$2242:$AG$2765,Indicadores!$T$21,Ofertas!$L$2242:$L$2765,Indicadores!$U$21)</f>
        <v>0</v>
      </c>
      <c r="X27" s="26">
        <f t="shared" si="28"/>
        <v>0</v>
      </c>
      <c r="Y27" s="7">
        <f>SUMIFS(Ofertas!$X$2242:$X$2765,Ofertas!$T$2242:$T$2765,Indicadores!S27,Ofertas!$AG$2242:$AG$2765,Indicadores!$T$21,Ofertas!$L$2242:$L$2765,Indicadores!$U$21)</f>
        <v>0</v>
      </c>
      <c r="Z27" s="24">
        <f t="shared" si="29"/>
        <v>0</v>
      </c>
    </row>
    <row r="28" spans="1:50" ht="13.9">
      <c r="A28" s="101" t="s">
        <v>64</v>
      </c>
      <c r="B28" s="22" t="s">
        <v>9412</v>
      </c>
      <c r="C28" s="23">
        <f>COUNTIFS(Ofertas!$T$2242:$T$2765,Indicadores!A28,Ofertas!$AG$2242:$AG$2765,$B$21)</f>
        <v>0</v>
      </c>
      <c r="D28" s="24">
        <f t="shared" si="21"/>
        <v>0</v>
      </c>
      <c r="E28" s="7">
        <f>SUMIFS(Ofertas!$W$2242:$W$2765,Ofertas!$T$2242:$T$2765,Indicadores!A28,Ofertas!$AG$2242:$AG$2765,Indicadores!$B$21)</f>
        <v>0</v>
      </c>
      <c r="F28" s="24">
        <f t="shared" si="22"/>
        <v>0</v>
      </c>
      <c r="G28" s="7">
        <f>SUMIFS(Ofertas!$X$2242:$X$2765,Ofertas!$T$2242:$T$2765,Indicadores!A28,Ofertas!$AG$2242:$AG$2765,Indicadores!$B$21)</f>
        <v>0</v>
      </c>
      <c r="H28" s="24">
        <f t="shared" si="23"/>
        <v>0</v>
      </c>
      <c r="I28" s="103"/>
      <c r="J28" s="101" t="s">
        <v>64</v>
      </c>
      <c r="K28" s="22" t="s">
        <v>9412</v>
      </c>
      <c r="L28" s="23">
        <f>COUNTIFS(Ofertas!$T$2242:$T$2765,Indicadores!J28,Ofertas!$AG$2242:$AG$2765,$K$21,Ofertas!$L$2242:$L$2765,Indicadores!$L$21)</f>
        <v>0</v>
      </c>
      <c r="M28" s="24">
        <f t="shared" si="24"/>
        <v>0</v>
      </c>
      <c r="N28" s="7">
        <f>SUMIFS(Ofertas!$W$2242:$W$2765,Ofertas!$T$2242:$T$2765,Indicadores!J28,Ofertas!$AG$2242:$AG$2765,Indicadores!$K$21,Ofertas!$L$2242:$L$2765,Indicadores!$L$21)</f>
        <v>0</v>
      </c>
      <c r="O28" s="26">
        <f t="shared" si="25"/>
        <v>0</v>
      </c>
      <c r="P28" s="7">
        <f>SUMIFS(Ofertas!$X$2242:$X$2765,Ofertas!$T$2242:$T$2765,Indicadores!J28,Ofertas!$AG$2242:$AG$2765,Indicadores!$K$21,Ofertas!$L$2242:$L$2765,Indicadores!$L$21)</f>
        <v>0</v>
      </c>
      <c r="Q28" s="24">
        <f t="shared" si="26"/>
        <v>0</v>
      </c>
      <c r="R28" s="103"/>
      <c r="S28" s="101" t="s">
        <v>64</v>
      </c>
      <c r="T28" s="22" t="s">
        <v>9412</v>
      </c>
      <c r="U28" s="23">
        <f>COUNTIFS(Ofertas!$T$2242:$T$2765,Indicadores!S28,Ofertas!$AG$2242:$AG$2765,$T$21,Ofertas!$L$2242:$L$2765,Indicadores!$U$21)</f>
        <v>0</v>
      </c>
      <c r="V28" s="24">
        <f t="shared" si="27"/>
        <v>0</v>
      </c>
      <c r="W28" s="7">
        <f>SUMIFS(Ofertas!$W$2242:$W$2765,Ofertas!$T$2242:$T$2765,Indicadores!S28,Ofertas!$AG$2242:$AG$2765,Indicadores!$T$21,Ofertas!$L$2242:$L$2765,Indicadores!$U$21)</f>
        <v>0</v>
      </c>
      <c r="X28" s="26">
        <f t="shared" si="28"/>
        <v>0</v>
      </c>
      <c r="Y28" s="7">
        <f>SUMIFS(Ofertas!$X$2242:$X$2765,Ofertas!$T$2242:$T$2765,Indicadores!S28,Ofertas!$AG$2242:$AG$2765,Indicadores!$T$21,Ofertas!$L$2242:$L$2765,Indicadores!$U$21)</f>
        <v>0</v>
      </c>
      <c r="Z28" s="24">
        <f t="shared" si="29"/>
        <v>0</v>
      </c>
    </row>
    <row r="29" spans="1:50" s="97" customFormat="1"/>
    <row r="30" spans="1:50" s="97" customFormat="1" ht="13.9">
      <c r="B30" s="98">
        <v>2013</v>
      </c>
      <c r="J30" s="99"/>
      <c r="K30" s="109">
        <v>2013</v>
      </c>
      <c r="L30" s="100" t="s">
        <v>120</v>
      </c>
      <c r="M30" s="398" t="s">
        <v>9392</v>
      </c>
      <c r="N30" s="399"/>
      <c r="O30" s="399"/>
      <c r="P30" s="399"/>
      <c r="Q30" s="400"/>
      <c r="S30" s="99"/>
      <c r="T30" s="109">
        <v>2013</v>
      </c>
      <c r="U30" s="100" t="s">
        <v>123</v>
      </c>
      <c r="V30" s="398" t="s">
        <v>9393</v>
      </c>
      <c r="W30" s="399"/>
      <c r="X30" s="399"/>
      <c r="Y30" s="399"/>
      <c r="Z30" s="400"/>
    </row>
    <row r="31" spans="1:50" ht="13.9">
      <c r="B31" s="4" t="s">
        <v>9397</v>
      </c>
      <c r="C31" s="5" t="s">
        <v>9398</v>
      </c>
      <c r="D31" s="5" t="s">
        <v>9399</v>
      </c>
      <c r="E31" s="5" t="s">
        <v>9400</v>
      </c>
      <c r="F31" s="5" t="s">
        <v>9401</v>
      </c>
      <c r="G31" s="5" t="s">
        <v>9402</v>
      </c>
      <c r="H31" s="5" t="s">
        <v>9403</v>
      </c>
      <c r="I31" s="99"/>
      <c r="J31" s="102"/>
      <c r="K31" s="4" t="s">
        <v>9397</v>
      </c>
      <c r="L31" s="5" t="s">
        <v>9398</v>
      </c>
      <c r="M31" s="5" t="s">
        <v>9399</v>
      </c>
      <c r="N31" s="5" t="s">
        <v>9400</v>
      </c>
      <c r="O31" s="5" t="s">
        <v>9401</v>
      </c>
      <c r="P31" s="5" t="s">
        <v>9402</v>
      </c>
      <c r="Q31" s="5" t="s">
        <v>9403</v>
      </c>
      <c r="R31" s="99"/>
      <c r="S31" s="102"/>
      <c r="T31" s="4" t="s">
        <v>9397</v>
      </c>
      <c r="U31" s="5" t="s">
        <v>9398</v>
      </c>
      <c r="V31" s="5" t="s">
        <v>9399</v>
      </c>
      <c r="W31" s="5" t="s">
        <v>9400</v>
      </c>
      <c r="X31" s="5" t="s">
        <v>9401</v>
      </c>
      <c r="Y31" s="5" t="s">
        <v>9402</v>
      </c>
      <c r="Z31" s="5" t="s">
        <v>9403</v>
      </c>
    </row>
    <row r="32" spans="1:50" ht="13.9">
      <c r="B32" s="25" t="s">
        <v>9405</v>
      </c>
      <c r="C32" s="7">
        <f>SUM(C33:C37)</f>
        <v>69</v>
      </c>
      <c r="D32" s="19">
        <f>SUM(D33:D37)</f>
        <v>1</v>
      </c>
      <c r="E32" s="7">
        <f t="shared" ref="E32:H32" si="30">SUM(E33:E37)</f>
        <v>96438.5</v>
      </c>
      <c r="F32" s="19">
        <f t="shared" si="30"/>
        <v>1</v>
      </c>
      <c r="G32" s="7">
        <f t="shared" si="30"/>
        <v>3530.4960266882445</v>
      </c>
      <c r="H32" s="19">
        <f t="shared" si="30"/>
        <v>1</v>
      </c>
      <c r="I32" s="102"/>
      <c r="J32" s="103"/>
      <c r="K32" s="25" t="s">
        <v>9405</v>
      </c>
      <c r="L32" s="7">
        <f>SUM(L33:L37)</f>
        <v>60</v>
      </c>
      <c r="M32" s="7">
        <f>SUM(M33:M37)</f>
        <v>99.999999999999986</v>
      </c>
      <c r="N32" s="7">
        <f t="shared" ref="N32:Q32" si="31">SUM(N33:N37)</f>
        <v>63384.5</v>
      </c>
      <c r="O32" s="7">
        <f t="shared" si="31"/>
        <v>82.857409934605471</v>
      </c>
      <c r="P32" s="7">
        <f t="shared" si="31"/>
        <v>2473.5656158642441</v>
      </c>
      <c r="Q32" s="7">
        <f t="shared" si="31"/>
        <v>99.999999999999986</v>
      </c>
      <c r="R32" s="102"/>
      <c r="S32" s="104"/>
      <c r="T32" s="25" t="s">
        <v>9405</v>
      </c>
      <c r="U32" s="7">
        <f>SUM(U33:U37)</f>
        <v>9</v>
      </c>
      <c r="V32" s="7">
        <f>SUM(V33:V37)</f>
        <v>100</v>
      </c>
      <c r="W32" s="7">
        <f t="shared" ref="W32:Z32" si="32">SUM(W33:W37)</f>
        <v>33054</v>
      </c>
      <c r="X32" s="7">
        <f t="shared" si="32"/>
        <v>98.092121982210926</v>
      </c>
      <c r="Y32" s="7">
        <f t="shared" si="32"/>
        <v>1056.9304108240001</v>
      </c>
      <c r="Z32" s="7">
        <f t="shared" si="32"/>
        <v>100</v>
      </c>
    </row>
    <row r="33" spans="1:50" ht="13.9">
      <c r="A33" s="101" t="s">
        <v>3</v>
      </c>
      <c r="B33" s="22" t="s">
        <v>9407</v>
      </c>
      <c r="C33" s="23">
        <f>COUNTIFS(Ofertas!$T$2242:$T$2765,Indicadores!A33,Ofertas!$AG$2242:$AG$2765,$B$30)</f>
        <v>21</v>
      </c>
      <c r="D33" s="19">
        <f>C33/$C$32</f>
        <v>0.30434782608695654</v>
      </c>
      <c r="E33" s="7">
        <f>SUMIFS(Ofertas!$W$2242:$W$2765,Ofertas!$T$2242:$T$2765,Indicadores!A33,Ofertas!$AG$2242:$AG$2765,Indicadores!$B$30)</f>
        <v>11612.5</v>
      </c>
      <c r="F33" s="19">
        <f>E33/$E$32</f>
        <v>0.1204135277923236</v>
      </c>
      <c r="G33" s="7">
        <f>SUMIFS(Ofertas!$X$2242:$X$2765,Ofertas!$T$2242:$T$2765,Indicadores!A33,Ofertas!$AG$2242:$AG$2765,Indicadores!$B$30)</f>
        <v>309.237638</v>
      </c>
      <c r="H33" s="19">
        <f>G33/$G$32</f>
        <v>8.7590422326598139E-2</v>
      </c>
      <c r="I33" s="104"/>
      <c r="J33" s="101" t="s">
        <v>3</v>
      </c>
      <c r="K33" s="22" t="s">
        <v>9407</v>
      </c>
      <c r="L33" s="23">
        <f>COUNTIFS(Ofertas!$T$2242:$T$2765,Indicadores!J33,Ofertas!$AG$2242:$AG$2765,$K$30,Ofertas!$L$2242:$L$2765,Indicadores!$L$30)</f>
        <v>20</v>
      </c>
      <c r="M33" s="24">
        <f>L33/$L$32*100</f>
        <v>33.333333333333329</v>
      </c>
      <c r="N33" s="7">
        <f>SUMIFS(Ofertas!$W$2242:$W$2765,Ofertas!$T$2242:$T$2765,Indicadores!J33,Ofertas!$AG$2242:$AG$2765,Indicadores!$K$30,Ofertas!$L$2242:$L$2765,Indicadores!$L$30)</f>
        <v>10975.5</v>
      </c>
      <c r="O33" s="28">
        <f>N33/$N$32</f>
        <v>0.17315747540802562</v>
      </c>
      <c r="P33" s="7">
        <f>SUMIFS(Ofertas!$X$2242:$X$2765,Ofertas!$T$2242:$T$2765,Indicadores!J33,Ofertas!$AG$2242:$AG$2765,Indicadores!$K$30,Ofertas!$L$2242:$L$2765,Indicadores!$L$30)</f>
        <v>281.94263799999999</v>
      </c>
      <c r="Q33" s="24">
        <f>P33/$P$32*100</f>
        <v>11.398227570425354</v>
      </c>
      <c r="R33" s="104"/>
      <c r="S33" s="101" t="s">
        <v>3</v>
      </c>
      <c r="T33" s="22" t="s">
        <v>9407</v>
      </c>
      <c r="U33" s="23">
        <f>COUNTIFS(Ofertas!$T$2242:$T$2765,Indicadores!S33,Ofertas!$AG$2242:$AG$2765,$T$30,Ofertas!$L$2242:$L$2765,Indicadores!$U$30)</f>
        <v>1</v>
      </c>
      <c r="V33" s="24">
        <f>U33/$U$32*100</f>
        <v>11.111111111111111</v>
      </c>
      <c r="W33" s="7">
        <f>SUMIFS(Ofertas!$W$2242:$W$2765,Ofertas!$T$2242:$T$2765,Indicadores!S33,Ofertas!$AG$2242:$AG$2765,Indicadores!$T$30,Ofertas!$L$2242:$L$2765,Indicadores!$U$30)</f>
        <v>637</v>
      </c>
      <c r="X33" s="28">
        <f>W33/$W$32</f>
        <v>1.927149512918255E-2</v>
      </c>
      <c r="Y33" s="7">
        <f>SUMIFS(Ofertas!$X$2242:$X$2765,Ofertas!$T$2242:$T$2765,Indicadores!S33,Ofertas!$AG$2242:$AG$2765,Indicadores!$T$30,Ofertas!$L$2242:$L$2765,Indicadores!$U$30)</f>
        <v>27.295000000000002</v>
      </c>
      <c r="Z33" s="24">
        <f>Y33/$Y$32*100</f>
        <v>2.5824784413876762</v>
      </c>
      <c r="AT33" s="107"/>
      <c r="AU33" s="107"/>
      <c r="AV33" s="107"/>
      <c r="AW33" s="108"/>
      <c r="AX33" s="108"/>
    </row>
    <row r="34" spans="1:50" ht="13.9">
      <c r="A34" s="101" t="s">
        <v>165</v>
      </c>
      <c r="B34" s="22" t="s">
        <v>9409</v>
      </c>
      <c r="C34" s="23">
        <f>COUNTIFS(Ofertas!$T$2242:$T$2765,Indicadores!A34,Ofertas!$AG$2242:$AG$2765,$B$30)</f>
        <v>48</v>
      </c>
      <c r="D34" s="19">
        <f t="shared" ref="D34:D37" si="33">C34/$C$32</f>
        <v>0.69565217391304346</v>
      </c>
      <c r="E34" s="7">
        <f>SUMIFS(Ofertas!$W$2242:$W$2765,Ofertas!$T$2242:$T$2765,Indicadores!A34,Ofertas!$AG$2242:$AG$2765,Indicadores!$B$30)</f>
        <v>84826</v>
      </c>
      <c r="F34" s="19">
        <f t="shared" ref="F34:F37" si="34">E34/$E$32</f>
        <v>0.87958647220767638</v>
      </c>
      <c r="G34" s="7">
        <f>SUMIFS(Ofertas!$X$2242:$X$2765,Ofertas!$T$2242:$T$2765,Indicadores!A34,Ofertas!$AG$2242:$AG$2765,Indicadores!$B$30)</f>
        <v>3221.2583886882444</v>
      </c>
      <c r="H34" s="19">
        <f t="shared" ref="H34:H37" si="35">G34/$G$32</f>
        <v>0.91240957767340181</v>
      </c>
      <c r="I34" s="104"/>
      <c r="J34" s="101" t="s">
        <v>165</v>
      </c>
      <c r="K34" s="22" t="s">
        <v>9409</v>
      </c>
      <c r="L34" s="23">
        <f>COUNTIFS(Ofertas!$T$2242:$T$2765,Indicadores!J34,Ofertas!$AG$2242:$AG$2765,$K$30,Ofertas!$L$2242:$L$2765,Indicadores!$L$30)</f>
        <v>40</v>
      </c>
      <c r="M34" s="24">
        <f t="shared" ref="M34:M37" si="36">L34/$L$32*100</f>
        <v>66.666666666666657</v>
      </c>
      <c r="N34" s="7">
        <f>SUMIFS(Ofertas!$W$2242:$W$2765,Ofertas!$T$2242:$T$2765,Indicadores!J34,Ofertas!$AG$2242:$AG$2765,Indicadores!$K$30,Ofertas!$L$2242:$L$2765,Indicadores!$L$30)</f>
        <v>52409</v>
      </c>
      <c r="O34" s="26">
        <f t="shared" ref="O34:O37" si="37">N34/$N$32*100</f>
        <v>82.684252459197438</v>
      </c>
      <c r="P34" s="7">
        <f>SUMIFS(Ofertas!$X$2242:$X$2765,Ofertas!$T$2242:$T$2765,Indicadores!J34,Ofertas!$AG$2242:$AG$2765,Indicadores!$K$30,Ofertas!$L$2242:$L$2765,Indicadores!$L$30)</f>
        <v>2191.6229778642441</v>
      </c>
      <c r="Q34" s="24">
        <f t="shared" ref="Q34:Q37" si="38">P34/$P$32*100</f>
        <v>88.601772429574638</v>
      </c>
      <c r="R34" s="104"/>
      <c r="S34" s="101" t="s">
        <v>165</v>
      </c>
      <c r="T34" s="22" t="s">
        <v>9409</v>
      </c>
      <c r="U34" s="23">
        <f>COUNTIFS(Ofertas!$T$2242:$T$2765,Indicadores!S34,Ofertas!$AG$2242:$AG$2765,$T$30,Ofertas!$L$2242:$L$2765,Indicadores!$U$30)</f>
        <v>8</v>
      </c>
      <c r="V34" s="24">
        <f t="shared" ref="V34:V37" si="39">U34/$U$32*100</f>
        <v>88.888888888888886</v>
      </c>
      <c r="W34" s="7">
        <f>SUMIFS(Ofertas!$W$2242:$W$2765,Ofertas!$T$2242:$T$2765,Indicadores!S34,Ofertas!$AG$2242:$AG$2765,Indicadores!$T$30,Ofertas!$L$2242:$L$2765,Indicadores!$U$30)</f>
        <v>32417</v>
      </c>
      <c r="X34" s="26">
        <f t="shared" ref="X34:X37" si="40">W34/$W$32*100</f>
        <v>98.072850487081737</v>
      </c>
      <c r="Y34" s="7">
        <f>SUMIFS(Ofertas!$X$2242:$X$2765,Ofertas!$T$2242:$T$2765,Indicadores!S34,Ofertas!$AG$2242:$AG$2765,Indicadores!$T$30,Ofertas!$L$2242:$L$2765,Indicadores!$U$30)</f>
        <v>1029.635410824</v>
      </c>
      <c r="Z34" s="24">
        <f t="shared" ref="Z34:Z37" si="41">Y34/$Y$32*100</f>
        <v>97.417521558612322</v>
      </c>
    </row>
    <row r="35" spans="1:50" ht="13.9">
      <c r="A35" s="101" t="s">
        <v>168</v>
      </c>
      <c r="B35" s="22" t="s">
        <v>9411</v>
      </c>
      <c r="C35" s="23">
        <f>COUNTIFS(Ofertas!$T$2242:$T$2765,Indicadores!A35,Ofertas!$AG$2242:$AG$2765,$B$30)</f>
        <v>0</v>
      </c>
      <c r="D35" s="19">
        <f t="shared" si="33"/>
        <v>0</v>
      </c>
      <c r="E35" s="7">
        <f>SUMIFS(Ofertas!$W$2242:$W$2765,Ofertas!$T$2242:$T$2765,Indicadores!A35,Ofertas!$AG$2242:$AG$2765,Indicadores!$B$30)</f>
        <v>0</v>
      </c>
      <c r="F35" s="19">
        <f t="shared" si="34"/>
        <v>0</v>
      </c>
      <c r="G35" s="7">
        <f>SUMIFS(Ofertas!$X$2242:$X$2765,Ofertas!$T$2242:$T$2765,Indicadores!A35,Ofertas!$AG$2242:$AG$2765,Indicadores!$B$30)</f>
        <v>0</v>
      </c>
      <c r="H35" s="19">
        <f t="shared" si="35"/>
        <v>0</v>
      </c>
      <c r="I35" s="104"/>
      <c r="J35" s="101" t="s">
        <v>168</v>
      </c>
      <c r="K35" s="22" t="s">
        <v>9411</v>
      </c>
      <c r="L35" s="23">
        <f>COUNTIFS(Ofertas!$T$2242:$T$2765,Indicadores!J35,Ofertas!$AG$2242:$AG$2765,$K$30,Ofertas!$L$2242:$L$2765,Indicadores!$L$30)</f>
        <v>0</v>
      </c>
      <c r="M35" s="24">
        <f t="shared" si="36"/>
        <v>0</v>
      </c>
      <c r="N35" s="7">
        <f>SUMIFS(Ofertas!$W$2242:$W$2765,Ofertas!$T$2242:$T$2765,Indicadores!J35,Ofertas!$AG$2242:$AG$2765,Indicadores!$K$30,Ofertas!$L$2242:$L$2765,Indicadores!$L$30)</f>
        <v>0</v>
      </c>
      <c r="O35" s="26">
        <f t="shared" si="37"/>
        <v>0</v>
      </c>
      <c r="P35" s="7">
        <f>SUMIFS(Ofertas!$X$2242:$X$2765,Ofertas!$T$2242:$T$2765,Indicadores!J35,Ofertas!$AG$2242:$AG$2765,Indicadores!$K$30,Ofertas!$L$2242:$L$2765,Indicadores!$L$30)</f>
        <v>0</v>
      </c>
      <c r="Q35" s="24">
        <f t="shared" si="38"/>
        <v>0</v>
      </c>
      <c r="R35" s="103"/>
      <c r="S35" s="101" t="s">
        <v>168</v>
      </c>
      <c r="T35" s="22" t="s">
        <v>9411</v>
      </c>
      <c r="U35" s="23">
        <f>COUNTIFS(Ofertas!$T$2242:$T$2765,Indicadores!S35,Ofertas!$AG$2242:$AG$2765,$T$30,Ofertas!$L$2242:$L$2765,Indicadores!$U$30)</f>
        <v>0</v>
      </c>
      <c r="V35" s="24">
        <f t="shared" si="39"/>
        <v>0</v>
      </c>
      <c r="W35" s="7">
        <f>SUMIFS(Ofertas!$W$2242:$W$2765,Ofertas!$T$2242:$T$2765,Indicadores!S35,Ofertas!$AG$2242:$AG$2765,Indicadores!$T$30,Ofertas!$L$2242:$L$2765,Indicadores!$U$30)</f>
        <v>0</v>
      </c>
      <c r="X35" s="26">
        <f t="shared" si="40"/>
        <v>0</v>
      </c>
      <c r="Y35" s="7">
        <f>SUMIFS(Ofertas!$X$2242:$X$2765,Ofertas!$T$2242:$T$2765,Indicadores!S35,Ofertas!$AG$2242:$AG$2765,Indicadores!$T$30,Ofertas!$L$2242:$L$2765,Indicadores!$U$30)</f>
        <v>0</v>
      </c>
      <c r="Z35" s="24">
        <f t="shared" si="41"/>
        <v>0</v>
      </c>
      <c r="AA35" s="99"/>
      <c r="AB35" s="99"/>
      <c r="AC35" s="12"/>
      <c r="AD35" s="12"/>
      <c r="AE35" s="12"/>
      <c r="AF35" s="12"/>
      <c r="AG35" s="12"/>
      <c r="AH35" s="12"/>
      <c r="AI35" s="12"/>
      <c r="AJ35" s="99"/>
      <c r="AK35" s="99"/>
      <c r="AL35" s="12"/>
      <c r="AM35" s="12"/>
      <c r="AN35" s="12"/>
      <c r="AO35" s="12"/>
      <c r="AP35" s="12"/>
      <c r="AQ35" s="12"/>
      <c r="AR35" s="12"/>
      <c r="AS35" s="99"/>
      <c r="AT35" s="99"/>
    </row>
    <row r="36" spans="1:50" ht="13.9">
      <c r="A36" s="101" t="s">
        <v>158</v>
      </c>
      <c r="B36" s="22" t="s">
        <v>159</v>
      </c>
      <c r="C36" s="23">
        <f>COUNTIFS(Ofertas!$T$2242:$T$2765,Indicadores!A36,Ofertas!$AG$2242:$AG$2765,$B$30)</f>
        <v>0</v>
      </c>
      <c r="D36" s="19">
        <f t="shared" si="33"/>
        <v>0</v>
      </c>
      <c r="E36" s="7">
        <f>SUMIFS(Ofertas!$W$2242:$W$2765,Ofertas!$T$2242:$T$2765,Indicadores!A36,Ofertas!$AG$2242:$AG$2765,Indicadores!$B$30)</f>
        <v>0</v>
      </c>
      <c r="F36" s="19">
        <f t="shared" si="34"/>
        <v>0</v>
      </c>
      <c r="G36" s="7">
        <f>SUMIFS(Ofertas!$X$2242:$X$2765,Ofertas!$T$2242:$T$2765,Indicadores!A36,Ofertas!$AG$2242:$AG$2765,Indicadores!$B$30)</f>
        <v>0</v>
      </c>
      <c r="H36" s="19">
        <f t="shared" si="35"/>
        <v>0</v>
      </c>
      <c r="I36" s="104"/>
      <c r="J36" s="101" t="s">
        <v>158</v>
      </c>
      <c r="K36" s="22" t="s">
        <v>159</v>
      </c>
      <c r="L36" s="23">
        <f>COUNTIFS(Ofertas!$T$2242:$T$2765,Indicadores!J36,Ofertas!$AG$2242:$AG$2765,$K$30,Ofertas!$L$2242:$L$2765,Indicadores!$L$30)</f>
        <v>0</v>
      </c>
      <c r="M36" s="24">
        <f t="shared" si="36"/>
        <v>0</v>
      </c>
      <c r="N36" s="7">
        <f>SUMIFS(Ofertas!$W$2242:$W$2765,Ofertas!$T$2242:$T$2765,Indicadores!J36,Ofertas!$AG$2242:$AG$2765,Indicadores!$K$30,Ofertas!$L$2242:$L$2765,Indicadores!$L$30)</f>
        <v>0</v>
      </c>
      <c r="O36" s="26">
        <f t="shared" si="37"/>
        <v>0</v>
      </c>
      <c r="P36" s="7">
        <f>SUMIFS(Ofertas!$X$2242:$X$2765,Ofertas!$T$2242:$T$2765,Indicadores!J36,Ofertas!$AG$2242:$AG$2765,Indicadores!$K$30,Ofertas!$L$2242:$L$2765,Indicadores!$L$30)</f>
        <v>0</v>
      </c>
      <c r="Q36" s="24">
        <f t="shared" si="38"/>
        <v>0</v>
      </c>
      <c r="R36" s="103"/>
      <c r="S36" s="101" t="s">
        <v>158</v>
      </c>
      <c r="T36" s="22" t="s">
        <v>159</v>
      </c>
      <c r="U36" s="23">
        <f>COUNTIFS(Ofertas!$T$2242:$T$2765,Indicadores!S36,Ofertas!$AG$2242:$AG$2765,$T$30,Ofertas!$L$2242:$L$2765,Indicadores!$U$30)</f>
        <v>0</v>
      </c>
      <c r="V36" s="24">
        <f t="shared" si="39"/>
        <v>0</v>
      </c>
      <c r="W36" s="7">
        <f>SUMIFS(Ofertas!$W$2242:$W$2765,Ofertas!$T$2242:$T$2765,Indicadores!S36,Ofertas!$AG$2242:$AG$2765,Indicadores!$T$30,Ofertas!$L$2242:$L$2765,Indicadores!$U$30)</f>
        <v>0</v>
      </c>
      <c r="X36" s="26">
        <f t="shared" si="40"/>
        <v>0</v>
      </c>
      <c r="Y36" s="7">
        <f>SUMIFS(Ofertas!$X$2242:$X$2765,Ofertas!$T$2242:$T$2765,Indicadores!S36,Ofertas!$AG$2242:$AG$2765,Indicadores!$T$30,Ofertas!$L$2242:$L$2765,Indicadores!$U$30)</f>
        <v>0</v>
      </c>
      <c r="Z36" s="24">
        <f t="shared" si="41"/>
        <v>0</v>
      </c>
      <c r="AA36" s="102"/>
      <c r="AB36" s="102"/>
      <c r="AC36" s="8"/>
      <c r="AD36" s="8"/>
      <c r="AE36" s="8"/>
      <c r="AF36" s="8"/>
      <c r="AG36" s="8"/>
      <c r="AH36" s="8"/>
      <c r="AI36" s="8"/>
      <c r="AJ36" s="102"/>
      <c r="AK36" s="102"/>
      <c r="AL36" s="8"/>
      <c r="AM36" s="8"/>
      <c r="AN36" s="8"/>
      <c r="AO36" s="8"/>
      <c r="AP36" s="8"/>
      <c r="AQ36" s="8"/>
      <c r="AR36" s="8"/>
      <c r="AS36" s="102"/>
      <c r="AT36" s="102"/>
    </row>
    <row r="37" spans="1:50" ht="13.9">
      <c r="A37" s="101" t="s">
        <v>64</v>
      </c>
      <c r="B37" s="22" t="s">
        <v>9412</v>
      </c>
      <c r="C37" s="23">
        <f>COUNTIFS(Ofertas!$T$2242:$T$2765,Indicadores!A37,Ofertas!$AG$2242:$AG$2765,$B$30)</f>
        <v>0</v>
      </c>
      <c r="D37" s="19">
        <f t="shared" si="33"/>
        <v>0</v>
      </c>
      <c r="E37" s="7">
        <f>SUMIFS(Ofertas!$W$2242:$W$2765,Ofertas!$T$2242:$T$2765,Indicadores!A37,Ofertas!$AG$2242:$AG$2765,Indicadores!$B$30)</f>
        <v>0</v>
      </c>
      <c r="F37" s="19">
        <f t="shared" si="34"/>
        <v>0</v>
      </c>
      <c r="G37" s="7">
        <f>SUMIFS(Ofertas!$X$2242:$X$2765,Ofertas!$T$2242:$T$2765,Indicadores!A37,Ofertas!$AG$2242:$AG$2765,Indicadores!$B$30)</f>
        <v>0</v>
      </c>
      <c r="H37" s="19">
        <f t="shared" si="35"/>
        <v>0</v>
      </c>
      <c r="I37" s="104"/>
      <c r="J37" s="101" t="s">
        <v>64</v>
      </c>
      <c r="K37" s="22" t="s">
        <v>9412</v>
      </c>
      <c r="L37" s="23">
        <f>COUNTIFS(Ofertas!$T$2242:$T$2765,Indicadores!J37,Ofertas!$AG$2242:$AG$2765,$K$30,Ofertas!$L$2242:$L$2765,Indicadores!$L$30)</f>
        <v>0</v>
      </c>
      <c r="M37" s="24">
        <f t="shared" si="36"/>
        <v>0</v>
      </c>
      <c r="N37" s="7">
        <f>SUMIFS(Ofertas!$W$2242:$W$2765,Ofertas!$T$2242:$T$2765,Indicadores!J37,Ofertas!$AG$2242:$AG$2765,Indicadores!$K$30,Ofertas!$L$2242:$L$2765,Indicadores!$L$30)</f>
        <v>0</v>
      </c>
      <c r="O37" s="26">
        <f t="shared" si="37"/>
        <v>0</v>
      </c>
      <c r="P37" s="7">
        <f>SUMIFS(Ofertas!$X$2242:$X$2765,Ofertas!$T$2242:$T$2765,Indicadores!J37,Ofertas!$AG$2242:$AG$2765,Indicadores!$K$30,Ofertas!$L$2242:$L$2765,Indicadores!$L$30)</f>
        <v>0</v>
      </c>
      <c r="Q37" s="24">
        <f t="shared" si="38"/>
        <v>0</v>
      </c>
      <c r="R37" s="103"/>
      <c r="S37" s="101" t="s">
        <v>64</v>
      </c>
      <c r="T37" s="22" t="s">
        <v>9412</v>
      </c>
      <c r="U37" s="23">
        <f>COUNTIFS(Ofertas!$T$2242:$T$2765,Indicadores!S37,Ofertas!$AG$2242:$AG$2765,$T$30,Ofertas!$L$2242:$L$2765,Indicadores!$U$30)</f>
        <v>0</v>
      </c>
      <c r="V37" s="24">
        <f t="shared" si="39"/>
        <v>0</v>
      </c>
      <c r="W37" s="7">
        <f>SUMIFS(Ofertas!$W$2242:$W$2765,Ofertas!$T$2242:$T$2765,Indicadores!S37,Ofertas!$AG$2242:$AG$2765,Indicadores!$T$30,Ofertas!$L$2242:$L$2765,Indicadores!$U$30)</f>
        <v>0</v>
      </c>
      <c r="X37" s="26">
        <f t="shared" si="40"/>
        <v>0</v>
      </c>
      <c r="Y37" s="7">
        <f>SUMIFS(Ofertas!$X$2242:$X$2765,Ofertas!$T$2242:$T$2765,Indicadores!S37,Ofertas!$AG$2242:$AG$2765,Indicadores!$T$30,Ofertas!$L$2242:$L$2765,Indicadores!$U$30)</f>
        <v>0</v>
      </c>
      <c r="Z37" s="24">
        <f t="shared" si="41"/>
        <v>0</v>
      </c>
      <c r="AA37" s="104"/>
      <c r="AB37" s="104"/>
      <c r="AC37" s="13"/>
      <c r="AD37" s="13"/>
      <c r="AE37" s="13"/>
      <c r="AF37" s="13"/>
      <c r="AG37" s="13"/>
      <c r="AH37" s="13"/>
      <c r="AI37" s="13"/>
      <c r="AJ37" s="104"/>
      <c r="AK37" s="104"/>
      <c r="AL37" s="13"/>
      <c r="AM37" s="13"/>
      <c r="AN37" s="13"/>
      <c r="AO37" s="13"/>
      <c r="AP37" s="13"/>
      <c r="AQ37" s="13"/>
      <c r="AR37" s="13"/>
      <c r="AS37" s="104"/>
      <c r="AT37" s="104"/>
    </row>
    <row r="38" spans="1:50" ht="13.9">
      <c r="U38" s="13"/>
      <c r="V38" s="13"/>
      <c r="W38" s="13"/>
      <c r="X38" s="13"/>
      <c r="Y38" s="13"/>
      <c r="Z38" s="13"/>
      <c r="AA38" s="104"/>
      <c r="AB38" s="104"/>
      <c r="AC38" s="13"/>
      <c r="AD38" s="13"/>
      <c r="AE38" s="13"/>
      <c r="AF38" s="13"/>
      <c r="AG38" s="13"/>
      <c r="AH38" s="13"/>
      <c r="AI38" s="13"/>
      <c r="AJ38" s="104"/>
      <c r="AK38" s="104"/>
      <c r="AL38" s="13"/>
      <c r="AM38" s="13"/>
      <c r="AN38" s="13"/>
      <c r="AO38" s="13"/>
      <c r="AP38" s="13"/>
      <c r="AQ38" s="13"/>
      <c r="AR38" s="13"/>
      <c r="AS38" s="104"/>
      <c r="AT38" s="104"/>
    </row>
    <row r="39" spans="1:50" ht="13.9">
      <c r="B39" s="9">
        <v>2014</v>
      </c>
      <c r="J39" s="99"/>
      <c r="K39" s="10">
        <v>2014</v>
      </c>
      <c r="L39" s="11" t="s">
        <v>120</v>
      </c>
      <c r="M39" s="402" t="s">
        <v>9392</v>
      </c>
      <c r="N39" s="403"/>
      <c r="O39" s="403"/>
      <c r="P39" s="403"/>
      <c r="Q39" s="404"/>
      <c r="S39" s="99"/>
      <c r="T39" s="10">
        <v>2014</v>
      </c>
      <c r="U39" s="11" t="s">
        <v>123</v>
      </c>
      <c r="V39" s="402" t="s">
        <v>9393</v>
      </c>
      <c r="W39" s="403"/>
      <c r="X39" s="403"/>
      <c r="Y39" s="403"/>
      <c r="Z39" s="404"/>
      <c r="AA39" s="104"/>
      <c r="AB39" s="104"/>
      <c r="AC39" s="13"/>
      <c r="AD39" s="13"/>
      <c r="AE39" s="13"/>
      <c r="AF39" s="13"/>
      <c r="AG39" s="13"/>
      <c r="AH39" s="13"/>
      <c r="AI39" s="13"/>
      <c r="AJ39" s="104"/>
      <c r="AK39" s="104"/>
      <c r="AL39" s="13"/>
      <c r="AM39" s="13"/>
      <c r="AN39" s="13"/>
      <c r="AO39" s="13"/>
      <c r="AP39" s="13"/>
      <c r="AQ39" s="13"/>
      <c r="AR39" s="13"/>
      <c r="AS39" s="104"/>
      <c r="AT39" s="104"/>
    </row>
    <row r="40" spans="1:50" ht="13.9">
      <c r="B40" s="4" t="s">
        <v>9397</v>
      </c>
      <c r="C40" s="5" t="s">
        <v>9398</v>
      </c>
      <c r="D40" s="5" t="s">
        <v>9399</v>
      </c>
      <c r="E40" s="5" t="s">
        <v>9400</v>
      </c>
      <c r="F40" s="5" t="s">
        <v>9401</v>
      </c>
      <c r="G40" s="5" t="s">
        <v>9402</v>
      </c>
      <c r="H40" s="5" t="s">
        <v>9403</v>
      </c>
      <c r="I40" s="99"/>
      <c r="J40" s="102"/>
      <c r="K40" s="4" t="s">
        <v>9397</v>
      </c>
      <c r="L40" s="5" t="s">
        <v>9398</v>
      </c>
      <c r="M40" s="5" t="s">
        <v>9399</v>
      </c>
      <c r="N40" s="5" t="s">
        <v>9400</v>
      </c>
      <c r="O40" s="5" t="s">
        <v>9401</v>
      </c>
      <c r="P40" s="5" t="s">
        <v>9402</v>
      </c>
      <c r="Q40" s="5" t="s">
        <v>9403</v>
      </c>
      <c r="R40" s="99"/>
      <c r="S40" s="102"/>
      <c r="T40" s="4" t="s">
        <v>9397</v>
      </c>
      <c r="U40" s="5" t="s">
        <v>9398</v>
      </c>
      <c r="V40" s="5" t="s">
        <v>9399</v>
      </c>
      <c r="W40" s="5" t="s">
        <v>9400</v>
      </c>
      <c r="X40" s="5" t="s">
        <v>9401</v>
      </c>
      <c r="Y40" s="5" t="s">
        <v>9402</v>
      </c>
      <c r="Z40" s="5" t="s">
        <v>9403</v>
      </c>
      <c r="AA40" s="104"/>
      <c r="AB40" s="104"/>
      <c r="AC40" s="13"/>
      <c r="AD40" s="13"/>
      <c r="AE40" s="13"/>
      <c r="AF40" s="13"/>
      <c r="AG40" s="13"/>
      <c r="AH40" s="13"/>
      <c r="AI40" s="13"/>
      <c r="AJ40" s="104"/>
      <c r="AK40" s="104"/>
      <c r="AL40" s="13"/>
      <c r="AM40" s="13"/>
      <c r="AN40" s="13"/>
      <c r="AO40" s="13"/>
      <c r="AP40" s="13"/>
      <c r="AQ40" s="13"/>
      <c r="AR40" s="13"/>
      <c r="AS40" s="104"/>
      <c r="AT40" s="104"/>
    </row>
    <row r="41" spans="1:50" ht="13.9">
      <c r="B41" s="25" t="s">
        <v>9405</v>
      </c>
      <c r="C41" s="7">
        <f>SUM(C42:C46)</f>
        <v>87</v>
      </c>
      <c r="D41" s="19">
        <f>SUM(D42:D46)</f>
        <v>1</v>
      </c>
      <c r="E41" s="7">
        <f t="shared" ref="E41:H41" si="42">SUM(E42:E46)</f>
        <v>141753.5</v>
      </c>
      <c r="F41" s="19">
        <f t="shared" si="42"/>
        <v>1.0995675528923536</v>
      </c>
      <c r="G41" s="7">
        <f t="shared" si="42"/>
        <v>5616.8180113345006</v>
      </c>
      <c r="H41" s="19">
        <f t="shared" si="42"/>
        <v>1</v>
      </c>
      <c r="I41" s="102"/>
      <c r="J41" s="103"/>
      <c r="K41" s="6" t="s">
        <v>9405</v>
      </c>
      <c r="L41" s="7">
        <f>SUM(L42:L46)</f>
        <v>64</v>
      </c>
      <c r="M41" s="7">
        <f>SUM(M42:M46)</f>
        <v>100</v>
      </c>
      <c r="N41" s="7">
        <f t="shared" ref="N41:Q41" si="43">SUM(N42:N46)</f>
        <v>71286.5</v>
      </c>
      <c r="O41" s="7">
        <f t="shared" si="43"/>
        <v>57.7281603108583</v>
      </c>
      <c r="P41" s="7">
        <f t="shared" si="43"/>
        <v>2763.5960154844997</v>
      </c>
      <c r="Q41" s="7">
        <f t="shared" si="43"/>
        <v>100</v>
      </c>
      <c r="R41" s="102"/>
      <c r="S41" s="104"/>
      <c r="T41" s="25" t="s">
        <v>9405</v>
      </c>
      <c r="U41" s="7">
        <f>SUM(U42:U46)</f>
        <v>23</v>
      </c>
      <c r="V41" s="7">
        <f>SUM(V42:V46)</f>
        <v>100</v>
      </c>
      <c r="W41" s="7">
        <f t="shared" ref="W41:Z41" si="44">SUM(W42:W46)</f>
        <v>70467</v>
      </c>
      <c r="X41" s="7">
        <f t="shared" si="44"/>
        <v>99.039039550427844</v>
      </c>
      <c r="Y41" s="7">
        <f t="shared" si="44"/>
        <v>2853.2219958500004</v>
      </c>
      <c r="Z41" s="7">
        <f t="shared" si="44"/>
        <v>100</v>
      </c>
      <c r="AA41" s="104"/>
      <c r="AB41" s="104"/>
      <c r="AC41" s="13"/>
      <c r="AD41" s="13"/>
      <c r="AE41" s="13"/>
      <c r="AF41" s="13"/>
      <c r="AG41" s="13"/>
      <c r="AH41" s="13"/>
      <c r="AI41" s="13"/>
      <c r="AJ41" s="104"/>
      <c r="AK41" s="104"/>
      <c r="AL41" s="13"/>
      <c r="AM41" s="13"/>
      <c r="AN41" s="13"/>
      <c r="AO41" s="13"/>
      <c r="AP41" s="13"/>
      <c r="AQ41" s="13"/>
      <c r="AR41" s="13"/>
      <c r="AS41" s="104"/>
    </row>
    <row r="42" spans="1:50" ht="13.9">
      <c r="A42" s="101" t="s">
        <v>3</v>
      </c>
      <c r="B42" s="22" t="s">
        <v>9407</v>
      </c>
      <c r="C42" s="23">
        <f>COUNTIFS(Ofertas!$T$2242:$T$2765,Indicadores!A42,Ofertas!$AG$2242:$AG$2765,$B$39)</f>
        <v>33</v>
      </c>
      <c r="D42" s="19">
        <f>C42/$C$41</f>
        <v>0.37931034482758619</v>
      </c>
      <c r="E42" s="7">
        <f>SUMIFS(Ofertas!$W$2242:$W$2765,Ofertas!$T$2242:$T$2765,Indicadores!A42,Ofertas!$AG$2242:$AG$2765,Indicadores!$B$39)</f>
        <v>31122.5</v>
      </c>
      <c r="F42" s="19">
        <f>E42/$E$23</f>
        <v>0.24141408264975664</v>
      </c>
      <c r="G42" s="7">
        <f>SUMIFS(Ofertas!$X$2242:$X$2765,Ofertas!$T$2242:$T$2765,Indicadores!A42,Ofertas!$AG$2242:$AG$2765,Indicadores!$B$39)</f>
        <v>1237.1612210000001</v>
      </c>
      <c r="H42" s="19">
        <f>G42/$G$41</f>
        <v>0.22026015770912663</v>
      </c>
      <c r="I42" s="104"/>
      <c r="J42" s="101" t="s">
        <v>3</v>
      </c>
      <c r="K42" s="22" t="s">
        <v>9407</v>
      </c>
      <c r="L42" s="23">
        <f>COUNTIFS(Ofertas!$T$2242:$T$2765,Indicadores!J42,Ofertas!$AG$2242:$AG$2765,$K$39,Ofertas!$L$2242:$L$2765,Indicadores!$L$39)</f>
        <v>30</v>
      </c>
      <c r="M42" s="24">
        <f>L42/$L$41*100</f>
        <v>46.875</v>
      </c>
      <c r="N42" s="7">
        <f>SUMIFS(Ofertas!$W$2242:$W$2765,Ofertas!$T$2242:$T$2765,Indicadores!J42,Ofertas!$AG$2242:$AG$2765,Indicadores!$K$39,Ofertas!$L$2242:$L$2765,Indicadores!$L$39)</f>
        <v>30438.5</v>
      </c>
      <c r="O42" s="28">
        <f>N42/$N$41</f>
        <v>0.42698827968830005</v>
      </c>
      <c r="P42" s="7">
        <f>SUMIFS(Ofertas!$X$2242:$X$2765,Ofertas!$T$2242:$T$2765,Indicadores!J42,Ofertas!$AG$2242:$AG$2765,Indicadores!$K$39,Ofertas!$L$2242:$L$2765,Indicadores!$L$39)</f>
        <v>1209.9051810000001</v>
      </c>
      <c r="Q42" s="24">
        <f>P42/$P$41*100</f>
        <v>43.780102960811575</v>
      </c>
      <c r="R42" s="104"/>
      <c r="S42" s="101" t="s">
        <v>3</v>
      </c>
      <c r="T42" s="22" t="s">
        <v>9407</v>
      </c>
      <c r="U42" s="23">
        <f>COUNTIFS(Ofertas!$T$2242:$T$2765,Indicadores!S42,Ofertas!$AG$2242:$AG$2765,$T$39,Ofertas!$L$2242:$L$2765,Indicadores!$U$39)</f>
        <v>3</v>
      </c>
      <c r="V42" s="24">
        <f>U42/$U$41*100</f>
        <v>13.043478260869565</v>
      </c>
      <c r="W42" s="7">
        <f>SUMIFS(Ofertas!$W$2242:$W$2765,Ofertas!$T$2242:$T$2765,Indicadores!S42,Ofertas!$AG$2242:$AG$2765,Indicadores!$T$39,Ofertas!$L$2242:$L$2765,Indicadores!$U$39)</f>
        <v>684</v>
      </c>
      <c r="X42" s="28">
        <f>W42/$W$41</f>
        <v>9.7066712077993958E-3</v>
      </c>
      <c r="Y42" s="7">
        <f>SUMIFS(Ofertas!$X$2242:$X$2765,Ofertas!$T$2242:$T$2765,Indicadores!S42,Ofertas!$AG$2242:$AG$2765,Indicadores!$T$39,Ofertas!$L$2242:$L$2765,Indicadores!$U$39)</f>
        <v>27.256040000000002</v>
      </c>
      <c r="Z42" s="24">
        <f>Y42/$Y$41*100</f>
        <v>0.95527232159445707</v>
      </c>
      <c r="AT42" s="107"/>
      <c r="AU42" s="107"/>
      <c r="AV42" s="107"/>
      <c r="AW42" s="108"/>
      <c r="AX42" s="108"/>
    </row>
    <row r="43" spans="1:50" ht="13.9">
      <c r="A43" s="101" t="s">
        <v>165</v>
      </c>
      <c r="B43" s="22" t="s">
        <v>9409</v>
      </c>
      <c r="C43" s="23">
        <f>COUNTIFS(Ofertas!$T$2242:$T$2765,Indicadores!A43,Ofertas!$AG$2242:$AG$2765,$B$39)</f>
        <v>54</v>
      </c>
      <c r="D43" s="19">
        <f t="shared" ref="D43:D46" si="45">C43/$C$41</f>
        <v>0.62068965517241381</v>
      </c>
      <c r="E43" s="7">
        <f>SUMIFS(Ofertas!$W$2242:$W$2765,Ofertas!$T$2242:$T$2765,Indicadores!A43,Ofertas!$AG$2242:$AG$2765,Indicadores!$B$39)</f>
        <v>110631</v>
      </c>
      <c r="F43" s="19">
        <f t="shared" ref="F43:F46" si="46">E43/$E$23</f>
        <v>0.85815347024259703</v>
      </c>
      <c r="G43" s="7">
        <f>SUMIFS(Ofertas!$X$2242:$X$2765,Ofertas!$T$2242:$T$2765,Indicadores!A43,Ofertas!$AG$2242:$AG$2765,Indicadores!$B$39)</f>
        <v>4379.6567903345003</v>
      </c>
      <c r="H43" s="19">
        <f t="shared" ref="H43:H46" si="47">G43/$G$41</f>
        <v>0.77973984229087334</v>
      </c>
      <c r="I43" s="104"/>
      <c r="J43" s="101" t="s">
        <v>165</v>
      </c>
      <c r="K43" s="22" t="s">
        <v>9409</v>
      </c>
      <c r="L43" s="23">
        <f>COUNTIFS(Ofertas!$T$2242:$T$2765,Indicadores!J43,Ofertas!$AG$2242:$AG$2765,$K$39,Ofertas!$L$2242:$L$2765,Indicadores!$L$39)</f>
        <v>34</v>
      </c>
      <c r="M43" s="24">
        <f t="shared" ref="M43:M46" si="48">L43/$L$41*100</f>
        <v>53.125</v>
      </c>
      <c r="N43" s="7">
        <f>SUMIFS(Ofertas!$W$2242:$W$2765,Ofertas!$T$2242:$T$2765,Indicadores!J43,Ofertas!$AG$2242:$AG$2765,Indicadores!$K$39,Ofertas!$L$2242:$L$2765,Indicadores!$L$39)</f>
        <v>40848</v>
      </c>
      <c r="O43" s="26">
        <f t="shared" ref="O43:O46" si="49">N43/$N$41*100</f>
        <v>57.301172031169997</v>
      </c>
      <c r="P43" s="7">
        <f>SUMIFS(Ofertas!$X$2242:$X$2765,Ofertas!$T$2242:$T$2765,Indicadores!J43,Ofertas!$AG$2242:$AG$2765,Indicadores!$K$39,Ofertas!$L$2242:$L$2765,Indicadores!$L$39)</f>
        <v>1553.6908344844996</v>
      </c>
      <c r="Q43" s="24">
        <f t="shared" ref="Q43:Q46" si="50">P43/$P$41*100</f>
        <v>56.219897039188425</v>
      </c>
      <c r="R43" s="104"/>
      <c r="S43" s="101" t="s">
        <v>165</v>
      </c>
      <c r="T43" s="22" t="s">
        <v>9409</v>
      </c>
      <c r="U43" s="23">
        <f>COUNTIFS(Ofertas!$T$2242:$T$2765,Indicadores!S43,Ofertas!$AG$2242:$AG$2765,$T$39,Ofertas!$L$2242:$L$2765,Indicadores!$U$39)</f>
        <v>20</v>
      </c>
      <c r="V43" s="24">
        <f t="shared" ref="V43:V46" si="51">U43/$U$41*100</f>
        <v>86.956521739130437</v>
      </c>
      <c r="W43" s="7">
        <f>SUMIFS(Ofertas!$W$2242:$W$2765,Ofertas!$T$2242:$T$2765,Indicadores!S43,Ofertas!$AG$2242:$AG$2765,Indicadores!$T$39,Ofertas!$L$2242:$L$2765,Indicadores!$U$39)</f>
        <v>69783</v>
      </c>
      <c r="X43" s="26">
        <f t="shared" ref="X43:X46" si="52">W43/$W$41*100</f>
        <v>99.02933287922005</v>
      </c>
      <c r="Y43" s="7">
        <f>SUMIFS(Ofertas!$X$2242:$X$2765,Ofertas!$T$2242:$T$2765,Indicadores!S43,Ofertas!$AG$2242:$AG$2765,Indicadores!$T$39,Ofertas!$L$2242:$L$2765,Indicadores!$U$39)</f>
        <v>2825.9659558500002</v>
      </c>
      <c r="Z43" s="24">
        <f t="shared" ref="Z43:Z46" si="53">Y43/$Y$41*100</f>
        <v>99.044727678405536</v>
      </c>
    </row>
    <row r="44" spans="1:50" ht="13.9">
      <c r="A44" s="101" t="s">
        <v>168</v>
      </c>
      <c r="B44" s="22" t="s">
        <v>9411</v>
      </c>
      <c r="C44" s="23">
        <f>COUNTIFS(Ofertas!$T$2242:$T$2765,Indicadores!A44,Ofertas!$AG$2242:$AG$2765,$B$39)</f>
        <v>0</v>
      </c>
      <c r="D44" s="19">
        <f t="shared" si="45"/>
        <v>0</v>
      </c>
      <c r="E44" s="7">
        <f>SUMIFS(Ofertas!$W$2242:$W$2765,Ofertas!$T$2242:$T$2765,Indicadores!A44,Ofertas!$AG$2242:$AG$2765,Indicadores!$B$39)</f>
        <v>0</v>
      </c>
      <c r="F44" s="19">
        <f t="shared" si="46"/>
        <v>0</v>
      </c>
      <c r="G44" s="7">
        <f>SUMIFS(Ofertas!$X$2242:$X$2765,Ofertas!$T$2242:$T$2765,Indicadores!A44,Ofertas!$AG$2242:$AG$2765,Indicadores!$B$39)</f>
        <v>0</v>
      </c>
      <c r="H44" s="19">
        <f t="shared" si="47"/>
        <v>0</v>
      </c>
      <c r="I44" s="104"/>
      <c r="J44" s="101" t="s">
        <v>168</v>
      </c>
      <c r="K44" s="22" t="s">
        <v>9411</v>
      </c>
      <c r="L44" s="23">
        <f>COUNTIFS(Ofertas!$T$2242:$T$2765,Indicadores!J44,Ofertas!$AG$2242:$AG$2765,$K$39,Ofertas!$L$2242:$L$2765,Indicadores!$L$39)</f>
        <v>0</v>
      </c>
      <c r="M44" s="24">
        <f t="shared" si="48"/>
        <v>0</v>
      </c>
      <c r="N44" s="7">
        <f>SUMIFS(Ofertas!$W$2242:$W$2765,Ofertas!$T$2242:$T$2765,Indicadores!J44,Ofertas!$AG$2242:$AG$2765,Indicadores!$K$39,Ofertas!$L$2242:$L$2765,Indicadores!$L$39)</f>
        <v>0</v>
      </c>
      <c r="O44" s="26">
        <f t="shared" si="49"/>
        <v>0</v>
      </c>
      <c r="P44" s="7">
        <f>SUMIFS(Ofertas!$X$2242:$X$2765,Ofertas!$T$2242:$T$2765,Indicadores!J44,Ofertas!$AG$2242:$AG$2765,Indicadores!$K$39,Ofertas!$L$2242:$L$2765,Indicadores!$L$39)</f>
        <v>0</v>
      </c>
      <c r="Q44" s="24">
        <f t="shared" si="50"/>
        <v>0</v>
      </c>
      <c r="R44" s="103"/>
      <c r="S44" s="101" t="s">
        <v>168</v>
      </c>
      <c r="T44" s="22" t="s">
        <v>9411</v>
      </c>
      <c r="U44" s="23">
        <f>COUNTIFS(Ofertas!$T$2242:$T$2765,Indicadores!S44,Ofertas!$AG$2242:$AG$2765,$T$39,Ofertas!$L$2242:$L$2765,Indicadores!$U$39)</f>
        <v>0</v>
      </c>
      <c r="V44" s="24">
        <f t="shared" si="51"/>
        <v>0</v>
      </c>
      <c r="W44" s="7">
        <f>SUMIFS(Ofertas!$W$2242:$W$2765,Ofertas!$T$2242:$T$2765,Indicadores!S44,Ofertas!$AG$2242:$AG$2765,Indicadores!$T$39,Ofertas!$L$2242:$L$2765,Indicadores!$U$39)</f>
        <v>0</v>
      </c>
      <c r="X44" s="26">
        <f t="shared" si="52"/>
        <v>0</v>
      </c>
      <c r="Y44" s="7">
        <f>SUMIFS(Ofertas!$X$2242:$X$2765,Ofertas!$T$2242:$T$2765,Indicadores!S44,Ofertas!$AG$2242:$AG$2765,Indicadores!$T$39,Ofertas!$L$2242:$L$2765,Indicadores!$U$39)</f>
        <v>0</v>
      </c>
      <c r="Z44" s="24">
        <f t="shared" si="53"/>
        <v>0</v>
      </c>
      <c r="AA44" s="99"/>
      <c r="AB44" s="99"/>
      <c r="AC44" s="12"/>
      <c r="AD44" s="12"/>
      <c r="AE44" s="12"/>
      <c r="AF44" s="12"/>
      <c r="AG44" s="12"/>
      <c r="AH44" s="12"/>
      <c r="AI44" s="12"/>
      <c r="AJ44" s="99"/>
      <c r="AK44" s="99"/>
      <c r="AL44" s="12"/>
      <c r="AM44" s="12"/>
      <c r="AN44" s="12"/>
      <c r="AO44" s="12"/>
      <c r="AP44" s="12"/>
      <c r="AQ44" s="12"/>
      <c r="AR44" s="12"/>
      <c r="AS44" s="99"/>
      <c r="AT44" s="99"/>
    </row>
    <row r="45" spans="1:50" ht="13.9">
      <c r="A45" s="101" t="s">
        <v>158</v>
      </c>
      <c r="B45" s="22" t="s">
        <v>159</v>
      </c>
      <c r="C45" s="23">
        <f>COUNTIFS(Ofertas!$T$2242:$T$2765,Indicadores!A45,Ofertas!$AG$2242:$AG$2765,$B$39)</f>
        <v>0</v>
      </c>
      <c r="D45" s="19">
        <f t="shared" si="45"/>
        <v>0</v>
      </c>
      <c r="E45" s="7">
        <f>SUMIFS(Ofertas!$W$2242:$W$2765,Ofertas!$T$2242:$T$2765,Indicadores!A45,Ofertas!$AG$2242:$AG$2765,Indicadores!$B$39)</f>
        <v>0</v>
      </c>
      <c r="F45" s="19">
        <f t="shared" si="46"/>
        <v>0</v>
      </c>
      <c r="G45" s="7">
        <f>SUMIFS(Ofertas!$X$2242:$X$2765,Ofertas!$T$2242:$T$2765,Indicadores!A45,Ofertas!$AG$2242:$AG$2765,Indicadores!$B$39)</f>
        <v>0</v>
      </c>
      <c r="H45" s="19">
        <f t="shared" si="47"/>
        <v>0</v>
      </c>
      <c r="I45" s="104"/>
      <c r="J45" s="101" t="s">
        <v>158</v>
      </c>
      <c r="K45" s="22" t="s">
        <v>159</v>
      </c>
      <c r="L45" s="23">
        <f>COUNTIFS(Ofertas!$T$2242:$T$2765,Indicadores!J45,Ofertas!$AG$2242:$AG$2765,$K$39,Ofertas!$L$2242:$L$2765,Indicadores!$L$39)</f>
        <v>0</v>
      </c>
      <c r="M45" s="24">
        <f t="shared" si="48"/>
        <v>0</v>
      </c>
      <c r="N45" s="7">
        <f>SUMIFS(Ofertas!$W$2242:$W$2765,Ofertas!$T$2242:$T$2765,Indicadores!J45,Ofertas!$AG$2242:$AG$2765,Indicadores!$K$39,Ofertas!$L$2242:$L$2765,Indicadores!$L$39)</f>
        <v>0</v>
      </c>
      <c r="O45" s="26">
        <f t="shared" si="49"/>
        <v>0</v>
      </c>
      <c r="P45" s="7">
        <f>SUMIFS(Ofertas!$X$2242:$X$2765,Ofertas!$T$2242:$T$2765,Indicadores!J45,Ofertas!$AG$2242:$AG$2765,Indicadores!$K$39,Ofertas!$L$2242:$L$2765,Indicadores!$L$39)</f>
        <v>0</v>
      </c>
      <c r="Q45" s="24">
        <f t="shared" si="50"/>
        <v>0</v>
      </c>
      <c r="R45" s="103"/>
      <c r="S45" s="101" t="s">
        <v>158</v>
      </c>
      <c r="T45" s="22" t="s">
        <v>159</v>
      </c>
      <c r="U45" s="23">
        <f>COUNTIFS(Ofertas!$T$2242:$T$2765,Indicadores!S45,Ofertas!$AG$2242:$AG$2765,$T$39,Ofertas!$L$2242:$L$2765,Indicadores!$U$39)</f>
        <v>0</v>
      </c>
      <c r="V45" s="24">
        <f t="shared" si="51"/>
        <v>0</v>
      </c>
      <c r="W45" s="7">
        <f>SUMIFS(Ofertas!$W$2242:$W$2765,Ofertas!$T$2242:$T$2765,Indicadores!S45,Ofertas!$AG$2242:$AG$2765,Indicadores!$T$39,Ofertas!$L$2242:$L$2765,Indicadores!$U$39)</f>
        <v>0</v>
      </c>
      <c r="X45" s="26">
        <f t="shared" si="52"/>
        <v>0</v>
      </c>
      <c r="Y45" s="7">
        <f>SUMIFS(Ofertas!$X$2242:$X$2765,Ofertas!$T$2242:$T$2765,Indicadores!S45,Ofertas!$AG$2242:$AG$2765,Indicadores!$T$39,Ofertas!$L$2242:$L$2765,Indicadores!$U$39)</f>
        <v>0</v>
      </c>
      <c r="Z45" s="24">
        <f t="shared" si="53"/>
        <v>0</v>
      </c>
      <c r="AA45" s="102"/>
      <c r="AB45" s="102"/>
      <c r="AC45" s="8"/>
      <c r="AD45" s="8"/>
      <c r="AE45" s="8"/>
      <c r="AF45" s="8"/>
      <c r="AG45" s="8"/>
      <c r="AH45" s="8"/>
      <c r="AI45" s="8"/>
      <c r="AJ45" s="102"/>
      <c r="AK45" s="102"/>
      <c r="AL45" s="8"/>
      <c r="AM45" s="8"/>
      <c r="AN45" s="8"/>
      <c r="AO45" s="8"/>
      <c r="AP45" s="8"/>
      <c r="AQ45" s="8"/>
      <c r="AR45" s="8"/>
      <c r="AS45" s="102"/>
      <c r="AT45" s="102"/>
    </row>
    <row r="46" spans="1:50" ht="13.9">
      <c r="A46" s="101" t="s">
        <v>64</v>
      </c>
      <c r="B46" s="22" t="s">
        <v>9412</v>
      </c>
      <c r="C46" s="23">
        <f>COUNTIFS(Ofertas!$T$2242:$T$2765,Indicadores!A46,Ofertas!$AG$2242:$AG$2765,$B$39)</f>
        <v>0</v>
      </c>
      <c r="D46" s="19">
        <f t="shared" si="45"/>
        <v>0</v>
      </c>
      <c r="E46" s="7">
        <f>SUMIFS(Ofertas!$W$2242:$W$2765,Ofertas!$T$2242:$T$2765,Indicadores!A46,Ofertas!$AG$2242:$AG$2765,Indicadores!$B$39)</f>
        <v>0</v>
      </c>
      <c r="F46" s="19">
        <f t="shared" si="46"/>
        <v>0</v>
      </c>
      <c r="G46" s="7">
        <f>SUMIFS(Ofertas!$X$2242:$X$2765,Ofertas!$T$2242:$T$2765,Indicadores!A46,Ofertas!$AG$2242:$AG$2765,Indicadores!$B$39)</f>
        <v>0</v>
      </c>
      <c r="H46" s="19">
        <f t="shared" si="47"/>
        <v>0</v>
      </c>
      <c r="I46" s="104"/>
      <c r="J46" s="101" t="s">
        <v>64</v>
      </c>
      <c r="K46" s="22" t="s">
        <v>9412</v>
      </c>
      <c r="L46" s="23">
        <f>COUNTIFS(Ofertas!$T$2242:$T$2765,Indicadores!J46,Ofertas!$AG$2242:$AG$2765,$K$39,Ofertas!$L$2242:$L$2765,Indicadores!$L$39)</f>
        <v>0</v>
      </c>
      <c r="M46" s="24">
        <f t="shared" si="48"/>
        <v>0</v>
      </c>
      <c r="N46" s="7">
        <f>SUMIFS(Ofertas!$W$2242:$W$2765,Ofertas!$T$2242:$T$2765,Indicadores!J46,Ofertas!$AG$2242:$AG$2765,Indicadores!$K$39,Ofertas!$L$2242:$L$2765,Indicadores!$L$39)</f>
        <v>0</v>
      </c>
      <c r="O46" s="26">
        <f t="shared" si="49"/>
        <v>0</v>
      </c>
      <c r="P46" s="7">
        <f>SUMIFS(Ofertas!$X$2242:$X$2765,Ofertas!$T$2242:$T$2765,Indicadores!J46,Ofertas!$AG$2242:$AG$2765,Indicadores!$K$39,Ofertas!$L$2242:$L$2765,Indicadores!$L$39)</f>
        <v>0</v>
      </c>
      <c r="Q46" s="24">
        <f t="shared" si="50"/>
        <v>0</v>
      </c>
      <c r="R46" s="103"/>
      <c r="S46" s="101" t="s">
        <v>64</v>
      </c>
      <c r="T46" s="22" t="s">
        <v>9412</v>
      </c>
      <c r="U46" s="23">
        <f>COUNTIFS(Ofertas!$T$2242:$T$2765,Indicadores!S46,Ofertas!$AG$2242:$AG$2765,$T$39,Ofertas!$L$2242:$L$2765,Indicadores!$U$39)</f>
        <v>0</v>
      </c>
      <c r="V46" s="24">
        <f t="shared" si="51"/>
        <v>0</v>
      </c>
      <c r="W46" s="7">
        <f>SUMIFS(Ofertas!$W$2242:$W$2765,Ofertas!$T$2242:$T$2765,Indicadores!S46,Ofertas!$AG$2242:$AG$2765,Indicadores!$T$39,Ofertas!$L$2242:$L$2765,Indicadores!$U$39)</f>
        <v>0</v>
      </c>
      <c r="X46" s="26">
        <f t="shared" si="52"/>
        <v>0</v>
      </c>
      <c r="Y46" s="7">
        <f>SUMIFS(Ofertas!$X$2242:$X$2765,Ofertas!$T$2242:$T$2765,Indicadores!S46,Ofertas!$AG$2242:$AG$2765,Indicadores!$T$39,Ofertas!$L$2242:$L$2765,Indicadores!$U$39)</f>
        <v>0</v>
      </c>
      <c r="Z46" s="24">
        <f t="shared" si="53"/>
        <v>0</v>
      </c>
      <c r="AA46" s="104"/>
      <c r="AB46" s="104"/>
      <c r="AC46" s="13"/>
      <c r="AD46" s="13"/>
      <c r="AE46" s="13"/>
      <c r="AF46" s="13"/>
      <c r="AG46" s="13"/>
      <c r="AH46" s="13"/>
      <c r="AI46" s="13"/>
      <c r="AJ46" s="104"/>
      <c r="AK46" s="104"/>
      <c r="AL46" s="13"/>
      <c r="AM46" s="13"/>
      <c r="AN46" s="13"/>
      <c r="AO46" s="13"/>
      <c r="AP46" s="13"/>
      <c r="AQ46" s="13"/>
      <c r="AR46" s="13"/>
      <c r="AS46" s="104"/>
      <c r="AT46" s="104"/>
    </row>
    <row r="47" spans="1:50" s="97" customFormat="1" ht="13.9">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row>
    <row r="48" spans="1:50" s="97" customFormat="1" ht="13.9">
      <c r="B48" s="98">
        <v>2015</v>
      </c>
      <c r="J48" s="99"/>
      <c r="K48" s="109">
        <v>2015</v>
      </c>
      <c r="L48" s="100" t="s">
        <v>120</v>
      </c>
      <c r="M48" s="398" t="s">
        <v>9392</v>
      </c>
      <c r="N48" s="399"/>
      <c r="O48" s="399"/>
      <c r="P48" s="399"/>
      <c r="Q48" s="400"/>
      <c r="S48" s="99"/>
      <c r="T48" s="109">
        <v>2015</v>
      </c>
      <c r="U48" s="100" t="s">
        <v>123</v>
      </c>
      <c r="V48" s="398" t="s">
        <v>9393</v>
      </c>
      <c r="W48" s="399"/>
      <c r="X48" s="399"/>
      <c r="Y48" s="399"/>
      <c r="Z48" s="400"/>
      <c r="AA48" s="104"/>
      <c r="AB48" s="104"/>
      <c r="AC48" s="104"/>
      <c r="AD48" s="104"/>
      <c r="AE48" s="104"/>
      <c r="AF48" s="104"/>
      <c r="AG48" s="104"/>
      <c r="AH48" s="104"/>
      <c r="AI48" s="104"/>
      <c r="AJ48" s="104"/>
      <c r="AK48" s="104"/>
      <c r="AL48" s="104"/>
      <c r="AM48" s="104"/>
      <c r="AN48" s="104"/>
      <c r="AO48" s="104"/>
      <c r="AP48" s="104"/>
      <c r="AQ48" s="104"/>
      <c r="AR48" s="104"/>
      <c r="AS48" s="104"/>
      <c r="AT48" s="104"/>
    </row>
    <row r="49" spans="1:50" ht="13.9">
      <c r="B49" s="4" t="s">
        <v>9397</v>
      </c>
      <c r="C49" s="5" t="s">
        <v>9398</v>
      </c>
      <c r="D49" s="5" t="s">
        <v>9399</v>
      </c>
      <c r="E49" s="5" t="s">
        <v>9400</v>
      </c>
      <c r="F49" s="5" t="s">
        <v>9401</v>
      </c>
      <c r="G49" s="5" t="s">
        <v>9402</v>
      </c>
      <c r="H49" s="5" t="s">
        <v>9403</v>
      </c>
      <c r="I49" s="99"/>
      <c r="J49" s="102"/>
      <c r="K49" s="4" t="s">
        <v>9397</v>
      </c>
      <c r="L49" s="5" t="s">
        <v>9398</v>
      </c>
      <c r="M49" s="5" t="s">
        <v>9399</v>
      </c>
      <c r="N49" s="5" t="s">
        <v>9400</v>
      </c>
      <c r="O49" s="5" t="s">
        <v>9401</v>
      </c>
      <c r="P49" s="5" t="s">
        <v>9402</v>
      </c>
      <c r="Q49" s="5" t="s">
        <v>9403</v>
      </c>
      <c r="R49" s="99"/>
      <c r="S49" s="102"/>
      <c r="T49" s="4" t="s">
        <v>9397</v>
      </c>
      <c r="U49" s="5" t="s">
        <v>9398</v>
      </c>
      <c r="V49" s="5" t="s">
        <v>9399</v>
      </c>
      <c r="W49" s="5" t="s">
        <v>9400</v>
      </c>
      <c r="X49" s="5" t="s">
        <v>9401</v>
      </c>
      <c r="Y49" s="5" t="s">
        <v>9402</v>
      </c>
      <c r="Z49" s="5" t="s">
        <v>9403</v>
      </c>
      <c r="AA49" s="104"/>
      <c r="AB49" s="104"/>
      <c r="AC49" s="13"/>
      <c r="AD49" s="13"/>
      <c r="AE49" s="13"/>
      <c r="AF49" s="13"/>
      <c r="AG49" s="13"/>
      <c r="AH49" s="13"/>
      <c r="AI49" s="13"/>
      <c r="AJ49" s="104"/>
      <c r="AK49" s="104"/>
      <c r="AL49" s="13"/>
      <c r="AM49" s="13"/>
      <c r="AN49" s="13"/>
      <c r="AO49" s="13"/>
      <c r="AP49" s="13"/>
      <c r="AQ49" s="13"/>
      <c r="AR49" s="13"/>
      <c r="AS49" s="104"/>
      <c r="AT49" s="104"/>
    </row>
    <row r="50" spans="1:50" ht="13.9">
      <c r="B50" s="25" t="s">
        <v>9405</v>
      </c>
      <c r="C50" s="7">
        <f>SUM(C51:C55)</f>
        <v>131</v>
      </c>
      <c r="D50" s="19">
        <f>SUM(D51:D55)</f>
        <v>1</v>
      </c>
      <c r="E50" s="7">
        <f t="shared" ref="E50:H50" si="54">SUM(E51:E55)</f>
        <v>201676</v>
      </c>
      <c r="F50" s="19">
        <f t="shared" si="54"/>
        <v>1</v>
      </c>
      <c r="G50" s="7">
        <f>SUM(G51:G55)</f>
        <v>7060.6227960000033</v>
      </c>
      <c r="H50" s="19">
        <f t="shared" si="54"/>
        <v>1</v>
      </c>
      <c r="I50" s="102"/>
      <c r="J50" s="103"/>
      <c r="K50" s="25" t="s">
        <v>9405</v>
      </c>
      <c r="L50" s="7">
        <f>SUM(L51:L55)</f>
        <v>101</v>
      </c>
      <c r="M50" s="7">
        <f>SUM(M51:M55)</f>
        <v>100</v>
      </c>
      <c r="N50" s="7">
        <f t="shared" ref="N50:Q50" si="55">SUM(N51:N55)</f>
        <v>110344</v>
      </c>
      <c r="O50" s="19">
        <f t="shared" si="55"/>
        <v>1</v>
      </c>
      <c r="P50" s="7">
        <f t="shared" si="55"/>
        <v>4153.6736799999999</v>
      </c>
      <c r="Q50" s="7">
        <f t="shared" si="55"/>
        <v>100</v>
      </c>
      <c r="R50" s="102"/>
      <c r="S50" s="104"/>
      <c r="T50" s="25" t="s">
        <v>9405</v>
      </c>
      <c r="U50" s="7">
        <f>SUM(U51:U55)</f>
        <v>30</v>
      </c>
      <c r="V50" s="7">
        <f>SUM(V51:V55)</f>
        <v>100</v>
      </c>
      <c r="W50" s="7">
        <f t="shared" ref="W50:Z50" si="56">SUM(W51:W55)</f>
        <v>91332</v>
      </c>
      <c r="X50" s="7">
        <f t="shared" si="56"/>
        <v>92.955360662199453</v>
      </c>
      <c r="Y50" s="7">
        <f t="shared" si="56"/>
        <v>2906.9491160000007</v>
      </c>
      <c r="Z50" s="7">
        <f t="shared" si="56"/>
        <v>100.00000000000001</v>
      </c>
      <c r="AA50" s="104"/>
      <c r="AB50" s="104"/>
      <c r="AC50" s="13"/>
      <c r="AD50" s="13"/>
      <c r="AE50" s="13"/>
      <c r="AF50" s="13"/>
      <c r="AG50" s="13"/>
      <c r="AH50" s="13"/>
      <c r="AI50" s="13"/>
      <c r="AJ50" s="104"/>
      <c r="AK50" s="104"/>
      <c r="AL50" s="13"/>
      <c r="AM50" s="13"/>
      <c r="AN50" s="13"/>
      <c r="AO50" s="13"/>
      <c r="AP50" s="13"/>
      <c r="AQ50" s="13"/>
      <c r="AR50" s="13"/>
      <c r="AS50" s="104"/>
    </row>
    <row r="51" spans="1:50" ht="13.9">
      <c r="A51" s="101" t="s">
        <v>3</v>
      </c>
      <c r="B51" s="22" t="s">
        <v>9407</v>
      </c>
      <c r="C51" s="23">
        <f>COUNTIFS(Ofertas!$T$2242:$T$2765,Indicadores!A51,Ofertas!$AG$2242:$AG$2765,$B$48)</f>
        <v>67</v>
      </c>
      <c r="D51" s="19">
        <f>C51/$C$50</f>
        <v>0.51145038167938928</v>
      </c>
      <c r="E51" s="7">
        <f>SUMIFS(Ofertas!$W$2242:$W$2765,Ofertas!$T$2242:$T$2765,Indicadores!A51,Ofertas!$AG$2242:$AG$2765,Indicadores!$B$48)</f>
        <v>48113</v>
      </c>
      <c r="F51" s="19">
        <f>E51/$E$50</f>
        <v>0.23856581844146055</v>
      </c>
      <c r="G51" s="7">
        <f>SUMIFS(Ofertas!$X$2242:$X$2765,Ofertas!$T$2242:$T$2765,Indicadores!A51,Ofertas!$AG$2242:$AG$2765,Indicadores!$B$48)</f>
        <v>1646.8492000000001</v>
      </c>
      <c r="H51" s="19">
        <f>G51/$G$50</f>
        <v>0.23324418363391061</v>
      </c>
      <c r="I51" s="104"/>
      <c r="J51" s="101" t="s">
        <v>3</v>
      </c>
      <c r="K51" s="22" t="s">
        <v>9407</v>
      </c>
      <c r="L51" s="23">
        <f>COUNTIFS(Ofertas!$T$2242:$T$2765,Indicadores!J51,Ofertas!$AG$2242:$AG$2765,$K$48,Ofertas!$L$2242:$L$2765,Indicadores!$L$48)</f>
        <v>64</v>
      </c>
      <c r="M51" s="24">
        <f>L51/$L$50*100</f>
        <v>63.366336633663366</v>
      </c>
      <c r="N51" s="7">
        <f>SUMIFS(Ofertas!$W$2242:$W$2765,Ofertas!$T$2242:$T$2765,Indicadores!J51,Ofertas!$AG$2242:$AG$2765,Indicadores!$K$48,Ofertas!$L$2242:$L$2765,Indicadores!$L$48)</f>
        <v>41614</v>
      </c>
      <c r="O51" s="28">
        <f>N51/$N$50</f>
        <v>0.37712970347277602</v>
      </c>
      <c r="P51" s="7">
        <f>SUMIFS(Ofertas!$X$2242:$X$2765,Ofertas!$T$2242:$T$2765,Indicadores!J51,Ofertas!$AG$2242:$AG$2765,Indicadores!$K$48,Ofertas!$L$2242:$L$2765,Indicadores!$L$48)</f>
        <v>1488.9592000000002</v>
      </c>
      <c r="Q51" s="24">
        <f>P51/$P$50*100</f>
        <v>35.846802486419691</v>
      </c>
      <c r="R51" s="104"/>
      <c r="S51" s="101" t="s">
        <v>3</v>
      </c>
      <c r="T51" s="22" t="s">
        <v>9407</v>
      </c>
      <c r="U51" s="23">
        <f>COUNTIFS(Ofertas!$T$2242:$T$2765,Indicadores!S51,Ofertas!$AG$2242:$AG$2765,$T$48,Ofertas!$L$2242:$L$2765,Indicadores!$U$48)</f>
        <v>3</v>
      </c>
      <c r="V51" s="24">
        <f>U51/$U$50*100</f>
        <v>10</v>
      </c>
      <c r="W51" s="7">
        <f>SUMIFS(Ofertas!$W$2242:$W$2765,Ofertas!$T$2242:$T$2765,Indicadores!S51,Ofertas!$AG$2242:$AG$2765,Indicadores!$T$48,Ofertas!$L$2242:$L$2765,Indicadores!$U$48)</f>
        <v>6499</v>
      </c>
      <c r="X51" s="28">
        <f>W51/$W$50</f>
        <v>7.1157973109096481E-2</v>
      </c>
      <c r="Y51" s="7">
        <f>SUMIFS(Ofertas!$X$2242:$X$2765,Ofertas!$T$2242:$T$2765,Indicadores!S51,Ofertas!$AG$2242:$AG$2765,Indicadores!$T$48,Ofertas!$L$2242:$L$2765,Indicadores!$U$48)</f>
        <v>157.88999999999999</v>
      </c>
      <c r="Z51" s="24">
        <f>Y51/$Y$50*100</f>
        <v>5.4314676211896913</v>
      </c>
      <c r="AT51" s="107"/>
      <c r="AU51" s="107"/>
      <c r="AV51" s="107"/>
      <c r="AW51" s="108"/>
      <c r="AX51" s="108"/>
    </row>
    <row r="52" spans="1:50" ht="13.9">
      <c r="A52" s="101" t="s">
        <v>165</v>
      </c>
      <c r="B52" s="22" t="s">
        <v>9409</v>
      </c>
      <c r="C52" s="23">
        <f>COUNTIFS(Ofertas!$T$2242:$T$2765,Indicadores!A52,Ofertas!$AG$2242:$AG$2765,$B$48)</f>
        <v>64</v>
      </c>
      <c r="D52" s="19">
        <f t="shared" ref="D52:D55" si="57">C52/$C$50</f>
        <v>0.48854961832061067</v>
      </c>
      <c r="E52" s="7">
        <f>SUMIFS(Ofertas!$W$2242:$W$2765,Ofertas!$T$2242:$T$2765,Indicadores!A52,Ofertas!$AG$2242:$AG$2765,Indicadores!$B$48)</f>
        <v>153563</v>
      </c>
      <c r="F52" s="19">
        <f t="shared" ref="F52:F55" si="58">E52/$E$50</f>
        <v>0.76143418155853948</v>
      </c>
      <c r="G52" s="7">
        <f>SUMIFS(Ofertas!$X$2242:$X$2765,Ofertas!$T$2242:$T$2765,Indicadores!A52,Ofertas!$AG$2242:$AG$2765,Indicadores!$B$48)</f>
        <v>5413.7735960000027</v>
      </c>
      <c r="H52" s="19">
        <f t="shared" ref="H52:H55" si="59">G52/$G$50</f>
        <v>0.76675581636608936</v>
      </c>
      <c r="I52" s="104"/>
      <c r="J52" s="101" t="s">
        <v>165</v>
      </c>
      <c r="K52" s="22" t="s">
        <v>9409</v>
      </c>
      <c r="L52" s="23">
        <f>COUNTIFS(Ofertas!$T$2242:$T$2765,Indicadores!J52,Ofertas!$AG$2242:$AG$2765,$K$48,Ofertas!$L$2242:$L$2765,Indicadores!$L$48)</f>
        <v>37</v>
      </c>
      <c r="M52" s="24">
        <f t="shared" ref="M52:M55" si="60">L52/$L$50*100</f>
        <v>36.633663366336634</v>
      </c>
      <c r="N52" s="7">
        <f>SUMIFS(Ofertas!$W$2242:$W$2765,Ofertas!$T$2242:$T$2765,Indicadores!J52,Ofertas!$AG$2242:$AG$2765,Indicadores!$K$48,Ofertas!$L$2242:$L$2765,Indicadores!$L$48)</f>
        <v>68730</v>
      </c>
      <c r="O52" s="28">
        <f t="shared" ref="O52:O55" si="61">N52/$N$50</f>
        <v>0.62287029652722392</v>
      </c>
      <c r="P52" s="7">
        <f>SUMIFS(Ofertas!$X$2242:$X$2765,Ofertas!$T$2242:$T$2765,Indicadores!J52,Ofertas!$AG$2242:$AG$2765,Indicadores!$K$48,Ofertas!$L$2242:$L$2765,Indicadores!$L$48)</f>
        <v>2664.7144799999996</v>
      </c>
      <c r="Q52" s="24">
        <f t="shared" ref="Q52:Q55" si="62">P52/$P$50*100</f>
        <v>64.153197513580309</v>
      </c>
      <c r="R52" s="104"/>
      <c r="S52" s="101" t="s">
        <v>165</v>
      </c>
      <c r="T52" s="22" t="s">
        <v>9409</v>
      </c>
      <c r="U52" s="23">
        <f>COUNTIFS(Ofertas!$T$2242:$T$2765,Indicadores!S52,Ofertas!$AG$2242:$AG$2765,$T$48,Ofertas!$L$2242:$L$2765,Indicadores!$U$48)</f>
        <v>27</v>
      </c>
      <c r="V52" s="24">
        <f t="shared" ref="V52:V55" si="63">U52/$U$50*100</f>
        <v>90</v>
      </c>
      <c r="W52" s="7">
        <f>SUMIFS(Ofertas!$W$2242:$W$2765,Ofertas!$T$2242:$T$2765,Indicadores!S52,Ofertas!$AG$2242:$AG$2765,Indicadores!$T$48,Ofertas!$L$2242:$L$2765,Indicadores!$U$48)</f>
        <v>84833</v>
      </c>
      <c r="X52" s="26">
        <f t="shared" ref="X52:X55" si="64">W52/$W$50*100</f>
        <v>92.884202689090358</v>
      </c>
      <c r="Y52" s="7">
        <f>SUMIFS(Ofertas!$X$2242:$X$2765,Ofertas!$T$2242:$T$2765,Indicadores!S52,Ofertas!$AG$2242:$AG$2765,Indicadores!$T$48,Ofertas!$L$2242:$L$2765,Indicadores!$U$48)</f>
        <v>2749.0591160000008</v>
      </c>
      <c r="Z52" s="24">
        <f t="shared" ref="Z52:Z55" si="65">Y52/$Y$50*100</f>
        <v>94.568532378810318</v>
      </c>
    </row>
    <row r="53" spans="1:50" ht="13.9">
      <c r="A53" s="101" t="s">
        <v>168</v>
      </c>
      <c r="B53" s="22" t="s">
        <v>9411</v>
      </c>
      <c r="C53" s="23">
        <f>COUNTIFS(Ofertas!$T$2242:$T$2765,Indicadores!A53,Ofertas!$AG$2242:$AG$2765,$B$48)</f>
        <v>0</v>
      </c>
      <c r="D53" s="19">
        <f t="shared" si="57"/>
        <v>0</v>
      </c>
      <c r="E53" s="7">
        <f>SUMIFS(Ofertas!$W$2242:$W$2765,Ofertas!$T$2242:$T$2765,Indicadores!A53,Ofertas!$AG$2242:$AG$2765,Indicadores!$B$48)</f>
        <v>0</v>
      </c>
      <c r="F53" s="19">
        <f t="shared" si="58"/>
        <v>0</v>
      </c>
      <c r="G53" s="7">
        <f>SUMIFS(Ofertas!$X$2242:$X$2765,Ofertas!$T$2242:$T$2765,Indicadores!A53,Ofertas!$AG$2242:$AG$2765,Indicadores!$B$48)</f>
        <v>0</v>
      </c>
      <c r="H53" s="19">
        <f t="shared" si="59"/>
        <v>0</v>
      </c>
      <c r="I53" s="104"/>
      <c r="J53" s="101" t="s">
        <v>168</v>
      </c>
      <c r="K53" s="22" t="s">
        <v>9411</v>
      </c>
      <c r="L53" s="23">
        <f>COUNTIFS(Ofertas!$T$2242:$T$2765,Indicadores!J53,Ofertas!$AG$2242:$AG$2765,$K$48,Ofertas!$L$2242:$L$2765,Indicadores!$L$48)</f>
        <v>0</v>
      </c>
      <c r="M53" s="24">
        <f t="shared" si="60"/>
        <v>0</v>
      </c>
      <c r="N53" s="7">
        <f>SUMIFS(Ofertas!$W$2242:$W$2765,Ofertas!$T$2242:$T$2765,Indicadores!J53,Ofertas!$AG$2242:$AG$2765,Indicadores!$K$48,Ofertas!$L$2242:$L$2765,Indicadores!$L$48)</f>
        <v>0</v>
      </c>
      <c r="O53" s="28">
        <f t="shared" si="61"/>
        <v>0</v>
      </c>
      <c r="P53" s="7">
        <f>SUMIFS(Ofertas!$X$2242:$X$2765,Ofertas!$T$2242:$T$2765,Indicadores!J53,Ofertas!$AG$2242:$AG$2765,Indicadores!$K$48,Ofertas!$L$2242:$L$2765,Indicadores!$L$48)</f>
        <v>0</v>
      </c>
      <c r="Q53" s="24">
        <f t="shared" si="62"/>
        <v>0</v>
      </c>
      <c r="R53" s="103"/>
      <c r="S53" s="101" t="s">
        <v>168</v>
      </c>
      <c r="T53" s="22" t="s">
        <v>9411</v>
      </c>
      <c r="U53" s="23">
        <f>COUNTIFS(Ofertas!$T$2242:$T$2765,Indicadores!S53,Ofertas!$AG$2242:$AG$2765,$T$48,Ofertas!$L$2242:$L$2765,Indicadores!$U$48)</f>
        <v>0</v>
      </c>
      <c r="V53" s="24">
        <f t="shared" si="63"/>
        <v>0</v>
      </c>
      <c r="W53" s="7">
        <f>SUMIFS(Ofertas!$W$2242:$W$2765,Ofertas!$T$2242:$T$2765,Indicadores!S53,Ofertas!$AG$2242:$AG$2765,Indicadores!$T$48,Ofertas!$L$2242:$L$2765,Indicadores!$U$48)</f>
        <v>0</v>
      </c>
      <c r="X53" s="26">
        <f t="shared" si="64"/>
        <v>0</v>
      </c>
      <c r="Y53" s="7">
        <f>SUMIFS(Ofertas!$X$2242:$X$2765,Ofertas!$T$2242:$T$2765,Indicadores!S53,Ofertas!$AG$2242:$AG$2765,Indicadores!$T$48,Ofertas!$L$2242:$L$2765,Indicadores!$U$48)</f>
        <v>0</v>
      </c>
      <c r="Z53" s="24">
        <f t="shared" si="65"/>
        <v>0</v>
      </c>
    </row>
    <row r="54" spans="1:50" ht="13.9">
      <c r="A54" s="101" t="s">
        <v>158</v>
      </c>
      <c r="B54" s="22" t="s">
        <v>159</v>
      </c>
      <c r="C54" s="23">
        <f>COUNTIFS(Ofertas!$T$2242:$T$2765,Indicadores!A54,Ofertas!$AG$2242:$AG$2765,$B$48)</f>
        <v>0</v>
      </c>
      <c r="D54" s="19">
        <f t="shared" si="57"/>
        <v>0</v>
      </c>
      <c r="E54" s="7">
        <f>SUMIFS(Ofertas!$W$2242:$W$2765,Ofertas!$T$2242:$T$2765,Indicadores!A54,Ofertas!$AG$2242:$AG$2765,Indicadores!$B$48)</f>
        <v>0</v>
      </c>
      <c r="F54" s="19">
        <f t="shared" si="58"/>
        <v>0</v>
      </c>
      <c r="G54" s="7">
        <f>SUMIFS(Ofertas!$X$2242:$X$2765,Ofertas!$T$2242:$T$2765,Indicadores!A54,Ofertas!$AG$2242:$AG$2765,Indicadores!$B$48)</f>
        <v>0</v>
      </c>
      <c r="H54" s="19">
        <f t="shared" si="59"/>
        <v>0</v>
      </c>
      <c r="I54" s="104"/>
      <c r="J54" s="101" t="s">
        <v>158</v>
      </c>
      <c r="K54" s="22" t="s">
        <v>159</v>
      </c>
      <c r="L54" s="23">
        <f>COUNTIFS(Ofertas!$T$2242:$T$2765,Indicadores!J54,Ofertas!$AG$2242:$AG$2765,$K$48,Ofertas!$L$2242:$L$2765,Indicadores!$L$48)</f>
        <v>0</v>
      </c>
      <c r="M54" s="24">
        <f t="shared" si="60"/>
        <v>0</v>
      </c>
      <c r="N54" s="7">
        <f>SUMIFS(Ofertas!$W$2242:$W$2765,Ofertas!$T$2242:$T$2765,Indicadores!J54,Ofertas!$AG$2242:$AG$2765,Indicadores!$K$48,Ofertas!$L$2242:$L$2765,Indicadores!$L$48)</f>
        <v>0</v>
      </c>
      <c r="O54" s="28">
        <f t="shared" si="61"/>
        <v>0</v>
      </c>
      <c r="P54" s="7">
        <f>SUMIFS(Ofertas!$X$2242:$X$2765,Ofertas!$T$2242:$T$2765,Indicadores!J54,Ofertas!$AG$2242:$AG$2765,Indicadores!$K$48,Ofertas!$L$2242:$L$2765,Indicadores!$L$48)</f>
        <v>0</v>
      </c>
      <c r="Q54" s="24">
        <f t="shared" si="62"/>
        <v>0</v>
      </c>
      <c r="R54" s="103"/>
      <c r="S54" s="101" t="s">
        <v>158</v>
      </c>
      <c r="T54" s="22" t="s">
        <v>159</v>
      </c>
      <c r="U54" s="23">
        <f>COUNTIFS(Ofertas!$T$2242:$T$2765,Indicadores!S54,Ofertas!$AG$2242:$AG$2765,$T$48,Ofertas!$L$2242:$L$2765,Indicadores!$U$48)</f>
        <v>0</v>
      </c>
      <c r="V54" s="24">
        <f t="shared" si="63"/>
        <v>0</v>
      </c>
      <c r="W54" s="7">
        <f>SUMIFS(Ofertas!$W$2242:$W$2765,Ofertas!$T$2242:$T$2765,Indicadores!S54,Ofertas!$AG$2242:$AG$2765,Indicadores!$T$48,Ofertas!$L$2242:$L$2765,Indicadores!$U$48)</f>
        <v>0</v>
      </c>
      <c r="X54" s="26">
        <f t="shared" si="64"/>
        <v>0</v>
      </c>
      <c r="Y54" s="7">
        <f>SUMIFS(Ofertas!$X$2242:$X$2765,Ofertas!$T$2242:$T$2765,Indicadores!S54,Ofertas!$AG$2242:$AG$2765,Indicadores!$T$48,Ofertas!$L$2242:$L$2765,Indicadores!$U$48)</f>
        <v>0</v>
      </c>
      <c r="Z54" s="24">
        <f t="shared" si="65"/>
        <v>0</v>
      </c>
    </row>
    <row r="55" spans="1:50" ht="13.9">
      <c r="A55" s="101" t="s">
        <v>64</v>
      </c>
      <c r="B55" s="22" t="s">
        <v>9412</v>
      </c>
      <c r="C55" s="23">
        <f>COUNTIFS(Ofertas!$T$2242:$T$2765,Indicadores!A55,Ofertas!$AG$2242:$AG$2765,$B$48)</f>
        <v>0</v>
      </c>
      <c r="D55" s="19">
        <f t="shared" si="57"/>
        <v>0</v>
      </c>
      <c r="E55" s="7">
        <f>SUMIFS(Ofertas!$W$2242:$W$2765,Ofertas!$T$2242:$T$2765,Indicadores!A55,Ofertas!$AG$2242:$AG$2765,Indicadores!$B$48)</f>
        <v>0</v>
      </c>
      <c r="F55" s="19">
        <f t="shared" si="58"/>
        <v>0</v>
      </c>
      <c r="G55" s="7">
        <f>SUMIFS(Ofertas!$X$2242:$X$2765,Ofertas!$T$2242:$T$2765,Indicadores!A55,Ofertas!$AG$2242:$AG$2765,Indicadores!$B$48)</f>
        <v>0</v>
      </c>
      <c r="H55" s="19">
        <f t="shared" si="59"/>
        <v>0</v>
      </c>
      <c r="I55" s="104"/>
      <c r="J55" s="101" t="s">
        <v>64</v>
      </c>
      <c r="K55" s="22" t="s">
        <v>9412</v>
      </c>
      <c r="L55" s="23">
        <f>COUNTIFS(Ofertas!$T$2242:$T$2765,Indicadores!J55,Ofertas!$AG$2242:$AG$2765,$K$48,Ofertas!$L$2242:$L$2765,Indicadores!$L$48)</f>
        <v>0</v>
      </c>
      <c r="M55" s="24">
        <f t="shared" si="60"/>
        <v>0</v>
      </c>
      <c r="N55" s="7">
        <f>SUMIFS(Ofertas!$W$2242:$W$2765,Ofertas!$T$2242:$T$2765,Indicadores!J55,Ofertas!$AG$2242:$AG$2765,Indicadores!$K$48,Ofertas!$L$2242:$L$2765,Indicadores!$L$48)</f>
        <v>0</v>
      </c>
      <c r="O55" s="28">
        <f t="shared" si="61"/>
        <v>0</v>
      </c>
      <c r="P55" s="7">
        <f>SUMIFS(Ofertas!$X$2242:$X$2765,Ofertas!$T$2242:$T$2765,Indicadores!J55,Ofertas!$AG$2242:$AG$2765,Indicadores!$K$48,Ofertas!$L$2242:$L$2765,Indicadores!$L$48)</f>
        <v>0</v>
      </c>
      <c r="Q55" s="24">
        <f t="shared" si="62"/>
        <v>0</v>
      </c>
      <c r="R55" s="103"/>
      <c r="S55" s="101" t="s">
        <v>64</v>
      </c>
      <c r="T55" s="22" t="s">
        <v>9412</v>
      </c>
      <c r="U55" s="23">
        <f>COUNTIFS(Ofertas!$T$2242:$T$2765,Indicadores!S55,Ofertas!$AG$2242:$AG$2765,$T$48,Ofertas!$L$2242:$L$2765,Indicadores!$U$48)</f>
        <v>0</v>
      </c>
      <c r="V55" s="24">
        <f t="shared" si="63"/>
        <v>0</v>
      </c>
      <c r="W55" s="7">
        <f>SUMIFS(Ofertas!$W$2242:$W$2765,Ofertas!$T$2242:$T$2765,Indicadores!S55,Ofertas!$AG$2242:$AG$2765,Indicadores!$T$48,Ofertas!$L$2242:$L$2765,Indicadores!$U$48)</f>
        <v>0</v>
      </c>
      <c r="X55" s="26">
        <f t="shared" si="64"/>
        <v>0</v>
      </c>
      <c r="Y55" s="7">
        <f>SUMIFS(Ofertas!$X$2242:$X$2765,Ofertas!$T$2242:$T$2765,Indicadores!S55,Ofertas!$AG$2242:$AG$2765,Indicadores!$T$48,Ofertas!$L$2242:$L$2765,Indicadores!$U$48)</f>
        <v>0</v>
      </c>
      <c r="Z55" s="24">
        <f t="shared" si="65"/>
        <v>0</v>
      </c>
    </row>
    <row r="56" spans="1:50" s="97" customFormat="1"/>
    <row r="57" spans="1:50" s="97" customFormat="1" ht="13.9">
      <c r="B57" s="98">
        <v>2016</v>
      </c>
      <c r="J57" s="99"/>
      <c r="K57" s="109">
        <v>2016</v>
      </c>
      <c r="L57" s="100" t="s">
        <v>120</v>
      </c>
      <c r="M57" s="398" t="s">
        <v>9392</v>
      </c>
      <c r="N57" s="399"/>
      <c r="O57" s="399"/>
      <c r="P57" s="399"/>
      <c r="Q57" s="400"/>
      <c r="S57" s="99"/>
      <c r="T57" s="109">
        <v>2016</v>
      </c>
      <c r="U57" s="100" t="s">
        <v>123</v>
      </c>
      <c r="V57" s="398" t="s">
        <v>9393</v>
      </c>
      <c r="W57" s="399"/>
      <c r="X57" s="399"/>
      <c r="Y57" s="399"/>
      <c r="Z57" s="400"/>
    </row>
    <row r="58" spans="1:50" ht="13.9">
      <c r="B58" s="4" t="s">
        <v>9397</v>
      </c>
      <c r="C58" s="5" t="s">
        <v>9398</v>
      </c>
      <c r="D58" s="5" t="s">
        <v>9399</v>
      </c>
      <c r="E58" s="5" t="s">
        <v>9400</v>
      </c>
      <c r="F58" s="5" t="s">
        <v>9401</v>
      </c>
      <c r="G58" s="5" t="s">
        <v>9402</v>
      </c>
      <c r="H58" s="5" t="s">
        <v>9403</v>
      </c>
      <c r="J58" s="102"/>
      <c r="K58" s="4" t="s">
        <v>9397</v>
      </c>
      <c r="L58" s="5" t="s">
        <v>9398</v>
      </c>
      <c r="M58" s="5" t="s">
        <v>9399</v>
      </c>
      <c r="N58" s="5" t="s">
        <v>9400</v>
      </c>
      <c r="O58" s="5" t="s">
        <v>9401</v>
      </c>
      <c r="P58" s="5" t="s">
        <v>9402</v>
      </c>
      <c r="Q58" s="5" t="s">
        <v>9403</v>
      </c>
      <c r="S58" s="102"/>
      <c r="T58" s="4" t="s">
        <v>9397</v>
      </c>
      <c r="U58" s="5" t="s">
        <v>9398</v>
      </c>
      <c r="V58" s="5" t="s">
        <v>9399</v>
      </c>
      <c r="W58" s="5" t="s">
        <v>9400</v>
      </c>
      <c r="X58" s="5" t="s">
        <v>9401</v>
      </c>
      <c r="Y58" s="5" t="s">
        <v>9402</v>
      </c>
      <c r="Z58" s="5" t="s">
        <v>9403</v>
      </c>
    </row>
    <row r="59" spans="1:50" ht="13.9">
      <c r="B59" s="25" t="s">
        <v>9405</v>
      </c>
      <c r="C59" s="7">
        <f>SUM(C60:C64)</f>
        <v>104</v>
      </c>
      <c r="D59" s="19">
        <f>SUM(D60:D64)</f>
        <v>1</v>
      </c>
      <c r="E59" s="7">
        <f t="shared" ref="E59:F59" si="66">SUM(E60:E64)</f>
        <v>298851</v>
      </c>
      <c r="F59" s="19">
        <f t="shared" si="66"/>
        <v>1</v>
      </c>
      <c r="G59" s="7">
        <f>SUM(G60:G64)</f>
        <v>10194.54203201</v>
      </c>
      <c r="H59" s="19">
        <f t="shared" ref="H59" si="67">SUM(H60:H64)</f>
        <v>1</v>
      </c>
      <c r="J59" s="103"/>
      <c r="K59" s="25" t="s">
        <v>9405</v>
      </c>
      <c r="L59" s="7">
        <f>SUM(L60:L64)</f>
        <v>75</v>
      </c>
      <c r="M59" s="7">
        <f>SUM(M60:M64)</f>
        <v>100</v>
      </c>
      <c r="N59" s="7">
        <f t="shared" ref="N59:Q59" si="68">SUM(N60:N64)</f>
        <v>83176</v>
      </c>
      <c r="O59" s="19">
        <f t="shared" si="68"/>
        <v>1</v>
      </c>
      <c r="P59" s="7">
        <f t="shared" si="68"/>
        <v>3113.4859477299997</v>
      </c>
      <c r="Q59" s="7">
        <f t="shared" si="68"/>
        <v>99.999999999999986</v>
      </c>
      <c r="S59" s="104"/>
      <c r="T59" s="25" t="s">
        <v>9405</v>
      </c>
      <c r="U59" s="7">
        <f>SUM(U60:U64)</f>
        <v>29</v>
      </c>
      <c r="V59" s="7">
        <f>SUM(V60:V64)</f>
        <v>100</v>
      </c>
      <c r="W59" s="7">
        <f t="shared" ref="W59:Z59" si="69">SUM(W60:W64)</f>
        <v>215675</v>
      </c>
      <c r="X59" s="19">
        <f t="shared" si="69"/>
        <v>1</v>
      </c>
      <c r="Y59" s="7">
        <f t="shared" si="69"/>
        <v>7081.0560842799996</v>
      </c>
      <c r="Z59" s="7">
        <f t="shared" si="69"/>
        <v>100</v>
      </c>
    </row>
    <row r="60" spans="1:50" ht="13.9">
      <c r="A60" s="101" t="s">
        <v>3</v>
      </c>
      <c r="B60" s="22" t="s">
        <v>9407</v>
      </c>
      <c r="C60" s="23">
        <f>COUNTIFS(Ofertas!$T$1870:$T$2765,Indicadores!A60,Ofertas!$AG$1870:$AG$2765,$B$57)</f>
        <v>52</v>
      </c>
      <c r="D60" s="19">
        <f>C60/$C$59</f>
        <v>0.5</v>
      </c>
      <c r="E60" s="7">
        <f>SUMIFS(Ofertas!$W$1870:$W$2765,Ofertas!$T$1870:$T$2765,Indicadores!A60,Ofertas!$AG$1870:$AG$2765,Indicadores!$B$57)</f>
        <v>64097</v>
      </c>
      <c r="F60" s="19">
        <f>E60/$E$59</f>
        <v>0.21447811785806306</v>
      </c>
      <c r="G60" s="7">
        <f>SUMIFS(Ofertas!$X$1870:$X$2765,Ofertas!$T$1870:$T$2765,Indicadores!A60,Ofertas!$AG$1870:$AG$2765,Indicadores!$B$57)</f>
        <v>2056.14889275</v>
      </c>
      <c r="H60" s="19">
        <f>G60/$G$59</f>
        <v>0.2016911486846458</v>
      </c>
      <c r="J60" s="101" t="s">
        <v>3</v>
      </c>
      <c r="K60" s="22" t="s">
        <v>9407</v>
      </c>
      <c r="L60" s="23">
        <f>COUNTIFS(Ofertas!$T$1870:$T$2765,Indicadores!J60,Ofertas!$AG$1870:$AG$2765,$K$57,Ofertas!$L$1870:$L$2765,Indicadores!$L$57)</f>
        <v>45</v>
      </c>
      <c r="M60" s="24">
        <f>L60/$L$59*100</f>
        <v>60</v>
      </c>
      <c r="N60" s="7">
        <f>SUMIFS(Ofertas!$W$1870:$W$2765,Ofertas!$T$1870:$T$2765,Indicadores!J60,Ofertas!$AG$1870:$AG$2765,Indicadores!$K$57,Ofertas!$L$1870:$L$2765,Indicadores!$L$57)</f>
        <v>29725</v>
      </c>
      <c r="O60" s="28">
        <f>N60/$N$59</f>
        <v>0.35737472347792631</v>
      </c>
      <c r="P60" s="7">
        <f>SUMIFS(Ofertas!$X$1870:$X$2765,Ofertas!$T$1870:$T$2765,Indicadores!J60,Ofertas!$AG$1870:$AG$2765,Indicadores!$K$57,Ofertas!$L$1870:$L$2765,Indicadores!$L$57)</f>
        <v>1048.1400807499999</v>
      </c>
      <c r="Q60" s="24">
        <f>P60/$P$59*100</f>
        <v>33.664519395508577</v>
      </c>
      <c r="S60" s="101" t="s">
        <v>3</v>
      </c>
      <c r="T60" s="22" t="s">
        <v>9407</v>
      </c>
      <c r="U60" s="23">
        <f>COUNTIFS(Ofertas!$T$1870:$T$2765,Indicadores!S60,Ofertas!$AG$1870:$AG$2765,$T$57,Ofertas!$L$1870:$L$2765,Indicadores!$U$57)</f>
        <v>7</v>
      </c>
      <c r="V60" s="24">
        <f>U60/$U$59*100</f>
        <v>24.137931034482758</v>
      </c>
      <c r="W60" s="7">
        <f>SUMIFS(Ofertas!$W$1870:$W$2765,Ofertas!$T$1870:$T$2765,Indicadores!S60,Ofertas!$AG$1870:$AG$2765,Indicadores!$T$57,Ofertas!$L$1870:$L$2765,Indicadores!$U$57)</f>
        <v>34372</v>
      </c>
      <c r="X60" s="28">
        <f>W60/$W$59</f>
        <v>0.15936942158340095</v>
      </c>
      <c r="Y60" s="7">
        <f>SUMIFS(Ofertas!$X$1870:$X$2765,Ofertas!$T$1870:$T$2765,Indicadores!S60,Ofertas!$AG$1870:$AG$2765,Indicadores!$T$57,Ofertas!$L$1870:$L$2765,Indicadores!$U$57)</f>
        <v>1008.008812</v>
      </c>
      <c r="Z60" s="24">
        <f>Y60/$Y$59*100</f>
        <v>14.235289199838249</v>
      </c>
      <c r="AT60" s="107"/>
      <c r="AU60" s="107"/>
      <c r="AV60" s="107"/>
      <c r="AW60" s="108"/>
      <c r="AX60" s="108"/>
    </row>
    <row r="61" spans="1:50" ht="13.9">
      <c r="A61" s="101" t="s">
        <v>165</v>
      </c>
      <c r="B61" s="22" t="s">
        <v>9409</v>
      </c>
      <c r="C61" s="23">
        <f>COUNTIFS(Ofertas!$T$1870:$T$2765,Indicadores!A61,Ofertas!$AG$1870:$AG$2765,$B$57)</f>
        <v>52</v>
      </c>
      <c r="D61" s="19">
        <f t="shared" ref="D61:D64" si="70">C61/$C$59</f>
        <v>0.5</v>
      </c>
      <c r="E61" s="7">
        <f>SUMIFS(Ofertas!$W$1870:$W$2765,Ofertas!$T$1870:$T$2765,Indicadores!A61,Ofertas!$AG$1870:$AG$2765,Indicadores!$B$57)</f>
        <v>234754</v>
      </c>
      <c r="F61" s="19">
        <f t="shared" ref="F61:F64" si="71">E61/$E$59</f>
        <v>0.78552188214193697</v>
      </c>
      <c r="G61" s="7">
        <f>SUMIFS(Ofertas!$X$1870:$X$2765,Ofertas!$T$1870:$T$2765,Indicadores!A61,Ofertas!$AG$1870:$AG$2765,Indicadores!$B$57)</f>
        <v>8138.3931392600007</v>
      </c>
      <c r="H61" s="19">
        <f t="shared" ref="H61:H64" si="72">G61/$G$59</f>
        <v>0.79830885131535423</v>
      </c>
      <c r="J61" s="101" t="s">
        <v>165</v>
      </c>
      <c r="K61" s="22" t="s">
        <v>9409</v>
      </c>
      <c r="L61" s="23">
        <f>COUNTIFS(Ofertas!$T$1870:$T$2765,Indicadores!J61,Ofertas!$AG$1870:$AG$2765,$K$57,Ofertas!$L$1870:$L$2765,Indicadores!$L$57)</f>
        <v>30</v>
      </c>
      <c r="M61" s="24">
        <f t="shared" ref="M61:M64" si="73">L61/$L$59*100</f>
        <v>40</v>
      </c>
      <c r="N61" s="7">
        <f>SUMIFS(Ofertas!$W$1870:$W$2765,Ofertas!$T$1870:$T$2765,Indicadores!J61,Ofertas!$AG$1870:$AG$2765,Indicadores!$K$57,Ofertas!$L$1870:$L$2765,Indicadores!$L$57)</f>
        <v>53451</v>
      </c>
      <c r="O61" s="28">
        <f t="shared" ref="O61:O64" si="74">N61/$N$59</f>
        <v>0.64262527652207369</v>
      </c>
      <c r="P61" s="7">
        <f>SUMIFS(Ofertas!$X$1870:$X$2765,Ofertas!$T$1870:$T$2765,Indicadores!J61,Ofertas!$AG$1870:$AG$2765,Indicadores!$K$57,Ofertas!$L$1870:$L$2765,Indicadores!$L$57)</f>
        <v>2065.3458669799998</v>
      </c>
      <c r="Q61" s="24">
        <f t="shared" ref="Q61:Q64" si="75">P61/$P$59*100</f>
        <v>66.335480604491408</v>
      </c>
      <c r="S61" s="101" t="s">
        <v>165</v>
      </c>
      <c r="T61" s="22" t="s">
        <v>9409</v>
      </c>
      <c r="U61" s="23">
        <f>COUNTIFS(Ofertas!$T$1870:$T$2765,Indicadores!S61,Ofertas!$AG$1870:$AG$2765,$T$57,Ofertas!$L$1870:$L$2765,Indicadores!$U$57)</f>
        <v>22</v>
      </c>
      <c r="V61" s="24">
        <f t="shared" ref="V61:V64" si="76">U61/$U$59*100</f>
        <v>75.862068965517238</v>
      </c>
      <c r="W61" s="7">
        <f>SUMIFS(Ofertas!$W$1870:$W$2765,Ofertas!$T$1870:$T$2765,Indicadores!S61,Ofertas!$AG$1870:$AG$2765,Indicadores!$T$57,Ofertas!$L$1870:$L$2765,Indicadores!$U$57)</f>
        <v>181303</v>
      </c>
      <c r="X61" s="28">
        <f t="shared" ref="X61:X64" si="77">W61/$W$59</f>
        <v>0.84063057841659905</v>
      </c>
      <c r="Y61" s="7">
        <f>SUMIFS(Ofertas!$X$1870:$X$2765,Ofertas!$T$1870:$T$2765,Indicadores!S61,Ofertas!$AG$1870:$AG$2765,Indicadores!$T$57,Ofertas!$L$1870:$L$2765,Indicadores!$U$57)</f>
        <v>6073.0472722799996</v>
      </c>
      <c r="Z61" s="24">
        <f t="shared" ref="Z61:Z64" si="78">Y61/$Y$59*100</f>
        <v>85.764710800161751</v>
      </c>
      <c r="AT61" s="107"/>
    </row>
    <row r="62" spans="1:50" ht="13.9">
      <c r="A62" s="101" t="s">
        <v>168</v>
      </c>
      <c r="B62" s="22" t="s">
        <v>9411</v>
      </c>
      <c r="C62" s="23">
        <f>COUNTIFS(Ofertas!$T$1870:$T$2765,Indicadores!A62,Ofertas!$AG$1870:$AG$2765,$B$57)</f>
        <v>0</v>
      </c>
      <c r="D62" s="19">
        <f t="shared" si="70"/>
        <v>0</v>
      </c>
      <c r="E62" s="7">
        <f>SUMIFS(Ofertas!$W$1870:$W$2765,Ofertas!$T$1870:$T$2765,Indicadores!A62,Ofertas!$AG$1870:$AG$2765,Indicadores!$B$57)</f>
        <v>0</v>
      </c>
      <c r="F62" s="19">
        <f t="shared" si="71"/>
        <v>0</v>
      </c>
      <c r="G62" s="7">
        <f>SUMIFS(Ofertas!$X$1870:$X$2765,Ofertas!$T$1870:$T$2765,Indicadores!A62,Ofertas!$AG$1870:$AG$2765,Indicadores!$B$57)</f>
        <v>0</v>
      </c>
      <c r="H62" s="19">
        <f t="shared" si="72"/>
        <v>0</v>
      </c>
      <c r="J62" s="101" t="s">
        <v>168</v>
      </c>
      <c r="K62" s="22" t="s">
        <v>9411</v>
      </c>
      <c r="L62" s="23">
        <f>COUNTIFS(Ofertas!$T$1870:$T$2765,Indicadores!J62,Ofertas!$AG$1870:$AG$2765,$K$57,Ofertas!$L$1870:$L$2765,Indicadores!$L$57)</f>
        <v>0</v>
      </c>
      <c r="M62" s="24">
        <f t="shared" si="73"/>
        <v>0</v>
      </c>
      <c r="N62" s="7">
        <f>SUMIFS(Ofertas!$W$1870:$W$2765,Ofertas!$T$1870:$T$2765,Indicadores!J62,Ofertas!$AG$1870:$AG$2765,Indicadores!$K$57,Ofertas!$L$1870:$L$2765,Indicadores!$L$57)</f>
        <v>0</v>
      </c>
      <c r="O62" s="28">
        <f t="shared" si="74"/>
        <v>0</v>
      </c>
      <c r="P62" s="7">
        <f>SUMIFS(Ofertas!$X$1870:$X$2765,Ofertas!$T$1870:$T$2765,Indicadores!J62,Ofertas!$AG$1870:$AG$2765,Indicadores!$K$57,Ofertas!$L$1870:$L$2765,Indicadores!$L$57)</f>
        <v>0</v>
      </c>
      <c r="Q62" s="24">
        <f t="shared" si="75"/>
        <v>0</v>
      </c>
      <c r="S62" s="101" t="s">
        <v>168</v>
      </c>
      <c r="T62" s="22" t="s">
        <v>9411</v>
      </c>
      <c r="U62" s="23">
        <f>COUNTIFS(Ofertas!$T$1870:$T$2765,Indicadores!S62,Ofertas!$AG$1870:$AG$2765,$T$57,Ofertas!$L$1870:$L$2765,Indicadores!$U$57)</f>
        <v>0</v>
      </c>
      <c r="V62" s="24">
        <f t="shared" si="76"/>
        <v>0</v>
      </c>
      <c r="W62" s="7">
        <f>SUMIFS(Ofertas!$W$1870:$W$2765,Ofertas!$T$1870:$T$2765,Indicadores!S62,Ofertas!$AG$1870:$AG$2765,Indicadores!$T$57,Ofertas!$L$1870:$L$2765,Indicadores!$U$57)</f>
        <v>0</v>
      </c>
      <c r="X62" s="28">
        <f t="shared" si="77"/>
        <v>0</v>
      </c>
      <c r="Y62" s="7">
        <f>SUMIFS(Ofertas!$X$1870:$X$2765,Ofertas!$T$1870:$T$2765,Indicadores!S62,Ofertas!$AG$1870:$AG$2765,Indicadores!$T$57,Ofertas!$L$1870:$L$2765,Indicadores!$U$57)</f>
        <v>0</v>
      </c>
      <c r="Z62" s="24">
        <f t="shared" si="78"/>
        <v>0</v>
      </c>
      <c r="AT62" s="107"/>
    </row>
    <row r="63" spans="1:50" ht="13.9">
      <c r="A63" s="101" t="s">
        <v>158</v>
      </c>
      <c r="B63" s="22" t="s">
        <v>159</v>
      </c>
      <c r="C63" s="23">
        <f>COUNTIFS(Ofertas!$T$1870:$T$2765,Indicadores!A63,Ofertas!$AG$1870:$AG$2765,$B$57)</f>
        <v>0</v>
      </c>
      <c r="D63" s="19">
        <f t="shared" si="70"/>
        <v>0</v>
      </c>
      <c r="E63" s="7">
        <f>SUMIFS(Ofertas!$W$1870:$W$2765,Ofertas!$T$1870:$T$2765,Indicadores!A63,Ofertas!$AG$1870:$AG$2765,Indicadores!$B$57)</f>
        <v>0</v>
      </c>
      <c r="F63" s="19">
        <f t="shared" si="71"/>
        <v>0</v>
      </c>
      <c r="G63" s="7">
        <f>SUMIFS(Ofertas!$X$1870:$X$2765,Ofertas!$T$1870:$T$2765,Indicadores!A63,Ofertas!$AG$1870:$AG$2765,Indicadores!$B$57)</f>
        <v>0</v>
      </c>
      <c r="H63" s="19">
        <f t="shared" si="72"/>
        <v>0</v>
      </c>
      <c r="J63" s="101" t="s">
        <v>158</v>
      </c>
      <c r="K63" s="22" t="s">
        <v>159</v>
      </c>
      <c r="L63" s="23">
        <f>COUNTIFS(Ofertas!$T$1870:$T$2765,Indicadores!J63,Ofertas!$AG$1870:$AG$2765,$K$57,Ofertas!$L$1870:$L$2765,Indicadores!$L$57)</f>
        <v>0</v>
      </c>
      <c r="M63" s="24">
        <f t="shared" si="73"/>
        <v>0</v>
      </c>
      <c r="N63" s="7">
        <f>SUMIFS(Ofertas!$W$1870:$W$2765,Ofertas!$T$1870:$T$2765,Indicadores!J63,Ofertas!$AG$1870:$AG$2765,Indicadores!$K$57,Ofertas!$L$1870:$L$2765,Indicadores!$L$57)</f>
        <v>0</v>
      </c>
      <c r="O63" s="28">
        <f t="shared" si="74"/>
        <v>0</v>
      </c>
      <c r="P63" s="7">
        <f>SUMIFS(Ofertas!$X$1870:$X$2765,Ofertas!$T$1870:$T$2765,Indicadores!J63,Ofertas!$AG$1870:$AG$2765,Indicadores!$K$57,Ofertas!$L$1870:$L$2765,Indicadores!$L$57)</f>
        <v>0</v>
      </c>
      <c r="Q63" s="24">
        <f t="shared" si="75"/>
        <v>0</v>
      </c>
      <c r="S63" s="101" t="s">
        <v>158</v>
      </c>
      <c r="T63" s="22" t="s">
        <v>159</v>
      </c>
      <c r="U63" s="23">
        <f>COUNTIFS(Ofertas!$T$1870:$T$2765,Indicadores!S63,Ofertas!$AG$1870:$AG$2765,$T$57,Ofertas!$L$1870:$L$2765,Indicadores!$U$57)</f>
        <v>0</v>
      </c>
      <c r="V63" s="24">
        <f t="shared" si="76"/>
        <v>0</v>
      </c>
      <c r="W63" s="7">
        <f>SUMIFS(Ofertas!$W$1870:$W$2765,Ofertas!$T$1870:$T$2765,Indicadores!S63,Ofertas!$AG$1870:$AG$2765,Indicadores!$T$57,Ofertas!$L$1870:$L$2765,Indicadores!$U$57)</f>
        <v>0</v>
      </c>
      <c r="X63" s="28">
        <f t="shared" si="77"/>
        <v>0</v>
      </c>
      <c r="Y63" s="7">
        <f>SUMIFS(Ofertas!$X$1870:$X$2765,Ofertas!$T$1870:$T$2765,Indicadores!S63,Ofertas!$AG$1870:$AG$2765,Indicadores!$T$57,Ofertas!$L$1870:$L$2765,Indicadores!$U$57)</f>
        <v>0</v>
      </c>
      <c r="Z63" s="24">
        <f t="shared" si="78"/>
        <v>0</v>
      </c>
      <c r="AT63" s="107"/>
    </row>
    <row r="64" spans="1:50" ht="13.9">
      <c r="A64" s="101" t="s">
        <v>64</v>
      </c>
      <c r="B64" s="22" t="s">
        <v>9412</v>
      </c>
      <c r="C64" s="23">
        <f>COUNTIFS(Ofertas!$T$1870:$T$2765,Indicadores!A64,Ofertas!$AG$1870:$AG$2765,$B$57)</f>
        <v>0</v>
      </c>
      <c r="D64" s="19">
        <f t="shared" si="70"/>
        <v>0</v>
      </c>
      <c r="E64" s="7">
        <f>SUMIFS(Ofertas!$W$1870:$W$2765,Ofertas!$T$1870:$T$2765,Indicadores!A64,Ofertas!$AG$1870:$AG$2765,Indicadores!$B$57)</f>
        <v>0</v>
      </c>
      <c r="F64" s="19">
        <f t="shared" si="71"/>
        <v>0</v>
      </c>
      <c r="G64" s="7">
        <f>SUMIFS(Ofertas!$X$1870:$X$2765,Ofertas!$T$1870:$T$2765,Indicadores!A64,Ofertas!$AG$1870:$AG$2765,Indicadores!$B$57)</f>
        <v>0</v>
      </c>
      <c r="H64" s="19">
        <f t="shared" si="72"/>
        <v>0</v>
      </c>
      <c r="J64" s="101" t="s">
        <v>64</v>
      </c>
      <c r="K64" s="22" t="s">
        <v>9412</v>
      </c>
      <c r="L64" s="23">
        <f>COUNTIFS(Ofertas!$T$1870:$T$2765,Indicadores!J64,Ofertas!$AG$1870:$AG$2765,$K$57,Ofertas!$L$1870:$L$2765,Indicadores!$L$57)</f>
        <v>0</v>
      </c>
      <c r="M64" s="24">
        <f t="shared" si="73"/>
        <v>0</v>
      </c>
      <c r="N64" s="7">
        <f>SUMIFS(Ofertas!$W$1870:$W$2765,Ofertas!$T$1870:$T$2765,Indicadores!J64,Ofertas!$AG$1870:$AG$2765,Indicadores!$K$57,Ofertas!$L$1870:$L$2765,Indicadores!$L$57)</f>
        <v>0</v>
      </c>
      <c r="O64" s="28">
        <f t="shared" si="74"/>
        <v>0</v>
      </c>
      <c r="P64" s="7">
        <f>SUMIFS(Ofertas!$X$1870:$X$2765,Ofertas!$T$1870:$T$2765,Indicadores!J64,Ofertas!$AG$1870:$AG$2765,Indicadores!$K$57,Ofertas!$L$1870:$L$2765,Indicadores!$L$57)</f>
        <v>0</v>
      </c>
      <c r="Q64" s="24">
        <f t="shared" si="75"/>
        <v>0</v>
      </c>
      <c r="S64" s="101" t="s">
        <v>64</v>
      </c>
      <c r="T64" s="22" t="s">
        <v>9412</v>
      </c>
      <c r="U64" s="23">
        <f>COUNTIFS(Ofertas!$T$1870:$T$2765,Indicadores!S64,Ofertas!$AG$1870:$AG$2765,$T$57,Ofertas!$L$1870:$L$2765,Indicadores!$U$57)</f>
        <v>0</v>
      </c>
      <c r="V64" s="24">
        <f t="shared" si="76"/>
        <v>0</v>
      </c>
      <c r="W64" s="7">
        <f>SUMIFS(Ofertas!$W$1870:$W$2765,Ofertas!$T$1870:$T$2765,Indicadores!S64,Ofertas!$AG$1870:$AG$2765,Indicadores!$T$57,Ofertas!$L$1870:$L$2765,Indicadores!$U$57)</f>
        <v>0</v>
      </c>
      <c r="X64" s="28">
        <f t="shared" si="77"/>
        <v>0</v>
      </c>
      <c r="Y64" s="7">
        <f>SUMIFS(Ofertas!$X$1870:$X$2765,Ofertas!$T$1870:$T$2765,Indicadores!S64,Ofertas!$AG$1870:$AG$2765,Indicadores!$T$57,Ofertas!$L$1870:$L$2765,Indicadores!$U$57)</f>
        <v>0</v>
      </c>
      <c r="Z64" s="24">
        <f t="shared" si="78"/>
        <v>0</v>
      </c>
      <c r="AT64" s="107"/>
    </row>
    <row r="65" spans="1:50" s="97" customFormat="1"/>
    <row r="66" spans="1:50" s="97" customFormat="1" ht="13.9">
      <c r="B66" s="98">
        <v>2017</v>
      </c>
      <c r="J66" s="99"/>
      <c r="K66" s="109">
        <v>2017</v>
      </c>
      <c r="L66" s="100" t="s">
        <v>120</v>
      </c>
      <c r="M66" s="398" t="s">
        <v>9392</v>
      </c>
      <c r="N66" s="399"/>
      <c r="O66" s="399"/>
      <c r="P66" s="399"/>
      <c r="Q66" s="400"/>
      <c r="S66" s="99"/>
      <c r="T66" s="109">
        <v>2017</v>
      </c>
      <c r="U66" s="100" t="s">
        <v>123</v>
      </c>
      <c r="V66" s="398" t="s">
        <v>9393</v>
      </c>
      <c r="W66" s="399"/>
      <c r="X66" s="399"/>
      <c r="Y66" s="399"/>
      <c r="Z66" s="400"/>
    </row>
    <row r="67" spans="1:50" ht="13.9">
      <c r="B67" s="4" t="s">
        <v>9397</v>
      </c>
      <c r="C67" s="5" t="s">
        <v>9398</v>
      </c>
      <c r="D67" s="5" t="s">
        <v>9399</v>
      </c>
      <c r="E67" s="5" t="s">
        <v>9400</v>
      </c>
      <c r="F67" s="5" t="s">
        <v>9401</v>
      </c>
      <c r="G67" s="5" t="s">
        <v>9402</v>
      </c>
      <c r="H67" s="5" t="s">
        <v>9403</v>
      </c>
      <c r="J67" s="102"/>
      <c r="K67" s="4" t="s">
        <v>9397</v>
      </c>
      <c r="L67" s="5" t="s">
        <v>9398</v>
      </c>
      <c r="M67" s="5" t="s">
        <v>9399</v>
      </c>
      <c r="N67" s="5" t="s">
        <v>9400</v>
      </c>
      <c r="O67" s="5" t="s">
        <v>9401</v>
      </c>
      <c r="P67" s="5" t="s">
        <v>9402</v>
      </c>
      <c r="Q67" s="5" t="s">
        <v>9403</v>
      </c>
      <c r="S67" s="102"/>
      <c r="T67" s="4" t="s">
        <v>9397</v>
      </c>
      <c r="U67" s="5" t="s">
        <v>9398</v>
      </c>
      <c r="V67" s="5" t="s">
        <v>9399</v>
      </c>
      <c r="W67" s="5" t="s">
        <v>9400</v>
      </c>
      <c r="X67" s="5" t="s">
        <v>9401</v>
      </c>
      <c r="Y67" s="5" t="s">
        <v>9402</v>
      </c>
      <c r="Z67" s="5" t="s">
        <v>9403</v>
      </c>
    </row>
    <row r="68" spans="1:50" ht="13.9">
      <c r="B68" s="25" t="s">
        <v>9405</v>
      </c>
      <c r="C68" s="7">
        <f>SUM(C69:C73)</f>
        <v>144</v>
      </c>
      <c r="D68" s="19">
        <f>SUM(D69:D73)</f>
        <v>1</v>
      </c>
      <c r="E68" s="7">
        <f t="shared" ref="E68:F68" si="79">SUM(E69:E73)</f>
        <v>299629.5</v>
      </c>
      <c r="F68" s="19">
        <f t="shared" si="79"/>
        <v>1</v>
      </c>
      <c r="G68" s="7">
        <f>SUM(G69:G73)</f>
        <v>9911.8700073849959</v>
      </c>
      <c r="H68" s="19">
        <f t="shared" ref="H68" si="80">SUM(H69:H73)</f>
        <v>1</v>
      </c>
      <c r="J68" s="103"/>
      <c r="K68" s="25" t="s">
        <v>9405</v>
      </c>
      <c r="L68" s="7">
        <f>SUM(L69:L73)</f>
        <v>71</v>
      </c>
      <c r="M68" s="7">
        <f>SUM(M69:M73)</f>
        <v>100</v>
      </c>
      <c r="N68" s="7">
        <f t="shared" ref="N68:Q68" si="81">SUM(N69:N73)</f>
        <v>47652</v>
      </c>
      <c r="O68" s="19">
        <f t="shared" si="81"/>
        <v>1</v>
      </c>
      <c r="P68" s="7">
        <f t="shared" si="81"/>
        <v>1749.6282500200002</v>
      </c>
      <c r="Q68" s="7">
        <f t="shared" si="81"/>
        <v>100</v>
      </c>
      <c r="S68" s="104"/>
      <c r="T68" s="25" t="s">
        <v>9405</v>
      </c>
      <c r="U68" s="7">
        <f>SUM(U69:U73)</f>
        <v>73</v>
      </c>
      <c r="V68" s="7">
        <f>SUM(V69:V73)</f>
        <v>100</v>
      </c>
      <c r="W68" s="7">
        <f t="shared" ref="W68:Z68" si="82">SUM(W69:W73)</f>
        <v>251977.5</v>
      </c>
      <c r="X68" s="19">
        <f t="shared" si="82"/>
        <v>1</v>
      </c>
      <c r="Y68" s="7">
        <f t="shared" si="82"/>
        <v>8162.2417573649991</v>
      </c>
      <c r="Z68" s="7">
        <f t="shared" si="82"/>
        <v>100</v>
      </c>
      <c r="AT68" s="107"/>
      <c r="AU68" s="107"/>
      <c r="AV68" s="107"/>
      <c r="AW68" s="108"/>
      <c r="AX68" s="108"/>
    </row>
    <row r="69" spans="1:50" ht="13.9">
      <c r="A69" s="101" t="s">
        <v>3</v>
      </c>
      <c r="B69" s="22" t="s">
        <v>9407</v>
      </c>
      <c r="C69" s="23">
        <f>COUNTIFS(Ofertas!$T$1870:$T$2765,Indicadores!A69,Ofertas!$AG$1870:$AG$2765,$B$66)</f>
        <v>45</v>
      </c>
      <c r="D69" s="19">
        <f>C69/$C$68</f>
        <v>0.3125</v>
      </c>
      <c r="E69" s="7">
        <f>SUMIFS(Ofertas!$W$1870:$W$2765,Ofertas!$T$1870:$T$2765,Indicadores!A69,Ofertas!$AG$1870:$AG$2765,Indicadores!$B$66)</f>
        <v>35172</v>
      </c>
      <c r="F69" s="19">
        <f>E69/$E$68</f>
        <v>0.11738497043849154</v>
      </c>
      <c r="G69" s="7">
        <f>SUMIFS(Ofertas!$X$1870:$X$2765,Ofertas!$T$1870:$T$2765,Indicadores!A69,Ofertas!$AG$1870:$AG$2765,Indicadores!$B$66)</f>
        <v>1082.3382716000001</v>
      </c>
      <c r="H69" s="19">
        <f>G69/$G$68</f>
        <v>0.10919617295158096</v>
      </c>
      <c r="J69" s="101" t="s">
        <v>3</v>
      </c>
      <c r="K69" s="22" t="s">
        <v>9407</v>
      </c>
      <c r="L69" s="23">
        <f>COUNTIFS(Ofertas!$T$1870:$T$2765,Indicadores!J69,Ofertas!$AG$1870:$AG$2765,$K$66,Ofertas!$L$1870:$L$2765,Indicadores!$L$66)</f>
        <v>23</v>
      </c>
      <c r="M69" s="24">
        <f>L69/$L$68*100</f>
        <v>32.394366197183103</v>
      </c>
      <c r="N69" s="7">
        <f>SUMIFS(Ofertas!$W$1870:$W$2765,Ofertas!$T$1870:$T$2765,Indicadores!J69,Ofertas!$AG$1870:$AG$2765,Indicadores!$K$66,Ofertas!$L$1870:$L$2765,Indicadores!$L$66)</f>
        <v>8851</v>
      </c>
      <c r="O69" s="28">
        <f>N69/$N$68</f>
        <v>0.18574246621338034</v>
      </c>
      <c r="P69" s="7">
        <f>SUMIFS(Ofertas!$X$1870:$X$2765,Ofertas!$T$1870:$T$2765,Indicadores!J69,Ofertas!$AG$1870:$AG$2765,Indicadores!$K$66,Ofertas!$L$1870:$L$2765,Indicadores!$L$66)</f>
        <v>343.35366550000009</v>
      </c>
      <c r="Q69" s="24">
        <f>P69/$P$68*100</f>
        <v>19.624378235552335</v>
      </c>
      <c r="S69" s="101" t="s">
        <v>3</v>
      </c>
      <c r="T69" s="22" t="s">
        <v>9407</v>
      </c>
      <c r="U69" s="23">
        <f>COUNTIFS(Ofertas!$T$1870:$T$2765,Indicadores!S69,Ofertas!$AG$1870:$AG$2765,$T$66,Ofertas!$L$1870:$L$2765,Indicadores!$U$66)</f>
        <v>22</v>
      </c>
      <c r="V69" s="24">
        <f>U69/$U$68*100</f>
        <v>30.136986301369863</v>
      </c>
      <c r="W69" s="7">
        <f>SUMIFS(Ofertas!$W$1870:$W$2765,Ofertas!$T$1870:$T$2765,Indicadores!S69,Ofertas!$AG$1870:$AG$2765,Indicadores!$T$66,Ofertas!$L$1870:$L$2765,Indicadores!$U$66)</f>
        <v>26321</v>
      </c>
      <c r="X69" s="28">
        <f>W69/$W$68</f>
        <v>0.10445773928227718</v>
      </c>
      <c r="Y69" s="7">
        <f>SUMIFS(Ofertas!$X$1870:$X$2765,Ofertas!$T$1870:$T$2765,Indicadores!S69,Ofertas!$AG$1870:$AG$2765,Indicadores!$T$66,Ofertas!$L$1870:$L$2765,Indicadores!$U$66)</f>
        <v>738.98460610000006</v>
      </c>
      <c r="Z69" s="24">
        <f>Y69/$Y$68*100</f>
        <v>9.0536966199658977</v>
      </c>
    </row>
    <row r="70" spans="1:50" ht="13.9">
      <c r="A70" s="101" t="s">
        <v>165</v>
      </c>
      <c r="B70" s="22" t="s">
        <v>9409</v>
      </c>
      <c r="C70" s="23">
        <f>COUNTIFS(Ofertas!$T$1870:$T$2765,Indicadores!A70,Ofertas!$AG$1870:$AG$2765,$B$66)</f>
        <v>99</v>
      </c>
      <c r="D70" s="19">
        <f t="shared" ref="D70:D73" si="83">C70/$C$68</f>
        <v>0.6875</v>
      </c>
      <c r="E70" s="7">
        <f>SUMIFS(Ofertas!$W$1870:$W$2765,Ofertas!$T$1870:$T$2765,Indicadores!A70,Ofertas!$AG$1870:$AG$2765,Indicadores!$B$66)</f>
        <v>264457.5</v>
      </c>
      <c r="F70" s="19">
        <f t="shared" ref="F70:F73" si="84">E70/$E$68</f>
        <v>0.8826150295615085</v>
      </c>
      <c r="G70" s="7">
        <f>SUMIFS(Ofertas!$X$1870:$X$2765,Ofertas!$T$1870:$T$2765,Indicadores!A70,Ofertas!$AG$1870:$AG$2765,Indicadores!$B$66)</f>
        <v>8829.5317357849963</v>
      </c>
      <c r="H70" s="19">
        <f t="shared" ref="H70:H73" si="85">G70/$G$68</f>
        <v>0.89080382704841909</v>
      </c>
      <c r="J70" s="101" t="s">
        <v>165</v>
      </c>
      <c r="K70" s="22" t="s">
        <v>9409</v>
      </c>
      <c r="L70" s="23">
        <f>COUNTIFS(Ofertas!$T$1870:$T$2765,Indicadores!J70,Ofertas!$AG$1870:$AG$2765,$K$66,Ofertas!$L$1870:$L$2765,Indicadores!$L$66)</f>
        <v>48</v>
      </c>
      <c r="M70" s="24">
        <f t="shared" ref="M70:M73" si="86">L70/$L$68*100</f>
        <v>67.605633802816897</v>
      </c>
      <c r="N70" s="7">
        <f>SUMIFS(Ofertas!$W$1870:$W$2765,Ofertas!$T$1870:$T$2765,Indicadores!J70,Ofertas!$AG$1870:$AG$2765,Indicadores!$K$66,Ofertas!$L$1870:$L$2765,Indicadores!$L$66)</f>
        <v>38801</v>
      </c>
      <c r="O70" s="28">
        <f t="shared" ref="O70:O73" si="87">N70/$N$68</f>
        <v>0.81425753378661969</v>
      </c>
      <c r="P70" s="7">
        <f>SUMIFS(Ofertas!$X$1870:$X$2765,Ofertas!$T$1870:$T$2765,Indicadores!J70,Ofertas!$AG$1870:$AG$2765,Indicadores!$K$66,Ofertas!$L$1870:$L$2765,Indicadores!$L$66)</f>
        <v>1406.2745845200002</v>
      </c>
      <c r="Q70" s="24">
        <f t="shared" ref="Q70:Q73" si="88">P70/$P$68*100</f>
        <v>80.375621764447672</v>
      </c>
      <c r="S70" s="101" t="s">
        <v>165</v>
      </c>
      <c r="T70" s="22" t="s">
        <v>9409</v>
      </c>
      <c r="U70" s="23">
        <f>COUNTIFS(Ofertas!$T$1870:$T$2765,Indicadores!S70,Ofertas!$AG$1870:$AG$2765,$T$66,Ofertas!$L$1870:$L$2765,Indicadores!$U$66)</f>
        <v>51</v>
      </c>
      <c r="V70" s="24">
        <f t="shared" ref="V70:V73" si="89">U70/$U$68*100</f>
        <v>69.863013698630141</v>
      </c>
      <c r="W70" s="7">
        <f>SUMIFS(Ofertas!$W$1870:$W$2765,Ofertas!$T$1870:$T$2765,Indicadores!S70,Ofertas!$AG$1870:$AG$2765,Indicadores!$T$66,Ofertas!$L$1870:$L$2765,Indicadores!$U$66)</f>
        <v>225656.5</v>
      </c>
      <c r="X70" s="28">
        <f t="shared" ref="X70:X73" si="90">W70/$W$68</f>
        <v>0.8955422607177228</v>
      </c>
      <c r="Y70" s="7">
        <f>SUMIFS(Ofertas!$X$1870:$X$2765,Ofertas!$T$1870:$T$2765,Indicadores!S70,Ofertas!$AG$1870:$AG$2765,Indicadores!$T$66,Ofertas!$L$1870:$L$2765,Indicadores!$U$66)</f>
        <v>7423.2571512649993</v>
      </c>
      <c r="Z70" s="24">
        <f t="shared" ref="Z70:Z73" si="91">Y70/$Y$68*100</f>
        <v>90.946303380034095</v>
      </c>
    </row>
    <row r="71" spans="1:50" ht="13.9">
      <c r="A71" s="101" t="s">
        <v>168</v>
      </c>
      <c r="B71" s="22" t="s">
        <v>9411</v>
      </c>
      <c r="C71" s="23">
        <f>COUNTIFS(Ofertas!$T$1870:$T$2765,Indicadores!A71,Ofertas!$AG$1870:$AG$2765,$B$66)</f>
        <v>0</v>
      </c>
      <c r="D71" s="19">
        <f t="shared" si="83"/>
        <v>0</v>
      </c>
      <c r="E71" s="7">
        <f>SUMIFS(Ofertas!$W$1870:$W$2765,Ofertas!$T$1870:$T$2765,Indicadores!A71,Ofertas!$AG$1870:$AG$2765,Indicadores!$B$66)</f>
        <v>0</v>
      </c>
      <c r="F71" s="19">
        <f t="shared" si="84"/>
        <v>0</v>
      </c>
      <c r="G71" s="7">
        <f>SUMIFS(Ofertas!$X$1870:$X$2765,Ofertas!$T$1870:$T$2765,Indicadores!A71,Ofertas!$AG$1870:$AG$2765,Indicadores!$B$66)</f>
        <v>0</v>
      </c>
      <c r="H71" s="19">
        <f t="shared" si="85"/>
        <v>0</v>
      </c>
      <c r="J71" s="101" t="s">
        <v>168</v>
      </c>
      <c r="K71" s="22" t="s">
        <v>9411</v>
      </c>
      <c r="L71" s="23">
        <f>COUNTIFS(Ofertas!$T$1870:$T$2765,Indicadores!J71,Ofertas!$AG$1870:$AG$2765,$K$66,Ofertas!$L$1870:$L$2765,Indicadores!$L$66)</f>
        <v>0</v>
      </c>
      <c r="M71" s="24">
        <f t="shared" si="86"/>
        <v>0</v>
      </c>
      <c r="N71" s="7">
        <f>SUMIFS(Ofertas!$W$1870:$W$2765,Ofertas!$T$1870:$T$2765,Indicadores!J71,Ofertas!$AG$1870:$AG$2765,Indicadores!$K$66,Ofertas!$L$1870:$L$2765,Indicadores!$L$66)</f>
        <v>0</v>
      </c>
      <c r="O71" s="28">
        <f t="shared" si="87"/>
        <v>0</v>
      </c>
      <c r="P71" s="7">
        <f>SUMIFS(Ofertas!$X$1870:$X$2765,Ofertas!$T$1870:$T$2765,Indicadores!J71,Ofertas!$AG$1870:$AG$2765,Indicadores!$K$66,Ofertas!$L$1870:$L$2765,Indicadores!$L$66)</f>
        <v>0</v>
      </c>
      <c r="Q71" s="24">
        <f t="shared" si="88"/>
        <v>0</v>
      </c>
      <c r="S71" s="101" t="s">
        <v>168</v>
      </c>
      <c r="T71" s="22" t="s">
        <v>9411</v>
      </c>
      <c r="U71" s="23">
        <f>COUNTIFS(Ofertas!$T$1870:$T$2765,Indicadores!S71,Ofertas!$AG$1870:$AG$2765,$T$66,Ofertas!$L$1870:$L$2765,Indicadores!$U$66)</f>
        <v>0</v>
      </c>
      <c r="V71" s="24">
        <f t="shared" si="89"/>
        <v>0</v>
      </c>
      <c r="W71" s="7">
        <f>SUMIFS(Ofertas!$W$1870:$W$2765,Ofertas!$T$1870:$T$2765,Indicadores!S71,Ofertas!$AG$1870:$AG$2765,Indicadores!$T$66,Ofertas!$L$1870:$L$2765,Indicadores!$U$66)</f>
        <v>0</v>
      </c>
      <c r="X71" s="28">
        <f t="shared" si="90"/>
        <v>0</v>
      </c>
      <c r="Y71" s="7">
        <f>SUMIFS(Ofertas!$X$1870:$X$2765,Ofertas!$T$1870:$T$2765,Indicadores!S71,Ofertas!$AG$1870:$AG$2765,Indicadores!$T$66,Ofertas!$L$1870:$L$2765,Indicadores!$U$66)</f>
        <v>0</v>
      </c>
      <c r="Z71" s="24">
        <f t="shared" si="91"/>
        <v>0</v>
      </c>
    </row>
    <row r="72" spans="1:50" ht="13.9">
      <c r="A72" s="101" t="s">
        <v>158</v>
      </c>
      <c r="B72" s="22" t="s">
        <v>159</v>
      </c>
      <c r="C72" s="23">
        <f>COUNTIFS(Ofertas!$T$1870:$T$2765,Indicadores!A72,Ofertas!$AG$1870:$AG$2765,$B$66)</f>
        <v>0</v>
      </c>
      <c r="D72" s="19">
        <f t="shared" si="83"/>
        <v>0</v>
      </c>
      <c r="E72" s="7">
        <f>SUMIFS(Ofertas!$W$1870:$W$2765,Ofertas!$T$1870:$T$2765,Indicadores!A72,Ofertas!$AG$1870:$AG$2765,Indicadores!$B$66)</f>
        <v>0</v>
      </c>
      <c r="F72" s="19">
        <f t="shared" si="84"/>
        <v>0</v>
      </c>
      <c r="G72" s="7">
        <f>SUMIFS(Ofertas!$X$1870:$X$2765,Ofertas!$T$1870:$T$2765,Indicadores!A72,Ofertas!$AG$1870:$AG$2765,Indicadores!$B$66)</f>
        <v>0</v>
      </c>
      <c r="H72" s="19">
        <f t="shared" si="85"/>
        <v>0</v>
      </c>
      <c r="J72" s="101" t="s">
        <v>158</v>
      </c>
      <c r="K72" s="22" t="s">
        <v>159</v>
      </c>
      <c r="L72" s="23">
        <f>COUNTIFS(Ofertas!$T$1870:$T$2765,Indicadores!J72,Ofertas!$AG$1870:$AG$2765,$K$66,Ofertas!$L$1870:$L$2765,Indicadores!$L$66)</f>
        <v>0</v>
      </c>
      <c r="M72" s="24">
        <f t="shared" si="86"/>
        <v>0</v>
      </c>
      <c r="N72" s="7">
        <f>SUMIFS(Ofertas!$W$1870:$W$2765,Ofertas!$T$1870:$T$2765,Indicadores!J72,Ofertas!$AG$1870:$AG$2765,Indicadores!$K$66,Ofertas!$L$1870:$L$2765,Indicadores!$L$66)</f>
        <v>0</v>
      </c>
      <c r="O72" s="28">
        <f t="shared" si="87"/>
        <v>0</v>
      </c>
      <c r="P72" s="7">
        <f>SUMIFS(Ofertas!$X$1870:$X$2765,Ofertas!$T$1870:$T$2765,Indicadores!J72,Ofertas!$AG$1870:$AG$2765,Indicadores!$K$66,Ofertas!$L$1870:$L$2765,Indicadores!$L$66)</f>
        <v>0</v>
      </c>
      <c r="Q72" s="24">
        <f t="shared" si="88"/>
        <v>0</v>
      </c>
      <c r="S72" s="101" t="s">
        <v>158</v>
      </c>
      <c r="T72" s="22" t="s">
        <v>159</v>
      </c>
      <c r="U72" s="23">
        <f>COUNTIFS(Ofertas!$T$1870:$T$2765,Indicadores!S72,Ofertas!$AG$1870:$AG$2765,$T$66,Ofertas!$L$1870:$L$2765,Indicadores!$U$66)</f>
        <v>0</v>
      </c>
      <c r="V72" s="24">
        <f t="shared" si="89"/>
        <v>0</v>
      </c>
      <c r="W72" s="7">
        <f>SUMIFS(Ofertas!$W$1870:$W$2765,Ofertas!$T$1870:$T$2765,Indicadores!S72,Ofertas!$AG$1870:$AG$2765,Indicadores!$T$66,Ofertas!$L$1870:$L$2765,Indicadores!$U$66)</f>
        <v>0</v>
      </c>
      <c r="X72" s="28">
        <f t="shared" si="90"/>
        <v>0</v>
      </c>
      <c r="Y72" s="7">
        <f>SUMIFS(Ofertas!$X$1870:$X$2765,Ofertas!$T$1870:$T$2765,Indicadores!S72,Ofertas!$AG$1870:$AG$2765,Indicadores!$T$66,Ofertas!$L$1870:$L$2765,Indicadores!$U$66)</f>
        <v>0</v>
      </c>
      <c r="Z72" s="24">
        <f t="shared" si="91"/>
        <v>0</v>
      </c>
    </row>
    <row r="73" spans="1:50" ht="13.9">
      <c r="A73" s="101" t="s">
        <v>64</v>
      </c>
      <c r="B73" s="22" t="s">
        <v>9412</v>
      </c>
      <c r="C73" s="23">
        <f>COUNTIFS(Ofertas!$T$1870:$T$2765,Indicadores!A73,Ofertas!$AG$1870:$AG$2765,$B$66)</f>
        <v>0</v>
      </c>
      <c r="D73" s="19">
        <f t="shared" si="83"/>
        <v>0</v>
      </c>
      <c r="E73" s="7">
        <f>SUMIFS(Ofertas!$W$1870:$W$2765,Ofertas!$T$1870:$T$2765,Indicadores!A73,Ofertas!$AG$1870:$AG$2765,Indicadores!$B$66)</f>
        <v>0</v>
      </c>
      <c r="F73" s="19">
        <f t="shared" si="84"/>
        <v>0</v>
      </c>
      <c r="G73" s="7">
        <f>SUMIFS(Ofertas!$X$1870:$X$2765,Ofertas!$T$1870:$T$2765,Indicadores!A73,Ofertas!$AG$1870:$AG$2765,Indicadores!$B$66)</f>
        <v>0</v>
      </c>
      <c r="H73" s="19">
        <f t="shared" si="85"/>
        <v>0</v>
      </c>
      <c r="J73" s="101" t="s">
        <v>64</v>
      </c>
      <c r="K73" s="22" t="s">
        <v>9412</v>
      </c>
      <c r="L73" s="23">
        <f>COUNTIFS(Ofertas!$T$1870:$T$2765,Indicadores!J73,Ofertas!$AG$1870:$AG$2765,$K$66,Ofertas!$L$1870:$L$2765,Indicadores!$L$66)</f>
        <v>0</v>
      </c>
      <c r="M73" s="24">
        <f t="shared" si="86"/>
        <v>0</v>
      </c>
      <c r="N73" s="7">
        <f>SUMIFS(Ofertas!$W$1870:$W$2765,Ofertas!$T$1870:$T$2765,Indicadores!J73,Ofertas!$AG$1870:$AG$2765,Indicadores!$K$66,Ofertas!$L$1870:$L$2765,Indicadores!$L$66)</f>
        <v>0</v>
      </c>
      <c r="O73" s="28">
        <f t="shared" si="87"/>
        <v>0</v>
      </c>
      <c r="P73" s="7">
        <f>SUMIFS(Ofertas!$X$1870:$X$2765,Ofertas!$T$1870:$T$2765,Indicadores!J73,Ofertas!$AG$1870:$AG$2765,Indicadores!$K$66,Ofertas!$L$1870:$L$2765,Indicadores!$L$66)</f>
        <v>0</v>
      </c>
      <c r="Q73" s="24">
        <f t="shared" si="88"/>
        <v>0</v>
      </c>
      <c r="S73" s="101" t="s">
        <v>64</v>
      </c>
      <c r="T73" s="22" t="s">
        <v>9412</v>
      </c>
      <c r="U73" s="23">
        <f>COUNTIFS(Ofertas!$T$1870:$T$2765,Indicadores!S73,Ofertas!$AG$1870:$AG$2765,$T$66,Ofertas!$L$1870:$L$2765,Indicadores!$U$66)</f>
        <v>0</v>
      </c>
      <c r="V73" s="24">
        <f t="shared" si="89"/>
        <v>0</v>
      </c>
      <c r="W73" s="7">
        <f>SUMIFS(Ofertas!$W$1870:$W$2765,Ofertas!$T$1870:$T$2765,Indicadores!S73,Ofertas!$AG$1870:$AG$2765,Indicadores!$T$66,Ofertas!$L$1870:$L$2765,Indicadores!$U$66)</f>
        <v>0</v>
      </c>
      <c r="X73" s="28">
        <f t="shared" si="90"/>
        <v>0</v>
      </c>
      <c r="Y73" s="7">
        <f>SUMIFS(Ofertas!$X$1870:$X$2765,Ofertas!$T$1870:$T$2765,Indicadores!S73,Ofertas!$AG$1870:$AG$2765,Indicadores!$T$66,Ofertas!$L$1870:$L$2765,Indicadores!$U$66)</f>
        <v>0</v>
      </c>
      <c r="Z73" s="24">
        <f t="shared" si="91"/>
        <v>0</v>
      </c>
    </row>
    <row r="74" spans="1:50" s="97" customFormat="1"/>
    <row r="75" spans="1:50" s="97" customFormat="1" ht="13.9">
      <c r="B75" s="98">
        <v>2018</v>
      </c>
      <c r="J75" s="99"/>
      <c r="K75" s="109">
        <v>2018</v>
      </c>
      <c r="L75" s="100" t="s">
        <v>120</v>
      </c>
      <c r="M75" s="398" t="s">
        <v>9392</v>
      </c>
      <c r="N75" s="399"/>
      <c r="O75" s="399"/>
      <c r="P75" s="399"/>
      <c r="Q75" s="400"/>
      <c r="S75" s="99"/>
      <c r="T75" s="109">
        <v>2018</v>
      </c>
      <c r="U75" s="100" t="s">
        <v>123</v>
      </c>
      <c r="V75" s="398" t="s">
        <v>9393</v>
      </c>
      <c r="W75" s="399"/>
      <c r="X75" s="399"/>
      <c r="Y75" s="399"/>
      <c r="Z75" s="400"/>
      <c r="AB75" s="99"/>
      <c r="AC75" s="109">
        <v>2018</v>
      </c>
      <c r="AD75" s="100" t="s">
        <v>129</v>
      </c>
      <c r="AE75" s="398" t="s">
        <v>9413</v>
      </c>
      <c r="AF75" s="399"/>
      <c r="AG75" s="399"/>
      <c r="AH75" s="399"/>
      <c r="AI75" s="400"/>
      <c r="AK75" s="99"/>
      <c r="AL75" s="109"/>
      <c r="AM75" s="100"/>
      <c r="AN75" s="398"/>
      <c r="AO75" s="399"/>
      <c r="AP75" s="399"/>
      <c r="AQ75" s="399"/>
      <c r="AR75" s="400"/>
    </row>
    <row r="76" spans="1:50" ht="13.9">
      <c r="B76" s="4" t="s">
        <v>9397</v>
      </c>
      <c r="C76" s="5" t="s">
        <v>9398</v>
      </c>
      <c r="D76" s="5" t="s">
        <v>9399</v>
      </c>
      <c r="E76" s="5" t="s">
        <v>9400</v>
      </c>
      <c r="F76" s="5" t="s">
        <v>9401</v>
      </c>
      <c r="G76" s="5" t="s">
        <v>9402</v>
      </c>
      <c r="H76" s="5" t="s">
        <v>9403</v>
      </c>
      <c r="J76" s="102"/>
      <c r="K76" s="4" t="s">
        <v>9397</v>
      </c>
      <c r="L76" s="5" t="s">
        <v>9398</v>
      </c>
      <c r="M76" s="5" t="s">
        <v>9399</v>
      </c>
      <c r="N76" s="5" t="s">
        <v>9400</v>
      </c>
      <c r="O76" s="5" t="s">
        <v>9401</v>
      </c>
      <c r="P76" s="5" t="s">
        <v>9402</v>
      </c>
      <c r="Q76" s="5" t="s">
        <v>9403</v>
      </c>
      <c r="S76" s="102"/>
      <c r="T76" s="4" t="s">
        <v>9397</v>
      </c>
      <c r="U76" s="5" t="s">
        <v>9398</v>
      </c>
      <c r="V76" s="5" t="s">
        <v>9399</v>
      </c>
      <c r="W76" s="5" t="s">
        <v>9400</v>
      </c>
      <c r="X76" s="5" t="s">
        <v>9401</v>
      </c>
      <c r="Y76" s="5" t="s">
        <v>9402</v>
      </c>
      <c r="Z76" s="5" t="s">
        <v>9403</v>
      </c>
      <c r="AB76" s="102"/>
      <c r="AC76" s="4" t="s">
        <v>9397</v>
      </c>
      <c r="AD76" s="5" t="s">
        <v>9398</v>
      </c>
      <c r="AE76" s="5" t="s">
        <v>9399</v>
      </c>
      <c r="AF76" s="5" t="s">
        <v>9400</v>
      </c>
      <c r="AG76" s="5" t="s">
        <v>9401</v>
      </c>
      <c r="AH76" s="5" t="s">
        <v>9402</v>
      </c>
      <c r="AI76" s="5" t="s">
        <v>9403</v>
      </c>
      <c r="AK76" s="102"/>
      <c r="AL76" s="4"/>
      <c r="AM76" s="5"/>
      <c r="AN76" s="5"/>
      <c r="AO76" s="5"/>
      <c r="AP76" s="5"/>
      <c r="AQ76" s="5"/>
      <c r="AR76" s="5"/>
    </row>
    <row r="77" spans="1:50" ht="13.9">
      <c r="B77" s="25" t="s">
        <v>9405</v>
      </c>
      <c r="C77" s="7">
        <f>SUM(C78:C82)</f>
        <v>145</v>
      </c>
      <c r="D77" s="19">
        <f>SUM(D78:D82)</f>
        <v>1</v>
      </c>
      <c r="E77" s="7">
        <f t="shared" ref="E77:F77" si="92">SUM(E78:E82)</f>
        <v>348196</v>
      </c>
      <c r="F77" s="19">
        <f t="shared" si="92"/>
        <v>1</v>
      </c>
      <c r="G77" s="7">
        <f>SUM(G78:G82)</f>
        <v>14042.932547461996</v>
      </c>
      <c r="H77" s="19">
        <f t="shared" ref="H77" si="93">SUM(H78:H82)</f>
        <v>1.0000000000000002</v>
      </c>
      <c r="J77" s="103"/>
      <c r="K77" s="25" t="s">
        <v>9405</v>
      </c>
      <c r="L77" s="7">
        <f>SUM(L78:L82)</f>
        <v>101</v>
      </c>
      <c r="M77" s="7">
        <f>SUM(M78:M82)</f>
        <v>100</v>
      </c>
      <c r="N77" s="7">
        <f t="shared" ref="N77:Q77" si="94">SUM(N78:N82)</f>
        <v>218242</v>
      </c>
      <c r="O77" s="19">
        <f t="shared" si="94"/>
        <v>1</v>
      </c>
      <c r="P77" s="7">
        <f t="shared" si="94"/>
        <v>9458.5501966520005</v>
      </c>
      <c r="Q77" s="7">
        <f t="shared" si="94"/>
        <v>100</v>
      </c>
      <c r="S77" s="104"/>
      <c r="T77" s="25" t="s">
        <v>9405</v>
      </c>
      <c r="U77" s="7">
        <f>SUM(U78:U82)</f>
        <v>23</v>
      </c>
      <c r="V77" s="7">
        <f>SUM(V78:V82)</f>
        <v>99.999999999999986</v>
      </c>
      <c r="W77" s="7">
        <f t="shared" ref="W77:Z77" si="95">SUM(W78:W82)</f>
        <v>92588</v>
      </c>
      <c r="X77" s="19">
        <f t="shared" si="95"/>
        <v>1</v>
      </c>
      <c r="Y77" s="7">
        <f t="shared" si="95"/>
        <v>1360.0528020000002</v>
      </c>
      <c r="Z77" s="7">
        <f t="shared" si="95"/>
        <v>100</v>
      </c>
      <c r="AB77" s="104"/>
      <c r="AC77" s="25" t="s">
        <v>9405</v>
      </c>
      <c r="AD77" s="7">
        <f>SUM(AD78:AD82)</f>
        <v>21</v>
      </c>
      <c r="AE77" s="7">
        <f>SUM(AE78:AE82)</f>
        <v>100</v>
      </c>
      <c r="AF77" s="7">
        <f t="shared" ref="AF77:AI77" si="96">SUM(AF78:AF82)</f>
        <v>37366</v>
      </c>
      <c r="AG77" s="19">
        <f t="shared" si="96"/>
        <v>1</v>
      </c>
      <c r="AH77" s="7">
        <f t="shared" si="96"/>
        <v>448.19259999999997</v>
      </c>
      <c r="AI77" s="7">
        <f t="shared" si="96"/>
        <v>100</v>
      </c>
      <c r="AK77" s="104"/>
      <c r="AL77" s="25"/>
      <c r="AM77" s="7"/>
      <c r="AN77" s="7"/>
      <c r="AO77" s="7"/>
      <c r="AP77" s="19"/>
      <c r="AQ77" s="7"/>
      <c r="AR77" s="7"/>
      <c r="AT77" s="107"/>
      <c r="AU77" s="107"/>
      <c r="AV77" s="107"/>
      <c r="AW77" s="108"/>
      <c r="AX77" s="108"/>
    </row>
    <row r="78" spans="1:50" ht="13.9">
      <c r="A78" s="101" t="s">
        <v>3</v>
      </c>
      <c r="B78" s="22" t="s">
        <v>9407</v>
      </c>
      <c r="C78" s="23">
        <f>COUNTIFS(Ofertas!$T$1757:$T$2765,Indicadores!A78,Ofertas!$AG$1757:$AG$2765,$B$75)</f>
        <v>47</v>
      </c>
      <c r="D78" s="19">
        <f>C78/$C$77</f>
        <v>0.32413793103448274</v>
      </c>
      <c r="E78" s="7">
        <f>SUMIFS(Ofertas!$W$1757:$W$2765,Ofertas!$T$1757:$T$2765,Indicadores!A78,Ofertas!$AG$1757:$AG$2765,Indicadores!$B$75)</f>
        <v>89613</v>
      </c>
      <c r="F78" s="19">
        <f>E78/$E$77</f>
        <v>0.2573636687382968</v>
      </c>
      <c r="G78" s="7">
        <f>SUMIFS(Ofertas!$X$1757:$X$2765,Ofertas!$T$1757:$T$2765,Indicadores!A78,Ofertas!$AG$1757:$AG$2765,Indicadores!$B$75)</f>
        <v>3206.0804631700003</v>
      </c>
      <c r="H78" s="19">
        <f>G78/$G$77</f>
        <v>0.22830562294123108</v>
      </c>
      <c r="J78" s="101" t="s">
        <v>3</v>
      </c>
      <c r="K78" s="22" t="s">
        <v>9407</v>
      </c>
      <c r="L78" s="23">
        <f>COUNTIFS(Ofertas!$T$1757:$T$2765,Indicadores!J78,Ofertas!$AG$1757:$AG$2765,$K$75,Ofertas!$L$1757:$L$2765,Indicadores!$L$75)</f>
        <v>37</v>
      </c>
      <c r="M78" s="24">
        <f>L78/$L$77*100</f>
        <v>36.633663366336634</v>
      </c>
      <c r="N78" s="7">
        <f>SUMIFS(Ofertas!$W$1757:$W$2765,Ofertas!$T$1757:$T$2765,Indicadores!J78,Ofertas!$AG$1757:$AG$2765,Indicadores!$K$75,Ofertas!$L$1757:$L$2765,Indicadores!$L$75)</f>
        <v>30903</v>
      </c>
      <c r="O78" s="28">
        <f>N78/$N$77</f>
        <v>0.14159969208493323</v>
      </c>
      <c r="P78" s="7">
        <f>SUMIFS(Ofertas!$X$1757:$X$2765,Ofertas!$T$1757:$T$2765,Indicadores!J78,Ofertas!$AG$1757:$AG$2765,Indicadores!$K$75,Ofertas!$L$1757:$L$2765,Indicadores!$L$75)</f>
        <v>1051.8470817600003</v>
      </c>
      <c r="Q78" s="24">
        <f>P78/$P$77*100</f>
        <v>11.120595227504504</v>
      </c>
      <c r="S78" s="101" t="s">
        <v>3</v>
      </c>
      <c r="T78" s="22" t="s">
        <v>9407</v>
      </c>
      <c r="U78" s="23">
        <f>COUNTIFS(Ofertas!$T$1757:$T$2765,Indicadores!S78,Ofertas!$AG$1757:$AG$2765,$T$75,Ofertas!$L$1757:$L$2765,Indicadores!$U$75)</f>
        <v>6</v>
      </c>
      <c r="V78" s="24">
        <f>U78/$U$77*100</f>
        <v>26.086956521739129</v>
      </c>
      <c r="W78" s="7">
        <f>SUMIFS(Ofertas!$W$1757:$W$2765,Ofertas!$T$1757:$T$2765,Indicadores!S78,Ofertas!$AG$1757:$AG$2765,Indicadores!$T$75,Ofertas!$L$1757:$L$2765,Indicadores!$U$75)</f>
        <v>55029</v>
      </c>
      <c r="X78" s="28">
        <f>W78/$W$77</f>
        <v>0.59434267939689811</v>
      </c>
      <c r="Y78" s="7">
        <f>SUMIFS(Ofertas!$X$1870:$X$2765,Ofertas!$T$1870:$T$2765,Indicadores!S78,Ofertas!$AG$1870:$AG$2765,Indicadores!$T$75,Ofertas!$L$1870:$L$2765,Indicadores!$U$75)</f>
        <v>416.50520200000005</v>
      </c>
      <c r="Z78" s="24">
        <f>Y78/$Y$77*100</f>
        <v>30.624193515686756</v>
      </c>
      <c r="AB78" s="101" t="s">
        <v>3</v>
      </c>
      <c r="AC78" s="22" t="s">
        <v>9407</v>
      </c>
      <c r="AD78" s="23">
        <f>COUNTIFS(Ofertas!$T$1757:$T$2765,Indicadores!AB78,Ofertas!$AG$1757:$AG$2765,$AC$75,Ofertas!$L$1757:$L$2765,Indicadores!$AD$75)</f>
        <v>4</v>
      </c>
      <c r="AE78" s="24">
        <f>AD78/$AD$77*100</f>
        <v>19.047619047619047</v>
      </c>
      <c r="AF78" s="7">
        <f>SUMIFS(Ofertas!$W$1757:$W$2765,Ofertas!$T$1757:$T$2765,Indicadores!AB78,Ofertas!$AG$1757:$AG$2765,Indicadores!$AC$75,Ofertas!$L$1757:$L$2765,Indicadores!$AD$75)</f>
        <v>3681</v>
      </c>
      <c r="AG78" s="28">
        <f>AF78/$AF$77</f>
        <v>9.8512016271476738E-2</v>
      </c>
      <c r="AH78" s="7">
        <f>SUMIFS(Ofertas!$X$1870:$X$2765,Ofertas!$T$1870:$T$2765,Indicadores!AB78,Ofertas!$AG$1870:$AG$2765,Indicadores!$AC$75,Ofertas!$L$1870:$L$2765,Indicadores!$AD$75)</f>
        <v>93.169399999999996</v>
      </c>
      <c r="AI78" s="24">
        <f>AH78/$AH$77*100</f>
        <v>20.787804171688691</v>
      </c>
      <c r="AK78" s="101"/>
      <c r="AL78" s="22"/>
      <c r="AM78" s="23"/>
      <c r="AN78" s="24"/>
      <c r="AO78" s="7"/>
      <c r="AP78" s="28"/>
      <c r="AQ78" s="7"/>
      <c r="AR78" s="24"/>
    </row>
    <row r="79" spans="1:50" ht="13.9">
      <c r="A79" s="101" t="s">
        <v>165</v>
      </c>
      <c r="B79" s="22" t="s">
        <v>9409</v>
      </c>
      <c r="C79" s="23">
        <f>COUNTIFS(Ofertas!$T$1757:$T$2765,Indicadores!A79,Ofertas!$AG$1757:$AG$2765,$B$75)</f>
        <v>97</v>
      </c>
      <c r="D79" s="19">
        <f t="shared" ref="D79:D82" si="97">C79/$C$77</f>
        <v>0.66896551724137931</v>
      </c>
      <c r="E79" s="7">
        <f>SUMIFS(Ofertas!$W$1757:$W$2765,Ofertas!$T$1757:$T$2765,Indicadores!A79,Ofertas!$AG$1757:$AG$2765,Indicadores!$B$75)</f>
        <v>257791</v>
      </c>
      <c r="F79" s="19">
        <f t="shared" ref="F79:F82" si="98">E79/$E$77</f>
        <v>0.74036175027857876</v>
      </c>
      <c r="G79" s="7">
        <f>SUMIFS(Ofertas!$X$1757:$X$2765,Ofertas!$T$1757:$T$2765,Indicadores!A79,Ofertas!$AG$1757:$AG$2765,Indicadores!$B$75)</f>
        <v>10786.206329251998</v>
      </c>
      <c r="H79" s="19">
        <f t="shared" ref="H79:H82" si="99">G79/$G$77</f>
        <v>0.76808788284049745</v>
      </c>
      <c r="J79" s="101" t="s">
        <v>165</v>
      </c>
      <c r="K79" s="22" t="s">
        <v>9409</v>
      </c>
      <c r="L79" s="23">
        <f>COUNTIFS(Ofertas!$T$1757:$T$2765,Indicadores!J79,Ofertas!$AG$1757:$AG$2765,$K$75,Ofertas!$L$1757:$L$2765,Indicadores!$L$75)</f>
        <v>63</v>
      </c>
      <c r="M79" s="24">
        <f t="shared" ref="M79:M82" si="100">L79/$L$77*100</f>
        <v>62.376237623762378</v>
      </c>
      <c r="N79" s="7">
        <f>SUMIFS(Ofertas!$W$1757:$W$2765,Ofertas!$T$1757:$T$2765,Indicadores!J79,Ofertas!$AG$1757:$AG$2765,Indicadores!$K$75,Ofertas!$L$1757:$L$2765,Indicadores!$L$75)</f>
        <v>186547</v>
      </c>
      <c r="O79" s="28">
        <f t="shared" ref="O79:O82" si="101">N79/$N$77</f>
        <v>0.85477130891395792</v>
      </c>
      <c r="P79" s="7">
        <f>SUMIFS(Ofertas!$X$1757:$X$2765,Ofertas!$T$1757:$T$2765,Indicadores!J79,Ofertas!$AG$1757:$AG$2765,Indicadores!$K$75,Ofertas!$L$1757:$L$2765,Indicadores!$L$75)</f>
        <v>8356.0573598520004</v>
      </c>
      <c r="Q79" s="24">
        <f t="shared" ref="Q79:Q82" si="102">P79/$P$77*100</f>
        <v>88.343955322135471</v>
      </c>
      <c r="S79" s="101" t="s">
        <v>165</v>
      </c>
      <c r="T79" s="22" t="s">
        <v>9409</v>
      </c>
      <c r="U79" s="23">
        <f>COUNTIFS(Ofertas!$T$1757:$T$2765,Indicadores!S79,Ofertas!$AG$1757:$AG$2765,$T$75,Ofertas!$L$1757:$L$2765,Indicadores!$U$75)</f>
        <v>17</v>
      </c>
      <c r="V79" s="24">
        <f t="shared" ref="V79:V82" si="103">U79/$U$77*100</f>
        <v>73.91304347826086</v>
      </c>
      <c r="W79" s="7">
        <f>SUMIFS(Ofertas!$W$1757:$W$2765,Ofertas!$T$1757:$T$2765,Indicadores!S79,Ofertas!$AG$1757:$AG$2765,Indicadores!$T$75,Ofertas!$L$1757:$L$2765,Indicadores!$U$75)</f>
        <v>37559</v>
      </c>
      <c r="X79" s="28">
        <f t="shared" ref="X79:X82" si="104">W79/$W$77</f>
        <v>0.40565732060310189</v>
      </c>
      <c r="Y79" s="7">
        <f>SUMIFS(Ofertas!$X$1870:$X$2765,Ofertas!$T$1870:$T$2765,Indicadores!S79,Ofertas!$AG$1870:$AG$2765,Indicadores!$T$75,Ofertas!$L$1870:$L$2765,Indicadores!$U$75)</f>
        <v>943.54759999999999</v>
      </c>
      <c r="Z79" s="24">
        <f t="shared" ref="Z79:Z82" si="105">Y79/$Y$77*100</f>
        <v>69.375806484313244</v>
      </c>
      <c r="AB79" s="101" t="s">
        <v>165</v>
      </c>
      <c r="AC79" s="22" t="s">
        <v>9409</v>
      </c>
      <c r="AD79" s="23">
        <f>COUNTIFS(Ofertas!$T$1757:$T$2765,Indicadores!AB79,Ofertas!$AG$1757:$AG$2765,$AC$75,Ofertas!$L$1757:$L$2765,Indicadores!$AD$75)</f>
        <v>17</v>
      </c>
      <c r="AE79" s="24">
        <f t="shared" ref="AE79:AE82" si="106">AD79/$AD$77*100</f>
        <v>80.952380952380949</v>
      </c>
      <c r="AF79" s="7">
        <f>SUMIFS(Ofertas!$W$1757:$W$2765,Ofertas!$T$1757:$T$2765,Indicadores!AB79,Ofertas!$AG$1757:$AG$2765,Indicadores!$AC$75,Ofertas!$L$1757:$L$2765,Indicadores!$AD$75)</f>
        <v>33685</v>
      </c>
      <c r="AG79" s="28">
        <f t="shared" ref="AG79:AG82" si="107">AF79/$AF$77</f>
        <v>0.90148798372852323</v>
      </c>
      <c r="AH79" s="7">
        <f>SUMIFS(Ofertas!$X$1870:$X$2765,Ofertas!$T$1870:$T$2765,Indicadores!AB79,Ofertas!$AG$1870:$AG$2765,Indicadores!$AC$75,Ofertas!$L$1870:$L$2765,Indicadores!$AD$75)</f>
        <v>355.02319999999997</v>
      </c>
      <c r="AI79" s="24">
        <f t="shared" ref="AI79:AI82" si="108">AH79/$AH$77*100</f>
        <v>79.212195828311309</v>
      </c>
      <c r="AK79" s="101"/>
      <c r="AL79" s="22"/>
      <c r="AM79" s="23"/>
      <c r="AN79" s="24"/>
      <c r="AO79" s="7"/>
      <c r="AP79" s="28"/>
      <c r="AQ79" s="7"/>
      <c r="AR79" s="24"/>
    </row>
    <row r="80" spans="1:50" ht="13.9">
      <c r="A80" s="101" t="s">
        <v>168</v>
      </c>
      <c r="B80" s="22" t="s">
        <v>9411</v>
      </c>
      <c r="C80" s="23">
        <f>COUNTIFS(Ofertas!$T$1757:$T$2765,Indicadores!A80,Ofertas!$AG$1757:$AG$2765,$B$75)</f>
        <v>1</v>
      </c>
      <c r="D80" s="19">
        <f t="shared" si="97"/>
        <v>6.8965517241379309E-3</v>
      </c>
      <c r="E80" s="7">
        <f>SUMIFS(Ofertas!$W$1757:$W$2765,Ofertas!$T$1757:$T$2765,Indicadores!A80,Ofertas!$AG$1757:$AG$2765,Indicadores!$B$75)</f>
        <v>792</v>
      </c>
      <c r="F80" s="19">
        <f t="shared" si="98"/>
        <v>2.2745809831244473E-3</v>
      </c>
      <c r="G80" s="7">
        <f>SUMIFS(Ofertas!$X$1757:$X$2765,Ofertas!$T$1757:$T$2765,Indicadores!A80,Ofertas!$AG$1757:$AG$2765,Indicadores!$B$75)</f>
        <v>50.645755039999997</v>
      </c>
      <c r="H80" s="19">
        <f t="shared" si="99"/>
        <v>3.6064942182716169E-3</v>
      </c>
      <c r="J80" s="101" t="s">
        <v>168</v>
      </c>
      <c r="K80" s="22" t="s">
        <v>9411</v>
      </c>
      <c r="L80" s="23">
        <f>COUNTIFS(Ofertas!$T$1757:$T$2765,Indicadores!J80,Ofertas!$AG$1757:$AG$2765,$K$75,Ofertas!$L$1757:$L$2765,Indicadores!$L$75)</f>
        <v>1</v>
      </c>
      <c r="M80" s="24">
        <f t="shared" si="100"/>
        <v>0.99009900990099009</v>
      </c>
      <c r="N80" s="7">
        <f>SUMIFS(Ofertas!$W$1757:$W$2765,Ofertas!$T$1757:$T$2765,Indicadores!J80,Ofertas!$AG$1757:$AG$2765,Indicadores!$K$75,Ofertas!$L$1757:$L$2765,Indicadores!$L$75)</f>
        <v>792</v>
      </c>
      <c r="O80" s="28">
        <f t="shared" si="101"/>
        <v>3.6289990011088608E-3</v>
      </c>
      <c r="P80" s="7">
        <f>SUMIFS(Ofertas!$X$1757:$X$2765,Ofertas!$T$1757:$T$2765,Indicadores!J80,Ofertas!$AG$1757:$AG$2765,Indicadores!$K$75,Ofertas!$L$1757:$L$2765,Indicadores!$L$75)</f>
        <v>50.645755039999997</v>
      </c>
      <c r="Q80" s="24">
        <f t="shared" si="102"/>
        <v>0.53544945036002289</v>
      </c>
      <c r="S80" s="101" t="s">
        <v>168</v>
      </c>
      <c r="T80" s="22" t="s">
        <v>9411</v>
      </c>
      <c r="U80" s="23">
        <f>COUNTIFS(Ofertas!$T$1757:$T$2765,Indicadores!S80,Ofertas!$AG$1757:$AG$2765,$T$75,Ofertas!$L$1757:$L$2765,Indicadores!$U$75)</f>
        <v>0</v>
      </c>
      <c r="V80" s="24">
        <f t="shared" si="103"/>
        <v>0</v>
      </c>
      <c r="W80" s="7">
        <f>SUMIFS(Ofertas!$W$1757:$W$2765,Ofertas!$T$1757:$T$2765,Indicadores!S80,Ofertas!$AG$1757:$AG$2765,Indicadores!$T$75,Ofertas!$L$1757:$L$2765,Indicadores!$U$75)</f>
        <v>0</v>
      </c>
      <c r="X80" s="28">
        <f t="shared" si="104"/>
        <v>0</v>
      </c>
      <c r="Y80" s="7">
        <f>SUMIFS(Ofertas!$X$1870:$X$2765,Ofertas!$T$1870:$T$2765,Indicadores!S80,Ofertas!$AG$1870:$AG$2765,Indicadores!$T$75,Ofertas!$L$1870:$L$2765,Indicadores!$U$75)</f>
        <v>0</v>
      </c>
      <c r="Z80" s="24">
        <f t="shared" si="105"/>
        <v>0</v>
      </c>
      <c r="AB80" s="101" t="s">
        <v>168</v>
      </c>
      <c r="AC80" s="22" t="s">
        <v>9411</v>
      </c>
      <c r="AD80" s="23">
        <f>COUNTIFS(Ofertas!$T$1757:$T$2765,Indicadores!AB80,Ofertas!$AG$1757:$AG$2765,$AC$75,Ofertas!$L$1757:$L$2765,Indicadores!$AD$75)</f>
        <v>0</v>
      </c>
      <c r="AE80" s="24">
        <f t="shared" si="106"/>
        <v>0</v>
      </c>
      <c r="AF80" s="7">
        <f>SUMIFS(Ofertas!$W$1757:$W$2765,Ofertas!$T$1757:$T$2765,Indicadores!AB80,Ofertas!$AG$1757:$AG$2765,Indicadores!$AC$75,Ofertas!$L$1757:$L$2765,Indicadores!$AD$75)</f>
        <v>0</v>
      </c>
      <c r="AG80" s="28">
        <f t="shared" si="107"/>
        <v>0</v>
      </c>
      <c r="AH80" s="7">
        <f>SUMIFS(Ofertas!$X$1870:$X$2765,Ofertas!$T$1870:$T$2765,Indicadores!AB80,Ofertas!$AG$1870:$AG$2765,Indicadores!$AC$75,Ofertas!$L$1870:$L$2765,Indicadores!$AD$75)</f>
        <v>0</v>
      </c>
      <c r="AI80" s="24">
        <f t="shared" si="108"/>
        <v>0</v>
      </c>
      <c r="AK80" s="101"/>
      <c r="AL80" s="22"/>
      <c r="AM80" s="23"/>
      <c r="AN80" s="24"/>
      <c r="AO80" s="7"/>
      <c r="AP80" s="28"/>
      <c r="AQ80" s="7"/>
      <c r="AR80" s="24"/>
    </row>
    <row r="81" spans="1:50" ht="13.9">
      <c r="A81" s="101" t="s">
        <v>158</v>
      </c>
      <c r="B81" s="22" t="s">
        <v>159</v>
      </c>
      <c r="C81" s="23">
        <f>COUNTIFS(Ofertas!$T$1757:$T$2765,Indicadores!A81,Ofertas!$AG$1757:$AG$2765,$B$75)</f>
        <v>0</v>
      </c>
      <c r="D81" s="19">
        <f t="shared" si="97"/>
        <v>0</v>
      </c>
      <c r="E81" s="7">
        <f>SUMIFS(Ofertas!$W$1757:$W$2765,Ofertas!$T$1757:$T$2765,Indicadores!A81,Ofertas!$AG$1757:$AG$2765,Indicadores!$B$75)</f>
        <v>0</v>
      </c>
      <c r="F81" s="19">
        <f t="shared" si="98"/>
        <v>0</v>
      </c>
      <c r="G81" s="7">
        <f>SUMIFS(Ofertas!$X$1757:$X$2765,Ofertas!$T$1757:$T$2765,Indicadores!A81,Ofertas!$AG$1757:$AG$2765,Indicadores!$B$75)</f>
        <v>0</v>
      </c>
      <c r="H81" s="19">
        <f t="shared" si="99"/>
        <v>0</v>
      </c>
      <c r="J81" s="101" t="s">
        <v>158</v>
      </c>
      <c r="K81" s="22" t="s">
        <v>159</v>
      </c>
      <c r="L81" s="23">
        <f>COUNTIFS(Ofertas!$T$1757:$T$2765,Indicadores!J81,Ofertas!$AG$1757:$AG$2765,$K$75,Ofertas!$L$1757:$L$2765,Indicadores!$L$75)</f>
        <v>0</v>
      </c>
      <c r="M81" s="24">
        <f t="shared" si="100"/>
        <v>0</v>
      </c>
      <c r="N81" s="7">
        <f>SUMIFS(Ofertas!$W$1757:$W$2765,Ofertas!$T$1757:$T$2765,Indicadores!J81,Ofertas!$AG$1757:$AG$2765,Indicadores!$K$75,Ofertas!$L$1757:$L$2765,Indicadores!$L$75)</f>
        <v>0</v>
      </c>
      <c r="O81" s="28">
        <f t="shared" si="101"/>
        <v>0</v>
      </c>
      <c r="P81" s="7">
        <f>SUMIFS(Ofertas!$X$1757:$X$2765,Ofertas!$T$1757:$T$2765,Indicadores!J81,Ofertas!$AG$1757:$AG$2765,Indicadores!$K$75,Ofertas!$L$1757:$L$2765,Indicadores!$L$75)</f>
        <v>0</v>
      </c>
      <c r="Q81" s="24">
        <f t="shared" si="102"/>
        <v>0</v>
      </c>
      <c r="S81" s="101" t="s">
        <v>158</v>
      </c>
      <c r="T81" s="22" t="s">
        <v>159</v>
      </c>
      <c r="U81" s="23">
        <f>COUNTIFS(Ofertas!$T$1757:$T$2765,Indicadores!S81,Ofertas!$AG$1757:$AG$2765,$T$75,Ofertas!$L$1757:$L$2765,Indicadores!$U$75)</f>
        <v>0</v>
      </c>
      <c r="V81" s="24">
        <f t="shared" si="103"/>
        <v>0</v>
      </c>
      <c r="W81" s="7">
        <f>SUMIFS(Ofertas!$W$1757:$W$2765,Ofertas!$T$1757:$T$2765,Indicadores!S81,Ofertas!$AG$1757:$AG$2765,Indicadores!$T$75,Ofertas!$L$1757:$L$2765,Indicadores!$U$75)</f>
        <v>0</v>
      </c>
      <c r="X81" s="28">
        <f t="shared" si="104"/>
        <v>0</v>
      </c>
      <c r="Y81" s="7">
        <f>SUMIFS(Ofertas!$X$1870:$X$2765,Ofertas!$T$1870:$T$2765,Indicadores!S81,Ofertas!$AG$1870:$AG$2765,Indicadores!$T$75,Ofertas!$L$1870:$L$2765,Indicadores!$U$75)</f>
        <v>0</v>
      </c>
      <c r="Z81" s="24">
        <f t="shared" si="105"/>
        <v>0</v>
      </c>
      <c r="AB81" s="101" t="s">
        <v>158</v>
      </c>
      <c r="AC81" s="22" t="s">
        <v>159</v>
      </c>
      <c r="AD81" s="23">
        <f>COUNTIFS(Ofertas!$T$1757:$T$2765,Indicadores!AB81,Ofertas!$AG$1757:$AG$2765,$AC$75,Ofertas!$L$1757:$L$2765,Indicadores!$AD$75)</f>
        <v>0</v>
      </c>
      <c r="AE81" s="24">
        <f t="shared" si="106"/>
        <v>0</v>
      </c>
      <c r="AF81" s="7">
        <f>SUMIFS(Ofertas!$W$1757:$W$2765,Ofertas!$T$1757:$T$2765,Indicadores!AB81,Ofertas!$AG$1757:$AG$2765,Indicadores!$AC$75,Ofertas!$L$1757:$L$2765,Indicadores!$AD$75)</f>
        <v>0</v>
      </c>
      <c r="AG81" s="28">
        <f t="shared" si="107"/>
        <v>0</v>
      </c>
      <c r="AH81" s="7">
        <f>SUMIFS(Ofertas!$X$1870:$X$2765,Ofertas!$T$1870:$T$2765,Indicadores!AB81,Ofertas!$AG$1870:$AG$2765,Indicadores!$AC$75,Ofertas!$L$1870:$L$2765,Indicadores!$AD$75)</f>
        <v>0</v>
      </c>
      <c r="AI81" s="24">
        <f t="shared" si="108"/>
        <v>0</v>
      </c>
      <c r="AK81" s="101"/>
      <c r="AL81" s="22"/>
      <c r="AM81" s="23"/>
      <c r="AN81" s="24"/>
      <c r="AO81" s="7"/>
      <c r="AP81" s="28"/>
      <c r="AQ81" s="7"/>
      <c r="AR81" s="24"/>
    </row>
    <row r="82" spans="1:50" ht="13.9">
      <c r="A82" s="101" t="s">
        <v>64</v>
      </c>
      <c r="B82" s="22" t="s">
        <v>9412</v>
      </c>
      <c r="C82" s="23">
        <f>COUNTIFS(Ofertas!$T$1757:$T$2765,Indicadores!A82,Ofertas!$AG$1757:$AG$2765,$B$75)</f>
        <v>0</v>
      </c>
      <c r="D82" s="19">
        <f t="shared" si="97"/>
        <v>0</v>
      </c>
      <c r="E82" s="7">
        <f>SUMIFS(Ofertas!$W$1757:$W$2765,Ofertas!$T$1757:$T$2765,Indicadores!A82,Ofertas!$AG$1757:$AG$2765,Indicadores!$B$75)</f>
        <v>0</v>
      </c>
      <c r="F82" s="19">
        <f t="shared" si="98"/>
        <v>0</v>
      </c>
      <c r="G82" s="7">
        <f>SUMIFS(Ofertas!$X$1757:$X$2765,Ofertas!$T$1757:$T$2765,Indicadores!A82,Ofertas!$AG$1757:$AG$2765,Indicadores!$B$75)</f>
        <v>0</v>
      </c>
      <c r="H82" s="19">
        <f t="shared" si="99"/>
        <v>0</v>
      </c>
      <c r="J82" s="101" t="s">
        <v>64</v>
      </c>
      <c r="K82" s="22" t="s">
        <v>9412</v>
      </c>
      <c r="L82" s="23">
        <f>COUNTIFS(Ofertas!$T$1757:$T$2765,Indicadores!J82,Ofertas!$AG$1757:$AG$2765,$K$75,Ofertas!$L$1757:$L$2765,Indicadores!$L$75)</f>
        <v>0</v>
      </c>
      <c r="M82" s="24">
        <f t="shared" si="100"/>
        <v>0</v>
      </c>
      <c r="N82" s="7">
        <f>SUMIFS(Ofertas!$W$1757:$W$2765,Ofertas!$T$1757:$T$2765,Indicadores!J82,Ofertas!$AG$1757:$AG$2765,Indicadores!$K$75,Ofertas!$L$1757:$L$2765,Indicadores!$L$75)</f>
        <v>0</v>
      </c>
      <c r="O82" s="28">
        <f t="shared" si="101"/>
        <v>0</v>
      </c>
      <c r="P82" s="7">
        <f>SUMIFS(Ofertas!$X$1757:$X$2765,Ofertas!$T$1757:$T$2765,Indicadores!J82,Ofertas!$AG$1757:$AG$2765,Indicadores!$K$75,Ofertas!$L$1757:$L$2765,Indicadores!$L$75)</f>
        <v>0</v>
      </c>
      <c r="Q82" s="24">
        <f t="shared" si="102"/>
        <v>0</v>
      </c>
      <c r="S82" s="101" t="s">
        <v>64</v>
      </c>
      <c r="T82" s="22" t="s">
        <v>9412</v>
      </c>
      <c r="U82" s="23">
        <f>COUNTIFS(Ofertas!$T$1757:$T$2765,Indicadores!S82,Ofertas!$AG$1757:$AG$2765,$T$75,Ofertas!$L$1757:$L$2765,Indicadores!$U$75)</f>
        <v>0</v>
      </c>
      <c r="V82" s="24">
        <f t="shared" si="103"/>
        <v>0</v>
      </c>
      <c r="W82" s="7">
        <f>SUMIFS(Ofertas!$W$1757:$W$2765,Ofertas!$T$1757:$T$2765,Indicadores!S82,Ofertas!$AG$1757:$AG$2765,Indicadores!$T$75,Ofertas!$L$1757:$L$2765,Indicadores!$U$75)</f>
        <v>0</v>
      </c>
      <c r="X82" s="28">
        <f t="shared" si="104"/>
        <v>0</v>
      </c>
      <c r="Y82" s="7">
        <f>SUMIFS(Ofertas!$X$1870:$X$2765,Ofertas!$T$1870:$T$2765,Indicadores!S82,Ofertas!$AG$1870:$AG$2765,Indicadores!$T$75,Ofertas!$L$1870:$L$2765,Indicadores!$U$75)</f>
        <v>0</v>
      </c>
      <c r="Z82" s="24">
        <f t="shared" si="105"/>
        <v>0</v>
      </c>
      <c r="AB82" s="101" t="s">
        <v>64</v>
      </c>
      <c r="AC82" s="22" t="s">
        <v>9412</v>
      </c>
      <c r="AD82" s="23">
        <f>COUNTIFS(Ofertas!$T$1757:$T$2765,Indicadores!AB82,Ofertas!$AG$1757:$AG$2765,$AC$75,Ofertas!$L$1757:$L$2765,Indicadores!$AD$75)</f>
        <v>0</v>
      </c>
      <c r="AE82" s="24">
        <f t="shared" si="106"/>
        <v>0</v>
      </c>
      <c r="AF82" s="7">
        <f>SUMIFS(Ofertas!$W$1757:$W$2765,Ofertas!$T$1757:$T$2765,Indicadores!AB82,Ofertas!$AG$1757:$AG$2765,Indicadores!$AC$75,Ofertas!$L$1757:$L$2765,Indicadores!$AD$75)</f>
        <v>0</v>
      </c>
      <c r="AG82" s="28">
        <f t="shared" si="107"/>
        <v>0</v>
      </c>
      <c r="AH82" s="7">
        <f>SUMIFS(Ofertas!$X$1870:$X$2765,Ofertas!$T$1870:$T$2765,Indicadores!AB82,Ofertas!$AG$1870:$AG$2765,Indicadores!$AC$75,Ofertas!$L$1870:$L$2765,Indicadores!$AD$75)</f>
        <v>0</v>
      </c>
      <c r="AI82" s="24">
        <f t="shared" si="108"/>
        <v>0</v>
      </c>
      <c r="AK82" s="101"/>
      <c r="AL82" s="22"/>
      <c r="AM82" s="23"/>
      <c r="AN82" s="24"/>
      <c r="AO82" s="7"/>
      <c r="AP82" s="28"/>
      <c r="AQ82" s="7"/>
      <c r="AR82" s="24"/>
    </row>
    <row r="83" spans="1:50" s="97" customFormat="1"/>
    <row r="84" spans="1:50" s="97" customFormat="1" ht="13.9">
      <c r="B84" s="98">
        <v>2019</v>
      </c>
      <c r="J84" s="99"/>
      <c r="K84" s="98">
        <v>2019</v>
      </c>
      <c r="L84" s="100" t="s">
        <v>120</v>
      </c>
      <c r="M84" s="398" t="s">
        <v>9392</v>
      </c>
      <c r="N84" s="399"/>
      <c r="O84" s="399"/>
      <c r="P84" s="399"/>
      <c r="Q84" s="400"/>
      <c r="S84" s="99"/>
      <c r="T84" s="98">
        <v>2019</v>
      </c>
      <c r="U84" s="100" t="s">
        <v>123</v>
      </c>
      <c r="V84" s="398" t="s">
        <v>9393</v>
      </c>
      <c r="W84" s="399"/>
      <c r="X84" s="399"/>
      <c r="Y84" s="399"/>
      <c r="Z84" s="400"/>
      <c r="AB84" s="99"/>
      <c r="AC84" s="98">
        <v>2019</v>
      </c>
      <c r="AD84" s="100" t="s">
        <v>129</v>
      </c>
      <c r="AE84" s="398" t="s">
        <v>9413</v>
      </c>
      <c r="AF84" s="399"/>
      <c r="AG84" s="399"/>
      <c r="AH84" s="399"/>
      <c r="AI84" s="400"/>
      <c r="AK84" s="99"/>
      <c r="AL84" s="98"/>
      <c r="AM84" s="100"/>
      <c r="AN84" s="398"/>
      <c r="AO84" s="399"/>
      <c r="AP84" s="399"/>
      <c r="AQ84" s="399"/>
      <c r="AR84" s="400"/>
    </row>
    <row r="85" spans="1:50" ht="13.9">
      <c r="B85" s="4" t="s">
        <v>9397</v>
      </c>
      <c r="C85" s="5" t="s">
        <v>9398</v>
      </c>
      <c r="D85" s="5" t="s">
        <v>9399</v>
      </c>
      <c r="E85" s="5" t="s">
        <v>9400</v>
      </c>
      <c r="F85" s="5" t="s">
        <v>9401</v>
      </c>
      <c r="G85" s="5" t="s">
        <v>9402</v>
      </c>
      <c r="H85" s="5" t="s">
        <v>9403</v>
      </c>
      <c r="J85" s="102"/>
      <c r="K85" s="4" t="s">
        <v>9397</v>
      </c>
      <c r="L85" s="5" t="s">
        <v>9398</v>
      </c>
      <c r="M85" s="5" t="s">
        <v>9399</v>
      </c>
      <c r="N85" s="5" t="s">
        <v>9400</v>
      </c>
      <c r="O85" s="5" t="s">
        <v>9401</v>
      </c>
      <c r="P85" s="5" t="s">
        <v>9402</v>
      </c>
      <c r="Q85" s="5" t="s">
        <v>9403</v>
      </c>
      <c r="S85" s="102"/>
      <c r="T85" s="4" t="s">
        <v>9397</v>
      </c>
      <c r="U85" s="5" t="s">
        <v>9398</v>
      </c>
      <c r="V85" s="5" t="s">
        <v>9399</v>
      </c>
      <c r="W85" s="5" t="s">
        <v>9400</v>
      </c>
      <c r="X85" s="5" t="s">
        <v>9401</v>
      </c>
      <c r="Y85" s="5" t="s">
        <v>9402</v>
      </c>
      <c r="Z85" s="5" t="s">
        <v>9403</v>
      </c>
      <c r="AB85" s="102"/>
      <c r="AC85" s="4" t="s">
        <v>9397</v>
      </c>
      <c r="AD85" s="5" t="s">
        <v>9398</v>
      </c>
      <c r="AE85" s="5" t="s">
        <v>9399</v>
      </c>
      <c r="AF85" s="5" t="s">
        <v>9400</v>
      </c>
      <c r="AG85" s="5" t="s">
        <v>9401</v>
      </c>
      <c r="AH85" s="5" t="s">
        <v>9402</v>
      </c>
      <c r="AI85" s="5" t="s">
        <v>9403</v>
      </c>
      <c r="AK85" s="102"/>
      <c r="AL85" s="4"/>
      <c r="AM85" s="5"/>
      <c r="AN85" s="5"/>
      <c r="AO85" s="5"/>
      <c r="AP85" s="5"/>
      <c r="AQ85" s="5"/>
      <c r="AR85" s="5"/>
    </row>
    <row r="86" spans="1:50" ht="13.9">
      <c r="B86" s="25" t="s">
        <v>9405</v>
      </c>
      <c r="C86" s="7">
        <f>SUM(C87:C91)</f>
        <v>91</v>
      </c>
      <c r="D86" s="19">
        <f>SUM(D87:D91)</f>
        <v>1</v>
      </c>
      <c r="E86" s="7">
        <f t="shared" ref="E86" si="109">SUM(E87:E91)</f>
        <v>258697.18124999999</v>
      </c>
      <c r="F86" s="19">
        <f>SUM(F87:F91)</f>
        <v>1</v>
      </c>
      <c r="G86" s="7">
        <f>SUM(G87:G91)</f>
        <v>10091.493230252001</v>
      </c>
      <c r="H86" s="19">
        <f t="shared" ref="H86" si="110">SUM(H87:H91)</f>
        <v>1</v>
      </c>
      <c r="J86" s="103"/>
      <c r="K86" s="25" t="s">
        <v>9405</v>
      </c>
      <c r="L86" s="7">
        <f>SUM(L87:L91)</f>
        <v>56</v>
      </c>
      <c r="M86" s="7">
        <f>SUM(M87:M91)</f>
        <v>100</v>
      </c>
      <c r="N86" s="7">
        <f t="shared" ref="N86:Q86" si="111">SUM(N87:N91)</f>
        <v>142099.18124999999</v>
      </c>
      <c r="O86" s="19">
        <f t="shared" si="111"/>
        <v>1</v>
      </c>
      <c r="P86" s="7">
        <f t="shared" si="111"/>
        <v>5316.9766092520003</v>
      </c>
      <c r="Q86" s="7">
        <f t="shared" si="111"/>
        <v>100</v>
      </c>
      <c r="S86" s="104"/>
      <c r="T86" s="25" t="s">
        <v>9405</v>
      </c>
      <c r="U86" s="7">
        <f>SUM(U87:U91)</f>
        <v>15</v>
      </c>
      <c r="V86" s="7">
        <f>SUM(V87:V91)</f>
        <v>100</v>
      </c>
      <c r="W86" s="7">
        <f t="shared" ref="W86:Z86" si="112">SUM(W87:W91)</f>
        <v>81567</v>
      </c>
      <c r="X86" s="19">
        <f t="shared" si="112"/>
        <v>1</v>
      </c>
      <c r="Y86" s="7">
        <f t="shared" si="112"/>
        <v>3452.6537435000005</v>
      </c>
      <c r="Z86" s="7">
        <f t="shared" si="112"/>
        <v>100.00000000000001</v>
      </c>
      <c r="AB86" s="104"/>
      <c r="AC86" s="25" t="s">
        <v>9405</v>
      </c>
      <c r="AD86" s="7">
        <f>SUM(AD87:AD91)</f>
        <v>20</v>
      </c>
      <c r="AE86" s="7">
        <f>SUM(AE87:AE91)</f>
        <v>100</v>
      </c>
      <c r="AF86" s="7">
        <f t="shared" ref="AF86:AI86" si="113">SUM(AF87:AF91)</f>
        <v>35031</v>
      </c>
      <c r="AG86" s="19">
        <f t="shared" si="113"/>
        <v>1</v>
      </c>
      <c r="AH86" s="7">
        <f t="shared" si="113"/>
        <v>1321.8628775</v>
      </c>
      <c r="AI86" s="7">
        <f t="shared" si="113"/>
        <v>99.999999999999986</v>
      </c>
      <c r="AK86" s="104"/>
      <c r="AL86" s="25"/>
      <c r="AM86" s="7"/>
      <c r="AN86" s="7"/>
      <c r="AO86" s="7"/>
      <c r="AP86" s="19"/>
      <c r="AQ86" s="7"/>
      <c r="AR86" s="7"/>
      <c r="AT86" s="107"/>
      <c r="AU86" s="107"/>
      <c r="AV86" s="107"/>
      <c r="AW86" s="108"/>
      <c r="AX86" s="108"/>
    </row>
    <row r="87" spans="1:50" ht="13.9">
      <c r="A87" s="101" t="s">
        <v>3</v>
      </c>
      <c r="B87" s="22" t="s">
        <v>9407</v>
      </c>
      <c r="C87" s="23">
        <f>COUNTIFS(Ofertas!$T$22:$T$2765,Indicadores!A87,Ofertas!$AG$22:$AG$2765,$B$84)</f>
        <v>36</v>
      </c>
      <c r="D87" s="19">
        <f>C87/$C$86</f>
        <v>0.39560439560439559</v>
      </c>
      <c r="E87" s="7">
        <f>SUMIFS(Ofertas!$W$748:$W$2765,Ofertas!$T$748:$T$2765,Indicadores!A87,Ofertas!$AG$748:$AG$2765,Indicadores!$B$84)</f>
        <v>57287.181250000001</v>
      </c>
      <c r="F87" s="19">
        <f>E87/$E$86</f>
        <v>0.22144493795098125</v>
      </c>
      <c r="G87" s="7">
        <f>SUMIFS(Ofertas!$X$748:$X$2765,Ofertas!$T$748:$T$2765,Indicadores!A87,Ofertas!$AG$748:$AG$2765,Indicadores!$B$84)</f>
        <v>2255.1783422200001</v>
      </c>
      <c r="H87" s="19">
        <f>G87/$G$86</f>
        <v>0.22347320567579518</v>
      </c>
      <c r="J87" s="101" t="s">
        <v>3</v>
      </c>
      <c r="K87" s="22" t="s">
        <v>9407</v>
      </c>
      <c r="L87" s="23">
        <f>COUNTIFS(Ofertas!$T$748:$T$2765,Indicadores!J87,Ofertas!$AG$748:$AG$2765,$K$84,Ofertas!$L$748:$L$2765,Indicadores!$L$84)</f>
        <v>26</v>
      </c>
      <c r="M87" s="24">
        <f>L87/$L$86*100</f>
        <v>46.428571428571431</v>
      </c>
      <c r="N87" s="7">
        <f>SUMIFS(Ofertas!$W$748:$W$2765,Ofertas!$T$748:$T$2765,Indicadores!J87,Ofertas!$AG$748:$AG$2765,Indicadores!$K$84,Ofertas!$L$748:$L$2765,Indicadores!$L$84)</f>
        <v>49173.181250000001</v>
      </c>
      <c r="O87" s="28">
        <f>N87/$N$86</f>
        <v>0.34604830807214804</v>
      </c>
      <c r="P87" s="7">
        <f>SUMIFS(Ofertas!$X$748:$X$2765,Ofertas!$T$748:$T$2765,Indicadores!J87,Ofertas!$AG$748:$AG$2765,Indicadores!$K$84,Ofertas!$L$748:$L$2765,Indicadores!$L$84)</f>
        <v>1985.8297541799998</v>
      </c>
      <c r="Q87" s="24">
        <f>P87/$P$86*100</f>
        <v>37.348852555124729</v>
      </c>
      <c r="S87" s="101" t="s">
        <v>3</v>
      </c>
      <c r="T87" s="22" t="s">
        <v>9407</v>
      </c>
      <c r="U87" s="23">
        <f>COUNTIFS(Ofertas!$T$748:$T$2765,Indicadores!S87,Ofertas!$AG$748:$AG$2765,$T$84,Ofertas!$L$748:$L$2765,Indicadores!$U$84)</f>
        <v>2</v>
      </c>
      <c r="V87" s="24">
        <f>U87/$U$86*100</f>
        <v>13.333333333333334</v>
      </c>
      <c r="W87" s="7">
        <f>SUMIFS(Ofertas!$W$748:$W$2765,Ofertas!$T$748:$T$2765,Indicadores!S87,Ofertas!$AG$748:$AG$2765,Indicadores!$T$84,Ofertas!$L$748:$L$2765,Indicadores!$U$84)</f>
        <v>1646</v>
      </c>
      <c r="X87" s="28">
        <f>W87/$W$86</f>
        <v>2.0179729547488569E-2</v>
      </c>
      <c r="Y87" s="7">
        <f>SUMIFS(Ofertas!$X$748:$X$2765,Ofertas!$T$748:$T$2765,Indicadores!S87,Ofertas!$AG$748:$AG$2765,Indicadores!$T$84,Ofertas!$L$748:$L$2765,Indicadores!$U$84)</f>
        <v>82.697280000000006</v>
      </c>
      <c r="Z87" s="24">
        <f>Y87/$Y$86*100</f>
        <v>2.3951802336300512</v>
      </c>
      <c r="AB87" s="101" t="s">
        <v>3</v>
      </c>
      <c r="AC87" s="22" t="s">
        <v>9407</v>
      </c>
      <c r="AD87" s="23">
        <f>COUNTIFS(Ofertas!$T$748:$T$2765,Indicadores!AB87,Ofertas!$AG$748:$AG$2765,$AC$84,Ofertas!$L$748:$L$2765,Indicadores!$AD$84)</f>
        <v>8</v>
      </c>
      <c r="AE87" s="24">
        <f>AD87/$AD$86*100</f>
        <v>40</v>
      </c>
      <c r="AF87" s="7">
        <f>SUMIFS(Ofertas!$W$748:$W$2765,Ofertas!$T$748:$T$2765,Indicadores!AB87,Ofertas!$AG$748:$AG$2765,Indicadores!$AC$84,Ofertas!$L$748:$L$2765,Indicadores!$AD$84)</f>
        <v>6468</v>
      </c>
      <c r="AG87" s="28">
        <f>AF87/$AF$86</f>
        <v>0.18463646484542262</v>
      </c>
      <c r="AH87" s="7">
        <f>SUMIFS(Ofertas!$X$748:$X$2765,Ofertas!$T$748:$T$2765,Indicadores!AB87,Ofertas!$AG$748:$AG$2765,Indicadores!$AC$84,Ofertas!$L$748:$L$2765,Indicadores!$AD$84)</f>
        <v>186.65130804</v>
      </c>
      <c r="AI87" s="24">
        <f>AH87/$AH$86*100</f>
        <v>14.120323009070962</v>
      </c>
      <c r="AK87" s="101"/>
      <c r="AL87" s="22"/>
      <c r="AM87" s="23"/>
      <c r="AN87" s="24"/>
      <c r="AO87" s="7"/>
      <c r="AP87" s="28"/>
      <c r="AQ87" s="7"/>
      <c r="AR87" s="24"/>
    </row>
    <row r="88" spans="1:50" ht="13.9">
      <c r="A88" s="101" t="s">
        <v>165</v>
      </c>
      <c r="B88" s="22" t="s">
        <v>9409</v>
      </c>
      <c r="C88" s="23">
        <f>COUNTIFS(Ofertas!$T$22:$T$2765,Indicadores!A88,Ofertas!$AG$22:$AG$2765,$B$84)</f>
        <v>54</v>
      </c>
      <c r="D88" s="19">
        <f>C88/$C$86</f>
        <v>0.59340659340659341</v>
      </c>
      <c r="E88" s="7">
        <f>SUMIFS(Ofertas!$W$748:$W$2765,Ofertas!$T$748:$T$2765,Indicadores!A88,Ofertas!$AG$748:$AG$2765,Indicadores!$B$84)</f>
        <v>201409</v>
      </c>
      <c r="F88" s="19">
        <f>E88/$E$86</f>
        <v>0.7785511965256483</v>
      </c>
      <c r="G88" s="7">
        <f>SUMIFS(Ofertas!$X$748:$X$2765,Ofertas!$T$748:$T$2765,Indicadores!A88,Ofertas!$AG$748:$AG$2765,Indicadores!$B$84)</f>
        <v>7836.3148880320014</v>
      </c>
      <c r="H88" s="19">
        <f>G88/$G$86</f>
        <v>0.77652679432420491</v>
      </c>
      <c r="J88" s="101" t="s">
        <v>165</v>
      </c>
      <c r="K88" s="22" t="s">
        <v>9409</v>
      </c>
      <c r="L88" s="23">
        <f>COUNTIFS(Ofertas!$T$748:$T$2765,Indicadores!J88,Ofertas!$AG$748:$AG$2765,$K$84,Ofertas!$L$748:$L$2765,Indicadores!$L$84)</f>
        <v>30</v>
      </c>
      <c r="M88" s="24">
        <f>L88/$L$86*100</f>
        <v>53.571428571428569</v>
      </c>
      <c r="N88" s="7">
        <f>SUMIFS(Ofertas!$W$748:$W$2765,Ofertas!$T$748:$T$2765,Indicadores!J88,Ofertas!$AG$748:$AG$2765,Indicadores!$K$84,Ofertas!$L$748:$L$2765,Indicadores!$L$84)</f>
        <v>92926</v>
      </c>
      <c r="O88" s="28">
        <f>N88/$N$86</f>
        <v>0.65395169192785196</v>
      </c>
      <c r="P88" s="7">
        <f>SUMIFS(Ofertas!$X$748:$X$2765,Ofertas!$T$748:$T$2765,Indicadores!J88,Ofertas!$AG$748:$AG$2765,Indicadores!$K$84,Ofertas!$L$748:$L$2765,Indicadores!$L$84)</f>
        <v>3331.1468550720006</v>
      </c>
      <c r="Q88" s="24">
        <f>P88/$P$86*100</f>
        <v>62.651147444875278</v>
      </c>
      <c r="S88" s="101" t="s">
        <v>165</v>
      </c>
      <c r="T88" s="22" t="s">
        <v>9409</v>
      </c>
      <c r="U88" s="23">
        <f>COUNTIFS(Ofertas!$T$748:$T$2765,Indicadores!S88,Ofertas!$AG$748:$AG$2765,$T$84,Ofertas!$L$748:$L$2765,Indicadores!$U$84)</f>
        <v>12</v>
      </c>
      <c r="V88" s="24">
        <f>U88/$U$86*100</f>
        <v>80</v>
      </c>
      <c r="W88" s="7">
        <f>SUMIFS(Ofertas!$W$748:$W$2765,Ofertas!$T$748:$T$2765,Indicadores!S88,Ofertas!$AG$748:$AG$2765,Indicadores!$T$84,Ofertas!$L$748:$L$2765,Indicadores!$U$84)</f>
        <v>79920</v>
      </c>
      <c r="X88" s="28">
        <f>W88/$W$86</f>
        <v>0.97980801059251899</v>
      </c>
      <c r="Y88" s="7">
        <f>SUMIFS(Ofertas!$X$748:$X$2765,Ofertas!$T$748:$T$2765,Indicadores!S88,Ofertas!$AG$748:$AG$2765,Indicadores!$T$84,Ofertas!$L$748:$L$2765,Indicadores!$U$84)</f>
        <v>3369.9564635000006</v>
      </c>
      <c r="Z88" s="24">
        <f>Y88/$Y$86*100</f>
        <v>97.604819766369957</v>
      </c>
      <c r="AB88" s="101" t="s">
        <v>165</v>
      </c>
      <c r="AC88" s="22" t="s">
        <v>9409</v>
      </c>
      <c r="AD88" s="23">
        <f>COUNTIFS(Ofertas!$T$748:$T$2765,Indicadores!AB88,Ofertas!$AG$748:$AG$2765,$AC$84,Ofertas!$L$748:$L$2765,Indicadores!$AD$84)</f>
        <v>12</v>
      </c>
      <c r="AE88" s="24">
        <f>AD88/$AD$86*100</f>
        <v>60</v>
      </c>
      <c r="AF88" s="7">
        <f>SUMIFS(Ofertas!$W$748:$W$2765,Ofertas!$T$748:$T$2765,Indicadores!AB88,Ofertas!$AG$748:$AG$2765,Indicadores!$AC$84,Ofertas!$L$748:$L$2765,Indicadores!$AD$84)</f>
        <v>28563</v>
      </c>
      <c r="AG88" s="28">
        <f>AF88/$AF$86</f>
        <v>0.81536353515457738</v>
      </c>
      <c r="AH88" s="7">
        <f>SUMIFS(Ofertas!$X$748:$X$2765,Ofertas!$T$748:$T$2765,Indicadores!AB88,Ofertas!$AG$748:$AG$2765,Indicadores!$AC$84,Ofertas!$L$748:$L$2765,Indicadores!$AD$84)</f>
        <v>1135.21156946</v>
      </c>
      <c r="AI88" s="24">
        <f>AH88/$AH$86*100</f>
        <v>85.879676990929028</v>
      </c>
      <c r="AK88" s="101"/>
      <c r="AL88" s="22"/>
      <c r="AM88" s="23"/>
      <c r="AN88" s="24"/>
      <c r="AO88" s="7"/>
      <c r="AP88" s="28"/>
      <c r="AQ88" s="7"/>
      <c r="AR88" s="24"/>
    </row>
    <row r="89" spans="1:50" ht="13.9">
      <c r="A89" s="101" t="s">
        <v>168</v>
      </c>
      <c r="B89" s="22" t="s">
        <v>9411</v>
      </c>
      <c r="C89" s="23">
        <f>COUNTIFS(Ofertas!$T$22:$T$2765,Indicadores!A89,Ofertas!$AG$22:$AG$2765,$B$84)</f>
        <v>1</v>
      </c>
      <c r="D89" s="19">
        <f>C89/$C$86</f>
        <v>1.098901098901099E-2</v>
      </c>
      <c r="E89" s="7">
        <f>SUMIFS(Ofertas!$W$748:$W$2765,Ofertas!$T$748:$T$2765,Indicadores!A89,Ofertas!$AG$748:$AG$2765,Indicadores!$B$84)</f>
        <v>1</v>
      </c>
      <c r="F89" s="19">
        <f>E89/$E$86</f>
        <v>3.8655233704831878E-6</v>
      </c>
      <c r="G89" s="7">
        <f>SUMIFS(Ofertas!$X$748:$X$2765,Ofertas!$T$748:$T$2765,Indicadores!A89,Ofertas!$AG$748:$AG$2765,Indicadores!$B$84)</f>
        <v>0</v>
      </c>
      <c r="H89" s="19">
        <f>G89/$G$86</f>
        <v>0</v>
      </c>
      <c r="J89" s="101" t="s">
        <v>168</v>
      </c>
      <c r="K89" s="22" t="s">
        <v>9411</v>
      </c>
      <c r="L89" s="23">
        <f>COUNTIFS(Ofertas!$T$748:$T$2765,Indicadores!J89,Ofertas!$AG$748:$AG$2765,$K$84,Ofertas!$L$748:$L$2765,Indicadores!$L$84)</f>
        <v>0</v>
      </c>
      <c r="M89" s="24">
        <f>L89/$L$86*100</f>
        <v>0</v>
      </c>
      <c r="N89" s="7">
        <f>SUMIFS(Ofertas!$W$748:$W$2765,Ofertas!$T$748:$T$2765,Indicadores!J89,Ofertas!$AG$748:$AG$2765,Indicadores!$K$84,Ofertas!$L$748:$L$2765,Indicadores!$L$84)</f>
        <v>0</v>
      </c>
      <c r="O89" s="28">
        <f>N89/$N$86</f>
        <v>0</v>
      </c>
      <c r="P89" s="7">
        <f>SUMIFS(Ofertas!$X$748:$X$2765,Ofertas!$T$748:$T$2765,Indicadores!J89,Ofertas!$AG$748:$AG$2765,Indicadores!$K$84,Ofertas!$L$748:$L$2765,Indicadores!$L$84)</f>
        <v>0</v>
      </c>
      <c r="Q89" s="24">
        <f>P89/$P$86*100</f>
        <v>0</v>
      </c>
      <c r="S89" s="101" t="s">
        <v>168</v>
      </c>
      <c r="T89" s="22" t="s">
        <v>9411</v>
      </c>
      <c r="U89" s="23">
        <f>COUNTIFS(Ofertas!$T$748:$T$2765,Indicadores!S89,Ofertas!$AG$748:$AG$2765,$T$84,Ofertas!$L$748:$L$2765,Indicadores!$U$84)</f>
        <v>1</v>
      </c>
      <c r="V89" s="24">
        <f>U89/$U$86*100</f>
        <v>6.666666666666667</v>
      </c>
      <c r="W89" s="7">
        <f>SUMIFS(Ofertas!$W$748:$W$2765,Ofertas!$T$748:$T$2765,Indicadores!S89,Ofertas!$AG$748:$AG$2765,Indicadores!$T$84,Ofertas!$L$748:$L$2765,Indicadores!$U$84)</f>
        <v>1</v>
      </c>
      <c r="X89" s="28">
        <f>W89/$W$86</f>
        <v>1.2259859992398887E-5</v>
      </c>
      <c r="Y89" s="7">
        <f>SUMIFS(Ofertas!$X$748:$X$2765,Ofertas!$T$748:$T$2765,Indicadores!S89,Ofertas!$AG$748:$AG$2765,Indicadores!$T$84,Ofertas!$L$748:$L$2765,Indicadores!$U$84)</f>
        <v>0</v>
      </c>
      <c r="Z89" s="24">
        <f>Y89/$Y$86*100</f>
        <v>0</v>
      </c>
      <c r="AB89" s="101" t="s">
        <v>168</v>
      </c>
      <c r="AC89" s="22" t="s">
        <v>9411</v>
      </c>
      <c r="AD89" s="23">
        <f>COUNTIFS(Ofertas!$T$748:$T$2765,Indicadores!AB89,Ofertas!$AG$748:$AG$2765,$AC$84,Ofertas!$L$748:$L$2765,Indicadores!$AD$84)</f>
        <v>0</v>
      </c>
      <c r="AE89" s="24">
        <f>AD89/$AD$86*100</f>
        <v>0</v>
      </c>
      <c r="AF89" s="7">
        <f>SUMIFS(Ofertas!$W$748:$W$2765,Ofertas!$T$748:$T$2765,Indicadores!AB89,Ofertas!$AG$748:$AG$2765,Indicadores!$AC$84,Ofertas!$L$748:$L$2765,Indicadores!$AD$84)</f>
        <v>0</v>
      </c>
      <c r="AG89" s="28">
        <f>AF89/$AF$86</f>
        <v>0</v>
      </c>
      <c r="AH89" s="7">
        <f>SUMIFS(Ofertas!$X$748:$X$2765,Ofertas!$T$748:$T$2765,Indicadores!AB89,Ofertas!$AG$748:$AG$2765,Indicadores!$AC$84,Ofertas!$L$748:$L$2765,Indicadores!$AD$84)</f>
        <v>0</v>
      </c>
      <c r="AI89" s="24">
        <f>AH89/$AH$86*100</f>
        <v>0</v>
      </c>
      <c r="AK89" s="101"/>
      <c r="AL89" s="22"/>
      <c r="AM89" s="23"/>
      <c r="AN89" s="24"/>
      <c r="AO89" s="7"/>
      <c r="AP89" s="28"/>
      <c r="AQ89" s="7"/>
      <c r="AR89" s="24"/>
    </row>
    <row r="90" spans="1:50" ht="13.9">
      <c r="A90" s="101" t="s">
        <v>158</v>
      </c>
      <c r="B90" s="22" t="s">
        <v>159</v>
      </c>
      <c r="C90" s="23">
        <f>COUNTIFS(Ofertas!$T$22:$T$2765,Indicadores!A90,Ofertas!$AG$22:$AG$2765,$B$84)</f>
        <v>0</v>
      </c>
      <c r="D90" s="19">
        <f>C90/$C$86</f>
        <v>0</v>
      </c>
      <c r="E90" s="7">
        <f>SUMIFS(Ofertas!$W$748:$W$2765,Ofertas!$T$748:$T$2765,Indicadores!A90,Ofertas!$AG$748:$AG$2765,Indicadores!$B$84)</f>
        <v>0</v>
      </c>
      <c r="F90" s="19">
        <f>E90/$E$86</f>
        <v>0</v>
      </c>
      <c r="G90" s="7">
        <f>SUMIFS(Ofertas!$X$748:$X$2765,Ofertas!$T$748:$T$2765,Indicadores!A90,Ofertas!$AG$748:$AG$2765,Indicadores!$B$84)</f>
        <v>0</v>
      </c>
      <c r="H90" s="19">
        <f>G90/$G$86</f>
        <v>0</v>
      </c>
      <c r="J90" s="101" t="s">
        <v>158</v>
      </c>
      <c r="K90" s="22" t="s">
        <v>159</v>
      </c>
      <c r="L90" s="23">
        <f>COUNTIFS(Ofertas!$T$748:$T$2765,Indicadores!J90,Ofertas!$AG$748:$AG$2765,$K$84,Ofertas!$L$748:$L$2765,Indicadores!$L$84)</f>
        <v>0</v>
      </c>
      <c r="M90" s="24">
        <f>L90/$L$86*100</f>
        <v>0</v>
      </c>
      <c r="N90" s="7">
        <f>SUMIFS(Ofertas!$W$748:$W$2765,Ofertas!$T$748:$T$2765,Indicadores!J90,Ofertas!$AG$748:$AG$2765,Indicadores!$K$84,Ofertas!$L$748:$L$2765,Indicadores!$L$84)</f>
        <v>0</v>
      </c>
      <c r="O90" s="28">
        <f>N90/$N$86</f>
        <v>0</v>
      </c>
      <c r="P90" s="7">
        <f>SUMIFS(Ofertas!$X$748:$X$2765,Ofertas!$T$748:$T$2765,Indicadores!J90,Ofertas!$AG$748:$AG$2765,Indicadores!$K$84,Ofertas!$L$748:$L$2765,Indicadores!$L$84)</f>
        <v>0</v>
      </c>
      <c r="Q90" s="24">
        <f>P90/$P$86*100</f>
        <v>0</v>
      </c>
      <c r="S90" s="101" t="s">
        <v>158</v>
      </c>
      <c r="T90" s="22" t="s">
        <v>159</v>
      </c>
      <c r="U90" s="23">
        <f>COUNTIFS(Ofertas!$T$748:$T$2765,Indicadores!S90,Ofertas!$AG$748:$AG$2765,$T$84,Ofertas!$L$748:$L$2765,Indicadores!$U$84)</f>
        <v>0</v>
      </c>
      <c r="V90" s="24">
        <f>U90/$U$86*100</f>
        <v>0</v>
      </c>
      <c r="W90" s="7">
        <f>SUMIFS(Ofertas!$W$748:$W$2765,Ofertas!$T$748:$T$2765,Indicadores!S90,Ofertas!$AG$748:$AG$2765,Indicadores!$T$84,Ofertas!$L$748:$L$2765,Indicadores!$U$84)</f>
        <v>0</v>
      </c>
      <c r="X90" s="28">
        <f>W90/$W$86</f>
        <v>0</v>
      </c>
      <c r="Y90" s="7">
        <f>SUMIFS(Ofertas!$X$748:$X$2765,Ofertas!$T$748:$T$2765,Indicadores!S90,Ofertas!$AG$748:$AG$2765,Indicadores!$T$84,Ofertas!$L$748:$L$2765,Indicadores!$U$84)</f>
        <v>0</v>
      </c>
      <c r="Z90" s="24">
        <f>Y90/$Y$86*100</f>
        <v>0</v>
      </c>
      <c r="AB90" s="101" t="s">
        <v>158</v>
      </c>
      <c r="AC90" s="22" t="s">
        <v>159</v>
      </c>
      <c r="AD90" s="23">
        <f>COUNTIFS(Ofertas!$T$748:$T$2765,Indicadores!AB90,Ofertas!$AG$748:$AG$2765,$AC$84,Ofertas!$L$748:$L$2765,Indicadores!$AD$84)</f>
        <v>0</v>
      </c>
      <c r="AE90" s="24">
        <f>AD90/$AD$86*100</f>
        <v>0</v>
      </c>
      <c r="AF90" s="7">
        <f>SUMIFS(Ofertas!$W$748:$W$2765,Ofertas!$T$748:$T$2765,Indicadores!AB90,Ofertas!$AG$748:$AG$2765,Indicadores!$AC$84,Ofertas!$L$748:$L$2765,Indicadores!$AD$84)</f>
        <v>0</v>
      </c>
      <c r="AG90" s="28">
        <f>AF90/$AF$86</f>
        <v>0</v>
      </c>
      <c r="AH90" s="7">
        <f>SUMIFS(Ofertas!$X$748:$X$2765,Ofertas!$T$748:$T$2765,Indicadores!AB90,Ofertas!$AG$748:$AG$2765,Indicadores!$AC$84,Ofertas!$L$748:$L$2765,Indicadores!$AD$84)</f>
        <v>0</v>
      </c>
      <c r="AI90" s="24">
        <f>AH90/$AH$86*100</f>
        <v>0</v>
      </c>
      <c r="AK90" s="101"/>
      <c r="AL90" s="22"/>
      <c r="AM90" s="23"/>
      <c r="AN90" s="24"/>
      <c r="AO90" s="7"/>
      <c r="AP90" s="28"/>
      <c r="AQ90" s="7"/>
      <c r="AR90" s="24"/>
    </row>
    <row r="91" spans="1:50" ht="13.9">
      <c r="A91" s="101" t="s">
        <v>64</v>
      </c>
      <c r="B91" s="22" t="s">
        <v>9412</v>
      </c>
      <c r="C91" s="23">
        <f>COUNTIFS(Ofertas!$T$22:$T$2765,Indicadores!A91,Ofertas!$AG$22:$AG$2765,$B$84)</f>
        <v>0</v>
      </c>
      <c r="D91" s="19">
        <f>C91/$C$86</f>
        <v>0</v>
      </c>
      <c r="E91" s="7">
        <f>SUMIFS(Ofertas!$W$748:$W$2765,Ofertas!$T$748:$T$2765,Indicadores!A91,Ofertas!$AG$748:$AG$2765,Indicadores!$B$84)</f>
        <v>0</v>
      </c>
      <c r="F91" s="19">
        <f>E91/$E$86</f>
        <v>0</v>
      </c>
      <c r="G91" s="7">
        <f>SUMIFS(Ofertas!$X$748:$X$2765,Ofertas!$T$748:$T$2765,Indicadores!A91,Ofertas!$AG$748:$AG$2765,Indicadores!$B$84)</f>
        <v>0</v>
      </c>
      <c r="H91" s="19">
        <f>G91/$G$86</f>
        <v>0</v>
      </c>
      <c r="J91" s="101" t="s">
        <v>64</v>
      </c>
      <c r="K91" s="22" t="s">
        <v>9412</v>
      </c>
      <c r="L91" s="23">
        <f>COUNTIFS(Ofertas!$T$748:$T$2765,Indicadores!J91,Ofertas!$AG$748:$AG$2765,$K$84,Ofertas!$L$748:$L$2765,Indicadores!$L$84)</f>
        <v>0</v>
      </c>
      <c r="M91" s="24">
        <f>L91/$L$86*100</f>
        <v>0</v>
      </c>
      <c r="N91" s="7">
        <f>SUMIFS(Ofertas!$W$748:$W$2765,Ofertas!$T$748:$T$2765,Indicadores!J91,Ofertas!$AG$748:$AG$2765,Indicadores!$K$84,Ofertas!$L$748:$L$2765,Indicadores!$L$84)</f>
        <v>0</v>
      </c>
      <c r="O91" s="28">
        <f>N91/$N$86</f>
        <v>0</v>
      </c>
      <c r="P91" s="7">
        <f>SUMIFS(Ofertas!$X$748:$X$2765,Ofertas!$T$748:$T$2765,Indicadores!J91,Ofertas!$AG$748:$AG$2765,Indicadores!$K$84,Ofertas!$L$748:$L$2765,Indicadores!$L$84)</f>
        <v>0</v>
      </c>
      <c r="Q91" s="24">
        <f>P91/$P$86*100</f>
        <v>0</v>
      </c>
      <c r="S91" s="101" t="s">
        <v>64</v>
      </c>
      <c r="T91" s="22" t="s">
        <v>9412</v>
      </c>
      <c r="U91" s="23">
        <f>COUNTIFS(Ofertas!$T$748:$T$2765,Indicadores!S91,Ofertas!$AG$748:$AG$2765,$T$84,Ofertas!$L$748:$L$2765,Indicadores!$U$84)</f>
        <v>0</v>
      </c>
      <c r="V91" s="24">
        <f>U91/$U$86*100</f>
        <v>0</v>
      </c>
      <c r="W91" s="7">
        <f>SUMIFS(Ofertas!$W$748:$W$2765,Ofertas!$T$748:$T$2765,Indicadores!S91,Ofertas!$AG$748:$AG$2765,Indicadores!$T$84,Ofertas!$L$748:$L$2765,Indicadores!$U$84)</f>
        <v>0</v>
      </c>
      <c r="X91" s="28">
        <f>W91/$W$86</f>
        <v>0</v>
      </c>
      <c r="Y91" s="7">
        <f>SUMIFS(Ofertas!$X$748:$X$2765,Ofertas!$T$748:$T$2765,Indicadores!S91,Ofertas!$AG$748:$AG$2765,Indicadores!$T$84,Ofertas!$L$748:$L$2765,Indicadores!$U$84)</f>
        <v>0</v>
      </c>
      <c r="Z91" s="24">
        <f>Y91/$Y$86*100</f>
        <v>0</v>
      </c>
      <c r="AB91" s="101" t="s">
        <v>64</v>
      </c>
      <c r="AC91" s="22" t="s">
        <v>9412</v>
      </c>
      <c r="AD91" s="23">
        <f>COUNTIFS(Ofertas!$T$748:$T$2765,Indicadores!AB91,Ofertas!$AG$748:$AG$2765,$AC$84,Ofertas!$L$748:$L$2765,Indicadores!$AD$84)</f>
        <v>0</v>
      </c>
      <c r="AE91" s="24">
        <f>AD91/$AD$86*100</f>
        <v>0</v>
      </c>
      <c r="AF91" s="7">
        <f>SUMIFS(Ofertas!$W$748:$W$2765,Ofertas!$T$748:$T$2765,Indicadores!AB91,Ofertas!$AG$748:$AG$2765,Indicadores!$AC$84,Ofertas!$L$748:$L$2765,Indicadores!$AD$84)</f>
        <v>0</v>
      </c>
      <c r="AG91" s="28">
        <f>AF91/$AF$86</f>
        <v>0</v>
      </c>
      <c r="AH91" s="7">
        <f>SUMIFS(Ofertas!$X$748:$X$2765,Ofertas!$T$748:$T$2765,Indicadores!AB91,Ofertas!$AG$748:$AG$2765,Indicadores!$AC$84,Ofertas!$L$748:$L$2765,Indicadores!$AD$84)</f>
        <v>0</v>
      </c>
      <c r="AI91" s="24">
        <f>AH91/$AH$86*100</f>
        <v>0</v>
      </c>
      <c r="AK91" s="101"/>
      <c r="AL91" s="22"/>
      <c r="AM91" s="23"/>
      <c r="AN91" s="24"/>
      <c r="AO91" s="7"/>
      <c r="AP91" s="28"/>
      <c r="AQ91" s="7"/>
      <c r="AR91" s="24"/>
    </row>
    <row r="92" spans="1:50" s="97" customFormat="1"/>
    <row r="93" spans="1:50" s="97" customFormat="1" ht="13.9">
      <c r="B93" s="98">
        <v>2020</v>
      </c>
      <c r="J93" s="99"/>
      <c r="K93" s="98">
        <v>2020</v>
      </c>
      <c r="L93" s="100" t="s">
        <v>120</v>
      </c>
      <c r="M93" s="398" t="s">
        <v>9392</v>
      </c>
      <c r="N93" s="399"/>
      <c r="O93" s="399"/>
      <c r="P93" s="399"/>
      <c r="Q93" s="400"/>
      <c r="S93" s="99"/>
      <c r="T93" s="98">
        <v>2020</v>
      </c>
      <c r="U93" s="100" t="s">
        <v>123</v>
      </c>
      <c r="V93" s="398" t="s">
        <v>9393</v>
      </c>
      <c r="W93" s="399"/>
      <c r="X93" s="399"/>
      <c r="Y93" s="399"/>
      <c r="Z93" s="400"/>
      <c r="AB93" s="99"/>
      <c r="AC93" s="98">
        <v>2020</v>
      </c>
      <c r="AD93" s="100" t="s">
        <v>129</v>
      </c>
      <c r="AE93" s="398" t="s">
        <v>9413</v>
      </c>
      <c r="AF93" s="399"/>
      <c r="AG93" s="399"/>
      <c r="AH93" s="399"/>
      <c r="AI93" s="400"/>
      <c r="AK93" s="99"/>
      <c r="AL93" s="98"/>
      <c r="AM93" s="100"/>
      <c r="AN93" s="398"/>
      <c r="AO93" s="399"/>
      <c r="AP93" s="399"/>
      <c r="AQ93" s="399"/>
      <c r="AR93" s="400"/>
    </row>
    <row r="94" spans="1:50" ht="13.9">
      <c r="B94" s="4" t="s">
        <v>9397</v>
      </c>
      <c r="C94" s="5" t="s">
        <v>9398</v>
      </c>
      <c r="D94" s="5" t="s">
        <v>9399</v>
      </c>
      <c r="E94" s="5" t="s">
        <v>9400</v>
      </c>
      <c r="F94" s="5" t="s">
        <v>9401</v>
      </c>
      <c r="G94" s="5" t="s">
        <v>9402</v>
      </c>
      <c r="H94" s="5" t="s">
        <v>9403</v>
      </c>
      <c r="J94" s="102"/>
      <c r="K94" s="4" t="s">
        <v>9397</v>
      </c>
      <c r="L94" s="5" t="s">
        <v>9398</v>
      </c>
      <c r="M94" s="5" t="s">
        <v>9399</v>
      </c>
      <c r="N94" s="5" t="s">
        <v>9400</v>
      </c>
      <c r="O94" s="5" t="s">
        <v>9401</v>
      </c>
      <c r="P94" s="5" t="s">
        <v>9402</v>
      </c>
      <c r="Q94" s="5" t="s">
        <v>9403</v>
      </c>
      <c r="S94" s="102"/>
      <c r="T94" s="4" t="s">
        <v>9397</v>
      </c>
      <c r="U94" s="5" t="s">
        <v>9398</v>
      </c>
      <c r="V94" s="5" t="s">
        <v>9399</v>
      </c>
      <c r="W94" s="5" t="s">
        <v>9400</v>
      </c>
      <c r="X94" s="5" t="s">
        <v>9401</v>
      </c>
      <c r="Y94" s="5" t="s">
        <v>9402</v>
      </c>
      <c r="Z94" s="5" t="s">
        <v>9403</v>
      </c>
      <c r="AB94" s="102"/>
      <c r="AC94" s="4" t="s">
        <v>9397</v>
      </c>
      <c r="AD94" s="5" t="s">
        <v>9398</v>
      </c>
      <c r="AE94" s="5" t="s">
        <v>9399</v>
      </c>
      <c r="AF94" s="5" t="s">
        <v>9400</v>
      </c>
      <c r="AG94" s="5" t="s">
        <v>9401</v>
      </c>
      <c r="AH94" s="5" t="s">
        <v>9402</v>
      </c>
      <c r="AI94" s="5" t="s">
        <v>9403</v>
      </c>
      <c r="AK94" s="102"/>
      <c r="AL94" s="4"/>
      <c r="AM94" s="5"/>
      <c r="AN94" s="5"/>
      <c r="AO94" s="5"/>
      <c r="AP94" s="5"/>
      <c r="AQ94" s="5"/>
      <c r="AR94" s="5"/>
    </row>
    <row r="95" spans="1:50" ht="13.9">
      <c r="B95" s="25" t="s">
        <v>9405</v>
      </c>
      <c r="C95" s="7">
        <f>SUM(C96:C100)</f>
        <v>137</v>
      </c>
      <c r="D95" s="19">
        <f>SUM(D96:D100)</f>
        <v>0.99999999999999989</v>
      </c>
      <c r="E95" s="7">
        <f t="shared" ref="E95" si="114">SUM(E96:E100)</f>
        <v>426316.75</v>
      </c>
      <c r="F95" s="19">
        <f>SUM(F96:F100)</f>
        <v>1</v>
      </c>
      <c r="G95" s="7">
        <f>SUM(G96:G100)</f>
        <v>17638.163968089993</v>
      </c>
      <c r="H95" s="19">
        <f t="shared" ref="H95" si="115">SUM(H96:H100)</f>
        <v>0.99999999999999989</v>
      </c>
      <c r="J95" s="103"/>
      <c r="K95" s="25" t="s">
        <v>9405</v>
      </c>
      <c r="L95" s="7">
        <f>SUM(L96:L100)</f>
        <v>72</v>
      </c>
      <c r="M95" s="7">
        <f>SUM(M96:M100)</f>
        <v>100</v>
      </c>
      <c r="N95" s="7">
        <f t="shared" ref="N95:Q95" si="116">SUM(N96:N100)</f>
        <v>125359</v>
      </c>
      <c r="O95" s="19">
        <f t="shared" si="116"/>
        <v>1</v>
      </c>
      <c r="P95" s="7">
        <f t="shared" si="116"/>
        <v>5325.27614085</v>
      </c>
      <c r="Q95" s="19">
        <f t="shared" si="116"/>
        <v>1</v>
      </c>
      <c r="S95" s="104"/>
      <c r="T95" s="25" t="s">
        <v>9405</v>
      </c>
      <c r="U95" s="7">
        <f>SUM(U96:U100)</f>
        <v>39</v>
      </c>
      <c r="V95" s="7">
        <f>SUM(V96:V100)</f>
        <v>100</v>
      </c>
      <c r="W95" s="7">
        <f t="shared" ref="W95:Z95" si="117">SUM(W96:W100)</f>
        <v>263328.75</v>
      </c>
      <c r="X95" s="19">
        <f t="shared" si="117"/>
        <v>1</v>
      </c>
      <c r="Y95" s="7">
        <f t="shared" si="117"/>
        <v>11109.611524799999</v>
      </c>
      <c r="Z95" s="7">
        <f t="shared" si="117"/>
        <v>100</v>
      </c>
      <c r="AB95" s="104"/>
      <c r="AC95" s="25" t="s">
        <v>9405</v>
      </c>
      <c r="AD95" s="7">
        <f>SUM(AD96:AD100)</f>
        <v>25</v>
      </c>
      <c r="AE95" s="7">
        <f>SUM(AE96:AE100)</f>
        <v>100</v>
      </c>
      <c r="AF95" s="7">
        <f t="shared" ref="AF95:AI95" si="118">SUM(AF96:AF100)</f>
        <v>37519</v>
      </c>
      <c r="AG95" s="19">
        <f t="shared" si="118"/>
        <v>1</v>
      </c>
      <c r="AH95" s="7">
        <f t="shared" si="118"/>
        <v>1199.7175024400001</v>
      </c>
      <c r="AI95" s="7">
        <f t="shared" si="118"/>
        <v>100</v>
      </c>
      <c r="AK95" s="104"/>
      <c r="AL95" s="25"/>
      <c r="AM95" s="7"/>
      <c r="AN95" s="7"/>
      <c r="AO95" s="7"/>
      <c r="AP95" s="19"/>
      <c r="AQ95" s="7"/>
      <c r="AR95" s="7"/>
      <c r="AT95" s="107"/>
      <c r="AU95" s="107"/>
      <c r="AV95" s="107"/>
      <c r="AW95" s="108"/>
      <c r="AX95" s="108"/>
    </row>
    <row r="96" spans="1:50" ht="13.9">
      <c r="A96" s="101" t="s">
        <v>3</v>
      </c>
      <c r="B96" s="22" t="s">
        <v>9407</v>
      </c>
      <c r="C96" s="23">
        <f>COUNTIFS(Ofertas!$T$22:$T$2765,Indicadores!A96,Ofertas!$AG$22:$AG$2765,$B$93)</f>
        <v>57</v>
      </c>
      <c r="D96" s="19">
        <f>C96/$C$95</f>
        <v>0.41605839416058393</v>
      </c>
      <c r="E96" s="7">
        <f>SUMIFS(Ofertas!$W$748:$W$2765,Ofertas!$T$748:$T$2765,Indicadores!A96,Ofertas!$AG$748:$AG$2765,Indicadores!$B$93)</f>
        <v>98027</v>
      </c>
      <c r="F96" s="19">
        <f>E96/$E$95</f>
        <v>0.22993935846996394</v>
      </c>
      <c r="G96" s="7">
        <f>SUMIFS(Ofertas!$X$748:$X$2765,Ofertas!$T$748:$T$2765,Indicadores!A96,Ofertas!$AG$748:$AG$2765,Indicadores!$B$93)</f>
        <v>3720.5026894199991</v>
      </c>
      <c r="H96" s="19">
        <f>G96/$G$95</f>
        <v>0.21093480569468173</v>
      </c>
      <c r="J96" s="101" t="s">
        <v>3</v>
      </c>
      <c r="K96" s="22" t="s">
        <v>9407</v>
      </c>
      <c r="L96" s="23">
        <f>COUNTIFS(Ofertas!$T$748:$T$2765,Indicadores!J96,Ofertas!$AG$748:$AG$2765,$K$93,Ofertas!$L$748:$L$2765,Indicadores!$L$93)</f>
        <v>39</v>
      </c>
      <c r="M96" s="24">
        <f>L96/$L$95*100</f>
        <v>54.166666666666664</v>
      </c>
      <c r="N96" s="7">
        <f>SUMIFS(Ofertas!$W$748:$W$2765,Ofertas!$T$748:$T$2765,Indicadores!J96,Ofertas!$AG$748:$AG$2765,Indicadores!$K$93,Ofertas!$L$748:$L$2765,Indicadores!$L$93)</f>
        <v>49471</v>
      </c>
      <c r="O96" s="28">
        <f>N96/$N$95</f>
        <v>0.39463460940179801</v>
      </c>
      <c r="P96" s="7">
        <f>SUMIFS(Ofertas!$X$748:$X$2765,Ofertas!$T$748:$T$2765,Indicadores!J96,Ofertas!$AG$748:$AG$2765,Indicadores!$K$93,Ofertas!$L$748:$L$2765,Indicadores!$L$93)</f>
        <v>2048.7939861699997</v>
      </c>
      <c r="Q96" s="19">
        <f>P96/$P$95</f>
        <v>0.38473009323474805</v>
      </c>
      <c r="S96" s="101" t="s">
        <v>3</v>
      </c>
      <c r="T96" s="22" t="s">
        <v>9407</v>
      </c>
      <c r="U96" s="23">
        <f>COUNTIFS(Ofertas!$T$748:$T$2765,Indicadores!S96,Ofertas!$AG$748:$AG$2765,$T$93,Ofertas!$L$748:$L$2765,Indicadores!$U$93)</f>
        <v>5</v>
      </c>
      <c r="V96" s="24">
        <f>U96/$U$95*100</f>
        <v>12.820512820512819</v>
      </c>
      <c r="W96" s="7">
        <f>SUMIFS(Ofertas!$W$748:$W$2765,Ofertas!$T$748:$T$2765,Indicadores!S96,Ofertas!$AG$748:$AG$2765,Indicadores!$T$93,Ofertas!$L$748:$L$2765,Indicadores!$U$93)</f>
        <v>21793</v>
      </c>
      <c r="X96" s="28">
        <f>W96/$W$95</f>
        <v>8.2759668285365726E-2</v>
      </c>
      <c r="Y96" s="7">
        <f>SUMIFS(Ofertas!$X$748:$X$2765,Ofertas!$T$748:$T$2765,Indicadores!S96,Ofertas!$AG$748:$AG$2765,Indicadores!$T$93,Ofertas!$L$748:$L$2765,Indicadores!$U$93)</f>
        <v>830.44882000000007</v>
      </c>
      <c r="Z96" s="24">
        <f>Y96/$Y$95*100</f>
        <v>7.4750482332004875</v>
      </c>
      <c r="AB96" s="101" t="s">
        <v>3</v>
      </c>
      <c r="AC96" s="22" t="s">
        <v>9407</v>
      </c>
      <c r="AD96" s="23">
        <f>COUNTIFS(Ofertas!$T$748:$T$2765,Indicadores!AB96,Ofertas!$AG$748:$AG$2765,$AC$93,Ofertas!$L$748:$L$2765,Indicadores!$AD$93)</f>
        <v>13</v>
      </c>
      <c r="AE96" s="24">
        <f>AD96/$AD$95*100</f>
        <v>52</v>
      </c>
      <c r="AF96" s="7">
        <f>SUMIFS(Ofertas!$W$748:$W$2765,Ofertas!$T$748:$T$2765,Indicadores!AB96,Ofertas!$AG$748:$AG$2765,Indicadores!$AC$93,Ofertas!$L$748:$L$2765,Indicadores!$AD$93)</f>
        <v>26763</v>
      </c>
      <c r="AG96" s="28">
        <f>AF96/$AF$95</f>
        <v>0.71331858525013991</v>
      </c>
      <c r="AH96" s="7">
        <f>SUMIFS(Ofertas!$X$748:$X$2765,Ofertas!$T$748:$T$2765,Indicadores!AB96,Ofertas!$AG$748:$AG$2765,Indicadores!$AC$93,Ofertas!$L$748:$L$2765,Indicadores!$AD$93)</f>
        <v>841.25988325000003</v>
      </c>
      <c r="AI96" s="24">
        <f>AH96/$AH$95*100</f>
        <v>70.121497897549673</v>
      </c>
      <c r="AK96" s="101"/>
      <c r="AL96" s="22"/>
      <c r="AM96" s="23"/>
      <c r="AN96" s="24"/>
      <c r="AO96" s="7"/>
      <c r="AP96" s="28"/>
      <c r="AQ96" s="7"/>
      <c r="AR96" s="24"/>
    </row>
    <row r="97" spans="1:50" ht="13.9">
      <c r="A97" s="101" t="s">
        <v>165</v>
      </c>
      <c r="B97" s="22" t="s">
        <v>9409</v>
      </c>
      <c r="C97" s="23">
        <f>COUNTIFS(Ofertas!$T$22:$T$2765,Indicadores!A97,Ofertas!$AG$22:$AG$2765,$B$93)</f>
        <v>79</v>
      </c>
      <c r="D97" s="19">
        <f>C97/$C$95</f>
        <v>0.57664233576642332</v>
      </c>
      <c r="E97" s="7">
        <f>SUMIFS(Ofertas!$W$748:$W$2765,Ofertas!$T$748:$T$2765,Indicadores!A97,Ofertas!$AG$748:$AG$2765,Indicadores!$B$93)</f>
        <v>326889.75</v>
      </c>
      <c r="F97" s="19">
        <f>E97/$E$95</f>
        <v>0.76677669831175999</v>
      </c>
      <c r="G97" s="7">
        <f>SUMIFS(Ofertas!$X$748:$X$2765,Ofertas!$T$748:$T$2765,Indicadores!A97,Ofertas!$AG$748:$AG$2765,Indicadores!$B$93)</f>
        <v>13871.169766669993</v>
      </c>
      <c r="H97" s="19">
        <f>G97/$G$95</f>
        <v>0.78642934671459896</v>
      </c>
      <c r="J97" s="101" t="s">
        <v>165</v>
      </c>
      <c r="K97" s="22" t="s">
        <v>9409</v>
      </c>
      <c r="L97" s="23">
        <f>COUNTIFS(Ofertas!$T$748:$T$2765,Indicadores!J97,Ofertas!$AG$748:$AG$2765,$K$93,Ofertas!$L$748:$L$2765,Indicadores!$L$93)</f>
        <v>32</v>
      </c>
      <c r="M97" s="24">
        <f>L97/$L$95*100</f>
        <v>44.444444444444443</v>
      </c>
      <c r="N97" s="7">
        <f>SUMIFS(Ofertas!$W$748:$W$2765,Ofertas!$T$748:$T$2765,Indicadores!J97,Ofertas!$AG$748:$AG$2765,Indicadores!$K$93,Ofertas!$L$748:$L$2765,Indicadores!$L$93)</f>
        <v>74488</v>
      </c>
      <c r="O97" s="28">
        <f>N97/$N$95</f>
        <v>0.59419746488086211</v>
      </c>
      <c r="P97" s="7">
        <f>SUMIFS(Ofertas!$X$748:$X$2765,Ofertas!$T$748:$T$2765,Indicadores!J97,Ofertas!$AG$748:$AG$2765,Indicadores!$K$93,Ofertas!$L$748:$L$2765,Indicadores!$L$93)</f>
        <v>3229.9906426800003</v>
      </c>
      <c r="Q97" s="19">
        <f t="shared" ref="Q97:Q100" si="119">P97/$P$95</f>
        <v>0.60653955912311464</v>
      </c>
      <c r="S97" s="101" t="s">
        <v>165</v>
      </c>
      <c r="T97" s="22" t="s">
        <v>9409</v>
      </c>
      <c r="U97" s="23">
        <f>COUNTIFS(Ofertas!$T$748:$T$2765,Indicadores!S97,Ofertas!$AG$748:$AG$2765,$T$93,Ofertas!$L$748:$L$2765,Indicadores!$U$93)</f>
        <v>34</v>
      </c>
      <c r="V97" s="24">
        <f>U97/$U$95*100</f>
        <v>87.179487179487182</v>
      </c>
      <c r="W97" s="7">
        <f>SUMIFS(Ofertas!$W$748:$W$2765,Ofertas!$T$748:$T$2765,Indicadores!S97,Ofertas!$AG$748:$AG$2765,Indicadores!$T$93,Ofertas!$L$748:$L$2765,Indicadores!$U$93)</f>
        <v>241535.75</v>
      </c>
      <c r="X97" s="28">
        <f>W97/$W$95</f>
        <v>0.91724033171463426</v>
      </c>
      <c r="Y97" s="7">
        <f>SUMIFS(Ofertas!$X$748:$X$2765,Ofertas!$T$748:$T$2765,Indicadores!S97,Ofertas!$AG$748:$AG$2765,Indicadores!$T$93,Ofertas!$L$748:$L$2765,Indicadores!$U$93)</f>
        <v>10279.162704799999</v>
      </c>
      <c r="Z97" s="24">
        <f>Y97/$Y$95*100</f>
        <v>92.524951766799518</v>
      </c>
      <c r="AB97" s="101" t="s">
        <v>165</v>
      </c>
      <c r="AC97" s="22" t="s">
        <v>9409</v>
      </c>
      <c r="AD97" s="23">
        <f>COUNTIFS(Ofertas!$T$748:$T$2765,Indicadores!AB97,Ofertas!$AG$748:$AG$2765,$AC$93,Ofertas!$L$748:$L$2765,Indicadores!$AD$93)</f>
        <v>12</v>
      </c>
      <c r="AE97" s="24">
        <f>AD97/$AD$95*100</f>
        <v>48</v>
      </c>
      <c r="AF97" s="7">
        <f>SUMIFS(Ofertas!$W$748:$W$2765,Ofertas!$T$748:$T$2765,Indicadores!AB97,Ofertas!$AG$748:$AG$2765,Indicadores!$AC$93,Ofertas!$L$748:$L$2765,Indicadores!$AD$93)</f>
        <v>10756</v>
      </c>
      <c r="AG97" s="28">
        <f>AF97/$AF$95</f>
        <v>0.28668141474986009</v>
      </c>
      <c r="AH97" s="7">
        <f>SUMIFS(Ofertas!$X$748:$X$2765,Ofertas!$T$748:$T$2765,Indicadores!AB97,Ofertas!$AG$748:$AG$2765,Indicadores!$AC$93,Ofertas!$L$748:$L$2765,Indicadores!$AD$93)</f>
        <v>358.45761919000006</v>
      </c>
      <c r="AI97" s="24">
        <f>AH97/$AH$95*100</f>
        <v>29.878502102450334</v>
      </c>
      <c r="AK97" s="101"/>
      <c r="AL97" s="22"/>
      <c r="AM97" s="23"/>
      <c r="AN97" s="24"/>
      <c r="AO97" s="7"/>
      <c r="AP97" s="28"/>
      <c r="AQ97" s="7"/>
      <c r="AR97" s="24"/>
    </row>
    <row r="98" spans="1:50" ht="13.9">
      <c r="A98" s="101" t="s">
        <v>168</v>
      </c>
      <c r="B98" s="22" t="s">
        <v>9411</v>
      </c>
      <c r="C98" s="23">
        <f>COUNTIFS(Ofertas!$T$22:$T$2765,Indicadores!A98,Ofertas!$AG$22:$AG$2765,$B$93)</f>
        <v>1</v>
      </c>
      <c r="D98" s="19">
        <f>C98/$C$95</f>
        <v>7.2992700729927005E-3</v>
      </c>
      <c r="E98" s="7">
        <f>SUMIFS(Ofertas!$W$748:$W$2765,Ofertas!$T$748:$T$2765,Indicadores!A98,Ofertas!$AG$748:$AG$2765,Indicadores!$B$93)</f>
        <v>1400</v>
      </c>
      <c r="F98" s="19">
        <f>E98/$E$95</f>
        <v>3.2839432182760822E-3</v>
      </c>
      <c r="G98" s="7">
        <f>SUMIFS(Ofertas!$X$748:$X$2765,Ofertas!$T$748:$T$2765,Indicadores!A98,Ofertas!$AG$748:$AG$2765,Indicadores!$B$93)</f>
        <v>46.491512</v>
      </c>
      <c r="H98" s="19">
        <f>G98/$G$95</f>
        <v>2.6358475907191877E-3</v>
      </c>
      <c r="J98" s="101" t="s">
        <v>168</v>
      </c>
      <c r="K98" s="22" t="s">
        <v>9411</v>
      </c>
      <c r="L98" s="23">
        <f>COUNTIFS(Ofertas!$T$748:$T$2765,Indicadores!J98,Ofertas!$AG$748:$AG$2765,$K$93,Ofertas!$L$748:$L$2765,Indicadores!$L$93)</f>
        <v>1</v>
      </c>
      <c r="M98" s="24">
        <f>L98/$L$95*100</f>
        <v>1.3888888888888888</v>
      </c>
      <c r="N98" s="7">
        <f>SUMIFS(Ofertas!$W$748:$W$2765,Ofertas!$T$748:$T$2765,Indicadores!J98,Ofertas!$AG$748:$AG$2765,Indicadores!$K$93,Ofertas!$L$748:$L$2765,Indicadores!$L$93)</f>
        <v>1400</v>
      </c>
      <c r="O98" s="28">
        <f>N98/$N$95</f>
        <v>1.1167925717339801E-2</v>
      </c>
      <c r="P98" s="7">
        <f>SUMIFS(Ofertas!$X$748:$X$2765,Ofertas!$T$748:$T$2765,Indicadores!J98,Ofertas!$AG$748:$AG$2765,Indicadores!$K$93,Ofertas!$L$748:$L$2765,Indicadores!$L$93)</f>
        <v>46.491512</v>
      </c>
      <c r="Q98" s="19">
        <f t="shared" si="119"/>
        <v>8.730347642137334E-3</v>
      </c>
      <c r="S98" s="101" t="s">
        <v>168</v>
      </c>
      <c r="T98" s="22" t="s">
        <v>9411</v>
      </c>
      <c r="U98" s="23">
        <f>COUNTIFS(Ofertas!$T$748:$T$2765,Indicadores!S98,Ofertas!$AG$748:$AG$2765,$T$93,Ofertas!$L$748:$L$2765,Indicadores!$U$93)</f>
        <v>0</v>
      </c>
      <c r="V98" s="24">
        <f>U98/$U$95*100</f>
        <v>0</v>
      </c>
      <c r="W98" s="7">
        <f>SUMIFS(Ofertas!$W$748:$W$2765,Ofertas!$T$748:$T$2765,Indicadores!S98,Ofertas!$AG$748:$AG$2765,Indicadores!$T$93,Ofertas!$L$748:$L$2765,Indicadores!$U$93)</f>
        <v>0</v>
      </c>
      <c r="X98" s="28">
        <f>W98/$W$95</f>
        <v>0</v>
      </c>
      <c r="Y98" s="7">
        <f>SUMIFS(Ofertas!$X$748:$X$2765,Ofertas!$T$748:$T$2765,Indicadores!S98,Ofertas!$AG$748:$AG$2765,Indicadores!$T$93,Ofertas!$L$748:$L$2765,Indicadores!$U$93)</f>
        <v>0</v>
      </c>
      <c r="Z98" s="24">
        <f>Y98/$Y$95*100</f>
        <v>0</v>
      </c>
      <c r="AB98" s="101" t="s">
        <v>168</v>
      </c>
      <c r="AC98" s="22" t="s">
        <v>9411</v>
      </c>
      <c r="AD98" s="23">
        <f>COUNTIFS(Ofertas!$T$748:$T$2765,Indicadores!AB98,Ofertas!$AG$748:$AG$2765,$AC$93,Ofertas!$L$748:$L$2765,Indicadores!$AD$93)</f>
        <v>0</v>
      </c>
      <c r="AE98" s="24">
        <f>AD98/$AD$95*100</f>
        <v>0</v>
      </c>
      <c r="AF98" s="7">
        <f>SUMIFS(Ofertas!$W$748:$W$2765,Ofertas!$T$748:$T$2765,Indicadores!AB98,Ofertas!$AG$748:$AG$2765,Indicadores!$AC$93,Ofertas!$L$748:$L$2765,Indicadores!$AD$93)</f>
        <v>0</v>
      </c>
      <c r="AG98" s="28">
        <f>AF98/$AF$95</f>
        <v>0</v>
      </c>
      <c r="AH98" s="7">
        <f>SUMIFS(Ofertas!$X$748:$X$2765,Ofertas!$T$748:$T$2765,Indicadores!AB98,Ofertas!$AG$748:$AG$2765,Indicadores!$AC$93,Ofertas!$L$748:$L$2765,Indicadores!$AD$93)</f>
        <v>0</v>
      </c>
      <c r="AI98" s="24">
        <f>AH98/$AH$95*100</f>
        <v>0</v>
      </c>
      <c r="AK98" s="101"/>
      <c r="AL98" s="22"/>
      <c r="AM98" s="23"/>
      <c r="AN98" s="24"/>
      <c r="AO98" s="7"/>
      <c r="AP98" s="28"/>
      <c r="AQ98" s="7"/>
      <c r="AR98" s="24"/>
    </row>
    <row r="99" spans="1:50" ht="13.9">
      <c r="A99" s="101" t="s">
        <v>158</v>
      </c>
      <c r="B99" s="22" t="s">
        <v>159</v>
      </c>
      <c r="C99" s="23">
        <f>COUNTIFS(Ofertas!$T$22:$T$2765,Indicadores!A99,Ofertas!$AG$22:$AG$2765,$B$93)</f>
        <v>0</v>
      </c>
      <c r="D99" s="19">
        <f>C99/$C$95</f>
        <v>0</v>
      </c>
      <c r="E99" s="7">
        <f>SUMIFS(Ofertas!$W$748:$W$2765,Ofertas!$T$748:$T$2765,Indicadores!A99,Ofertas!$AG$748:$AG$2765,Indicadores!$B$93)</f>
        <v>0</v>
      </c>
      <c r="F99" s="19">
        <f>E99/$E$95</f>
        <v>0</v>
      </c>
      <c r="G99" s="7">
        <f>SUMIFS(Ofertas!$X$748:$X$2765,Ofertas!$T$748:$T$2765,Indicadores!A99,Ofertas!$AG$748:$AG$2765,Indicadores!$B$93)</f>
        <v>0</v>
      </c>
      <c r="H99" s="19">
        <f>G99/$G$95</f>
        <v>0</v>
      </c>
      <c r="J99" s="101" t="s">
        <v>158</v>
      </c>
      <c r="K99" s="22" t="s">
        <v>159</v>
      </c>
      <c r="L99" s="23">
        <f>COUNTIFS(Ofertas!$T$748:$T$2765,Indicadores!J99,Ofertas!$AG$748:$AG$2765,$K$93,Ofertas!$L$748:$L$2765,Indicadores!$L$93)</f>
        <v>0</v>
      </c>
      <c r="M99" s="24">
        <f>L99/$L$95*100</f>
        <v>0</v>
      </c>
      <c r="N99" s="7">
        <f>SUMIFS(Ofertas!$W$748:$W$2765,Ofertas!$T$748:$T$2765,Indicadores!J99,Ofertas!$AG$748:$AG$2765,Indicadores!$K$93,Ofertas!$L$748:$L$2765,Indicadores!$L$93)</f>
        <v>0</v>
      </c>
      <c r="O99" s="28">
        <f>N99/$N$95</f>
        <v>0</v>
      </c>
      <c r="P99" s="7">
        <f>SUMIFS(Ofertas!$X$748:$X$2765,Ofertas!$T$748:$T$2765,Indicadores!J99,Ofertas!$AG$748:$AG$2765,Indicadores!$K$93,Ofertas!$L$748:$L$2765,Indicadores!$L$93)</f>
        <v>0</v>
      </c>
      <c r="Q99" s="19">
        <f t="shared" si="119"/>
        <v>0</v>
      </c>
      <c r="S99" s="101" t="s">
        <v>158</v>
      </c>
      <c r="T99" s="22" t="s">
        <v>159</v>
      </c>
      <c r="U99" s="23">
        <f>COUNTIFS(Ofertas!$T$748:$T$2765,Indicadores!S99,Ofertas!$AG$748:$AG$2765,$T$93,Ofertas!$L$748:$L$2765,Indicadores!$U$93)</f>
        <v>0</v>
      </c>
      <c r="V99" s="24">
        <f>U99/$U$95*100</f>
        <v>0</v>
      </c>
      <c r="W99" s="7">
        <f>SUMIFS(Ofertas!$W$748:$W$2765,Ofertas!$T$748:$T$2765,Indicadores!S99,Ofertas!$AG$748:$AG$2765,Indicadores!$T$93,Ofertas!$L$748:$L$2765,Indicadores!$U$93)</f>
        <v>0</v>
      </c>
      <c r="X99" s="28">
        <f>W99/$W$95</f>
        <v>0</v>
      </c>
      <c r="Y99" s="7">
        <f>SUMIFS(Ofertas!$X$748:$X$2765,Ofertas!$T$748:$T$2765,Indicadores!S99,Ofertas!$AG$748:$AG$2765,Indicadores!$T$93,Ofertas!$L$748:$L$2765,Indicadores!$U$93)</f>
        <v>0</v>
      </c>
      <c r="Z99" s="24">
        <f>Y99/$Y$95*100</f>
        <v>0</v>
      </c>
      <c r="AB99" s="101" t="s">
        <v>158</v>
      </c>
      <c r="AC99" s="22" t="s">
        <v>159</v>
      </c>
      <c r="AD99" s="23">
        <f>COUNTIFS(Ofertas!$T$748:$T$2765,Indicadores!AB99,Ofertas!$AG$748:$AG$2765,$AC$93,Ofertas!$L$748:$L$2765,Indicadores!$AD$93)</f>
        <v>0</v>
      </c>
      <c r="AE99" s="24">
        <f>AD99/$AD$95*100</f>
        <v>0</v>
      </c>
      <c r="AF99" s="7">
        <f>SUMIFS(Ofertas!$W$748:$W$2765,Ofertas!$T$748:$T$2765,Indicadores!AB99,Ofertas!$AG$748:$AG$2765,Indicadores!$AC$93,Ofertas!$L$748:$L$2765,Indicadores!$AD$93)</f>
        <v>0</v>
      </c>
      <c r="AG99" s="28">
        <f>AF99/$AF$95</f>
        <v>0</v>
      </c>
      <c r="AH99" s="7">
        <f>SUMIFS(Ofertas!$X$748:$X$2765,Ofertas!$T$748:$T$2765,Indicadores!AB99,Ofertas!$AG$748:$AG$2765,Indicadores!$AC$93,Ofertas!$L$748:$L$2765,Indicadores!$AD$93)</f>
        <v>0</v>
      </c>
      <c r="AI99" s="24">
        <f>AH99/$AH$95*100</f>
        <v>0</v>
      </c>
      <c r="AK99" s="101"/>
      <c r="AL99" s="22"/>
      <c r="AM99" s="23"/>
      <c r="AN99" s="24"/>
      <c r="AO99" s="7"/>
      <c r="AP99" s="28"/>
      <c r="AQ99" s="7"/>
      <c r="AR99" s="24"/>
    </row>
    <row r="100" spans="1:50" ht="13.9">
      <c r="A100" s="101" t="s">
        <v>64</v>
      </c>
      <c r="B100" s="22" t="s">
        <v>9412</v>
      </c>
      <c r="C100" s="23">
        <f>COUNTIFS(Ofertas!$T$22:$T$2765,Indicadores!A100,Ofertas!$AG$22:$AG$2765,$B$93)</f>
        <v>0</v>
      </c>
      <c r="D100" s="19">
        <f>C100/$C$95</f>
        <v>0</v>
      </c>
      <c r="E100" s="7">
        <f>SUMIFS(Ofertas!$W$748:$W$2765,Ofertas!$T$748:$T$2765,Indicadores!A100,Ofertas!$AG$748:$AG$2765,Indicadores!$B$93)</f>
        <v>0</v>
      </c>
      <c r="F100" s="19">
        <f>E100/$E$95</f>
        <v>0</v>
      </c>
      <c r="G100" s="7">
        <f>SUMIFS(Ofertas!$X$748:$X$2765,Ofertas!$T$748:$T$2765,Indicadores!A100,Ofertas!$AG$748:$AG$2765,Indicadores!$B$93)</f>
        <v>0</v>
      </c>
      <c r="H100" s="19">
        <f>G100/$G$95</f>
        <v>0</v>
      </c>
      <c r="J100" s="101" t="s">
        <v>64</v>
      </c>
      <c r="K100" s="22" t="s">
        <v>9412</v>
      </c>
      <c r="L100" s="23">
        <f>COUNTIFS(Ofertas!$T$748:$T$2765,Indicadores!J100,Ofertas!$AG$748:$AG$2765,$K$93,Ofertas!$L$748:$L$2765,Indicadores!$L$93)</f>
        <v>0</v>
      </c>
      <c r="M100" s="24">
        <f>L100/$L$95*100</f>
        <v>0</v>
      </c>
      <c r="N100" s="7">
        <f>SUMIFS(Ofertas!$W$748:$W$2765,Ofertas!$T$748:$T$2765,Indicadores!J100,Ofertas!$AG$748:$AG$2765,Indicadores!$K$93,Ofertas!$L$748:$L$2765,Indicadores!$L$93)</f>
        <v>0</v>
      </c>
      <c r="O100" s="28">
        <f>N100/$N$95</f>
        <v>0</v>
      </c>
      <c r="P100" s="7">
        <f>SUMIFS(Ofertas!$X$748:$X$2765,Ofertas!$T$748:$T$2765,Indicadores!J100,Ofertas!$AG$748:$AG$2765,Indicadores!$K$93,Ofertas!$L$748:$L$2765,Indicadores!$L$93)</f>
        <v>0</v>
      </c>
      <c r="Q100" s="19">
        <f t="shared" si="119"/>
        <v>0</v>
      </c>
      <c r="S100" s="101" t="s">
        <v>64</v>
      </c>
      <c r="T100" s="22" t="s">
        <v>9412</v>
      </c>
      <c r="U100" s="23">
        <f>COUNTIFS(Ofertas!$T$748:$T$2765,Indicadores!S100,Ofertas!$AG$748:$AG$2765,$T$93,Ofertas!$L$748:$L$2765,Indicadores!$U$93)</f>
        <v>0</v>
      </c>
      <c r="V100" s="24">
        <f>U100/$U$95*100</f>
        <v>0</v>
      </c>
      <c r="W100" s="7">
        <f>SUMIFS(Ofertas!$W$748:$W$2765,Ofertas!$T$748:$T$2765,Indicadores!S100,Ofertas!$AG$748:$AG$2765,Indicadores!$T$93,Ofertas!$L$748:$L$2765,Indicadores!$U$93)</f>
        <v>0</v>
      </c>
      <c r="X100" s="28">
        <f>W100/$W$95</f>
        <v>0</v>
      </c>
      <c r="Y100" s="7">
        <f>SUMIFS(Ofertas!$X$748:$X$2765,Ofertas!$T$748:$T$2765,Indicadores!S100,Ofertas!$AG$748:$AG$2765,Indicadores!$T$93,Ofertas!$L$748:$L$2765,Indicadores!$U$93)</f>
        <v>0</v>
      </c>
      <c r="Z100" s="24">
        <f>Y100/$Y$95*100</f>
        <v>0</v>
      </c>
      <c r="AB100" s="101" t="s">
        <v>64</v>
      </c>
      <c r="AC100" s="22" t="s">
        <v>9412</v>
      </c>
      <c r="AD100" s="23">
        <f>COUNTIFS(Ofertas!$T$748:$T$2765,Indicadores!AB100,Ofertas!$AG$748:$AG$2765,$AC$93,Ofertas!$L$748:$L$2765,Indicadores!$AD$93)</f>
        <v>0</v>
      </c>
      <c r="AE100" s="24">
        <f>AD100/$AD$95*100</f>
        <v>0</v>
      </c>
      <c r="AF100" s="7">
        <f>SUMIFS(Ofertas!$W$748:$W$2765,Ofertas!$T$748:$T$2765,Indicadores!AB100,Ofertas!$AG$748:$AG$2765,Indicadores!$AC$93,Ofertas!$L$748:$L$2765,Indicadores!$AD$93)</f>
        <v>0</v>
      </c>
      <c r="AG100" s="28">
        <f>AF100/$AF$95</f>
        <v>0</v>
      </c>
      <c r="AH100" s="7">
        <f>SUMIFS(Ofertas!$X$748:$X$2765,Ofertas!$T$748:$T$2765,Indicadores!AB100,Ofertas!$AG$748:$AG$2765,Indicadores!$AC$93,Ofertas!$L$748:$L$2765,Indicadores!$AD$93)</f>
        <v>0</v>
      </c>
      <c r="AI100" s="24">
        <f>AH100/$AH$95*100</f>
        <v>0</v>
      </c>
      <c r="AK100" s="101"/>
      <c r="AL100" s="22"/>
      <c r="AM100" s="23"/>
      <c r="AN100" s="24"/>
      <c r="AO100" s="7"/>
      <c r="AP100" s="28"/>
      <c r="AQ100" s="7"/>
      <c r="AR100" s="24"/>
    </row>
    <row r="101" spans="1:50" s="97" customFormat="1"/>
    <row r="102" spans="1:50" s="97" customFormat="1" ht="13.9">
      <c r="B102" s="98">
        <v>2021</v>
      </c>
      <c r="J102" s="99"/>
      <c r="K102" s="98">
        <v>2021</v>
      </c>
      <c r="L102" s="100" t="s">
        <v>120</v>
      </c>
      <c r="M102" s="398" t="s">
        <v>9392</v>
      </c>
      <c r="N102" s="399"/>
      <c r="O102" s="399"/>
      <c r="P102" s="399"/>
      <c r="Q102" s="400"/>
      <c r="S102" s="99"/>
      <c r="T102" s="98">
        <v>2021</v>
      </c>
      <c r="U102" s="100" t="s">
        <v>123</v>
      </c>
      <c r="V102" s="398" t="s">
        <v>9393</v>
      </c>
      <c r="W102" s="399"/>
      <c r="X102" s="399"/>
      <c r="Y102" s="399"/>
      <c r="Z102" s="400"/>
      <c r="AB102" s="99"/>
      <c r="AC102" s="98">
        <v>2021</v>
      </c>
      <c r="AD102" s="100" t="s">
        <v>129</v>
      </c>
      <c r="AE102" s="398" t="s">
        <v>9413</v>
      </c>
      <c r="AF102" s="399"/>
      <c r="AG102" s="399"/>
      <c r="AH102" s="399"/>
      <c r="AI102" s="400"/>
      <c r="AK102" s="99"/>
      <c r="AL102" s="98">
        <v>2021</v>
      </c>
      <c r="AM102" s="100" t="s">
        <v>227</v>
      </c>
      <c r="AN102" s="398" t="s">
        <v>9414</v>
      </c>
      <c r="AO102" s="399"/>
      <c r="AP102" s="399"/>
      <c r="AQ102" s="399"/>
      <c r="AR102" s="400"/>
    </row>
    <row r="103" spans="1:50" ht="13.9">
      <c r="B103" s="4" t="s">
        <v>9397</v>
      </c>
      <c r="C103" s="5" t="s">
        <v>9398</v>
      </c>
      <c r="D103" s="5" t="s">
        <v>9399</v>
      </c>
      <c r="E103" s="5" t="s">
        <v>9400</v>
      </c>
      <c r="F103" s="5" t="s">
        <v>9401</v>
      </c>
      <c r="G103" s="5" t="s">
        <v>9402</v>
      </c>
      <c r="H103" s="5" t="s">
        <v>9403</v>
      </c>
      <c r="J103" s="102"/>
      <c r="K103" s="4" t="s">
        <v>9397</v>
      </c>
      <c r="L103" s="5" t="s">
        <v>9398</v>
      </c>
      <c r="M103" s="5" t="s">
        <v>9399</v>
      </c>
      <c r="N103" s="5" t="s">
        <v>9400</v>
      </c>
      <c r="O103" s="5" t="s">
        <v>9401</v>
      </c>
      <c r="P103" s="5" t="s">
        <v>9402</v>
      </c>
      <c r="Q103" s="5" t="s">
        <v>9403</v>
      </c>
      <c r="S103" s="102"/>
      <c r="T103" s="4" t="s">
        <v>9397</v>
      </c>
      <c r="U103" s="5" t="s">
        <v>9398</v>
      </c>
      <c r="V103" s="5" t="s">
        <v>9399</v>
      </c>
      <c r="W103" s="5" t="s">
        <v>9400</v>
      </c>
      <c r="X103" s="5" t="s">
        <v>9401</v>
      </c>
      <c r="Y103" s="5" t="s">
        <v>9402</v>
      </c>
      <c r="Z103" s="5" t="s">
        <v>9403</v>
      </c>
      <c r="AB103" s="102"/>
      <c r="AC103" s="4" t="s">
        <v>9397</v>
      </c>
      <c r="AD103" s="5" t="s">
        <v>9398</v>
      </c>
      <c r="AE103" s="5" t="s">
        <v>9399</v>
      </c>
      <c r="AF103" s="5" t="s">
        <v>9400</v>
      </c>
      <c r="AG103" s="5" t="s">
        <v>9401</v>
      </c>
      <c r="AH103" s="5" t="s">
        <v>9402</v>
      </c>
      <c r="AI103" s="5" t="s">
        <v>9403</v>
      </c>
      <c r="AK103" s="102"/>
      <c r="AL103" s="4" t="s">
        <v>9397</v>
      </c>
      <c r="AM103" s="5" t="s">
        <v>9398</v>
      </c>
      <c r="AN103" s="5" t="s">
        <v>9399</v>
      </c>
      <c r="AO103" s="5" t="s">
        <v>9400</v>
      </c>
      <c r="AP103" s="5" t="s">
        <v>9401</v>
      </c>
      <c r="AQ103" s="5" t="s">
        <v>9402</v>
      </c>
      <c r="AR103" s="5" t="s">
        <v>9403</v>
      </c>
    </row>
    <row r="104" spans="1:50" ht="13.9">
      <c r="B104" s="25" t="s">
        <v>9405</v>
      </c>
      <c r="C104" s="7">
        <f>SUM(C105:C109)</f>
        <v>133</v>
      </c>
      <c r="D104" s="19">
        <f>SUM(D105:D109)</f>
        <v>1</v>
      </c>
      <c r="E104" s="7">
        <f t="shared" ref="E104" si="120">SUM(E105:E109)</f>
        <v>473419.8949346405</v>
      </c>
      <c r="F104" s="19">
        <f>SUM(F105:F109)</f>
        <v>1</v>
      </c>
      <c r="G104" s="7">
        <f>SUM(G105:G109)</f>
        <v>16497.08559076842</v>
      </c>
      <c r="H104" s="19">
        <f t="shared" ref="H104" si="121">SUM(H105:H109)</f>
        <v>1.0000000000000002</v>
      </c>
      <c r="J104" s="103"/>
      <c r="K104" s="25" t="s">
        <v>9405</v>
      </c>
      <c r="L104" s="7">
        <f>SUM(L105:L109)</f>
        <v>73</v>
      </c>
      <c r="M104" s="19">
        <f>SUM(M105:M109)</f>
        <v>1</v>
      </c>
      <c r="N104" s="7">
        <f t="shared" ref="N104:Q104" si="122">SUM(N105:N109)</f>
        <v>144881.72549019608</v>
      </c>
      <c r="O104" s="19">
        <f t="shared" si="122"/>
        <v>1</v>
      </c>
      <c r="P104" s="7">
        <f t="shared" si="122"/>
        <v>4966.5035696600007</v>
      </c>
      <c r="Q104" s="19">
        <f t="shared" si="122"/>
        <v>1</v>
      </c>
      <c r="S104" s="104"/>
      <c r="T104" s="25" t="s">
        <v>9405</v>
      </c>
      <c r="U104" s="7">
        <f>SUM(U105:U109)</f>
        <v>35</v>
      </c>
      <c r="V104" s="19">
        <f>SUM(V105:V109)</f>
        <v>1</v>
      </c>
      <c r="W104" s="7">
        <f t="shared" ref="W104:Z104" si="123">SUM(W105:W109)</f>
        <v>308714.16944444447</v>
      </c>
      <c r="X104" s="19">
        <f t="shared" si="123"/>
        <v>1</v>
      </c>
      <c r="Y104" s="7">
        <f t="shared" si="123"/>
        <v>10894.720460108423</v>
      </c>
      <c r="Z104" s="19">
        <f t="shared" si="123"/>
        <v>0.99999999999999989</v>
      </c>
      <c r="AB104" s="104"/>
      <c r="AC104" s="25" t="s">
        <v>9405</v>
      </c>
      <c r="AD104" s="7">
        <f>SUM(AD105:AD109)</f>
        <v>24</v>
      </c>
      <c r="AE104" s="19">
        <f>SUM(AE105:AE109)</f>
        <v>1</v>
      </c>
      <c r="AF104" s="7">
        <f t="shared" ref="AF104:AI104" si="124">SUM(AF105:AF109)</f>
        <v>19122</v>
      </c>
      <c r="AG104" s="19">
        <f t="shared" si="124"/>
        <v>1</v>
      </c>
      <c r="AH104" s="7">
        <f t="shared" si="124"/>
        <v>608.56156099999998</v>
      </c>
      <c r="AI104" s="19">
        <f t="shared" si="124"/>
        <v>1</v>
      </c>
      <c r="AK104" s="104"/>
      <c r="AL104" s="25" t="s">
        <v>9405</v>
      </c>
      <c r="AM104" s="7">
        <f>SUM(AM105:AM109)</f>
        <v>0</v>
      </c>
      <c r="AN104" s="19">
        <f>SUM(AN105:AN109)</f>
        <v>0</v>
      </c>
      <c r="AO104" s="7">
        <f t="shared" ref="AO104:AR104" si="125">SUM(AO105:AO109)</f>
        <v>0</v>
      </c>
      <c r="AP104" s="19">
        <f t="shared" si="125"/>
        <v>0</v>
      </c>
      <c r="AQ104" s="7">
        <f t="shared" si="125"/>
        <v>0</v>
      </c>
      <c r="AR104" s="19">
        <f t="shared" si="125"/>
        <v>0</v>
      </c>
      <c r="AT104" s="107"/>
      <c r="AU104" s="107"/>
      <c r="AV104" s="107"/>
      <c r="AW104" s="108"/>
      <c r="AX104" s="108"/>
    </row>
    <row r="105" spans="1:50" ht="13.9">
      <c r="A105" s="101" t="s">
        <v>3</v>
      </c>
      <c r="B105" s="22" t="s">
        <v>9407</v>
      </c>
      <c r="C105" s="23">
        <f>COUNTIFS(Ofertas!$T$22:$T$2765,Indicadores!A105,Ofertas!$AG$22:$AG$2765,$B$102)</f>
        <v>44</v>
      </c>
      <c r="D105" s="19">
        <f>C105/$C$104</f>
        <v>0.33082706766917291</v>
      </c>
      <c r="E105" s="7">
        <f>SUMIFS(Ofertas!$W$748:$W$2765,Ofertas!$T$748:$T$2765,Indicadores!A105,Ofertas!$AG$748:$AG$2765,Indicadores!$B$102)</f>
        <v>47463.058823529413</v>
      </c>
      <c r="F105" s="19">
        <f>E105/$E$104</f>
        <v>0.10025573350710594</v>
      </c>
      <c r="G105" s="7">
        <f>SUMIFS(Ofertas!$X$748:$X$2765,Ofertas!$T$748:$T$2765,Indicadores!A105,Ofertas!$AG$748:$AG$2765,Indicadores!$B$102)</f>
        <v>1824.3321916600003</v>
      </c>
      <c r="H105" s="19">
        <f>G105/$G$104</f>
        <v>0.11058512011848176</v>
      </c>
      <c r="J105" s="101" t="s">
        <v>3</v>
      </c>
      <c r="K105" s="22" t="s">
        <v>9407</v>
      </c>
      <c r="L105" s="23">
        <f>COUNTIFS(Ofertas!$T$748:$T$2765,Indicadores!J105,Ofertas!$AG$748:$AG$2765,$K$102,Ofertas!$L$748:$L$2765,Indicadores!$L$102)</f>
        <v>23</v>
      </c>
      <c r="M105" s="19">
        <f>L105/$L$104</f>
        <v>0.31506849315068491</v>
      </c>
      <c r="N105" s="7">
        <f>SUMIFS(Ofertas!$W$748:$W$2765,Ofertas!$T$748:$T$2765,Indicadores!J105,Ofertas!$AG$748:$AG$2765,Indicadores!$K$102,Ofertas!$L$748:$L$2765,Indicadores!$L$102)</f>
        <v>16870.058823529413</v>
      </c>
      <c r="O105" s="96">
        <f>N105/$N$104</f>
        <v>0.11644021194840741</v>
      </c>
      <c r="P105" s="7">
        <f>SUMIFS(Ofertas!$X$748:$X$2765,Ofertas!$T$748:$T$2765,Indicadores!J105,Ofertas!$AG$748:$AG$2765,Indicadores!$K$102,Ofertas!$L$748:$L$2765,Indicadores!$L$102)</f>
        <v>795.86193565999997</v>
      </c>
      <c r="Q105" s="19">
        <f>P105/$P$104</f>
        <v>0.160245920393949</v>
      </c>
      <c r="S105" s="101" t="s">
        <v>3</v>
      </c>
      <c r="T105" s="22" t="s">
        <v>9407</v>
      </c>
      <c r="U105" s="23">
        <f>COUNTIFS(Ofertas!$T$748:$T$2765,Indicadores!S105,Ofertas!$AG$748:$AG$2765,$T$102,Ofertas!$L$748:$L$2765,Indicadores!$U$102)</f>
        <v>4</v>
      </c>
      <c r="V105" s="19">
        <f>U105/$U$104</f>
        <v>0.11428571428571428</v>
      </c>
      <c r="W105" s="7">
        <f>SUMIFS(Ofertas!$W$748:$W$2765,Ofertas!$T$748:$T$2765,Indicadores!S105,Ofertas!$AG$748:$AG$2765,Indicadores!$T$102,Ofertas!$L$748:$L$2765,Indicadores!$U$102)</f>
        <v>16449</v>
      </c>
      <c r="X105" s="96">
        <f>W105/$W$104</f>
        <v>5.3282296791239851E-2</v>
      </c>
      <c r="Y105" s="7">
        <f>SUMIFS(Ofertas!$X$748:$X$2765,Ofertas!$T$748:$T$2765,Indicadores!S105,Ofertas!$AG$748:$AG$2765,Indicadores!$T$102,Ofertas!$L$748:$L$2765,Indicadores!$U$102)</f>
        <v>570.58119499999998</v>
      </c>
      <c r="Z105" s="19">
        <f>Y105/$Y$104</f>
        <v>5.237226573083837E-2</v>
      </c>
      <c r="AB105" s="101" t="s">
        <v>3</v>
      </c>
      <c r="AC105" s="22" t="s">
        <v>9407</v>
      </c>
      <c r="AD105" s="23">
        <f>COUNTIFS(Ofertas!$T$748:$T$2765,Indicadores!AB105,Ofertas!$AG$748:$AG$2765,$AC$102,Ofertas!$L$748:$L$2765,Indicadores!$AD$102)</f>
        <v>17</v>
      </c>
      <c r="AE105" s="19">
        <f>AD105/$AD$104</f>
        <v>0.70833333333333337</v>
      </c>
      <c r="AF105" s="7">
        <f>SUMIFS(Ofertas!$W$748:$W$2765,Ofertas!$T$748:$T$2765,Indicadores!AB105,Ofertas!$AG$748:$AG$2765,Indicadores!$AC$102,Ofertas!$L$748:$L$2765,Indicadores!$AD$102)</f>
        <v>14144</v>
      </c>
      <c r="AG105" s="96">
        <f>AF105/$AF$104</f>
        <v>0.73967158247045284</v>
      </c>
      <c r="AH105" s="7">
        <f>SUMIFS(Ofertas!$X$748:$X$2765,Ofertas!$T$748:$T$2765,Indicadores!AB105,Ofertas!$AG$748:$AG$2765,Indicadores!$AC$102,Ofertas!$L$748:$L$2765,Indicadores!$AD$102)</f>
        <v>457.88906100000003</v>
      </c>
      <c r="AI105" s="19">
        <f>AH105/$AH$104</f>
        <v>0.75241206534239191</v>
      </c>
      <c r="AK105" s="101" t="s">
        <v>3</v>
      </c>
      <c r="AL105" s="22" t="s">
        <v>9407</v>
      </c>
      <c r="AM105" s="23">
        <f>COUNTIFS(Ofertas!$T$748:$T$2765,Indicadores!AK105,Ofertas!$AG$748:$AG$2765,$AL$102,Ofertas!$L$748:$L$2765,Indicadores!$AM$102)</f>
        <v>0</v>
      </c>
      <c r="AN105" s="19">
        <f>AM105/$AD$104</f>
        <v>0</v>
      </c>
      <c r="AO105" s="7">
        <f>SUMIFS(Ofertas!$W$748:$W$2765,Ofertas!$T$748:$T$2765,Indicadores!AK105,Ofertas!$AG$748:$AG$2765,Indicadores!$AL$102,Ofertas!$L$748:$L$2765,Indicadores!$AM$102)</f>
        <v>0</v>
      </c>
      <c r="AP105" s="96">
        <f>AO105/$AF$104</f>
        <v>0</v>
      </c>
      <c r="AQ105" s="7">
        <f>SUMIFS(Ofertas!$X$748:$X$2765,Ofertas!$T$748:$T$2765,Indicadores!AK105,Ofertas!$AG$748:$AG$2765,Indicadores!$AL$102,Ofertas!$L$748:$L$2765,Indicadores!$AM$102)</f>
        <v>0</v>
      </c>
      <c r="AR105" s="19">
        <f>AQ105/$AH$104</f>
        <v>0</v>
      </c>
    </row>
    <row r="106" spans="1:50" ht="13.9">
      <c r="A106" s="101" t="s">
        <v>165</v>
      </c>
      <c r="B106" s="22" t="s">
        <v>9409</v>
      </c>
      <c r="C106" s="23">
        <f>COUNTIFS(Ofertas!$T$22:$T$2765,Indicadores!A106,Ofertas!$AG$22:$AG$2765,$B$102)</f>
        <v>87</v>
      </c>
      <c r="D106" s="19">
        <f t="shared" ref="D106:D109" si="126">C106/$C$104</f>
        <v>0.65413533834586468</v>
      </c>
      <c r="E106" s="7">
        <f>SUMIFS(Ofertas!$W$748:$W$2765,Ofertas!$T$748:$T$2765,Indicadores!A106,Ofertas!$AG$748:$AG$2765,Indicadores!$B$102)</f>
        <v>416989.8361111111</v>
      </c>
      <c r="F106" s="19">
        <f t="shared" ref="F106:F109" si="127">E106/$E$104</f>
        <v>0.88080336414395932</v>
      </c>
      <c r="G106" s="7">
        <f>SUMIFS(Ofertas!$X$748:$X$2765,Ofertas!$T$748:$T$2765,Indicadores!A106,Ofertas!$AG$748:$AG$2765,Indicadores!$B$102)</f>
        <v>14360.803319108421</v>
      </c>
      <c r="H106" s="19">
        <f t="shared" ref="H106:H109" si="128">G106/$G$104</f>
        <v>0.87050547444238047</v>
      </c>
      <c r="J106" s="101" t="s">
        <v>165</v>
      </c>
      <c r="K106" s="22" t="s">
        <v>9409</v>
      </c>
      <c r="L106" s="23">
        <f>COUNTIFS(Ofertas!$T$748:$T$2765,Indicadores!J106,Ofertas!$AG$748:$AG$2765,$K$102,Ofertas!$L$748:$L$2765,Indicadores!$L$102)</f>
        <v>49</v>
      </c>
      <c r="M106" s="19">
        <f t="shared" ref="M106:M109" si="129">L106/$L$104</f>
        <v>0.67123287671232879</v>
      </c>
      <c r="N106" s="7">
        <f>SUMIFS(Ofertas!$W$748:$W$2765,Ofertas!$T$748:$T$2765,Indicadores!J106,Ofertas!$AG$748:$AG$2765,Indicadores!$K$102,Ofertas!$L$748:$L$2765,Indicadores!$L$102)</f>
        <v>127656.66666666667</v>
      </c>
      <c r="O106" s="96">
        <f t="shared" ref="O106:O109" si="130">N106/$N$104</f>
        <v>0.88110951353423106</v>
      </c>
      <c r="P106" s="7">
        <f>SUMIFS(Ofertas!$X$748:$X$2765,Ofertas!$T$748:$T$2765,Indicadores!J106,Ofertas!$AG$748:$AG$2765,Indicadores!$K$102,Ofertas!$L$748:$L$2765,Indicadores!$L$102)</f>
        <v>4151.6416340000005</v>
      </c>
      <c r="Q106" s="19">
        <f t="shared" ref="Q106:Q109" si="131">P106/$P$104</f>
        <v>0.83592845062310417</v>
      </c>
      <c r="S106" s="101" t="s">
        <v>165</v>
      </c>
      <c r="T106" s="22" t="s">
        <v>9409</v>
      </c>
      <c r="U106" s="23">
        <f>COUNTIFS(Ofertas!$T$748:$T$2765,Indicadores!S106,Ofertas!$AG$748:$AG$2765,$T$102,Ofertas!$L$748:$L$2765,Indicadores!$U$102)</f>
        <v>30</v>
      </c>
      <c r="V106" s="19">
        <f t="shared" ref="V106:V109" si="132">U106/$U$104</f>
        <v>0.8571428571428571</v>
      </c>
      <c r="W106" s="7">
        <f>SUMIFS(Ofertas!$W$748:$W$2765,Ofertas!$T$748:$T$2765,Indicadores!S106,Ofertas!$AG$748:$AG$2765,Indicadores!$T$102,Ofertas!$L$748:$L$2765,Indicadores!$U$102)</f>
        <v>283653.16944444447</v>
      </c>
      <c r="X106" s="96">
        <f t="shared" ref="X106:X109" si="133">W106/$W$104</f>
        <v>0.91882134841721308</v>
      </c>
      <c r="Y106" s="7">
        <f>SUMIFS(Ofertas!$X$748:$X$2765,Ofertas!$T$748:$T$2765,Indicadores!S106,Ofertas!$AG$748:$AG$2765,Indicadores!$T$102,Ofertas!$L$748:$L$2765,Indicadores!$U$102)</f>
        <v>10031.189185108422</v>
      </c>
      <c r="Z106" s="19">
        <f t="shared" ref="Z106:Z109" si="134">Y106/$Y$104</f>
        <v>0.92073855605916044</v>
      </c>
      <c r="AB106" s="101" t="s">
        <v>165</v>
      </c>
      <c r="AC106" s="22" t="s">
        <v>9409</v>
      </c>
      <c r="AD106" s="23">
        <f>COUNTIFS(Ofertas!$T$748:$T$2765,Indicadores!AB106,Ofertas!$AG$748:$AG$2765,$AC$102,Ofertas!$L$748:$L$2765,Indicadores!$AD$102)</f>
        <v>7</v>
      </c>
      <c r="AE106" s="19">
        <f t="shared" ref="AE106:AE109" si="135">AD106/$AD$104</f>
        <v>0.29166666666666669</v>
      </c>
      <c r="AF106" s="7">
        <f>SUMIFS(Ofertas!$W$748:$W$2765,Ofertas!$T$748:$T$2765,Indicadores!AB106,Ofertas!$AG$748:$AG$2765,Indicadores!$AC$102,Ofertas!$L$748:$L$2765,Indicadores!$AD$102)</f>
        <v>4978</v>
      </c>
      <c r="AG106" s="96">
        <f t="shared" ref="AG106:AG109" si="136">AF106/$AF$104</f>
        <v>0.26032841752954711</v>
      </c>
      <c r="AH106" s="7">
        <f>SUMIFS(Ofertas!$X$748:$X$2765,Ofertas!$T$748:$T$2765,Indicadores!AB106,Ofertas!$AG$748:$AG$2765,Indicadores!$AC$102,Ofertas!$L$748:$L$2765,Indicadores!$AD$102)</f>
        <v>150.67250000000001</v>
      </c>
      <c r="AI106" s="19">
        <f t="shared" ref="AI106:AI109" si="137">AH106/$AH$104</f>
        <v>0.24758793465760814</v>
      </c>
      <c r="AK106" s="101" t="s">
        <v>165</v>
      </c>
      <c r="AL106" s="22" t="s">
        <v>9409</v>
      </c>
      <c r="AM106" s="23">
        <f>COUNTIFS(Ofertas!$T$748:$T$2765,Indicadores!AK106,Ofertas!$AG$748:$AG$2765,$AL$102,Ofertas!$L$748:$L$2765,Indicadores!$AM$102)</f>
        <v>0</v>
      </c>
      <c r="AN106" s="19">
        <f t="shared" ref="AN106:AN109" si="138">AM106/$AD$104</f>
        <v>0</v>
      </c>
      <c r="AO106" s="7">
        <f>SUMIFS(Ofertas!$W$748:$W$2765,Ofertas!$T$748:$T$2765,Indicadores!AK106,Ofertas!$AG$748:$AG$2765,Indicadores!$AL$102,Ofertas!$L$748:$L$2765,Indicadores!$AM$102)</f>
        <v>0</v>
      </c>
      <c r="AP106" s="96">
        <f t="shared" ref="AP106:AP109" si="139">AO106/$AF$104</f>
        <v>0</v>
      </c>
      <c r="AQ106" s="7">
        <f>SUMIFS(Ofertas!$X$748:$X$2765,Ofertas!$T$748:$T$2765,Indicadores!AK106,Ofertas!$AG$748:$AG$2765,Indicadores!$AL$102,Ofertas!$L$748:$L$2765,Indicadores!$AM$102)</f>
        <v>0</v>
      </c>
      <c r="AR106" s="19">
        <f t="shared" ref="AR106:AR109" si="140">AQ106/$AH$104</f>
        <v>0</v>
      </c>
    </row>
    <row r="107" spans="1:50" ht="13.9">
      <c r="A107" s="101" t="s">
        <v>168</v>
      </c>
      <c r="B107" s="22" t="s">
        <v>9411</v>
      </c>
      <c r="C107" s="23">
        <f>COUNTIFS(Ofertas!$T$22:$T$2765,Indicadores!A107,Ofertas!$AG$22:$AG$2765,$B$102)</f>
        <v>2</v>
      </c>
      <c r="D107" s="19">
        <f t="shared" si="126"/>
        <v>1.5037593984962405E-2</v>
      </c>
      <c r="E107" s="7">
        <f>SUMIFS(Ofertas!$W$748:$W$2765,Ofertas!$T$748:$T$2765,Indicadores!A107,Ofertas!$AG$748:$AG$2765,Indicadores!$B$102)</f>
        <v>8967</v>
      </c>
      <c r="F107" s="19">
        <f t="shared" si="127"/>
        <v>1.8940902348934804E-2</v>
      </c>
      <c r="G107" s="7">
        <f>SUMIFS(Ofertas!$X$748:$X$2765,Ofertas!$T$748:$T$2765,Indicadores!A107,Ofertas!$AG$748:$AG$2765,Indicadores!$B$102)</f>
        <v>311.95008000000001</v>
      </c>
      <c r="H107" s="19">
        <f t="shared" si="128"/>
        <v>1.8909405439137911E-2</v>
      </c>
      <c r="J107" s="101" t="s">
        <v>168</v>
      </c>
      <c r="K107" s="22" t="s">
        <v>9411</v>
      </c>
      <c r="L107" s="23">
        <f>COUNTIFS(Ofertas!$T$748:$T$2765,Indicadores!J107,Ofertas!$AG$748:$AG$2765,$K$102,Ofertas!$L$748:$L$2765,Indicadores!$L$102)</f>
        <v>1</v>
      </c>
      <c r="M107" s="19">
        <f t="shared" si="129"/>
        <v>1.3698630136986301E-2</v>
      </c>
      <c r="N107" s="7">
        <f>SUMIFS(Ofertas!$W$748:$W$2765,Ofertas!$T$748:$T$2765,Indicadores!J107,Ofertas!$AG$748:$AG$2765,Indicadores!$K$102,Ofertas!$L$748:$L$2765,Indicadores!$L$102)</f>
        <v>355</v>
      </c>
      <c r="O107" s="96">
        <f t="shared" si="130"/>
        <v>2.4502745173615582E-3</v>
      </c>
      <c r="P107" s="7">
        <f>SUMIFS(Ofertas!$X$748:$X$2765,Ofertas!$T$748:$T$2765,Indicadores!J107,Ofertas!$AG$748:$AG$2765,Indicadores!$K$102,Ofertas!$L$748:$L$2765,Indicadores!$L$102)</f>
        <v>19</v>
      </c>
      <c r="Q107" s="19">
        <f t="shared" si="131"/>
        <v>3.8256289829467919E-3</v>
      </c>
      <c r="S107" s="101" t="s">
        <v>168</v>
      </c>
      <c r="T107" s="22" t="s">
        <v>9411</v>
      </c>
      <c r="U107" s="23">
        <f>COUNTIFS(Ofertas!$T$748:$T$2765,Indicadores!S107,Ofertas!$AG$748:$AG$2765,$T$102,Ofertas!$L$748:$L$2765,Indicadores!$U$102)</f>
        <v>1</v>
      </c>
      <c r="V107" s="19">
        <f t="shared" si="132"/>
        <v>2.8571428571428571E-2</v>
      </c>
      <c r="W107" s="7">
        <f>SUMIFS(Ofertas!$W$748:$W$2765,Ofertas!$T$748:$T$2765,Indicadores!S107,Ofertas!$AG$748:$AG$2765,Indicadores!$T$102,Ofertas!$L$748:$L$2765,Indicadores!$U$102)</f>
        <v>8612</v>
      </c>
      <c r="X107" s="96">
        <f t="shared" si="133"/>
        <v>2.7896354791547062E-2</v>
      </c>
      <c r="Y107" s="7">
        <f>SUMIFS(Ofertas!$X$748:$X$2765,Ofertas!$T$748:$T$2765,Indicadores!S107,Ofertas!$AG$748:$AG$2765,Indicadores!$T$102,Ofertas!$L$748:$L$2765,Indicadores!$U$102)</f>
        <v>292.95008000000001</v>
      </c>
      <c r="Z107" s="19">
        <f t="shared" si="134"/>
        <v>2.6889178210001047E-2</v>
      </c>
      <c r="AB107" s="101" t="s">
        <v>168</v>
      </c>
      <c r="AC107" s="22" t="s">
        <v>9411</v>
      </c>
      <c r="AD107" s="23">
        <f>COUNTIFS(Ofertas!$T$748:$T$2765,Indicadores!AB107,Ofertas!$AG$748:$AG$2765,$AC$102,Ofertas!$L$748:$L$2765,Indicadores!$AD$102)</f>
        <v>0</v>
      </c>
      <c r="AE107" s="19">
        <f t="shared" si="135"/>
        <v>0</v>
      </c>
      <c r="AF107" s="7">
        <f>SUMIFS(Ofertas!$W$748:$W$2765,Ofertas!$T$748:$T$2765,Indicadores!AB107,Ofertas!$AG$748:$AG$2765,Indicadores!$AC$102,Ofertas!$L$748:$L$2765,Indicadores!$AD$102)</f>
        <v>0</v>
      </c>
      <c r="AG107" s="96">
        <f t="shared" si="136"/>
        <v>0</v>
      </c>
      <c r="AH107" s="7">
        <f>SUMIFS(Ofertas!$X$748:$X$2765,Ofertas!$T$748:$T$2765,Indicadores!AB107,Ofertas!$AG$748:$AG$2765,Indicadores!$AC$102,Ofertas!$L$748:$L$2765,Indicadores!$AD$102)</f>
        <v>0</v>
      </c>
      <c r="AI107" s="19">
        <f t="shared" si="137"/>
        <v>0</v>
      </c>
      <c r="AK107" s="101" t="s">
        <v>168</v>
      </c>
      <c r="AL107" s="22" t="s">
        <v>9411</v>
      </c>
      <c r="AM107" s="23">
        <f>COUNTIFS(Ofertas!$T$748:$T$2765,Indicadores!AK107,Ofertas!$AG$748:$AG$2765,$AL$102,Ofertas!$L$748:$L$2765,Indicadores!$AM$102)</f>
        <v>0</v>
      </c>
      <c r="AN107" s="19">
        <f t="shared" si="138"/>
        <v>0</v>
      </c>
      <c r="AO107" s="7">
        <f>SUMIFS(Ofertas!$W$748:$W$2765,Ofertas!$T$748:$T$2765,Indicadores!AK107,Ofertas!$AG$748:$AG$2765,Indicadores!$AL$102,Ofertas!$L$748:$L$2765,Indicadores!$AM$102)</f>
        <v>0</v>
      </c>
      <c r="AP107" s="96">
        <f t="shared" si="139"/>
        <v>0</v>
      </c>
      <c r="AQ107" s="7">
        <f>SUMIFS(Ofertas!$X$748:$X$2765,Ofertas!$T$748:$T$2765,Indicadores!AK107,Ofertas!$AG$748:$AG$2765,Indicadores!$AL$102,Ofertas!$L$748:$L$2765,Indicadores!$AM$102)</f>
        <v>0</v>
      </c>
      <c r="AR107" s="19">
        <f t="shared" si="140"/>
        <v>0</v>
      </c>
    </row>
    <row r="108" spans="1:50" ht="13.9">
      <c r="A108" s="101" t="s">
        <v>158</v>
      </c>
      <c r="B108" s="22" t="s">
        <v>159</v>
      </c>
      <c r="C108" s="23">
        <f>COUNTIFS(Ofertas!$T$22:$T$2765,Indicadores!A108,Ofertas!$AG$22:$AG$2765,$B$102)</f>
        <v>0</v>
      </c>
      <c r="D108" s="19">
        <f t="shared" si="126"/>
        <v>0</v>
      </c>
      <c r="E108" s="7">
        <f>SUMIFS(Ofertas!$W$748:$W$2765,Ofertas!$T$748:$T$2765,Indicadores!A108,Ofertas!$AG$748:$AG$2765,Indicadores!$B$102)</f>
        <v>0</v>
      </c>
      <c r="F108" s="19">
        <f t="shared" si="127"/>
        <v>0</v>
      </c>
      <c r="G108" s="7">
        <f>SUMIFS(Ofertas!$X$748:$X$2765,Ofertas!$T$748:$T$2765,Indicadores!A108,Ofertas!$AG$748:$AG$2765,Indicadores!$B$102)</f>
        <v>0</v>
      </c>
      <c r="H108" s="19">
        <f t="shared" si="128"/>
        <v>0</v>
      </c>
      <c r="J108" s="101" t="s">
        <v>158</v>
      </c>
      <c r="K108" s="22" t="s">
        <v>159</v>
      </c>
      <c r="L108" s="23">
        <f>COUNTIFS(Ofertas!$T$748:$T$2765,Indicadores!J108,Ofertas!$AG$748:$AG$2765,$K$102,Ofertas!$L$748:$L$2765,Indicadores!$L$102)</f>
        <v>0</v>
      </c>
      <c r="M108" s="19">
        <f t="shared" si="129"/>
        <v>0</v>
      </c>
      <c r="N108" s="7">
        <f>SUMIFS(Ofertas!$W$748:$W$2765,Ofertas!$T$748:$T$2765,Indicadores!J108,Ofertas!$AG$748:$AG$2765,Indicadores!$K$102,Ofertas!$L$748:$L$2765,Indicadores!$L$102)</f>
        <v>0</v>
      </c>
      <c r="O108" s="96">
        <f t="shared" si="130"/>
        <v>0</v>
      </c>
      <c r="P108" s="7">
        <f>SUMIFS(Ofertas!$X$748:$X$2765,Ofertas!$T$748:$T$2765,Indicadores!J108,Ofertas!$AG$748:$AG$2765,Indicadores!$K$102,Ofertas!$L$748:$L$2765,Indicadores!$L$102)</f>
        <v>0</v>
      </c>
      <c r="Q108" s="19">
        <f t="shared" si="131"/>
        <v>0</v>
      </c>
      <c r="S108" s="101" t="s">
        <v>158</v>
      </c>
      <c r="T108" s="22" t="s">
        <v>159</v>
      </c>
      <c r="U108" s="23">
        <f>COUNTIFS(Ofertas!$T$748:$T$2765,Indicadores!S108,Ofertas!$AG$748:$AG$2765,$T$102,Ofertas!$L$748:$L$2765,Indicadores!$U$102)</f>
        <v>0</v>
      </c>
      <c r="V108" s="19">
        <f t="shared" si="132"/>
        <v>0</v>
      </c>
      <c r="W108" s="7">
        <f>SUMIFS(Ofertas!$W$748:$W$2765,Ofertas!$T$748:$T$2765,Indicadores!S108,Ofertas!$AG$748:$AG$2765,Indicadores!$T$102,Ofertas!$L$748:$L$2765,Indicadores!$U$102)</f>
        <v>0</v>
      </c>
      <c r="X108" s="96">
        <f t="shared" si="133"/>
        <v>0</v>
      </c>
      <c r="Y108" s="7">
        <f>SUMIFS(Ofertas!$X$748:$X$2765,Ofertas!$T$748:$T$2765,Indicadores!S108,Ofertas!$AG$748:$AG$2765,Indicadores!$T$102,Ofertas!$L$748:$L$2765,Indicadores!$U$102)</f>
        <v>0</v>
      </c>
      <c r="Z108" s="19">
        <f t="shared" si="134"/>
        <v>0</v>
      </c>
      <c r="AB108" s="101" t="s">
        <v>158</v>
      </c>
      <c r="AC108" s="22" t="s">
        <v>159</v>
      </c>
      <c r="AD108" s="23">
        <f>COUNTIFS(Ofertas!$T$748:$T$2765,Indicadores!AB108,Ofertas!$AG$748:$AG$2765,$AC$102,Ofertas!$L$748:$L$2765,Indicadores!$AD$102)</f>
        <v>0</v>
      </c>
      <c r="AE108" s="19">
        <f t="shared" si="135"/>
        <v>0</v>
      </c>
      <c r="AF108" s="7">
        <f>SUMIFS(Ofertas!$W$748:$W$2765,Ofertas!$T$748:$T$2765,Indicadores!AB108,Ofertas!$AG$748:$AG$2765,Indicadores!$AC$102,Ofertas!$L$748:$L$2765,Indicadores!$AD$102)</f>
        <v>0</v>
      </c>
      <c r="AG108" s="96">
        <f t="shared" si="136"/>
        <v>0</v>
      </c>
      <c r="AH108" s="7">
        <f>SUMIFS(Ofertas!$X$748:$X$2765,Ofertas!$T$748:$T$2765,Indicadores!AB108,Ofertas!$AG$748:$AG$2765,Indicadores!$AC$102,Ofertas!$L$748:$L$2765,Indicadores!$AD$102)</f>
        <v>0</v>
      </c>
      <c r="AI108" s="19">
        <f t="shared" si="137"/>
        <v>0</v>
      </c>
      <c r="AK108" s="101" t="s">
        <v>158</v>
      </c>
      <c r="AL108" s="22" t="s">
        <v>159</v>
      </c>
      <c r="AM108" s="23">
        <f>COUNTIFS(Ofertas!$T$748:$T$2765,Indicadores!AK108,Ofertas!$AG$748:$AG$2765,$AL$102,Ofertas!$L$748:$L$2765,Indicadores!$AM$102)</f>
        <v>0</v>
      </c>
      <c r="AN108" s="19">
        <f t="shared" si="138"/>
        <v>0</v>
      </c>
      <c r="AO108" s="7">
        <f>SUMIFS(Ofertas!$W$748:$W$2765,Ofertas!$T$748:$T$2765,Indicadores!AK108,Ofertas!$AG$748:$AG$2765,Indicadores!$AL$102,Ofertas!$L$748:$L$2765,Indicadores!$AM$102)</f>
        <v>0</v>
      </c>
      <c r="AP108" s="96">
        <f t="shared" si="139"/>
        <v>0</v>
      </c>
      <c r="AQ108" s="7">
        <f>SUMIFS(Ofertas!$X$748:$X$2765,Ofertas!$T$748:$T$2765,Indicadores!AK108,Ofertas!$AG$748:$AG$2765,Indicadores!$AL$102,Ofertas!$L$748:$L$2765,Indicadores!$AM$102)</f>
        <v>0</v>
      </c>
      <c r="AR108" s="19">
        <f t="shared" si="140"/>
        <v>0</v>
      </c>
    </row>
    <row r="109" spans="1:50" ht="13.9">
      <c r="A109" s="101" t="s">
        <v>64</v>
      </c>
      <c r="B109" s="22" t="s">
        <v>9412</v>
      </c>
      <c r="C109" s="23">
        <f>COUNTIFS(Ofertas!$T$22:$T$2765,Indicadores!A109,Ofertas!$AG$22:$AG$2765,$B$102)</f>
        <v>0</v>
      </c>
      <c r="D109" s="19">
        <f t="shared" si="126"/>
        <v>0</v>
      </c>
      <c r="E109" s="7">
        <f>SUMIFS(Ofertas!$W$748:$W$2765,Ofertas!$T$748:$T$2765,Indicadores!A109,Ofertas!$AG$748:$AG$2765,Indicadores!$B$102)</f>
        <v>0</v>
      </c>
      <c r="F109" s="19">
        <f t="shared" si="127"/>
        <v>0</v>
      </c>
      <c r="G109" s="7">
        <f>SUMIFS(Ofertas!$X$748:$X$2765,Ofertas!$T$748:$T$2765,Indicadores!A109,Ofertas!$AG$748:$AG$2765,Indicadores!$B$102)</f>
        <v>0</v>
      </c>
      <c r="H109" s="19">
        <f t="shared" si="128"/>
        <v>0</v>
      </c>
      <c r="J109" s="101" t="s">
        <v>64</v>
      </c>
      <c r="K109" s="22" t="s">
        <v>9412</v>
      </c>
      <c r="L109" s="23">
        <f>COUNTIFS(Ofertas!$T$748:$T$2765,Indicadores!J109,Ofertas!$AG$748:$AG$2765,$K$102,Ofertas!$L$748:$L$2765,Indicadores!$L$102)</f>
        <v>0</v>
      </c>
      <c r="M109" s="19">
        <f t="shared" si="129"/>
        <v>0</v>
      </c>
      <c r="N109" s="7">
        <f>SUMIFS(Ofertas!$W$748:$W$2765,Ofertas!$T$748:$T$2765,Indicadores!J109,Ofertas!$AG$748:$AG$2765,Indicadores!$K$102,Ofertas!$L$748:$L$2765,Indicadores!$L$102)</f>
        <v>0</v>
      </c>
      <c r="O109" s="96">
        <f t="shared" si="130"/>
        <v>0</v>
      </c>
      <c r="P109" s="7">
        <f>SUMIFS(Ofertas!$X$748:$X$2765,Ofertas!$T$748:$T$2765,Indicadores!J109,Ofertas!$AG$748:$AG$2765,Indicadores!$K$102,Ofertas!$L$748:$L$2765,Indicadores!$L$102)</f>
        <v>0</v>
      </c>
      <c r="Q109" s="19">
        <f t="shared" si="131"/>
        <v>0</v>
      </c>
      <c r="S109" s="101" t="s">
        <v>64</v>
      </c>
      <c r="T109" s="22" t="s">
        <v>9412</v>
      </c>
      <c r="U109" s="23">
        <f>COUNTIFS(Ofertas!$T$748:$T$2765,Indicadores!S109,Ofertas!$AG$748:$AG$2765,$T$102,Ofertas!$L$748:$L$2765,Indicadores!$U$102)</f>
        <v>0</v>
      </c>
      <c r="V109" s="19">
        <f t="shared" si="132"/>
        <v>0</v>
      </c>
      <c r="W109" s="7">
        <f>SUMIFS(Ofertas!$W$748:$W$2765,Ofertas!$T$748:$T$2765,Indicadores!S109,Ofertas!$AG$748:$AG$2765,Indicadores!$T$102,Ofertas!$L$748:$L$2765,Indicadores!$U$102)</f>
        <v>0</v>
      </c>
      <c r="X109" s="96">
        <f t="shared" si="133"/>
        <v>0</v>
      </c>
      <c r="Y109" s="7">
        <f>SUMIFS(Ofertas!$X$748:$X$2765,Ofertas!$T$748:$T$2765,Indicadores!S109,Ofertas!$AG$748:$AG$2765,Indicadores!$T$102,Ofertas!$L$748:$L$2765,Indicadores!$U$102)</f>
        <v>0</v>
      </c>
      <c r="Z109" s="19">
        <f t="shared" si="134"/>
        <v>0</v>
      </c>
      <c r="AB109" s="101" t="s">
        <v>64</v>
      </c>
      <c r="AC109" s="22" t="s">
        <v>9412</v>
      </c>
      <c r="AD109" s="23">
        <f>COUNTIFS(Ofertas!$T$748:$T$2765,Indicadores!AB109,Ofertas!$AG$748:$AG$2765,$AC$102,Ofertas!$L$748:$L$2765,Indicadores!$AD$102)</f>
        <v>0</v>
      </c>
      <c r="AE109" s="19">
        <f t="shared" si="135"/>
        <v>0</v>
      </c>
      <c r="AF109" s="7">
        <f>SUMIFS(Ofertas!$W$748:$W$2765,Ofertas!$T$748:$T$2765,Indicadores!AB109,Ofertas!$AG$748:$AG$2765,Indicadores!$AC$102,Ofertas!$L$748:$L$2765,Indicadores!$AD$102)</f>
        <v>0</v>
      </c>
      <c r="AG109" s="96">
        <f t="shared" si="136"/>
        <v>0</v>
      </c>
      <c r="AH109" s="7">
        <f>SUMIFS(Ofertas!$X$748:$X$2765,Ofertas!$T$748:$T$2765,Indicadores!AB109,Ofertas!$AG$748:$AG$2765,Indicadores!$AC$102,Ofertas!$L$748:$L$2765,Indicadores!$AD$102)</f>
        <v>0</v>
      </c>
      <c r="AI109" s="19">
        <f t="shared" si="137"/>
        <v>0</v>
      </c>
      <c r="AK109" s="101" t="s">
        <v>64</v>
      </c>
      <c r="AL109" s="22" t="s">
        <v>9412</v>
      </c>
      <c r="AM109" s="23">
        <f>COUNTIFS(Ofertas!$T$748:$T$2765,Indicadores!AK109,Ofertas!$AG$748:$AG$2765,$AL$102,Ofertas!$L$748:$L$2765,Indicadores!$AM$102)</f>
        <v>0</v>
      </c>
      <c r="AN109" s="19">
        <f t="shared" si="138"/>
        <v>0</v>
      </c>
      <c r="AO109" s="7">
        <f>SUMIFS(Ofertas!$W$748:$W$2765,Ofertas!$T$748:$T$2765,Indicadores!AK109,Ofertas!$AG$748:$AG$2765,Indicadores!$AL$102,Ofertas!$L$748:$L$2765,Indicadores!$AM$102)</f>
        <v>0</v>
      </c>
      <c r="AP109" s="96">
        <f t="shared" si="139"/>
        <v>0</v>
      </c>
      <c r="AQ109" s="7">
        <f>SUMIFS(Ofertas!$X$748:$X$2765,Ofertas!$T$748:$T$2765,Indicadores!AK109,Ofertas!$AG$748:$AG$2765,Indicadores!$AL$102,Ofertas!$L$748:$L$2765,Indicadores!$AM$102)</f>
        <v>0</v>
      </c>
      <c r="AR109" s="19">
        <f t="shared" si="140"/>
        <v>0</v>
      </c>
    </row>
    <row r="110" spans="1:50" s="97" customFormat="1"/>
    <row r="111" spans="1:50" s="97" customFormat="1" ht="13.9">
      <c r="B111" s="98">
        <v>2022</v>
      </c>
      <c r="J111" s="99"/>
      <c r="K111" s="98">
        <v>2022</v>
      </c>
      <c r="L111" s="100" t="s">
        <v>120</v>
      </c>
      <c r="M111" s="398" t="s">
        <v>9392</v>
      </c>
      <c r="N111" s="399"/>
      <c r="O111" s="399"/>
      <c r="P111" s="399"/>
      <c r="Q111" s="400"/>
      <c r="S111" s="99"/>
      <c r="T111" s="98">
        <v>2022</v>
      </c>
      <c r="U111" s="100" t="s">
        <v>123</v>
      </c>
      <c r="V111" s="398" t="s">
        <v>9393</v>
      </c>
      <c r="W111" s="399"/>
      <c r="X111" s="399"/>
      <c r="Y111" s="399"/>
      <c r="Z111" s="400"/>
      <c r="AB111" s="99"/>
      <c r="AC111" s="98">
        <v>2022</v>
      </c>
      <c r="AD111" s="100" t="s">
        <v>129</v>
      </c>
      <c r="AE111" s="398" t="s">
        <v>9413</v>
      </c>
      <c r="AF111" s="399"/>
      <c r="AG111" s="399"/>
      <c r="AH111" s="399"/>
      <c r="AI111" s="400"/>
      <c r="AK111" s="99"/>
      <c r="AL111" s="98">
        <v>2022</v>
      </c>
      <c r="AM111" s="100" t="s">
        <v>227</v>
      </c>
      <c r="AN111" s="398" t="s">
        <v>9414</v>
      </c>
      <c r="AO111" s="399"/>
      <c r="AP111" s="399"/>
      <c r="AQ111" s="399"/>
      <c r="AR111" s="400"/>
    </row>
    <row r="112" spans="1:50" ht="13.9">
      <c r="B112" s="4" t="s">
        <v>9397</v>
      </c>
      <c r="C112" s="5" t="s">
        <v>9398</v>
      </c>
      <c r="D112" s="5" t="s">
        <v>9399</v>
      </c>
      <c r="E112" s="5" t="s">
        <v>9400</v>
      </c>
      <c r="F112" s="5" t="s">
        <v>9401</v>
      </c>
      <c r="G112" s="5" t="s">
        <v>9402</v>
      </c>
      <c r="H112" s="5" t="s">
        <v>9403</v>
      </c>
      <c r="J112" s="102"/>
      <c r="K112" s="4" t="s">
        <v>9397</v>
      </c>
      <c r="L112" s="5" t="s">
        <v>9398</v>
      </c>
      <c r="M112" s="5" t="s">
        <v>9399</v>
      </c>
      <c r="N112" s="5" t="s">
        <v>9400</v>
      </c>
      <c r="O112" s="5" t="s">
        <v>9401</v>
      </c>
      <c r="P112" s="5" t="s">
        <v>9402</v>
      </c>
      <c r="Q112" s="5" t="s">
        <v>9403</v>
      </c>
      <c r="S112" s="102"/>
      <c r="T112" s="4" t="s">
        <v>9397</v>
      </c>
      <c r="U112" s="5" t="s">
        <v>9398</v>
      </c>
      <c r="V112" s="5" t="s">
        <v>9399</v>
      </c>
      <c r="W112" s="5" t="s">
        <v>9400</v>
      </c>
      <c r="X112" s="5" t="s">
        <v>9401</v>
      </c>
      <c r="Y112" s="5" t="s">
        <v>9402</v>
      </c>
      <c r="Z112" s="5" t="s">
        <v>9403</v>
      </c>
      <c r="AB112" s="102"/>
      <c r="AC112" s="4" t="s">
        <v>9397</v>
      </c>
      <c r="AD112" s="5" t="s">
        <v>9398</v>
      </c>
      <c r="AE112" s="5" t="s">
        <v>9399</v>
      </c>
      <c r="AF112" s="5" t="s">
        <v>9400</v>
      </c>
      <c r="AG112" s="5" t="s">
        <v>9401</v>
      </c>
      <c r="AH112" s="5" t="s">
        <v>9402</v>
      </c>
      <c r="AI112" s="5" t="s">
        <v>9403</v>
      </c>
      <c r="AK112" s="102"/>
      <c r="AL112" s="4" t="s">
        <v>9397</v>
      </c>
      <c r="AM112" s="5" t="s">
        <v>9398</v>
      </c>
      <c r="AN112" s="5" t="s">
        <v>9399</v>
      </c>
      <c r="AO112" s="5" t="s">
        <v>9400</v>
      </c>
      <c r="AP112" s="5" t="s">
        <v>9401</v>
      </c>
      <c r="AQ112" s="5" t="s">
        <v>9402</v>
      </c>
      <c r="AR112" s="5" t="s">
        <v>9403</v>
      </c>
    </row>
    <row r="113" spans="1:50" ht="13.9">
      <c r="B113" s="25" t="s">
        <v>9405</v>
      </c>
      <c r="C113" s="7">
        <f>SUM(C114:C118)</f>
        <v>177</v>
      </c>
      <c r="D113" s="19">
        <f>SUM(D114:D118)</f>
        <v>1</v>
      </c>
      <c r="E113" s="7">
        <f t="shared" ref="E113" si="141">SUM(E114:E118)</f>
        <v>417981.5</v>
      </c>
      <c r="F113" s="19">
        <f>SUM(F114:F118)</f>
        <v>1</v>
      </c>
      <c r="G113" s="7">
        <f>SUM(G114:G118)</f>
        <v>16953.844136699998</v>
      </c>
      <c r="H113" s="19">
        <f t="shared" ref="H113" si="142">SUM(H114:H118)</f>
        <v>1</v>
      </c>
      <c r="J113" s="103"/>
      <c r="K113" s="25" t="s">
        <v>9405</v>
      </c>
      <c r="L113" s="7">
        <f>SUM(L114:L118)</f>
        <v>86</v>
      </c>
      <c r="M113" s="19">
        <f>SUM(M114:M118)</f>
        <v>1</v>
      </c>
      <c r="N113" s="7">
        <f t="shared" ref="N113:Q113" si="143">SUM(N114:N118)</f>
        <v>118018</v>
      </c>
      <c r="O113" s="19">
        <f t="shared" si="143"/>
        <v>1</v>
      </c>
      <c r="P113" s="7">
        <f t="shared" si="143"/>
        <v>4897.1447820000003</v>
      </c>
      <c r="Q113" s="19">
        <f t="shared" si="143"/>
        <v>1</v>
      </c>
      <c r="S113" s="104"/>
      <c r="T113" s="25" t="s">
        <v>9405</v>
      </c>
      <c r="U113" s="7">
        <f>SUM(U114:U118)</f>
        <v>41</v>
      </c>
      <c r="V113" s="19">
        <f>SUM(V114:V118)</f>
        <v>1</v>
      </c>
      <c r="W113" s="7">
        <f t="shared" ref="W113:Z113" si="144">SUM(W114:W118)</f>
        <v>245650.5</v>
      </c>
      <c r="X113" s="19">
        <f t="shared" si="144"/>
        <v>1</v>
      </c>
      <c r="Y113" s="7">
        <f t="shared" si="144"/>
        <v>10275.190324700001</v>
      </c>
      <c r="Z113" s="19">
        <f t="shared" si="144"/>
        <v>1</v>
      </c>
      <c r="AB113" s="104"/>
      <c r="AC113" s="25" t="s">
        <v>9405</v>
      </c>
      <c r="AD113" s="7">
        <f>SUM(AD114:AD118)</f>
        <v>50</v>
      </c>
      <c r="AE113" s="19">
        <f>SUM(AE114:AE118)</f>
        <v>1</v>
      </c>
      <c r="AF113" s="7">
        <f t="shared" ref="AF113:AI113" si="145">SUM(AF114:AF118)</f>
        <v>54313</v>
      </c>
      <c r="AG113" s="19">
        <f t="shared" si="145"/>
        <v>1</v>
      </c>
      <c r="AH113" s="7">
        <f t="shared" si="145"/>
        <v>1781.5090300000002</v>
      </c>
      <c r="AI113" s="19">
        <f t="shared" si="145"/>
        <v>1</v>
      </c>
      <c r="AK113" s="104"/>
      <c r="AL113" s="25" t="s">
        <v>9405</v>
      </c>
      <c r="AM113" s="7">
        <f>SUM(AM114:AM118)</f>
        <v>3</v>
      </c>
      <c r="AN113" s="19">
        <f>SUM(AN114:AN118)</f>
        <v>1</v>
      </c>
      <c r="AO113" s="7">
        <f t="shared" ref="AO113:AR113" si="146">SUM(AO114:AO118)</f>
        <v>0</v>
      </c>
      <c r="AP113" s="19" t="e">
        <f t="shared" si="146"/>
        <v>#DIV/0!</v>
      </c>
      <c r="AQ113" s="7">
        <f t="shared" si="146"/>
        <v>0</v>
      </c>
      <c r="AR113" s="19" t="e">
        <f t="shared" si="146"/>
        <v>#DIV/0!</v>
      </c>
      <c r="AT113" s="107"/>
      <c r="AU113" s="107"/>
      <c r="AV113" s="107"/>
      <c r="AW113" s="108"/>
      <c r="AX113" s="108"/>
    </row>
    <row r="114" spans="1:50" ht="13.9">
      <c r="A114" s="101" t="s">
        <v>3</v>
      </c>
      <c r="B114" s="22" t="s">
        <v>9407</v>
      </c>
      <c r="C114" s="23">
        <f>COUNTIFS(Ofertas!$T$22:$T$2765,Indicadores!A114,Ofertas!$AG$22:$AG$2765,$B$111)</f>
        <v>81</v>
      </c>
      <c r="D114" s="19">
        <f>C114/$C$113</f>
        <v>0.4576271186440678</v>
      </c>
      <c r="E114" s="7">
        <f>SUMIFS(Ofertas!$W$748:$W$2765,Ofertas!$T$748:$T$2765,Indicadores!A114,Ofertas!$AG$748:$AG$2765,Indicadores!$B$111)</f>
        <v>96263</v>
      </c>
      <c r="F114" s="19">
        <f>E114/$E$113</f>
        <v>0.23030445127356114</v>
      </c>
      <c r="G114" s="7">
        <f>SUMIFS(Ofertas!$X$748:$X$2765,Ofertas!$T$748:$T$2765,Indicadores!A114,Ofertas!$AG$748:$AG$2765,Indicadores!$B$111)</f>
        <v>3686.2100059999998</v>
      </c>
      <c r="H114" s="19">
        <f>G114/$G$113</f>
        <v>0.21742620589630515</v>
      </c>
      <c r="J114" s="101" t="s">
        <v>3</v>
      </c>
      <c r="K114" s="22" t="s">
        <v>9407</v>
      </c>
      <c r="L114" s="23">
        <f>COUNTIFS(Ofertas!$T$748:$T$2765,Indicadores!J114,Ofertas!$AG$748:$AG$2765,$K$111,Ofertas!$L$748:$L$2765,Indicadores!$L$111)</f>
        <v>41</v>
      </c>
      <c r="M114" s="19">
        <f>L114/$L$113</f>
        <v>0.47674418604651164</v>
      </c>
      <c r="N114" s="7">
        <f>SUMIFS(Ofertas!$W$748:$W$2765,Ofertas!$T$748:$T$2765,Indicadores!J114,Ofertas!$AG$748:$AG$2765,Indicadores!$K$111,Ofertas!$L$748:$L$2765,Indicadores!$L$111)</f>
        <v>51906</v>
      </c>
      <c r="O114" s="96">
        <f>N114/$N$113</f>
        <v>0.43981426562049858</v>
      </c>
      <c r="P114" s="7">
        <f>SUMIFS(Ofertas!$X$748:$X$2765,Ofertas!$T$748:$T$2765,Indicadores!J114,Ofertas!$AG$748:$AG$2765,Indicadores!$K$111,Ofertas!$L$748:$L$2765,Indicadores!$L$111)</f>
        <v>2058.0439710000001</v>
      </c>
      <c r="Q114" s="19">
        <f>P114/$P$113</f>
        <v>0.42025385456533149</v>
      </c>
      <c r="S114" s="101" t="s">
        <v>3</v>
      </c>
      <c r="T114" s="22" t="s">
        <v>9407</v>
      </c>
      <c r="U114" s="23">
        <f>COUNTIFS(Ofertas!$T$748:$T$2765,Indicadores!S114,Ofertas!$AG$748:$AG$2765,$T$111,Ofertas!$L$748:$L$2765,Indicadores!$U$111)</f>
        <v>5</v>
      </c>
      <c r="V114" s="19">
        <f>U114/$U$113</f>
        <v>0.12195121951219512</v>
      </c>
      <c r="W114" s="7">
        <f>SUMIFS(Ofertas!$W$748:$W$2765,Ofertas!$T$748:$T$2765,Indicadores!S114,Ofertas!$AG$748:$AG$2765,Indicadores!$T$111,Ofertas!$L$748:$L$2765,Indicadores!$U$111)</f>
        <v>22068</v>
      </c>
      <c r="X114" s="96">
        <f>W114/$W$113</f>
        <v>8.9834948432834461E-2</v>
      </c>
      <c r="Y114" s="7">
        <f>SUMIFS(Ofertas!$X$748:$X$2765,Ofertas!$T$748:$T$2765,Indicadores!S114,Ofertas!$AG$748:$AG$2765,Indicadores!$T$111,Ofertas!$L$748:$L$2765,Indicadores!$U$111)</f>
        <v>867.62559999999996</v>
      </c>
      <c r="Z114" s="19">
        <f>Y114/$Y$113</f>
        <v>8.4438883619932514E-2</v>
      </c>
      <c r="AB114" s="101" t="s">
        <v>3</v>
      </c>
      <c r="AC114" s="22" t="s">
        <v>9407</v>
      </c>
      <c r="AD114" s="23">
        <f>COUNTIFS(Ofertas!$T$748:$T$2765,Indicadores!AB114,Ofertas!$AG$748:$AG$2765,$AC$111,Ofertas!$L$748:$L$2765,Indicadores!$AD$111)</f>
        <v>35</v>
      </c>
      <c r="AE114" s="19">
        <f>AD114/$AD$113</f>
        <v>0.7</v>
      </c>
      <c r="AF114" s="7">
        <f>SUMIFS(Ofertas!$W$748:$W$2765,Ofertas!$T$748:$T$2765,Indicadores!AB114,Ofertas!$AG$748:$AG$2765,Indicadores!$AC$111,Ofertas!$L$748:$L$2765,Indicadores!$AD$111)</f>
        <v>22289</v>
      </c>
      <c r="AG114" s="96">
        <f>AF114/$AF$113</f>
        <v>0.41038057187045457</v>
      </c>
      <c r="AH114" s="7">
        <f>SUMIFS(Ofertas!$X$748:$X$2765,Ofertas!$T$748:$T$2765,Indicadores!AB114,Ofertas!$AG$748:$AG$2765,Indicadores!$AC$111,Ofertas!$L$748:$L$2765,Indicadores!$AD$111)</f>
        <v>760.54043500000012</v>
      </c>
      <c r="AI114" s="19">
        <f>AH114/$AH$113</f>
        <v>0.42690798766257171</v>
      </c>
      <c r="AK114" s="101" t="s">
        <v>3</v>
      </c>
      <c r="AL114" s="22" t="s">
        <v>9407</v>
      </c>
      <c r="AM114" s="23">
        <f>COUNTIFS(Ofertas!$T$748:$T$2765,Indicadores!AK114,Ofertas!$AG$748:$AG$2765,$AL$111,Ofertas!$K$748:$K$2765,Indicadores!$AM$111)</f>
        <v>1</v>
      </c>
      <c r="AN114" s="19">
        <f>AM114/$AM$113</f>
        <v>0.33333333333333331</v>
      </c>
      <c r="AO114" s="7">
        <f>SUMIFS(Ofertas!$W$748:$W$2765,Ofertas!$T$748:$T$2765,Indicadores!AK114,Ofertas!$AG$748:$AG$2765,Indicadores!$AL$111,Ofertas!$L$748:$L$2765,Indicadores!$AM$111)</f>
        <v>0</v>
      </c>
      <c r="AP114" s="96" t="e">
        <f>AO114/$AO$113</f>
        <v>#DIV/0!</v>
      </c>
      <c r="AQ114" s="7">
        <f>SUMIFS(Ofertas!$X$748:$X$2765,Ofertas!$T$748:$T$2765,Indicadores!AK114,Ofertas!$AG$748:$AG$2765,Indicadores!$AL$111,Ofertas!$L$748:$L$2765,Indicadores!$AM$111)</f>
        <v>0</v>
      </c>
      <c r="AR114" s="19" t="e">
        <f>AQ114/$AQ$113</f>
        <v>#DIV/0!</v>
      </c>
    </row>
    <row r="115" spans="1:50" ht="13.9">
      <c r="A115" s="101" t="s">
        <v>165</v>
      </c>
      <c r="B115" s="22" t="s">
        <v>9409</v>
      </c>
      <c r="C115" s="23">
        <f>COUNTIFS(Ofertas!$T$22:$T$2765,Indicadores!A115,Ofertas!$AG$22:$AG$2765,$B$111)</f>
        <v>92</v>
      </c>
      <c r="D115" s="19">
        <f t="shared" ref="D115:D118" si="147">C115/$C$113</f>
        <v>0.51977401129943501</v>
      </c>
      <c r="E115" s="7">
        <f>SUMIFS(Ofertas!$W$748:$W$2765,Ofertas!$T$748:$T$2765,Indicadores!A115,Ofertas!$AG$748:$AG$2765,Indicadores!$B$111)</f>
        <v>273837.5</v>
      </c>
      <c r="F115" s="19">
        <f t="shared" ref="F115:F118" si="148">E115/$E$113</f>
        <v>0.65514263191074251</v>
      </c>
      <c r="G115" s="7">
        <f>SUMIFS(Ofertas!$X$748:$X$2765,Ofertas!$T$748:$T$2765,Indicadores!A115,Ofertas!$AG$748:$AG$2765,Indicadores!$B$111)</f>
        <v>11489.972794899999</v>
      </c>
      <c r="H115" s="19">
        <f t="shared" ref="H115:H118" si="149">G115/$G$113</f>
        <v>0.67772079902679105</v>
      </c>
      <c r="J115" s="101" t="s">
        <v>165</v>
      </c>
      <c r="K115" s="22" t="s">
        <v>9409</v>
      </c>
      <c r="L115" s="23">
        <f>COUNTIFS(Ofertas!$T$748:$T$2765,Indicadores!J115,Ofertas!$AG$748:$AG$2765,$K$111,Ofertas!$L$748:$L$2765,Indicadores!$L$111)</f>
        <v>45</v>
      </c>
      <c r="M115" s="19">
        <f t="shared" ref="M115:M118" si="150">L115/$L$113</f>
        <v>0.52325581395348841</v>
      </c>
      <c r="N115" s="7">
        <f>SUMIFS(Ofertas!$W$748:$W$2765,Ofertas!$T$748:$T$2765,Indicadores!J115,Ofertas!$AG$748:$AG$2765,Indicadores!$K$111,Ofertas!$L$748:$L$2765,Indicadores!$L$111)</f>
        <v>66112</v>
      </c>
      <c r="O115" s="96">
        <f t="shared" ref="O115:O118" si="151">N115/$N$113</f>
        <v>0.56018573437950148</v>
      </c>
      <c r="P115" s="7">
        <f>SUMIFS(Ofertas!$X$748:$X$2765,Ofertas!$T$748:$T$2765,Indicadores!J115,Ofertas!$AG$748:$AG$2765,Indicadores!$K$111,Ofertas!$L$748:$L$2765,Indicadores!$L$111)</f>
        <v>2839.1008110000002</v>
      </c>
      <c r="Q115" s="19">
        <f t="shared" ref="Q115:Q118" si="152">P115/$P$113</f>
        <v>0.57974614543466851</v>
      </c>
      <c r="S115" s="101" t="s">
        <v>165</v>
      </c>
      <c r="T115" s="22" t="s">
        <v>9409</v>
      </c>
      <c r="U115" s="23">
        <f>COUNTIFS(Ofertas!$T$748:$T$2765,Indicadores!S115,Ofertas!$AG$748:$AG$2765,$T$111,Ofertas!$L$748:$L$2765,Indicadores!$U$111)</f>
        <v>33</v>
      </c>
      <c r="V115" s="19">
        <f t="shared" ref="V115:V118" si="153">U115/$U$113</f>
        <v>0.80487804878048785</v>
      </c>
      <c r="W115" s="7">
        <f>SUMIFS(Ofertas!$W$748:$W$2765,Ofertas!$T$748:$T$2765,Indicadores!S115,Ofertas!$AG$748:$AG$2765,Indicadores!$T$111,Ofertas!$L$748:$L$2765,Indicadores!$U$111)</f>
        <v>180417.5</v>
      </c>
      <c r="X115" s="96">
        <f t="shared" ref="X115:X118" si="154">W115/$W$113</f>
        <v>0.73444792499913492</v>
      </c>
      <c r="Y115" s="7">
        <f>SUMIFS(Ofertas!$X$748:$X$2765,Ofertas!$T$748:$T$2765,Indicadores!S115,Ofertas!$AG$748:$AG$2765,Indicadores!$T$111,Ofertas!$L$748:$L$2765,Indicadores!$U$111)</f>
        <v>7789.9033889000011</v>
      </c>
      <c r="Z115" s="19">
        <f t="shared" ref="Z115:Z118" si="155">Y115/$Y$113</f>
        <v>0.75812740618285712</v>
      </c>
      <c r="AB115" s="101" t="s">
        <v>165</v>
      </c>
      <c r="AC115" s="22" t="s">
        <v>9409</v>
      </c>
      <c r="AD115" s="23">
        <f>COUNTIFS(Ofertas!$T$748:$T$2765,Indicadores!AB115,Ofertas!$AG$748:$AG$2765,$AC$111,Ofertas!$L$748:$L$2765,Indicadores!$AD$111)</f>
        <v>14</v>
      </c>
      <c r="AE115" s="19">
        <f t="shared" ref="AE115:AE118" si="156">AD115/$AD$113</f>
        <v>0.28000000000000003</v>
      </c>
      <c r="AF115" s="7">
        <f>SUMIFS(Ofertas!$W$748:$W$2765,Ofertas!$T$748:$T$2765,Indicadores!AB115,Ofertas!$AG$748:$AG$2765,Indicadores!$AC$111,Ofertas!$L$748:$L$2765,Indicadores!$AD$111)</f>
        <v>27308</v>
      </c>
      <c r="AG115" s="96">
        <f t="shared" ref="AG115:AG118" si="157">AF115/$AF$113</f>
        <v>0.50278938743947121</v>
      </c>
      <c r="AH115" s="7">
        <f>SUMIFS(Ofertas!$X$748:$X$2765,Ofertas!$T$748:$T$2765,Indicadores!AB115,Ofertas!$AG$748:$AG$2765,Indicadores!$AC$111,Ofertas!$L$748:$L$2765,Indicadores!$AD$111)</f>
        <v>860.96859500000005</v>
      </c>
      <c r="AI115" s="19">
        <f t="shared" ref="AI115:AI118" si="158">AH115/$AH$113</f>
        <v>0.48328051135390537</v>
      </c>
      <c r="AK115" s="101" t="s">
        <v>165</v>
      </c>
      <c r="AL115" s="22" t="s">
        <v>9409</v>
      </c>
      <c r="AM115" s="23">
        <f>COUNTIFS(Ofertas!$T$748:$T$2765,Indicadores!AK115,Ofertas!$AG$748:$AG$2765,$AL$111,Ofertas!$K$748:$K$2765,Indicadores!$AM$111)</f>
        <v>2</v>
      </c>
      <c r="AN115" s="19">
        <f t="shared" ref="AN115:AN118" si="159">AM115/$AM$113</f>
        <v>0.66666666666666663</v>
      </c>
      <c r="AO115" s="7">
        <f>SUMIFS(Ofertas!$W$748:$W$2765,Ofertas!$T$748:$T$2765,Indicadores!AK115,Ofertas!$AG$748:$AG$2765,Indicadores!$AL$111,Ofertas!$L$748:$L$2765,Indicadores!$AM$111)</f>
        <v>0</v>
      </c>
      <c r="AP115" s="96" t="e">
        <f t="shared" ref="AP115:AP118" si="160">AO115/$AO$113</f>
        <v>#DIV/0!</v>
      </c>
      <c r="AQ115" s="7">
        <f>SUMIFS(Ofertas!$X$748:$X$2765,Ofertas!$T$748:$T$2765,Indicadores!AK115,Ofertas!$AG$748:$AG$2765,Indicadores!$AL$111,Ofertas!$L$748:$L$2765,Indicadores!$AM$111)</f>
        <v>0</v>
      </c>
      <c r="AR115" s="19" t="e">
        <f t="shared" ref="AR115:AR118" si="161">AQ115/$AQ$113</f>
        <v>#DIV/0!</v>
      </c>
    </row>
    <row r="116" spans="1:50" ht="13.9">
      <c r="A116" s="101" t="s">
        <v>168</v>
      </c>
      <c r="B116" s="22" t="s">
        <v>9411</v>
      </c>
      <c r="C116" s="23">
        <f>COUNTIFS(Ofertas!$T$22:$T$2765,Indicadores!A116,Ofertas!$AG$22:$AG$2765,$B$111)</f>
        <v>4</v>
      </c>
      <c r="D116" s="19">
        <f t="shared" si="147"/>
        <v>2.2598870056497175E-2</v>
      </c>
      <c r="E116" s="7">
        <f>SUMIFS(Ofertas!$W$748:$W$2765,Ofertas!$T$748:$T$2765,Indicadores!A116,Ofertas!$AG$748:$AG$2765,Indicadores!$B$111)</f>
        <v>47881</v>
      </c>
      <c r="F116" s="19">
        <f t="shared" si="148"/>
        <v>0.11455291681569639</v>
      </c>
      <c r="G116" s="7">
        <f>SUMIFS(Ofertas!$X$748:$X$2765,Ofertas!$T$748:$T$2765,Indicadores!A116,Ofertas!$AG$748:$AG$2765,Indicadores!$B$111)</f>
        <v>1777.6613358000002</v>
      </c>
      <c r="H116" s="19">
        <f t="shared" si="149"/>
        <v>0.10485299507690386</v>
      </c>
      <c r="J116" s="101" t="s">
        <v>168</v>
      </c>
      <c r="K116" s="22" t="s">
        <v>9411</v>
      </c>
      <c r="L116" s="23">
        <f>COUNTIFS(Ofertas!$T$748:$T$2765,Indicadores!J116,Ofertas!$AG$748:$AG$2765,$K$111,Ofertas!$L$748:$L$2765,Indicadores!$L$111)</f>
        <v>0</v>
      </c>
      <c r="M116" s="19">
        <f t="shared" si="150"/>
        <v>0</v>
      </c>
      <c r="N116" s="7">
        <f>SUMIFS(Ofertas!$W$748:$W$2765,Ofertas!$T$748:$T$2765,Indicadores!J116,Ofertas!$AG$748:$AG$2765,Indicadores!$K$111,Ofertas!$L$748:$L$2765,Indicadores!$L$111)</f>
        <v>0</v>
      </c>
      <c r="O116" s="96">
        <f t="shared" si="151"/>
        <v>0</v>
      </c>
      <c r="P116" s="7">
        <f>SUMIFS(Ofertas!$X$748:$X$2765,Ofertas!$T$748:$T$2765,Indicadores!J116,Ofertas!$AG$748:$AG$2765,Indicadores!$K$111,Ofertas!$L$748:$L$2765,Indicadores!$L$111)</f>
        <v>0</v>
      </c>
      <c r="Q116" s="19">
        <f t="shared" si="152"/>
        <v>0</v>
      </c>
      <c r="S116" s="101" t="s">
        <v>168</v>
      </c>
      <c r="T116" s="22" t="s">
        <v>9411</v>
      </c>
      <c r="U116" s="23">
        <f>COUNTIFS(Ofertas!$T$748:$T$2765,Indicadores!S116,Ofertas!$AG$748:$AG$2765,$T$111,Ofertas!$L$748:$L$2765,Indicadores!$U$111)</f>
        <v>3</v>
      </c>
      <c r="V116" s="19">
        <f t="shared" si="153"/>
        <v>7.3170731707317069E-2</v>
      </c>
      <c r="W116" s="7">
        <f>SUMIFS(Ofertas!$W$748:$W$2765,Ofertas!$T$748:$T$2765,Indicadores!S116,Ofertas!$AG$748:$AG$2765,Indicadores!$T$111,Ofertas!$L$748:$L$2765,Indicadores!$U$111)</f>
        <v>43165</v>
      </c>
      <c r="X116" s="96">
        <f t="shared" si="154"/>
        <v>0.1757171265680306</v>
      </c>
      <c r="Y116" s="7">
        <f>SUMIFS(Ofertas!$X$748:$X$2765,Ofertas!$T$748:$T$2765,Indicadores!S116,Ofertas!$AG$748:$AG$2765,Indicadores!$T$111,Ofertas!$L$748:$L$2765,Indicadores!$U$111)</f>
        <v>1617.6613358000002</v>
      </c>
      <c r="Z116" s="19">
        <f t="shared" si="155"/>
        <v>0.15743371019721039</v>
      </c>
      <c r="AB116" s="101" t="s">
        <v>168</v>
      </c>
      <c r="AC116" s="22" t="s">
        <v>9411</v>
      </c>
      <c r="AD116" s="23">
        <f>COUNTIFS(Ofertas!$T$748:$T$2765,Indicadores!AB116,Ofertas!$AG$748:$AG$2765,$AC$111,Ofertas!$L$748:$L$2765,Indicadores!$AD$111)</f>
        <v>1</v>
      </c>
      <c r="AE116" s="19">
        <f t="shared" si="156"/>
        <v>0.02</v>
      </c>
      <c r="AF116" s="7">
        <f>SUMIFS(Ofertas!$W$748:$W$2765,Ofertas!$T$748:$T$2765,Indicadores!AB116,Ofertas!$AG$748:$AG$2765,Indicadores!$AC$111,Ofertas!$L$748:$L$2765,Indicadores!$AD$111)</f>
        <v>4716</v>
      </c>
      <c r="AG116" s="96">
        <f t="shared" si="157"/>
        <v>8.6830040690074203E-2</v>
      </c>
      <c r="AH116" s="7">
        <f>SUMIFS(Ofertas!$X$748:$X$2765,Ofertas!$T$748:$T$2765,Indicadores!AB116,Ofertas!$AG$748:$AG$2765,Indicadores!$AC$111,Ofertas!$L$748:$L$2765,Indicadores!$AD$111)</f>
        <v>160</v>
      </c>
      <c r="AI116" s="19">
        <f t="shared" si="158"/>
        <v>8.9811500983522932E-2</v>
      </c>
      <c r="AK116" s="101" t="s">
        <v>168</v>
      </c>
      <c r="AL116" s="22" t="s">
        <v>9411</v>
      </c>
      <c r="AM116" s="23">
        <f>COUNTIFS(Ofertas!$T$748:$T$2765,Indicadores!AK116,Ofertas!$AG$748:$AG$2765,$AL$111,Ofertas!$K$748:$K$2765,Indicadores!$AM$111)</f>
        <v>0</v>
      </c>
      <c r="AN116" s="19">
        <f t="shared" si="159"/>
        <v>0</v>
      </c>
      <c r="AO116" s="7">
        <f>SUMIFS(Ofertas!$W$748:$W$2765,Ofertas!$T$748:$T$2765,Indicadores!AK116,Ofertas!$AG$748:$AG$2765,Indicadores!$AL$111,Ofertas!$L$748:$L$2765,Indicadores!$AM$111)</f>
        <v>0</v>
      </c>
      <c r="AP116" s="96" t="e">
        <f t="shared" si="160"/>
        <v>#DIV/0!</v>
      </c>
      <c r="AQ116" s="7">
        <f>SUMIFS(Ofertas!$X$748:$X$2765,Ofertas!$T$748:$T$2765,Indicadores!AK116,Ofertas!$AG$748:$AG$2765,Indicadores!$AL$111,Ofertas!$L$748:$L$2765,Indicadores!$AM$111)</f>
        <v>0</v>
      </c>
      <c r="AR116" s="19" t="e">
        <f t="shared" si="161"/>
        <v>#DIV/0!</v>
      </c>
    </row>
    <row r="117" spans="1:50" ht="13.9">
      <c r="A117" s="101" t="s">
        <v>158</v>
      </c>
      <c r="B117" s="22" t="s">
        <v>159</v>
      </c>
      <c r="C117" s="23">
        <f>COUNTIFS(Ofertas!$T$22:$T$2765,Indicadores!A117,Ofertas!$AG$22:$AG$2765,$B$111)</f>
        <v>0</v>
      </c>
      <c r="D117" s="19">
        <f t="shared" si="147"/>
        <v>0</v>
      </c>
      <c r="E117" s="7">
        <f>SUMIFS(Ofertas!$W$748:$W$2765,Ofertas!$T$748:$T$2765,Indicadores!A117,Ofertas!$AG$748:$AG$2765,Indicadores!$B$111)</f>
        <v>0</v>
      </c>
      <c r="F117" s="19">
        <f t="shared" si="148"/>
        <v>0</v>
      </c>
      <c r="G117" s="7">
        <f>SUMIFS(Ofertas!$X$748:$X$2765,Ofertas!$T$748:$T$2765,Indicadores!A117,Ofertas!$AG$748:$AG$2765,Indicadores!$B$111)</f>
        <v>0</v>
      </c>
      <c r="H117" s="19">
        <f t="shared" si="149"/>
        <v>0</v>
      </c>
      <c r="J117" s="101" t="s">
        <v>158</v>
      </c>
      <c r="K117" s="22" t="s">
        <v>159</v>
      </c>
      <c r="L117" s="23">
        <f>COUNTIFS(Ofertas!$T$748:$T$2765,Indicadores!J117,Ofertas!$AG$748:$AG$2765,$K$111,Ofertas!$L$748:$L$2765,Indicadores!$L$111)</f>
        <v>0</v>
      </c>
      <c r="M117" s="19">
        <f t="shared" si="150"/>
        <v>0</v>
      </c>
      <c r="N117" s="7">
        <f>SUMIFS(Ofertas!$W$748:$W$2765,Ofertas!$T$748:$T$2765,Indicadores!J117,Ofertas!$AG$748:$AG$2765,Indicadores!$K$111,Ofertas!$L$748:$L$2765,Indicadores!$L$111)</f>
        <v>0</v>
      </c>
      <c r="O117" s="96">
        <f t="shared" si="151"/>
        <v>0</v>
      </c>
      <c r="P117" s="7">
        <f>SUMIFS(Ofertas!$X$748:$X$2765,Ofertas!$T$748:$T$2765,Indicadores!J117,Ofertas!$AG$748:$AG$2765,Indicadores!$K$111,Ofertas!$L$748:$L$2765,Indicadores!$L$111)</f>
        <v>0</v>
      </c>
      <c r="Q117" s="19">
        <f t="shared" si="152"/>
        <v>0</v>
      </c>
      <c r="S117" s="101" t="s">
        <v>158</v>
      </c>
      <c r="T117" s="22" t="s">
        <v>159</v>
      </c>
      <c r="U117" s="23">
        <f>COUNTIFS(Ofertas!$T$748:$T$2765,Indicadores!S117,Ofertas!$AG$748:$AG$2765,$T$111,Ofertas!$L$748:$L$2765,Indicadores!$U$111)</f>
        <v>0</v>
      </c>
      <c r="V117" s="19">
        <f t="shared" si="153"/>
        <v>0</v>
      </c>
      <c r="W117" s="7">
        <f>SUMIFS(Ofertas!$W$748:$W$2765,Ofertas!$T$748:$T$2765,Indicadores!S117,Ofertas!$AG$748:$AG$2765,Indicadores!$T$111,Ofertas!$L$748:$L$2765,Indicadores!$U$111)</f>
        <v>0</v>
      </c>
      <c r="X117" s="96">
        <f t="shared" si="154"/>
        <v>0</v>
      </c>
      <c r="Y117" s="7">
        <f>SUMIFS(Ofertas!$X$748:$X$2765,Ofertas!$T$748:$T$2765,Indicadores!S117,Ofertas!$AG$748:$AG$2765,Indicadores!$T$111,Ofertas!$L$748:$L$2765,Indicadores!$U$111)</f>
        <v>0</v>
      </c>
      <c r="Z117" s="19">
        <f t="shared" si="155"/>
        <v>0</v>
      </c>
      <c r="AB117" s="101" t="s">
        <v>158</v>
      </c>
      <c r="AC117" s="22" t="s">
        <v>159</v>
      </c>
      <c r="AD117" s="23">
        <f>COUNTIFS(Ofertas!$T$748:$T$2765,Indicadores!AB117,Ofertas!$AG$748:$AG$2765,$AC$111,Ofertas!$L$748:$L$2765,Indicadores!$AD$111)</f>
        <v>0</v>
      </c>
      <c r="AE117" s="19">
        <f t="shared" si="156"/>
        <v>0</v>
      </c>
      <c r="AF117" s="7">
        <f>SUMIFS(Ofertas!$W$748:$W$2765,Ofertas!$T$748:$T$2765,Indicadores!AB117,Ofertas!$AG$748:$AG$2765,Indicadores!$AC$111,Ofertas!$L$748:$L$2765,Indicadores!$AD$111)</f>
        <v>0</v>
      </c>
      <c r="AG117" s="96">
        <f t="shared" si="157"/>
        <v>0</v>
      </c>
      <c r="AH117" s="7">
        <f>SUMIFS(Ofertas!$X$748:$X$2765,Ofertas!$T$748:$T$2765,Indicadores!AB117,Ofertas!$AG$748:$AG$2765,Indicadores!$AC$111,Ofertas!$L$748:$L$2765,Indicadores!$AD$111)</f>
        <v>0</v>
      </c>
      <c r="AI117" s="19">
        <f t="shared" si="158"/>
        <v>0</v>
      </c>
      <c r="AK117" s="101" t="s">
        <v>158</v>
      </c>
      <c r="AL117" s="22" t="s">
        <v>159</v>
      </c>
      <c r="AM117" s="23">
        <f>COUNTIFS(Ofertas!$T$748:$T$2765,Indicadores!AK117,Ofertas!$AG$748:$AG$2765,$AL$111,Ofertas!$K$748:$K$2765,Indicadores!$AM$111)</f>
        <v>0</v>
      </c>
      <c r="AN117" s="19">
        <f t="shared" si="159"/>
        <v>0</v>
      </c>
      <c r="AO117" s="7">
        <f>SUMIFS(Ofertas!$W$748:$W$2765,Ofertas!$T$748:$T$2765,Indicadores!AK117,Ofertas!$AG$748:$AG$2765,Indicadores!$AL$111,Ofertas!$L$748:$L$2765,Indicadores!$AM$111)</f>
        <v>0</v>
      </c>
      <c r="AP117" s="96" t="e">
        <f t="shared" si="160"/>
        <v>#DIV/0!</v>
      </c>
      <c r="AQ117" s="7">
        <f>SUMIFS(Ofertas!$X$748:$X$2765,Ofertas!$T$748:$T$2765,Indicadores!AK117,Ofertas!$AG$748:$AG$2765,Indicadores!$AL$111,Ofertas!$L$748:$L$2765,Indicadores!$AM$111)</f>
        <v>0</v>
      </c>
      <c r="AR117" s="19" t="e">
        <f t="shared" si="161"/>
        <v>#DIV/0!</v>
      </c>
    </row>
    <row r="118" spans="1:50" ht="13.9">
      <c r="A118" s="101" t="s">
        <v>64</v>
      </c>
      <c r="B118" s="22" t="s">
        <v>9412</v>
      </c>
      <c r="C118" s="23">
        <f>COUNTIFS(Ofertas!$T$22:$T$2765,Indicadores!A118,Ofertas!$AG$22:$AG$2765,$B$111)</f>
        <v>0</v>
      </c>
      <c r="D118" s="19">
        <f t="shared" si="147"/>
        <v>0</v>
      </c>
      <c r="E118" s="7">
        <f>SUMIFS(Ofertas!$W$748:$W$2765,Ofertas!$T$748:$T$2765,Indicadores!A118,Ofertas!$AG$748:$AG$2765,Indicadores!$B$111)</f>
        <v>0</v>
      </c>
      <c r="F118" s="19">
        <f t="shared" si="148"/>
        <v>0</v>
      </c>
      <c r="G118" s="7">
        <f>SUMIFS(Ofertas!$X$748:$X$2765,Ofertas!$T$748:$T$2765,Indicadores!A118,Ofertas!$AG$748:$AG$2765,Indicadores!$B$111)</f>
        <v>0</v>
      </c>
      <c r="H118" s="19">
        <f t="shared" si="149"/>
        <v>0</v>
      </c>
      <c r="J118" s="101" t="s">
        <v>64</v>
      </c>
      <c r="K118" s="22" t="s">
        <v>9412</v>
      </c>
      <c r="L118" s="23">
        <f>COUNTIFS(Ofertas!$T$748:$T$2765,Indicadores!J118,Ofertas!$AG$748:$AG$2765,$K$111,Ofertas!$L$748:$L$2765,Indicadores!$L$111)</f>
        <v>0</v>
      </c>
      <c r="M118" s="19">
        <f t="shared" si="150"/>
        <v>0</v>
      </c>
      <c r="N118" s="7">
        <f>SUMIFS(Ofertas!$W$748:$W$2765,Ofertas!$T$748:$T$2765,Indicadores!J118,Ofertas!$AG$748:$AG$2765,Indicadores!$K$111,Ofertas!$L$748:$L$2765,Indicadores!$L$111)</f>
        <v>0</v>
      </c>
      <c r="O118" s="96">
        <f t="shared" si="151"/>
        <v>0</v>
      </c>
      <c r="P118" s="7">
        <f>SUMIFS(Ofertas!$X$748:$X$2765,Ofertas!$T$748:$T$2765,Indicadores!J118,Ofertas!$AG$748:$AG$2765,Indicadores!$K$111,Ofertas!$L$748:$L$2765,Indicadores!$L$111)</f>
        <v>0</v>
      </c>
      <c r="Q118" s="19">
        <f t="shared" si="152"/>
        <v>0</v>
      </c>
      <c r="S118" s="101" t="s">
        <v>64</v>
      </c>
      <c r="T118" s="22" t="s">
        <v>9412</v>
      </c>
      <c r="U118" s="23">
        <f>COUNTIFS(Ofertas!$T$748:$T$2765,Indicadores!S118,Ofertas!$AG$748:$AG$2765,$T$111,Ofertas!$L$748:$L$2765,Indicadores!$U$111)</f>
        <v>0</v>
      </c>
      <c r="V118" s="19">
        <f t="shared" si="153"/>
        <v>0</v>
      </c>
      <c r="W118" s="7">
        <f>SUMIFS(Ofertas!$W$748:$W$2765,Ofertas!$T$748:$T$2765,Indicadores!S118,Ofertas!$AG$748:$AG$2765,Indicadores!$T$111,Ofertas!$L$748:$L$2765,Indicadores!$U$111)</f>
        <v>0</v>
      </c>
      <c r="X118" s="96">
        <f t="shared" si="154"/>
        <v>0</v>
      </c>
      <c r="Y118" s="7">
        <f>SUMIFS(Ofertas!$X$748:$X$2765,Ofertas!$T$748:$T$2765,Indicadores!S118,Ofertas!$AG$748:$AG$2765,Indicadores!$T$111,Ofertas!$L$748:$L$2765,Indicadores!$U$111)</f>
        <v>0</v>
      </c>
      <c r="Z118" s="19">
        <f t="shared" si="155"/>
        <v>0</v>
      </c>
      <c r="AB118" s="101" t="s">
        <v>64</v>
      </c>
      <c r="AC118" s="22" t="s">
        <v>9412</v>
      </c>
      <c r="AD118" s="23">
        <f>COUNTIFS(Ofertas!$T$748:$T$2765,Indicadores!AB118,Ofertas!$AG$748:$AG$2765,$AC$111,Ofertas!$L$748:$L$2765,Indicadores!$AD$111)</f>
        <v>0</v>
      </c>
      <c r="AE118" s="19">
        <f t="shared" si="156"/>
        <v>0</v>
      </c>
      <c r="AF118" s="7">
        <f>SUMIFS(Ofertas!$W$748:$W$2765,Ofertas!$T$748:$T$2765,Indicadores!AB118,Ofertas!$AG$748:$AG$2765,Indicadores!$AC$111,Ofertas!$L$748:$L$2765,Indicadores!$AD$111)</f>
        <v>0</v>
      </c>
      <c r="AG118" s="96">
        <f t="shared" si="157"/>
        <v>0</v>
      </c>
      <c r="AH118" s="7">
        <f>SUMIFS(Ofertas!$X$748:$X$2765,Ofertas!$T$748:$T$2765,Indicadores!AB118,Ofertas!$AG$748:$AG$2765,Indicadores!$AC$111,Ofertas!$L$748:$L$2765,Indicadores!$AD$111)</f>
        <v>0</v>
      </c>
      <c r="AI118" s="19">
        <f t="shared" si="158"/>
        <v>0</v>
      </c>
      <c r="AK118" s="101" t="s">
        <v>64</v>
      </c>
      <c r="AL118" s="22" t="s">
        <v>9412</v>
      </c>
      <c r="AM118" s="23">
        <f>COUNTIFS(Ofertas!$T$748:$T$2765,Indicadores!AK118,Ofertas!$AG$748:$AG$2765,$AL$111,Ofertas!$K$748:$K$2765,Indicadores!$AM$111)</f>
        <v>0</v>
      </c>
      <c r="AN118" s="19">
        <f t="shared" si="159"/>
        <v>0</v>
      </c>
      <c r="AO118" s="7">
        <f>SUMIFS(Ofertas!$W$748:$W$2765,Ofertas!$T$748:$T$2765,Indicadores!AK118,Ofertas!$AG$748:$AG$2765,Indicadores!$AL$111,Ofertas!$L$748:$L$2765,Indicadores!$AM$111)</f>
        <v>0</v>
      </c>
      <c r="AP118" s="96" t="e">
        <f t="shared" si="160"/>
        <v>#DIV/0!</v>
      </c>
      <c r="AQ118" s="7">
        <f>SUMIFS(Ofertas!$X$748:$X$2765,Ofertas!$T$748:$T$2765,Indicadores!AK118,Ofertas!$AG$748:$AG$2765,Indicadores!$AL$111,Ofertas!$L$748:$L$2765,Indicadores!$AM$111)</f>
        <v>0</v>
      </c>
      <c r="AR118" s="19" t="e">
        <f t="shared" si="161"/>
        <v>#DIV/0!</v>
      </c>
    </row>
    <row r="119" spans="1:50" s="97" customFormat="1"/>
    <row r="120" spans="1:50" s="97" customFormat="1">
      <c r="E120" s="107">
        <f>+E114-E105</f>
        <v>48799.941176470587</v>
      </c>
      <c r="G120" s="107">
        <f>+G114-G105</f>
        <v>1861.8778143399995</v>
      </c>
      <c r="L120" s="97" t="s">
        <v>9415</v>
      </c>
      <c r="M120" s="115">
        <v>0.5</v>
      </c>
      <c r="U120" s="97" t="s">
        <v>9415</v>
      </c>
      <c r="V120" s="115">
        <v>0.1</v>
      </c>
      <c r="AD120" s="97" t="s">
        <v>9415</v>
      </c>
      <c r="AE120" s="115">
        <v>0.3</v>
      </c>
      <c r="AM120" s="97" t="s">
        <v>9415</v>
      </c>
      <c r="AN120" s="115">
        <v>0.3</v>
      </c>
    </row>
    <row r="121" spans="1:50" s="97" customFormat="1">
      <c r="E121" s="108">
        <f>+E105/E114</f>
        <v>0.4930560944862451</v>
      </c>
      <c r="G121" s="108">
        <f>+G120/G105</f>
        <v>1.0205804747905236</v>
      </c>
    </row>
    <row r="122" spans="1:50" s="97" customFormat="1">
      <c r="E122" s="149">
        <f>1-E121</f>
        <v>0.5069439055137549</v>
      </c>
    </row>
    <row r="123" spans="1:50" s="97" customFormat="1" ht="13.9">
      <c r="B123" s="98">
        <v>2023</v>
      </c>
      <c r="J123" s="99"/>
      <c r="K123" s="98">
        <v>2023</v>
      </c>
      <c r="L123" s="100" t="s">
        <v>120</v>
      </c>
      <c r="M123" s="398" t="s">
        <v>9392</v>
      </c>
      <c r="N123" s="399"/>
      <c r="O123" s="399"/>
      <c r="P123" s="399"/>
      <c r="Q123" s="400"/>
      <c r="S123" s="99"/>
      <c r="T123" s="98">
        <v>2023</v>
      </c>
      <c r="U123" s="100" t="s">
        <v>123</v>
      </c>
      <c r="V123" s="398" t="s">
        <v>9393</v>
      </c>
      <c r="W123" s="399"/>
      <c r="X123" s="399"/>
      <c r="Y123" s="399"/>
      <c r="Z123" s="400"/>
      <c r="AB123" s="99"/>
      <c r="AC123" s="98">
        <v>2023</v>
      </c>
      <c r="AD123" s="100" t="s">
        <v>129</v>
      </c>
      <c r="AE123" s="398" t="s">
        <v>9413</v>
      </c>
      <c r="AF123" s="399"/>
      <c r="AG123" s="399"/>
      <c r="AH123" s="399"/>
      <c r="AI123" s="400"/>
      <c r="AK123" s="99"/>
      <c r="AL123" s="98">
        <v>2023</v>
      </c>
      <c r="AM123" s="100" t="s">
        <v>227</v>
      </c>
      <c r="AN123" s="398" t="s">
        <v>9414</v>
      </c>
      <c r="AO123" s="399"/>
      <c r="AP123" s="399"/>
      <c r="AQ123" s="399"/>
      <c r="AR123" s="400"/>
    </row>
    <row r="124" spans="1:50" ht="13.9">
      <c r="B124" s="4" t="s">
        <v>9397</v>
      </c>
      <c r="C124" s="5" t="s">
        <v>9398</v>
      </c>
      <c r="D124" s="5" t="s">
        <v>9399</v>
      </c>
      <c r="E124" s="5" t="s">
        <v>9400</v>
      </c>
      <c r="F124" s="5" t="s">
        <v>9401</v>
      </c>
      <c r="G124" s="5" t="s">
        <v>9402</v>
      </c>
      <c r="H124" s="5" t="s">
        <v>9403</v>
      </c>
      <c r="J124" s="102"/>
      <c r="K124" s="4" t="s">
        <v>9397</v>
      </c>
      <c r="L124" s="5" t="s">
        <v>9398</v>
      </c>
      <c r="M124" s="5" t="s">
        <v>9399</v>
      </c>
      <c r="N124" s="5" t="s">
        <v>9400</v>
      </c>
      <c r="O124" s="5" t="s">
        <v>9401</v>
      </c>
      <c r="P124" s="5" t="s">
        <v>9402</v>
      </c>
      <c r="Q124" s="5" t="s">
        <v>9403</v>
      </c>
      <c r="S124" s="102"/>
      <c r="T124" s="4" t="s">
        <v>9397</v>
      </c>
      <c r="U124" s="5" t="s">
        <v>9398</v>
      </c>
      <c r="V124" s="5" t="s">
        <v>9399</v>
      </c>
      <c r="W124" s="5" t="s">
        <v>9400</v>
      </c>
      <c r="X124" s="5" t="s">
        <v>9401</v>
      </c>
      <c r="Y124" s="5" t="s">
        <v>9402</v>
      </c>
      <c r="Z124" s="5" t="s">
        <v>9403</v>
      </c>
      <c r="AB124" s="102"/>
      <c r="AC124" s="4" t="s">
        <v>9397</v>
      </c>
      <c r="AD124" s="5" t="s">
        <v>9398</v>
      </c>
      <c r="AE124" s="5" t="s">
        <v>9399</v>
      </c>
      <c r="AF124" s="5" t="s">
        <v>9400</v>
      </c>
      <c r="AG124" s="5" t="s">
        <v>9401</v>
      </c>
      <c r="AH124" s="5" t="s">
        <v>9402</v>
      </c>
      <c r="AI124" s="5" t="s">
        <v>9403</v>
      </c>
      <c r="AK124" s="102"/>
      <c r="AL124" s="4" t="s">
        <v>9397</v>
      </c>
      <c r="AM124" s="5" t="s">
        <v>9398</v>
      </c>
      <c r="AN124" s="5" t="s">
        <v>9399</v>
      </c>
      <c r="AO124" s="5" t="s">
        <v>9400</v>
      </c>
      <c r="AP124" s="5" t="s">
        <v>9401</v>
      </c>
      <c r="AQ124" s="5" t="s">
        <v>9402</v>
      </c>
      <c r="AR124" s="5" t="s">
        <v>9403</v>
      </c>
    </row>
    <row r="125" spans="1:50" ht="13.9">
      <c r="B125" s="25" t="s">
        <v>9405</v>
      </c>
      <c r="C125" s="7">
        <f>SUM(C126:C130)</f>
        <v>184</v>
      </c>
      <c r="D125" s="19">
        <f>SUM(D126:D130)</f>
        <v>1</v>
      </c>
      <c r="E125" s="7">
        <f t="shared" ref="E125" si="162">SUM(E126:E130)</f>
        <v>805057.2</v>
      </c>
      <c r="F125" s="19">
        <f>SUM(F126:F130)</f>
        <v>1</v>
      </c>
      <c r="G125" s="7">
        <f>SUM(G126:G130)</f>
        <v>35950.37253565</v>
      </c>
      <c r="H125" s="19">
        <f t="shared" ref="H125" si="163">SUM(H126:H130)</f>
        <v>1.0000000000000002</v>
      </c>
      <c r="J125" s="103"/>
      <c r="K125" s="25" t="s">
        <v>9405</v>
      </c>
      <c r="L125" s="7">
        <f>SUM(L126:L130)</f>
        <v>79</v>
      </c>
      <c r="M125" s="19">
        <f>SUM(M126:M130)</f>
        <v>1</v>
      </c>
      <c r="N125" s="7">
        <f t="shared" ref="N125:Q125" si="164">SUM(N126:N130)</f>
        <v>337535.4</v>
      </c>
      <c r="O125" s="19">
        <f t="shared" si="164"/>
        <v>1</v>
      </c>
      <c r="P125" s="7">
        <f t="shared" si="164"/>
        <v>14254.678347610001</v>
      </c>
      <c r="Q125" s="19">
        <f t="shared" si="164"/>
        <v>1</v>
      </c>
      <c r="S125" s="104"/>
      <c r="T125" s="25" t="s">
        <v>9405</v>
      </c>
      <c r="U125" s="7">
        <f>SUM(U126:U130)</f>
        <v>48</v>
      </c>
      <c r="V125" s="19">
        <f>SUM(V126:V130)</f>
        <v>1</v>
      </c>
      <c r="W125" s="7">
        <f t="shared" ref="W125:Z125" si="165">SUM(W126:W130)</f>
        <v>377341.5</v>
      </c>
      <c r="X125" s="19">
        <f t="shared" si="165"/>
        <v>1</v>
      </c>
      <c r="Y125" s="7">
        <f t="shared" si="165"/>
        <v>18474.311979999999</v>
      </c>
      <c r="Z125" s="19">
        <f t="shared" si="165"/>
        <v>1</v>
      </c>
      <c r="AB125" s="104"/>
      <c r="AC125" s="25" t="s">
        <v>9405</v>
      </c>
      <c r="AD125" s="7">
        <f>SUM(AD126:AD130)</f>
        <v>57</v>
      </c>
      <c r="AE125" s="19">
        <f>SUM(AE126:AE130)</f>
        <v>1</v>
      </c>
      <c r="AF125" s="7">
        <f t="shared" ref="AF125:AI125" si="166">SUM(AF126:AF130)</f>
        <v>90180.3</v>
      </c>
      <c r="AG125" s="19">
        <f t="shared" si="166"/>
        <v>1</v>
      </c>
      <c r="AH125" s="7">
        <f t="shared" si="166"/>
        <v>3221.3822080400005</v>
      </c>
      <c r="AI125" s="19">
        <f t="shared" si="166"/>
        <v>1</v>
      </c>
      <c r="AK125" s="104"/>
      <c r="AL125" s="25" t="s">
        <v>9405</v>
      </c>
      <c r="AM125" s="7">
        <f>SUM(AM126:AM130)</f>
        <v>0</v>
      </c>
      <c r="AN125" s="19">
        <f>SUM(AN126:AN130)</f>
        <v>0</v>
      </c>
      <c r="AO125" s="7">
        <f t="shared" ref="AO125:AR125" si="167">SUM(AO126:AO130)</f>
        <v>0</v>
      </c>
      <c r="AP125" s="19">
        <f t="shared" si="167"/>
        <v>0</v>
      </c>
      <c r="AQ125" s="7">
        <f t="shared" si="167"/>
        <v>0</v>
      </c>
      <c r="AR125" s="19">
        <f t="shared" si="167"/>
        <v>0</v>
      </c>
      <c r="AT125" s="107"/>
      <c r="AU125" s="107"/>
      <c r="AV125" s="107"/>
      <c r="AW125" s="108"/>
      <c r="AX125" s="108"/>
    </row>
    <row r="126" spans="1:50" ht="13.9">
      <c r="A126" s="101" t="s">
        <v>3</v>
      </c>
      <c r="B126" s="22" t="s">
        <v>9407</v>
      </c>
      <c r="C126" s="23">
        <f>COUNTIFS(Ofertas!$T$22:$T$2765,Indicadores!A126,Ofertas!$AG$22:$AG$2765,$B$123)</f>
        <v>87</v>
      </c>
      <c r="D126" s="19">
        <f>C126/$C$125</f>
        <v>0.47282608695652173</v>
      </c>
      <c r="E126" s="7">
        <f>SUMIFS(Ofertas!$W$748:$W$2765,Ofertas!$T$748:$T$2765,Indicadores!A126,Ofertas!$AG$748:$AG$2765,Indicadores!$B$123)</f>
        <v>147275.20000000001</v>
      </c>
      <c r="F126" s="19">
        <f>E126/$E$125</f>
        <v>0.18293756021311283</v>
      </c>
      <c r="G126" s="7">
        <f>SUMIFS(Ofertas!$X$748:$X$2765,Ofertas!$T$748:$T$2765,Indicadores!A126,Ofertas!$AG$748:$AG$2765,Indicadores!$B$123)</f>
        <v>5968.9646641599984</v>
      </c>
      <c r="H126" s="19">
        <f>G126/$G$125</f>
        <v>0.16603345787977317</v>
      </c>
      <c r="J126" s="101" t="s">
        <v>3</v>
      </c>
      <c r="K126" s="22" t="s">
        <v>9407</v>
      </c>
      <c r="L126" s="23">
        <f>COUNTIFS(Ofertas!$T$748:$T$2765,Indicadores!J126,Ofertas!$AG$748:$AG$2765,$K$123,Ofertas!$L$748:$L$2765,Indicadores!$L$123)</f>
        <v>32</v>
      </c>
      <c r="M126" s="96">
        <f>L126/$L$125</f>
        <v>0.4050632911392405</v>
      </c>
      <c r="N126" s="7">
        <f>SUMIFS(Ofertas!$W$748:$W$2765,Ofertas!$T$748:$T$2765,Indicadores!J126,Ofertas!$AG$748:$AG$2765,Indicadores!$K$123,Ofertas!$L$748:$L$2765,Indicadores!$L$123)</f>
        <v>56177.4</v>
      </c>
      <c r="O126" s="96">
        <f>N126/$N$125</f>
        <v>0.16643409846789403</v>
      </c>
      <c r="P126" s="7">
        <f>SUMIFS(Ofertas!$X$748:$X$2765,Ofertas!$T$748:$T$2765,Indicadores!J126,Ofertas!$AG$748:$AG$2765,Indicadores!$K$123,Ofertas!$L$748:$L$2765,Indicadores!$L$123)</f>
        <v>2448.2172671200001</v>
      </c>
      <c r="Q126" s="19">
        <f>P126/$P$125</f>
        <v>0.17174833464625167</v>
      </c>
      <c r="S126" s="101" t="s">
        <v>3</v>
      </c>
      <c r="T126" s="22" t="s">
        <v>9407</v>
      </c>
      <c r="U126" s="23">
        <f>COUNTIFS(Ofertas!$T$748:$T$2765,Indicadores!S126,Ofertas!$AG$748:$AG$2765,$T$123,Ofertas!$L$748:$L$2765,Indicadores!$U$123)</f>
        <v>12</v>
      </c>
      <c r="V126" s="96">
        <f>U126/$U$125</f>
        <v>0.25</v>
      </c>
      <c r="W126" s="7">
        <f>SUMIFS(Ofertas!$W$748:$W$2765,Ofertas!$T$748:$T$2765,Indicadores!S126,Ofertas!$AG$748:$AG$2765,Indicadores!$T$123,Ofertas!$L$748:$L$2765,Indicadores!$U$123)</f>
        <v>29332.5</v>
      </c>
      <c r="X126" s="96">
        <f>W126/$W$125</f>
        <v>7.7734625001490698E-2</v>
      </c>
      <c r="Y126" s="7">
        <f>SUMIFS(Ofertas!$X$748:$X$2765,Ofertas!$T$748:$T$2765,Indicadores!S126,Ofertas!$AG$748:$AG$2765,Indicadores!$T$123,Ofertas!$L$748:$L$2765,Indicadores!$U$123)</f>
        <v>1368.4174500000001</v>
      </c>
      <c r="Z126" s="19">
        <f>Y126/$Y$125</f>
        <v>7.4071361979890102E-2</v>
      </c>
      <c r="AB126" s="101" t="s">
        <v>3</v>
      </c>
      <c r="AC126" s="22" t="s">
        <v>9407</v>
      </c>
      <c r="AD126" s="23">
        <f>COUNTIFS(Ofertas!$T$748:$T$2765,Indicadores!AB126,Ofertas!$AG$748:$AG$2765,$AC$123,Ofertas!$L$748:$L$2765,Indicadores!$AD$123)</f>
        <v>43</v>
      </c>
      <c r="AE126" s="96">
        <f>AD126/$AD$125</f>
        <v>0.75438596491228072</v>
      </c>
      <c r="AF126" s="7">
        <f>SUMIFS(Ofertas!$W$748:$W$2765,Ofertas!$T$748:$T$2765,Indicadores!AB126,Ofertas!$AG$748:$AG$2765,Indicadores!$AC$123,Ofertas!$L$748:$L$2765,Indicadores!$AD$123)</f>
        <v>61765.3</v>
      </c>
      <c r="AG126" s="96">
        <f>AF126/$AF$125</f>
        <v>0.68490901006095573</v>
      </c>
      <c r="AH126" s="7">
        <f>SUMIFS(Ofertas!$X$748:$X$2765,Ofertas!$T$748:$T$2765,Indicadores!AB126,Ofertas!$AG$748:$AG$2765,Indicadores!$AC$123,Ofertas!$L$748:$L$2765,Indicadores!$AD$123)</f>
        <v>2152.3299470400002</v>
      </c>
      <c r="AI126" s="19">
        <f>AH126/$AH$125</f>
        <v>0.66813864609674856</v>
      </c>
      <c r="AK126" s="101" t="s">
        <v>3</v>
      </c>
      <c r="AL126" s="22" t="s">
        <v>9407</v>
      </c>
      <c r="AM126" s="23">
        <f>COUNTIFS(Ofertas!$T$748:$T$2765,Indicadores!AK126,Ofertas!$AG$748:$AG$2765,$AL$123,Ofertas!$K$748:$K$2765,Indicadores!$AM$123)</f>
        <v>0</v>
      </c>
      <c r="AN126" s="19">
        <f>IF($AM$125&lt;&gt;0,AM126/$AM$125,0)</f>
        <v>0</v>
      </c>
      <c r="AO126" s="7">
        <f>SUMIFS(Ofertas!$W$748:$W$2765,Ofertas!$T$748:$T$2765,Indicadores!AK126,Ofertas!$AG$748:$AG$2765,Indicadores!$AL$123,Ofertas!$L$748:$L$2765,Indicadores!$AM$123)</f>
        <v>0</v>
      </c>
      <c r="AP126" s="19">
        <f>IF($AO$125&lt;&gt;0,AO126/$AO$125,0)</f>
        <v>0</v>
      </c>
      <c r="AQ126" s="7">
        <f>SUMIFS(Ofertas!$X$748:$X$2765,Ofertas!$T$748:$T$2765,Indicadores!AK126,Ofertas!$AG$748:$AG$2765,Indicadores!$AL$123,Ofertas!$L$748:$L$2765,Indicadores!$AM$123)</f>
        <v>0</v>
      </c>
      <c r="AR126" s="19">
        <f>IF($AQ$125&lt;&gt;0,AQ126/$AQ$125,0)</f>
        <v>0</v>
      </c>
    </row>
    <row r="127" spans="1:50" ht="13.9">
      <c r="A127" s="101" t="s">
        <v>165</v>
      </c>
      <c r="B127" s="22" t="s">
        <v>9409</v>
      </c>
      <c r="C127" s="23">
        <f>COUNTIFS(Ofertas!$T$22:$T$2765,Indicadores!A127,Ofertas!$AG$22:$AG$2765,$B$123)</f>
        <v>77</v>
      </c>
      <c r="D127" s="19">
        <f t="shared" ref="D127:D130" si="168">C127/$C$125</f>
        <v>0.41847826086956524</v>
      </c>
      <c r="E127" s="7">
        <f>SUMIFS(Ofertas!$W$748:$W$2765,Ofertas!$T$748:$T$2765,Indicadores!A127,Ofertas!$AG$748:$AG$2765,Indicadores!$B$123)</f>
        <v>542116</v>
      </c>
      <c r="F127" s="19">
        <f t="shared" ref="F127:F130" si="169">E127/$E$125</f>
        <v>0.67338817664136164</v>
      </c>
      <c r="G127" s="7">
        <f>SUMIFS(Ofertas!$X$748:$X$2765,Ofertas!$T$748:$T$2765,Indicadores!A127,Ofertas!$AG$748:$AG$2765,Indicadores!$B$123)</f>
        <v>23092.944794690004</v>
      </c>
      <c r="H127" s="19">
        <f t="shared" ref="H127:H130" si="170">G127/$G$125</f>
        <v>0.64235620289581163</v>
      </c>
      <c r="J127" s="101" t="s">
        <v>165</v>
      </c>
      <c r="K127" s="22" t="s">
        <v>9409</v>
      </c>
      <c r="L127" s="23">
        <f>COUNTIFS(Ofertas!$T$748:$T$2765,Indicadores!J127,Ofertas!$AG$748:$AG$2765,$K$123,Ofertas!$L$748:$L$2765,Indicadores!$L$123)</f>
        <v>35</v>
      </c>
      <c r="M127" s="19">
        <f t="shared" ref="M127:M130" si="171">L127/$L$125</f>
        <v>0.44303797468354428</v>
      </c>
      <c r="N127" s="7">
        <f>SUMIFS(Ofertas!$W$748:$W$2765,Ofertas!$T$748:$T$2765,Indicadores!J127,Ofertas!$AG$748:$AG$2765,Indicadores!$K$123,Ofertas!$L$748:$L$2765,Indicadores!$L$123)</f>
        <v>165692</v>
      </c>
      <c r="O127" s="96">
        <f t="shared" ref="O127:O130" si="172">N127/$N$125</f>
        <v>0.49088777058643329</v>
      </c>
      <c r="P127" s="7">
        <f>SUMIFS(Ofertas!$X$748:$X$2765,Ofertas!$T$748:$T$2765,Indicadores!J127,Ofertas!$AG$748:$AG$2765,Indicadores!$K$123,Ofertas!$L$748:$L$2765,Indicadores!$L$123)</f>
        <v>7020.9622194900003</v>
      </c>
      <c r="Q127" s="19">
        <f t="shared" ref="Q127:Q130" si="173">P127/$P$125</f>
        <v>0.49253740058379952</v>
      </c>
      <c r="S127" s="101" t="s">
        <v>165</v>
      </c>
      <c r="T127" s="22" t="s">
        <v>9409</v>
      </c>
      <c r="U127" s="23">
        <f>COUNTIFS(Ofertas!$T$748:$T$2765,Indicadores!S127,Ofertas!$AG$748:$AG$2765,$T$123,Ofertas!$L$748:$L$2765,Indicadores!$U$123)</f>
        <v>28</v>
      </c>
      <c r="V127" s="19">
        <f t="shared" ref="V127:V130" si="174">U127/$U$125</f>
        <v>0.58333333333333337</v>
      </c>
      <c r="W127" s="7">
        <f>SUMIFS(Ofertas!$W$748:$W$2765,Ofertas!$T$748:$T$2765,Indicadores!S127,Ofertas!$AG$748:$AG$2765,Indicadores!$T$123,Ofertas!$L$748:$L$2765,Indicadores!$U$123)</f>
        <v>348009</v>
      </c>
      <c r="X127" s="96">
        <f t="shared" ref="X127:X130" si="175">W127/$W$125</f>
        <v>0.92226537499850936</v>
      </c>
      <c r="Y127" s="7">
        <f>SUMIFS(Ofertas!$X$748:$X$2765,Ofertas!$T$748:$T$2765,Indicadores!S127,Ofertas!$AG$748:$AG$2765,Indicadores!$T$123,Ofertas!$L$748:$L$2765,Indicadores!$U$123)</f>
        <v>15002.930314199999</v>
      </c>
      <c r="Z127" s="19">
        <f t="shared" ref="Z127:Z130" si="176">Y127/$Y$125</f>
        <v>0.81209683643114483</v>
      </c>
      <c r="AB127" s="101" t="s">
        <v>165</v>
      </c>
      <c r="AC127" s="22" t="s">
        <v>9409</v>
      </c>
      <c r="AD127" s="23">
        <f>COUNTIFS(Ofertas!$T$748:$T$2765,Indicadores!AB127,Ofertas!$AG$748:$AG$2765,$AC$123,Ofertas!$L$748:$L$2765,Indicadores!$AD$123)</f>
        <v>14</v>
      </c>
      <c r="AE127" s="19">
        <f t="shared" ref="AE127:AE130" si="177">AD127/$AD$125</f>
        <v>0.24561403508771928</v>
      </c>
      <c r="AF127" s="7">
        <f>SUMIFS(Ofertas!$W$748:$W$2765,Ofertas!$T$748:$T$2765,Indicadores!AB127,Ofertas!$AG$748:$AG$2765,Indicadores!$AC$123,Ofertas!$L$748:$L$2765,Indicadores!$AD$123)</f>
        <v>28415</v>
      </c>
      <c r="AG127" s="96">
        <f t="shared" ref="AG127:AG129" si="178">AF127/$AF$125</f>
        <v>0.31509098993904433</v>
      </c>
      <c r="AH127" s="7">
        <f>SUMIFS(Ofertas!$X$748:$X$2765,Ofertas!$T$748:$T$2765,Indicadores!AB127,Ofertas!$AG$748:$AG$2765,Indicadores!$AC$123,Ofertas!$L$748:$L$2765,Indicadores!$AD$123)</f>
        <v>1069.052261</v>
      </c>
      <c r="AI127" s="19">
        <f t="shared" ref="AI127:AI130" si="179">AH127/$AH$125</f>
        <v>0.33186135390325139</v>
      </c>
      <c r="AK127" s="101" t="s">
        <v>165</v>
      </c>
      <c r="AL127" s="22" t="s">
        <v>9409</v>
      </c>
      <c r="AM127" s="23">
        <f>COUNTIFS(Ofertas!$T$748:$T$2765,Indicadores!AK127,Ofertas!$AG$748:$AG$2765,$AL$123,Ofertas!$K$748:$K$2765,Indicadores!$AM$123)</f>
        <v>0</v>
      </c>
      <c r="AN127" s="19">
        <f t="shared" ref="AN127:AN130" si="180">IF($AM$125&lt;&gt;0,AM127/$AM$125,0)</f>
        <v>0</v>
      </c>
      <c r="AO127" s="7">
        <f>SUMIFS(Ofertas!$W$748:$W$2765,Ofertas!$T$748:$T$2765,Indicadores!AK127,Ofertas!$AG$748:$AG$2765,Indicadores!$AL$123,Ofertas!$L$748:$L$2765,Indicadores!$AM$123)</f>
        <v>0</v>
      </c>
      <c r="AP127" s="19">
        <f t="shared" ref="AP127:AP130" si="181">IF($AO$125&lt;&gt;0,AO127/$AO$125,0)</f>
        <v>0</v>
      </c>
      <c r="AQ127" s="7">
        <f>SUMIFS(Ofertas!$X$748:$X$2765,Ofertas!$T$748:$T$2765,Indicadores!AK127,Ofertas!$AG$748:$AG$2765,Indicadores!$AL$123,Ofertas!$L$748:$L$2765,Indicadores!$AM$123)</f>
        <v>0</v>
      </c>
      <c r="AR127" s="19">
        <f t="shared" ref="AR127:AR130" si="182">IF($AQ$125&lt;&gt;0,AQ127/$AQ$125,0)</f>
        <v>0</v>
      </c>
    </row>
    <row r="128" spans="1:50" ht="13.9">
      <c r="A128" s="101" t="s">
        <v>168</v>
      </c>
      <c r="B128" s="22" t="s">
        <v>9411</v>
      </c>
      <c r="C128" s="23">
        <f>COUNTIFS(Ofertas!$T$22:$T$2765,Indicadores!A128,Ofertas!$AG$22:$AG$2765,$B$123)</f>
        <v>20</v>
      </c>
      <c r="D128" s="19">
        <f t="shared" si="168"/>
        <v>0.10869565217391304</v>
      </c>
      <c r="E128" s="7">
        <f>SUMIFS(Ofertas!$W$748:$W$2765,Ofertas!$T$748:$T$2765,Indicadores!A128,Ofertas!$AG$748:$AG$2765,Indicadores!$B$123)</f>
        <v>115666</v>
      </c>
      <c r="F128" s="19">
        <f t="shared" si="169"/>
        <v>0.14367426314552556</v>
      </c>
      <c r="G128" s="7">
        <f>SUMIFS(Ofertas!$X$748:$X$2765,Ofertas!$T$748:$T$2765,Indicadores!A128,Ofertas!$AG$748:$AG$2765,Indicadores!$B$123)</f>
        <v>6888.4630768000006</v>
      </c>
      <c r="H128" s="19">
        <f t="shared" si="170"/>
        <v>0.19161033922441534</v>
      </c>
      <c r="J128" s="101" t="s">
        <v>168</v>
      </c>
      <c r="K128" s="22" t="s">
        <v>9411</v>
      </c>
      <c r="L128" s="23">
        <f>COUNTIFS(Ofertas!$T$748:$T$2765,Indicadores!J128,Ofertas!$AG$748:$AG$2765,$K$123,Ofertas!$L$748:$L$2765,Indicadores!$L$123)</f>
        <v>12</v>
      </c>
      <c r="M128" s="19">
        <f t="shared" si="171"/>
        <v>0.15189873417721519</v>
      </c>
      <c r="N128" s="7">
        <f>SUMIFS(Ofertas!$W$748:$W$2765,Ofertas!$T$748:$T$2765,Indicadores!J128,Ofertas!$AG$748:$AG$2765,Indicadores!$K$123,Ofertas!$L$748:$L$2765,Indicadores!$L$123)</f>
        <v>115666</v>
      </c>
      <c r="O128" s="96">
        <f t="shared" si="172"/>
        <v>0.34267813094567262</v>
      </c>
      <c r="P128" s="7">
        <f>SUMIFS(Ofertas!$X$748:$X$2765,Ofertas!$T$748:$T$2765,Indicadores!J128,Ofertas!$AG$748:$AG$2765,Indicadores!$K$123,Ofertas!$L$748:$L$2765,Indicadores!$L$123)</f>
        <v>4785.498861</v>
      </c>
      <c r="Q128" s="19">
        <f t="shared" si="173"/>
        <v>0.33571426476994881</v>
      </c>
      <c r="S128" s="101" t="s">
        <v>168</v>
      </c>
      <c r="T128" s="22" t="s">
        <v>9411</v>
      </c>
      <c r="U128" s="23">
        <f>COUNTIFS(Ofertas!$T$748:$T$2765,Indicadores!S128,Ofertas!$AG$748:$AG$2765,$T$123,Ofertas!$L$748:$L$2765,Indicadores!$U$123)</f>
        <v>8</v>
      </c>
      <c r="V128" s="19">
        <f t="shared" si="174"/>
        <v>0.16666666666666666</v>
      </c>
      <c r="W128" s="7">
        <f>SUMIFS(Ofertas!$W$748:$W$2765,Ofertas!$T$748:$T$2765,Indicadores!S128,Ofertas!$AG$748:$AG$2765,Indicadores!$T$123,Ofertas!$L$748:$L$2765,Indicadores!$U$123)</f>
        <v>0</v>
      </c>
      <c r="X128" s="96">
        <f t="shared" si="175"/>
        <v>0</v>
      </c>
      <c r="Y128" s="7">
        <f>SUMIFS(Ofertas!$X$748:$X$2765,Ofertas!$T$748:$T$2765,Indicadores!S128,Ofertas!$AG$748:$AG$2765,Indicadores!$T$123,Ofertas!$L$748:$L$2765,Indicadores!$U$123)</f>
        <v>2102.9642158000001</v>
      </c>
      <c r="Z128" s="19">
        <f t="shared" si="176"/>
        <v>0.11383180158896507</v>
      </c>
      <c r="AB128" s="101" t="s">
        <v>168</v>
      </c>
      <c r="AC128" s="22" t="s">
        <v>9411</v>
      </c>
      <c r="AD128" s="23">
        <f>COUNTIFS(Ofertas!$T$748:$T$2765,Indicadores!AB128,Ofertas!$AG$748:$AG$2765,$AC$123,Ofertas!$L$748:$L$2765,Indicadores!$AD$123)</f>
        <v>0</v>
      </c>
      <c r="AE128" s="19">
        <f t="shared" si="177"/>
        <v>0</v>
      </c>
      <c r="AF128" s="7">
        <f>SUMIFS(Ofertas!$W$748:$W$2765,Ofertas!$T$748:$T$2765,Indicadores!AB128,Ofertas!$AG$748:$AG$2765,Indicadores!$AC$123,Ofertas!$L$748:$L$2765,Indicadores!$AD$123)</f>
        <v>0</v>
      </c>
      <c r="AG128" s="96">
        <f t="shared" si="178"/>
        <v>0</v>
      </c>
      <c r="AH128" s="7">
        <f>SUMIFS(Ofertas!$X$748:$X$2765,Ofertas!$T$748:$T$2765,Indicadores!AB128,Ofertas!$AG$748:$AG$2765,Indicadores!$AC$123,Ofertas!$L$748:$L$2765,Indicadores!$AD$123)</f>
        <v>0</v>
      </c>
      <c r="AI128" s="19">
        <f t="shared" si="179"/>
        <v>0</v>
      </c>
      <c r="AK128" s="101" t="s">
        <v>168</v>
      </c>
      <c r="AL128" s="22" t="s">
        <v>9411</v>
      </c>
      <c r="AM128" s="23">
        <f>COUNTIFS(Ofertas!$T$748:$T$2765,Indicadores!AK128,Ofertas!$AG$748:$AG$2765,$AL$123,Ofertas!$K$748:$K$2765,Indicadores!$AM$123)</f>
        <v>0</v>
      </c>
      <c r="AN128" s="19">
        <f t="shared" si="180"/>
        <v>0</v>
      </c>
      <c r="AO128" s="7">
        <f>SUMIFS(Ofertas!$W$748:$W$2765,Ofertas!$T$748:$T$2765,Indicadores!AK128,Ofertas!$AG$748:$AG$2765,Indicadores!$AL$123,Ofertas!$L$748:$L$2765,Indicadores!$AM$123)</f>
        <v>0</v>
      </c>
      <c r="AP128" s="19">
        <f t="shared" si="181"/>
        <v>0</v>
      </c>
      <c r="AQ128" s="7">
        <f>SUMIFS(Ofertas!$X$748:$X$2765,Ofertas!$T$748:$T$2765,Indicadores!AK128,Ofertas!$AG$748:$AG$2765,Indicadores!$AL$123,Ofertas!$L$748:$L$2765,Indicadores!$AM$123)</f>
        <v>0</v>
      </c>
      <c r="AR128" s="19">
        <f t="shared" si="182"/>
        <v>0</v>
      </c>
    </row>
    <row r="129" spans="1:50" ht="13.9">
      <c r="A129" s="101" t="s">
        <v>158</v>
      </c>
      <c r="B129" s="22" t="s">
        <v>159</v>
      </c>
      <c r="C129" s="23">
        <f>COUNTIFS(Ofertas!$T$22:$T$2765,Indicadores!A129,Ofertas!$AG$22:$AG$2765,$B$123)</f>
        <v>0</v>
      </c>
      <c r="D129" s="19">
        <f t="shared" si="168"/>
        <v>0</v>
      </c>
      <c r="E129" s="7">
        <f>SUMIFS(Ofertas!$W$748:$W$2765,Ofertas!$T$748:$T$2765,Indicadores!A129,Ofertas!$AG$748:$AG$2765,Indicadores!$B$123)</f>
        <v>0</v>
      </c>
      <c r="F129" s="19">
        <f t="shared" si="169"/>
        <v>0</v>
      </c>
      <c r="G129" s="7">
        <f>SUMIFS(Ofertas!$X$748:$X$2765,Ofertas!$T$748:$T$2765,Indicadores!A129,Ofertas!$AG$748:$AG$2765,Indicadores!$B$123)</f>
        <v>0</v>
      </c>
      <c r="H129" s="19">
        <f t="shared" si="170"/>
        <v>0</v>
      </c>
      <c r="J129" s="101" t="s">
        <v>158</v>
      </c>
      <c r="K129" s="22" t="s">
        <v>159</v>
      </c>
      <c r="L129" s="23">
        <f>COUNTIFS(Ofertas!$T$748:$T$2765,Indicadores!J129,Ofertas!$AG$748:$AG$2765,$K$123,Ofertas!$L$748:$L$2765,Indicadores!$L$123)</f>
        <v>0</v>
      </c>
      <c r="M129" s="19">
        <f t="shared" si="171"/>
        <v>0</v>
      </c>
      <c r="N129" s="7">
        <f>SUMIFS(Ofertas!$W$748:$W$2765,Ofertas!$T$748:$T$2765,Indicadores!J129,Ofertas!$AG$748:$AG$2765,Indicadores!$K$123,Ofertas!$L$748:$L$2765,Indicadores!$L$123)</f>
        <v>0</v>
      </c>
      <c r="O129" s="96">
        <f t="shared" si="172"/>
        <v>0</v>
      </c>
      <c r="P129" s="7">
        <f>SUMIFS(Ofertas!$X$748:$X$2765,Ofertas!$T$748:$T$2765,Indicadores!J129,Ofertas!$AG$748:$AG$2765,Indicadores!$K$123,Ofertas!$L$748:$L$2765,Indicadores!$L$123)</f>
        <v>0</v>
      </c>
      <c r="Q129" s="19">
        <f t="shared" si="173"/>
        <v>0</v>
      </c>
      <c r="S129" s="101" t="s">
        <v>158</v>
      </c>
      <c r="T129" s="22" t="s">
        <v>159</v>
      </c>
      <c r="U129" s="23">
        <f>COUNTIFS(Ofertas!$T$748:$T$2765,Indicadores!S129,Ofertas!$AG$748:$AG$2765,$T$123,Ofertas!$L$748:$L$2765,Indicadores!$U$123)</f>
        <v>0</v>
      </c>
      <c r="V129" s="19">
        <f t="shared" si="174"/>
        <v>0</v>
      </c>
      <c r="W129" s="7">
        <f>SUMIFS(Ofertas!$W$748:$W$2765,Ofertas!$T$748:$T$2765,Indicadores!S129,Ofertas!$AG$748:$AG$2765,Indicadores!$T$123,Ofertas!$L$748:$L$2765,Indicadores!$U$123)</f>
        <v>0</v>
      </c>
      <c r="X129" s="96">
        <f t="shared" si="175"/>
        <v>0</v>
      </c>
      <c r="Y129" s="7">
        <f>SUMIFS(Ofertas!$X$748:$X$2765,Ofertas!$T$748:$T$2765,Indicadores!S129,Ofertas!$AG$748:$AG$2765,Indicadores!$T$123,Ofertas!$L$748:$L$2765,Indicadores!$U$123)</f>
        <v>0</v>
      </c>
      <c r="Z129" s="19">
        <f t="shared" si="176"/>
        <v>0</v>
      </c>
      <c r="AB129" s="101" t="s">
        <v>158</v>
      </c>
      <c r="AC129" s="22" t="s">
        <v>159</v>
      </c>
      <c r="AD129" s="23">
        <f>COUNTIFS(Ofertas!$T$748:$T$2765,Indicadores!AB129,Ofertas!$AG$748:$AG$2765,$AC$123,Ofertas!$L$748:$L$2765,Indicadores!$AD$123)</f>
        <v>0</v>
      </c>
      <c r="AE129" s="19">
        <f t="shared" si="177"/>
        <v>0</v>
      </c>
      <c r="AF129" s="7">
        <f>SUMIFS(Ofertas!$W$748:$W$2765,Ofertas!$T$748:$T$2765,Indicadores!AB129,Ofertas!$AG$748:$AG$2765,Indicadores!$AC$123,Ofertas!$L$748:$L$2765,Indicadores!$AD$123)</f>
        <v>0</v>
      </c>
      <c r="AG129" s="96">
        <f t="shared" si="178"/>
        <v>0</v>
      </c>
      <c r="AH129" s="7">
        <f>SUMIFS(Ofertas!$X$748:$X$2765,Ofertas!$T$748:$T$2765,Indicadores!AB129,Ofertas!$AG$748:$AG$2765,Indicadores!$AC$123,Ofertas!$L$748:$L$2765,Indicadores!$AD$123)</f>
        <v>0</v>
      </c>
      <c r="AI129" s="19">
        <f t="shared" si="179"/>
        <v>0</v>
      </c>
      <c r="AK129" s="101" t="s">
        <v>158</v>
      </c>
      <c r="AL129" s="22" t="s">
        <v>159</v>
      </c>
      <c r="AM129" s="23">
        <f>COUNTIFS(Ofertas!$T$748:$T$2765,Indicadores!AK129,Ofertas!$AG$748:$AG$2765,$AL$123,Ofertas!$K$748:$K$2765,Indicadores!$AM$123)</f>
        <v>0</v>
      </c>
      <c r="AN129" s="19">
        <f t="shared" si="180"/>
        <v>0</v>
      </c>
      <c r="AO129" s="7">
        <f>SUMIFS(Ofertas!$W$748:$W$2765,Ofertas!$T$748:$T$2765,Indicadores!AK129,Ofertas!$AG$748:$AG$2765,Indicadores!$AL$123,Ofertas!$L$748:$L$2765,Indicadores!$AM$123)</f>
        <v>0</v>
      </c>
      <c r="AP129" s="19">
        <f t="shared" si="181"/>
        <v>0</v>
      </c>
      <c r="AQ129" s="7">
        <f>SUMIFS(Ofertas!$X$748:$X$2765,Ofertas!$T$748:$T$2765,Indicadores!AK129,Ofertas!$AG$748:$AG$2765,Indicadores!$AL$123,Ofertas!$L$748:$L$2765,Indicadores!$AM$123)</f>
        <v>0</v>
      </c>
      <c r="AR129" s="19">
        <f t="shared" si="182"/>
        <v>0</v>
      </c>
    </row>
    <row r="130" spans="1:50" ht="13.9">
      <c r="A130" s="101" t="s">
        <v>64</v>
      </c>
      <c r="B130" s="22" t="s">
        <v>9412</v>
      </c>
      <c r="C130" s="23">
        <f>COUNTIFS(Ofertas!$T$22:$T$2765,Indicadores!A130,Ofertas!$AG$22:$AG$2765,$B$123)</f>
        <v>0</v>
      </c>
      <c r="D130" s="19">
        <f t="shared" si="168"/>
        <v>0</v>
      </c>
      <c r="E130" s="7">
        <f>SUMIFS(Ofertas!$W$748:$W$2765,Ofertas!$T$748:$T$2765,Indicadores!A130,Ofertas!$AG$748:$AG$2765,Indicadores!$B$123)</f>
        <v>0</v>
      </c>
      <c r="F130" s="19">
        <f t="shared" si="169"/>
        <v>0</v>
      </c>
      <c r="G130" s="7">
        <f>SUMIFS(Ofertas!$X$748:$X$2765,Ofertas!$T$748:$T$2765,Indicadores!A130,Ofertas!$AG$748:$AG$2765,Indicadores!$B$123)</f>
        <v>0</v>
      </c>
      <c r="H130" s="19">
        <f t="shared" si="170"/>
        <v>0</v>
      </c>
      <c r="J130" s="101" t="s">
        <v>64</v>
      </c>
      <c r="K130" s="22" t="s">
        <v>9412</v>
      </c>
      <c r="L130" s="23">
        <f>COUNTIFS(Ofertas!$T$748:$T$2765,Indicadores!J130,Ofertas!$AG$748:$AG$2765,$K$123,Ofertas!$L$748:$L$2765,Indicadores!$L$123)</f>
        <v>0</v>
      </c>
      <c r="M130" s="19">
        <f t="shared" si="171"/>
        <v>0</v>
      </c>
      <c r="N130" s="7">
        <f>SUMIFS(Ofertas!$W$748:$W$2765,Ofertas!$T$748:$T$2765,Indicadores!J130,Ofertas!$AG$748:$AG$2765,Indicadores!$K$123,Ofertas!$L$748:$L$2765,Indicadores!$L$123)</f>
        <v>0</v>
      </c>
      <c r="O130" s="96">
        <f t="shared" si="172"/>
        <v>0</v>
      </c>
      <c r="P130" s="7">
        <f>SUMIFS(Ofertas!$X$748:$X$2765,Ofertas!$T$748:$T$2765,Indicadores!J130,Ofertas!$AG$748:$AG$2765,Indicadores!$K$123,Ofertas!$L$748:$L$2765,Indicadores!$L$123)</f>
        <v>0</v>
      </c>
      <c r="Q130" s="19">
        <f t="shared" si="173"/>
        <v>0</v>
      </c>
      <c r="S130" s="101" t="s">
        <v>64</v>
      </c>
      <c r="T130" s="22" t="s">
        <v>9412</v>
      </c>
      <c r="U130" s="23">
        <f>COUNTIFS(Ofertas!$T$748:$T$2765,Indicadores!S130,Ofertas!$AG$748:$AG$2765,$T$123,Ofertas!$L$748:$L$2765,Indicadores!$U$123)</f>
        <v>0</v>
      </c>
      <c r="V130" s="19">
        <f t="shared" si="174"/>
        <v>0</v>
      </c>
      <c r="W130" s="7">
        <f>SUMIFS(Ofertas!$W$748:$W$2765,Ofertas!$T$748:$T$2765,Indicadores!S130,Ofertas!$AG$748:$AG$2765,Indicadores!$T$123,Ofertas!$L$748:$L$2765,Indicadores!$U$123)</f>
        <v>0</v>
      </c>
      <c r="X130" s="96">
        <f t="shared" si="175"/>
        <v>0</v>
      </c>
      <c r="Y130" s="7">
        <f>SUMIFS(Ofertas!$X$748:$X$2765,Ofertas!$T$748:$T$2765,Indicadores!S130,Ofertas!$AG$748:$AG$2765,Indicadores!$T$123,Ofertas!$L$748:$L$2765,Indicadores!$U$123)</f>
        <v>0</v>
      </c>
      <c r="Z130" s="19">
        <f t="shared" si="176"/>
        <v>0</v>
      </c>
      <c r="AB130" s="101" t="s">
        <v>64</v>
      </c>
      <c r="AC130" s="22" t="s">
        <v>9412</v>
      </c>
      <c r="AD130" s="23">
        <f>COUNTIFS(Ofertas!$T$748:$T$2765,Indicadores!AB130,Ofertas!$AG$748:$AG$2765,$AC$123,Ofertas!$L$748:$L$2765,Indicadores!$AD$123)</f>
        <v>0</v>
      </c>
      <c r="AE130" s="19">
        <f t="shared" si="177"/>
        <v>0</v>
      </c>
      <c r="AF130" s="7">
        <f>SUMIFS(Ofertas!$W$748:$W$2765,Ofertas!$T$748:$T$2765,Indicadores!AB130,Ofertas!$AG$748:$AG$2765,Indicadores!$AC$123,Ofertas!$L$748:$L$2765,Indicadores!$AD$123)</f>
        <v>0</v>
      </c>
      <c r="AG130" s="96">
        <f>AF130/$AF$125</f>
        <v>0</v>
      </c>
      <c r="AH130" s="7">
        <f>SUMIFS(Ofertas!$X$748:$X$2765,Ofertas!$T$748:$T$2765,Indicadores!AB130,Ofertas!$AG$748:$AG$2765,Indicadores!$AC$123,Ofertas!$L$748:$L$2765,Indicadores!$AD$123)</f>
        <v>0</v>
      </c>
      <c r="AI130" s="19">
        <f t="shared" si="179"/>
        <v>0</v>
      </c>
      <c r="AK130" s="101" t="s">
        <v>64</v>
      </c>
      <c r="AL130" s="22" t="s">
        <v>9412</v>
      </c>
      <c r="AM130" s="23">
        <f>COUNTIFS(Ofertas!$T$748:$T$2765,Indicadores!AK130,Ofertas!$AG$748:$AG$2765,$AL$123,Ofertas!$K$748:$K$2765,Indicadores!$AM$123)</f>
        <v>0</v>
      </c>
      <c r="AN130" s="19">
        <f t="shared" si="180"/>
        <v>0</v>
      </c>
      <c r="AO130" s="7">
        <f>SUMIFS(Ofertas!$W$748:$W$2765,Ofertas!$T$748:$T$2765,Indicadores!AK130,Ofertas!$AG$748:$AG$2765,Indicadores!$AL$123,Ofertas!$L$748:$L$2765,Indicadores!$AM$123)</f>
        <v>0</v>
      </c>
      <c r="AP130" s="19">
        <f t="shared" si="181"/>
        <v>0</v>
      </c>
      <c r="AQ130" s="7">
        <f>SUMIFS(Ofertas!$X$748:$X$2765,Ofertas!$T$748:$T$2765,Indicadores!AK130,Ofertas!$AG$748:$AG$2765,Indicadores!$AL$123,Ofertas!$L$748:$L$2765,Indicadores!$AM$123)</f>
        <v>0</v>
      </c>
      <c r="AR130" s="19">
        <f t="shared" si="182"/>
        <v>0</v>
      </c>
    </row>
    <row r="131" spans="1:50" s="97" customFormat="1"/>
    <row r="132" spans="1:50" s="97" customFormat="1">
      <c r="E132" s="107"/>
      <c r="G132" s="107"/>
      <c r="N132" s="97" t="s">
        <v>9415</v>
      </c>
      <c r="O132" s="115">
        <v>0.5</v>
      </c>
      <c r="W132" s="97" t="s">
        <v>9415</v>
      </c>
      <c r="X132" s="115">
        <v>0.1</v>
      </c>
      <c r="AF132" s="97" t="s">
        <v>9415</v>
      </c>
      <c r="AG132" s="115">
        <v>0.3</v>
      </c>
      <c r="AM132" s="97" t="s">
        <v>9415</v>
      </c>
      <c r="AN132" s="115">
        <v>0.3</v>
      </c>
    </row>
    <row r="133" spans="1:50" s="97" customFormat="1">
      <c r="E133" s="108"/>
      <c r="G133" s="108"/>
    </row>
    <row r="134" spans="1:50" s="97" customFormat="1" ht="13.9">
      <c r="B134" s="98">
        <v>2024</v>
      </c>
      <c r="J134" s="99"/>
      <c r="K134" s="98">
        <v>2024</v>
      </c>
      <c r="L134" s="100" t="s">
        <v>120</v>
      </c>
      <c r="M134" s="398" t="s">
        <v>9392</v>
      </c>
      <c r="N134" s="399"/>
      <c r="O134" s="399"/>
      <c r="P134" s="399"/>
      <c r="Q134" s="400"/>
      <c r="S134" s="99"/>
      <c r="T134" s="98">
        <v>2024</v>
      </c>
      <c r="U134" s="100" t="s">
        <v>123</v>
      </c>
      <c r="V134" s="398" t="s">
        <v>9393</v>
      </c>
      <c r="W134" s="399"/>
      <c r="X134" s="399"/>
      <c r="Y134" s="399"/>
      <c r="Z134" s="400"/>
      <c r="AB134" s="99"/>
      <c r="AC134" s="98">
        <v>2024</v>
      </c>
      <c r="AD134" s="100" t="s">
        <v>129</v>
      </c>
      <c r="AE134" s="398" t="s">
        <v>9413</v>
      </c>
      <c r="AF134" s="399"/>
      <c r="AG134" s="399"/>
      <c r="AH134" s="399"/>
      <c r="AI134" s="400"/>
      <c r="AK134" s="99"/>
      <c r="AL134" s="98">
        <v>2024</v>
      </c>
      <c r="AM134" s="100" t="s">
        <v>227</v>
      </c>
      <c r="AN134" s="398" t="s">
        <v>9414</v>
      </c>
      <c r="AO134" s="399"/>
      <c r="AP134" s="399"/>
      <c r="AQ134" s="399"/>
      <c r="AR134" s="400"/>
    </row>
    <row r="135" spans="1:50" ht="13.9">
      <c r="B135" s="4" t="s">
        <v>9397</v>
      </c>
      <c r="C135" s="5" t="s">
        <v>9398</v>
      </c>
      <c r="D135" s="5" t="s">
        <v>9399</v>
      </c>
      <c r="E135" s="5" t="s">
        <v>9400</v>
      </c>
      <c r="F135" s="5" t="s">
        <v>9401</v>
      </c>
      <c r="G135" s="5" t="s">
        <v>9402</v>
      </c>
      <c r="H135" s="5" t="s">
        <v>9403</v>
      </c>
      <c r="J135" s="102"/>
      <c r="K135" s="4" t="s">
        <v>9397</v>
      </c>
      <c r="L135" s="5" t="s">
        <v>9398</v>
      </c>
      <c r="M135" s="5" t="s">
        <v>9399</v>
      </c>
      <c r="N135" s="5" t="s">
        <v>9400</v>
      </c>
      <c r="O135" s="5" t="s">
        <v>9401</v>
      </c>
      <c r="P135" s="5" t="s">
        <v>9402</v>
      </c>
      <c r="Q135" s="5" t="s">
        <v>9403</v>
      </c>
      <c r="S135" s="102"/>
      <c r="T135" s="4" t="s">
        <v>9397</v>
      </c>
      <c r="U135" s="5" t="s">
        <v>9398</v>
      </c>
      <c r="V135" s="5" t="s">
        <v>9399</v>
      </c>
      <c r="W135" s="5" t="s">
        <v>9400</v>
      </c>
      <c r="X135" s="5" t="s">
        <v>9401</v>
      </c>
      <c r="Y135" s="5" t="s">
        <v>9402</v>
      </c>
      <c r="Z135" s="5" t="s">
        <v>9403</v>
      </c>
      <c r="AB135" s="102"/>
      <c r="AC135" s="4" t="s">
        <v>9397</v>
      </c>
      <c r="AD135" s="5" t="s">
        <v>9398</v>
      </c>
      <c r="AE135" s="5" t="s">
        <v>9399</v>
      </c>
      <c r="AF135" s="5" t="s">
        <v>9400</v>
      </c>
      <c r="AG135" s="5" t="s">
        <v>9401</v>
      </c>
      <c r="AH135" s="5" t="s">
        <v>9402</v>
      </c>
      <c r="AI135" s="5" t="s">
        <v>9403</v>
      </c>
      <c r="AK135" s="102"/>
      <c r="AL135" s="4" t="s">
        <v>9397</v>
      </c>
      <c r="AM135" s="5" t="s">
        <v>9398</v>
      </c>
      <c r="AN135" s="5" t="s">
        <v>9399</v>
      </c>
      <c r="AO135" s="5" t="s">
        <v>9400</v>
      </c>
      <c r="AP135" s="5" t="s">
        <v>9401</v>
      </c>
      <c r="AQ135" s="5" t="s">
        <v>9402</v>
      </c>
      <c r="AR135" s="5" t="s">
        <v>9403</v>
      </c>
    </row>
    <row r="136" spans="1:50" ht="13.9">
      <c r="B136" s="25" t="s">
        <v>9405</v>
      </c>
      <c r="C136" s="7">
        <f>SUM(C137:C141)</f>
        <v>238</v>
      </c>
      <c r="D136" s="19">
        <f>SUM(D137:D141)</f>
        <v>0.99999999999999989</v>
      </c>
      <c r="E136" s="7">
        <f t="shared" ref="E136" si="183">SUM(E137:E141)</f>
        <v>549234</v>
      </c>
      <c r="F136" s="19">
        <f>SUM(F137:F141)</f>
        <v>1</v>
      </c>
      <c r="G136" s="7">
        <f>SUM(G137:G141)</f>
        <v>26380.328167759999</v>
      </c>
      <c r="H136" s="19">
        <f t="shared" ref="H136" si="184">SUM(H137:H141)</f>
        <v>1</v>
      </c>
      <c r="J136" s="103"/>
      <c r="K136" s="25" t="s">
        <v>9405</v>
      </c>
      <c r="L136" s="7">
        <f>SUM(L137:L141)</f>
        <v>109</v>
      </c>
      <c r="M136" s="19">
        <f>SUM(M137:M141)</f>
        <v>1</v>
      </c>
      <c r="N136" s="7">
        <f t="shared" ref="N136:Q136" si="185">SUM(N137:N141)</f>
        <v>211435</v>
      </c>
      <c r="O136" s="19">
        <f t="shared" si="185"/>
        <v>1</v>
      </c>
      <c r="P136" s="7">
        <f t="shared" si="185"/>
        <v>10988.269821760001</v>
      </c>
      <c r="Q136" s="19">
        <f t="shared" si="185"/>
        <v>0.99999999999999989</v>
      </c>
      <c r="S136" s="104"/>
      <c r="T136" s="25" t="s">
        <v>9405</v>
      </c>
      <c r="U136" s="7">
        <f>SUM(U137:U141)</f>
        <v>63</v>
      </c>
      <c r="V136" s="19">
        <f>SUM(V137:V141)</f>
        <v>1</v>
      </c>
      <c r="W136" s="7">
        <f t="shared" ref="W136:Z136" si="186">SUM(W137:W141)</f>
        <v>228291</v>
      </c>
      <c r="X136" s="19">
        <f t="shared" si="186"/>
        <v>1</v>
      </c>
      <c r="Y136" s="7">
        <f t="shared" si="186"/>
        <v>10964.682515999999</v>
      </c>
      <c r="Z136" s="19">
        <f t="shared" si="186"/>
        <v>1</v>
      </c>
      <c r="AB136" s="104"/>
      <c r="AC136" s="25" t="s">
        <v>9405</v>
      </c>
      <c r="AD136" s="7">
        <f>SUM(AD137:AD141)</f>
        <v>66</v>
      </c>
      <c r="AE136" s="19">
        <f>SUM(AE137:AE141)</f>
        <v>1</v>
      </c>
      <c r="AF136" s="7">
        <f t="shared" ref="AF136:AI136" si="187">SUM(AF137:AF141)</f>
        <v>109508</v>
      </c>
      <c r="AG136" s="19">
        <f t="shared" si="187"/>
        <v>0.99999999999999989</v>
      </c>
      <c r="AH136" s="7">
        <f t="shared" si="187"/>
        <v>4427.37583</v>
      </c>
      <c r="AI136" s="19">
        <f t="shared" si="187"/>
        <v>0.99999999999999989</v>
      </c>
      <c r="AK136" s="104"/>
      <c r="AL136" s="25" t="s">
        <v>9405</v>
      </c>
      <c r="AM136" s="7">
        <f>SUM(AM137:AM141)</f>
        <v>7</v>
      </c>
      <c r="AN136" s="19">
        <f>SUM(AN137:AN141)</f>
        <v>1</v>
      </c>
      <c r="AO136" s="7">
        <f t="shared" ref="AO136:AR136" si="188">SUM(AO137:AO141)</f>
        <v>0</v>
      </c>
      <c r="AP136" s="19">
        <f t="shared" si="188"/>
        <v>0</v>
      </c>
      <c r="AQ136" s="7">
        <f t="shared" si="188"/>
        <v>0</v>
      </c>
      <c r="AR136" s="19">
        <f t="shared" si="188"/>
        <v>0</v>
      </c>
      <c r="AT136" s="107"/>
      <c r="AU136" s="107"/>
      <c r="AV136" s="107"/>
      <c r="AW136" s="108"/>
      <c r="AX136" s="108"/>
    </row>
    <row r="137" spans="1:50" ht="13.9">
      <c r="A137" s="101" t="s">
        <v>3</v>
      </c>
      <c r="B137" s="22" t="s">
        <v>9407</v>
      </c>
      <c r="C137" s="23">
        <f>COUNTIFS(Ofertas!$T$22:$T$2765,Indicadores!A137,Ofertas!$AG$22:$AG$2765,$B$134)</f>
        <v>94</v>
      </c>
      <c r="D137" s="19">
        <f>C137/$C$136</f>
        <v>0.3949579831932773</v>
      </c>
      <c r="E137" s="7">
        <f>SUMIFS(Ofertas!$W$22:$W$2765,Ofertas!$T$22:$T$2765,Indicadores!A137,Ofertas!$AG$22:$AG$2765,Indicadores!$B$134)</f>
        <v>191340</v>
      </c>
      <c r="F137" s="19">
        <f>E137/$E$136</f>
        <v>0.34837610198931601</v>
      </c>
      <c r="G137" s="7">
        <f>SUMIFS(Ofertas!$X$22:$X$2765,Ofertas!$T$22:$T$2765,Indicadores!A137,Ofertas!$AG$22:$AG$2765,Indicadores!$B$134)</f>
        <v>9135.7416060000014</v>
      </c>
      <c r="H137" s="19">
        <f>G137/$G$136</f>
        <v>0.34630886878674239</v>
      </c>
      <c r="J137" s="101" t="s">
        <v>3</v>
      </c>
      <c r="K137" s="22" t="s">
        <v>9407</v>
      </c>
      <c r="L137" s="23">
        <f>COUNTIFS(Ofertas!$T$22:$T$2765,Indicadores!J137,Ofertas!$AG$22:$AG$2765,$K$134,Ofertas!$L$22:$L$2765,Indicadores!$L$134)</f>
        <v>51</v>
      </c>
      <c r="M137" s="19">
        <f>IF($L$136&lt;&gt;0,L137/$L$136,0)</f>
        <v>0.46788990825688076</v>
      </c>
      <c r="N137" s="7">
        <f>SUMIFS(Ofertas!$W$22:$W$2765,Ofertas!$T$22:$T$2765,Indicadores!J137,Ofertas!$AG$22:$AG$2765,Indicadores!$K$134,Ofertas!$L$22:$L$2765,Indicadores!$L$134)</f>
        <v>84568</v>
      </c>
      <c r="O137" s="96">
        <f>IF($N$136&lt;&gt;0,N137/$N$136,0)</f>
        <v>0.39997162248445151</v>
      </c>
      <c r="P137" s="7">
        <f>SUMIFS(Ofertas!$X$22:$X$2765,Ofertas!$T$22:$T$2765,Indicadores!J137,Ofertas!$AG$22:$AG$2765,Indicadores!$K$134,Ofertas!$L$22:$L$2765,Indicadores!$L$134)</f>
        <v>4171.3763529999997</v>
      </c>
      <c r="Q137" s="19">
        <f>IF($P$147&lt;&gt;0,P137/$P$136,0)</f>
        <v>0.37962085211444752</v>
      </c>
      <c r="S137" s="101" t="s">
        <v>3</v>
      </c>
      <c r="T137" s="22" t="s">
        <v>9407</v>
      </c>
      <c r="U137" s="23">
        <f>COUNTIFS(Ofertas!$T$22:$T$2765,Indicadores!S137,Ofertas!$AG$22:$AG$2765,$T$134,Ofertas!$L$22:$L$2765,Indicadores!$U$134)</f>
        <v>20</v>
      </c>
      <c r="V137" s="19">
        <f>U137/$U$136</f>
        <v>0.31746031746031744</v>
      </c>
      <c r="W137" s="7">
        <f>SUMIFS(Ofertas!$W$22:$W$2765,Ofertas!$T$22:$T$2765,Indicadores!S137,Ofertas!$AG$22:$AG$2765,Indicadores!$T$134,Ofertas!$L$22:$L$2765,Indicadores!$U$134)</f>
        <v>74095</v>
      </c>
      <c r="X137" s="96">
        <f>W137/$W$136</f>
        <v>0.32456382424186675</v>
      </c>
      <c r="Y137" s="7">
        <f>SUMIFS(Ofertas!$X$22:$X$2765,Ofertas!$T$22:$T$2765,Indicadores!S137,Ofertas!$AG$22:$AG$2765,Indicadores!$T$134,Ofertas!$L$22:$L$2765,Indicadores!$U$134)</f>
        <v>3706.963964</v>
      </c>
      <c r="Z137" s="19">
        <f>Y137/$Y$136</f>
        <v>0.33808219787400912</v>
      </c>
      <c r="AB137" s="101" t="s">
        <v>3</v>
      </c>
      <c r="AC137" s="22" t="s">
        <v>9407</v>
      </c>
      <c r="AD137" s="23">
        <f>COUNTIFS(Ofertas!$T$22:$T$2765,Indicadores!AB137,Ofertas!$AG$22:$AG$2765,$AC$134,Ofertas!$L$22:$L$2765,Indicadores!$AD$134)</f>
        <v>23</v>
      </c>
      <c r="AE137" s="19">
        <f>AD137/$AD$136</f>
        <v>0.34848484848484851</v>
      </c>
      <c r="AF137" s="7">
        <f>SUMIFS(Ofertas!$W$22:$W$2765,Ofertas!$T$22:$T$2765,Indicadores!AB137,Ofertas!$AG$22:$AG$2765,Indicadores!$AC$134,Ofertas!$L$22:$L$2765,Indicadores!$AD$134)</f>
        <v>32677</v>
      </c>
      <c r="AG137" s="96">
        <f>AF137/$AF$136</f>
        <v>0.29839829053585126</v>
      </c>
      <c r="AH137" s="7">
        <f>SUMIFS(Ofertas!$X$22:$X$2765,Ofertas!$T$22:$T$2765,Indicadores!AB137,Ofertas!$AG$22:$AG$2765,Indicadores!$AC$134,Ofertas!$L$22:$L$2765,Indicadores!$AD$134)</f>
        <v>1257.4012890000001</v>
      </c>
      <c r="AI137" s="19">
        <f>AH137/$AH$136</f>
        <v>0.2840059975211095</v>
      </c>
      <c r="AK137" s="101" t="s">
        <v>3</v>
      </c>
      <c r="AL137" s="22" t="s">
        <v>9407</v>
      </c>
      <c r="AM137" s="23">
        <f>COUNTIFS(Ofertas!$T$22:$T$2765,Indicadores!AK137,Ofertas!$AG$22:$AG$2765,$AL$134,Ofertas!$K$22:$K$2765,Indicadores!$AM$134)</f>
        <v>4</v>
      </c>
      <c r="AN137" s="19">
        <f>IF($AM$137&lt;&gt;0,AM137/$AM$136,0)</f>
        <v>0.5714285714285714</v>
      </c>
      <c r="AO137" s="7">
        <f>SUMIFS(Ofertas!$W$22:$W$2765,Ofertas!$T$22:$T$2765,Indicadores!AK137,Ofertas!$AG$22:$AG$2765,Indicadores!$AL$134,Ofertas!$L$22:$L$2765,Indicadores!$AM$134)</f>
        <v>0</v>
      </c>
      <c r="AP137" s="19">
        <f>IF($AO$136&lt;&gt;0,AO137/$AO$136,0)</f>
        <v>0</v>
      </c>
      <c r="AQ137" s="7">
        <f>SUMIFS(Ofertas!$X$22:$X$2765,Ofertas!$T$22:$T$2765,Indicadores!AK137,Ofertas!$AG$22:$AG$2765,Indicadores!$AL$134,Ofertas!$L$22:$L$2765,Indicadores!$AM$134)</f>
        <v>0</v>
      </c>
      <c r="AR137" s="19">
        <f>IF($AQ$136&lt;&gt;0,AQ137/$AQ$136,0)</f>
        <v>0</v>
      </c>
    </row>
    <row r="138" spans="1:50" ht="13.9">
      <c r="A138" s="101" t="s">
        <v>165</v>
      </c>
      <c r="B138" s="22" t="s">
        <v>9409</v>
      </c>
      <c r="C138" s="23">
        <f>COUNTIFS(Ofertas!$T$22:$T$2765,Indicadores!A138,Ofertas!$AG$22:$AG$2765,$B$134)</f>
        <v>121</v>
      </c>
      <c r="D138" s="19">
        <f t="shared" ref="D138:D141" si="189">C138/$C$136</f>
        <v>0.50840336134453779</v>
      </c>
      <c r="E138" s="7">
        <f>SUMIFS(Ofertas!$W$22:$W$2765,Ofertas!$T$22:$T$2765,Indicadores!A138,Ofertas!$AG$22:$AG$2765,Indicadores!$B$134)</f>
        <v>348655</v>
      </c>
      <c r="F138" s="19">
        <f t="shared" ref="F138:F141" si="190">E138/$E$136</f>
        <v>0.63480228827785612</v>
      </c>
      <c r="G138" s="7">
        <f>SUMIFS(Ofertas!$X$22:$X$2765,Ofertas!$T$22:$T$2765,Indicadores!A138,Ofertas!$AG$22:$AG$2765,Indicadores!$B$134)</f>
        <v>16714.216561759997</v>
      </c>
      <c r="H138" s="19">
        <f t="shared" ref="H138:H141" si="191">G138/$G$136</f>
        <v>0.63358637752606972</v>
      </c>
      <c r="J138" s="101" t="s">
        <v>165</v>
      </c>
      <c r="K138" s="22" t="s">
        <v>9409</v>
      </c>
      <c r="L138" s="23">
        <f>COUNTIFS(Ofertas!$T$22:$T$2765,Indicadores!J138,Ofertas!$AG$22:$AG$2765,$K$134,Ofertas!$L$22:$L$2765,Indicadores!$L$134)</f>
        <v>51</v>
      </c>
      <c r="M138" s="19">
        <f t="shared" ref="M138:M141" si="192">IF($L$136&lt;&gt;0,L138/$L$136,0)</f>
        <v>0.46788990825688076</v>
      </c>
      <c r="N138" s="7">
        <f>SUMIFS(Ofertas!$W$22:$W$2765,Ofertas!$T$22:$T$2765,Indicadores!J138,Ofertas!$AG$22:$AG$2765,Indicadores!$K$134,Ofertas!$L$22:$L$2765,Indicadores!$L$134)</f>
        <v>125158</v>
      </c>
      <c r="O138" s="96">
        <f t="shared" ref="O138:O141" si="193">IF($N$136&lt;&gt;0,N138/$N$136,0)</f>
        <v>0.59194551517014682</v>
      </c>
      <c r="P138" s="7">
        <f>SUMIFS(Ofertas!$X$22:$X$2765,Ofertas!$T$22:$T$2765,Indicadores!J138,Ofertas!$AG$22:$AG$2765,Indicadores!$K$134,Ofertas!$L$22:$L$2765,Indicadores!$L$134)</f>
        <v>6742.1934687599996</v>
      </c>
      <c r="Q138" s="19">
        <f t="shared" ref="Q138:Q141" si="194">IF($P$147&lt;&gt;0,P138/$P$136,0)</f>
        <v>0.61358098937545902</v>
      </c>
      <c r="S138" s="101" t="s">
        <v>165</v>
      </c>
      <c r="T138" s="22" t="s">
        <v>9409</v>
      </c>
      <c r="U138" s="23">
        <f>COUNTIFS(Ofertas!$T$22:$T$2765,Indicadores!S138,Ofertas!$AG$22:$AG$2765,$T$134,Ofertas!$L$22:$L$2765,Indicadores!$U$134)</f>
        <v>34</v>
      </c>
      <c r="V138" s="19">
        <f t="shared" ref="V138:V141" si="195">U138/$U$136</f>
        <v>0.53968253968253965</v>
      </c>
      <c r="W138" s="7">
        <f>SUMIFS(Ofertas!$W$22:$W$2765,Ofertas!$T$22:$T$2765,Indicadores!S138,Ofertas!$AG$22:$AG$2765,Indicadores!$T$134,Ofertas!$L$22:$L$2765,Indicadores!$U$134)</f>
        <v>152606</v>
      </c>
      <c r="X138" s="96">
        <f t="shared" ref="X138:X141" si="196">W138/$W$136</f>
        <v>0.66847138082535007</v>
      </c>
      <c r="Y138" s="7">
        <f>SUMIFS(Ofertas!$X$22:$X$2765,Ofertas!$T$22:$T$2765,Indicadores!S138,Ofertas!$AG$22:$AG$2765,Indicadores!$T$134,Ofertas!$L$22:$L$2765,Indicadores!$U$134)</f>
        <v>7180.7185519999994</v>
      </c>
      <c r="Z138" s="19">
        <f t="shared" ref="Z138:Z141" si="197">Y138/$Y$136</f>
        <v>0.65489525497174006</v>
      </c>
      <c r="AB138" s="101" t="s">
        <v>165</v>
      </c>
      <c r="AC138" s="22" t="s">
        <v>9409</v>
      </c>
      <c r="AD138" s="23">
        <f>COUNTIFS(Ofertas!$T$22:$T$2765,Indicadores!AB138,Ofertas!$AG$22:$AG$2765,$AC$134,Ofertas!$L$22:$L$2765,Indicadores!$AD$134)</f>
        <v>36</v>
      </c>
      <c r="AE138" s="19">
        <f t="shared" ref="AE138:AE141" si="198">AD138/$AD$136</f>
        <v>0.54545454545454541</v>
      </c>
      <c r="AF138" s="7">
        <f>SUMIFS(Ofertas!$W$22:$W$2765,Ofertas!$T$22:$T$2765,Indicadores!AB138,Ofertas!$AG$22:$AG$2765,Indicadores!$AC$134,Ofertas!$L$22:$L$2765,Indicadores!$AD$134)</f>
        <v>70891</v>
      </c>
      <c r="AG138" s="96">
        <f t="shared" ref="AG138:AG141" si="199">AF138/$AF$136</f>
        <v>0.64735909705227013</v>
      </c>
      <c r="AH138" s="7">
        <f>SUMIFS(Ofertas!$X$22:$X$2765,Ofertas!$T$22:$T$2765,Indicadores!AB138,Ofertas!$AG$22:$AG$2765,Indicadores!$AC$134,Ofertas!$L$22:$L$2765,Indicadores!$AD$134)</f>
        <v>2791.3045409999995</v>
      </c>
      <c r="AI138" s="19">
        <f t="shared" ref="AI138:AI141" si="200">AH138/$AH$136</f>
        <v>0.63046478279211271</v>
      </c>
      <c r="AK138" s="101" t="s">
        <v>165</v>
      </c>
      <c r="AL138" s="22" t="s">
        <v>9409</v>
      </c>
      <c r="AM138" s="23">
        <f>COUNTIFS(Ofertas!$T$22:$T$2765,Indicadores!AK138,Ofertas!$AG$22:$AG$2765,$AL$134,Ofertas!$K$22:$K$2765,Indicadores!$AM$134)</f>
        <v>3</v>
      </c>
      <c r="AN138" s="19">
        <f t="shared" ref="AN138:AN141" si="201">IF($AM$137&lt;&gt;0,AM138/$AM$136,0)</f>
        <v>0.42857142857142855</v>
      </c>
      <c r="AO138" s="7">
        <f>SUMIFS(Ofertas!$W$22:$W$2765,Ofertas!$T$22:$T$2765,Indicadores!AK138,Ofertas!$AG$22:$AG$2765,Indicadores!$AL$134,Ofertas!$L$22:$L$2765,Indicadores!$AM$134)</f>
        <v>0</v>
      </c>
      <c r="AP138" s="19">
        <f t="shared" ref="AP138:AP141" si="202">IF($AO$136&lt;&gt;0,AO138/$AO$136,0)</f>
        <v>0</v>
      </c>
      <c r="AQ138" s="7">
        <f>SUMIFS(Ofertas!$X$22:$X$2765,Ofertas!$T$22:$T$2765,Indicadores!AK138,Ofertas!$AG$22:$AG$2765,Indicadores!$AL$134,Ofertas!$L$22:$L$2765,Indicadores!$AM$134)</f>
        <v>0</v>
      </c>
      <c r="AR138" s="19">
        <f t="shared" ref="AR138:AR141" si="203">IF($AQ$136&lt;&gt;0,AQ138/$AQ$136,0)</f>
        <v>0</v>
      </c>
    </row>
    <row r="139" spans="1:50" ht="13.9">
      <c r="A139" s="101" t="s">
        <v>168</v>
      </c>
      <c r="B139" s="22" t="s">
        <v>9411</v>
      </c>
      <c r="C139" s="23">
        <f>COUNTIFS(Ofertas!$T$22:$T$2765,Indicadores!A139,Ofertas!$AG$22:$AG$2765,$B$134)</f>
        <v>21</v>
      </c>
      <c r="D139" s="19">
        <f t="shared" si="189"/>
        <v>8.8235294117647065E-2</v>
      </c>
      <c r="E139" s="7">
        <f>SUMIFS(Ofertas!$W$22:$W$2765,Ofertas!$T$22:$T$2765,Indicadores!A139,Ofertas!$AG$22:$AG$2765,Indicadores!$B$134)</f>
        <v>3299</v>
      </c>
      <c r="F139" s="19">
        <f t="shared" si="190"/>
        <v>6.0065473004220424E-3</v>
      </c>
      <c r="G139" s="7">
        <f>SUMIFS(Ofertas!$X$22:$X$2765,Ofertas!$T$22:$T$2765,Indicadores!A139,Ofertas!$AG$22:$AG$2765,Indicadores!$B$134)</f>
        <v>151.69999999999999</v>
      </c>
      <c r="H139" s="19">
        <f t="shared" si="191"/>
        <v>5.7504970762795897E-3</v>
      </c>
      <c r="J139" s="101" t="s">
        <v>168</v>
      </c>
      <c r="K139" s="22" t="s">
        <v>9411</v>
      </c>
      <c r="L139" s="23">
        <f>COUNTIFS(Ofertas!$T$22:$T$2765,Indicadores!J139,Ofertas!$AG$22:$AG$2765,$K$134,Ofertas!$L$22:$L$2765,Indicadores!$L$134)</f>
        <v>7</v>
      </c>
      <c r="M139" s="19">
        <f t="shared" si="192"/>
        <v>6.4220183486238536E-2</v>
      </c>
      <c r="N139" s="7">
        <f>SUMIFS(Ofertas!$W$22:$W$2765,Ofertas!$T$22:$T$2765,Indicadores!J139,Ofertas!$AG$22:$AG$2765,Indicadores!$K$134,Ofertas!$L$22:$L$2765,Indicadores!$L$134)</f>
        <v>1709</v>
      </c>
      <c r="O139" s="96">
        <f t="shared" si="193"/>
        <v>8.0828623454016601E-3</v>
      </c>
      <c r="P139" s="7">
        <f>SUMIFS(Ofertas!$X$22:$X$2765,Ofertas!$T$22:$T$2765,Indicadores!J139,Ofertas!$AG$22:$AG$2765,Indicadores!$K$134,Ofertas!$L$22:$L$2765,Indicadores!$L$134)</f>
        <v>74.7</v>
      </c>
      <c r="Q139" s="19">
        <f t="shared" si="194"/>
        <v>6.7981585100933785E-3</v>
      </c>
      <c r="S139" s="101" t="s">
        <v>168</v>
      </c>
      <c r="T139" s="22" t="s">
        <v>9411</v>
      </c>
      <c r="U139" s="23">
        <f>COUNTIFS(Ofertas!$T$22:$T$2765,Indicadores!S139,Ofertas!$AG$22:$AG$2765,$T$134,Ofertas!$L$22:$L$2765,Indicadores!$U$134)</f>
        <v>9</v>
      </c>
      <c r="V139" s="19">
        <f t="shared" si="195"/>
        <v>0.14285714285714285</v>
      </c>
      <c r="W139" s="7">
        <f>SUMIFS(Ofertas!$W$22:$W$2765,Ofertas!$T$22:$T$2765,Indicadores!S139,Ofertas!$AG$22:$AG$2765,Indicadores!$T$134,Ofertas!$L$22:$L$2765,Indicadores!$U$134)</f>
        <v>1590</v>
      </c>
      <c r="X139" s="96">
        <f t="shared" si="196"/>
        <v>6.9647949327831587E-3</v>
      </c>
      <c r="Y139" s="7">
        <f>SUMIFS(Ofertas!$X$22:$X$2765,Ofertas!$T$22:$T$2765,Indicadores!S139,Ofertas!$AG$22:$AG$2765,Indicadores!$T$134,Ofertas!$L$22:$L$2765,Indicadores!$U$134)</f>
        <v>77</v>
      </c>
      <c r="Z139" s="19">
        <f t="shared" si="197"/>
        <v>7.0225471542508643E-3</v>
      </c>
      <c r="AB139" s="101" t="s">
        <v>168</v>
      </c>
      <c r="AC139" s="22" t="s">
        <v>9411</v>
      </c>
      <c r="AD139" s="23">
        <f>COUNTIFS(Ofertas!$T$22:$T$2765,Indicadores!AB139,Ofertas!$AG$22:$AG$2765,$AC$134,Ofertas!$L$22:$L$2765,Indicadores!$AD$134)</f>
        <v>5</v>
      </c>
      <c r="AE139" s="19">
        <f t="shared" si="198"/>
        <v>7.575757575757576E-2</v>
      </c>
      <c r="AF139" s="7">
        <f>SUMIFS(Ofertas!$W$22:$W$2765,Ofertas!$T$22:$T$2765,Indicadores!AB139,Ofertas!$AG$22:$AG$2765,Indicadores!$AC$134,Ofertas!$L$22:$L$2765,Indicadores!$AD$134)</f>
        <v>0</v>
      </c>
      <c r="AG139" s="96">
        <f t="shared" si="199"/>
        <v>0</v>
      </c>
      <c r="AH139" s="7">
        <f>SUMIFS(Ofertas!$X$22:$X$2765,Ofertas!$T$22:$T$2765,Indicadores!AB139,Ofertas!$AG$22:$AG$2765,Indicadores!$AC$134,Ofertas!$L$22:$L$2765,Indicadores!$AD$134)</f>
        <v>0</v>
      </c>
      <c r="AI139" s="19">
        <f t="shared" si="200"/>
        <v>0</v>
      </c>
      <c r="AK139" s="101" t="s">
        <v>168</v>
      </c>
      <c r="AL139" s="22" t="s">
        <v>9411</v>
      </c>
      <c r="AM139" s="23">
        <f>COUNTIFS(Ofertas!$T$22:$T$2765,Indicadores!AK139,Ofertas!$AG$22:$AG$2765,$AL$134,Ofertas!$K$22:$K$2765,Indicadores!$AM$134)</f>
        <v>0</v>
      </c>
      <c r="AN139" s="19">
        <f t="shared" si="201"/>
        <v>0</v>
      </c>
      <c r="AO139" s="7">
        <f>SUMIFS(Ofertas!$W$22:$W$2765,Ofertas!$T$22:$T$2765,Indicadores!AK139,Ofertas!$AG$22:$AG$2765,Indicadores!$AL$134,Ofertas!$L$22:$L$2765,Indicadores!$AM$134)</f>
        <v>0</v>
      </c>
      <c r="AP139" s="19">
        <f t="shared" si="202"/>
        <v>0</v>
      </c>
      <c r="AQ139" s="7">
        <f>SUMIFS(Ofertas!$X$22:$X$2765,Ofertas!$T$22:$T$2765,Indicadores!AK139,Ofertas!$AG$22:$AG$2765,Indicadores!$AL$134,Ofertas!$L$22:$L$2765,Indicadores!$AM$134)</f>
        <v>0</v>
      </c>
      <c r="AR139" s="19">
        <f t="shared" si="203"/>
        <v>0</v>
      </c>
    </row>
    <row r="140" spans="1:50" ht="13.9">
      <c r="A140" s="101" t="s">
        <v>158</v>
      </c>
      <c r="B140" s="22" t="s">
        <v>159</v>
      </c>
      <c r="C140" s="23">
        <f>COUNTIFS(Ofertas!$T$22:$T$2765,Indicadores!A140,Ofertas!$AG$22:$AG$2765,$B$134)</f>
        <v>2</v>
      </c>
      <c r="D140" s="19">
        <f t="shared" si="189"/>
        <v>8.4033613445378148E-3</v>
      </c>
      <c r="E140" s="7">
        <f>SUMIFS(Ofertas!$W$22:$W$2765,Ofertas!$T$22:$T$2765,Indicadores!A140,Ofertas!$AG$22:$AG$2765,Indicadores!$B$134)</f>
        <v>5940</v>
      </c>
      <c r="F140" s="19">
        <f t="shared" si="190"/>
        <v>1.081506243240586E-2</v>
      </c>
      <c r="G140" s="7">
        <f>SUMIFS(Ofertas!$X$22:$X$2765,Ofertas!$T$22:$T$2765,Indicadores!A140,Ofertas!$AG$22:$AG$2765,Indicadores!$B$134)</f>
        <v>378.67</v>
      </c>
      <c r="H140" s="19">
        <f t="shared" si="191"/>
        <v>1.4354256610908323E-2</v>
      </c>
      <c r="J140" s="101" t="s">
        <v>158</v>
      </c>
      <c r="K140" s="22" t="s">
        <v>159</v>
      </c>
      <c r="L140" s="23">
        <f>COUNTIFS(Ofertas!$T$22:$T$2765,Indicadores!J140,Ofertas!$AG$22:$AG$2765,$K$134,Ofertas!$L$22:$L$2765,Indicadores!$L$134)</f>
        <v>0</v>
      </c>
      <c r="M140" s="19">
        <f t="shared" si="192"/>
        <v>0</v>
      </c>
      <c r="N140" s="7">
        <f>SUMIFS(Ofertas!$W$22:$W$2765,Ofertas!$T$22:$T$2765,Indicadores!J140,Ofertas!$AG$22:$AG$2765,Indicadores!$K$134,Ofertas!$L$22:$L$2765,Indicadores!$L$134)</f>
        <v>0</v>
      </c>
      <c r="O140" s="96">
        <f t="shared" si="193"/>
        <v>0</v>
      </c>
      <c r="P140" s="7">
        <f>SUMIFS(Ofertas!$X$22:$X$2765,Ofertas!$T$22:$T$2765,Indicadores!J140,Ofertas!$AG$22:$AG$2765,Indicadores!$K$134,Ofertas!$L$22:$L$2765,Indicadores!$L$134)</f>
        <v>0</v>
      </c>
      <c r="Q140" s="19">
        <f t="shared" si="194"/>
        <v>0</v>
      </c>
      <c r="S140" s="101" t="s">
        <v>158</v>
      </c>
      <c r="T140" s="22" t="s">
        <v>159</v>
      </c>
      <c r="U140" s="23">
        <f>COUNTIFS(Ofertas!$T$22:$T$2765,Indicadores!S140,Ofertas!$AG$22:$AG$2765,$T$134,Ofertas!$L$22:$L$2765,Indicadores!$U$134)</f>
        <v>0</v>
      </c>
      <c r="V140" s="19">
        <f t="shared" si="195"/>
        <v>0</v>
      </c>
      <c r="W140" s="7">
        <f>SUMIFS(Ofertas!$W$22:$W$2765,Ofertas!$T$22:$T$2765,Indicadores!S140,Ofertas!$AG$22:$AG$2765,Indicadores!$T$134,Ofertas!$L$22:$L$2765,Indicadores!$U$134)</f>
        <v>0</v>
      </c>
      <c r="X140" s="96">
        <f t="shared" si="196"/>
        <v>0</v>
      </c>
      <c r="Y140" s="7">
        <f>SUMIFS(Ofertas!$X$22:$X$2765,Ofertas!$T$22:$T$2765,Indicadores!S140,Ofertas!$AG$22:$AG$2765,Indicadores!$T$134,Ofertas!$L$22:$L$2765,Indicadores!$U$134)</f>
        <v>0</v>
      </c>
      <c r="Z140" s="19">
        <f t="shared" si="197"/>
        <v>0</v>
      </c>
      <c r="AB140" s="101" t="s">
        <v>158</v>
      </c>
      <c r="AC140" s="22" t="s">
        <v>159</v>
      </c>
      <c r="AD140" s="23">
        <f>COUNTIFS(Ofertas!$T$22:$T$2765,Indicadores!AB140,Ofertas!$AG$22:$AG$2765,$AC$134,Ofertas!$L$22:$L$2765,Indicadores!$AD$134)</f>
        <v>2</v>
      </c>
      <c r="AE140" s="19">
        <f t="shared" si="198"/>
        <v>3.0303030303030304E-2</v>
      </c>
      <c r="AF140" s="7">
        <f>SUMIFS(Ofertas!$W$22:$W$2765,Ofertas!$T$22:$T$2765,Indicadores!AB140,Ofertas!$AG$22:$AG$2765,Indicadores!$AC$134,Ofertas!$L$22:$L$2765,Indicadores!$AD$134)</f>
        <v>5940</v>
      </c>
      <c r="AG140" s="96">
        <f t="shared" si="199"/>
        <v>5.4242612411878582E-2</v>
      </c>
      <c r="AH140" s="7">
        <f>SUMIFS(Ofertas!$X$22:$X$2765,Ofertas!$T$22:$T$2765,Indicadores!AB140,Ofertas!$AG$22:$AG$2765,Indicadores!$AC$134,Ofertas!$L$22:$L$2765,Indicadores!$AD$134)</f>
        <v>378.67</v>
      </c>
      <c r="AI140" s="19">
        <f t="shared" si="200"/>
        <v>8.5529219686777763E-2</v>
      </c>
      <c r="AK140" s="101" t="s">
        <v>158</v>
      </c>
      <c r="AL140" s="22" t="s">
        <v>159</v>
      </c>
      <c r="AM140" s="23">
        <f>COUNTIFS(Ofertas!$T$22:$T$2765,Indicadores!AK140,Ofertas!$AG$22:$AG$2765,$AL$134,Ofertas!$K$22:$K$2765,Indicadores!$AM$134)</f>
        <v>0</v>
      </c>
      <c r="AN140" s="19">
        <f t="shared" si="201"/>
        <v>0</v>
      </c>
      <c r="AO140" s="7">
        <f>SUMIFS(Ofertas!$W$22:$W$2765,Ofertas!$T$22:$T$2765,Indicadores!AK140,Ofertas!$AG$22:$AG$2765,Indicadores!$AL$134,Ofertas!$L$22:$L$2765,Indicadores!$AM$134)</f>
        <v>0</v>
      </c>
      <c r="AP140" s="19">
        <f t="shared" si="202"/>
        <v>0</v>
      </c>
      <c r="AQ140" s="7">
        <f>SUMIFS(Ofertas!$X$22:$X$2765,Ofertas!$T$22:$T$2765,Indicadores!AK140,Ofertas!$AG$22:$AG$2765,Indicadores!$AL$134,Ofertas!$L$22:$L$2765,Indicadores!$AM$134)</f>
        <v>0</v>
      </c>
      <c r="AR140" s="19">
        <f t="shared" si="203"/>
        <v>0</v>
      </c>
    </row>
    <row r="141" spans="1:50" ht="13.9">
      <c r="A141" s="101" t="s">
        <v>64</v>
      </c>
      <c r="B141" s="22" t="s">
        <v>9412</v>
      </c>
      <c r="C141" s="23">
        <f>COUNTIFS(Ofertas!$T$22:$T$2765,Indicadores!A141,Ofertas!$AG$22:$AG$2765,$B$134)</f>
        <v>0</v>
      </c>
      <c r="D141" s="19">
        <f t="shared" si="189"/>
        <v>0</v>
      </c>
      <c r="E141" s="7">
        <f>SUMIFS(Ofertas!$W$22:$W$2765,Ofertas!$T$22:$T$2765,Indicadores!A141,Ofertas!$AG$22:$AG$2765,Indicadores!$B$134)</f>
        <v>0</v>
      </c>
      <c r="F141" s="19">
        <f t="shared" si="190"/>
        <v>0</v>
      </c>
      <c r="G141" s="7">
        <f>SUMIFS(Ofertas!$X$22:$X$2765,Ofertas!$T$22:$T$2765,Indicadores!A141,Ofertas!$AG$22:$AG$2765,Indicadores!$B$134)</f>
        <v>0</v>
      </c>
      <c r="H141" s="19">
        <f t="shared" si="191"/>
        <v>0</v>
      </c>
      <c r="J141" s="101" t="s">
        <v>64</v>
      </c>
      <c r="K141" s="22" t="s">
        <v>9412</v>
      </c>
      <c r="L141" s="23">
        <f>COUNTIFS(Ofertas!$T$22:$T$2765,Indicadores!J141,Ofertas!$AG$22:$AG$2765,$K$134,Ofertas!$L$22:$L$2765,Indicadores!$L$134)</f>
        <v>0</v>
      </c>
      <c r="M141" s="19">
        <f t="shared" si="192"/>
        <v>0</v>
      </c>
      <c r="N141" s="7">
        <f>SUMIFS(Ofertas!$W$22:$W$2765,Ofertas!$T$22:$T$2765,Indicadores!J141,Ofertas!$AG$22:$AG$2765,Indicadores!$K$134,Ofertas!$L$22:$L$2765,Indicadores!$L$134)</f>
        <v>0</v>
      </c>
      <c r="O141" s="96">
        <f t="shared" si="193"/>
        <v>0</v>
      </c>
      <c r="P141" s="7">
        <f>SUMIFS(Ofertas!$X$22:$X$2765,Ofertas!$T$22:$T$2765,Indicadores!J141,Ofertas!$AG$22:$AG$2765,Indicadores!$K$134,Ofertas!$L$22:$L$2765,Indicadores!$L$134)</f>
        <v>0</v>
      </c>
      <c r="Q141" s="19">
        <f t="shared" si="194"/>
        <v>0</v>
      </c>
      <c r="S141" s="101" t="s">
        <v>64</v>
      </c>
      <c r="T141" s="22" t="s">
        <v>9412</v>
      </c>
      <c r="U141" s="23">
        <f>COUNTIFS(Ofertas!$T$22:$T$2765,Indicadores!S141,Ofertas!$AG$22:$AG$2765,$T$134,Ofertas!$L$22:$L$2765,Indicadores!$U$134)</f>
        <v>0</v>
      </c>
      <c r="V141" s="19">
        <f t="shared" si="195"/>
        <v>0</v>
      </c>
      <c r="W141" s="7">
        <f>SUMIFS(Ofertas!$W$22:$W$2765,Ofertas!$T$22:$T$2765,Indicadores!S141,Ofertas!$AG$22:$AG$2765,Indicadores!$T$134,Ofertas!$L$22:$L$2765,Indicadores!$U$134)</f>
        <v>0</v>
      </c>
      <c r="X141" s="96">
        <f t="shared" si="196"/>
        <v>0</v>
      </c>
      <c r="Y141" s="7">
        <f>SUMIFS(Ofertas!$X$22:$X$2765,Ofertas!$T$22:$T$2765,Indicadores!S141,Ofertas!$AG$22:$AG$2765,Indicadores!$T$134,Ofertas!$L$22:$L$2765,Indicadores!$U$134)</f>
        <v>0</v>
      </c>
      <c r="Z141" s="19">
        <f t="shared" si="197"/>
        <v>0</v>
      </c>
      <c r="AB141" s="101" t="s">
        <v>64</v>
      </c>
      <c r="AC141" s="22" t="s">
        <v>9412</v>
      </c>
      <c r="AD141" s="23">
        <f>COUNTIFS(Ofertas!$T$22:$T$2765,Indicadores!AB141,Ofertas!$AG$22:$AG$2765,$AC$134,Ofertas!$L$22:$L$2765,Indicadores!$AD$134)</f>
        <v>0</v>
      </c>
      <c r="AE141" s="19">
        <f t="shared" si="198"/>
        <v>0</v>
      </c>
      <c r="AF141" s="7">
        <f>SUMIFS(Ofertas!$W$22:$W$2765,Ofertas!$T$22:$T$2765,Indicadores!AB141,Ofertas!$AG$22:$AG$2765,Indicadores!$AC$134,Ofertas!$L$22:$L$2765,Indicadores!$AD$134)</f>
        <v>0</v>
      </c>
      <c r="AG141" s="96">
        <f t="shared" si="199"/>
        <v>0</v>
      </c>
      <c r="AH141" s="7">
        <f>SUMIFS(Ofertas!$X$22:$X$2765,Ofertas!$T$22:$T$2765,Indicadores!AB141,Ofertas!$AG$22:$AG$2765,Indicadores!$AC$134,Ofertas!$L$22:$L$2765,Indicadores!$AD$134)</f>
        <v>0</v>
      </c>
      <c r="AI141" s="19">
        <f t="shared" si="200"/>
        <v>0</v>
      </c>
      <c r="AK141" s="101" t="s">
        <v>64</v>
      </c>
      <c r="AL141" s="22" t="s">
        <v>9412</v>
      </c>
      <c r="AM141" s="23">
        <f>COUNTIFS(Ofertas!$T$22:$T$2765,Indicadores!AK141,Ofertas!$AG$22:$AG$2765,$AL$134,Ofertas!$K$22:$K$2765,Indicadores!$AM$134)</f>
        <v>0</v>
      </c>
      <c r="AN141" s="19">
        <f t="shared" si="201"/>
        <v>0</v>
      </c>
      <c r="AO141" s="7">
        <f>SUMIFS(Ofertas!$W$22:$W$2765,Ofertas!$T$22:$T$2765,Indicadores!AK141,Ofertas!$AG$22:$AG$2765,Indicadores!$AL$134,Ofertas!$L$22:$L$2765,Indicadores!$AM$134)</f>
        <v>0</v>
      </c>
      <c r="AP141" s="19">
        <f t="shared" si="202"/>
        <v>0</v>
      </c>
      <c r="AQ141" s="7">
        <f>SUMIFS(Ofertas!$X$22:$X$2765,Ofertas!$T$22:$T$2765,Indicadores!AK141,Ofertas!$AG$22:$AG$2765,Indicadores!$AL$134,Ofertas!$L$22:$L$2765,Indicadores!$AM$134)</f>
        <v>0</v>
      </c>
      <c r="AR141" s="19">
        <f t="shared" si="203"/>
        <v>0</v>
      </c>
    </row>
    <row r="142" spans="1:50" s="97" customFormat="1"/>
    <row r="143" spans="1:50" s="97" customFormat="1">
      <c r="E143" s="107"/>
      <c r="G143" s="107"/>
      <c r="N143" s="97" t="s">
        <v>9415</v>
      </c>
      <c r="O143" s="115">
        <v>0.5</v>
      </c>
      <c r="W143" s="97" t="s">
        <v>9415</v>
      </c>
      <c r="X143" s="115">
        <v>0.1</v>
      </c>
      <c r="AF143" s="97" t="s">
        <v>9415</v>
      </c>
      <c r="AG143" s="115">
        <v>0.3</v>
      </c>
    </row>
    <row r="144" spans="1:50" s="97" customFormat="1">
      <c r="E144" s="108"/>
      <c r="G144" s="108"/>
    </row>
    <row r="145" spans="1:50" s="97" customFormat="1" ht="13.9">
      <c r="B145" s="98">
        <v>2025</v>
      </c>
      <c r="J145" s="99"/>
      <c r="K145" s="98">
        <v>2025</v>
      </c>
      <c r="L145" s="100" t="s">
        <v>120</v>
      </c>
      <c r="M145" s="398" t="s">
        <v>9392</v>
      </c>
      <c r="N145" s="399"/>
      <c r="O145" s="399"/>
      <c r="P145" s="399"/>
      <c r="Q145" s="400"/>
      <c r="S145" s="99"/>
      <c r="T145" s="98">
        <v>2025</v>
      </c>
      <c r="U145" s="100" t="s">
        <v>123</v>
      </c>
      <c r="V145" s="398" t="s">
        <v>9393</v>
      </c>
      <c r="W145" s="399"/>
      <c r="X145" s="399"/>
      <c r="Y145" s="399"/>
      <c r="Z145" s="400"/>
      <c r="AB145" s="99"/>
      <c r="AC145" s="98">
        <v>2025</v>
      </c>
      <c r="AD145" s="100" t="s">
        <v>129</v>
      </c>
      <c r="AE145" s="398" t="s">
        <v>9413</v>
      </c>
      <c r="AF145" s="399"/>
      <c r="AG145" s="399"/>
      <c r="AH145" s="399"/>
      <c r="AI145" s="400"/>
      <c r="AK145" s="99"/>
      <c r="AL145" s="98">
        <v>2025</v>
      </c>
      <c r="AM145" s="100" t="s">
        <v>227</v>
      </c>
      <c r="AN145" s="398" t="s">
        <v>9414</v>
      </c>
      <c r="AO145" s="399"/>
      <c r="AP145" s="399"/>
      <c r="AQ145" s="399"/>
      <c r="AR145" s="400"/>
    </row>
    <row r="146" spans="1:50" ht="13.9">
      <c r="B146" s="4" t="s">
        <v>9397</v>
      </c>
      <c r="C146" s="5" t="s">
        <v>9398</v>
      </c>
      <c r="D146" s="5" t="s">
        <v>9399</v>
      </c>
      <c r="E146" s="5" t="s">
        <v>9400</v>
      </c>
      <c r="F146" s="5" t="s">
        <v>9401</v>
      </c>
      <c r="G146" s="5" t="s">
        <v>9402</v>
      </c>
      <c r="H146" s="5" t="s">
        <v>9403</v>
      </c>
      <c r="J146" s="102"/>
      <c r="K146" s="4" t="s">
        <v>9397</v>
      </c>
      <c r="L146" s="5" t="s">
        <v>9398</v>
      </c>
      <c r="M146" s="5" t="s">
        <v>9399</v>
      </c>
      <c r="N146" s="5" t="s">
        <v>9400</v>
      </c>
      <c r="O146" s="5" t="s">
        <v>9401</v>
      </c>
      <c r="P146" s="5" t="s">
        <v>9402</v>
      </c>
      <c r="Q146" s="5" t="s">
        <v>9403</v>
      </c>
      <c r="S146" s="102"/>
      <c r="T146" s="4" t="s">
        <v>9397</v>
      </c>
      <c r="U146" s="5" t="s">
        <v>9398</v>
      </c>
      <c r="V146" s="5" t="s">
        <v>9399</v>
      </c>
      <c r="W146" s="5" t="s">
        <v>9400</v>
      </c>
      <c r="X146" s="5" t="s">
        <v>9401</v>
      </c>
      <c r="Y146" s="5" t="s">
        <v>9402</v>
      </c>
      <c r="Z146" s="5" t="s">
        <v>9403</v>
      </c>
      <c r="AB146" s="102"/>
      <c r="AC146" s="4" t="s">
        <v>9397</v>
      </c>
      <c r="AD146" s="5" t="s">
        <v>9398</v>
      </c>
      <c r="AE146" s="5" t="s">
        <v>9399</v>
      </c>
      <c r="AF146" s="5" t="s">
        <v>9400</v>
      </c>
      <c r="AG146" s="5" t="s">
        <v>9401</v>
      </c>
      <c r="AH146" s="5" t="s">
        <v>9402</v>
      </c>
      <c r="AI146" s="5" t="s">
        <v>9403</v>
      </c>
      <c r="AK146" s="102"/>
      <c r="AL146" s="4" t="s">
        <v>9397</v>
      </c>
      <c r="AM146" s="5" t="s">
        <v>9398</v>
      </c>
      <c r="AN146" s="5" t="s">
        <v>9399</v>
      </c>
      <c r="AO146" s="5" t="s">
        <v>9400</v>
      </c>
      <c r="AP146" s="5" t="s">
        <v>9401</v>
      </c>
      <c r="AQ146" s="5" t="s">
        <v>9402</v>
      </c>
      <c r="AR146" s="5" t="s">
        <v>9403</v>
      </c>
    </row>
    <row r="147" spans="1:50" ht="13.9">
      <c r="B147" s="25" t="s">
        <v>9405</v>
      </c>
      <c r="C147" s="7">
        <f>SUM(C148:C152)</f>
        <v>359</v>
      </c>
      <c r="D147" s="19">
        <f>SUM(D148:D152)</f>
        <v>1</v>
      </c>
      <c r="E147" s="7">
        <f t="shared" ref="E147" si="204">SUM(E148:E152)</f>
        <v>1645657.5</v>
      </c>
      <c r="F147" s="19">
        <f>SUM(F148:F152)</f>
        <v>1</v>
      </c>
      <c r="G147" s="7">
        <f>SUM(G148:G152)</f>
        <v>78924.088084360017</v>
      </c>
      <c r="H147" s="19">
        <f t="shared" ref="H147" si="205">SUM(H148:H152)</f>
        <v>1</v>
      </c>
      <c r="J147" s="103"/>
      <c r="K147" s="25" t="s">
        <v>9405</v>
      </c>
      <c r="L147" s="7">
        <f>SUM(L148:L152)</f>
        <v>149</v>
      </c>
      <c r="M147" s="19">
        <f>SUM(M148:M152)</f>
        <v>0.99999999999999978</v>
      </c>
      <c r="N147" s="7">
        <f t="shared" ref="N147:Q147" si="206">SUM(N148:N152)</f>
        <v>271765</v>
      </c>
      <c r="O147" s="19">
        <f t="shared" si="206"/>
        <v>1</v>
      </c>
      <c r="P147" s="7">
        <f t="shared" si="206"/>
        <v>13470.458653999998</v>
      </c>
      <c r="Q147" s="19">
        <f t="shared" si="206"/>
        <v>0.99999999999999989</v>
      </c>
      <c r="S147" s="104"/>
      <c r="T147" s="25" t="s">
        <v>9405</v>
      </c>
      <c r="U147" s="7">
        <f>SUM(U148:U152)</f>
        <v>84</v>
      </c>
      <c r="V147" s="19">
        <f>SUM(V148:V152)</f>
        <v>0.99999999999999989</v>
      </c>
      <c r="W147" s="7">
        <f t="shared" ref="W147:Z147" si="207">SUM(W148:W152)</f>
        <v>1114344</v>
      </c>
      <c r="X147" s="19">
        <f t="shared" si="207"/>
        <v>1</v>
      </c>
      <c r="Y147" s="7">
        <f t="shared" si="207"/>
        <v>55026.466971000002</v>
      </c>
      <c r="Z147" s="19">
        <f t="shared" si="207"/>
        <v>0.99999999999999978</v>
      </c>
      <c r="AB147" s="104"/>
      <c r="AC147" s="25" t="s">
        <v>9405</v>
      </c>
      <c r="AD147" s="7">
        <f>SUM(AD148:AD152)</f>
        <v>126</v>
      </c>
      <c r="AE147" s="19">
        <f>SUM(AE148:AE152)</f>
        <v>1</v>
      </c>
      <c r="AF147" s="7">
        <f t="shared" ref="AF147:AI147" si="208">SUM(AF148:AF152)</f>
        <v>259548.5</v>
      </c>
      <c r="AG147" s="19">
        <f t="shared" si="208"/>
        <v>1</v>
      </c>
      <c r="AH147" s="7">
        <f t="shared" si="208"/>
        <v>10427.162459359999</v>
      </c>
      <c r="AI147" s="19">
        <f t="shared" si="208"/>
        <v>1</v>
      </c>
      <c r="AK147" s="104"/>
      <c r="AL147" s="25" t="s">
        <v>9405</v>
      </c>
      <c r="AM147" s="7">
        <f>SUM(AM148:AM152)</f>
        <v>5</v>
      </c>
      <c r="AN147" s="19">
        <f>SUM(AN148:AN152)</f>
        <v>1</v>
      </c>
      <c r="AO147" s="7">
        <f t="shared" ref="AO147:AR147" si="209">SUM(AO148:AO152)</f>
        <v>0</v>
      </c>
      <c r="AP147" s="19">
        <f t="shared" si="209"/>
        <v>0</v>
      </c>
      <c r="AQ147" s="7">
        <f t="shared" si="209"/>
        <v>0</v>
      </c>
      <c r="AR147" s="19">
        <f t="shared" si="209"/>
        <v>0</v>
      </c>
      <c r="AT147" s="107"/>
      <c r="AU147" s="107"/>
      <c r="AV147" s="107"/>
      <c r="AW147" s="108"/>
      <c r="AX147" s="108"/>
    </row>
    <row r="148" spans="1:50" ht="13.9">
      <c r="A148" s="101" t="s">
        <v>3</v>
      </c>
      <c r="B148" s="22" t="s">
        <v>9407</v>
      </c>
      <c r="C148" s="23">
        <f>COUNTIFS(Ofertas!$T$22:$T$2765,Indicadores!A148,Ofertas!$AG$22:$AG$2765,$B$145)</f>
        <v>152</v>
      </c>
      <c r="D148" s="19">
        <f>C148/$C$147</f>
        <v>0.42339832869080779</v>
      </c>
      <c r="E148" s="7">
        <f>SUMIFS(Ofertas!$W$22:$W$2765,Ofertas!$T$22:$T$2765,Indicadores!A148,Ofertas!$AG$22:$AG$2765,Indicadores!$B$145)</f>
        <v>212129.5</v>
      </c>
      <c r="F148" s="19">
        <f>E148/$E$147</f>
        <v>0.1289025814909846</v>
      </c>
      <c r="G148" s="7">
        <f>SUMIFS(Ofertas!$X$22:$X$2765,Ofertas!$T$22:$T$2765,Indicadores!A148,Ofertas!$AG$22:$AG$2765,Indicadores!$B$145)</f>
        <v>10174.737938360002</v>
      </c>
      <c r="H148" s="19">
        <f>G148/$G$147</f>
        <v>0.12891802978432232</v>
      </c>
      <c r="J148" s="101" t="s">
        <v>3</v>
      </c>
      <c r="K148" s="22" t="s">
        <v>9407</v>
      </c>
      <c r="L148" s="23">
        <f>COUNTIFS(Ofertas!$T$22:$T$2765,Indicadores!J148,Ofertas!$AG$22:$AG$2765,$K$145,Ofertas!$L$22:$L$2765,Indicadores!$L$145)</f>
        <v>84</v>
      </c>
      <c r="M148" s="19">
        <f>IF($L$147&lt;&gt;0,L148/$L$147,0)</f>
        <v>0.56375838926174493</v>
      </c>
      <c r="N148" s="7">
        <f>SUMIFS(Ofertas!$W$22:$W$2765,Ofertas!$T$22:$T$2765,Indicadores!J148,Ofertas!$AG$22:$AG$2765,Indicadores!$K$145,Ofertas!$L$22:$L$2765,Indicadores!$L$145)</f>
        <v>96759</v>
      </c>
      <c r="O148" s="96">
        <f>IF($N$147&lt;&gt;0,N148/$N$147,0)</f>
        <v>0.35603922506577373</v>
      </c>
      <c r="P148" s="7">
        <f>SUMIFS(Ofertas!$X$22:$X$2765,Ofertas!$T$22:$T$2765,Indicadores!J148,Ofertas!$AG$22:$AG$2765,Indicadores!$K$145,Ofertas!$L$22:$L$2765,Indicadores!$L$145)</f>
        <v>4956.0569309999983</v>
      </c>
      <c r="Q148" s="19">
        <f>IF($P$147&lt;&gt;0,P148/$P$147,0)</f>
        <v>0.36792042931131502</v>
      </c>
      <c r="S148" s="101" t="s">
        <v>3</v>
      </c>
      <c r="T148" s="22" t="s">
        <v>9407</v>
      </c>
      <c r="U148" s="23">
        <f>COUNTIFS(Ofertas!$T$22:$T$2765,Indicadores!S148,Ofertas!$AG$22:$AG$2765,$T$145,Ofertas!$L$22:$L$2765,Indicadores!$U$145)</f>
        <v>19</v>
      </c>
      <c r="V148" s="19">
        <f>U148/$U$147</f>
        <v>0.22619047619047619</v>
      </c>
      <c r="W148" s="7">
        <f>SUMIFS(Ofertas!$W$22:$W$2765,Ofertas!$T$22:$T$2765,Indicadores!S148,Ofertas!$AG$22:$AG$2765,Indicadores!$T$145,Ofertas!$L$22:$L$2765,Indicadores!$U$145)</f>
        <v>69462</v>
      </c>
      <c r="X148" s="96">
        <f>W148/$W$147</f>
        <v>6.2334431737416811E-2</v>
      </c>
      <c r="Y148" s="7">
        <f>SUMIFS(Ofertas!$X$22:$X$2765,Ofertas!$T$22:$T$2765,Indicadores!S148,Ofertas!$AG$22:$AG$2765,Indicadores!$T$145,Ofertas!$L$22:$L$2765,Indicadores!$U$145)</f>
        <v>3295.5719999999997</v>
      </c>
      <c r="Z148" s="19">
        <f>Y148/$Y$147</f>
        <v>5.9890670461122446E-2</v>
      </c>
      <c r="AB148" s="101" t="s">
        <v>3</v>
      </c>
      <c r="AC148" s="22" t="s">
        <v>9407</v>
      </c>
      <c r="AD148" s="23">
        <f>COUNTIFS(Ofertas!$T$22:$T$2765,Indicadores!AB148,Ofertas!$AG$22:$AG$2765,$AC$145,Ofertas!$L$22:$L$2765,Indicadores!$AD$145)</f>
        <v>49</v>
      </c>
      <c r="AE148" s="19">
        <f>AD148/$AD$147</f>
        <v>0.3888888888888889</v>
      </c>
      <c r="AF148" s="7">
        <f>SUMIFS(Ofertas!$W$22:$W$2765,Ofertas!$T$22:$T$2765,Indicadores!AB148,Ofertas!$AG$22:$AG$2765,Indicadores!$AC$145,Ofertas!$L$22:$L$2765,Indicadores!$AD$145)</f>
        <v>45908.5</v>
      </c>
      <c r="AG148" s="96">
        <f>AF148/$AF$147</f>
        <v>0.17687830983419284</v>
      </c>
      <c r="AH148" s="7">
        <f>SUMIFS(Ofertas!$X$22:$X$2765,Ofertas!$T$22:$T$2765,Indicadores!AB148,Ofertas!$AG$22:$AG$2765,Indicadores!$AC$145,Ofertas!$L$22:$L$2765,Indicadores!$AD$145)</f>
        <v>1923.1090073599999</v>
      </c>
      <c r="AI148" s="19">
        <f>AH148/$AH$147</f>
        <v>0.18443263110700941</v>
      </c>
      <c r="AK148" s="101" t="s">
        <v>3</v>
      </c>
      <c r="AL148" s="22" t="s">
        <v>9407</v>
      </c>
      <c r="AM148" s="23">
        <f>COUNTIFS(Ofertas!$T$22:$T$2765,Indicadores!AK148,Ofertas!$AG$22:$AG$2765,$AL$145,Ofertas!$K$22:$K$2765,Indicadores!$AM$145)</f>
        <v>1</v>
      </c>
      <c r="AN148" s="19">
        <f>IF($AM$147&lt;&gt;0,AM148/$AM$147,0)</f>
        <v>0.2</v>
      </c>
      <c r="AO148" s="7">
        <f>SUMIFS(Ofertas!$W$22:$W$2765,Ofertas!$T$22:$T$2765,Indicadores!AK148,Ofertas!$AG$22:$AG$2765,Indicadores!$AL$145,Ofertas!$L$22:$L$2765,Indicadores!$AM$145)</f>
        <v>0</v>
      </c>
      <c r="AP148" s="19">
        <f>IF($AO$147&lt;&gt;0,AO148/$AO$147,0)</f>
        <v>0</v>
      </c>
      <c r="AQ148" s="7">
        <f>SUMIFS(Ofertas!$X$22:$X$2765,Ofertas!$T$22:$T$2765,Indicadores!AK148,Ofertas!$AG$22:$AG$2765,Indicadores!$AL$145,Ofertas!$L$22:$L$2765,Indicadores!$AM$145)</f>
        <v>0</v>
      </c>
      <c r="AR148" s="19">
        <f>IF($AQ$147&lt;&gt;0,AQ148/$AQ$147,0)</f>
        <v>0</v>
      </c>
    </row>
    <row r="149" spans="1:50" ht="13.9">
      <c r="A149" s="101" t="s">
        <v>165</v>
      </c>
      <c r="B149" s="22" t="s">
        <v>9409</v>
      </c>
      <c r="C149" s="23">
        <f>COUNTIFS(Ofertas!$T$22:$T$2765,Indicadores!A149,Ofertas!$AG$22:$AG$2765,$B$145)</f>
        <v>141</v>
      </c>
      <c r="D149" s="19">
        <f t="shared" ref="D149:D152" si="210">C149/$C$147</f>
        <v>0.39275766016713093</v>
      </c>
      <c r="E149" s="7">
        <f>SUMIFS(Ofertas!$W$22:$W$2765,Ofertas!$T$22:$T$2765,Indicadores!A149,Ofertas!$AG$22:$AG$2765,Indicadores!$B$145)</f>
        <v>929928</v>
      </c>
      <c r="F149" s="19">
        <f t="shared" ref="F149:F152" si="211">E149/$E$147</f>
        <v>0.56507991486685416</v>
      </c>
      <c r="G149" s="7">
        <f>SUMIFS(Ofertas!$X$22:$X$2765,Ofertas!$T$22:$T$2765,Indicadores!A149,Ofertas!$AG$22:$AG$2765,Indicadores!$B$145)</f>
        <v>45274.193687000006</v>
      </c>
      <c r="H149" s="19">
        <f t="shared" ref="H149:H152" si="212">G149/$G$147</f>
        <v>0.57364227811675861</v>
      </c>
      <c r="J149" s="101" t="s">
        <v>165</v>
      </c>
      <c r="K149" s="22" t="s">
        <v>9409</v>
      </c>
      <c r="L149" s="23">
        <f>COUNTIFS(Ofertas!$T$22:$T$2765,Indicadores!J149,Ofertas!$AG$22:$AG$2765,$K$145,Ofertas!$L$22:$L$2765,Indicadores!$L$145)</f>
        <v>42</v>
      </c>
      <c r="M149" s="19">
        <f t="shared" ref="M149:M152" si="213">IF($L$147&lt;&gt;0,L149/$L$147,0)</f>
        <v>0.28187919463087246</v>
      </c>
      <c r="N149" s="7">
        <f>SUMIFS(Ofertas!$W$22:$W$2765,Ofertas!$T$22:$T$2765,Indicadores!J149,Ofertas!$AG$22:$AG$2765,Indicadores!$K$145,Ofertas!$L$22:$L$2765,Indicadores!$L$145)</f>
        <v>156100</v>
      </c>
      <c r="O149" s="96">
        <f t="shared" ref="O149:O152" si="214">IF($N$147&lt;&gt;0,N149/$N$147,0)</f>
        <v>0.57439331775614966</v>
      </c>
      <c r="P149" s="7">
        <f>SUMIFS(Ofertas!$X$22:$X$2765,Ofertas!$T$22:$T$2765,Indicadores!J149,Ofertas!$AG$22:$AG$2765,Indicadores!$K$145,Ofertas!$L$22:$L$2765,Indicadores!$L$145)</f>
        <v>7650.274375</v>
      </c>
      <c r="Q149" s="19">
        <f t="shared" ref="Q149:Q152" si="215">IF($P$147&lt;&gt;0,P149/$P$147,0)</f>
        <v>0.56792976182205068</v>
      </c>
      <c r="S149" s="101" t="s">
        <v>165</v>
      </c>
      <c r="T149" s="22" t="s">
        <v>9409</v>
      </c>
      <c r="U149" s="23">
        <f>COUNTIFS(Ofertas!$T$22:$T$2765,Indicadores!S149,Ofertas!$AG$22:$AG$2765,$T$145,Ofertas!$L$22:$L$2765,Indicadores!$U$145)</f>
        <v>42</v>
      </c>
      <c r="V149" s="19">
        <f t="shared" ref="V149:V152" si="216">U149/$U$147</f>
        <v>0.5</v>
      </c>
      <c r="W149" s="7">
        <f>SUMIFS(Ofertas!$W$22:$W$2765,Ofertas!$T$22:$T$2765,Indicadores!S149,Ofertas!$AG$22:$AG$2765,Indicadores!$T$145,Ofertas!$L$22:$L$2765,Indicadores!$U$145)</f>
        <v>616516</v>
      </c>
      <c r="X149" s="96">
        <f t="shared" ref="X149:X152" si="217">W149/$W$147</f>
        <v>0.55325465026957565</v>
      </c>
      <c r="Y149" s="7">
        <f>SUMIFS(Ofertas!$X$22:$X$2765,Ofertas!$T$22:$T$2765,Indicadores!S149,Ofertas!$AG$22:$AG$2765,Indicadores!$T$145,Ofertas!$L$22:$L$2765,Indicadores!$U$145)</f>
        <v>31232.787989999997</v>
      </c>
      <c r="Z149" s="19">
        <f t="shared" ref="Z149:Z152" si="218">Y149/$Y$147</f>
        <v>0.56759573545690789</v>
      </c>
      <c r="AB149" s="101" t="s">
        <v>165</v>
      </c>
      <c r="AC149" s="22" t="s">
        <v>9409</v>
      </c>
      <c r="AD149" s="23">
        <f>COUNTIFS(Ofertas!$T$22:$T$2765,Indicadores!AB149,Ofertas!$AG$22:$AG$2765,$AC$145,Ofertas!$L$22:$L$2765,Indicadores!$AD$145)</f>
        <v>57</v>
      </c>
      <c r="AE149" s="19">
        <f t="shared" ref="AE149:AE152" si="219">AD149/$AD$147</f>
        <v>0.45238095238095238</v>
      </c>
      <c r="AF149" s="7">
        <f>SUMIFS(Ofertas!$W$22:$W$2765,Ofertas!$T$22:$T$2765,Indicadores!AB149,Ofertas!$AG$22:$AG$2765,Indicadores!$AC$145,Ofertas!$L$22:$L$2765,Indicadores!$AD$145)</f>
        <v>157312</v>
      </c>
      <c r="AG149" s="96">
        <f t="shared" ref="AG149:AG152" si="220">AF149/$AF$147</f>
        <v>0.60609866749374397</v>
      </c>
      <c r="AH149" s="7">
        <f>SUMIFS(Ofertas!$X$22:$X$2765,Ofertas!$T$22:$T$2765,Indicadores!AB149,Ofertas!$AG$22:$AG$2765,Indicadores!$AC$145,Ofertas!$L$22:$L$2765,Indicadores!$AD$145)</f>
        <v>6391.1313219999993</v>
      </c>
      <c r="AI149" s="19">
        <f t="shared" ref="AI149:AI152" si="221">AH149/$AH$147</f>
        <v>0.61293102000755395</v>
      </c>
      <c r="AK149" s="101" t="s">
        <v>165</v>
      </c>
      <c r="AL149" s="22" t="s">
        <v>9409</v>
      </c>
      <c r="AM149" s="23">
        <f>COUNTIFS(Ofertas!$T$22:$T$2765,Indicadores!AK149,Ofertas!$AG$22:$AG$2765,$AL$145,Ofertas!$K$22:$K$2765,Indicadores!$AM$145)</f>
        <v>3</v>
      </c>
      <c r="AN149" s="19">
        <f t="shared" ref="AN149:AN152" si="222">IF($AM$147&lt;&gt;0,AM149/$AM$147,0)</f>
        <v>0.6</v>
      </c>
      <c r="AO149" s="7">
        <f>SUMIFS(Ofertas!$W$22:$W$2765,Ofertas!$T$22:$T$2765,Indicadores!AK149,Ofertas!$AG$22:$AG$2765,Indicadores!$AL$145,Ofertas!$L$22:$L$2765,Indicadores!$AM$145)</f>
        <v>0</v>
      </c>
      <c r="AP149" s="19">
        <f t="shared" ref="AP149:AP152" si="223">IF($AO$147&lt;&gt;0,AO149/$AO$147,0)</f>
        <v>0</v>
      </c>
      <c r="AQ149" s="7">
        <f>SUMIFS(Ofertas!$X$22:$X$2765,Ofertas!$T$22:$T$2765,Indicadores!AK149,Ofertas!$AG$22:$AG$2765,Indicadores!$AL$145,Ofertas!$L$22:$L$2765,Indicadores!$AM$145)</f>
        <v>0</v>
      </c>
      <c r="AR149" s="19">
        <f t="shared" ref="AR149:AR152" si="224">IF($AQ$147&lt;&gt;0,AQ149/$AQ$147,0)</f>
        <v>0</v>
      </c>
    </row>
    <row r="150" spans="1:50" ht="13.9">
      <c r="A150" s="101" t="s">
        <v>168</v>
      </c>
      <c r="B150" s="22" t="s">
        <v>9411</v>
      </c>
      <c r="C150" s="23">
        <f>COUNTIFS(Ofertas!$T$22:$T$2765,Indicadores!A150,Ofertas!$AG$22:$AG$2765,$B$145)</f>
        <v>24</v>
      </c>
      <c r="D150" s="19">
        <f t="shared" si="210"/>
        <v>6.6852367688022288E-2</v>
      </c>
      <c r="E150" s="7">
        <f>SUMIFS(Ofertas!$W$22:$W$2765,Ofertas!$T$22:$T$2765,Indicadores!A150,Ofertas!$AG$22:$AG$2765,Indicadores!$B$145)</f>
        <v>197737</v>
      </c>
      <c r="F150" s="19">
        <f t="shared" si="211"/>
        <v>0.12015683700891588</v>
      </c>
      <c r="G150" s="7">
        <f>SUMIFS(Ofertas!$X$22:$X$2765,Ofertas!$T$22:$T$2765,Indicadores!A150,Ofertas!$AG$22:$AG$2765,Indicadores!$B$145)</f>
        <v>9618.130000000001</v>
      </c>
      <c r="H150" s="19">
        <f t="shared" si="212"/>
        <v>0.12186558290948409</v>
      </c>
      <c r="J150" s="101" t="s">
        <v>168</v>
      </c>
      <c r="K150" s="22" t="s">
        <v>9411</v>
      </c>
      <c r="L150" s="23">
        <f>COUNTIFS(Ofertas!$T$22:$T$2765,Indicadores!J150,Ofertas!$AG$22:$AG$2765,$K$145,Ofertas!$L$22:$L$2765,Indicadores!$L$145)</f>
        <v>6</v>
      </c>
      <c r="M150" s="19">
        <f t="shared" si="213"/>
        <v>4.0268456375838924E-2</v>
      </c>
      <c r="N150" s="7">
        <f>SUMIFS(Ofertas!$W$22:$W$2765,Ofertas!$T$22:$T$2765,Indicadores!J150,Ofertas!$AG$22:$AG$2765,Indicadores!$K$145,Ofertas!$L$22:$L$2765,Indicadores!$L$145)</f>
        <v>4578</v>
      </c>
      <c r="O150" s="96">
        <f t="shared" si="214"/>
        <v>1.6845436314462864E-2</v>
      </c>
      <c r="P150" s="7">
        <f>SUMIFS(Ofertas!$X$22:$X$2765,Ofertas!$T$22:$T$2765,Indicadores!J150,Ofertas!$AG$22:$AG$2765,Indicadores!$K$145,Ofertas!$L$22:$L$2765,Indicadores!$L$145)</f>
        <v>187</v>
      </c>
      <c r="Q150" s="19">
        <f t="shared" si="215"/>
        <v>1.3882229610976989E-2</v>
      </c>
      <c r="S150" s="101" t="s">
        <v>168</v>
      </c>
      <c r="T150" s="22" t="s">
        <v>9411</v>
      </c>
      <c r="U150" s="23">
        <f>COUNTIFS(Ofertas!$T$22:$T$2765,Indicadores!S150,Ofertas!$AG$22:$AG$2765,$T$145,Ofertas!$L$22:$L$2765,Indicadores!$U$145)</f>
        <v>9</v>
      </c>
      <c r="V150" s="19">
        <f t="shared" si="216"/>
        <v>0.10714285714285714</v>
      </c>
      <c r="W150" s="7">
        <f>SUMIFS(Ofertas!$W$22:$W$2765,Ofertas!$T$22:$T$2765,Indicadores!S150,Ofertas!$AG$22:$AG$2765,Indicadores!$T$145,Ofertas!$L$22:$L$2765,Indicadores!$U$145)</f>
        <v>171689</v>
      </c>
      <c r="X150" s="96">
        <f t="shared" si="217"/>
        <v>0.15407181265390221</v>
      </c>
      <c r="Y150" s="7">
        <f>SUMIFS(Ofertas!$X$22:$X$2765,Ofertas!$T$22:$T$2765,Indicadores!S150,Ofertas!$AG$22:$AG$2765,Indicadores!$T$145,Ofertas!$L$22:$L$2765,Indicadores!$U$145)</f>
        <v>8478.987000000001</v>
      </c>
      <c r="Z150" s="19">
        <f t="shared" si="218"/>
        <v>0.15408924953274919</v>
      </c>
      <c r="AB150" s="101" t="s">
        <v>168</v>
      </c>
      <c r="AC150" s="22" t="s">
        <v>9411</v>
      </c>
      <c r="AD150" s="23">
        <f>COUNTIFS(Ofertas!$T$22:$T$2765,Indicadores!AB150,Ofertas!$AG$22:$AG$2765,$AC$145,Ofertas!$L$22:$L$2765,Indicadores!$AD$145)</f>
        <v>9</v>
      </c>
      <c r="AE150" s="19">
        <f t="shared" si="219"/>
        <v>7.1428571428571425E-2</v>
      </c>
      <c r="AF150" s="7">
        <f>SUMIFS(Ofertas!$W$22:$W$2765,Ofertas!$T$22:$T$2765,Indicadores!AB150,Ofertas!$AG$22:$AG$2765,Indicadores!$AC$145,Ofertas!$L$22:$L$2765,Indicadores!$AD$145)</f>
        <v>21470</v>
      </c>
      <c r="AG150" s="96">
        <f t="shared" si="220"/>
        <v>8.2720570529207449E-2</v>
      </c>
      <c r="AH150" s="7">
        <f>SUMIFS(Ofertas!$X$22:$X$2765,Ofertas!$T$22:$T$2765,Indicadores!AB150,Ofertas!$AG$22:$AG$2765,Indicadores!$AC$145,Ofertas!$L$22:$L$2765,Indicadores!$AD$145)</f>
        <v>952.14300000000003</v>
      </c>
      <c r="AI150" s="19">
        <f t="shared" si="221"/>
        <v>9.1313720651326744E-2</v>
      </c>
      <c r="AK150" s="101" t="s">
        <v>168</v>
      </c>
      <c r="AL150" s="22" t="s">
        <v>9411</v>
      </c>
      <c r="AM150" s="23">
        <f>COUNTIFS(Ofertas!$T$22:$T$2765,Indicadores!AK150,Ofertas!$AG$22:$AG$2765,$AL$145,Ofertas!$K$22:$K$2765,Indicadores!$AM$145)</f>
        <v>0</v>
      </c>
      <c r="AN150" s="19">
        <f t="shared" si="222"/>
        <v>0</v>
      </c>
      <c r="AO150" s="7">
        <f>SUMIFS(Ofertas!$W$22:$W$2765,Ofertas!$T$22:$T$2765,Indicadores!AK150,Ofertas!$AG$22:$AG$2765,Indicadores!$AL$145,Ofertas!$L$22:$L$2765,Indicadores!$AM$145)</f>
        <v>0</v>
      </c>
      <c r="AP150" s="19">
        <f t="shared" si="223"/>
        <v>0</v>
      </c>
      <c r="AQ150" s="7">
        <f>SUMIFS(Ofertas!$X$22:$X$2765,Ofertas!$T$22:$T$2765,Indicadores!AK150,Ofertas!$AG$22:$AG$2765,Indicadores!$AL$145,Ofertas!$L$22:$L$2765,Indicadores!$AM$145)</f>
        <v>0</v>
      </c>
      <c r="AR150" s="19">
        <f t="shared" si="224"/>
        <v>0</v>
      </c>
    </row>
    <row r="151" spans="1:50" ht="13.9">
      <c r="A151" s="101" t="s">
        <v>158</v>
      </c>
      <c r="B151" s="22" t="s">
        <v>159</v>
      </c>
      <c r="C151" s="23">
        <f>COUNTIFS(Ofertas!$T$22:$T$2765,Indicadores!A151,Ofertas!$AG$22:$AG$2765,$B$145)</f>
        <v>37</v>
      </c>
      <c r="D151" s="19">
        <f t="shared" si="210"/>
        <v>0.10306406685236769</v>
      </c>
      <c r="E151" s="7">
        <f>SUMIFS(Ofertas!$W$22:$W$2765,Ofertas!$T$22:$T$2765,Indicadores!A151,Ofertas!$AG$22:$AG$2765,Indicadores!$B$145)</f>
        <v>303063</v>
      </c>
      <c r="F151" s="19">
        <f t="shared" si="211"/>
        <v>0.18415921903555266</v>
      </c>
      <c r="G151" s="7">
        <f>SUMIFS(Ofertas!$X$22:$X$2765,Ofertas!$T$22:$T$2765,Indicadores!A151,Ofertas!$AG$22:$AG$2765,Indicadores!$B$145)</f>
        <v>13721.026459000001</v>
      </c>
      <c r="H151" s="19">
        <f t="shared" si="212"/>
        <v>0.17385093438563309</v>
      </c>
      <c r="J151" s="101" t="s">
        <v>158</v>
      </c>
      <c r="K151" s="22" t="s">
        <v>159</v>
      </c>
      <c r="L151" s="23">
        <f>COUNTIFS(Ofertas!$T$22:$T$2765,Indicadores!J151,Ofertas!$AG$22:$AG$2765,$K$145,Ofertas!$L$22:$L$2765,Indicadores!$L$145)</f>
        <v>14</v>
      </c>
      <c r="M151" s="19">
        <f t="shared" si="213"/>
        <v>9.3959731543624164E-2</v>
      </c>
      <c r="N151" s="7">
        <f>SUMIFS(Ofertas!$W$22:$W$2765,Ofertas!$T$22:$T$2765,Indicadores!J151,Ofertas!$AG$22:$AG$2765,Indicadores!$K$145,Ofertas!$L$22:$L$2765,Indicadores!$L$145)</f>
        <v>11528</v>
      </c>
      <c r="O151" s="96">
        <f t="shared" si="214"/>
        <v>4.2419001711037109E-2</v>
      </c>
      <c r="P151" s="7">
        <f>SUMIFS(Ofertas!$X$22:$X$2765,Ofertas!$T$22:$T$2765,Indicadores!J151,Ofertas!$AG$22:$AG$2765,Indicadores!$K$145,Ofertas!$L$22:$L$2765,Indicadores!$L$145)</f>
        <v>541.12734799999998</v>
      </c>
      <c r="Q151" s="19">
        <f t="shared" si="215"/>
        <v>4.0171412265855876E-2</v>
      </c>
      <c r="S151" s="101" t="s">
        <v>158</v>
      </c>
      <c r="T151" s="22" t="s">
        <v>159</v>
      </c>
      <c r="U151" s="23">
        <f>COUNTIFS(Ofertas!$T$22:$T$2765,Indicadores!S151,Ofertas!$AG$22:$AG$2765,$T$145,Ofertas!$L$22:$L$2765,Indicadores!$U$145)</f>
        <v>13</v>
      </c>
      <c r="V151" s="19">
        <f t="shared" si="216"/>
        <v>0.15476190476190477</v>
      </c>
      <c r="W151" s="7">
        <f>SUMIFS(Ofertas!$W$22:$W$2765,Ofertas!$T$22:$T$2765,Indicadores!S151,Ofertas!$AG$22:$AG$2765,Indicadores!$T$145,Ofertas!$L$22:$L$2765,Indicadores!$U$145)</f>
        <v>256677</v>
      </c>
      <c r="X151" s="96">
        <f t="shared" si="217"/>
        <v>0.23033910533910534</v>
      </c>
      <c r="Y151" s="7">
        <f>SUMIFS(Ofertas!$X$22:$X$2765,Ofertas!$T$22:$T$2765,Indicadores!S151,Ofertas!$AG$22:$AG$2765,Indicadores!$T$145,Ofertas!$L$22:$L$2765,Indicadores!$U$145)</f>
        <v>12019.119981</v>
      </c>
      <c r="Z151" s="19">
        <f t="shared" si="218"/>
        <v>0.21842434454922038</v>
      </c>
      <c r="AB151" s="101" t="s">
        <v>158</v>
      </c>
      <c r="AC151" s="22" t="s">
        <v>159</v>
      </c>
      <c r="AD151" s="23">
        <f>COUNTIFS(Ofertas!$T$22:$T$2765,Indicadores!AB151,Ofertas!$AG$22:$AG$2765,$AC$145,Ofertas!$L$22:$L$2765,Indicadores!$AD$145)</f>
        <v>10</v>
      </c>
      <c r="AE151" s="19">
        <f t="shared" si="219"/>
        <v>7.9365079365079361E-2</v>
      </c>
      <c r="AF151" s="7">
        <f>SUMIFS(Ofertas!$W$22:$W$2765,Ofertas!$T$22:$T$2765,Indicadores!AB151,Ofertas!$AG$22:$AG$2765,Indicadores!$AC$145,Ofertas!$L$22:$L$2765,Indicadores!$AD$145)</f>
        <v>34858</v>
      </c>
      <c r="AG151" s="96">
        <f t="shared" si="220"/>
        <v>0.13430245214285577</v>
      </c>
      <c r="AH151" s="7">
        <f>SUMIFS(Ofertas!$X$22:$X$2765,Ofertas!$T$22:$T$2765,Indicadores!AB151,Ofertas!$AG$22:$AG$2765,Indicadores!$AC$145,Ofertas!$L$22:$L$2765,Indicadores!$AD$145)</f>
        <v>1160.7791299999999</v>
      </c>
      <c r="AI151" s="19">
        <f t="shared" si="221"/>
        <v>0.11132262823410986</v>
      </c>
      <c r="AK151" s="101" t="s">
        <v>158</v>
      </c>
      <c r="AL151" s="22" t="s">
        <v>159</v>
      </c>
      <c r="AM151" s="23">
        <f>COUNTIFS(Ofertas!$T$22:$T$2765,Indicadores!AK151,Ofertas!$AG$22:$AG$2765,$AL$145,Ofertas!$K$22:$K$2765,Indicadores!$AM$145)</f>
        <v>1</v>
      </c>
      <c r="AN151" s="19">
        <f t="shared" si="222"/>
        <v>0.2</v>
      </c>
      <c r="AO151" s="7">
        <f>SUMIFS(Ofertas!$W$22:$W$2765,Ofertas!$T$22:$T$2765,Indicadores!AK151,Ofertas!$AG$22:$AG$2765,Indicadores!$AL$145,Ofertas!$L$22:$L$2765,Indicadores!$AM$145)</f>
        <v>0</v>
      </c>
      <c r="AP151" s="19">
        <f t="shared" si="223"/>
        <v>0</v>
      </c>
      <c r="AQ151" s="7">
        <f>SUMIFS(Ofertas!$X$22:$X$2765,Ofertas!$T$22:$T$2765,Indicadores!AK151,Ofertas!$AG$22:$AG$2765,Indicadores!$AL$145,Ofertas!$L$22:$L$2765,Indicadores!$AM$145)</f>
        <v>0</v>
      </c>
      <c r="AR151" s="19">
        <f t="shared" si="224"/>
        <v>0</v>
      </c>
    </row>
    <row r="152" spans="1:50" ht="13.9">
      <c r="A152" s="101" t="s">
        <v>64</v>
      </c>
      <c r="B152" s="22" t="s">
        <v>9412</v>
      </c>
      <c r="C152" s="23">
        <f>COUNTIFS(Ofertas!$T$22:$T$2765,Indicadores!A152,Ofertas!$AG$22:$AG$2765,$B$145)</f>
        <v>5</v>
      </c>
      <c r="D152" s="19">
        <f t="shared" si="210"/>
        <v>1.3927576601671309E-2</v>
      </c>
      <c r="E152" s="7">
        <f>SUMIFS(Ofertas!$W$22:$W$2765,Ofertas!$T$22:$T$2765,Indicadores!A152,Ofertas!$AG$22:$AG$2765,Indicadores!$B$145)</f>
        <v>2800</v>
      </c>
      <c r="F152" s="19">
        <f t="shared" si="211"/>
        <v>1.7014475976927154E-3</v>
      </c>
      <c r="G152" s="7">
        <f>SUMIFS(Ofertas!$X$22:$X$2765,Ofertas!$T$22:$T$2765,Indicadores!A152,Ofertas!$AG$22:$AG$2765,Indicadores!$B$145)</f>
        <v>136</v>
      </c>
      <c r="H152" s="19">
        <f t="shared" si="212"/>
        <v>1.7231748038017613E-3</v>
      </c>
      <c r="J152" s="101" t="s">
        <v>64</v>
      </c>
      <c r="K152" s="22" t="s">
        <v>9412</v>
      </c>
      <c r="L152" s="23">
        <f>COUNTIFS(Ofertas!$T$22:$T$2765,Indicadores!J152,Ofertas!$AG$22:$AG$2765,$K$145,Ofertas!$L$22:$L$2765,Indicadores!$L$145)</f>
        <v>3</v>
      </c>
      <c r="M152" s="19">
        <f t="shared" si="213"/>
        <v>2.0134228187919462E-2</v>
      </c>
      <c r="N152" s="7">
        <f>SUMIFS(Ofertas!$W$22:$W$2765,Ofertas!$T$22:$T$2765,Indicadores!J152,Ofertas!$AG$22:$AG$2765,Indicadores!$K$145,Ofertas!$L$22:$L$2765,Indicadores!$L$145)</f>
        <v>2800</v>
      </c>
      <c r="O152" s="96">
        <f t="shared" si="214"/>
        <v>1.0303019152576675E-2</v>
      </c>
      <c r="P152" s="7">
        <f>SUMIFS(Ofertas!$X$22:$X$2765,Ofertas!$T$22:$T$2765,Indicadores!J152,Ofertas!$AG$22:$AG$2765,Indicadores!$K$145,Ofertas!$L$22:$L$2765,Indicadores!$L$145)</f>
        <v>136</v>
      </c>
      <c r="Q152" s="19">
        <f t="shared" si="215"/>
        <v>1.0096166989801446E-2</v>
      </c>
      <c r="S152" s="101" t="s">
        <v>64</v>
      </c>
      <c r="T152" s="22" t="s">
        <v>9412</v>
      </c>
      <c r="U152" s="23">
        <f>COUNTIFS(Ofertas!$T$22:$T$2765,Indicadores!S152,Ofertas!$AG$22:$AG$2765,$T$145,Ofertas!$L$22:$L$2765,Indicadores!$U$145)</f>
        <v>1</v>
      </c>
      <c r="V152" s="19">
        <f t="shared" si="216"/>
        <v>1.1904761904761904E-2</v>
      </c>
      <c r="W152" s="7">
        <f>SUMIFS(Ofertas!$W$22:$W$2765,Ofertas!$T$22:$T$2765,Indicadores!S152,Ofertas!$AG$22:$AG$2765,Indicadores!$T$145,Ofertas!$L$22:$L$2765,Indicadores!$U$145)</f>
        <v>0</v>
      </c>
      <c r="X152" s="96">
        <f t="shared" si="217"/>
        <v>0</v>
      </c>
      <c r="Y152" s="7">
        <f>SUMIFS(Ofertas!$X$22:$X$2765,Ofertas!$T$22:$T$2765,Indicadores!S152,Ofertas!$AG$22:$AG$2765,Indicadores!$T$145,Ofertas!$L$22:$L$2765,Indicadores!$U$145)</f>
        <v>0</v>
      </c>
      <c r="Z152" s="19">
        <f t="shared" si="218"/>
        <v>0</v>
      </c>
      <c r="AB152" s="101" t="s">
        <v>64</v>
      </c>
      <c r="AC152" s="22" t="s">
        <v>9412</v>
      </c>
      <c r="AD152" s="23">
        <f>COUNTIFS(Ofertas!$T$22:$T$2765,Indicadores!AB152,Ofertas!$AG$22:$AG$2765,$AC$145,Ofertas!$L$22:$L$2765,Indicadores!$AD$145)</f>
        <v>1</v>
      </c>
      <c r="AE152" s="19">
        <f t="shared" si="219"/>
        <v>7.9365079365079361E-3</v>
      </c>
      <c r="AF152" s="7">
        <f>SUMIFS(Ofertas!$W$22:$W$2765,Ofertas!$T$22:$T$2765,Indicadores!AB152,Ofertas!$AG$22:$AG$2765,Indicadores!$AC$145,Ofertas!$L$22:$L$2765,Indicadores!$AD$145)</f>
        <v>0</v>
      </c>
      <c r="AG152" s="96">
        <f t="shared" si="220"/>
        <v>0</v>
      </c>
      <c r="AH152" s="7">
        <f>SUMIFS(Ofertas!$X$22:$X$2765,Ofertas!$T$22:$T$2765,Indicadores!AB152,Ofertas!$AG$22:$AG$2765,Indicadores!$AC$145,Ofertas!$L$22:$L$2765,Indicadores!$AD$145)</f>
        <v>0</v>
      </c>
      <c r="AI152" s="19">
        <f t="shared" si="221"/>
        <v>0</v>
      </c>
      <c r="AK152" s="101" t="s">
        <v>64</v>
      </c>
      <c r="AL152" s="22" t="s">
        <v>9412</v>
      </c>
      <c r="AM152" s="23">
        <f>COUNTIFS(Ofertas!$T$22:$T$2765,Indicadores!AK152,Ofertas!$AG$22:$AG$2765,$AL$145,Ofertas!$K$22:$K$2765,Indicadores!$AM$145)</f>
        <v>0</v>
      </c>
      <c r="AN152" s="19">
        <f t="shared" si="222"/>
        <v>0</v>
      </c>
      <c r="AO152" s="7">
        <f>SUMIFS(Ofertas!$W$22:$W$2765,Ofertas!$T$22:$T$2765,Indicadores!AK152,Ofertas!$AG$22:$AG$2765,Indicadores!$AL$145,Ofertas!$L$22:$L$2765,Indicadores!$AM$145)</f>
        <v>0</v>
      </c>
      <c r="AP152" s="19">
        <f t="shared" si="223"/>
        <v>0</v>
      </c>
      <c r="AQ152" s="7">
        <f>SUMIFS(Ofertas!$X$22:$X$2765,Ofertas!$T$22:$T$2765,Indicadores!AK152,Ofertas!$AG$22:$AG$2765,Indicadores!$AL$145,Ofertas!$L$22:$L$2765,Indicadores!$AM$145)</f>
        <v>0</v>
      </c>
      <c r="AR152" s="19">
        <f t="shared" si="224"/>
        <v>0</v>
      </c>
    </row>
    <row r="153" spans="1:50" s="97" customFormat="1"/>
    <row r="154" spans="1:50" s="97" customFormat="1">
      <c r="C154" s="107"/>
      <c r="G154" s="107"/>
      <c r="N154" s="97" t="s">
        <v>9415</v>
      </c>
      <c r="O154" s="115">
        <v>0.5</v>
      </c>
      <c r="W154" s="97" t="s">
        <v>9415</v>
      </c>
      <c r="X154" s="115">
        <v>0.1</v>
      </c>
      <c r="AF154" s="97" t="s">
        <v>9415</v>
      </c>
      <c r="AG154" s="115">
        <v>0.3</v>
      </c>
    </row>
    <row r="155" spans="1:50" s="97" customFormat="1">
      <c r="E155" s="108"/>
      <c r="G155" s="108"/>
    </row>
    <row r="156" spans="1:50" s="97" customFormat="1" ht="13.9">
      <c r="B156" s="98">
        <v>2026</v>
      </c>
      <c r="J156" s="99"/>
      <c r="K156" s="98">
        <v>2026</v>
      </c>
      <c r="L156" s="100" t="s">
        <v>120</v>
      </c>
      <c r="M156" s="398" t="s">
        <v>9392</v>
      </c>
      <c r="N156" s="399"/>
      <c r="O156" s="399"/>
      <c r="P156" s="399"/>
      <c r="Q156" s="400"/>
      <c r="S156" s="99"/>
      <c r="T156" s="98">
        <v>2026</v>
      </c>
      <c r="U156" s="100" t="s">
        <v>123</v>
      </c>
      <c r="V156" s="398" t="s">
        <v>9393</v>
      </c>
      <c r="W156" s="399"/>
      <c r="X156" s="399"/>
      <c r="Y156" s="399"/>
      <c r="Z156" s="400"/>
      <c r="AB156" s="99"/>
      <c r="AC156" s="98">
        <v>2026</v>
      </c>
      <c r="AD156" s="100" t="s">
        <v>129</v>
      </c>
      <c r="AE156" s="398" t="s">
        <v>9413</v>
      </c>
      <c r="AF156" s="399"/>
      <c r="AG156" s="399"/>
      <c r="AH156" s="399"/>
      <c r="AI156" s="400"/>
      <c r="AK156" s="99"/>
      <c r="AL156" s="98">
        <v>2026</v>
      </c>
      <c r="AM156" s="100" t="s">
        <v>227</v>
      </c>
      <c r="AN156" s="398" t="s">
        <v>9414</v>
      </c>
      <c r="AO156" s="399"/>
      <c r="AP156" s="399"/>
      <c r="AQ156" s="399"/>
      <c r="AR156" s="400"/>
    </row>
    <row r="157" spans="1:50" ht="13.9">
      <c r="B157" s="4" t="s">
        <v>9397</v>
      </c>
      <c r="C157" s="5" t="s">
        <v>9398</v>
      </c>
      <c r="D157" s="5" t="s">
        <v>9399</v>
      </c>
      <c r="E157" s="5" t="s">
        <v>9400</v>
      </c>
      <c r="F157" s="5" t="s">
        <v>9401</v>
      </c>
      <c r="G157" s="5" t="s">
        <v>9402</v>
      </c>
      <c r="H157" s="5" t="s">
        <v>9403</v>
      </c>
      <c r="J157" s="102"/>
      <c r="K157" s="4" t="s">
        <v>9397</v>
      </c>
      <c r="L157" s="5" t="s">
        <v>9398</v>
      </c>
      <c r="M157" s="5" t="s">
        <v>9399</v>
      </c>
      <c r="N157" s="5" t="s">
        <v>9400</v>
      </c>
      <c r="O157" s="5" t="s">
        <v>9401</v>
      </c>
      <c r="P157" s="5" t="s">
        <v>9402</v>
      </c>
      <c r="Q157" s="5" t="s">
        <v>9403</v>
      </c>
      <c r="S157" s="102"/>
      <c r="T157" s="4" t="s">
        <v>9397</v>
      </c>
      <c r="U157" s="5" t="s">
        <v>9398</v>
      </c>
      <c r="V157" s="5" t="s">
        <v>9399</v>
      </c>
      <c r="W157" s="5" t="s">
        <v>9400</v>
      </c>
      <c r="X157" s="5" t="s">
        <v>9401</v>
      </c>
      <c r="Y157" s="5" t="s">
        <v>9402</v>
      </c>
      <c r="Z157" s="5" t="s">
        <v>9403</v>
      </c>
      <c r="AB157" s="102"/>
      <c r="AC157" s="4" t="s">
        <v>9397</v>
      </c>
      <c r="AD157" s="5" t="s">
        <v>9398</v>
      </c>
      <c r="AE157" s="5" t="s">
        <v>9399</v>
      </c>
      <c r="AF157" s="5" t="s">
        <v>9400</v>
      </c>
      <c r="AG157" s="5" t="s">
        <v>9401</v>
      </c>
      <c r="AH157" s="5" t="s">
        <v>9402</v>
      </c>
      <c r="AI157" s="5" t="s">
        <v>9403</v>
      </c>
      <c r="AK157" s="102"/>
      <c r="AL157" s="4" t="s">
        <v>9397</v>
      </c>
      <c r="AM157" s="5" t="s">
        <v>9398</v>
      </c>
      <c r="AN157" s="5" t="s">
        <v>9399</v>
      </c>
      <c r="AO157" s="5" t="s">
        <v>9400</v>
      </c>
      <c r="AP157" s="5" t="s">
        <v>9401</v>
      </c>
      <c r="AQ157" s="5" t="s">
        <v>9402</v>
      </c>
      <c r="AR157" s="5" t="s">
        <v>9403</v>
      </c>
    </row>
    <row r="158" spans="1:50" ht="13.9">
      <c r="B158" s="25" t="s">
        <v>9405</v>
      </c>
      <c r="C158" s="7">
        <f t="shared" ref="C158:H158" si="225">SUM(C159:C163)</f>
        <v>78</v>
      </c>
      <c r="D158" s="19">
        <f t="shared" si="225"/>
        <v>1</v>
      </c>
      <c r="E158" s="7">
        <f t="shared" si="225"/>
        <v>168620.1</v>
      </c>
      <c r="F158" s="19">
        <f t="shared" si="225"/>
        <v>1</v>
      </c>
      <c r="G158" s="7">
        <f t="shared" si="225"/>
        <v>8067.7092109999994</v>
      </c>
      <c r="H158" s="19">
        <f t="shared" si="225"/>
        <v>1</v>
      </c>
      <c r="J158" s="103"/>
      <c r="K158" s="25" t="s">
        <v>9405</v>
      </c>
      <c r="L158" s="7">
        <f t="shared" ref="L158:Q158" si="226">SUM(L159:L163)</f>
        <v>30</v>
      </c>
      <c r="M158" s="19">
        <f t="shared" si="226"/>
        <v>1</v>
      </c>
      <c r="N158" s="7">
        <f t="shared" si="226"/>
        <v>21274.1</v>
      </c>
      <c r="O158" s="19">
        <f t="shared" si="226"/>
        <v>1</v>
      </c>
      <c r="P158" s="7">
        <f t="shared" si="226"/>
        <v>970.08664900000008</v>
      </c>
      <c r="Q158" s="19">
        <f t="shared" si="226"/>
        <v>1</v>
      </c>
      <c r="S158" s="104"/>
      <c r="T158" s="25" t="s">
        <v>9405</v>
      </c>
      <c r="U158" s="7">
        <f t="shared" ref="U158:Z158" si="227">SUM(U159:U163)</f>
        <v>20</v>
      </c>
      <c r="V158" s="19">
        <f t="shared" si="227"/>
        <v>1</v>
      </c>
      <c r="W158" s="7">
        <f t="shared" si="227"/>
        <v>60976</v>
      </c>
      <c r="X158" s="19">
        <f t="shared" si="227"/>
        <v>1</v>
      </c>
      <c r="Y158" s="7">
        <f t="shared" si="227"/>
        <v>3058.623</v>
      </c>
      <c r="Z158" s="19">
        <f t="shared" si="227"/>
        <v>1</v>
      </c>
      <c r="AB158" s="104"/>
      <c r="AC158" s="25" t="s">
        <v>9405</v>
      </c>
      <c r="AD158" s="7">
        <f t="shared" ref="AD158:AI158" si="228">SUM(AD159:AD163)</f>
        <v>28</v>
      </c>
      <c r="AE158" s="19">
        <f t="shared" si="228"/>
        <v>1</v>
      </c>
      <c r="AF158" s="7">
        <f t="shared" si="228"/>
        <v>86370</v>
      </c>
      <c r="AG158" s="19">
        <f t="shared" si="228"/>
        <v>1</v>
      </c>
      <c r="AH158" s="7">
        <f t="shared" si="228"/>
        <v>4038.999562</v>
      </c>
      <c r="AI158" s="19">
        <f t="shared" si="228"/>
        <v>0.38735366191349307</v>
      </c>
      <c r="AK158" s="104"/>
      <c r="AL158" s="25" t="s">
        <v>9405</v>
      </c>
      <c r="AM158" s="7">
        <f t="shared" ref="AM158:AR158" si="229">SUM(AM159:AM163)</f>
        <v>2</v>
      </c>
      <c r="AN158" s="19">
        <f t="shared" si="229"/>
        <v>1</v>
      </c>
      <c r="AO158" s="7">
        <f t="shared" si="229"/>
        <v>0</v>
      </c>
      <c r="AP158" s="19">
        <f t="shared" si="229"/>
        <v>0</v>
      </c>
      <c r="AQ158" s="7">
        <f t="shared" si="229"/>
        <v>0</v>
      </c>
      <c r="AR158" s="19">
        <f t="shared" si="229"/>
        <v>0</v>
      </c>
      <c r="AT158" s="107"/>
      <c r="AU158" s="107"/>
      <c r="AV158" s="107"/>
      <c r="AW158" s="108"/>
      <c r="AX158" s="108"/>
    </row>
    <row r="159" spans="1:50" ht="13.9">
      <c r="A159" s="101" t="s">
        <v>3</v>
      </c>
      <c r="B159" s="22" t="s">
        <v>9407</v>
      </c>
      <c r="C159" s="23">
        <f>COUNTIFS(Ofertas!$T$22:$T$2765,Indicadores!A159,Ofertas!$AG$22:$AG$2765,$B$156)</f>
        <v>16</v>
      </c>
      <c r="D159" s="19">
        <f>C159/$C$158</f>
        <v>0.20512820512820512</v>
      </c>
      <c r="E159" s="7">
        <f>SUMIFS(Ofertas!$W$22:$W$2765,Ofertas!$T$22:$T$2765,Indicadores!A159,Ofertas!$AG$22:$AG$2765,Indicadores!$B$156)</f>
        <v>28311</v>
      </c>
      <c r="F159" s="19">
        <f>E159/$E$158</f>
        <v>0.16789813314071098</v>
      </c>
      <c r="G159" s="7">
        <f>SUMIFS(Ofertas!$X$22:$X$2765,Ofertas!$T$22:$T$2765,Indicadores!A159,Ofertas!$AG$22:$AG$2765,Indicadores!$B$156)</f>
        <v>1216.7658299999998</v>
      </c>
      <c r="H159" s="19">
        <f>G159/$G$158</f>
        <v>0.1508192472208825</v>
      </c>
      <c r="J159" s="101" t="s">
        <v>3</v>
      </c>
      <c r="K159" s="22" t="s">
        <v>9407</v>
      </c>
      <c r="L159" s="23">
        <f>COUNTIFS(Ofertas!$T$22:$T$2765,Indicadores!J159,Ofertas!$AG$22:$AG$2765,$K$156,Ofertas!$L$22:$L$2765,Indicadores!$L$156)</f>
        <v>9</v>
      </c>
      <c r="M159" s="19">
        <f>IF($L$158&lt;&gt;0,L159/$L$158,0)</f>
        <v>0.3</v>
      </c>
      <c r="N159" s="7">
        <f>SUMIFS(Ofertas!$W$22:$W$2765,Ofertas!$T$22:$T$2765,Indicadores!J159,Ofertas!$AG$22:$AG$2765,Indicadores!$K$156,Ofertas!$L$22:$L$2765,Indicadores!$L$156)</f>
        <v>8825</v>
      </c>
      <c r="O159" s="19">
        <f>IF($N$158&lt;&gt;0,N159/$N$158,0)</f>
        <v>0.41482365881517907</v>
      </c>
      <c r="P159" s="7">
        <f>SUMIFS(Ofertas!$X$22:$X$2765,Ofertas!$T$22:$T$2765,Indicadores!J159,Ofertas!$AG$22:$AG$2765,Indicadores!$K$156,Ofertas!$L$22:$L$2765,Indicadores!$L$156)</f>
        <v>392.82577000000003</v>
      </c>
      <c r="Q159" s="19">
        <f>IF($P$158&lt;&gt;0,P159/$P$158,0)</f>
        <v>0.40493884789048362</v>
      </c>
      <c r="S159" s="101" t="s">
        <v>3</v>
      </c>
      <c r="T159" s="22" t="s">
        <v>9407</v>
      </c>
      <c r="U159" s="23">
        <f>COUNTIFS(Ofertas!$T$22:$T$2765,Indicadores!S159,Ofertas!$AG$22:$AG$2765,$T$156,Ofertas!$L$22:$L$2765,Indicadores!$U$156)</f>
        <v>2</v>
      </c>
      <c r="V159" s="19">
        <f>U159/$U$158</f>
        <v>0.1</v>
      </c>
      <c r="W159" s="7">
        <f>SUMIFS(Ofertas!$W$22:$W$2765,Ofertas!$T$22:$T$2765,Indicadores!S159,Ofertas!$AG$22:$AG$2765,Indicadores!$T$156,Ofertas!$L$22:$L$2765,Indicadores!$U$156)</f>
        <v>814</v>
      </c>
      <c r="X159" s="19">
        <f>W159/$W$158</f>
        <v>1.3349514563106795E-2</v>
      </c>
      <c r="Y159" s="7">
        <f>SUMIFS(Ofertas!$X$22:$X$2765,Ofertas!$T$22:$T$2765,Indicadores!S159,Ofertas!$AG$22:$AG$2765,Indicadores!$T$156,Ofertas!$L$22:$L$2765,Indicadores!$U$156)</f>
        <v>39.369999999999997</v>
      </c>
      <c r="Z159" s="19">
        <f>Y159/$Y$158</f>
        <v>1.2871805384318367E-2</v>
      </c>
      <c r="AB159" s="101" t="s">
        <v>3</v>
      </c>
      <c r="AC159" s="22" t="s">
        <v>9407</v>
      </c>
      <c r="AD159" s="23">
        <f>COUNTIFS(Ofertas!$T$22:$T$2765,Indicadores!AB159,Ofertas!$AG$22:$AG$2765,$AC$156,Ofertas!$L$22:$L$2765,Indicadores!$AD$156)</f>
        <v>5</v>
      </c>
      <c r="AE159" s="19">
        <f>AD159/$AD$158</f>
        <v>0.17857142857142858</v>
      </c>
      <c r="AF159" s="7">
        <f>SUMIFS(Ofertas!$W$22:$W$2765,Ofertas!$T$22:$T$2765,Indicadores!AB159,Ofertas!$AG$22:$AG$2765,Indicadores!$AC$156,Ofertas!$L$22:$L$2765,Indicadores!$AD$156)</f>
        <v>18672</v>
      </c>
      <c r="AG159" s="19">
        <f>AF159/$AF$158</f>
        <v>0.21618617575547064</v>
      </c>
      <c r="AH159" s="7">
        <f>SUMIFS(Ofertas!$X$22:$X$2765,Ofertas!$T$22:$T$2765,Indicadores!AB159,Ofertas!$AG$22:$AG$2765,Indicadores!$AC$156,Ofertas!$L$22:$L$2765,Indicadores!$AD$156)</f>
        <v>784.57006000000001</v>
      </c>
      <c r="AI159" s="19">
        <f>AH159/$AH$147</f>
        <v>7.5242911296133724E-2</v>
      </c>
      <c r="AK159" s="101" t="s">
        <v>3</v>
      </c>
      <c r="AL159" s="22" t="s">
        <v>9407</v>
      </c>
      <c r="AM159" s="23">
        <f>COUNTIFS(Ofertas!$T$22:$T$2765,Indicadores!AK159,Ofertas!$AG$22:$AG$2765,$AL$156,Ofertas!$K$22:$K$2765,Indicadores!$AM$156)</f>
        <v>0</v>
      </c>
      <c r="AN159" s="19">
        <f>IF($AM$158&lt;&gt;0,AM159/$AM$158,0)</f>
        <v>0</v>
      </c>
      <c r="AO159" s="7">
        <f>SUMIFS(Ofertas!$W$22:$W$2765,Ofertas!$T$22:$T$2765,Indicadores!AK159,Ofertas!$AG$22:$AG$2765,Indicadores!$AL$156,Ofertas!$L$22:$L$2765,Indicadores!$AM$156)</f>
        <v>0</v>
      </c>
      <c r="AP159" s="19">
        <f>IF($AO$158&lt;&gt;0,AO159/$AO$158,0)</f>
        <v>0</v>
      </c>
      <c r="AQ159" s="7">
        <f>SUMIFS(Ofertas!$X$22:$X$2765,Ofertas!$T$22:$T$2765,Indicadores!AK159,Ofertas!$AG$22:$AG$2765,Indicadores!$AL$156,Ofertas!$L$22:$L$2765,Indicadores!$AM$156)</f>
        <v>0</v>
      </c>
      <c r="AR159" s="19">
        <f>IF($AQ$158&lt;&gt;0,AQ159/$AQ$158,0)</f>
        <v>0</v>
      </c>
    </row>
    <row r="160" spans="1:50" ht="13.9">
      <c r="A160" s="101" t="s">
        <v>165</v>
      </c>
      <c r="B160" s="22" t="s">
        <v>9409</v>
      </c>
      <c r="C160" s="23">
        <f>COUNTIFS(Ofertas!$T$22:$T$2765,Indicadores!A160,Ofertas!$AG$22:$AG$2765,$B$156)</f>
        <v>12</v>
      </c>
      <c r="D160" s="19">
        <f>C160/$C$158</f>
        <v>0.15384615384615385</v>
      </c>
      <c r="E160" s="7">
        <f>SUMIFS(Ofertas!$W$22:$W$2765,Ofertas!$T$22:$T$2765,Indicadores!A160,Ofertas!$AG$22:$AG$2765,Indicadores!$B$156)</f>
        <v>18441</v>
      </c>
      <c r="F160" s="19">
        <f>E160/$E$158</f>
        <v>0.10936418612016005</v>
      </c>
      <c r="G160" s="7">
        <f>SUMIFS(Ofertas!$X$22:$X$2765,Ofertas!$T$22:$T$2765,Indicadores!A160,Ofertas!$AG$22:$AG$2765,Indicadores!$B$156)</f>
        <v>943.19399999999996</v>
      </c>
      <c r="H160" s="19">
        <f>G160/$G$158</f>
        <v>0.11690976649406161</v>
      </c>
      <c r="J160" s="101" t="s">
        <v>165</v>
      </c>
      <c r="K160" s="22" t="s">
        <v>9409</v>
      </c>
      <c r="L160" s="23">
        <f>COUNTIFS(Ofertas!$T$22:$T$2765,Indicadores!J160,Ofertas!$AG$22:$AG$2765,$K$156,Ofertas!$L$22:$L$2765,Indicadores!$L$156)</f>
        <v>4</v>
      </c>
      <c r="M160" s="19">
        <f>IF($L$158&lt;&gt;0,L160/$L$158,0)</f>
        <v>0.13333333333333333</v>
      </c>
      <c r="N160" s="7">
        <f>SUMIFS(Ofertas!$W$22:$W$2765,Ofertas!$T$22:$T$2765,Indicadores!J160,Ofertas!$AG$22:$AG$2765,Indicadores!$K$156,Ofertas!$L$22:$L$2765,Indicadores!$L$156)</f>
        <v>2254</v>
      </c>
      <c r="O160" s="19">
        <f>IF($N$158&lt;&gt;0,N160/$N$158,0)</f>
        <v>0.10595042798520267</v>
      </c>
      <c r="P160" s="7">
        <f>SUMIFS(Ofertas!$X$22:$X$2765,Ofertas!$T$22:$T$2765,Indicadores!J160,Ofertas!$AG$22:$AG$2765,Indicadores!$K$156,Ofertas!$L$22:$L$2765,Indicadores!$L$156)</f>
        <v>132.511</v>
      </c>
      <c r="Q160" s="19">
        <f>IF($P$158&lt;&gt;0,P160/$P$158,0)</f>
        <v>0.13659707628859449</v>
      </c>
      <c r="S160" s="101" t="s">
        <v>165</v>
      </c>
      <c r="T160" s="22" t="s">
        <v>9409</v>
      </c>
      <c r="U160" s="23">
        <f>COUNTIFS(Ofertas!$T$22:$T$2765,Indicadores!S160,Ofertas!$AG$22:$AG$2765,$T$156,Ofertas!$L$22:$L$2765,Indicadores!$U$156)</f>
        <v>1</v>
      </c>
      <c r="V160" s="19">
        <f>U160/$U$158</f>
        <v>0.05</v>
      </c>
      <c r="W160" s="7">
        <f>SUMIFS(Ofertas!$W$22:$W$2765,Ofertas!$T$22:$T$2765,Indicadores!S160,Ofertas!$AG$22:$AG$2765,Indicadores!$T$156,Ofertas!$L$22:$L$2765,Indicadores!$U$156)</f>
        <v>4752</v>
      </c>
      <c r="X160" s="19">
        <f>W160/$W$158</f>
        <v>7.7932301233272105E-2</v>
      </c>
      <c r="Y160" s="7">
        <f>SUMIFS(Ofertas!$X$22:$X$2765,Ofertas!$T$22:$T$2765,Indicadores!S160,Ofertas!$AG$22:$AG$2765,Indicadores!$T$156,Ofertas!$L$22:$L$2765,Indicadores!$U$156)</f>
        <v>290.08999999999997</v>
      </c>
      <c r="Z160" s="19">
        <f>Y160/$Y$158</f>
        <v>9.4843333094663834E-2</v>
      </c>
      <c r="AB160" s="101" t="s">
        <v>165</v>
      </c>
      <c r="AC160" s="22" t="s">
        <v>9409</v>
      </c>
      <c r="AD160" s="23">
        <f>COUNTIFS(Ofertas!$T$22:$T$2765,Indicadores!AB160,Ofertas!$AG$22:$AG$2765,$AC$156,Ofertas!$L$22:$L$2765,Indicadores!$AD$156)</f>
        <v>7</v>
      </c>
      <c r="AE160" s="19">
        <f>AD160/$AD$158</f>
        <v>0.25</v>
      </c>
      <c r="AF160" s="7">
        <f>SUMIFS(Ofertas!$W$22:$W$2765,Ofertas!$T$22:$T$2765,Indicadores!AB160,Ofertas!$AG$22:$AG$2765,Indicadores!$AC$156,Ofertas!$L$22:$L$2765,Indicadores!$AD$156)</f>
        <v>11435</v>
      </c>
      <c r="AG160" s="19">
        <f>AF160/$AF$158</f>
        <v>0.13239550769943267</v>
      </c>
      <c r="AH160" s="7">
        <f>SUMIFS(Ofertas!$X$22:$X$2765,Ofertas!$T$22:$T$2765,Indicadores!AB160,Ofertas!$AG$22:$AG$2765,Indicadores!$AC$156,Ofertas!$L$22:$L$2765,Indicadores!$AD$156)</f>
        <v>520.59300000000007</v>
      </c>
      <c r="AI160" s="19">
        <f>AH160/$AH$147</f>
        <v>4.9926622130327218E-2</v>
      </c>
      <c r="AK160" s="101" t="s">
        <v>165</v>
      </c>
      <c r="AL160" s="22" t="s">
        <v>9409</v>
      </c>
      <c r="AM160" s="23">
        <f>COUNTIFS(Ofertas!$T$22:$T$2765,Indicadores!AK160,Ofertas!$AG$22:$AG$2765,$AL$156,Ofertas!$K$22:$K$2765,Indicadores!$AM$156)</f>
        <v>0</v>
      </c>
      <c r="AN160" s="19">
        <f>IF($AM$158&lt;&gt;0,AM160/$AM$158,0)</f>
        <v>0</v>
      </c>
      <c r="AO160" s="7">
        <f>SUMIFS(Ofertas!$W$22:$W$2765,Ofertas!$T$22:$T$2765,Indicadores!AK160,Ofertas!$AG$22:$AG$2765,Indicadores!$AL$156,Ofertas!$L$22:$L$2765,Indicadores!$AM$156)</f>
        <v>0</v>
      </c>
      <c r="AP160" s="19">
        <f>IF($AO$158&lt;&gt;0,AO160/$AO$158,0)</f>
        <v>0</v>
      </c>
      <c r="AQ160" s="7">
        <f>SUMIFS(Ofertas!$X$22:$X$2765,Ofertas!$T$22:$T$2765,Indicadores!AK160,Ofertas!$AG$22:$AG$2765,Indicadores!$AL$156,Ofertas!$L$22:$L$2765,Indicadores!$AM$156)</f>
        <v>0</v>
      </c>
      <c r="AR160" s="19">
        <f>IF($AQ$158&lt;&gt;0,AQ160/$AQ$158,0)</f>
        <v>0</v>
      </c>
    </row>
    <row r="161" spans="1:44" ht="13.9">
      <c r="A161" s="101" t="s">
        <v>168</v>
      </c>
      <c r="B161" s="22" t="s">
        <v>9411</v>
      </c>
      <c r="C161" s="23">
        <f>COUNTIFS(Ofertas!$T$22:$T$2765,Indicadores!A161,Ofertas!$AG$22:$AG$2765,$B$156)</f>
        <v>1</v>
      </c>
      <c r="D161" s="19">
        <f>C161/$C$158</f>
        <v>1.282051282051282E-2</v>
      </c>
      <c r="E161" s="7">
        <f>SUMIFS(Ofertas!$W$22:$W$2765,Ofertas!$T$22:$T$2765,Indicadores!A161,Ofertas!$AG$22:$AG$2765,Indicadores!$B$156)</f>
        <v>5566</v>
      </c>
      <c r="F161" s="19">
        <f>E161/$E$158</f>
        <v>3.3009113385652128E-2</v>
      </c>
      <c r="G161" s="7">
        <f>SUMIFS(Ofertas!$X$22:$X$2765,Ofertas!$T$22:$T$2765,Indicadores!A161,Ofertas!$AG$22:$AG$2765,Indicadores!$B$156)</f>
        <v>177.011</v>
      </c>
      <c r="H161" s="19">
        <f>G161/$G$158</f>
        <v>2.1940676760963642E-2</v>
      </c>
      <c r="J161" s="101" t="s">
        <v>168</v>
      </c>
      <c r="K161" s="22" t="s">
        <v>9411</v>
      </c>
      <c r="L161" s="23">
        <f>COUNTIFS(Ofertas!$T$22:$T$2765,Indicadores!J161,Ofertas!$AG$22:$AG$2765,$K$156,Ofertas!$L$22:$L$2765,Indicadores!$L$156)</f>
        <v>0</v>
      </c>
      <c r="M161" s="19">
        <f>IF($L$158&lt;&gt;0,L161/$L$158,0)</f>
        <v>0</v>
      </c>
      <c r="N161" s="7">
        <f>SUMIFS(Ofertas!$W$22:$W$2765,Ofertas!$T$22:$T$2765,Indicadores!J161,Ofertas!$AG$22:$AG$2765,Indicadores!$K$156,Ofertas!$L$22:$L$2765,Indicadores!$L$156)</f>
        <v>0</v>
      </c>
      <c r="O161" s="19">
        <f>IF($N$158&lt;&gt;0,N161/$N$158,0)</f>
        <v>0</v>
      </c>
      <c r="P161" s="7">
        <f>SUMIFS(Ofertas!$X$22:$X$2765,Ofertas!$T$22:$T$2765,Indicadores!J161,Ofertas!$AG$22:$AG$2765,Indicadores!$K$156,Ofertas!$L$22:$L$2765,Indicadores!$L$156)</f>
        <v>0</v>
      </c>
      <c r="Q161" s="19">
        <f>IF($P$158&lt;&gt;0,P161/$P$158,0)</f>
        <v>0</v>
      </c>
      <c r="S161" s="101" t="s">
        <v>168</v>
      </c>
      <c r="T161" s="22" t="s">
        <v>9411</v>
      </c>
      <c r="U161" s="23">
        <f>COUNTIFS(Ofertas!$T$22:$T$2765,Indicadores!S161,Ofertas!$AG$22:$AG$2765,$T$156,Ofertas!$L$22:$L$2765,Indicadores!$U$156)</f>
        <v>0</v>
      </c>
      <c r="V161" s="19">
        <f>U161/$U$158</f>
        <v>0</v>
      </c>
      <c r="W161" s="7">
        <f>SUMIFS(Ofertas!$W$22:$W$2765,Ofertas!$T$22:$T$2765,Indicadores!S161,Ofertas!$AG$22:$AG$2765,Indicadores!$T$156,Ofertas!$L$22:$L$2765,Indicadores!$U$156)</f>
        <v>0</v>
      </c>
      <c r="X161" s="19">
        <f>W161/$W$158</f>
        <v>0</v>
      </c>
      <c r="Y161" s="7">
        <f>SUMIFS(Ofertas!$X$22:$X$2765,Ofertas!$T$22:$T$2765,Indicadores!S161,Ofertas!$AG$22:$AG$2765,Indicadores!$T$156,Ofertas!$L$22:$L$2765,Indicadores!$U$156)</f>
        <v>0</v>
      </c>
      <c r="Z161" s="19">
        <f>Y161/$Y$158</f>
        <v>0</v>
      </c>
      <c r="AB161" s="101" t="s">
        <v>168</v>
      </c>
      <c r="AC161" s="22" t="s">
        <v>9411</v>
      </c>
      <c r="AD161" s="23">
        <f>COUNTIFS(Ofertas!$T$22:$T$2765,Indicadores!AB161,Ofertas!$AG$22:$AG$2765,$AC$156,Ofertas!$L$22:$L$2765,Indicadores!$AD$156)</f>
        <v>1</v>
      </c>
      <c r="AE161" s="19">
        <f>AD161/$AD$158</f>
        <v>3.5714285714285712E-2</v>
      </c>
      <c r="AF161" s="7">
        <f>SUMIFS(Ofertas!$W$22:$W$2765,Ofertas!$T$22:$T$2765,Indicadores!AB161,Ofertas!$AG$22:$AG$2765,Indicadores!$AC$156,Ofertas!$L$22:$L$2765,Indicadores!$AD$156)</f>
        <v>5566</v>
      </c>
      <c r="AG161" s="19">
        <f>AF161/$AF$158</f>
        <v>6.4443672571494734E-2</v>
      </c>
      <c r="AH161" s="7">
        <f>SUMIFS(Ofertas!$X$22:$X$2765,Ofertas!$T$22:$T$2765,Indicadores!AB161,Ofertas!$AG$22:$AG$2765,Indicadores!$AC$156,Ofertas!$L$22:$L$2765,Indicadores!$AD$156)</f>
        <v>177.011</v>
      </c>
      <c r="AI161" s="19">
        <f>AH161/$AH$147</f>
        <v>1.6975951097904406E-2</v>
      </c>
      <c r="AK161" s="101" t="s">
        <v>168</v>
      </c>
      <c r="AL161" s="22" t="s">
        <v>9411</v>
      </c>
      <c r="AM161" s="23">
        <f>COUNTIFS(Ofertas!$T$22:$T$2765,Indicadores!AK161,Ofertas!$AG$22:$AG$2765,$AL$156,Ofertas!$K$22:$K$2765,Indicadores!$AM$156)</f>
        <v>0</v>
      </c>
      <c r="AN161" s="19">
        <f>IF($AM$158&lt;&gt;0,AM161/$AM$158,0)</f>
        <v>0</v>
      </c>
      <c r="AO161" s="7">
        <f>SUMIFS(Ofertas!$W$22:$W$2765,Ofertas!$T$22:$T$2765,Indicadores!AK161,Ofertas!$AG$22:$AG$2765,Indicadores!$AL$156,Ofertas!$L$22:$L$2765,Indicadores!$AM$156)</f>
        <v>0</v>
      </c>
      <c r="AP161" s="19">
        <f>IF($AO$158&lt;&gt;0,AO161/$AO$158,0)</f>
        <v>0</v>
      </c>
      <c r="AQ161" s="7">
        <f>SUMIFS(Ofertas!$X$22:$X$2765,Ofertas!$T$22:$T$2765,Indicadores!AK161,Ofertas!$AG$22:$AG$2765,Indicadores!$AL$156,Ofertas!$L$22:$L$2765,Indicadores!$AM$156)</f>
        <v>0</v>
      </c>
      <c r="AR161" s="19">
        <f>IF($AQ$158&lt;&gt;0,AQ161/$AQ$158,0)</f>
        <v>0</v>
      </c>
    </row>
    <row r="162" spans="1:44" ht="13.9">
      <c r="A162" s="101" t="s">
        <v>158</v>
      </c>
      <c r="B162" s="22" t="s">
        <v>159</v>
      </c>
      <c r="C162" s="23">
        <f>COUNTIFS(Ofertas!$T$22:$T$2765,Indicadores!A162,Ofertas!$AG$22:$AG$2765,$B$156)</f>
        <v>33</v>
      </c>
      <c r="D162" s="19">
        <f>C162/$C$158</f>
        <v>0.42307692307692307</v>
      </c>
      <c r="E162" s="7">
        <f>SUMIFS(Ofertas!$W$22:$W$2765,Ofertas!$T$22:$T$2765,Indicadores!A162,Ofertas!$AG$22:$AG$2765,Indicadores!$B$156)</f>
        <v>116302.1</v>
      </c>
      <c r="F162" s="19">
        <f>E162/$E$158</f>
        <v>0.68972856735347687</v>
      </c>
      <c r="G162" s="7">
        <f>SUMIFS(Ofertas!$X$22:$X$2765,Ofertas!$T$22:$T$2765,Indicadores!A162,Ofertas!$AG$22:$AG$2765,Indicadores!$B$156)</f>
        <v>5730.7383810000001</v>
      </c>
      <c r="H162" s="19">
        <f>G162/$G$158</f>
        <v>0.71033030952409226</v>
      </c>
      <c r="J162" s="101" t="s">
        <v>158</v>
      </c>
      <c r="K162" s="22" t="s">
        <v>159</v>
      </c>
      <c r="L162" s="23">
        <f>COUNTIFS(Ofertas!$T$22:$T$2765,Indicadores!J162,Ofertas!$AG$22:$AG$2765,$K$156,Ofertas!$L$22:$L$2765,Indicadores!$L$156)</f>
        <v>12</v>
      </c>
      <c r="M162" s="19">
        <f>IF($L$158&lt;&gt;0,L162/$L$158,0)</f>
        <v>0.4</v>
      </c>
      <c r="N162" s="7">
        <f>SUMIFS(Ofertas!$W$22:$W$2765,Ofertas!$T$22:$T$2765,Indicadores!J162,Ofertas!$AG$22:$AG$2765,Indicadores!$K$156,Ofertas!$L$22:$L$2765,Indicadores!$L$156)</f>
        <v>10195.1</v>
      </c>
      <c r="O162" s="19">
        <f>IF($N$158&lt;&gt;0,N162/$N$158,0)</f>
        <v>0.47922591319961838</v>
      </c>
      <c r="P162" s="7">
        <f>SUMIFS(Ofertas!$X$22:$X$2765,Ofertas!$T$22:$T$2765,Indicadores!J162,Ofertas!$AG$22:$AG$2765,Indicadores!$K$156,Ofertas!$L$22:$L$2765,Indicadores!$L$156)</f>
        <v>444.74987900000002</v>
      </c>
      <c r="Q162" s="19">
        <f>IF($P$158&lt;&gt;0,P162/$P$158,0)</f>
        <v>0.45846407582092186</v>
      </c>
      <c r="S162" s="101" t="s">
        <v>158</v>
      </c>
      <c r="T162" s="22" t="s">
        <v>159</v>
      </c>
      <c r="U162" s="23">
        <f>COUNTIFS(Ofertas!$T$22:$T$2765,Indicadores!S162,Ofertas!$AG$22:$AG$2765,$T$156,Ofertas!$L$22:$L$2765,Indicadores!$U$156)</f>
        <v>11</v>
      </c>
      <c r="V162" s="19">
        <f>U162/$U$158</f>
        <v>0.55000000000000004</v>
      </c>
      <c r="W162" s="7">
        <f>SUMIFS(Ofertas!$W$22:$W$2765,Ofertas!$T$22:$T$2765,Indicadores!S162,Ofertas!$AG$22:$AG$2765,Indicadores!$T$156,Ofertas!$L$22:$L$2765,Indicadores!$U$156)</f>
        <v>55410</v>
      </c>
      <c r="X162" s="19">
        <f>W162/$W$158</f>
        <v>0.90871818420362105</v>
      </c>
      <c r="Y162" s="7">
        <f>SUMIFS(Ofertas!$X$22:$X$2765,Ofertas!$T$22:$T$2765,Indicadores!S162,Ofertas!$AG$22:$AG$2765,Indicadores!$T$156,Ofertas!$L$22:$L$2765,Indicadores!$U$156)</f>
        <v>2729.163</v>
      </c>
      <c r="Z162" s="19">
        <f>Y162/$Y$158</f>
        <v>0.89228486152101782</v>
      </c>
      <c r="AB162" s="101" t="s">
        <v>158</v>
      </c>
      <c r="AC162" s="22" t="s">
        <v>159</v>
      </c>
      <c r="AD162" s="23">
        <f>COUNTIFS(Ofertas!$T$22:$T$2765,Indicadores!AB162,Ofertas!$AG$22:$AG$2765,$AC$156,Ofertas!$L$22:$L$2765,Indicadores!$AD$156)</f>
        <v>10</v>
      </c>
      <c r="AE162" s="19">
        <f>AD162/$AD$158</f>
        <v>0.35714285714285715</v>
      </c>
      <c r="AF162" s="7">
        <f>SUMIFS(Ofertas!$W$22:$W$2765,Ofertas!$T$22:$T$2765,Indicadores!AB162,Ofertas!$AG$22:$AG$2765,Indicadores!$AC$156,Ofertas!$L$22:$L$2765,Indicadores!$AD$156)</f>
        <v>50697</v>
      </c>
      <c r="AG162" s="19">
        <f>AF162/$AF$158</f>
        <v>0.58697464397360199</v>
      </c>
      <c r="AH162" s="7">
        <f>SUMIFS(Ofertas!$X$22:$X$2765,Ofertas!$T$22:$T$2765,Indicadores!AB162,Ofertas!$AG$22:$AG$2765,Indicadores!$AC$156,Ofertas!$L$22:$L$2765,Indicadores!$AD$156)</f>
        <v>2556.8255020000001</v>
      </c>
      <c r="AI162" s="19">
        <f>AH162/$AH$147</f>
        <v>0.24520817738912773</v>
      </c>
      <c r="AK162" s="101" t="s">
        <v>158</v>
      </c>
      <c r="AL162" s="22" t="s">
        <v>159</v>
      </c>
      <c r="AM162" s="23">
        <f>COUNTIFS(Ofertas!$T$22:$T$2765,Indicadores!AK162,Ofertas!$AG$22:$AG$2765,$AL$156,Ofertas!$K$22:$K$2765,Indicadores!$AM$156)</f>
        <v>1</v>
      </c>
      <c r="AN162" s="19">
        <f>IF($AM$158&lt;&gt;0,AM162/$AM$158,0)</f>
        <v>0.5</v>
      </c>
      <c r="AO162" s="7">
        <f>SUMIFS(Ofertas!$W$22:$W$2765,Ofertas!$T$22:$T$2765,Indicadores!AK162,Ofertas!$AG$22:$AG$2765,Indicadores!$AL$156,Ofertas!$L$22:$L$2765,Indicadores!$AM$156)</f>
        <v>0</v>
      </c>
      <c r="AP162" s="19">
        <f>IF($AO$158&lt;&gt;0,AO162/$AO$158,0)</f>
        <v>0</v>
      </c>
      <c r="AQ162" s="7">
        <f>SUMIFS(Ofertas!$X$22:$X$2765,Ofertas!$T$22:$T$2765,Indicadores!AK162,Ofertas!$AG$22:$AG$2765,Indicadores!$AL$156,Ofertas!$L$22:$L$2765,Indicadores!$AM$156)</f>
        <v>0</v>
      </c>
      <c r="AR162" s="19">
        <f>IF($AQ$158&lt;&gt;0,AQ162/$AQ$158,0)</f>
        <v>0</v>
      </c>
    </row>
    <row r="163" spans="1:44" ht="13.9">
      <c r="A163" s="101" t="s">
        <v>64</v>
      </c>
      <c r="B163" s="22" t="s">
        <v>9412</v>
      </c>
      <c r="C163" s="23">
        <f>COUNTIFS(Ofertas!$T$22:$T$2765,Indicadores!A163,Ofertas!$AG$22:$AG$2765,$B$156)</f>
        <v>16</v>
      </c>
      <c r="D163" s="19">
        <f>C163/$C$158</f>
        <v>0.20512820512820512</v>
      </c>
      <c r="E163" s="7">
        <f>SUMIFS(Ofertas!$W$22:$W$2765,Ofertas!$T$22:$T$2765,Indicadores!A163,Ofertas!$AG$22:$AG$2765,Indicadores!$B$156)</f>
        <v>0</v>
      </c>
      <c r="F163" s="19">
        <f>E163/$E$158</f>
        <v>0</v>
      </c>
      <c r="G163" s="7">
        <f>SUMIFS(Ofertas!$X$22:$X$2765,Ofertas!$T$22:$T$2765,Indicadores!A163,Ofertas!$AG$22:$AG$2765,Indicadores!$B$156)</f>
        <v>0</v>
      </c>
      <c r="H163" s="19">
        <f>G163/$G$158</f>
        <v>0</v>
      </c>
      <c r="J163" s="101" t="s">
        <v>64</v>
      </c>
      <c r="K163" s="22" t="s">
        <v>9412</v>
      </c>
      <c r="L163" s="23">
        <f>COUNTIFS(Ofertas!$T$22:$T$2765,Indicadores!J163,Ofertas!$AG$22:$AG$2765,$K$156,Ofertas!$L$22:$L$2765,Indicadores!$L$156)</f>
        <v>5</v>
      </c>
      <c r="M163" s="19">
        <f>IF($L$158&lt;&gt;0,L163/$L$158,0)</f>
        <v>0.16666666666666666</v>
      </c>
      <c r="N163" s="7">
        <f>SUMIFS(Ofertas!$W$22:$W$2765,Ofertas!$T$22:$T$2765,Indicadores!J163,Ofertas!$AG$22:$AG$2765,Indicadores!$K$156,Ofertas!$L$22:$L$2765,Indicadores!$L$156)</f>
        <v>0</v>
      </c>
      <c r="O163" s="19">
        <f>IF($N$158&lt;&gt;0,N163/$N$158,0)</f>
        <v>0</v>
      </c>
      <c r="P163" s="7">
        <f>SUMIFS(Ofertas!$X$22:$X$2765,Ofertas!$T$22:$T$2765,Indicadores!J163,Ofertas!$AG$22:$AG$2765,Indicadores!$K$156,Ofertas!$L$22:$L$2765,Indicadores!$L$156)</f>
        <v>0</v>
      </c>
      <c r="Q163" s="19">
        <f>IF($P$158&lt;&gt;0,P163/$P$158,0)</f>
        <v>0</v>
      </c>
      <c r="S163" s="101" t="s">
        <v>64</v>
      </c>
      <c r="T163" s="22" t="s">
        <v>9412</v>
      </c>
      <c r="U163" s="23">
        <f>COUNTIFS(Ofertas!$T$22:$T$2765,Indicadores!S163,Ofertas!$AG$22:$AG$2765,$T$156,Ofertas!$L$22:$L$2765,Indicadores!$U$156)</f>
        <v>6</v>
      </c>
      <c r="V163" s="19">
        <f>U163/$U$158</f>
        <v>0.3</v>
      </c>
      <c r="W163" s="7">
        <f>SUMIFS(Ofertas!$W$22:$W$2765,Ofertas!$T$22:$T$2765,Indicadores!S163,Ofertas!$AG$22:$AG$2765,Indicadores!$T$156,Ofertas!$L$22:$L$2765,Indicadores!$U$156)</f>
        <v>0</v>
      </c>
      <c r="X163" s="19">
        <f>W163/$W$158</f>
        <v>0</v>
      </c>
      <c r="Y163" s="7">
        <f>SUMIFS(Ofertas!$X$22:$X$2765,Ofertas!$T$22:$T$2765,Indicadores!S163,Ofertas!$AG$22:$AG$2765,Indicadores!$T$156,Ofertas!$L$22:$L$2765,Indicadores!$U$156)</f>
        <v>0</v>
      </c>
      <c r="Z163" s="19">
        <f>Y163/$Y$158</f>
        <v>0</v>
      </c>
      <c r="AB163" s="101" t="s">
        <v>64</v>
      </c>
      <c r="AC163" s="22" t="s">
        <v>9412</v>
      </c>
      <c r="AD163" s="23">
        <f>COUNTIFS(Ofertas!$T$22:$T$2765,Indicadores!AB163,Ofertas!$AG$22:$AG$2765,$AC$156,Ofertas!$L$22:$L$2765,Indicadores!$AD$156)</f>
        <v>5</v>
      </c>
      <c r="AE163" s="19">
        <f>AD163/$AD$158</f>
        <v>0.17857142857142858</v>
      </c>
      <c r="AF163" s="7">
        <f>SUMIFS(Ofertas!$W$22:$W$2765,Ofertas!$T$22:$T$2765,Indicadores!AB163,Ofertas!$AG$22:$AG$2765,Indicadores!$AC$156,Ofertas!$L$22:$L$2765,Indicadores!$AD$156)</f>
        <v>0</v>
      </c>
      <c r="AG163" s="19">
        <f>AF163/$AF$158</f>
        <v>0</v>
      </c>
      <c r="AH163" s="7">
        <f>SUMIFS(Ofertas!$X$22:$X$2765,Ofertas!$T$22:$T$2765,Indicadores!AB163,Ofertas!$AG$22:$AG$2765,Indicadores!$AC$156,Ofertas!$L$22:$L$2765,Indicadores!$AD$156)</f>
        <v>0</v>
      </c>
      <c r="AI163" s="19">
        <f>AH163/$AH$147</f>
        <v>0</v>
      </c>
      <c r="AK163" s="101" t="s">
        <v>64</v>
      </c>
      <c r="AL163" s="22" t="s">
        <v>9412</v>
      </c>
      <c r="AM163" s="23">
        <f>COUNTIFS(Ofertas!$T$22:$T$2765,Indicadores!AK163,Ofertas!$AG$22:$AG$2765,$AL$156,Ofertas!$K$22:$K$2765,Indicadores!$AM$156)</f>
        <v>1</v>
      </c>
      <c r="AN163" s="19">
        <f>IF($AM$158&lt;&gt;0,AM163/$AM$158,0)</f>
        <v>0.5</v>
      </c>
      <c r="AO163" s="7">
        <f>SUMIFS(Ofertas!$W$22:$W$2765,Ofertas!$T$22:$T$2765,Indicadores!AK163,Ofertas!$AG$22:$AG$2765,Indicadores!$AL$156,Ofertas!$L$22:$L$2765,Indicadores!$AM$156)</f>
        <v>0</v>
      </c>
      <c r="AP163" s="19">
        <f>IF($AO$158&lt;&gt;0,AO163/$AO$158,0)</f>
        <v>0</v>
      </c>
      <c r="AQ163" s="7">
        <f>SUMIFS(Ofertas!$X$22:$X$2765,Ofertas!$T$22:$T$2765,Indicadores!AK163,Ofertas!$AG$22:$AG$2765,Indicadores!$AL$156,Ofertas!$L$22:$L$2765,Indicadores!$AM$156)</f>
        <v>0</v>
      </c>
      <c r="AR163" s="19">
        <f>IF($AQ$158&lt;&gt;0,AQ163/$AQ$158,0)</f>
        <v>0</v>
      </c>
    </row>
    <row r="164" spans="1:44" s="97" customFormat="1"/>
    <row r="165" spans="1:44" s="97" customFormat="1">
      <c r="C165" s="107"/>
      <c r="G165" s="107"/>
      <c r="N165" s="97" t="s">
        <v>9415</v>
      </c>
      <c r="O165" s="115">
        <v>0.5</v>
      </c>
      <c r="W165" s="97" t="s">
        <v>9415</v>
      </c>
      <c r="X165" s="115">
        <v>0.1</v>
      </c>
      <c r="AF165" s="97" t="s">
        <v>9415</v>
      </c>
      <c r="AG165" s="115">
        <v>0.3</v>
      </c>
    </row>
    <row r="166" spans="1:44" s="97" customFormat="1">
      <c r="G166" s="375"/>
    </row>
    <row r="167" spans="1:44" s="97" customFormat="1"/>
    <row r="168" spans="1:44" s="97" customFormat="1"/>
    <row r="169" spans="1:44" s="97" customFormat="1"/>
    <row r="170" spans="1:44" s="97" customFormat="1"/>
    <row r="171" spans="1:44" s="97" customFormat="1"/>
    <row r="172" spans="1:44" s="97" customFormat="1"/>
    <row r="173" spans="1:44" s="97" customFormat="1"/>
    <row r="174" spans="1:44" s="97" customFormat="1"/>
    <row r="175" spans="1:44" s="97" customFormat="1"/>
    <row r="176" spans="1:44" s="97" customFormat="1"/>
    <row r="177" spans="2:38" s="97" customFormat="1"/>
    <row r="178" spans="2:38" s="97" customFormat="1"/>
    <row r="179" spans="2:38" s="97" customFormat="1"/>
    <row r="180" spans="2:38" s="97" customFormat="1"/>
    <row r="181" spans="2:38" s="97" customFormat="1"/>
    <row r="182" spans="2:38" s="97" customFormat="1"/>
    <row r="183" spans="2:38" s="97" customFormat="1"/>
    <row r="184" spans="2:38" s="97" customFormat="1"/>
    <row r="185" spans="2:38" s="97" customFormat="1"/>
    <row r="186" spans="2:38" s="97" customFormat="1">
      <c r="B186" s="405"/>
      <c r="C186" s="405"/>
      <c r="D186" s="405"/>
      <c r="E186" s="405"/>
      <c r="F186" s="405"/>
      <c r="G186" s="405"/>
      <c r="I186" s="405"/>
      <c r="J186" s="405"/>
      <c r="K186" s="405"/>
      <c r="L186" s="405"/>
      <c r="M186" s="405"/>
      <c r="N186" s="405"/>
      <c r="O186" s="405"/>
      <c r="P186" s="405"/>
      <c r="Q186" s="405"/>
      <c r="R186" s="405"/>
      <c r="S186" s="405"/>
      <c r="T186" s="405"/>
      <c r="U186" s="405"/>
    </row>
    <row r="187" spans="2:38" s="97" customFormat="1"/>
    <row r="188" spans="2:38" s="97" customFormat="1"/>
    <row r="189" spans="2:38" s="97" customFormat="1">
      <c r="B189" s="97">
        <v>12</v>
      </c>
      <c r="K189" s="97">
        <v>12</v>
      </c>
      <c r="T189" s="97">
        <v>12</v>
      </c>
      <c r="AC189" s="97">
        <v>12</v>
      </c>
      <c r="AL189" s="97">
        <v>12</v>
      </c>
    </row>
    <row r="190" spans="2:38" s="97" customFormat="1">
      <c r="B190" s="97">
        <v>11</v>
      </c>
      <c r="K190" s="97">
        <v>11</v>
      </c>
      <c r="T190" s="97">
        <v>11</v>
      </c>
      <c r="AC190" s="97">
        <v>11</v>
      </c>
      <c r="AL190" s="97">
        <v>11</v>
      </c>
    </row>
    <row r="191" spans="2:38" s="97" customFormat="1">
      <c r="B191" s="97">
        <v>10</v>
      </c>
      <c r="K191" s="97">
        <v>10</v>
      </c>
      <c r="T191" s="97">
        <v>10</v>
      </c>
      <c r="AC191" s="97">
        <v>10</v>
      </c>
      <c r="AL191" s="97">
        <v>10</v>
      </c>
    </row>
    <row r="192" spans="2:38" s="97" customFormat="1">
      <c r="B192" s="97">
        <v>9</v>
      </c>
      <c r="K192" s="97">
        <v>9</v>
      </c>
      <c r="T192" s="97">
        <v>9</v>
      </c>
      <c r="AC192" s="97">
        <v>9</v>
      </c>
      <c r="AL192" s="97">
        <v>9</v>
      </c>
    </row>
    <row r="193" spans="1:44" s="97" customFormat="1" ht="13.9">
      <c r="B193" s="98">
        <v>8</v>
      </c>
      <c r="K193" s="98">
        <v>8</v>
      </c>
      <c r="L193" s="100" t="s">
        <v>120</v>
      </c>
      <c r="M193" s="398" t="s">
        <v>9392</v>
      </c>
      <c r="N193" s="399"/>
      <c r="O193" s="399"/>
      <c r="P193" s="399"/>
      <c r="Q193" s="400"/>
      <c r="S193" s="99"/>
      <c r="T193" s="98">
        <v>8</v>
      </c>
      <c r="U193" s="100" t="s">
        <v>123</v>
      </c>
      <c r="V193" s="398" t="s">
        <v>9393</v>
      </c>
      <c r="W193" s="399"/>
      <c r="X193" s="399"/>
      <c r="Y193" s="399"/>
      <c r="Z193" s="400"/>
      <c r="AB193" s="99"/>
      <c r="AC193" s="98">
        <v>8</v>
      </c>
      <c r="AD193" s="100" t="s">
        <v>129</v>
      </c>
      <c r="AE193" s="398" t="s">
        <v>9413</v>
      </c>
      <c r="AF193" s="399"/>
      <c r="AG193" s="399"/>
      <c r="AH193" s="399"/>
      <c r="AI193" s="400"/>
      <c r="AK193" s="99"/>
      <c r="AL193" s="98">
        <v>8</v>
      </c>
      <c r="AM193" s="100" t="s">
        <v>227</v>
      </c>
      <c r="AN193" s="398" t="s">
        <v>9414</v>
      </c>
      <c r="AO193" s="399"/>
      <c r="AP193" s="399"/>
      <c r="AQ193" s="399"/>
      <c r="AR193" s="400"/>
    </row>
    <row r="194" spans="1:44" ht="13.9">
      <c r="B194" s="4" t="s">
        <v>9397</v>
      </c>
      <c r="C194" s="5" t="s">
        <v>9398</v>
      </c>
      <c r="D194" s="5" t="s">
        <v>9399</v>
      </c>
      <c r="E194" s="5" t="s">
        <v>9400</v>
      </c>
      <c r="F194" s="5" t="s">
        <v>9401</v>
      </c>
      <c r="G194" s="5" t="s">
        <v>9402</v>
      </c>
      <c r="H194" s="5" t="s">
        <v>9403</v>
      </c>
      <c r="K194" s="4" t="s">
        <v>9397</v>
      </c>
      <c r="L194" s="5" t="s">
        <v>9398</v>
      </c>
      <c r="M194" s="5" t="s">
        <v>9399</v>
      </c>
      <c r="N194" s="5" t="s">
        <v>9400</v>
      </c>
      <c r="O194" s="5" t="s">
        <v>9401</v>
      </c>
      <c r="P194" s="5" t="s">
        <v>9402</v>
      </c>
      <c r="Q194" s="5" t="s">
        <v>9403</v>
      </c>
      <c r="S194" s="102"/>
      <c r="T194" s="4" t="s">
        <v>9397</v>
      </c>
      <c r="U194" s="5" t="s">
        <v>9398</v>
      </c>
      <c r="V194" s="5" t="s">
        <v>9399</v>
      </c>
      <c r="W194" s="5" t="s">
        <v>9400</v>
      </c>
      <c r="X194" s="5" t="s">
        <v>9401</v>
      </c>
      <c r="Y194" s="5" t="s">
        <v>9402</v>
      </c>
      <c r="Z194" s="5" t="s">
        <v>9403</v>
      </c>
      <c r="AB194" s="102"/>
      <c r="AC194" s="4" t="s">
        <v>9397</v>
      </c>
      <c r="AD194" s="5" t="s">
        <v>9398</v>
      </c>
      <c r="AE194" s="5" t="s">
        <v>9399</v>
      </c>
      <c r="AF194" s="5" t="s">
        <v>9400</v>
      </c>
      <c r="AG194" s="5" t="s">
        <v>9401</v>
      </c>
      <c r="AH194" s="5" t="s">
        <v>9402</v>
      </c>
      <c r="AI194" s="5" t="s">
        <v>9403</v>
      </c>
      <c r="AK194" s="102"/>
      <c r="AL194" s="4" t="s">
        <v>9397</v>
      </c>
      <c r="AM194" s="5" t="s">
        <v>9398</v>
      </c>
      <c r="AN194" s="5" t="s">
        <v>9399</v>
      </c>
      <c r="AO194" s="5" t="s">
        <v>9400</v>
      </c>
      <c r="AP194" s="5" t="s">
        <v>9401</v>
      </c>
      <c r="AQ194" s="5" t="s">
        <v>9402</v>
      </c>
      <c r="AR194" s="5" t="s">
        <v>9403</v>
      </c>
    </row>
    <row r="195" spans="1:44" ht="13.9">
      <c r="B195" s="25" t="s">
        <v>9405</v>
      </c>
      <c r="C195" s="7">
        <f>SUM(C196:C200)</f>
        <v>88</v>
      </c>
      <c r="D195" s="19">
        <f>SUM(D196:D200)</f>
        <v>1.0000000000000002</v>
      </c>
      <c r="E195" s="7">
        <f t="shared" ref="E195" si="230">SUM(E196:E200)</f>
        <v>234967.5</v>
      </c>
      <c r="F195" s="19">
        <f>SUM(F196:F200)</f>
        <v>0.99999999999999989</v>
      </c>
      <c r="G195" s="7">
        <f>SUM(G196:G200)</f>
        <v>9791.6190799000015</v>
      </c>
      <c r="H195" s="19">
        <f t="shared" ref="H195" si="231">SUM(H196:H200)</f>
        <v>1</v>
      </c>
      <c r="K195" s="25" t="s">
        <v>9405</v>
      </c>
      <c r="L195" s="7">
        <f>SUM(L196:L200)</f>
        <v>41</v>
      </c>
      <c r="M195" s="19">
        <f>SUM(M196:M200)</f>
        <v>1</v>
      </c>
      <c r="N195" s="7">
        <f t="shared" ref="N195:Q195" si="232">SUM(N196:N200)</f>
        <v>68114</v>
      </c>
      <c r="O195" s="19">
        <f t="shared" si="232"/>
        <v>1</v>
      </c>
      <c r="P195" s="7">
        <f t="shared" si="232"/>
        <v>2814.7047070000003</v>
      </c>
      <c r="Q195" s="19">
        <f t="shared" si="232"/>
        <v>1</v>
      </c>
      <c r="S195" s="104"/>
      <c r="T195" s="25" t="s">
        <v>9405</v>
      </c>
      <c r="U195" s="7">
        <f>SUM(U196:U200)</f>
        <v>17</v>
      </c>
      <c r="V195" s="19">
        <f>SUM(V196:V200)</f>
        <v>1</v>
      </c>
      <c r="W195" s="7">
        <f t="shared" ref="W195:Z195" si="233">SUM(W196:W200)</f>
        <v>139189.5</v>
      </c>
      <c r="X195" s="19">
        <f t="shared" si="233"/>
        <v>1</v>
      </c>
      <c r="Y195" s="7">
        <f t="shared" si="233"/>
        <v>6043.7910179</v>
      </c>
      <c r="Z195" s="19">
        <f t="shared" si="233"/>
        <v>1</v>
      </c>
      <c r="AB195" s="104"/>
      <c r="AC195" s="25" t="s">
        <v>9405</v>
      </c>
      <c r="AD195" s="7">
        <f>SUM(AD196:AD200)</f>
        <v>30</v>
      </c>
      <c r="AE195" s="19">
        <f>SUM(AE196:AE200)</f>
        <v>1</v>
      </c>
      <c r="AF195" s="7">
        <f t="shared" ref="AF195:AI195" si="234">SUM(AF196:AF200)</f>
        <v>27664</v>
      </c>
      <c r="AG195" s="19">
        <f t="shared" si="234"/>
        <v>1</v>
      </c>
      <c r="AH195" s="7">
        <f t="shared" si="234"/>
        <v>933.12335499999995</v>
      </c>
      <c r="AI195" s="7">
        <f t="shared" si="234"/>
        <v>0.99999999999999989</v>
      </c>
      <c r="AK195" s="104"/>
      <c r="AL195" s="25" t="s">
        <v>9405</v>
      </c>
      <c r="AM195" s="7">
        <f>SUM(AM196:AM200)</f>
        <v>0</v>
      </c>
      <c r="AN195" s="19">
        <f>SUM(AN196:AN200)</f>
        <v>0</v>
      </c>
      <c r="AO195" s="7">
        <f t="shared" ref="AO195:AR195" si="235">SUM(AO196:AO200)</f>
        <v>0</v>
      </c>
      <c r="AP195" s="19">
        <f t="shared" si="235"/>
        <v>0</v>
      </c>
      <c r="AQ195" s="7">
        <f t="shared" si="235"/>
        <v>0</v>
      </c>
      <c r="AR195" s="7">
        <f t="shared" si="235"/>
        <v>0</v>
      </c>
    </row>
    <row r="196" spans="1:44" ht="13.9">
      <c r="A196" s="101" t="s">
        <v>3</v>
      </c>
      <c r="B196" s="22" t="s">
        <v>9407</v>
      </c>
      <c r="C196" s="23">
        <f>COUNTIFS(Ofertas!$T$22:$T$2765,Indicadores!A196,Ofertas!$AL$22:$AL$2765,$B$192)+COUNTIFS(Ofertas!$T$22:$T$2765,Indicadores!A196,Ofertas!$AL$22:$AL$2765,$B$193)+COUNTIFS(Ofertas!$T$22:$T$2765,Indicadores!A196,Ofertas!$AL$22:$AL$2765,$B$191)+COUNTIFS(Ofertas!$T$22:$T$2765,Indicadores!A196,Ofertas!$AL$22:$AL$2765,$B$190)+COUNTIFS(Ofertas!$T$22:$T$2765,Indicadores!A196,Ofertas!$AL$22:$AL$2765,$B$189)</f>
        <v>37</v>
      </c>
      <c r="D196" s="19">
        <f>C196/$C$195</f>
        <v>0.42045454545454547</v>
      </c>
      <c r="E196" s="7">
        <f>SUMIFS(Ofertas!$W$748:$W$2765,Ofertas!$T$748:$T$2765,Indicadores!A196,Ofertas!$AL$748:$AL$2765,Indicadores!$B$193)+SUMIFS(Ofertas!$W$748:$W$2765,Ofertas!$T$748:$T$2765,Indicadores!A196,Ofertas!$AL$748:$AL$2765,Indicadores!$B$192)+SUMIFS(Ofertas!$W$748:$W$2765,Ofertas!$T$748:$T$2765,Indicadores!A196,Ofertas!$AL$748:$AL$2765,Indicadores!$B$191)+SUMIFS(Ofertas!$W$748:$W$2765,Ofertas!$T$748:$T$2765,Indicadores!A196,Ofertas!$AL$748:$AL$2765,Indicadores!$B$190)+SUMIFS(Ofertas!$W$748:$W$2765,Ofertas!$T$748:$T$2765,Indicadores!A196,Ofertas!$AL$748:$AL$2765,Indicadores!$B$189)</f>
        <v>35629</v>
      </c>
      <c r="F196" s="19">
        <f>E196/$E$195</f>
        <v>0.15163373658059093</v>
      </c>
      <c r="G196" s="7">
        <f>SUMIFS(Ofertas!$X$748:$X$2765,Ofertas!$T$748:$T$2765,Indicadores!A196,Ofertas!$AL$748:$AL$2765,Indicadores!$B$193)+SUMIFS(Ofertas!$X$748:$X$2765,Ofertas!$T$748:$T$2765,Indicadores!A196,Ofertas!$AL$748:$AL$2765,Indicadores!$B$192)+SUMIFS(Ofertas!$X$748:$X$2765,Ofertas!$T$748:$T$2765,Indicadores!A196,Ofertas!$AL$748:$AL$2765,Indicadores!$B$191)+SUMIFS(Ofertas!$X$748:$X$2765,Ofertas!$T$748:$T$2765,Indicadores!A196,Ofertas!$AL$748:$AL$2765,Indicadores!$B$190)+SUMIFS(Ofertas!$X$748:$X$2765,Ofertas!$T$748:$T$2765,Indicadores!A196,Ofertas!$AL$748:$AL$2765,Indicadores!$B$189)</f>
        <v>1448.0650419999999</v>
      </c>
      <c r="H196" s="19">
        <f>G196/$G$195</f>
        <v>0.14788821237670008</v>
      </c>
      <c r="J196" s="101" t="s">
        <v>3</v>
      </c>
      <c r="K196" s="22" t="s">
        <v>9407</v>
      </c>
      <c r="L196" s="23">
        <f>COUNTIFS(Ofertas!$T$748:$T$2765,Indicadores!J196,Ofertas!$AL$748:$AL$2765,$K$193,Ofertas!$L$748:$L$2765,Indicadores!$L$193)+COUNTIFS(Ofertas!$T$748:$T$2765,Indicadores!J196,Ofertas!$AL$748:$AL$2765,$K$192,Ofertas!$L$748:$L$2765,Indicadores!$L$193)+COUNTIFS(Ofertas!$T$748:$T$2765,Indicadores!J196,Ofertas!$AL$748:$AL$2765,$K$191,Ofertas!$L$748:$L$2765,Indicadores!$L$193)+COUNTIFS(Ofertas!$T$748:$T$2765,Indicadores!J196,Ofertas!$AL$748:$AL$2765,$K$190,Ofertas!$L$748:$L$2765,Indicadores!$L$193)+COUNTIFS(Ofertas!$T$748:$T$2765,Indicadores!J196,Ofertas!$AL$748:$AL$2765,$K$189,Ofertas!$L$748:$L$2765,Indicadores!$L$193)</f>
        <v>12</v>
      </c>
      <c r="M196" s="19">
        <f>L196/$L$195</f>
        <v>0.29268292682926828</v>
      </c>
      <c r="N196" s="7">
        <f>SUMIFS(Ofertas!$W$748:$W$2765,Ofertas!$T$748:$T$2765,Indicadores!J196,Ofertas!$AL$748:$AL$2765,Indicadores!$K$193,Ofertas!$L$748:$L$2765,Indicadores!$L$193)+SUMIFS(Ofertas!$W$748:$W$2765,Ofertas!$T$748:$T$2765,Indicadores!J196,Ofertas!$AL$748:$AL$2765,Indicadores!$K$192,Ofertas!$L$748:$L$2765,Indicadores!$L$193)+SUMIFS(Ofertas!$W$748:$W$2765,Ofertas!$T$748:$T$2765,Indicadores!J196,Ofertas!$AL$748:$AL$2765,Indicadores!$K$191,Ofertas!$L$748:$L$2765,Indicadores!$L$193)+SUMIFS(Ofertas!$W$748:$W$2765,Ofertas!$T$748:$T$2765,Indicadores!J196,Ofertas!$AL$748:$AL$2765,Indicadores!$K$190,Ofertas!$L$748:$L$2765,Indicadores!$L$193)+SUMIFS(Ofertas!$W$748:$W$2765,Ofertas!$T$748:$T$2765,Indicadores!J196,Ofertas!$AL$748:$AL$2765,Indicadores!$K$189,Ofertas!$L$748:$L$2765,Indicadores!$L$193)</f>
        <v>12848</v>
      </c>
      <c r="O196" s="96">
        <f>N196/$N$195</f>
        <v>0.18862495228587367</v>
      </c>
      <c r="P196" s="7">
        <f>SUMIFS(Ofertas!$X$748:$X$2765,Ofertas!$T$748:$T$2765,Indicadores!J196,Ofertas!$AL$748:$AL$2765,Indicadores!$K$193,Ofertas!$L$748:$L$2765,Indicadores!$L$193)+SUMIFS(Ofertas!$X$748:$X$2765,Ofertas!$T$748:$T$2765,Indicadores!J196,Ofertas!$AL$748:$AL$2765,Indicadores!$K$192,Ofertas!$L$748:$L$2765,Indicadores!$L$193)+SUMIFS(Ofertas!$X$748:$X$2765,Ofertas!$T$748:$T$2765,Indicadores!J196,Ofertas!$AL$748:$AL$2765,Indicadores!$K$191,Ofertas!$L$748:$L$2765,Indicadores!$L$193)+SUMIFS(Ofertas!$X$748:$X$2765,Ofertas!$T$748:$T$2765,Indicadores!J196,Ofertas!$AL$748:$AL$2765,Indicadores!$K$190,Ofertas!$L$748:$L$2765,Indicadores!$L$193)+SUMIFS(Ofertas!$X$748:$X$2765,Ofertas!$T$748:$T$2765,Indicadores!J196,Ofertas!$AL$748:$AL$2765,Indicadores!$K$189,Ofertas!$L$748:$L$2765,Indicadores!$L$193)</f>
        <v>526.71994200000006</v>
      </c>
      <c r="Q196" s="19">
        <f>P196/$P$195</f>
        <v>0.18713150999111183</v>
      </c>
      <c r="S196" s="101" t="s">
        <v>3</v>
      </c>
      <c r="T196" s="22" t="s">
        <v>9407</v>
      </c>
      <c r="U196" s="23">
        <f>COUNTIFS(Ofertas!$T$748:$T$2765,Indicadores!S196,Ofertas!$AL$748:$AL$2765,$T$193,Ofertas!$L$748:$L$2765,Indicadores!$U$193)+COUNTIFS(Ofertas!$T$748:$T$2765,Indicadores!S196,Ofertas!$AL$748:$AL$2765,$T$192,Ofertas!$L$748:$L$2765,Indicadores!$U$193)+COUNTIFS(Ofertas!$T$748:$T$2765,Indicadores!S196,Ofertas!$AL$748:$AL$2765,$T$191,Ofertas!$L$748:$L$2765,Indicadores!$U$193)+COUNTIFS(Ofertas!$T$748:$T$2765,Indicadores!S196,Ofertas!$AL$748:$AL$2765,$T$190,Ofertas!$L$748:$L$2765,Indicadores!$U$193)+COUNTIFS(Ofertas!$T$748:$T$2765,Indicadores!S196,Ofertas!$AL$748:$AL$2765,$T$189,Ofertas!$L$748:$L$2765,Indicadores!$U$193)</f>
        <v>1</v>
      </c>
      <c r="V196" s="19">
        <f>U196/$U$195</f>
        <v>5.8823529411764705E-2</v>
      </c>
      <c r="W196" s="7">
        <f>SUMIFS(Ofertas!$W$748:$W$2765,Ofertas!$T$748:$T$2765,Indicadores!S196,Ofertas!$AL$748:$AL$2765,Indicadores!$T$193,Ofertas!$L$748:$L$2765,Indicadores!$U$193)+SUMIFS(Ofertas!$W$748:$W$2765,Ofertas!$T$748:$T$2765,Indicadores!S196,Ofertas!$AL$748:$AL$2765,Indicadores!$T$192,Ofertas!$L$748:$L$2765,Indicadores!$U$193)+SUMIFS(Ofertas!$W$748:$W$2765,Ofertas!$T$748:$T$2765,Indicadores!S196,Ofertas!$AL$748:$AL$2765,Indicadores!$T$191,Ofertas!$L$748:$L$2765,Indicadores!$U$193)+SUMIFS(Ofertas!$W$748:$W$2765,Ofertas!$T$748:$T$2765,Indicadores!S196,Ofertas!$AL$748:$AL$2765,Indicadores!$T$190,Ofertas!$L$748:$L$2765,Indicadores!$U$193)+SUMIFS(Ofertas!$W$748:$W$2765,Ofertas!$T$748:$T$2765,Indicadores!S196,Ofertas!$AL$748:$AL$2765,Indicadores!$T$189,Ofertas!$L$748:$L$2765,Indicadores!$U$193)</f>
        <v>6840</v>
      </c>
      <c r="X196" s="96">
        <f>IF($W$195&lt;&gt;0,W196/$W$195,0)</f>
        <v>4.9141637839061135E-2</v>
      </c>
      <c r="Y196" s="7">
        <f>SUMIFS(Ofertas!$X$748:$X$2765,Ofertas!$T$748:$T$2765,Indicadores!S196,Ofertas!$AL$748:$AL$2765,Indicadores!$T$193,Ofertas!$L$748:$L$2765,Indicadores!$U$193)+SUMIFS(Ofertas!$X$748:$X$2765,Ofertas!$T$748:$T$2765,Indicadores!S196,Ofertas!$AL$748:$AL$2765,Indicadores!$T$192,Ofertas!$L$748:$L$2765,Indicadores!$U$193)+SUMIFS(Ofertas!$X$748:$X$2765,Ofertas!$T$748:$T$2765,Indicadores!S196,Ofertas!$AL$748:$AL$2765,Indicadores!$T$191,Ofertas!$L$748:$L$2765,Indicadores!$U$193)+SUMIFS(Ofertas!$X$748:$X$2765,Ofertas!$T$748:$T$2765,Indicadores!S196,Ofertas!$AL$748:$AL$2765,Indicadores!$T$190,Ofertas!$L$748:$L$2765,Indicadores!$U$193)+SUMIFS(Ofertas!$X$748:$X$2765,Ofertas!$T$748:$T$2765,Indicadores!S196,Ofertas!$AL$748:$AL$2765,Indicadores!$T$189,Ofertas!$L$748:$L$2765,Indicadores!$U$193)</f>
        <v>377.0256</v>
      </c>
      <c r="Z196" s="19">
        <f>IF($Y$195&lt;&gt;0,Y196/$Y$195,0)</f>
        <v>6.2382302578523445E-2</v>
      </c>
      <c r="AB196" s="101" t="s">
        <v>3</v>
      </c>
      <c r="AC196" s="22" t="s">
        <v>9407</v>
      </c>
      <c r="AD196" s="23">
        <f>COUNTIFS(Ofertas!$T$748:$T$2765,Indicadores!AB196,Ofertas!$AL$748:$AL$2765,$AC$193,Ofertas!$L$748:$L$2765,Indicadores!$AD$193)+COUNTIFS(Ofertas!$T$748:$T$2765,Indicadores!AB196,Ofertas!$AL$748:$AL$2765,$AC$192,Ofertas!$L$748:$L$2765,Indicadores!$AD$193)+COUNTIFS(Ofertas!$T$748:$T$2765,Indicadores!AB196,Ofertas!$AL$748:$AL$2765,$AC$191,Ofertas!$L$748:$L$2765,Indicadores!$AD$193)+COUNTIFS(Ofertas!$T$748:$T$2765,Indicadores!AB196,Ofertas!$AL$748:$AL$2765,$AC$190,Ofertas!$L$748:$L$2765,Indicadores!$AD$193)+COUNTIFS(Ofertas!$T$748:$T$2765,Indicadores!AB196,Ofertas!$AL$748:$AL$2765,$AC$189,Ofertas!$L$748:$L$2765,Indicadores!$AD$193)</f>
        <v>24</v>
      </c>
      <c r="AE196" s="96">
        <f>IF($AD$195&lt;&gt;0,AD196/$AD$195,0)</f>
        <v>0.8</v>
      </c>
      <c r="AF196" s="7">
        <f>SUMIFS(Ofertas!$W$748:$W$2765,Ofertas!$T$748:$T$2765,Indicadores!AB196,Ofertas!$AL$748:$AL$2765,Indicadores!$AC$193,Ofertas!$L$748:$L$2765,Indicadores!$AD$193)+SUMIFS(Ofertas!$W$748:$W$2765,Ofertas!$T$748:$T$2765,Indicadores!AB196,Ofertas!$AL$748:$AL$2765,Indicadores!$AC$192,Ofertas!$L$748:$L$2765,Indicadores!$AD$193)+SUMIFS(Ofertas!$W$748:$W$2765,Ofertas!$T$748:$T$2765,Indicadores!AB196,Ofertas!$AL$748:$AL$2765,Indicadores!$AC$191,Ofertas!$L$748:$L$2765,Indicadores!$AD$193)+SUMIFS(Ofertas!$W$748:$W$2765,Ofertas!$T$748:$T$2765,Indicadores!AB196,Ofertas!$AL$748:$AL$2765,Indicadores!$AC$190,Ofertas!$L$748:$L$2765,Indicadores!$AD$193)+SUMIFS(Ofertas!$W$748:$W$2765,Ofertas!$T$748:$T$2765,Indicadores!AB196,Ofertas!$AL$748:$AL$2765,Indicadores!$AC$189,Ofertas!$L$748:$L$2765,Indicadores!$AD$193)</f>
        <v>15941</v>
      </c>
      <c r="AG196" s="96">
        <f>IF($AF$195&lt;&gt;0,AF196/$AF$195,0)</f>
        <v>0.57623626373626369</v>
      </c>
      <c r="AH196" s="7">
        <f>SUMIFS(Ofertas!$X$748:$X$2765,Ofertas!$T$748:$T$2765,Indicadores!AB196,Ofertas!$AL$748:$AL$2765,Indicadores!$AC$193,Ofertas!$L$748:$L$2765,Indicadores!$AD$193)+SUMIFS(Ofertas!$X$748:$X$2765,Ofertas!$T$748:$T$2765,Indicadores!AB196,Ofertas!$AL$748:$AL$2765,Indicadores!$AC$192,Ofertas!$L$748:$L$2765,Indicadores!$AD$193)+SUMIFS(Ofertas!$X$748:$X$2765,Ofertas!$T$748:$T$2765,Indicadores!AB196,Ofertas!$AL$748:$AL$2765,Indicadores!$AC$191,Ofertas!$L$748:$L$2765,Indicadores!$AD$193)+SUMIFS(Ofertas!$X$748:$X$2765,Ofertas!$T$748:$T$2765,Indicadores!AB196,Ofertas!$AL$748:$AL$2765,Indicadores!$AC$190,Ofertas!$L$748:$L$2765,Indicadores!$AD$193)+SUMIFS(Ofertas!$X$748:$X$2765,Ofertas!$T$748:$T$2765,Indicadores!AB196,Ofertas!$AL$748:$AL$2765,Indicadores!$AC$189,Ofertas!$L$748:$L$2765,Indicadores!$AD$193)</f>
        <v>544.31949999999995</v>
      </c>
      <c r="AI196" s="19">
        <f>IF($AH$195&lt;&gt;0,AH196/$AH$195,0)</f>
        <v>0.58333070015164279</v>
      </c>
      <c r="AK196" s="101" t="s">
        <v>3</v>
      </c>
      <c r="AL196" s="22" t="s">
        <v>9407</v>
      </c>
      <c r="AM196" s="23">
        <f>COUNTIFS(Ofertas!$T$748:$T$2765,Indicadores!AK196,Ofertas!$AL$748:$AL$2765,$AL$193,Ofertas!$L$748:$L$2765,Indicadores!$AM$193)+COUNTIFS(Ofertas!$T$748:$T$2765,Indicadores!AK196,Ofertas!$AL$748:$AL$2765,$AL$192,Ofertas!$L$748:$L$2765,Indicadores!$AM$193)+COUNTIFS(Ofertas!$T$748:$T$2765,Indicadores!AK196,Ofertas!$AL$748:$AL$2765,$AL$191,Ofertas!$L$748:$L$2765,Indicadores!$AM$193)+COUNTIFS(Ofertas!$T$748:$T$2765,Indicadores!AK196,Ofertas!$AL$748:$AL$2765,$AL$190,Ofertas!$L$748:$L$2765,Indicadores!$AM$193)+COUNTIFS(Ofertas!$T$748:$T$2765,Indicadores!AK196,Ofertas!$AL$748:$AL$2765,$AL$189,Ofertas!$L$748:$L$2765,Indicadores!$AM$193)</f>
        <v>0</v>
      </c>
      <c r="AN196" s="96">
        <f>IF($AD$195&lt;&gt;0,AM196/$AD$195,0)</f>
        <v>0</v>
      </c>
      <c r="AO196" s="7">
        <f>SUMIFS(Ofertas!$W$748:$W$2765,Ofertas!$T$748:$T$2765,Indicadores!AK196,Ofertas!$AL$748:$AL$2765,Indicadores!$AL$192,Ofertas!$L$748:$L$2765,Indicadores!$AM$193)+SUMIFS(Ofertas!$W$748:$W$2765,Ofertas!$T$748:$T$2765,Indicadores!AK196,Ofertas!$AL$748:$AL$2765,Indicadores!$AL$193,Ofertas!$L$748:$L$2765,Indicadores!$AM$193)+SUMIFS(Ofertas!$W$748:$W$2765,Ofertas!$T$748:$T$2765,Indicadores!AK196,Ofertas!$AL$748:$AL$2765,Indicadores!$AL$191,Ofertas!$L$748:$L$2765,Indicadores!$AM$193)+SUMIFS(Ofertas!$W$748:$W$2765,Ofertas!$T$748:$T$2765,Indicadores!AK196,Ofertas!$AL$748:$AL$2765,Indicadores!$AL$190,Ofertas!$L$748:$L$2765,Indicadores!$AM$193)+SUMIFS(Ofertas!$W$748:$W$2765,Ofertas!$T$748:$T$2765,Indicadores!AK196,Ofertas!$AL$748:$AL$2765,Indicadores!$AL$189,Ofertas!$L$748:$L$2765,Indicadores!$AM$193)</f>
        <v>0</v>
      </c>
      <c r="AP196" s="96">
        <f>IF($AF$195&lt;&gt;0,AO196/$AF$195,0)</f>
        <v>0</v>
      </c>
      <c r="AQ196" s="7">
        <f>SUMIFS(Ofertas!$X$748:$X$2765,Ofertas!$T$748:$T$2765,Indicadores!AK196,Ofertas!$AL$748:$AL$2765,Indicadores!$AL$193,Ofertas!$L$748:$L$2765,Indicadores!$AM$193)+SUMIFS(Ofertas!$X$748:$X$2765,Ofertas!$T$748:$T$2765,Indicadores!AK196,Ofertas!$AL$748:$AL$2765,Indicadores!$AL$192,Ofertas!$L$748:$L$2765,Indicadores!$AM$193)+SUMIFS(Ofertas!$X$748:$X$2765,Ofertas!$T$748:$T$2765,Indicadores!AK196,Ofertas!$AL$748:$AL$2765,Indicadores!$AL$191,Ofertas!$L$748:$L$2765,Indicadores!$AM$193)+SUMIFS(Ofertas!$X$748:$X$2765,Ofertas!$T$748:$T$2765,Indicadores!AK196,Ofertas!$AL$748:$AL$2765,Indicadores!$AL$190,Ofertas!$L$748:$L$2765,Indicadores!$AM$193)+SUMIFS(Ofertas!$X$748:$X$2765,Ofertas!$T$748:$T$2765,Indicadores!AK196,Ofertas!$AL$748:$AL$2765,Indicadores!$AL$189,Ofertas!$L$748:$L$2765,Indicadores!$AM$193)</f>
        <v>0</v>
      </c>
      <c r="AR196" s="19">
        <f>IF($AH$195&lt;&gt;0,AQ196/$AH$195,0)</f>
        <v>0</v>
      </c>
    </row>
    <row r="197" spans="1:44" ht="13.9">
      <c r="A197" s="101" t="s">
        <v>165</v>
      </c>
      <c r="B197" s="22" t="s">
        <v>9409</v>
      </c>
      <c r="C197" s="23">
        <f>COUNTIFS(Ofertas!$T$22:$T$2765,Indicadores!A197,Ofertas!$AL$22:$AL$2765,$B$192)+COUNTIFS(Ofertas!$T$22:$T$2765,Indicadores!A197,Ofertas!$AL$22:$AL$2765,$B$193)+COUNTIFS(Ofertas!$T$22:$T$2765,Indicadores!A197,Ofertas!$AL$22:$AL$2765,$B$191)+COUNTIFS(Ofertas!$T$22:$T$2765,Indicadores!A197,Ofertas!$AL$22:$AL$2765,$B$190)+COUNTIFS(Ofertas!$T$22:$T$2765,Indicadores!A197,Ofertas!$AL$22:$AL$2765,$B$189)</f>
        <v>50</v>
      </c>
      <c r="D197" s="19">
        <f t="shared" ref="D197:D200" si="236">C197/$C$195</f>
        <v>0.56818181818181823</v>
      </c>
      <c r="E197" s="7">
        <f>SUMIFS(Ofertas!$W$748:$W$2765,Ofertas!$T$748:$T$2765,Indicadores!A197,Ofertas!$AL$748:$AL$2765,Indicadores!$B$193)+SUMIFS(Ofertas!$W$748:$W$2765,Ofertas!$T$748:$T$2765,Indicadores!A197,Ofertas!$AL$748:$AL$2765,Indicadores!$B$192)+SUMIFS(Ofertas!$W$748:$W$2765,Ofertas!$T$748:$T$2765,Indicadores!A197,Ofertas!$AL$748:$AL$2765,Indicadores!$B$191)+SUMIFS(Ofertas!$W$748:$W$2765,Ofertas!$T$748:$T$2765,Indicadores!A197,Ofertas!$AL$748:$AL$2765,Indicadores!$B$190)+SUMIFS(Ofertas!$W$748:$W$2765,Ofertas!$T$748:$T$2765,Indicadores!A197,Ofertas!$AL$748:$AL$2765,Indicadores!$B$189)</f>
        <v>194622.5</v>
      </c>
      <c r="F197" s="19">
        <f t="shared" ref="F197:F200" si="237">E197/$E$195</f>
        <v>0.82829540255567258</v>
      </c>
      <c r="G197" s="7">
        <f>SUMIFS(Ofertas!$X$748:$X$2765,Ofertas!$T$748:$T$2765,Indicadores!A197,Ofertas!$AL$748:$AL$2765,Indicadores!$B$193)+SUMIFS(Ofertas!$X$748:$X$2765,Ofertas!$T$748:$T$2765,Indicadores!A197,Ofertas!$AL$748:$AL$2765,Indicadores!$B$192)+SUMIFS(Ofertas!$X$748:$X$2765,Ofertas!$T$748:$T$2765,Indicadores!A197,Ofertas!$AL$748:$AL$2765,Indicadores!$B$191)+SUMIFS(Ofertas!$X$748:$X$2765,Ofertas!$T$748:$T$2765,Indicadores!A197,Ofertas!$AL$748:$AL$2765,Indicadores!$B$190)+SUMIFS(Ofertas!$X$748:$X$2765,Ofertas!$T$748:$T$2765,Indicadores!A197,Ofertas!$AL$748:$AL$2765,Indicadores!$B$189)</f>
        <v>8183.5540379000013</v>
      </c>
      <c r="H197" s="19">
        <f t="shared" ref="H197:H200" si="238">G197/$G$195</f>
        <v>0.8357712826777548</v>
      </c>
      <c r="J197" s="101" t="s">
        <v>165</v>
      </c>
      <c r="K197" s="22" t="s">
        <v>9409</v>
      </c>
      <c r="L197" s="23">
        <f>COUNTIFS(Ofertas!$T$748:$T$2765,Indicadores!J197,Ofertas!$AL$748:$AL$2765,$K$193,Ofertas!$L$748:$L$2765,Indicadores!$L$193)+COUNTIFS(Ofertas!$T$748:$T$2765,Indicadores!J197,Ofertas!$AL$748:$AL$2765,$K$192,Ofertas!$L$748:$L$2765,Indicadores!$L$193)+COUNTIFS(Ofertas!$T$748:$T$2765,Indicadores!J197,Ofertas!$AL$748:$AL$2765,$K$191,Ofertas!$L$748:$L$2765,Indicadores!$L$193)+COUNTIFS(Ofertas!$T$748:$T$2765,Indicadores!J197,Ofertas!$AL$748:$AL$2765,$K$190,Ofertas!$L$748:$L$2765,Indicadores!$L$193)+COUNTIFS(Ofertas!$T$748:$T$2765,Indicadores!J197,Ofertas!$AL$748:$AL$2765,$K$189,Ofertas!$L$748:$L$2765,Indicadores!$L$193)</f>
        <v>29</v>
      </c>
      <c r="M197" s="19">
        <f t="shared" ref="M197:M200" si="239">L197/$L$195</f>
        <v>0.70731707317073167</v>
      </c>
      <c r="N197" s="7">
        <f>SUMIFS(Ofertas!$W$748:$W$2765,Ofertas!$T$748:$T$2765,Indicadores!J197,Ofertas!$AL$748:$AL$2765,Indicadores!$K$193,Ofertas!$L$748:$L$2765,Indicadores!$L$193)+SUMIFS(Ofertas!$W$748:$W$2765,Ofertas!$T$748:$T$2765,Indicadores!J197,Ofertas!$AL$748:$AL$2765,Indicadores!$K$192,Ofertas!$L$748:$L$2765,Indicadores!$L$193)+SUMIFS(Ofertas!$W$748:$W$2765,Ofertas!$T$748:$T$2765,Indicadores!J197,Ofertas!$AL$748:$AL$2765,Indicadores!$K$191,Ofertas!$L$748:$L$2765,Indicadores!$L$193)+SUMIFS(Ofertas!$W$748:$W$2765,Ofertas!$T$748:$T$2765,Indicadores!J197,Ofertas!$AL$748:$AL$2765,Indicadores!$K$190,Ofertas!$L$748:$L$2765,Indicadores!$L$193)+SUMIFS(Ofertas!$W$748:$W$2765,Ofertas!$T$748:$T$2765,Indicadores!J197,Ofertas!$AL$748:$AL$2765,Indicadores!$K$189,Ofertas!$L$748:$L$2765,Indicadores!$L$193)</f>
        <v>55266</v>
      </c>
      <c r="O197" s="96">
        <f t="shared" ref="O197:O200" si="240">N197/$N$195</f>
        <v>0.81137504771412627</v>
      </c>
      <c r="P197" s="7">
        <f>SUMIFS(Ofertas!$X$748:$X$2765,Ofertas!$T$748:$T$2765,Indicadores!J197,Ofertas!$AL$748:$AL$2765,Indicadores!$K$193,Ofertas!$L$748:$L$2765,Indicadores!$L$193)+SUMIFS(Ofertas!$X$748:$X$2765,Ofertas!$T$748:$T$2765,Indicadores!J197,Ofertas!$AL$748:$AL$2765,Indicadores!$K$192,Ofertas!$L$748:$L$2765,Indicadores!$L$193)+SUMIFS(Ofertas!$X$748:$X$2765,Ofertas!$T$748:$T$2765,Indicadores!J197,Ofertas!$AL$748:$AL$2765,Indicadores!$K$191,Ofertas!$L$748:$L$2765,Indicadores!$L$193)+SUMIFS(Ofertas!$X$748:$X$2765,Ofertas!$T$748:$T$2765,Indicadores!J197,Ofertas!$AL$748:$AL$2765,Indicadores!$K$190,Ofertas!$L$748:$L$2765,Indicadores!$L$193)+SUMIFS(Ofertas!$X$748:$X$2765,Ofertas!$T$748:$T$2765,Indicadores!J197,Ofertas!$AL$748:$AL$2765,Indicadores!$K$189,Ofertas!$L$748:$L$2765,Indicadores!$L$193)</f>
        <v>2287.9847650000002</v>
      </c>
      <c r="Q197" s="19">
        <f t="shared" ref="Q197:Q200" si="241">P197/$P$195</f>
        <v>0.81286849000888817</v>
      </c>
      <c r="S197" s="101" t="s">
        <v>165</v>
      </c>
      <c r="T197" s="22" t="s">
        <v>9409</v>
      </c>
      <c r="U197" s="23">
        <f>COUNTIFS(Ofertas!$T$748:$T$2765,Indicadores!S197,Ofertas!$AL$748:$AL$2765,$T$193,Ofertas!$L$748:$L$2765,Indicadores!$U$193)+COUNTIFS(Ofertas!$T$748:$T$2765,Indicadores!S197,Ofertas!$AL$748:$AL$2765,$T$192,Ofertas!$L$748:$L$2765,Indicadores!$U$193)+COUNTIFS(Ofertas!$T$748:$T$2765,Indicadores!S197,Ofertas!$AL$748:$AL$2765,$T$191,Ofertas!$L$748:$L$2765,Indicadores!$U$193)+COUNTIFS(Ofertas!$T$748:$T$2765,Indicadores!S197,Ofertas!$AL$748:$AL$2765,$T$190,Ofertas!$L$748:$L$2765,Indicadores!$U$193)+COUNTIFS(Ofertas!$T$748:$T$2765,Indicadores!S197,Ofertas!$AL$748:$AL$2765,$T$189,Ofertas!$L$748:$L$2765,Indicadores!$U$193)</f>
        <v>16</v>
      </c>
      <c r="V197" s="19">
        <f t="shared" ref="V197:V200" si="242">U197/$U$195</f>
        <v>0.94117647058823528</v>
      </c>
      <c r="W197" s="7">
        <f>SUMIFS(Ofertas!$W$748:$W$2765,Ofertas!$T$748:$T$2765,Indicadores!S197,Ofertas!$AL$748:$AL$2765,Indicadores!$T$193,Ofertas!$L$748:$L$2765,Indicadores!$U$193)+SUMIFS(Ofertas!$W$748:$W$2765,Ofertas!$T$748:$T$2765,Indicadores!S197,Ofertas!$AL$748:$AL$2765,Indicadores!$T$192,Ofertas!$L$748:$L$2765,Indicadores!$U$193)+SUMIFS(Ofertas!$W$748:$W$2765,Ofertas!$T$748:$T$2765,Indicadores!S197,Ofertas!$AL$748:$AL$2765,Indicadores!$T$191,Ofertas!$L$748:$L$2765,Indicadores!$U$193)+SUMIFS(Ofertas!$W$748:$W$2765,Ofertas!$T$748:$T$2765,Indicadores!S197,Ofertas!$AL$748:$AL$2765,Indicadores!$T$190,Ofertas!$L$748:$L$2765,Indicadores!$U$193)+SUMIFS(Ofertas!$W$748:$W$2765,Ofertas!$T$748:$T$2765,Indicadores!S197,Ofertas!$AL$748:$AL$2765,Indicadores!$T$189,Ofertas!$L$748:$L$2765,Indicadores!$U$193)</f>
        <v>132349.5</v>
      </c>
      <c r="X197" s="96">
        <f t="shared" ref="X197:X200" si="243">IF($W$195&lt;&gt;0,W197/$W$195,0)</f>
        <v>0.95085836216093889</v>
      </c>
      <c r="Y197" s="7">
        <f>SUMIFS(Ofertas!$X$748:$X$2765,Ofertas!$T$748:$T$2765,Indicadores!S197,Ofertas!$AL$748:$AL$2765,Indicadores!$T$193,Ofertas!$L$748:$L$2765,Indicadores!$U$193)+SUMIFS(Ofertas!$X$748:$X$2765,Ofertas!$T$748:$T$2765,Indicadores!S197,Ofertas!$AL$748:$AL$2765,Indicadores!$T$192,Ofertas!$L$748:$L$2765,Indicadores!$U$193)+SUMIFS(Ofertas!$X$748:$X$2765,Ofertas!$T$748:$T$2765,Indicadores!S197,Ofertas!$AL$748:$AL$2765,Indicadores!$T$191,Ofertas!$L$748:$L$2765,Indicadores!$U$193)+SUMIFS(Ofertas!$X$748:$X$2765,Ofertas!$T$748:$T$2765,Indicadores!S197,Ofertas!$AL$748:$AL$2765,Indicadores!$T$190,Ofertas!$L$748:$L$2765,Indicadores!$U$193)+SUMIFS(Ofertas!$X$748:$X$2765,Ofertas!$T$748:$T$2765,Indicadores!S197,Ofertas!$AL$748:$AL$2765,Indicadores!$T$189,Ofertas!$L$748:$L$2765,Indicadores!$U$193)</f>
        <v>5666.7654179000001</v>
      </c>
      <c r="Z197" s="19">
        <f t="shared" ref="Z197:Z200" si="244">IF($Y$195&lt;&gt;0,Y197/$Y$195,0)</f>
        <v>0.9376176974214766</v>
      </c>
      <c r="AB197" s="101" t="s">
        <v>165</v>
      </c>
      <c r="AC197" s="22" t="s">
        <v>9409</v>
      </c>
      <c r="AD197" s="23">
        <f>COUNTIFS(Ofertas!$T$748:$T$2765,Indicadores!AB197,Ofertas!$AL$748:$AL$2765,$AC$193,Ofertas!$L$748:$L$2765,Indicadores!$AD$193)+COUNTIFS(Ofertas!$T$748:$T$2765,Indicadores!AB197,Ofertas!$AL$748:$AL$2765,$AC$192,Ofertas!$L$748:$L$2765,Indicadores!$AD$193)+COUNTIFS(Ofertas!$T$748:$T$2765,Indicadores!AB197,Ofertas!$AL$748:$AL$2765,$AC$191,Ofertas!$L$748:$L$2765,Indicadores!$AD$193)+COUNTIFS(Ofertas!$T$748:$T$2765,Indicadores!AB197,Ofertas!$AL$748:$AL$2765,$AC$190,Ofertas!$L$748:$L$2765,Indicadores!$AD$193)+COUNTIFS(Ofertas!$T$748:$T$2765,Indicadores!AB197,Ofertas!$AL$748:$AL$2765,$AC$189,Ofertas!$L$748:$L$2765,Indicadores!$AD$193)</f>
        <v>5</v>
      </c>
      <c r="AE197" s="96">
        <f t="shared" ref="AE197:AE200" si="245">IF($AD$195&lt;&gt;0,AD197/$AD$195,0)</f>
        <v>0.16666666666666666</v>
      </c>
      <c r="AF197" s="7">
        <f>SUMIFS(Ofertas!$W$748:$W$2765,Ofertas!$T$748:$T$2765,Indicadores!AB197,Ofertas!$AL$748:$AL$2765,Indicadores!$AC$193,Ofertas!$L$748:$L$2765,Indicadores!$AD$193)+SUMIFS(Ofertas!$W$748:$W$2765,Ofertas!$T$748:$T$2765,Indicadores!AB197,Ofertas!$AL$748:$AL$2765,Indicadores!$AC$192,Ofertas!$L$748:$L$2765,Indicadores!$AD$193)+SUMIFS(Ofertas!$W$748:$W$2765,Ofertas!$T$748:$T$2765,Indicadores!AB197,Ofertas!$AL$748:$AL$2765,Indicadores!$AC$191,Ofertas!$L$748:$L$2765,Indicadores!$AD$193)+SUMIFS(Ofertas!$W$748:$W$2765,Ofertas!$T$748:$T$2765,Indicadores!AB197,Ofertas!$AL$748:$AL$2765,Indicadores!$AC$190,Ofertas!$L$748:$L$2765,Indicadores!$AD$193)+SUMIFS(Ofertas!$W$748:$W$2765,Ofertas!$T$748:$T$2765,Indicadores!AB197,Ofertas!$AL$748:$AL$2765,Indicadores!$AC$189,Ofertas!$L$748:$L$2765,Indicadores!$AD$193)</f>
        <v>7007</v>
      </c>
      <c r="AG197" s="96">
        <f t="shared" ref="AG197:AG200" si="246">IF($AF$195&lt;&gt;0,AF197/$AF$195,0)</f>
        <v>0.25328947368421051</v>
      </c>
      <c r="AH197" s="7">
        <f>SUMIFS(Ofertas!$X$748:$X$2765,Ofertas!$T$748:$T$2765,Indicadores!AB197,Ofertas!$AL$748:$AL$2765,Indicadores!$AC$193,Ofertas!$L$748:$L$2765,Indicadores!$AD$193)+SUMIFS(Ofertas!$X$748:$X$2765,Ofertas!$T$748:$T$2765,Indicadores!AB197,Ofertas!$AL$748:$AL$2765,Indicadores!$AC$192,Ofertas!$L$748:$L$2765,Indicadores!$AD$193)+SUMIFS(Ofertas!$X$748:$X$2765,Ofertas!$T$748:$T$2765,Indicadores!AB197,Ofertas!$AL$748:$AL$2765,Indicadores!$AC$191,Ofertas!$L$748:$L$2765,Indicadores!$AD$193)+SUMIFS(Ofertas!$X$748:$X$2765,Ofertas!$T$748:$T$2765,Indicadores!AB197,Ofertas!$AL$748:$AL$2765,Indicadores!$AC$190,Ofertas!$L$748:$L$2765,Indicadores!$AD$193)+SUMIFS(Ofertas!$X$748:$X$2765,Ofertas!$T$748:$T$2765,Indicadores!AB197,Ofertas!$AL$748:$AL$2765,Indicadores!$AC$189,Ofertas!$L$748:$L$2765,Indicadores!$AD$193)</f>
        <v>228.803855</v>
      </c>
      <c r="AI197" s="19">
        <f t="shared" ref="AI197:AI200" si="247">IF($AH$195&lt;&gt;0,AH197/$AH$195,0)</f>
        <v>0.2452021522920729</v>
      </c>
      <c r="AK197" s="101" t="s">
        <v>165</v>
      </c>
      <c r="AL197" s="22" t="s">
        <v>9409</v>
      </c>
      <c r="AM197" s="23">
        <f>COUNTIFS(Ofertas!$T$748:$T$2765,Indicadores!AK197,Ofertas!$AL$748:$AL$2765,$AL$193,Ofertas!$L$748:$L$2765,Indicadores!$AM$193)+COUNTIFS(Ofertas!$T$748:$T$2765,Indicadores!AK197,Ofertas!$AL$748:$AL$2765,$AL$192,Ofertas!$L$748:$L$2765,Indicadores!$AM$193)+COUNTIFS(Ofertas!$T$748:$T$2765,Indicadores!AK197,Ofertas!$AL$748:$AL$2765,$AL$191,Ofertas!$L$748:$L$2765,Indicadores!$AM$193)+COUNTIFS(Ofertas!$T$748:$T$2765,Indicadores!AK197,Ofertas!$AL$748:$AL$2765,$AL$190,Ofertas!$L$748:$L$2765,Indicadores!$AM$193)+COUNTIFS(Ofertas!$T$748:$T$2765,Indicadores!AK197,Ofertas!$AL$748:$AL$2765,$AL$189,Ofertas!$L$748:$L$2765,Indicadores!$AM$193)</f>
        <v>0</v>
      </c>
      <c r="AN197" s="96">
        <f t="shared" ref="AN197:AN200" si="248">IF($AD$195&lt;&gt;0,AM197/$AD$195,0)</f>
        <v>0</v>
      </c>
      <c r="AO197" s="7">
        <f>SUMIFS(Ofertas!$W$748:$W$2765,Ofertas!$T$748:$T$2765,Indicadores!AK197,Ofertas!$AL$748:$AL$2765,Indicadores!$AL$192,Ofertas!$L$748:$L$2765,Indicadores!$AM$193)+SUMIFS(Ofertas!$W$748:$W$2765,Ofertas!$T$748:$T$2765,Indicadores!AK197,Ofertas!$AL$748:$AL$2765,Indicadores!$AL$193,Ofertas!$L$748:$L$2765,Indicadores!$AM$193)+SUMIFS(Ofertas!$W$748:$W$2765,Ofertas!$T$748:$T$2765,Indicadores!AK197,Ofertas!$AL$748:$AL$2765,Indicadores!$AL$191,Ofertas!$L$748:$L$2765,Indicadores!$AM$193)+SUMIFS(Ofertas!$W$748:$W$2765,Ofertas!$T$748:$T$2765,Indicadores!AK197,Ofertas!$AL$748:$AL$2765,Indicadores!$AL$190,Ofertas!$L$748:$L$2765,Indicadores!$AM$193)+SUMIFS(Ofertas!$W$748:$W$2765,Ofertas!$T$748:$T$2765,Indicadores!AK197,Ofertas!$AL$748:$AL$2765,Indicadores!$AL$189,Ofertas!$L$748:$L$2765,Indicadores!$AM$193)</f>
        <v>0</v>
      </c>
      <c r="AP197" s="96">
        <f t="shared" ref="AP197:AP200" si="249">IF($AF$195&lt;&gt;0,AO197/$AF$195,0)</f>
        <v>0</v>
      </c>
      <c r="AQ197" s="7">
        <f>SUMIFS(Ofertas!$X$748:$X$2765,Ofertas!$T$748:$T$2765,Indicadores!AK197,Ofertas!$AL$748:$AL$2765,Indicadores!$AL$193,Ofertas!$L$748:$L$2765,Indicadores!$AM$193)+SUMIFS(Ofertas!$X$748:$X$2765,Ofertas!$T$748:$T$2765,Indicadores!AK197,Ofertas!$AL$748:$AL$2765,Indicadores!$AL$192,Ofertas!$L$748:$L$2765,Indicadores!$AM$193)+SUMIFS(Ofertas!$X$748:$X$2765,Ofertas!$T$748:$T$2765,Indicadores!AK197,Ofertas!$AL$748:$AL$2765,Indicadores!$AL$191,Ofertas!$L$748:$L$2765,Indicadores!$AM$193)+SUMIFS(Ofertas!$X$748:$X$2765,Ofertas!$T$748:$T$2765,Indicadores!AK197,Ofertas!$AL$748:$AL$2765,Indicadores!$AL$190,Ofertas!$L$748:$L$2765,Indicadores!$AM$193)+SUMIFS(Ofertas!$X$748:$X$2765,Ofertas!$T$748:$T$2765,Indicadores!AK197,Ofertas!$AL$748:$AL$2765,Indicadores!$AL$189,Ofertas!$L$748:$L$2765,Indicadores!$AM$193)</f>
        <v>0</v>
      </c>
      <c r="AR197" s="19">
        <f t="shared" ref="AR197:AR200" si="250">IF($AH$195&lt;&gt;0,AQ197/$AH$195,0)</f>
        <v>0</v>
      </c>
    </row>
    <row r="198" spans="1:44" ht="13.9">
      <c r="A198" s="101" t="s">
        <v>168</v>
      </c>
      <c r="B198" s="22" t="s">
        <v>9411</v>
      </c>
      <c r="C198" s="23">
        <f>COUNTIFS(Ofertas!$T$22:$T$2765,Indicadores!A198,Ofertas!$AL$22:$AL$2765,$B$192)+COUNTIFS(Ofertas!$T$22:$T$2765,Indicadores!A198,Ofertas!$AL$22:$AL$2765,$B$193)+COUNTIFS(Ofertas!$T$22:$T$2765,Indicadores!A198,Ofertas!$AL$22:$AL$2765,$B$191)+COUNTIFS(Ofertas!$T$22:$T$2765,Indicadores!A198,Ofertas!$AL$22:$AL$2765,$B$190)+COUNTIFS(Ofertas!$T$22:$T$2765,Indicadores!A198,Ofertas!$AL$22:$AL$2765,$B$189)</f>
        <v>1</v>
      </c>
      <c r="D198" s="19">
        <f t="shared" si="236"/>
        <v>1.1363636363636364E-2</v>
      </c>
      <c r="E198" s="7">
        <f>SUMIFS(Ofertas!$W$748:$W$2765,Ofertas!$T$748:$T$2765,Indicadores!A198,Ofertas!$AL$748:$AL$2765,Indicadores!$B$193)+SUMIFS(Ofertas!$W$748:$W$2765,Ofertas!$T$748:$T$2765,Indicadores!A198,Ofertas!$AL$748:$AL$2765,Indicadores!$B$192)+SUMIFS(Ofertas!$W$748:$W$2765,Ofertas!$T$748:$T$2765,Indicadores!A198,Ofertas!$AL$748:$AL$2765,Indicadores!$B$191)+SUMIFS(Ofertas!$W$748:$W$2765,Ofertas!$T$748:$T$2765,Indicadores!A198,Ofertas!$AL$748:$AL$2765,Indicadores!$B$190)+SUMIFS(Ofertas!$W$748:$W$2765,Ofertas!$T$748:$T$2765,Indicadores!A198,Ofertas!$AL$748:$AL$2765,Indicadores!$B$189)</f>
        <v>4716</v>
      </c>
      <c r="F198" s="19">
        <f t="shared" si="237"/>
        <v>2.0070860863736474E-2</v>
      </c>
      <c r="G198" s="7">
        <f>SUMIFS(Ofertas!$X$748:$X$2765,Ofertas!$T$748:$T$2765,Indicadores!A198,Ofertas!$AL$748:$AL$2765,Indicadores!$B$193)+SUMIFS(Ofertas!$X$748:$X$2765,Ofertas!$T$748:$T$2765,Indicadores!A198,Ofertas!$AL$748:$AL$2765,Indicadores!$B$192)+SUMIFS(Ofertas!$X$748:$X$2765,Ofertas!$T$748:$T$2765,Indicadores!A198,Ofertas!$AL$748:$AL$2765,Indicadores!$B$191)+SUMIFS(Ofertas!$X$748:$X$2765,Ofertas!$T$748:$T$2765,Indicadores!A198,Ofertas!$AL$748:$AL$2765,Indicadores!$B$190)+SUMIFS(Ofertas!$X$748:$X$2765,Ofertas!$T$748:$T$2765,Indicadores!A198,Ofertas!$AL$748:$AL$2765,Indicadores!$B$189)</f>
        <v>160</v>
      </c>
      <c r="H198" s="19">
        <f t="shared" si="238"/>
        <v>1.6340504945545127E-2</v>
      </c>
      <c r="J198" s="101" t="s">
        <v>168</v>
      </c>
      <c r="K198" s="22" t="s">
        <v>9411</v>
      </c>
      <c r="L198" s="23">
        <f>COUNTIFS(Ofertas!$T$748:$T$2765,Indicadores!J198,Ofertas!$AL$748:$AL$2765,$K$193,Ofertas!$L$748:$L$2765,Indicadores!$L$193)+COUNTIFS(Ofertas!$T$748:$T$2765,Indicadores!J198,Ofertas!$AL$748:$AL$2765,$K$192,Ofertas!$L$748:$L$2765,Indicadores!$L$193)+COUNTIFS(Ofertas!$T$748:$T$2765,Indicadores!J198,Ofertas!$AL$748:$AL$2765,$K$191,Ofertas!$L$748:$L$2765,Indicadores!$L$193)+COUNTIFS(Ofertas!$T$748:$T$2765,Indicadores!J198,Ofertas!$AL$748:$AL$2765,$K$190,Ofertas!$L$748:$L$2765,Indicadores!$L$193)+COUNTIFS(Ofertas!$T$748:$T$2765,Indicadores!J198,Ofertas!$AL$748:$AL$2765,$K$189,Ofertas!$L$748:$L$2765,Indicadores!$L$193)</f>
        <v>0</v>
      </c>
      <c r="M198" s="19">
        <f t="shared" si="239"/>
        <v>0</v>
      </c>
      <c r="N198" s="7">
        <f>SUMIFS(Ofertas!$W$748:$W$2765,Ofertas!$T$748:$T$2765,Indicadores!J198,Ofertas!$AL$748:$AL$2765,Indicadores!$K$193,Ofertas!$L$748:$L$2765,Indicadores!$L$193)+SUMIFS(Ofertas!$W$748:$W$2765,Ofertas!$T$748:$T$2765,Indicadores!J198,Ofertas!$AL$748:$AL$2765,Indicadores!$K$192,Ofertas!$L$748:$L$2765,Indicadores!$L$193)+SUMIFS(Ofertas!$W$748:$W$2765,Ofertas!$T$748:$T$2765,Indicadores!J198,Ofertas!$AL$748:$AL$2765,Indicadores!$K$191,Ofertas!$L$748:$L$2765,Indicadores!$L$193)+SUMIFS(Ofertas!$W$748:$W$2765,Ofertas!$T$748:$T$2765,Indicadores!J198,Ofertas!$AL$748:$AL$2765,Indicadores!$K$190,Ofertas!$L$748:$L$2765,Indicadores!$L$193)+SUMIFS(Ofertas!$W$748:$W$2765,Ofertas!$T$748:$T$2765,Indicadores!J198,Ofertas!$AL$748:$AL$2765,Indicadores!$K$189,Ofertas!$L$748:$L$2765,Indicadores!$L$193)</f>
        <v>0</v>
      </c>
      <c r="O198" s="96">
        <f t="shared" si="240"/>
        <v>0</v>
      </c>
      <c r="P198" s="7">
        <f>SUMIFS(Ofertas!$X$748:$X$2765,Ofertas!$T$748:$T$2765,Indicadores!J198,Ofertas!$AL$748:$AL$2765,Indicadores!$K$193,Ofertas!$L$748:$L$2765,Indicadores!$L$193)+SUMIFS(Ofertas!$X$748:$X$2765,Ofertas!$T$748:$T$2765,Indicadores!J198,Ofertas!$AL$748:$AL$2765,Indicadores!$K$192,Ofertas!$L$748:$L$2765,Indicadores!$L$193)+SUMIFS(Ofertas!$X$748:$X$2765,Ofertas!$T$748:$T$2765,Indicadores!J198,Ofertas!$AL$748:$AL$2765,Indicadores!$K$191,Ofertas!$L$748:$L$2765,Indicadores!$L$193)+SUMIFS(Ofertas!$X$748:$X$2765,Ofertas!$T$748:$T$2765,Indicadores!J198,Ofertas!$AL$748:$AL$2765,Indicadores!$K$190,Ofertas!$L$748:$L$2765,Indicadores!$L$193)+SUMIFS(Ofertas!$X$748:$X$2765,Ofertas!$T$748:$T$2765,Indicadores!J198,Ofertas!$AL$748:$AL$2765,Indicadores!$K$189,Ofertas!$L$748:$L$2765,Indicadores!$L$193)</f>
        <v>0</v>
      </c>
      <c r="Q198" s="19">
        <f t="shared" si="241"/>
        <v>0</v>
      </c>
      <c r="S198" s="101" t="s">
        <v>168</v>
      </c>
      <c r="T198" s="22" t="s">
        <v>9411</v>
      </c>
      <c r="U198" s="23">
        <f>COUNTIFS(Ofertas!$T$748:$T$2765,Indicadores!S198,Ofertas!$AL$748:$AL$2765,$T$193,Ofertas!$L$748:$L$2765,Indicadores!$U$193)+COUNTIFS(Ofertas!$T$748:$T$2765,Indicadores!S198,Ofertas!$AL$748:$AL$2765,$T$192,Ofertas!$L$748:$L$2765,Indicadores!$U$193)+COUNTIFS(Ofertas!$T$748:$T$2765,Indicadores!S198,Ofertas!$AL$748:$AL$2765,$T$191,Ofertas!$L$748:$L$2765,Indicadores!$U$193)+COUNTIFS(Ofertas!$T$748:$T$2765,Indicadores!S198,Ofertas!$AL$748:$AL$2765,$T$190,Ofertas!$L$748:$L$2765,Indicadores!$U$193)+COUNTIFS(Ofertas!$T$748:$T$2765,Indicadores!S198,Ofertas!$AL$748:$AL$2765,$T$189,Ofertas!$L$748:$L$2765,Indicadores!$U$193)</f>
        <v>0</v>
      </c>
      <c r="V198" s="19">
        <f t="shared" si="242"/>
        <v>0</v>
      </c>
      <c r="W198" s="7">
        <f>SUMIFS(Ofertas!$W$748:$W$2765,Ofertas!$T$748:$T$2765,Indicadores!S198,Ofertas!$AL$748:$AL$2765,Indicadores!$T$193,Ofertas!$L$748:$L$2765,Indicadores!$U$193)+SUMIFS(Ofertas!$W$748:$W$2765,Ofertas!$T$748:$T$2765,Indicadores!S198,Ofertas!$AL$748:$AL$2765,Indicadores!$T$192,Ofertas!$L$748:$L$2765,Indicadores!$U$193)+SUMIFS(Ofertas!$W$748:$W$2765,Ofertas!$T$748:$T$2765,Indicadores!S198,Ofertas!$AL$748:$AL$2765,Indicadores!$T$191,Ofertas!$L$748:$L$2765,Indicadores!$U$193)+SUMIFS(Ofertas!$W$748:$W$2765,Ofertas!$T$748:$T$2765,Indicadores!S198,Ofertas!$AL$748:$AL$2765,Indicadores!$T$190,Ofertas!$L$748:$L$2765,Indicadores!$U$193)+SUMIFS(Ofertas!$W$748:$W$2765,Ofertas!$T$748:$T$2765,Indicadores!S198,Ofertas!$AL$748:$AL$2765,Indicadores!$T$189,Ofertas!$L$748:$L$2765,Indicadores!$U$193)</f>
        <v>0</v>
      </c>
      <c r="X198" s="96">
        <f t="shared" si="243"/>
        <v>0</v>
      </c>
      <c r="Y198" s="7">
        <f>SUMIFS(Ofertas!$X$748:$X$2765,Ofertas!$T$748:$T$2765,Indicadores!S198,Ofertas!$AL$748:$AL$2765,Indicadores!$T$193,Ofertas!$L$748:$L$2765,Indicadores!$U$193)+SUMIFS(Ofertas!$X$748:$X$2765,Ofertas!$T$748:$T$2765,Indicadores!S198,Ofertas!$AL$748:$AL$2765,Indicadores!$T$192,Ofertas!$L$748:$L$2765,Indicadores!$U$193)+SUMIFS(Ofertas!$X$748:$X$2765,Ofertas!$T$748:$T$2765,Indicadores!S198,Ofertas!$AL$748:$AL$2765,Indicadores!$T$191,Ofertas!$L$748:$L$2765,Indicadores!$U$193)+SUMIFS(Ofertas!$X$748:$X$2765,Ofertas!$T$748:$T$2765,Indicadores!S198,Ofertas!$AL$748:$AL$2765,Indicadores!$T$190,Ofertas!$L$748:$L$2765,Indicadores!$U$193)+SUMIFS(Ofertas!$X$748:$X$2765,Ofertas!$T$748:$T$2765,Indicadores!S198,Ofertas!$AL$748:$AL$2765,Indicadores!$T$189,Ofertas!$L$748:$L$2765,Indicadores!$U$193)</f>
        <v>0</v>
      </c>
      <c r="Z198" s="19">
        <f t="shared" si="244"/>
        <v>0</v>
      </c>
      <c r="AB198" s="101" t="s">
        <v>168</v>
      </c>
      <c r="AC198" s="22" t="s">
        <v>9411</v>
      </c>
      <c r="AD198" s="23">
        <f>COUNTIFS(Ofertas!$T$748:$T$2765,Indicadores!AB198,Ofertas!$AL$748:$AL$2765,$AC$193,Ofertas!$L$748:$L$2765,Indicadores!$AD$193)+COUNTIFS(Ofertas!$T$748:$T$2765,Indicadores!AB198,Ofertas!$AL$748:$AL$2765,$AC$192,Ofertas!$L$748:$L$2765,Indicadores!$AD$193)+COUNTIFS(Ofertas!$T$748:$T$2765,Indicadores!AB198,Ofertas!$AL$748:$AL$2765,$AC$191,Ofertas!$L$748:$L$2765,Indicadores!$AD$193)+COUNTIFS(Ofertas!$T$748:$T$2765,Indicadores!AB198,Ofertas!$AL$748:$AL$2765,$AC$190,Ofertas!$L$748:$L$2765,Indicadores!$AD$193)+COUNTIFS(Ofertas!$T$748:$T$2765,Indicadores!AB198,Ofertas!$AL$748:$AL$2765,$AC$189,Ofertas!$L$748:$L$2765,Indicadores!$AD$193)</f>
        <v>1</v>
      </c>
      <c r="AE198" s="96">
        <f t="shared" si="245"/>
        <v>3.3333333333333333E-2</v>
      </c>
      <c r="AF198" s="7">
        <f>SUMIFS(Ofertas!$W$748:$W$2765,Ofertas!$T$748:$T$2765,Indicadores!AB198,Ofertas!$AL$748:$AL$2765,Indicadores!$AC$193,Ofertas!$L$748:$L$2765,Indicadores!$AD$193)+SUMIFS(Ofertas!$W$748:$W$2765,Ofertas!$T$748:$T$2765,Indicadores!AB198,Ofertas!$AL$748:$AL$2765,Indicadores!$AC$192,Ofertas!$L$748:$L$2765,Indicadores!$AD$193)+SUMIFS(Ofertas!$W$748:$W$2765,Ofertas!$T$748:$T$2765,Indicadores!AB198,Ofertas!$AL$748:$AL$2765,Indicadores!$AC$191,Ofertas!$L$748:$L$2765,Indicadores!$AD$193)+SUMIFS(Ofertas!$W$748:$W$2765,Ofertas!$T$748:$T$2765,Indicadores!AB198,Ofertas!$AL$748:$AL$2765,Indicadores!$AC$190,Ofertas!$L$748:$L$2765,Indicadores!$AD$193)+SUMIFS(Ofertas!$W$748:$W$2765,Ofertas!$T$748:$T$2765,Indicadores!AB198,Ofertas!$AL$748:$AL$2765,Indicadores!$AC$189,Ofertas!$L$748:$L$2765,Indicadores!$AD$193)</f>
        <v>4716</v>
      </c>
      <c r="AG198" s="96">
        <f t="shared" si="246"/>
        <v>0.17047426257952575</v>
      </c>
      <c r="AH198" s="7">
        <f>SUMIFS(Ofertas!$X$748:$X$2765,Ofertas!$T$748:$T$2765,Indicadores!AB198,Ofertas!$AL$748:$AL$2765,Indicadores!$AC$193,Ofertas!$L$748:$L$2765,Indicadores!$AD$193)+SUMIFS(Ofertas!$X$748:$X$2765,Ofertas!$T$748:$T$2765,Indicadores!AB198,Ofertas!$AL$748:$AL$2765,Indicadores!$AC$192,Ofertas!$L$748:$L$2765,Indicadores!$AD$193)+SUMIFS(Ofertas!$X$748:$X$2765,Ofertas!$T$748:$T$2765,Indicadores!AB198,Ofertas!$AL$748:$AL$2765,Indicadores!$AC$191,Ofertas!$L$748:$L$2765,Indicadores!$AD$193)+SUMIFS(Ofertas!$X$748:$X$2765,Ofertas!$T$748:$T$2765,Indicadores!AB198,Ofertas!$AL$748:$AL$2765,Indicadores!$AC$190,Ofertas!$L$748:$L$2765,Indicadores!$AD$193)+SUMIFS(Ofertas!$X$748:$X$2765,Ofertas!$T$748:$T$2765,Indicadores!AB198,Ofertas!$AL$748:$AL$2765,Indicadores!$AC$189,Ofertas!$L$748:$L$2765,Indicadores!$AD$193)</f>
        <v>160</v>
      </c>
      <c r="AI198" s="19">
        <f t="shared" si="247"/>
        <v>0.17146714755628426</v>
      </c>
      <c r="AK198" s="101" t="s">
        <v>168</v>
      </c>
      <c r="AL198" s="22" t="s">
        <v>9411</v>
      </c>
      <c r="AM198" s="23">
        <f>COUNTIFS(Ofertas!$T$748:$T$2765,Indicadores!AK198,Ofertas!$AL$748:$AL$2765,$AL$193,Ofertas!$L$748:$L$2765,Indicadores!$AM$193)+COUNTIFS(Ofertas!$T$748:$T$2765,Indicadores!AK198,Ofertas!$AL$748:$AL$2765,$AL$192,Ofertas!$L$748:$L$2765,Indicadores!$AM$193)+COUNTIFS(Ofertas!$T$748:$T$2765,Indicadores!AK198,Ofertas!$AL$748:$AL$2765,$AL$191,Ofertas!$L$748:$L$2765,Indicadores!$AM$193)+COUNTIFS(Ofertas!$T$748:$T$2765,Indicadores!AK198,Ofertas!$AL$748:$AL$2765,$AL$190,Ofertas!$L$748:$L$2765,Indicadores!$AM$193)+COUNTIFS(Ofertas!$T$748:$T$2765,Indicadores!AK198,Ofertas!$AL$748:$AL$2765,$AL$189,Ofertas!$L$748:$L$2765,Indicadores!$AM$193)</f>
        <v>0</v>
      </c>
      <c r="AN198" s="96">
        <f t="shared" si="248"/>
        <v>0</v>
      </c>
      <c r="AO198" s="7">
        <f>SUMIFS(Ofertas!$W$748:$W$2765,Ofertas!$T$748:$T$2765,Indicadores!AK198,Ofertas!$AL$748:$AL$2765,Indicadores!$AL$192,Ofertas!$L$748:$L$2765,Indicadores!$AM$193)+SUMIFS(Ofertas!$W$748:$W$2765,Ofertas!$T$748:$T$2765,Indicadores!AK198,Ofertas!$AL$748:$AL$2765,Indicadores!$AL$193,Ofertas!$L$748:$L$2765,Indicadores!$AM$193)+SUMIFS(Ofertas!$W$748:$W$2765,Ofertas!$T$748:$T$2765,Indicadores!AK198,Ofertas!$AL$748:$AL$2765,Indicadores!$AL$191,Ofertas!$L$748:$L$2765,Indicadores!$AM$193)+SUMIFS(Ofertas!$W$748:$W$2765,Ofertas!$T$748:$T$2765,Indicadores!AK198,Ofertas!$AL$748:$AL$2765,Indicadores!$AL$190,Ofertas!$L$748:$L$2765,Indicadores!$AM$193)+SUMIFS(Ofertas!$W$748:$W$2765,Ofertas!$T$748:$T$2765,Indicadores!AK198,Ofertas!$AL$748:$AL$2765,Indicadores!$AL$189,Ofertas!$L$748:$L$2765,Indicadores!$AM$193)</f>
        <v>0</v>
      </c>
      <c r="AP198" s="96">
        <f t="shared" si="249"/>
        <v>0</v>
      </c>
      <c r="AQ198" s="7">
        <f>SUMIFS(Ofertas!$X$748:$X$2765,Ofertas!$T$748:$T$2765,Indicadores!AK198,Ofertas!$AL$748:$AL$2765,Indicadores!$AL$193,Ofertas!$L$748:$L$2765,Indicadores!$AM$193)+SUMIFS(Ofertas!$X$748:$X$2765,Ofertas!$T$748:$T$2765,Indicadores!AK198,Ofertas!$AL$748:$AL$2765,Indicadores!$AL$192,Ofertas!$L$748:$L$2765,Indicadores!$AM$193)+SUMIFS(Ofertas!$X$748:$X$2765,Ofertas!$T$748:$T$2765,Indicadores!AK198,Ofertas!$AL$748:$AL$2765,Indicadores!$AL$191,Ofertas!$L$748:$L$2765,Indicadores!$AM$193)+SUMIFS(Ofertas!$X$748:$X$2765,Ofertas!$T$748:$T$2765,Indicadores!AK198,Ofertas!$AL$748:$AL$2765,Indicadores!$AL$190,Ofertas!$L$748:$L$2765,Indicadores!$AM$193)+SUMIFS(Ofertas!$X$748:$X$2765,Ofertas!$T$748:$T$2765,Indicadores!AK198,Ofertas!$AL$748:$AL$2765,Indicadores!$AL$189,Ofertas!$L$748:$L$2765,Indicadores!$AM$193)</f>
        <v>0</v>
      </c>
      <c r="AR198" s="19">
        <f t="shared" si="250"/>
        <v>0</v>
      </c>
    </row>
    <row r="199" spans="1:44" ht="13.9">
      <c r="A199" s="101" t="s">
        <v>158</v>
      </c>
      <c r="B199" s="22" t="s">
        <v>159</v>
      </c>
      <c r="C199" s="23">
        <f>COUNTIFS(Ofertas!$T$22:$T$2765,Indicadores!A199,Ofertas!$AL$22:$AL$2765,$B$192)+COUNTIFS(Ofertas!$T$22:$T$2765,Indicadores!A199,Ofertas!$AL$22:$AL$2765,$B$193)+COUNTIFS(Ofertas!$T$22:$T$2765,Indicadores!A199,Ofertas!$AL$22:$AL$2765,$B$191)+COUNTIFS(Ofertas!$T$22:$T$2765,Indicadores!A199,Ofertas!$AL$22:$AL$2765,$B$190)+COUNTIFS(Ofertas!$T$22:$T$2765,Indicadores!A199,Ofertas!$AL$22:$AL$2765,$B$189)</f>
        <v>0</v>
      </c>
      <c r="D199" s="19">
        <f t="shared" si="236"/>
        <v>0</v>
      </c>
      <c r="E199" s="7">
        <f>SUMIFS(Ofertas!$W$748:$W$2765,Ofertas!$T$748:$T$2765,Indicadores!A199,Ofertas!$AL$748:$AL$2765,Indicadores!$B$193)+SUMIFS(Ofertas!$W$748:$W$2765,Ofertas!$T$748:$T$2765,Indicadores!A199,Ofertas!$AL$748:$AL$2765,Indicadores!$B$192)+SUMIFS(Ofertas!$W$748:$W$2765,Ofertas!$T$748:$T$2765,Indicadores!A199,Ofertas!$AL$748:$AL$2765,Indicadores!$B$191)+SUMIFS(Ofertas!$W$748:$W$2765,Ofertas!$T$748:$T$2765,Indicadores!A199,Ofertas!$AL$748:$AL$2765,Indicadores!$B$190)+SUMIFS(Ofertas!$W$748:$W$2765,Ofertas!$T$748:$T$2765,Indicadores!A199,Ofertas!$AL$748:$AL$2765,Indicadores!$B$189)</f>
        <v>0</v>
      </c>
      <c r="F199" s="19">
        <f t="shared" si="237"/>
        <v>0</v>
      </c>
      <c r="G199" s="7">
        <f>SUMIFS(Ofertas!$X$748:$X$2765,Ofertas!$T$748:$T$2765,Indicadores!A199,Ofertas!$AL$748:$AL$2765,Indicadores!$B$193)+SUMIFS(Ofertas!$X$748:$X$2765,Ofertas!$T$748:$T$2765,Indicadores!A199,Ofertas!$AL$748:$AL$2765,Indicadores!$B$192)+SUMIFS(Ofertas!$X$748:$X$2765,Ofertas!$T$748:$T$2765,Indicadores!A199,Ofertas!$AL$748:$AL$2765,Indicadores!$B$191)+SUMIFS(Ofertas!$X$748:$X$2765,Ofertas!$T$748:$T$2765,Indicadores!A199,Ofertas!$AL$748:$AL$2765,Indicadores!$B$190)+SUMIFS(Ofertas!$X$748:$X$2765,Ofertas!$T$748:$T$2765,Indicadores!A199,Ofertas!$AL$748:$AL$2765,Indicadores!$B$189)</f>
        <v>0</v>
      </c>
      <c r="H199" s="19">
        <f t="shared" si="238"/>
        <v>0</v>
      </c>
      <c r="J199" s="101" t="s">
        <v>158</v>
      </c>
      <c r="K199" s="22" t="s">
        <v>159</v>
      </c>
      <c r="L199" s="23">
        <f>COUNTIFS(Ofertas!$T$748:$T$2765,Indicadores!J199,Ofertas!$AL$748:$AL$2765,$K$193,Ofertas!$L$748:$L$2765,Indicadores!$L$193)+COUNTIFS(Ofertas!$T$748:$T$2765,Indicadores!J199,Ofertas!$AL$748:$AL$2765,$K$192,Ofertas!$L$748:$L$2765,Indicadores!$L$193)+COUNTIFS(Ofertas!$T$748:$T$2765,Indicadores!J199,Ofertas!$AL$748:$AL$2765,$K$191,Ofertas!$L$748:$L$2765,Indicadores!$L$193)+COUNTIFS(Ofertas!$T$748:$T$2765,Indicadores!J199,Ofertas!$AL$748:$AL$2765,$K$190,Ofertas!$L$748:$L$2765,Indicadores!$L$193)+COUNTIFS(Ofertas!$T$748:$T$2765,Indicadores!J199,Ofertas!$AL$748:$AL$2765,$K$189,Ofertas!$L$748:$L$2765,Indicadores!$L$193)</f>
        <v>0</v>
      </c>
      <c r="M199" s="19">
        <f t="shared" si="239"/>
        <v>0</v>
      </c>
      <c r="N199" s="7">
        <f>SUMIFS(Ofertas!$W$748:$W$2765,Ofertas!$T$748:$T$2765,Indicadores!J199,Ofertas!$AL$748:$AL$2765,Indicadores!$K$193,Ofertas!$L$748:$L$2765,Indicadores!$L$193)+SUMIFS(Ofertas!$W$748:$W$2765,Ofertas!$T$748:$T$2765,Indicadores!J199,Ofertas!$AL$748:$AL$2765,Indicadores!$K$192,Ofertas!$L$748:$L$2765,Indicadores!$L$193)+SUMIFS(Ofertas!$W$748:$W$2765,Ofertas!$T$748:$T$2765,Indicadores!J199,Ofertas!$AL$748:$AL$2765,Indicadores!$K$191,Ofertas!$L$748:$L$2765,Indicadores!$L$193)+SUMIFS(Ofertas!$W$748:$W$2765,Ofertas!$T$748:$T$2765,Indicadores!J199,Ofertas!$AL$748:$AL$2765,Indicadores!$K$190,Ofertas!$L$748:$L$2765,Indicadores!$L$193)+SUMIFS(Ofertas!$W$748:$W$2765,Ofertas!$T$748:$T$2765,Indicadores!J199,Ofertas!$AL$748:$AL$2765,Indicadores!$K$189,Ofertas!$L$748:$L$2765,Indicadores!$L$193)</f>
        <v>0</v>
      </c>
      <c r="O199" s="96">
        <f t="shared" si="240"/>
        <v>0</v>
      </c>
      <c r="P199" s="7">
        <f>SUMIFS(Ofertas!$X$748:$X$2765,Ofertas!$T$748:$T$2765,Indicadores!J199,Ofertas!$AL$748:$AL$2765,Indicadores!$K$193,Ofertas!$L$748:$L$2765,Indicadores!$L$193)+SUMIFS(Ofertas!$X$748:$X$2765,Ofertas!$T$748:$T$2765,Indicadores!J199,Ofertas!$AL$748:$AL$2765,Indicadores!$K$192,Ofertas!$L$748:$L$2765,Indicadores!$L$193)+SUMIFS(Ofertas!$X$748:$X$2765,Ofertas!$T$748:$T$2765,Indicadores!J199,Ofertas!$AL$748:$AL$2765,Indicadores!$K$191,Ofertas!$L$748:$L$2765,Indicadores!$L$193)+SUMIFS(Ofertas!$X$748:$X$2765,Ofertas!$T$748:$T$2765,Indicadores!J199,Ofertas!$AL$748:$AL$2765,Indicadores!$K$190,Ofertas!$L$748:$L$2765,Indicadores!$L$193)+SUMIFS(Ofertas!$X$748:$X$2765,Ofertas!$T$748:$T$2765,Indicadores!J199,Ofertas!$AL$748:$AL$2765,Indicadores!$K$189,Ofertas!$L$748:$L$2765,Indicadores!$L$193)</f>
        <v>0</v>
      </c>
      <c r="Q199" s="19">
        <f t="shared" si="241"/>
        <v>0</v>
      </c>
      <c r="S199" s="101" t="s">
        <v>158</v>
      </c>
      <c r="T199" s="22" t="s">
        <v>159</v>
      </c>
      <c r="U199" s="23">
        <f>COUNTIFS(Ofertas!$T$748:$T$2765,Indicadores!S199,Ofertas!$AL$748:$AL$2765,$T$193,Ofertas!$L$748:$L$2765,Indicadores!$U$193)+COUNTIFS(Ofertas!$T$748:$T$2765,Indicadores!S199,Ofertas!$AL$748:$AL$2765,$T$192,Ofertas!$L$748:$L$2765,Indicadores!$U$193)+COUNTIFS(Ofertas!$T$748:$T$2765,Indicadores!S199,Ofertas!$AL$748:$AL$2765,$T$191,Ofertas!$L$748:$L$2765,Indicadores!$U$193)+COUNTIFS(Ofertas!$T$748:$T$2765,Indicadores!S199,Ofertas!$AL$748:$AL$2765,$T$190,Ofertas!$L$748:$L$2765,Indicadores!$U$193)+COUNTIFS(Ofertas!$T$748:$T$2765,Indicadores!S199,Ofertas!$AL$748:$AL$2765,$T$189,Ofertas!$L$748:$L$2765,Indicadores!$U$193)</f>
        <v>0</v>
      </c>
      <c r="V199" s="19">
        <f t="shared" si="242"/>
        <v>0</v>
      </c>
      <c r="W199" s="7">
        <f>SUMIFS(Ofertas!$W$748:$W$2765,Ofertas!$T$748:$T$2765,Indicadores!S199,Ofertas!$AL$748:$AL$2765,Indicadores!$T$193,Ofertas!$L$748:$L$2765,Indicadores!$U$193)+SUMIFS(Ofertas!$W$748:$W$2765,Ofertas!$T$748:$T$2765,Indicadores!S199,Ofertas!$AL$748:$AL$2765,Indicadores!$T$192,Ofertas!$L$748:$L$2765,Indicadores!$U$193)+SUMIFS(Ofertas!$W$748:$W$2765,Ofertas!$T$748:$T$2765,Indicadores!S199,Ofertas!$AL$748:$AL$2765,Indicadores!$T$191,Ofertas!$L$748:$L$2765,Indicadores!$U$193)+SUMIFS(Ofertas!$W$748:$W$2765,Ofertas!$T$748:$T$2765,Indicadores!S199,Ofertas!$AL$748:$AL$2765,Indicadores!$T$190,Ofertas!$L$748:$L$2765,Indicadores!$U$193)+SUMIFS(Ofertas!$W$748:$W$2765,Ofertas!$T$748:$T$2765,Indicadores!S199,Ofertas!$AL$748:$AL$2765,Indicadores!$T$189,Ofertas!$L$748:$L$2765,Indicadores!$U$193)</f>
        <v>0</v>
      </c>
      <c r="X199" s="96">
        <f t="shared" si="243"/>
        <v>0</v>
      </c>
      <c r="Y199" s="7">
        <f>SUMIFS(Ofertas!$X$748:$X$2765,Ofertas!$T$748:$T$2765,Indicadores!S199,Ofertas!$AL$748:$AL$2765,Indicadores!$T$193,Ofertas!$L$748:$L$2765,Indicadores!$U$193)+SUMIFS(Ofertas!$X$748:$X$2765,Ofertas!$T$748:$T$2765,Indicadores!S199,Ofertas!$AL$748:$AL$2765,Indicadores!$T$192,Ofertas!$L$748:$L$2765,Indicadores!$U$193)+SUMIFS(Ofertas!$X$748:$X$2765,Ofertas!$T$748:$T$2765,Indicadores!S199,Ofertas!$AL$748:$AL$2765,Indicadores!$T$191,Ofertas!$L$748:$L$2765,Indicadores!$U$193)+SUMIFS(Ofertas!$X$748:$X$2765,Ofertas!$T$748:$T$2765,Indicadores!S199,Ofertas!$AL$748:$AL$2765,Indicadores!$T$190,Ofertas!$L$748:$L$2765,Indicadores!$U$193)+SUMIFS(Ofertas!$X$748:$X$2765,Ofertas!$T$748:$T$2765,Indicadores!S199,Ofertas!$AL$748:$AL$2765,Indicadores!$T$189,Ofertas!$L$748:$L$2765,Indicadores!$U$193)</f>
        <v>0</v>
      </c>
      <c r="Z199" s="19">
        <f t="shared" si="244"/>
        <v>0</v>
      </c>
      <c r="AB199" s="101" t="s">
        <v>158</v>
      </c>
      <c r="AC199" s="22" t="s">
        <v>159</v>
      </c>
      <c r="AD199" s="23">
        <f>COUNTIFS(Ofertas!$T$748:$T$2765,Indicadores!AB199,Ofertas!$AL$748:$AL$2765,$AC$193,Ofertas!$L$748:$L$2765,Indicadores!$AD$193)+COUNTIFS(Ofertas!$T$748:$T$2765,Indicadores!AB199,Ofertas!$AL$748:$AL$2765,$AC$192,Ofertas!$L$748:$L$2765,Indicadores!$AD$193)+COUNTIFS(Ofertas!$T$748:$T$2765,Indicadores!AB199,Ofertas!$AL$748:$AL$2765,$AC$191,Ofertas!$L$748:$L$2765,Indicadores!$AD$193)+COUNTIFS(Ofertas!$T$748:$T$2765,Indicadores!AB199,Ofertas!$AL$748:$AL$2765,$AC$190,Ofertas!$L$748:$L$2765,Indicadores!$AD$193)+COUNTIFS(Ofertas!$T$748:$T$2765,Indicadores!AB199,Ofertas!$AL$748:$AL$2765,$AC$189,Ofertas!$L$748:$L$2765,Indicadores!$AD$193)</f>
        <v>0</v>
      </c>
      <c r="AE199" s="96">
        <f t="shared" si="245"/>
        <v>0</v>
      </c>
      <c r="AF199" s="7">
        <f>SUMIFS(Ofertas!$W$748:$W$2765,Ofertas!$T$748:$T$2765,Indicadores!AB199,Ofertas!$AL$748:$AL$2765,Indicadores!$AC$193,Ofertas!$L$748:$L$2765,Indicadores!$AD$193)+SUMIFS(Ofertas!$W$748:$W$2765,Ofertas!$T$748:$T$2765,Indicadores!AB199,Ofertas!$AL$748:$AL$2765,Indicadores!$AC$192,Ofertas!$L$748:$L$2765,Indicadores!$AD$193)+SUMIFS(Ofertas!$W$748:$W$2765,Ofertas!$T$748:$T$2765,Indicadores!AB199,Ofertas!$AL$748:$AL$2765,Indicadores!$AC$191,Ofertas!$L$748:$L$2765,Indicadores!$AD$193)+SUMIFS(Ofertas!$W$748:$W$2765,Ofertas!$T$748:$T$2765,Indicadores!AB199,Ofertas!$AL$748:$AL$2765,Indicadores!$AC$190,Ofertas!$L$748:$L$2765,Indicadores!$AD$193)+SUMIFS(Ofertas!$W$748:$W$2765,Ofertas!$T$748:$T$2765,Indicadores!AB199,Ofertas!$AL$748:$AL$2765,Indicadores!$AC$189,Ofertas!$L$748:$L$2765,Indicadores!$AD$193)</f>
        <v>0</v>
      </c>
      <c r="AG199" s="96">
        <f t="shared" si="246"/>
        <v>0</v>
      </c>
      <c r="AH199" s="7">
        <f>SUMIFS(Ofertas!$X$748:$X$2765,Ofertas!$T$748:$T$2765,Indicadores!AB199,Ofertas!$AL$748:$AL$2765,Indicadores!$AC$193,Ofertas!$L$748:$L$2765,Indicadores!$AD$193)+SUMIFS(Ofertas!$X$748:$X$2765,Ofertas!$T$748:$T$2765,Indicadores!AB199,Ofertas!$AL$748:$AL$2765,Indicadores!$AC$192,Ofertas!$L$748:$L$2765,Indicadores!$AD$193)+SUMIFS(Ofertas!$X$748:$X$2765,Ofertas!$T$748:$T$2765,Indicadores!AB199,Ofertas!$AL$748:$AL$2765,Indicadores!$AC$191,Ofertas!$L$748:$L$2765,Indicadores!$AD$193)+SUMIFS(Ofertas!$X$748:$X$2765,Ofertas!$T$748:$T$2765,Indicadores!AB199,Ofertas!$AL$748:$AL$2765,Indicadores!$AC$190,Ofertas!$L$748:$L$2765,Indicadores!$AD$193)+SUMIFS(Ofertas!$X$748:$X$2765,Ofertas!$T$748:$T$2765,Indicadores!AB199,Ofertas!$AL$748:$AL$2765,Indicadores!$AC$189,Ofertas!$L$748:$L$2765,Indicadores!$AD$193)</f>
        <v>0</v>
      </c>
      <c r="AI199" s="19">
        <f t="shared" si="247"/>
        <v>0</v>
      </c>
      <c r="AK199" s="101" t="s">
        <v>158</v>
      </c>
      <c r="AL199" s="22" t="s">
        <v>159</v>
      </c>
      <c r="AM199" s="23">
        <f>COUNTIFS(Ofertas!$T$748:$T$2765,Indicadores!AK199,Ofertas!$AL$748:$AL$2765,$AL$193,Ofertas!$L$748:$L$2765,Indicadores!$AM$193)+COUNTIFS(Ofertas!$T$748:$T$2765,Indicadores!AK199,Ofertas!$AL$748:$AL$2765,$AL$192,Ofertas!$L$748:$L$2765,Indicadores!$AM$193)+COUNTIFS(Ofertas!$T$748:$T$2765,Indicadores!AK199,Ofertas!$AL$748:$AL$2765,$AL$191,Ofertas!$L$748:$L$2765,Indicadores!$AM$193)+COUNTIFS(Ofertas!$T$748:$T$2765,Indicadores!AK199,Ofertas!$AL$748:$AL$2765,$AL$190,Ofertas!$L$748:$L$2765,Indicadores!$AM$193)+COUNTIFS(Ofertas!$T$748:$T$2765,Indicadores!AK199,Ofertas!$AL$748:$AL$2765,$AL$189,Ofertas!$L$748:$L$2765,Indicadores!$AM$193)</f>
        <v>0</v>
      </c>
      <c r="AN199" s="96">
        <f t="shared" si="248"/>
        <v>0</v>
      </c>
      <c r="AO199" s="7">
        <f>SUMIFS(Ofertas!$W$748:$W$2765,Ofertas!$T$748:$T$2765,Indicadores!AK199,Ofertas!$AL$748:$AL$2765,Indicadores!$AL$192,Ofertas!$L$748:$L$2765,Indicadores!$AM$193)+SUMIFS(Ofertas!$W$748:$W$2765,Ofertas!$T$748:$T$2765,Indicadores!AK199,Ofertas!$AL$748:$AL$2765,Indicadores!$AL$193,Ofertas!$L$748:$L$2765,Indicadores!$AM$193)+SUMIFS(Ofertas!$W$748:$W$2765,Ofertas!$T$748:$T$2765,Indicadores!AK199,Ofertas!$AL$748:$AL$2765,Indicadores!$AL$191,Ofertas!$L$748:$L$2765,Indicadores!$AM$193)+SUMIFS(Ofertas!$W$748:$W$2765,Ofertas!$T$748:$T$2765,Indicadores!AK199,Ofertas!$AL$748:$AL$2765,Indicadores!$AL$190,Ofertas!$L$748:$L$2765,Indicadores!$AM$193)+SUMIFS(Ofertas!$W$748:$W$2765,Ofertas!$T$748:$T$2765,Indicadores!AK199,Ofertas!$AL$748:$AL$2765,Indicadores!$AL$189,Ofertas!$L$748:$L$2765,Indicadores!$AM$193)</f>
        <v>0</v>
      </c>
      <c r="AP199" s="96">
        <f t="shared" si="249"/>
        <v>0</v>
      </c>
      <c r="AQ199" s="7">
        <f>SUMIFS(Ofertas!$X$748:$X$2765,Ofertas!$T$748:$T$2765,Indicadores!AK199,Ofertas!$AL$748:$AL$2765,Indicadores!$AL$193,Ofertas!$L$748:$L$2765,Indicadores!$AM$193)+SUMIFS(Ofertas!$X$748:$X$2765,Ofertas!$T$748:$T$2765,Indicadores!AK199,Ofertas!$AL$748:$AL$2765,Indicadores!$AL$192,Ofertas!$L$748:$L$2765,Indicadores!$AM$193)+SUMIFS(Ofertas!$X$748:$X$2765,Ofertas!$T$748:$T$2765,Indicadores!AK199,Ofertas!$AL$748:$AL$2765,Indicadores!$AL$191,Ofertas!$L$748:$L$2765,Indicadores!$AM$193)+SUMIFS(Ofertas!$X$748:$X$2765,Ofertas!$T$748:$T$2765,Indicadores!AK199,Ofertas!$AL$748:$AL$2765,Indicadores!$AL$190,Ofertas!$L$748:$L$2765,Indicadores!$AM$193)+SUMIFS(Ofertas!$X$748:$X$2765,Ofertas!$T$748:$T$2765,Indicadores!AK199,Ofertas!$AL$748:$AL$2765,Indicadores!$AL$189,Ofertas!$L$748:$L$2765,Indicadores!$AM$193)</f>
        <v>0</v>
      </c>
      <c r="AR199" s="19">
        <f t="shared" si="250"/>
        <v>0</v>
      </c>
    </row>
    <row r="200" spans="1:44" ht="13.9">
      <c r="A200" s="101" t="s">
        <v>64</v>
      </c>
      <c r="B200" s="22" t="s">
        <v>9412</v>
      </c>
      <c r="C200" s="23">
        <f>COUNTIFS(Ofertas!$T$22:$T$2765,Indicadores!A200,Ofertas!$AL$22:$AL$2765,$B$192)+COUNTIFS(Ofertas!$T$22:$T$2765,Indicadores!A200,Ofertas!$AL$22:$AL$2765,$B$193)+COUNTIFS(Ofertas!$T$22:$T$2765,Indicadores!A200,Ofertas!$AL$22:$AL$2765,$B$191)+COUNTIFS(Ofertas!$T$22:$T$2765,Indicadores!A200,Ofertas!$AL$22:$AL$2765,$B$190)+COUNTIFS(Ofertas!$T$22:$T$2765,Indicadores!A200,Ofertas!$AL$22:$AL$2765,$B$189)</f>
        <v>0</v>
      </c>
      <c r="D200" s="19">
        <f t="shared" si="236"/>
        <v>0</v>
      </c>
      <c r="E200" s="7">
        <f>SUMIFS(Ofertas!$W$748:$W$2765,Ofertas!$T$748:$T$2765,Indicadores!A200,Ofertas!$AL$748:$AL$2765,Indicadores!$B$193)+SUMIFS(Ofertas!$W$748:$W$2765,Ofertas!$T$748:$T$2765,Indicadores!A200,Ofertas!$AL$748:$AL$2765,Indicadores!$B$192)+SUMIFS(Ofertas!$W$748:$W$2765,Ofertas!$T$748:$T$2765,Indicadores!A200,Ofertas!$AL$748:$AL$2765,Indicadores!$B$191)+SUMIFS(Ofertas!$W$748:$W$2765,Ofertas!$T$748:$T$2765,Indicadores!A200,Ofertas!$AL$748:$AL$2765,Indicadores!$B$190)+SUMIFS(Ofertas!$W$748:$W$2765,Ofertas!$T$748:$T$2765,Indicadores!A200,Ofertas!$AL$748:$AL$2765,Indicadores!$B$189)</f>
        <v>0</v>
      </c>
      <c r="F200" s="19">
        <f t="shared" si="237"/>
        <v>0</v>
      </c>
      <c r="G200" s="7">
        <f>SUMIFS(Ofertas!$X$748:$X$2765,Ofertas!$T$748:$T$2765,Indicadores!A200,Ofertas!$AL$748:$AL$2765,Indicadores!$B$193)+SUMIFS(Ofertas!$X$748:$X$2765,Ofertas!$T$748:$T$2765,Indicadores!A200,Ofertas!$AL$748:$AL$2765,Indicadores!$B$192)+SUMIFS(Ofertas!$X$748:$X$2765,Ofertas!$T$748:$T$2765,Indicadores!A200,Ofertas!$AL$748:$AL$2765,Indicadores!$B$191)+SUMIFS(Ofertas!$X$748:$X$2765,Ofertas!$T$748:$T$2765,Indicadores!A200,Ofertas!$AL$748:$AL$2765,Indicadores!$B$190)+SUMIFS(Ofertas!$X$748:$X$2765,Ofertas!$T$748:$T$2765,Indicadores!A200,Ofertas!$AL$748:$AL$2765,Indicadores!$B$189)</f>
        <v>0</v>
      </c>
      <c r="H200" s="19">
        <f t="shared" si="238"/>
        <v>0</v>
      </c>
      <c r="J200" s="101" t="s">
        <v>64</v>
      </c>
      <c r="K200" s="22" t="s">
        <v>9412</v>
      </c>
      <c r="L200" s="23">
        <f>COUNTIFS(Ofertas!$T$748:$T$2765,Indicadores!J200,Ofertas!$AL$748:$AL$2765,$K$193,Ofertas!$L$748:$L$2765,Indicadores!$L$193)+COUNTIFS(Ofertas!$T$748:$T$2765,Indicadores!J200,Ofertas!$AL$748:$AL$2765,$K$192,Ofertas!$L$748:$L$2765,Indicadores!$L$193)+COUNTIFS(Ofertas!$T$748:$T$2765,Indicadores!J200,Ofertas!$AL$748:$AL$2765,$K$191,Ofertas!$L$748:$L$2765,Indicadores!$L$193)+COUNTIFS(Ofertas!$T$748:$T$2765,Indicadores!J200,Ofertas!$AL$748:$AL$2765,$K$190,Ofertas!$L$748:$L$2765,Indicadores!$L$193)+COUNTIFS(Ofertas!$T$748:$T$2765,Indicadores!J200,Ofertas!$AL$748:$AL$2765,$K$189,Ofertas!$L$748:$L$2765,Indicadores!$L$193)</f>
        <v>0</v>
      </c>
      <c r="M200" s="19">
        <f t="shared" si="239"/>
        <v>0</v>
      </c>
      <c r="N200" s="7">
        <f>SUMIFS(Ofertas!$W$748:$W$2765,Ofertas!$T$748:$T$2765,Indicadores!J200,Ofertas!$AL$748:$AL$2765,Indicadores!$K$193,Ofertas!$L$748:$L$2765,Indicadores!$L$193)+SUMIFS(Ofertas!$W$748:$W$2765,Ofertas!$T$748:$T$2765,Indicadores!J200,Ofertas!$AL$748:$AL$2765,Indicadores!$K$192,Ofertas!$L$748:$L$2765,Indicadores!$L$193)+SUMIFS(Ofertas!$W$748:$W$2765,Ofertas!$T$748:$T$2765,Indicadores!J200,Ofertas!$AL$748:$AL$2765,Indicadores!$K$191,Ofertas!$L$748:$L$2765,Indicadores!$L$193)+SUMIFS(Ofertas!$W$748:$W$2765,Ofertas!$T$748:$T$2765,Indicadores!J200,Ofertas!$AL$748:$AL$2765,Indicadores!$K$190,Ofertas!$L$748:$L$2765,Indicadores!$L$193)+SUMIFS(Ofertas!$W$748:$W$2765,Ofertas!$T$748:$T$2765,Indicadores!J200,Ofertas!$AL$748:$AL$2765,Indicadores!$K$189,Ofertas!$L$748:$L$2765,Indicadores!$L$193)</f>
        <v>0</v>
      </c>
      <c r="O200" s="96">
        <f t="shared" si="240"/>
        <v>0</v>
      </c>
      <c r="P200" s="7">
        <f>SUMIFS(Ofertas!$X$748:$X$2765,Ofertas!$T$748:$T$2765,Indicadores!J200,Ofertas!$AL$748:$AL$2765,Indicadores!$K$193,Ofertas!$L$748:$L$2765,Indicadores!$L$193)+SUMIFS(Ofertas!$X$748:$X$2765,Ofertas!$T$748:$T$2765,Indicadores!J200,Ofertas!$AL$748:$AL$2765,Indicadores!$K$192,Ofertas!$L$748:$L$2765,Indicadores!$L$193)+SUMIFS(Ofertas!$X$748:$X$2765,Ofertas!$T$748:$T$2765,Indicadores!J200,Ofertas!$AL$748:$AL$2765,Indicadores!$K$191,Ofertas!$L$748:$L$2765,Indicadores!$L$193)+SUMIFS(Ofertas!$X$748:$X$2765,Ofertas!$T$748:$T$2765,Indicadores!J200,Ofertas!$AL$748:$AL$2765,Indicadores!$K$190,Ofertas!$L$748:$L$2765,Indicadores!$L$193)+SUMIFS(Ofertas!$X$748:$X$2765,Ofertas!$T$748:$T$2765,Indicadores!J200,Ofertas!$AL$748:$AL$2765,Indicadores!$K$189,Ofertas!$L$748:$L$2765,Indicadores!$L$193)</f>
        <v>0</v>
      </c>
      <c r="Q200" s="19">
        <f t="shared" si="241"/>
        <v>0</v>
      </c>
      <c r="S200" s="101" t="s">
        <v>64</v>
      </c>
      <c r="T200" s="22" t="s">
        <v>9412</v>
      </c>
      <c r="U200" s="23">
        <f>COUNTIFS(Ofertas!$T$748:$T$2765,Indicadores!S200,Ofertas!$AL$748:$AL$2765,$T$193,Ofertas!$L$748:$L$2765,Indicadores!$U$193)+COUNTIFS(Ofertas!$T$748:$T$2765,Indicadores!S200,Ofertas!$AL$748:$AL$2765,$T$192,Ofertas!$L$748:$L$2765,Indicadores!$U$193)+COUNTIFS(Ofertas!$T$748:$T$2765,Indicadores!S200,Ofertas!$AL$748:$AL$2765,$T$191,Ofertas!$L$748:$L$2765,Indicadores!$U$193)+COUNTIFS(Ofertas!$T$748:$T$2765,Indicadores!S200,Ofertas!$AL$748:$AL$2765,$T$190,Ofertas!$L$748:$L$2765,Indicadores!$U$193)+COUNTIFS(Ofertas!$T$748:$T$2765,Indicadores!S200,Ofertas!$AL$748:$AL$2765,$T$189,Ofertas!$L$748:$L$2765,Indicadores!$U$193)</f>
        <v>0</v>
      </c>
      <c r="V200" s="19">
        <f t="shared" si="242"/>
        <v>0</v>
      </c>
      <c r="W200" s="7">
        <f>SUMIFS(Ofertas!$W$748:$W$2765,Ofertas!$T$748:$T$2765,Indicadores!S200,Ofertas!$AL$748:$AL$2765,Indicadores!$T$193,Ofertas!$L$748:$L$2765,Indicadores!$U$193)+SUMIFS(Ofertas!$W$748:$W$2765,Ofertas!$T$748:$T$2765,Indicadores!S200,Ofertas!$AL$748:$AL$2765,Indicadores!$T$192,Ofertas!$L$748:$L$2765,Indicadores!$U$193)+SUMIFS(Ofertas!$W$748:$W$2765,Ofertas!$T$748:$T$2765,Indicadores!S200,Ofertas!$AL$748:$AL$2765,Indicadores!$T$191,Ofertas!$L$748:$L$2765,Indicadores!$U$193)+SUMIFS(Ofertas!$W$748:$W$2765,Ofertas!$T$748:$T$2765,Indicadores!S200,Ofertas!$AL$748:$AL$2765,Indicadores!$T$190,Ofertas!$L$748:$L$2765,Indicadores!$U$193)+SUMIFS(Ofertas!$W$748:$W$2765,Ofertas!$T$748:$T$2765,Indicadores!S200,Ofertas!$AL$748:$AL$2765,Indicadores!$T$189,Ofertas!$L$748:$L$2765,Indicadores!$U$193)</f>
        <v>0</v>
      </c>
      <c r="X200" s="96">
        <f t="shared" si="243"/>
        <v>0</v>
      </c>
      <c r="Y200" s="7">
        <f>SUMIFS(Ofertas!$X$748:$X$2765,Ofertas!$T$748:$T$2765,Indicadores!S200,Ofertas!$AL$748:$AL$2765,Indicadores!$T$193,Ofertas!$L$748:$L$2765,Indicadores!$U$193)+SUMIFS(Ofertas!$X$748:$X$2765,Ofertas!$T$748:$T$2765,Indicadores!S200,Ofertas!$AL$748:$AL$2765,Indicadores!$T$192,Ofertas!$L$748:$L$2765,Indicadores!$U$193)+SUMIFS(Ofertas!$X$748:$X$2765,Ofertas!$T$748:$T$2765,Indicadores!S200,Ofertas!$AL$748:$AL$2765,Indicadores!$T$191,Ofertas!$L$748:$L$2765,Indicadores!$U$193)+SUMIFS(Ofertas!$X$748:$X$2765,Ofertas!$T$748:$T$2765,Indicadores!S200,Ofertas!$AL$748:$AL$2765,Indicadores!$T$190,Ofertas!$L$748:$L$2765,Indicadores!$U$193)+SUMIFS(Ofertas!$X$748:$X$2765,Ofertas!$T$748:$T$2765,Indicadores!S200,Ofertas!$AL$748:$AL$2765,Indicadores!$T$189,Ofertas!$L$748:$L$2765,Indicadores!$U$193)</f>
        <v>0</v>
      </c>
      <c r="Z200" s="19">
        <f t="shared" si="244"/>
        <v>0</v>
      </c>
      <c r="AB200" s="101" t="s">
        <v>64</v>
      </c>
      <c r="AC200" s="22" t="s">
        <v>9412</v>
      </c>
      <c r="AD200" s="23">
        <f>COUNTIFS(Ofertas!$T$748:$T$2765,Indicadores!AB200,Ofertas!$AL$748:$AL$2765,$AC$193,Ofertas!$L$748:$L$2765,Indicadores!$AD$193)+COUNTIFS(Ofertas!$T$748:$T$2765,Indicadores!AB200,Ofertas!$AL$748:$AL$2765,$AC$192,Ofertas!$L$748:$L$2765,Indicadores!$AD$193)+COUNTIFS(Ofertas!$T$748:$T$2765,Indicadores!AB200,Ofertas!$AL$748:$AL$2765,$AC$191,Ofertas!$L$748:$L$2765,Indicadores!$AD$193)+COUNTIFS(Ofertas!$T$748:$T$2765,Indicadores!AB200,Ofertas!$AL$748:$AL$2765,$AC$190,Ofertas!$L$748:$L$2765,Indicadores!$AD$193)+COUNTIFS(Ofertas!$T$748:$T$2765,Indicadores!AB200,Ofertas!$AL$748:$AL$2765,$AC$189,Ofertas!$L$748:$L$2765,Indicadores!$AD$193)</f>
        <v>0</v>
      </c>
      <c r="AE200" s="96">
        <f t="shared" si="245"/>
        <v>0</v>
      </c>
      <c r="AF200" s="7">
        <f>SUMIFS(Ofertas!$W$748:$W$2765,Ofertas!$T$748:$T$2765,Indicadores!AB200,Ofertas!$AL$748:$AL$2765,Indicadores!$AC$193,Ofertas!$L$748:$L$2765,Indicadores!$AD$193)+SUMIFS(Ofertas!$W$748:$W$2765,Ofertas!$T$748:$T$2765,Indicadores!AB200,Ofertas!$AL$748:$AL$2765,Indicadores!$AC$192,Ofertas!$L$748:$L$2765,Indicadores!$AD$193)+SUMIFS(Ofertas!$W$748:$W$2765,Ofertas!$T$748:$T$2765,Indicadores!AB200,Ofertas!$AL$748:$AL$2765,Indicadores!$AC$191,Ofertas!$L$748:$L$2765,Indicadores!$AD$193)+SUMIFS(Ofertas!$W$748:$W$2765,Ofertas!$T$748:$T$2765,Indicadores!AB200,Ofertas!$AL$748:$AL$2765,Indicadores!$AC$190,Ofertas!$L$748:$L$2765,Indicadores!$AD$193)+SUMIFS(Ofertas!$W$748:$W$2765,Ofertas!$T$748:$T$2765,Indicadores!AB200,Ofertas!$AL$748:$AL$2765,Indicadores!$AC$189,Ofertas!$L$748:$L$2765,Indicadores!$AD$193)</f>
        <v>0</v>
      </c>
      <c r="AG200" s="96">
        <f t="shared" si="246"/>
        <v>0</v>
      </c>
      <c r="AH200" s="7">
        <f>SUMIFS(Ofertas!$X$748:$X$2765,Ofertas!$T$748:$T$2765,Indicadores!AB200,Ofertas!$AL$748:$AL$2765,Indicadores!$AC$193,Ofertas!$L$748:$L$2765,Indicadores!$AD$193)+SUMIFS(Ofertas!$X$748:$X$2765,Ofertas!$T$748:$T$2765,Indicadores!AB200,Ofertas!$AL$748:$AL$2765,Indicadores!$AC$192,Ofertas!$L$748:$L$2765,Indicadores!$AD$193)+SUMIFS(Ofertas!$X$748:$X$2765,Ofertas!$T$748:$T$2765,Indicadores!AB200,Ofertas!$AL$748:$AL$2765,Indicadores!$AC$191,Ofertas!$L$748:$L$2765,Indicadores!$AD$193)+SUMIFS(Ofertas!$X$748:$X$2765,Ofertas!$T$748:$T$2765,Indicadores!AB200,Ofertas!$AL$748:$AL$2765,Indicadores!$AC$190,Ofertas!$L$748:$L$2765,Indicadores!$AD$193)+SUMIFS(Ofertas!$X$748:$X$2765,Ofertas!$T$748:$T$2765,Indicadores!AB200,Ofertas!$AL$748:$AL$2765,Indicadores!$AC$189,Ofertas!$L$748:$L$2765,Indicadores!$AD$193)</f>
        <v>0</v>
      </c>
      <c r="AI200" s="19">
        <f t="shared" si="247"/>
        <v>0</v>
      </c>
      <c r="AK200" s="101" t="s">
        <v>64</v>
      </c>
      <c r="AL200" s="22" t="s">
        <v>9412</v>
      </c>
      <c r="AM200" s="23">
        <f>COUNTIFS(Ofertas!$T$748:$T$2765,Indicadores!AK200,Ofertas!$AL$748:$AL$2765,$AL$193,Ofertas!$L$748:$L$2765,Indicadores!$AM$193)+COUNTIFS(Ofertas!$T$748:$T$2765,Indicadores!AK200,Ofertas!$AL$748:$AL$2765,$AL$192,Ofertas!$L$748:$L$2765,Indicadores!$AM$193)+COUNTIFS(Ofertas!$T$748:$T$2765,Indicadores!AK200,Ofertas!$AL$748:$AL$2765,$AL$191,Ofertas!$L$748:$L$2765,Indicadores!$AM$193)+COUNTIFS(Ofertas!$T$748:$T$2765,Indicadores!AK200,Ofertas!$AL$748:$AL$2765,$AL$190,Ofertas!$L$748:$L$2765,Indicadores!$AM$193)+COUNTIFS(Ofertas!$T$748:$T$2765,Indicadores!AK200,Ofertas!$AL$748:$AL$2765,$AL$189,Ofertas!$L$748:$L$2765,Indicadores!$AM$193)</f>
        <v>0</v>
      </c>
      <c r="AN200" s="96">
        <f t="shared" si="248"/>
        <v>0</v>
      </c>
      <c r="AO200" s="7">
        <f>SUMIFS(Ofertas!$W$748:$W$2765,Ofertas!$T$748:$T$2765,Indicadores!AK200,Ofertas!$AL$748:$AL$2765,Indicadores!$AL$192,Ofertas!$L$748:$L$2765,Indicadores!$AM$193)+SUMIFS(Ofertas!$W$748:$W$2765,Ofertas!$T$748:$T$2765,Indicadores!AK200,Ofertas!$AL$748:$AL$2765,Indicadores!$AL$193,Ofertas!$L$748:$L$2765,Indicadores!$AM$193)+SUMIFS(Ofertas!$W$748:$W$2765,Ofertas!$T$748:$T$2765,Indicadores!AK200,Ofertas!$AL$748:$AL$2765,Indicadores!$AL$191,Ofertas!$L$748:$L$2765,Indicadores!$AM$193)+SUMIFS(Ofertas!$W$748:$W$2765,Ofertas!$T$748:$T$2765,Indicadores!AK200,Ofertas!$AL$748:$AL$2765,Indicadores!$AL$190,Ofertas!$L$748:$L$2765,Indicadores!$AM$193)+SUMIFS(Ofertas!$W$748:$W$2765,Ofertas!$T$748:$T$2765,Indicadores!AK200,Ofertas!$AL$748:$AL$2765,Indicadores!$AL$189,Ofertas!$L$748:$L$2765,Indicadores!$AM$193)</f>
        <v>0</v>
      </c>
      <c r="AP200" s="96">
        <f t="shared" si="249"/>
        <v>0</v>
      </c>
      <c r="AQ200" s="7">
        <f>SUMIFS(Ofertas!$X$748:$X$2765,Ofertas!$T$748:$T$2765,Indicadores!AK200,Ofertas!$AL$748:$AL$2765,Indicadores!$AL$193,Ofertas!$L$748:$L$2765,Indicadores!$AM$193)+SUMIFS(Ofertas!$X$748:$X$2765,Ofertas!$T$748:$T$2765,Indicadores!AK200,Ofertas!$AL$748:$AL$2765,Indicadores!$AL$192,Ofertas!$L$748:$L$2765,Indicadores!$AM$193)+SUMIFS(Ofertas!$X$748:$X$2765,Ofertas!$T$748:$T$2765,Indicadores!AK200,Ofertas!$AL$748:$AL$2765,Indicadores!$AL$191,Ofertas!$L$748:$L$2765,Indicadores!$AM$193)+SUMIFS(Ofertas!$X$748:$X$2765,Ofertas!$T$748:$T$2765,Indicadores!AK200,Ofertas!$AL$748:$AL$2765,Indicadores!$AL$190,Ofertas!$L$748:$L$2765,Indicadores!$AM$193)+SUMIFS(Ofertas!$X$748:$X$2765,Ofertas!$T$748:$T$2765,Indicadores!AK200,Ofertas!$AL$748:$AL$2765,Indicadores!$AL$189,Ofertas!$L$748:$L$2765,Indicadores!$AM$193)</f>
        <v>0</v>
      </c>
      <c r="AR200" s="19">
        <f t="shared" si="250"/>
        <v>0</v>
      </c>
    </row>
    <row r="201" spans="1:44" s="97" customFormat="1"/>
    <row r="202" spans="1:44" s="97" customFormat="1">
      <c r="L202" s="97" t="s">
        <v>9415</v>
      </c>
      <c r="M202" s="115" t="s">
        <v>9416</v>
      </c>
      <c r="U202" s="97" t="s">
        <v>9415</v>
      </c>
      <c r="V202" s="115">
        <v>0.1</v>
      </c>
      <c r="AD202" s="97" t="s">
        <v>9415</v>
      </c>
      <c r="AE202" s="115">
        <v>0.3</v>
      </c>
    </row>
    <row r="203" spans="1:44" s="97" customFormat="1" ht="13.9">
      <c r="B203" s="98"/>
    </row>
    <row r="204" spans="1:44" s="97" customFormat="1" ht="13.9">
      <c r="B204" s="98"/>
      <c r="K204" s="97">
        <v>12</v>
      </c>
      <c r="T204" s="97">
        <v>12</v>
      </c>
      <c r="AC204" s="97">
        <v>12</v>
      </c>
      <c r="AL204" s="97">
        <v>12</v>
      </c>
    </row>
    <row r="205" spans="1:44" s="97" customFormat="1" ht="13.9">
      <c r="B205" s="98">
        <v>12</v>
      </c>
      <c r="K205" s="97">
        <v>11</v>
      </c>
      <c r="T205" s="97">
        <v>11</v>
      </c>
      <c r="AC205" s="97">
        <v>11</v>
      </c>
      <c r="AL205" s="97">
        <v>11</v>
      </c>
    </row>
    <row r="206" spans="1:44" s="97" customFormat="1" ht="13.9">
      <c r="B206" s="98">
        <v>11</v>
      </c>
      <c r="K206" s="97">
        <v>10</v>
      </c>
      <c r="T206" s="97">
        <v>10</v>
      </c>
      <c r="AC206" s="97">
        <v>10</v>
      </c>
      <c r="AL206" s="97">
        <v>10</v>
      </c>
    </row>
    <row r="207" spans="1:44" s="97" customFormat="1" ht="13.9">
      <c r="B207" s="98">
        <v>10</v>
      </c>
      <c r="K207" s="97">
        <v>9</v>
      </c>
      <c r="T207" s="97">
        <v>9</v>
      </c>
      <c r="AC207" s="97">
        <v>9</v>
      </c>
      <c r="AL207" s="97">
        <v>9</v>
      </c>
    </row>
    <row r="208" spans="1:44" s="97" customFormat="1" ht="13.9">
      <c r="B208" s="98">
        <v>9</v>
      </c>
      <c r="K208" s="97">
        <v>8</v>
      </c>
      <c r="T208" s="97">
        <v>8</v>
      </c>
      <c r="AC208" s="97">
        <v>8</v>
      </c>
      <c r="AL208" s="97">
        <v>8</v>
      </c>
    </row>
    <row r="209" spans="1:44" s="97" customFormat="1" ht="13.9">
      <c r="B209" s="98">
        <v>8</v>
      </c>
      <c r="K209" s="97">
        <v>7</v>
      </c>
      <c r="T209" s="97">
        <v>7</v>
      </c>
      <c r="AC209" s="97">
        <v>7</v>
      </c>
      <c r="AL209" s="97">
        <v>7</v>
      </c>
    </row>
    <row r="210" spans="1:44" s="97" customFormat="1" ht="13.9">
      <c r="B210" s="98">
        <v>7</v>
      </c>
      <c r="K210" s="97">
        <v>6</v>
      </c>
      <c r="T210" s="97">
        <v>6</v>
      </c>
      <c r="AC210" s="97">
        <v>6</v>
      </c>
      <c r="AL210" s="97">
        <v>6</v>
      </c>
    </row>
    <row r="211" spans="1:44" s="97" customFormat="1" ht="13.9">
      <c r="B211" s="98">
        <v>6</v>
      </c>
      <c r="K211" s="97">
        <v>5</v>
      </c>
      <c r="T211" s="97">
        <v>5</v>
      </c>
      <c r="AC211" s="97">
        <v>5</v>
      </c>
      <c r="AL211" s="97">
        <v>5</v>
      </c>
    </row>
    <row r="212" spans="1:44" s="97" customFormat="1" ht="13.9">
      <c r="B212" s="98">
        <v>5</v>
      </c>
      <c r="K212" s="97">
        <v>4</v>
      </c>
      <c r="T212" s="97">
        <v>4</v>
      </c>
      <c r="AC212" s="97">
        <v>4</v>
      </c>
      <c r="AL212" s="97">
        <v>4</v>
      </c>
    </row>
    <row r="213" spans="1:44" s="97" customFormat="1" ht="13.9">
      <c r="B213" s="98">
        <v>4</v>
      </c>
      <c r="K213" s="97">
        <v>3</v>
      </c>
      <c r="T213" s="97">
        <v>3</v>
      </c>
      <c r="AC213" s="97">
        <v>3</v>
      </c>
      <c r="AL213" s="97">
        <v>3</v>
      </c>
    </row>
    <row r="214" spans="1:44" s="97" customFormat="1" ht="13.9">
      <c r="B214" s="98">
        <v>3</v>
      </c>
      <c r="K214" s="97">
        <v>2</v>
      </c>
      <c r="T214" s="97">
        <v>2</v>
      </c>
      <c r="AC214" s="97">
        <v>2</v>
      </c>
      <c r="AL214" s="97">
        <v>2</v>
      </c>
    </row>
    <row r="215" spans="1:44" s="97" customFormat="1" ht="13.9">
      <c r="B215" s="98">
        <v>2</v>
      </c>
      <c r="K215" s="97">
        <v>1</v>
      </c>
      <c r="T215" s="97">
        <v>1</v>
      </c>
      <c r="AC215" s="97">
        <v>1</v>
      </c>
      <c r="AL215" s="97">
        <v>1</v>
      </c>
    </row>
    <row r="216" spans="1:44" s="97" customFormat="1" ht="13.9">
      <c r="B216" s="98">
        <v>1</v>
      </c>
      <c r="K216" s="128">
        <v>2021</v>
      </c>
      <c r="L216" s="100" t="s">
        <v>120</v>
      </c>
      <c r="M216" s="398" t="s">
        <v>9392</v>
      </c>
      <c r="N216" s="399"/>
      <c r="O216" s="399"/>
      <c r="P216" s="399"/>
      <c r="Q216" s="400"/>
      <c r="S216" s="99"/>
      <c r="U216" s="100" t="s">
        <v>123</v>
      </c>
      <c r="V216" s="398" t="s">
        <v>9393</v>
      </c>
      <c r="W216" s="399"/>
      <c r="X216" s="399"/>
      <c r="Y216" s="399"/>
      <c r="Z216" s="400"/>
      <c r="AB216" s="99"/>
      <c r="AD216" s="100" t="s">
        <v>129</v>
      </c>
      <c r="AE216" s="398" t="s">
        <v>9413</v>
      </c>
      <c r="AF216" s="399"/>
      <c r="AG216" s="399"/>
      <c r="AH216" s="399"/>
      <c r="AI216" s="400"/>
      <c r="AK216" s="99"/>
      <c r="AM216" s="100" t="s">
        <v>129</v>
      </c>
      <c r="AN216" s="398" t="s">
        <v>9413</v>
      </c>
      <c r="AO216" s="399"/>
      <c r="AP216" s="399"/>
      <c r="AQ216" s="399"/>
      <c r="AR216" s="400"/>
    </row>
    <row r="217" spans="1:44" ht="13.9">
      <c r="B217" s="4" t="s">
        <v>9397</v>
      </c>
      <c r="C217" s="5" t="s">
        <v>9398</v>
      </c>
      <c r="D217" s="5" t="s">
        <v>9399</v>
      </c>
      <c r="E217" s="5" t="s">
        <v>9400</v>
      </c>
      <c r="F217" s="5" t="s">
        <v>9401</v>
      </c>
      <c r="G217" s="5" t="s">
        <v>9402</v>
      </c>
      <c r="H217" s="5" t="s">
        <v>9403</v>
      </c>
      <c r="K217" s="4" t="s">
        <v>9397</v>
      </c>
      <c r="L217" s="5" t="s">
        <v>9398</v>
      </c>
      <c r="M217" s="5" t="s">
        <v>9399</v>
      </c>
      <c r="N217" s="5" t="s">
        <v>9400</v>
      </c>
      <c r="O217" s="5" t="s">
        <v>9401</v>
      </c>
      <c r="P217" s="5" t="s">
        <v>9402</v>
      </c>
      <c r="Q217" s="5" t="s">
        <v>9403</v>
      </c>
      <c r="S217" s="102"/>
      <c r="T217" s="4" t="s">
        <v>9397</v>
      </c>
      <c r="U217" s="5" t="s">
        <v>9398</v>
      </c>
      <c r="V217" s="5" t="s">
        <v>9399</v>
      </c>
      <c r="W217" s="5" t="s">
        <v>9400</v>
      </c>
      <c r="X217" s="5" t="s">
        <v>9401</v>
      </c>
      <c r="Y217" s="5" t="s">
        <v>9402</v>
      </c>
      <c r="Z217" s="5" t="s">
        <v>9403</v>
      </c>
      <c r="AB217" s="102"/>
      <c r="AC217" s="4" t="s">
        <v>9397</v>
      </c>
      <c r="AD217" s="5" t="s">
        <v>9398</v>
      </c>
      <c r="AE217" s="5" t="s">
        <v>9399</v>
      </c>
      <c r="AF217" s="5" t="s">
        <v>9400</v>
      </c>
      <c r="AG217" s="5" t="s">
        <v>9401</v>
      </c>
      <c r="AH217" s="5" t="s">
        <v>9402</v>
      </c>
      <c r="AI217" s="5" t="s">
        <v>9403</v>
      </c>
      <c r="AK217" s="102"/>
      <c r="AL217" s="4" t="s">
        <v>9397</v>
      </c>
      <c r="AM217" s="5" t="s">
        <v>9398</v>
      </c>
      <c r="AN217" s="5" t="s">
        <v>9399</v>
      </c>
      <c r="AO217" s="5" t="s">
        <v>9400</v>
      </c>
      <c r="AP217" s="5" t="s">
        <v>9401</v>
      </c>
      <c r="AQ217" s="5" t="s">
        <v>9402</v>
      </c>
      <c r="AR217" s="5" t="s">
        <v>9403</v>
      </c>
    </row>
    <row r="218" spans="1:44" ht="13.9">
      <c r="B218" s="25" t="s">
        <v>9405</v>
      </c>
      <c r="C218" s="7">
        <f>SUM(C219:C223)</f>
        <v>17</v>
      </c>
      <c r="D218" s="19">
        <f>SUM(D219:D223)</f>
        <v>1</v>
      </c>
      <c r="E218" s="7">
        <f t="shared" ref="E218" si="251">SUM(E219:E223)</f>
        <v>123237</v>
      </c>
      <c r="F218" s="19">
        <f>SUM(F219:F223)</f>
        <v>1</v>
      </c>
      <c r="G218" s="7">
        <f>SUM(G219:G223)</f>
        <v>5726.8526259999999</v>
      </c>
      <c r="H218" s="19">
        <f t="shared" ref="H218" si="252">SUM(H219:H223)</f>
        <v>1</v>
      </c>
      <c r="K218" s="25" t="s">
        <v>9405</v>
      </c>
      <c r="L218" s="7">
        <f>SUM(L219:L223)</f>
        <v>70</v>
      </c>
      <c r="M218" s="19">
        <f>SUM(M219:M223)</f>
        <v>1</v>
      </c>
      <c r="N218" s="7">
        <f t="shared" ref="N218:Q218" si="253">SUM(N219:N223)</f>
        <v>138705.72549019608</v>
      </c>
      <c r="O218" s="19">
        <f t="shared" si="253"/>
        <v>0.99999999999999989</v>
      </c>
      <c r="P218" s="7">
        <f t="shared" si="253"/>
        <v>4729.2717696600002</v>
      </c>
      <c r="Q218" s="19">
        <f t="shared" si="253"/>
        <v>1</v>
      </c>
      <c r="S218" s="104"/>
      <c r="T218" s="25" t="s">
        <v>9405</v>
      </c>
      <c r="U218" s="7">
        <f>SUM(U219:U223)</f>
        <v>34</v>
      </c>
      <c r="V218" s="19">
        <f>SUM(V219:V223)</f>
        <v>1</v>
      </c>
      <c r="W218" s="7">
        <f t="shared" ref="W218:Z218" si="254">SUM(W219:W223)</f>
        <v>292514.16944444441</v>
      </c>
      <c r="X218" s="19">
        <f t="shared" si="254"/>
        <v>1</v>
      </c>
      <c r="Y218" s="7">
        <f t="shared" si="254"/>
        <v>10114.720460108423</v>
      </c>
      <c r="Z218" s="19">
        <f t="shared" si="254"/>
        <v>0.99999999999999978</v>
      </c>
      <c r="AB218" s="104"/>
      <c r="AC218" s="25" t="s">
        <v>9405</v>
      </c>
      <c r="AD218" s="7">
        <f>SUM(AD219:AD223)</f>
        <v>22</v>
      </c>
      <c r="AE218" s="19">
        <f>SUM(AE219:AE223)</f>
        <v>1</v>
      </c>
      <c r="AF218" s="7">
        <f t="shared" ref="AF218:AI218" si="255">SUM(AF219:AF223)</f>
        <v>18322</v>
      </c>
      <c r="AG218" s="19">
        <f t="shared" si="255"/>
        <v>1</v>
      </c>
      <c r="AH218" s="7">
        <f t="shared" si="255"/>
        <v>579.36156100000005</v>
      </c>
      <c r="AI218" s="19">
        <f t="shared" si="255"/>
        <v>1</v>
      </c>
      <c r="AK218" s="104"/>
      <c r="AL218" s="25" t="s">
        <v>9405</v>
      </c>
      <c r="AM218" s="7">
        <f>SUM(AM219:AM223)</f>
        <v>9</v>
      </c>
      <c r="AN218" s="19">
        <f>SUM(AN219:AN223)</f>
        <v>0.40909090909090912</v>
      </c>
      <c r="AO218" s="7">
        <f t="shared" ref="AO218:AR218" si="256">SUM(AO219:AO223)</f>
        <v>8804</v>
      </c>
      <c r="AP218" s="19">
        <f t="shared" si="256"/>
        <v>0.48051522759524068</v>
      </c>
      <c r="AQ218" s="7">
        <f t="shared" si="256"/>
        <v>289.48957100000001</v>
      </c>
      <c r="AR218" s="19">
        <f t="shared" si="256"/>
        <v>0.49966996516014978</v>
      </c>
    </row>
    <row r="219" spans="1:44" ht="13.9">
      <c r="A219" s="101" t="s">
        <v>3</v>
      </c>
      <c r="B219" s="22" t="s">
        <v>9407</v>
      </c>
      <c r="C219" s="23">
        <f>COUNTIFS(Ofertas!$T$22:$T$2765,Indicadores!A219,Ofertas!$AK$22:$AK$2765,$B$216)</f>
        <v>13</v>
      </c>
      <c r="D219" s="19">
        <f>C219/$C$218</f>
        <v>0.76470588235294112</v>
      </c>
      <c r="E219" s="7">
        <f>SUMIFS(Ofertas!$W$748:$W$2765,Ofertas!$T$748:$T$2765,Indicadores!A219,Ofertas!$AK$748:$AK$2765,Indicadores!$B$216)</f>
        <v>23473</v>
      </c>
      <c r="F219" s="19">
        <f>E219/$E$218</f>
        <v>0.19047039444322728</v>
      </c>
      <c r="G219" s="7">
        <f>SUMIFS(Ofertas!$X$748:$X$2765,Ofertas!$T$748:$T$2765,Indicadores!A219,Ofertas!$AK$748:$AK$2765,Indicadores!$B$216)</f>
        <v>959.8176259999999</v>
      </c>
      <c r="H219" s="19">
        <f>G219/$G$218</f>
        <v>0.16759949813313041</v>
      </c>
      <c r="J219" s="101" t="s">
        <v>3</v>
      </c>
      <c r="K219" s="22" t="s">
        <v>9407</v>
      </c>
      <c r="L219" s="23">
        <f>COUNTIFS(Ofertas!$T$748:$T$2765,Indicadores!J219,Ofertas!$AM$748:$AM$2765,$K$215,Ofertas!$L$748:$L$2765,Indicadores!$L$216)+COUNTIFS(Ofertas!$T$748:$T$2765,Indicadores!J219,Ofertas!$AM$748:$AM$2765,$K$214,Ofertas!$L$748:$L$2765,Indicadores!$L$216)+COUNTIFS(Ofertas!$T$748:$T$2765,Indicadores!J219,Ofertas!$AM$748:$AM$2765,$K$213,Ofertas!$L$748:$L$2765,Indicadores!$L$216)+COUNTIFS(Ofertas!$T$748:$T$2765,Indicadores!J219,Ofertas!$AM$748:$AM$2765,$K$212,Ofertas!$L$748:$L$2765,Indicadores!$L$216)+COUNTIFS(Ofertas!$T$748:$T$2765,Indicadores!J219,Ofertas!$AM$748:$AM$2765,$K$211,Ofertas!$L$748:$L$2765,Indicadores!$L$216)+COUNTIFS(Ofertas!$T$748:$T$2765,Indicadores!J219,Ofertas!$AM$748:$AM$2765,$K$210,Ofertas!$L$748:$L$2765,Indicadores!$L$216)+COUNTIFS(Ofertas!$T$748:$T$2765,Indicadores!J219,Ofertas!$AM$748:$AM$2765,$K$209,Ofertas!$L$748:$L$2765,Indicadores!$L$216)+COUNTIFS(Ofertas!$T$748:$T$2765,Indicadores!J219,Ofertas!$AM$748:$AM$2765,$K$208,Ofertas!$L$748:$L$2765,Indicadores!$L$216)+COUNTIFS(Ofertas!$T$748:$T$2765,Indicadores!J219,Ofertas!$AM$748:$AM$2765,$K$207,Ofertas!$L$748:$L$2765,Indicadores!$L$216)+COUNTIFS(Ofertas!$T$748:$T$2765,Indicadores!J219,Ofertas!$AM$748:$AM$2765,$K$206,Ofertas!$L$748:$L$2765,Indicadores!$L$216)+COUNTIFS(Ofertas!$T$748:$T$2765,Indicadores!J219,Ofertas!$AM$748:$AM$2765,$K$205,Ofertas!$L$748:$L$2765,Indicadores!$L$216)</f>
        <v>23</v>
      </c>
      <c r="M219" s="19">
        <f>L219/$L$218</f>
        <v>0.32857142857142857</v>
      </c>
      <c r="N219" s="7">
        <f>SUMIFS(Ofertas!$W$748:$W$2765,Ofertas!$T$748:$T$2765,Indicadores!J219,Ofertas!$AM$748:$AM$2765,Indicadores!$K$215,Ofertas!$L$748:$L$2765,Indicadores!$L$216)+SUMIFS(Ofertas!$W$748:$W$2765,Ofertas!$T$748:$T$2765,Indicadores!J219,Ofertas!$AM$748:$AM$2765,Indicadores!$K$214,Ofertas!$L$748:$L$2765,Indicadores!$L$216)+SUMIFS(Ofertas!$W$748:$W$2765,Ofertas!$T$748:$T$2765,Indicadores!J219,Ofertas!$AM$748:$AM$2765,Indicadores!$K$213,Ofertas!$L$748:$L$2765,Indicadores!$L$216)+SUMIFS(Ofertas!$W$748:$W$2765,Ofertas!$T$748:$T$2765,Indicadores!J219,Ofertas!$AM$748:$AM$2765,Indicadores!$K$212,Ofertas!$L$748:$L$2765,Indicadores!$L$216)+SUMIFS(Ofertas!$W$748:$W$2765,Ofertas!$T$748:$T$2765,Indicadores!J219,Ofertas!$AM$748:$AM$2765,Indicadores!$K$211,Ofertas!$L$748:$L$2765,Indicadores!$L$216)+SUMIFS(Ofertas!$W$748:$W$2765,Ofertas!$T$748:$T$2765,Indicadores!J219,Ofertas!$AM$748:$AM$2765,Indicadores!$K$210,Ofertas!$L$748:$L$2765,Indicadores!$L$216)+SUMIFS(Ofertas!$W$748:$W$2765,Ofertas!$T$748:$T$2765,Indicadores!J219,Ofertas!$AM$748:$AM$2765,Indicadores!$K$209,Ofertas!$L$748:$L$2765,Indicadores!$L$216)+SUMIFS(Ofertas!$W$748:$W$2765,Ofertas!$T$748:$T$2765,Indicadores!J219,Ofertas!$AM$748:$AM$2765,Indicadores!$K$208,Ofertas!$L$748:$L$2765,Indicadores!$L$216)+SUMIFS(Ofertas!$W$748:$W$2765,Ofertas!$T$748:$T$2765,Indicadores!J219,Ofertas!$AM$748:$AM$2765,Indicadores!$K$207,Ofertas!$L$748:$L$2765,Indicadores!$L$216)+SUMIFS(Ofertas!$W$748:$W$2765,Ofertas!$T$748:$T$2765,Indicadores!J219,Ofertas!$AM$748:$AM$2765,Indicadores!$K$206,Ofertas!$L$748:$L$2765,Indicadores!$L$216)+SUMIFS(Ofertas!$W$748:$W$2765,Ofertas!$T$748:$T$2765,Indicadores!J219,Ofertas!$AM$748:$AM$2765,Indicadores!$K$205,Ofertas!$L$748:$L$2765,Indicadores!$L$216)</f>
        <v>16870.058823529413</v>
      </c>
      <c r="O219" s="96">
        <f>N219/$N$218</f>
        <v>0.12162481947958098</v>
      </c>
      <c r="P219" s="7">
        <f>SUMIFS(Ofertas!$X$748:$X$2765,Ofertas!$T$748:$T$2765,Indicadores!J219,Ofertas!$AM$748:$AM$2765,Indicadores!$K$215,Ofertas!$L$748:$L$2765,Indicadores!$L$216)+SUMIFS(Ofertas!$X$748:$X$2765,Ofertas!$T$748:$T$2765,Indicadores!J219,Ofertas!$AM$748:$AM$2765,Indicadores!$K$214,Ofertas!$L$748:$L$2765,Indicadores!$L$216)+SUMIFS(Ofertas!$X$748:$X$2765,Ofertas!$T$748:$T$2765,Indicadores!J219,Ofertas!$AM$748:$AM$2765,Indicadores!$K$213,Ofertas!$L$748:$L$2765,Indicadores!$L$216)+SUMIFS(Ofertas!$X$748:$X$2765,Ofertas!$T$748:$T$2765,Indicadores!J219,Ofertas!$AM$748:$AM$2765,Indicadores!$K$212,Ofertas!$L$748:$L$2765,Indicadores!$L$216)+SUMIFS(Ofertas!$X$748:$X$2765,Ofertas!$T$748:$T$2765,Indicadores!J219,Ofertas!$AM$748:$AM$2765,Indicadores!$K$211,Ofertas!$L$748:$L$2765,Indicadores!$L$216)+SUMIFS(Ofertas!$X$748:$X$2765,Ofertas!$T$748:$T$2765,Indicadores!J219,Ofertas!$AM$748:$AM$2765,Indicadores!$K$210,Ofertas!$L$748:$L$2765,Indicadores!$L$216)+SUMIFS(Ofertas!$X$748:$X$2765,Ofertas!$T$748:$T$2765,Indicadores!J219,Ofertas!$AM$748:$AM$2765,Indicadores!$K$209,Ofertas!$L$748:$L$2765,Indicadores!$L$216)+SUMIFS(Ofertas!$X$748:$X$2765,Ofertas!$T$748:$T$2765,Indicadores!J219,Ofertas!$AM$748:$AM$2765,Indicadores!$K$208,Ofertas!$L$748:$L$2765,Indicadores!$L$216)+SUMIFS(Ofertas!$X$748:$X$2765,Ofertas!$T$748:$T$2765,Indicadores!J219,Ofertas!$AM$748:$AM$2765,Indicadores!$K$207,Ofertas!$L$748:$L$2765,Indicadores!$L$216)+SUMIFS(Ofertas!$X$748:$X$2765,Ofertas!$T$748:$T$2765,Indicadores!J219,Ofertas!$AM$748:$AM$2765,Indicadores!$K$206,Ofertas!$L$748:$L$2765,Indicadores!$L$216)+SUMIFS(Ofertas!$X$748:$X$2765,Ofertas!$T$748:$T$2765,Indicadores!J219,Ofertas!$AM$748:$AM$2765,Indicadores!$K$205,Ofertas!$L$748:$L$2765,Indicadores!$L$216)</f>
        <v>795.86193566000009</v>
      </c>
      <c r="Q219" s="19">
        <f>P219/$P$218</f>
        <v>0.16828424637504322</v>
      </c>
      <c r="S219" s="101" t="s">
        <v>3</v>
      </c>
      <c r="T219" s="22" t="s">
        <v>9407</v>
      </c>
      <c r="U219" s="23">
        <f>COUNTIFS(Ofertas!$T$748:$T$2765,Indicadores!S219,Ofertas!$AM$748:$AM$2765,$T$215,Ofertas!$L$748:$L$2765,Indicadores!$U$216)+COUNTIFS(Ofertas!$T$748:$T$2765,Indicadores!S219,Ofertas!$AM$748:$AM$2765,$T$214,Ofertas!$L$748:$L$2765,Indicadores!$U$216)+COUNTIFS(Ofertas!$T$748:$T$2765,Indicadores!S219,Ofertas!$AM$748:$AM$2765,$T$213,Ofertas!$L$748:$L$2765,Indicadores!$U$216)+COUNTIFS(Ofertas!$T$748:$T$2765,Indicadores!S219,Ofertas!$AM$748:$AM$2765,$T$212,Ofertas!$L$748:$L$2765,Indicadores!$U$216)+COUNTIFS(Ofertas!$T$748:$T$2765,Indicadores!S219,Ofertas!$AM$748:$AM$2765,$T$211,Ofertas!$L$748:$L$2765,Indicadores!$U$216)+COUNTIFS(Ofertas!$T$748:$T$2765,Indicadores!S219,Ofertas!$AM$748:$AM$2765,$T$210,Ofertas!$L$748:$L$2765,Indicadores!$U$216)+COUNTIFS(Ofertas!$T$748:$T$2765,Indicadores!S219,Ofertas!$AM$748:$AM$2765,$T$209,Ofertas!$L$748:$L$2765,Indicadores!$U$216)+COUNTIFS(Ofertas!$T$748:$T$2765,Indicadores!S219,Ofertas!$AM$748:$AM$2765,$T$208,Ofertas!$L$748:$L$2765,Indicadores!$U$216)+COUNTIFS(Ofertas!$T$748:$T$2765,Indicadores!S219,Ofertas!$AM$748:$AM$2765,$T$207,Ofertas!$L$748:$L$2765,Indicadores!$U$216)+COUNTIFS(Ofertas!$T$748:$T$2765,Indicadores!S219,Ofertas!$AM$748:$AM$2765,$T$206,Ofertas!$L$748:$L$2765,Indicadores!$U$216)+COUNTIFS(Ofertas!$T$748:$T$2765,Indicadores!S219,Ofertas!$AM$748:$AM$2765,$T$205,Ofertas!$L$748:$L$2765,Indicadores!$U$216)</f>
        <v>4</v>
      </c>
      <c r="V219" s="19">
        <f>U219/$U$218</f>
        <v>0.11764705882352941</v>
      </c>
      <c r="W219" s="7">
        <f>SUMIFS(Ofertas!$W$748:$W$2765,Ofertas!$T$748:$T$2765,Indicadores!S219,Ofertas!$AM$748:$AM$2765,Indicadores!$T$215,Ofertas!$L$748:$L$2765,Indicadores!$U$216)+SUMIFS(Ofertas!$W$748:$W$2765,Ofertas!$T$748:$T$2765,Indicadores!S219,Ofertas!$AM$748:$AM$2765,Indicadores!$T$214,Ofertas!$L$748:$L$2765,Indicadores!$U$216)+SUMIFS(Ofertas!$W$748:$W$2765,Ofertas!$T$748:$T$2765,Indicadores!S219,Ofertas!$AM$748:$AM$2765,Indicadores!$T$213,Ofertas!$L$748:$L$2765,Indicadores!$U$216)+SUMIFS(Ofertas!$W$748:$W$2765,Ofertas!$T$748:$T$2765,Indicadores!S219,Ofertas!$AM$748:$AM$2765,Indicadores!$T$212,Ofertas!$L$748:$L$2765,Indicadores!$U$216)+SUMIFS(Ofertas!$W$748:$W$2765,Ofertas!$T$748:$T$2765,Indicadores!S219,Ofertas!$AM$748:$AM$2765,Indicadores!$T$211,Ofertas!$L$748:$L$2765,Indicadores!$U$216)+SUMIFS(Ofertas!$W$748:$W$2765,Ofertas!$T$748:$T$2765,Indicadores!S219,Ofertas!$AM$748:$AM$2765,Indicadores!$T$210,Ofertas!$L$748:$L$2765,Indicadores!$U$216)+SUMIFS(Ofertas!$W$748:$W$2765,Ofertas!$T$748:$T$2765,Indicadores!S219,Ofertas!$AM$748:$AM$2765,Indicadores!$T$209,Ofertas!$L$748:$L$2765,Indicadores!$U$216)+SUMIFS(Ofertas!$W$748:$W$2765,Ofertas!$T$748:$T$2765,Indicadores!S219,Ofertas!$AM$748:$AM$2765,Indicadores!$T$208,Ofertas!$L$748:$L$2765,Indicadores!$U$216)+SUMIFS(Ofertas!$W$748:$W$2765,Ofertas!$T$748:$T$2765,Indicadores!S219,Ofertas!$AM$748:$AM$2765,Indicadores!$T$207,Ofertas!$L$748:$L$2765,Indicadores!$U$216)+SUMIFS(Ofertas!$W$748:$W$2765,Ofertas!$T$748:$T$2765,Indicadores!S219,Ofertas!$AM$748:$AM$2765,Indicadores!$T$206,Ofertas!$L$748:$L$2765,Indicadores!$U$216)+SUMIFS(Ofertas!$W$748:$W$2765,Ofertas!$T$748:$T$2765,Indicadores!S219,Ofertas!$AM$748:$AM$2765,Indicadores!$T$205,Ofertas!$L$748:$L$2765,Indicadores!$U$216)</f>
        <v>16449</v>
      </c>
      <c r="X219" s="96">
        <f>IF($W$218&lt;&gt;0,W219/$W$218,0)</f>
        <v>5.6233173357860419E-2</v>
      </c>
      <c r="Y219" s="7">
        <f>SUMIFS(Ofertas!$X$748:$X$2765,Ofertas!$T$748:$T$2765,Indicadores!S219,Ofertas!$AM$748:$AM$2765,Indicadores!$T$215,Ofertas!$L$748:$L$2765,Indicadores!$U$216)+SUMIFS(Ofertas!$X$748:$X$2765,Ofertas!$T$748:$T$2765,Indicadores!S219,Ofertas!$AM$748:$AM$2765,Indicadores!$T$214,Ofertas!$L$748:$L$2765,Indicadores!$U$216)+SUMIFS(Ofertas!$X$748:$X$2765,Ofertas!$T$748:$T$2765,Indicadores!S219,Ofertas!$AM$748:$AM$2765,Indicadores!$T$213,Ofertas!$L$748:$L$2765,Indicadores!$U$216)+SUMIFS(Ofertas!$X$748:$X$2765,Ofertas!$T$748:$T$2765,Indicadores!S219,Ofertas!$AM$748:$AM$2765,Indicadores!$T$212,Ofertas!$L$748:$L$2765,Indicadores!$U$216)+SUMIFS(Ofertas!$X$748:$X$2765,Ofertas!$T$748:$T$2765,Indicadores!S219,Ofertas!$AM$748:$AM$2765,Indicadores!$T$211,Ofertas!$L$748:$L$2765,Indicadores!$U$216)+SUMIFS(Ofertas!$X$748:$X$2765,Ofertas!$T$748:$T$2765,Indicadores!S219,Ofertas!$AM$748:$AM$2765,Indicadores!$T$210,Ofertas!$L$748:$L$2765,Indicadores!$U$216)+SUMIFS(Ofertas!$X$748:$X$2765,Ofertas!$T$748:$T$2765,Indicadores!S219,Ofertas!$AM$748:$AM$2765,Indicadores!$T$209,Ofertas!$L$748:$L$2765,Indicadores!$U$216)+SUMIFS(Ofertas!$X$748:$X$2765,Ofertas!$T$748:$T$2765,Indicadores!S219,Ofertas!$AM$748:$AM$2765,Indicadores!$T$208,Ofertas!$L$748:$L$2765,Indicadores!$U$216)+SUMIFS(Ofertas!$X$748:$X$2765,Ofertas!$T$748:$T$2765,Indicadores!S219,Ofertas!$AM$748:$AM$2765,Indicadores!$T$207,Ofertas!$L$748:$L$2765,Indicadores!$U$216)+SUMIFS(Ofertas!$X$748:$X$2765,Ofertas!$T$748:$T$2765,Indicadores!S219,Ofertas!$AM$748:$AM$2765,Indicadores!$T$206,Ofertas!$L$748:$L$2765,Indicadores!$U$216)+SUMIFS(Ofertas!$X$748:$X$2765,Ofertas!$T$748:$T$2765,Indicadores!S219,Ofertas!$AM$748:$AM$2765,Indicadores!$T$205,Ofertas!$L$748:$L$2765,Indicadores!$U$216)</f>
        <v>570.58119499999998</v>
      </c>
      <c r="Z219" s="19">
        <f>IF($Y$218&lt;&gt;0,Y219/$Y$218,0)</f>
        <v>5.6410970253732914E-2</v>
      </c>
      <c r="AB219" s="101" t="s">
        <v>3</v>
      </c>
      <c r="AC219" s="22" t="s">
        <v>9407</v>
      </c>
      <c r="AD219" s="23">
        <f>COUNTIFS(Ofertas!$T$748:$T$2765,Indicadores!AB219,Ofertas!$AM$748:$AM$2765,$AC$215,Ofertas!$L$748:$L$2765,Indicadores!$AD$216)+COUNTIFS(Ofertas!$T$748:$T$2765,Indicadores!AB219,Ofertas!$AM$748:$AM$2765,$AC$214,Ofertas!$L$748:$L$2765,Indicadores!$AD$216)+COUNTIFS(Ofertas!$T$748:$T$2765,Indicadores!AB219,Ofertas!$AM$748:$AM$2765,$AC$213,Ofertas!$L$748:$L$2765,Indicadores!$AD$216)+COUNTIFS(Ofertas!$T$748:$T$2765,Indicadores!AB219,Ofertas!$AM$748:$AM$2765,$AC$212,Ofertas!$L$748:$L$2765,Indicadores!$AD$216)+COUNTIFS(Ofertas!$T$748:$T$2765,Indicadores!AB219,Ofertas!$AM$748:$AM$2765,$AC$211,Ofertas!$L$748:$L$2765,Indicadores!$AD$216)+COUNTIFS(Ofertas!$T$748:$T$2765,Indicadores!AB219,Ofertas!$AM$748:$AM$2765,$AC$210,Ofertas!$L$748:$L$2765,Indicadores!$AD$216)+COUNTIFS(Ofertas!$T$748:$T$2765,Indicadores!AB219,Ofertas!$AM$748:$AM$2765,$AC$209,Ofertas!$L$748:$L$2765,Indicadores!$AD$216)+COUNTIFS(Ofertas!$T$748:$T$2765,Indicadores!AB219,Ofertas!$AM$748:$AM$2765,$AC$208,Ofertas!$L$748:$L$2765,Indicadores!$AD$216)+COUNTIFS(Ofertas!$T$748:$T$2765,Indicadores!AB219,Ofertas!$AM$748:$AM$2765,$AC$207,Ofertas!$L$748:$L$2765,Indicadores!$AD$216)+COUNTIFS(Ofertas!$T$748:$T$2765,Indicadores!AB219,Ofertas!$AM$748:$AM$2765,$AC$206,Ofertas!$L$748:$L$2765,Indicadores!$AD$216)+COUNTIFS(Ofertas!$T$748:$T$2765,Indicadores!AB219,Ofertas!$AM$748:$AM$2765,$AC$205,Ofertas!$L$748:$L$2765,Indicadores!$AD$216)</f>
        <v>16</v>
      </c>
      <c r="AE219" s="96">
        <f>IF($AD$218&lt;&gt;0,AD219/$AD$218,0)</f>
        <v>0.72727272727272729</v>
      </c>
      <c r="AF219" s="7">
        <f>SUMIFS(Ofertas!$W$748:$W$2765,Ofertas!$T$748:$T$2765,Indicadores!AB219,Ofertas!$AM$748:$AM$2765,Indicadores!$AC$215,Ofertas!$L$748:$L$2765,Indicadores!$AD$216)+SUMIFS(Ofertas!$W$748:$W$2765,Ofertas!$T$748:$T$2765,Indicadores!AB219,Ofertas!$AM$748:$AM$2765,Indicadores!$AC$214,Ofertas!$L$748:$L$2765,Indicadores!$AD$216)+SUMIFS(Ofertas!$W$748:$W$2765,Ofertas!$T$748:$T$2765,Indicadores!AB219,Ofertas!$AM$748:$AM$2765,Indicadores!$AC$213,Ofertas!$L$748:$L$2765,Indicadores!$AD$216)+SUMIFS(Ofertas!$W$748:$W$2765,Ofertas!$T$748:$T$2765,Indicadores!AB219,Ofertas!$AM$748:$AM$2765,Indicadores!$AC$212,Ofertas!$L$748:$L$2765,Indicadores!$AD$216)+SUMIFS(Ofertas!$W$748:$W$2765,Ofertas!$T$748:$T$2765,Indicadores!AB219,Ofertas!$AM$748:$AM$2765,Indicadores!$AC$211,Ofertas!$L$748:$L$2765,Indicadores!$AD$216)+SUMIFS(Ofertas!$W$748:$W$2765,Ofertas!$T$748:$T$2765,Indicadores!AB219,Ofertas!$AM$748:$AM$2765,Indicadores!$AC$210,Ofertas!$L$748:$L$2765,Indicadores!$AD$216)+SUMIFS(Ofertas!$W$748:$W$2765,Ofertas!$T$748:$T$2765,Indicadores!AB219,Ofertas!$AM$748:$AM$2765,Indicadores!$AC$209,Ofertas!$L$748:$L$2765,Indicadores!$AD$216)+SUMIFS(Ofertas!$W$748:$W$2765,Ofertas!$T$748:$T$2765,Indicadores!AB219,Ofertas!$AM$748:$AM$2765,Indicadores!$AC$208,Ofertas!$L$748:$L$2765,Indicadores!$AD$216)+SUMIFS(Ofertas!$W$748:$W$2765,Ofertas!$T$748:$T$2765,Indicadores!AB219,Ofertas!$AM$748:$AM$2765,Indicadores!$AC$207,Ofertas!$L$748:$L$2765,Indicadores!$AD$216)+SUMIFS(Ofertas!$W$748:$W$2765,Ofertas!$T$748:$T$2765,Indicadores!AB219,Ofertas!$AM$748:$AM$2765,Indicadores!$AC$206,Ofertas!$L$748:$L$2765,Indicadores!$AD$216)+SUMIFS(Ofertas!$W$748:$W$2765,Ofertas!$T$748:$T$2765,Indicadores!AB219,Ofertas!$AM$748:$AM$2765,Indicadores!$AC$205,Ofertas!$L$748:$L$2765,Indicadores!$AD$216)</f>
        <v>13949</v>
      </c>
      <c r="AG219" s="96">
        <f>IF($AF$218&lt;&gt;0,AF219/$AF$218,0)</f>
        <v>0.76132518284030126</v>
      </c>
      <c r="AH219" s="7">
        <f>SUMIFS(Ofertas!$X$748:$X$2765,Ofertas!$T$748:$T$2765,Indicadores!AB219,Ofertas!$AM$748:$AM$2765,Indicadores!$AC$215,Ofertas!$L$748:$L$2765,Indicadores!$AD$216)+SUMIFS(Ofertas!$X$748:$X$2765,Ofertas!$T$748:$T$2765,Indicadores!AB219,Ofertas!$AM$748:$AM$2765,Indicadores!$AC$214,Ofertas!$L$748:$L$2765,Indicadores!$AD$216)+SUMIFS(Ofertas!$X$748:$X$2765,Ofertas!$T$748:$T$2765,Indicadores!AB219,Ofertas!$AM$748:$AM$2765,Indicadores!$AC$213,Ofertas!$L$748:$L$2765,Indicadores!$AD$216)+SUMIFS(Ofertas!$X$748:$X$2765,Ofertas!$T$748:$T$2765,Indicadores!AB219,Ofertas!$AM$748:$AM$2765,Indicadores!$AC$212,Ofertas!$L$748:$L$2765,Indicadores!$AD$216)+SUMIFS(Ofertas!$X$748:$X$2765,Ofertas!$T$748:$T$2765,Indicadores!AB219,Ofertas!$AM$748:$AM$2765,Indicadores!$AC$211,Ofertas!$L$748:$L$2765,Indicadores!$AD$216)+SUMIFS(Ofertas!$X$748:$X$2765,Ofertas!$T$748:$T$2765,Indicadores!AB219,Ofertas!$AM$748:$AM$2765,Indicadores!$AC$210,Ofertas!$L$748:$L$2765,Indicadores!$AD$216)+SUMIFS(Ofertas!$X$748:$X$2765,Ofertas!$T$748:$T$2765,Indicadores!AB219,Ofertas!$AM$748:$AM$2765,Indicadores!$AC$209,Ofertas!$L$748:$L$2765,Indicadores!$AD$216)+SUMIFS(Ofertas!$X$748:$X$2765,Ofertas!$T$748:$T$2765,Indicadores!AB219,Ofertas!$AM$748:$AM$2765,Indicadores!$AC$208,Ofertas!$L$748:$L$2765,Indicadores!$AD$216)+SUMIFS(Ofertas!$X$748:$X$2765,Ofertas!$T$748:$T$2765,Indicadores!AB219,Ofertas!$AM$748:$AM$2765,Indicadores!$AC$207,Ofertas!$L$748:$L$2765,Indicadores!$AD$216)+SUMIFS(Ofertas!$X$748:$X$2765,Ofertas!$T$748:$T$2765,Indicadores!AB219,Ofertas!$AM$748:$AM$2765,Indicadores!$AC$206,Ofertas!$L$748:$L$2765,Indicadores!$AD$216)+SUMIFS(Ofertas!$X$748:$X$2765,Ofertas!$T$748:$T$2765,Indicadores!AB219,Ofertas!$AM$748:$AM$2765,Indicadores!$AC$205,Ofertas!$L$748:$L$2765,Indicadores!$AD$216)</f>
        <v>449.88906100000003</v>
      </c>
      <c r="AI219" s="19">
        <f>IF($AH$218&lt;&gt;0,AH219/$AH$218,0)</f>
        <v>0.77652556069386869</v>
      </c>
      <c r="AK219" s="101" t="s">
        <v>3</v>
      </c>
      <c r="AL219" s="22" t="s">
        <v>9407</v>
      </c>
      <c r="AM219" s="23">
        <f>COUNTIFS(Ofertas!$T$748:$T$2765,Indicadores!AK219,Ofertas!$AM$748:$AM$2765,$AC$215,Ofertas!$L$748:$L$2765,Indicadores!$AD$216)+COUNTIFS(Ofertas!$T$748:$T$2765,Indicadores!AK219,Ofertas!$AM$748:$AM$2765,$AC$214,Ofertas!$L$748:$L$2765,Indicadores!$AD$216)+COUNTIFS(Ofertas!$T$748:$T$2765,Indicadores!AK219,Ofertas!$AM$748:$AM$2765,$AC$213,Ofertas!$L$748:$L$2765,Indicadores!$AD$216)+COUNTIFS(Ofertas!$T$748:$T$2765,Indicadores!AK219,Ofertas!$AM$748:$AM$2765,$AC$212,Ofertas!$L$748:$L$2765,Indicadores!$AD$216)+COUNTIFS(Ofertas!$T$748:$T$2765,Indicadores!AK219,Ofertas!$AM$748:$AM$2765,$AC$211,Ofertas!$L$748:$L$2765,Indicadores!$AD$216)+COUNTIFS(Ofertas!$T$748:$T$2765,Indicadores!AK219,Ofertas!$AM$748:$AM$2765,$AC$210,Ofertas!$L$748:$L$2765,Indicadores!$AD$216)+COUNTIFS(Ofertas!$T$748:$T$2765,Indicadores!AK219,Ofertas!$AM$748:$AM$2765,$AC$209,Ofertas!$L$748:$L$2765,Indicadores!$AD$216)</f>
        <v>8</v>
      </c>
      <c r="AN219" s="96">
        <f>IF($AD$218&lt;&gt;0,AM219/$AD$218,0)</f>
        <v>0.36363636363636365</v>
      </c>
      <c r="AO219" s="7">
        <f>SUMIFS(Ofertas!$W$748:$W$2765,Ofertas!$T$748:$T$2765,Indicadores!AK219,Ofertas!$AM$748:$AM$2765,Indicadores!$AC$215,Ofertas!$L$748:$L$2765,Indicadores!$AD$216)+SUMIFS(Ofertas!$W$748:$W$2765,Ofertas!$T$748:$T$2765,Indicadores!AK219,Ofertas!$AM$748:$AM$2765,Indicadores!$AC$214,Ofertas!$L$748:$L$2765,Indicadores!$AD$216)+SUMIFS(Ofertas!$W$748:$W$2765,Ofertas!$T$748:$T$2765,Indicadores!AK219,Ofertas!$AM$748:$AM$2765,Indicadores!$AC$213,Ofertas!$L$748:$L$2765,Indicadores!$AD$216)+SUMIFS(Ofertas!$W$748:$W$2765,Ofertas!$T$748:$T$2765,Indicadores!AK219,Ofertas!$AM$748:$AM$2765,Indicadores!$AC$212,Ofertas!$L$748:$L$2765,Indicadores!$AD$216)+SUMIFS(Ofertas!$W$748:$W$2765,Ofertas!$T$748:$T$2765,Indicadores!AK219,Ofertas!$AM$748:$AM$2765,Indicadores!$AC$211,Ofertas!$L$748:$L$2765,Indicadores!$AD$216)+SUMIFS(Ofertas!$W$748:$W$2765,Ofertas!$T$748:$T$2765,Indicadores!AK219,Ofertas!$AM$748:$AM$2765,Indicadores!$AC$210,Ofertas!$L$748:$L$2765,Indicadores!$AD$216)+SUMIFS(Ofertas!$W$748:$W$2765,Ofertas!$T$748:$T$2765,Indicadores!AK219,Ofertas!$AM$748:$AM$2765,Indicadores!$AC$209,Ofertas!$L$748:$L$2765,Indicadores!$AD$216)</f>
        <v>8062</v>
      </c>
      <c r="AP219" s="96">
        <f>IF($AF$218&lt;&gt;0,AO219/$AF$218,0)</f>
        <v>0.44001746534221153</v>
      </c>
      <c r="AQ219" s="7">
        <f>SUMIFS(Ofertas!$X$748:$X$2765,Ofertas!$T$748:$T$2765,Indicadores!AK219,Ofertas!$AM$748:$AM$2765,Indicadores!$AC$215,Ofertas!$L$748:$L$2765,Indicadores!$AD$216)+SUMIFS(Ofertas!$X$748:$X$2765,Ofertas!$T$748:$T$2765,Indicadores!AK219,Ofertas!$AM$748:$AM$2765,Indicadores!$AC$214,Ofertas!$L$748:$L$2765,Indicadores!$AD$216)+SUMIFS(Ofertas!$X$748:$X$2765,Ofertas!$T$748:$T$2765,Indicadores!AK219,Ofertas!$AM$748:$AM$2765,Indicadores!$AC$213,Ofertas!$L$748:$L$2765,Indicadores!$AD$216)+SUMIFS(Ofertas!$X$748:$X$2765,Ofertas!$T$748:$T$2765,Indicadores!AK219,Ofertas!$AM$748:$AM$2765,Indicadores!$AC$212,Ofertas!$L$748:$L$2765,Indicadores!$AD$216)+SUMIFS(Ofertas!$X$748:$X$2765,Ofertas!$T$748:$T$2765,Indicadores!AK219,Ofertas!$AM$748:$AM$2765,Indicadores!$AC$211,Ofertas!$L$748:$L$2765,Indicadores!$AD$216)+SUMIFS(Ofertas!$X$748:$X$2765,Ofertas!$T$748:$T$2765,Indicadores!AK219,Ofertas!$AM$748:$AM$2765,Indicadores!$AC$210,Ofertas!$L$748:$L$2765,Indicadores!$AD$216)+SUMIFS(Ofertas!$X$748:$X$2765,Ofertas!$T$748:$T$2765,Indicadores!AK219,Ofertas!$AM$748:$AM$2765,Indicadores!$AC$209,Ofertas!$L$748:$L$2765,Indicadores!$AD$216)</f>
        <v>268.46557100000001</v>
      </c>
      <c r="AR219" s="19">
        <f>IF($AH$218&lt;&gt;0,AQ219/$AH$218,0)</f>
        <v>0.46338174478924393</v>
      </c>
    </row>
    <row r="220" spans="1:44" ht="13.9">
      <c r="A220" s="101" t="s">
        <v>165</v>
      </c>
      <c r="B220" s="22" t="s">
        <v>9409</v>
      </c>
      <c r="C220" s="23">
        <f>COUNTIFS(Ofertas!$T$22:$T$2765,Indicadores!A220,Ofertas!$AK$22:$AK$2765,$B$216)</f>
        <v>4</v>
      </c>
      <c r="D220" s="19">
        <f>C220/$C$218</f>
        <v>0.23529411764705882</v>
      </c>
      <c r="E220" s="7">
        <f>SUMIFS(Ofertas!$W$748:$W$2765,Ofertas!$T$748:$T$2765,Indicadores!A220,Ofertas!$AK$748:$AK$2765,Indicadores!$B$216)</f>
        <v>99764</v>
      </c>
      <c r="F220" s="19">
        <f>E220/$E$218</f>
        <v>0.80952960555677267</v>
      </c>
      <c r="G220" s="7">
        <f>SUMIFS(Ofertas!$X$748:$X$2765,Ofertas!$T$748:$T$2765,Indicadores!A220,Ofertas!$AK$748:$AK$2765,Indicadores!$B$216)</f>
        <v>4767.0349999999999</v>
      </c>
      <c r="H220" s="19">
        <f>G220/$G$218</f>
        <v>0.83240050186686954</v>
      </c>
      <c r="J220" s="101" t="s">
        <v>165</v>
      </c>
      <c r="K220" s="22" t="s">
        <v>9409</v>
      </c>
      <c r="L220" s="23">
        <f>COUNTIFS(Ofertas!$T$748:$T$2765,Indicadores!J220,Ofertas!$AM$748:$AM$2765,$K$215,Ofertas!$L$748:$L$2765,Indicadores!$L$216)+COUNTIFS(Ofertas!$T$748:$T$2765,Indicadores!J220,Ofertas!$AM$748:$AM$2765,$K$214,Ofertas!$L$748:$L$2765,Indicadores!$L$216)+COUNTIFS(Ofertas!$T$748:$T$2765,Indicadores!J220,Ofertas!$AM$748:$AM$2765,$K$213,Ofertas!$L$748:$L$2765,Indicadores!$L$216)+COUNTIFS(Ofertas!$T$748:$T$2765,Indicadores!J220,Ofertas!$AM$748:$AM$2765,$K$212,Ofertas!$L$748:$L$2765,Indicadores!$L$216)+COUNTIFS(Ofertas!$T$748:$T$2765,Indicadores!J220,Ofertas!$AM$748:$AM$2765,$K$211,Ofertas!$L$748:$L$2765,Indicadores!$L$216)+COUNTIFS(Ofertas!$T$748:$T$2765,Indicadores!J220,Ofertas!$AM$748:$AM$2765,$K$210,Ofertas!$L$748:$L$2765,Indicadores!$L$216)+COUNTIFS(Ofertas!$T$748:$T$2765,Indicadores!J220,Ofertas!$AM$748:$AM$2765,$K$209,Ofertas!$L$748:$L$2765,Indicadores!$L$216)+COUNTIFS(Ofertas!$T$748:$T$2765,Indicadores!J220,Ofertas!$AM$748:$AM$2765,$K$208,Ofertas!$L$748:$L$2765,Indicadores!$L$216)+COUNTIFS(Ofertas!$T$748:$T$2765,Indicadores!J220,Ofertas!$AM$748:$AM$2765,$K$207,Ofertas!$L$748:$L$2765,Indicadores!$L$216)+COUNTIFS(Ofertas!$T$748:$T$2765,Indicadores!J220,Ofertas!$AM$748:$AM$2765,$K$206,Ofertas!$L$748:$L$2765,Indicadores!$L$216)+COUNTIFS(Ofertas!$T$748:$T$2765,Indicadores!J220,Ofertas!$AM$748:$AM$2765,$K$205,Ofertas!$L$748:$L$2765,Indicadores!$L$216)</f>
        <v>46</v>
      </c>
      <c r="M220" s="19">
        <f>L220/$L$218</f>
        <v>0.65714285714285714</v>
      </c>
      <c r="N220" s="7">
        <f>SUMIFS(Ofertas!$W$748:$W$2765,Ofertas!$T$748:$T$2765,Indicadores!J220,Ofertas!$AM$748:$AM$2765,Indicadores!$K$215,Ofertas!$L$748:$L$2765,Indicadores!$L$216)+SUMIFS(Ofertas!$W$748:$W$2765,Ofertas!$T$748:$T$2765,Indicadores!J220,Ofertas!$AM$748:$AM$2765,Indicadores!$K$214,Ofertas!$L$748:$L$2765,Indicadores!$L$216)+SUMIFS(Ofertas!$W$748:$W$2765,Ofertas!$T$748:$T$2765,Indicadores!J220,Ofertas!$AM$748:$AM$2765,Indicadores!$K$213,Ofertas!$L$748:$L$2765,Indicadores!$L$216)+SUMIFS(Ofertas!$W$748:$W$2765,Ofertas!$T$748:$T$2765,Indicadores!J220,Ofertas!$AM$748:$AM$2765,Indicadores!$K$212,Ofertas!$L$748:$L$2765,Indicadores!$L$216)+SUMIFS(Ofertas!$W$748:$W$2765,Ofertas!$T$748:$T$2765,Indicadores!J220,Ofertas!$AM$748:$AM$2765,Indicadores!$K$211,Ofertas!$L$748:$L$2765,Indicadores!$L$216)+SUMIFS(Ofertas!$W$748:$W$2765,Ofertas!$T$748:$T$2765,Indicadores!J220,Ofertas!$AM$748:$AM$2765,Indicadores!$K$210,Ofertas!$L$748:$L$2765,Indicadores!$L$216)+SUMIFS(Ofertas!$W$748:$W$2765,Ofertas!$T$748:$T$2765,Indicadores!J220,Ofertas!$AM$748:$AM$2765,Indicadores!$K$209,Ofertas!$L$748:$L$2765,Indicadores!$L$216)+SUMIFS(Ofertas!$W$748:$W$2765,Ofertas!$T$748:$T$2765,Indicadores!J220,Ofertas!$AM$748:$AM$2765,Indicadores!$K$208,Ofertas!$L$748:$L$2765,Indicadores!$L$216)+SUMIFS(Ofertas!$W$748:$W$2765,Ofertas!$T$748:$T$2765,Indicadores!J220,Ofertas!$AM$748:$AM$2765,Indicadores!$K$207,Ofertas!$L$748:$L$2765,Indicadores!$L$216)+SUMIFS(Ofertas!$W$748:$W$2765,Ofertas!$T$748:$T$2765,Indicadores!J220,Ofertas!$AM$748:$AM$2765,Indicadores!$K$206,Ofertas!$L$748:$L$2765,Indicadores!$L$216)+SUMIFS(Ofertas!$W$748:$W$2765,Ofertas!$T$748:$T$2765,Indicadores!J220,Ofertas!$AM$748:$AM$2765,Indicadores!$K$205,Ofertas!$L$748:$L$2765,Indicadores!$L$216)</f>
        <v>121480.66666666667</v>
      </c>
      <c r="O220" s="96">
        <f>N220/$N$218</f>
        <v>0.87581580527656799</v>
      </c>
      <c r="P220" s="7">
        <f>SUMIFS(Ofertas!$X$748:$X$2765,Ofertas!$T$748:$T$2765,Indicadores!J220,Ofertas!$AM$748:$AM$2765,Indicadores!$K$215,Ofertas!$L$748:$L$2765,Indicadores!$L$216)+SUMIFS(Ofertas!$X$748:$X$2765,Ofertas!$T$748:$T$2765,Indicadores!J220,Ofertas!$AM$748:$AM$2765,Indicadores!$K$214,Ofertas!$L$748:$L$2765,Indicadores!$L$216)+SUMIFS(Ofertas!$X$748:$X$2765,Ofertas!$T$748:$T$2765,Indicadores!J220,Ofertas!$AM$748:$AM$2765,Indicadores!$K$213,Ofertas!$L$748:$L$2765,Indicadores!$L$216)+SUMIFS(Ofertas!$X$748:$X$2765,Ofertas!$T$748:$T$2765,Indicadores!J220,Ofertas!$AM$748:$AM$2765,Indicadores!$K$212,Ofertas!$L$748:$L$2765,Indicadores!$L$216)+SUMIFS(Ofertas!$X$748:$X$2765,Ofertas!$T$748:$T$2765,Indicadores!J220,Ofertas!$AM$748:$AM$2765,Indicadores!$K$211,Ofertas!$L$748:$L$2765,Indicadores!$L$216)+SUMIFS(Ofertas!$X$748:$X$2765,Ofertas!$T$748:$T$2765,Indicadores!J220,Ofertas!$AM$748:$AM$2765,Indicadores!$K$210,Ofertas!$L$748:$L$2765,Indicadores!$L$216)+SUMIFS(Ofertas!$X$748:$X$2765,Ofertas!$T$748:$T$2765,Indicadores!J220,Ofertas!$AM$748:$AM$2765,Indicadores!$K$209,Ofertas!$L$748:$L$2765,Indicadores!$L$216)+SUMIFS(Ofertas!$X$748:$X$2765,Ofertas!$T$748:$T$2765,Indicadores!J220,Ofertas!$AM$748:$AM$2765,Indicadores!$K$208,Ofertas!$L$748:$L$2765,Indicadores!$L$216)+SUMIFS(Ofertas!$X$748:$X$2765,Ofertas!$T$748:$T$2765,Indicadores!J220,Ofertas!$AM$748:$AM$2765,Indicadores!$K$207,Ofertas!$L$748:$L$2765,Indicadores!$L$216)+SUMIFS(Ofertas!$X$748:$X$2765,Ofertas!$T$748:$T$2765,Indicadores!J220,Ofertas!$AM$748:$AM$2765,Indicadores!$K$206,Ofertas!$L$748:$L$2765,Indicadores!$L$216)+SUMIFS(Ofertas!$X$748:$X$2765,Ofertas!$T$748:$T$2765,Indicadores!J220,Ofertas!$AM$748:$AM$2765,Indicadores!$K$205,Ofertas!$L$748:$L$2765,Indicadores!$L$216)</f>
        <v>3914.409834</v>
      </c>
      <c r="Q220" s="19">
        <f>P220/$P$218</f>
        <v>0.82769822176690366</v>
      </c>
      <c r="S220" s="101" t="s">
        <v>165</v>
      </c>
      <c r="T220" s="22" t="s">
        <v>9409</v>
      </c>
      <c r="U220" s="23">
        <f>COUNTIFS(Ofertas!$T$748:$T$2765,Indicadores!S220,Ofertas!$AM$748:$AM$2765,$T$215,Ofertas!$L$748:$L$2765,Indicadores!$U$216)+COUNTIFS(Ofertas!$T$748:$T$2765,Indicadores!S220,Ofertas!$AM$748:$AM$2765,$T$214,Ofertas!$L$748:$L$2765,Indicadores!$U$216)+COUNTIFS(Ofertas!$T$748:$T$2765,Indicadores!S220,Ofertas!$AM$748:$AM$2765,$T$213,Ofertas!$L$748:$L$2765,Indicadores!$U$216)+COUNTIFS(Ofertas!$T$748:$T$2765,Indicadores!S220,Ofertas!$AM$748:$AM$2765,$T$212,Ofertas!$L$748:$L$2765,Indicadores!$U$216)+COUNTIFS(Ofertas!$T$748:$T$2765,Indicadores!S220,Ofertas!$AM$748:$AM$2765,$T$211,Ofertas!$L$748:$L$2765,Indicadores!$U$216)+COUNTIFS(Ofertas!$T$748:$T$2765,Indicadores!S220,Ofertas!$AM$748:$AM$2765,$T$210,Ofertas!$L$748:$L$2765,Indicadores!$U$216)+COUNTIFS(Ofertas!$T$748:$T$2765,Indicadores!S220,Ofertas!$AM$748:$AM$2765,$T$209,Ofertas!$L$748:$L$2765,Indicadores!$U$216)+COUNTIFS(Ofertas!$T$748:$T$2765,Indicadores!S220,Ofertas!$AM$748:$AM$2765,$T$208,Ofertas!$L$748:$L$2765,Indicadores!$U$216)+COUNTIFS(Ofertas!$T$748:$T$2765,Indicadores!S220,Ofertas!$AM$748:$AM$2765,$T$207,Ofertas!$L$748:$L$2765,Indicadores!$U$216)+COUNTIFS(Ofertas!$T$748:$T$2765,Indicadores!S220,Ofertas!$AM$748:$AM$2765,$T$206,Ofertas!$L$748:$L$2765,Indicadores!$U$216)+COUNTIFS(Ofertas!$T$748:$T$2765,Indicadores!S220,Ofertas!$AM$748:$AM$2765,$T$205,Ofertas!$L$748:$L$2765,Indicadores!$U$216)</f>
        <v>29</v>
      </c>
      <c r="V220" s="19">
        <f t="shared" ref="V220:V223" si="257">U220/$U$218</f>
        <v>0.8529411764705882</v>
      </c>
      <c r="W220" s="7">
        <f>SUMIFS(Ofertas!$W$748:$W$2765,Ofertas!$T$748:$T$2765,Indicadores!S220,Ofertas!$AM$748:$AM$2765,Indicadores!$T$215,Ofertas!$L$748:$L$2765,Indicadores!$U$216)+SUMIFS(Ofertas!$W$748:$W$2765,Ofertas!$T$748:$T$2765,Indicadores!S220,Ofertas!$AM$748:$AM$2765,Indicadores!$T$214,Ofertas!$L$748:$L$2765,Indicadores!$U$216)+SUMIFS(Ofertas!$W$748:$W$2765,Ofertas!$T$748:$T$2765,Indicadores!S220,Ofertas!$AM$748:$AM$2765,Indicadores!$T$213,Ofertas!$L$748:$L$2765,Indicadores!$U$216)+SUMIFS(Ofertas!$W$748:$W$2765,Ofertas!$T$748:$T$2765,Indicadores!S220,Ofertas!$AM$748:$AM$2765,Indicadores!$T$212,Ofertas!$L$748:$L$2765,Indicadores!$U$216)+SUMIFS(Ofertas!$W$748:$W$2765,Ofertas!$T$748:$T$2765,Indicadores!S220,Ofertas!$AM$748:$AM$2765,Indicadores!$T$211,Ofertas!$L$748:$L$2765,Indicadores!$U$216)+SUMIFS(Ofertas!$W$748:$W$2765,Ofertas!$T$748:$T$2765,Indicadores!S220,Ofertas!$AM$748:$AM$2765,Indicadores!$T$210,Ofertas!$L$748:$L$2765,Indicadores!$U$216)+SUMIFS(Ofertas!$W$748:$W$2765,Ofertas!$T$748:$T$2765,Indicadores!S220,Ofertas!$AM$748:$AM$2765,Indicadores!$T$209,Ofertas!$L$748:$L$2765,Indicadores!$U$216)+SUMIFS(Ofertas!$W$748:$W$2765,Ofertas!$T$748:$T$2765,Indicadores!S220,Ofertas!$AM$748:$AM$2765,Indicadores!$T$208,Ofertas!$L$748:$L$2765,Indicadores!$U$216)+SUMIFS(Ofertas!$W$748:$W$2765,Ofertas!$T$748:$T$2765,Indicadores!S220,Ofertas!$AM$748:$AM$2765,Indicadores!$T$207,Ofertas!$L$748:$L$2765,Indicadores!$U$216)+SUMIFS(Ofertas!$W$748:$W$2765,Ofertas!$T$748:$T$2765,Indicadores!S220,Ofertas!$AM$748:$AM$2765,Indicadores!$T$206,Ofertas!$L$748:$L$2765,Indicadores!$U$216)+SUMIFS(Ofertas!$W$748:$W$2765,Ofertas!$T$748:$T$2765,Indicadores!S220,Ofertas!$AM$748:$AM$2765,Indicadores!$T$205,Ofertas!$L$748:$L$2765,Indicadores!$U$216)</f>
        <v>267453.16944444441</v>
      </c>
      <c r="X220" s="96">
        <f t="shared" ref="X220:X223" si="258">IF($W$218&lt;&gt;0,W220/$W$218,0)</f>
        <v>0.91432551781133564</v>
      </c>
      <c r="Y220" s="7">
        <f>SUMIFS(Ofertas!$X$748:$X$2765,Ofertas!$T$748:$T$2765,Indicadores!S220,Ofertas!$AM$748:$AM$2765,Indicadores!$T$215,Ofertas!$L$748:$L$2765,Indicadores!$U$216)+SUMIFS(Ofertas!$X$748:$X$2765,Ofertas!$T$748:$T$2765,Indicadores!S220,Ofertas!$AM$748:$AM$2765,Indicadores!$T$214,Ofertas!$L$748:$L$2765,Indicadores!$U$216)+SUMIFS(Ofertas!$X$748:$X$2765,Ofertas!$T$748:$T$2765,Indicadores!S220,Ofertas!$AM$748:$AM$2765,Indicadores!$T$213,Ofertas!$L$748:$L$2765,Indicadores!$U$216)+SUMIFS(Ofertas!$X$748:$X$2765,Ofertas!$T$748:$T$2765,Indicadores!S220,Ofertas!$AM$748:$AM$2765,Indicadores!$T$212,Ofertas!$L$748:$L$2765,Indicadores!$U$216)+SUMIFS(Ofertas!$X$748:$X$2765,Ofertas!$T$748:$T$2765,Indicadores!S220,Ofertas!$AM$748:$AM$2765,Indicadores!$T$211,Ofertas!$L$748:$L$2765,Indicadores!$U$216)+SUMIFS(Ofertas!$X$748:$X$2765,Ofertas!$T$748:$T$2765,Indicadores!S220,Ofertas!$AM$748:$AM$2765,Indicadores!$T$210,Ofertas!$L$748:$L$2765,Indicadores!$U$216)+SUMIFS(Ofertas!$X$748:$X$2765,Ofertas!$T$748:$T$2765,Indicadores!S220,Ofertas!$AM$748:$AM$2765,Indicadores!$T$209,Ofertas!$L$748:$L$2765,Indicadores!$U$216)+SUMIFS(Ofertas!$X$748:$X$2765,Ofertas!$T$748:$T$2765,Indicadores!S220,Ofertas!$AM$748:$AM$2765,Indicadores!$T$208,Ofertas!$L$748:$L$2765,Indicadores!$U$216)+SUMIFS(Ofertas!$X$748:$X$2765,Ofertas!$T$748:$T$2765,Indicadores!S220,Ofertas!$AM$748:$AM$2765,Indicadores!$T$207,Ofertas!$L$748:$L$2765,Indicadores!$U$216)+SUMIFS(Ofertas!$X$748:$X$2765,Ofertas!$T$748:$T$2765,Indicadores!S220,Ofertas!$AM$748:$AM$2765,Indicadores!$T$206,Ofertas!$L$748:$L$2765,Indicadores!$U$216)+SUMIFS(Ofertas!$X$748:$X$2765,Ofertas!$T$748:$T$2765,Indicadores!S220,Ofertas!$AM$748:$AM$2765,Indicadores!$T$205,Ofertas!$L$748:$L$2765,Indicadores!$U$216)</f>
        <v>9251.189185108422</v>
      </c>
      <c r="Z220" s="19">
        <f>IF($Y$218&lt;&gt;0,Y220/$Y$218,0)</f>
        <v>0.9146262837014929</v>
      </c>
      <c r="AB220" s="101" t="s">
        <v>165</v>
      </c>
      <c r="AC220" s="22" t="s">
        <v>9409</v>
      </c>
      <c r="AD220" s="23">
        <f>COUNTIFS(Ofertas!$T$748:$T$2765,Indicadores!AB220,Ofertas!$AM$748:$AM$2765,$AC$215,Ofertas!$L$748:$L$2765,Indicadores!$AD$216)+COUNTIFS(Ofertas!$T$748:$T$2765,Indicadores!AB220,Ofertas!$AM$748:$AM$2765,$AC$214,Ofertas!$L$748:$L$2765,Indicadores!$AD$216)+COUNTIFS(Ofertas!$T$748:$T$2765,Indicadores!AB220,Ofertas!$AM$748:$AM$2765,$AC$213,Ofertas!$L$748:$L$2765,Indicadores!$AD$216)+COUNTIFS(Ofertas!$T$748:$T$2765,Indicadores!AB220,Ofertas!$AM$748:$AM$2765,$AC$212,Ofertas!$L$748:$L$2765,Indicadores!$AD$216)+COUNTIFS(Ofertas!$T$748:$T$2765,Indicadores!AB220,Ofertas!$AM$748:$AM$2765,$AC$211,Ofertas!$L$748:$L$2765,Indicadores!$AD$216)+COUNTIFS(Ofertas!$T$748:$T$2765,Indicadores!AB220,Ofertas!$AM$748:$AM$2765,$AC$210,Ofertas!$L$748:$L$2765,Indicadores!$AD$216)+COUNTIFS(Ofertas!$T$748:$T$2765,Indicadores!AB220,Ofertas!$AM$748:$AM$2765,$AC$209,Ofertas!$L$748:$L$2765,Indicadores!$AD$216)+COUNTIFS(Ofertas!$T$748:$T$2765,Indicadores!AB220,Ofertas!$AM$748:$AM$2765,$AC$208,Ofertas!$L$748:$L$2765,Indicadores!$AD$216)+COUNTIFS(Ofertas!$T$748:$T$2765,Indicadores!AB220,Ofertas!$AM$748:$AM$2765,$AC$207,Ofertas!$L$748:$L$2765,Indicadores!$AD$216)+COUNTIFS(Ofertas!$T$748:$T$2765,Indicadores!AB220,Ofertas!$AM$748:$AM$2765,$AC$206,Ofertas!$L$748:$L$2765,Indicadores!$AD$216)+COUNTIFS(Ofertas!$T$748:$T$2765,Indicadores!AB220,Ofertas!$AM$748:$AM$2765,$AC$205,Ofertas!$L$748:$L$2765,Indicadores!$AD$216)</f>
        <v>6</v>
      </c>
      <c r="AE220" s="96">
        <f t="shared" ref="AE220:AE223" si="259">IF($AD$218&lt;&gt;0,AD220/$AD$218,0)</f>
        <v>0.27272727272727271</v>
      </c>
      <c r="AF220" s="7">
        <f>SUMIFS(Ofertas!$W$748:$W$2765,Ofertas!$T$748:$T$2765,Indicadores!AB220,Ofertas!$AM$748:$AM$2765,Indicadores!$AC$215,Ofertas!$L$748:$L$2765,Indicadores!$AD$216)+SUMIFS(Ofertas!$W$748:$W$2765,Ofertas!$T$748:$T$2765,Indicadores!AB220,Ofertas!$AM$748:$AM$2765,Indicadores!$AC$214,Ofertas!$L$748:$L$2765,Indicadores!$AD$216)+SUMIFS(Ofertas!$W$748:$W$2765,Ofertas!$T$748:$T$2765,Indicadores!AB220,Ofertas!$AM$748:$AM$2765,Indicadores!$AC$213,Ofertas!$L$748:$L$2765,Indicadores!$AD$216)+SUMIFS(Ofertas!$W$748:$W$2765,Ofertas!$T$748:$T$2765,Indicadores!AB220,Ofertas!$AM$748:$AM$2765,Indicadores!$AC$212,Ofertas!$L$748:$L$2765,Indicadores!$AD$216)+SUMIFS(Ofertas!$W$748:$W$2765,Ofertas!$T$748:$T$2765,Indicadores!AB220,Ofertas!$AM$748:$AM$2765,Indicadores!$AC$211,Ofertas!$L$748:$L$2765,Indicadores!$AD$216)+SUMIFS(Ofertas!$W$748:$W$2765,Ofertas!$T$748:$T$2765,Indicadores!AB220,Ofertas!$AM$748:$AM$2765,Indicadores!$AC$210,Ofertas!$L$748:$L$2765,Indicadores!$AD$216)+SUMIFS(Ofertas!$W$748:$W$2765,Ofertas!$T$748:$T$2765,Indicadores!AB220,Ofertas!$AM$748:$AM$2765,Indicadores!$AC$209,Ofertas!$L$748:$L$2765,Indicadores!$AD$216)+SUMIFS(Ofertas!$W$748:$W$2765,Ofertas!$T$748:$T$2765,Indicadores!AB220,Ofertas!$AM$748:$AM$2765,Indicadores!$AC$208,Ofertas!$L$748:$L$2765,Indicadores!$AD$216)+SUMIFS(Ofertas!$W$748:$W$2765,Ofertas!$T$748:$T$2765,Indicadores!AB220,Ofertas!$AM$748:$AM$2765,Indicadores!$AC$207,Ofertas!$L$748:$L$2765,Indicadores!$AD$216)+SUMIFS(Ofertas!$W$748:$W$2765,Ofertas!$T$748:$T$2765,Indicadores!AB220,Ofertas!$AM$748:$AM$2765,Indicadores!$AC$206,Ofertas!$L$748:$L$2765,Indicadores!$AD$216)+SUMIFS(Ofertas!$W$748:$W$2765,Ofertas!$T$748:$T$2765,Indicadores!AB220,Ofertas!$AM$748:$AM$2765,Indicadores!$AC$205,Ofertas!$L$748:$L$2765,Indicadores!$AD$216)</f>
        <v>4373</v>
      </c>
      <c r="AG220" s="96">
        <f t="shared" ref="AG220:AG223" si="260">IF($AF$218&lt;&gt;0,AF220/$AF$218,0)</f>
        <v>0.23867481715969871</v>
      </c>
      <c r="AH220" s="7">
        <f>SUMIFS(Ofertas!$X$748:$X$2765,Ofertas!$T$748:$T$2765,Indicadores!AB220,Ofertas!$AM$748:$AM$2765,Indicadores!$AC$215,Ofertas!$L$748:$L$2765,Indicadores!$AD$216)+SUMIFS(Ofertas!$X$748:$X$2765,Ofertas!$T$748:$T$2765,Indicadores!AB220,Ofertas!$AM$748:$AM$2765,Indicadores!$AC$214,Ofertas!$L$748:$L$2765,Indicadores!$AD$216)+SUMIFS(Ofertas!$X$748:$X$2765,Ofertas!$T$748:$T$2765,Indicadores!AB220,Ofertas!$AM$748:$AM$2765,Indicadores!$AC$213,Ofertas!$L$748:$L$2765,Indicadores!$AD$216)+SUMIFS(Ofertas!$X$748:$X$2765,Ofertas!$T$748:$T$2765,Indicadores!AB220,Ofertas!$AM$748:$AM$2765,Indicadores!$AC$212,Ofertas!$L$748:$L$2765,Indicadores!$AD$216)+SUMIFS(Ofertas!$X$748:$X$2765,Ofertas!$T$748:$T$2765,Indicadores!AB220,Ofertas!$AM$748:$AM$2765,Indicadores!$AC$211,Ofertas!$L$748:$L$2765,Indicadores!$AD$216)+SUMIFS(Ofertas!$X$748:$X$2765,Ofertas!$T$748:$T$2765,Indicadores!AB220,Ofertas!$AM$748:$AM$2765,Indicadores!$AC$210,Ofertas!$L$748:$L$2765,Indicadores!$AD$216)+SUMIFS(Ofertas!$X$748:$X$2765,Ofertas!$T$748:$T$2765,Indicadores!AB220,Ofertas!$AM$748:$AM$2765,Indicadores!$AC$209,Ofertas!$L$748:$L$2765,Indicadores!$AD$216)+SUMIFS(Ofertas!$X$748:$X$2765,Ofertas!$T$748:$T$2765,Indicadores!AB220,Ofertas!$AM$748:$AM$2765,Indicadores!$AC$208,Ofertas!$L$748:$L$2765,Indicadores!$AD$216)+SUMIFS(Ofertas!$X$748:$X$2765,Ofertas!$T$748:$T$2765,Indicadores!AB220,Ofertas!$AM$748:$AM$2765,Indicadores!$AC$207,Ofertas!$L$748:$L$2765,Indicadores!$AD$216)+SUMIFS(Ofertas!$X$748:$X$2765,Ofertas!$T$748:$T$2765,Indicadores!AB220,Ofertas!$AM$748:$AM$2765,Indicadores!$AC$206,Ofertas!$L$748:$L$2765,Indicadores!$AD$216)+SUMIFS(Ofertas!$X$748:$X$2765,Ofertas!$T$748:$T$2765,Indicadores!AB220,Ofertas!$AM$748:$AM$2765,Indicadores!$AC$205,Ofertas!$L$748:$L$2765,Indicadores!$AD$216)</f>
        <v>129.47250000000003</v>
      </c>
      <c r="AI220" s="19">
        <f t="shared" ref="AI220:AI223" si="261">IF($AH$218&lt;&gt;0,AH220/$AH$218,0)</f>
        <v>0.22347443930613134</v>
      </c>
      <c r="AK220" s="101" t="s">
        <v>165</v>
      </c>
      <c r="AL220" s="22" t="s">
        <v>9409</v>
      </c>
      <c r="AM220" s="23">
        <f>COUNTIFS(Ofertas!$T$748:$T$2765,Indicadores!AK220,Ofertas!$AM$748:$AM$2765,$AC$215,Ofertas!$L$748:$L$2765,Indicadores!$AD$216)+COUNTIFS(Ofertas!$T$748:$T$2765,Indicadores!AK220,Ofertas!$AM$748:$AM$2765,$AC$214,Ofertas!$L$748:$L$2765,Indicadores!$AD$216)+COUNTIFS(Ofertas!$T$748:$T$2765,Indicadores!AK220,Ofertas!$AM$748:$AM$2765,$AC$213,Ofertas!$L$748:$L$2765,Indicadores!$AD$216)+COUNTIFS(Ofertas!$T$748:$T$2765,Indicadores!AK220,Ofertas!$AM$748:$AM$2765,$AC$212,Ofertas!$L$748:$L$2765,Indicadores!$AD$216)+COUNTIFS(Ofertas!$T$748:$T$2765,Indicadores!AK220,Ofertas!$AM$748:$AM$2765,$AC$211,Ofertas!$L$748:$L$2765,Indicadores!$AD$216)+COUNTIFS(Ofertas!$T$748:$T$2765,Indicadores!AK220,Ofertas!$AM$748:$AM$2765,$AC$210,Ofertas!$L$748:$L$2765,Indicadores!$AD$216)+COUNTIFS(Ofertas!$T$748:$T$2765,Indicadores!AK220,Ofertas!$AM$748:$AM$2765,$AC$209,Ofertas!$L$748:$L$2765,Indicadores!$AD$216)</f>
        <v>1</v>
      </c>
      <c r="AN220" s="96">
        <f>IF($AD$218&lt;&gt;0,AM220/$AD$218,0)</f>
        <v>4.5454545454545456E-2</v>
      </c>
      <c r="AO220" s="7">
        <f>SUMIFS(Ofertas!$W$748:$W$2765,Ofertas!$T$748:$T$2765,Indicadores!AK220,Ofertas!$AM$748:$AM$2765,Indicadores!$AC$215,Ofertas!$L$748:$L$2765,Indicadores!$AD$216)+SUMIFS(Ofertas!$W$748:$W$2765,Ofertas!$T$748:$T$2765,Indicadores!AK220,Ofertas!$AM$748:$AM$2765,Indicadores!$AC$214,Ofertas!$L$748:$L$2765,Indicadores!$AD$216)+SUMIFS(Ofertas!$W$748:$W$2765,Ofertas!$T$748:$T$2765,Indicadores!AK220,Ofertas!$AM$748:$AM$2765,Indicadores!$AC$213,Ofertas!$L$748:$L$2765,Indicadores!$AD$216)+SUMIFS(Ofertas!$W$748:$W$2765,Ofertas!$T$748:$T$2765,Indicadores!AK220,Ofertas!$AM$748:$AM$2765,Indicadores!$AC$212,Ofertas!$L$748:$L$2765,Indicadores!$AD$216)+SUMIFS(Ofertas!$W$748:$W$2765,Ofertas!$T$748:$T$2765,Indicadores!AK220,Ofertas!$AM$748:$AM$2765,Indicadores!$AC$211,Ofertas!$L$748:$L$2765,Indicadores!$AD$216)+SUMIFS(Ofertas!$W$748:$W$2765,Ofertas!$T$748:$T$2765,Indicadores!AK220,Ofertas!$AM$748:$AM$2765,Indicadores!$AC$210,Ofertas!$L$748:$L$2765,Indicadores!$AD$216)+SUMIFS(Ofertas!$W$748:$W$2765,Ofertas!$T$748:$T$2765,Indicadores!AK220,Ofertas!$AM$748:$AM$2765,Indicadores!$AC$209,Ofertas!$L$748:$L$2765,Indicadores!$AD$216)</f>
        <v>742</v>
      </c>
      <c r="AP220" s="96">
        <f>IF($AF$218&lt;&gt;0,AO220/$AF$218,0)</f>
        <v>4.0497762253029146E-2</v>
      </c>
      <c r="AQ220" s="7">
        <f>SUMIFS(Ofertas!$X$748:$X$2765,Ofertas!$T$748:$T$2765,Indicadores!AK220,Ofertas!$AM$748:$AM$2765,Indicadores!$AC$215,Ofertas!$L$748:$L$2765,Indicadores!$AD$216)+SUMIFS(Ofertas!$X$748:$X$2765,Ofertas!$T$748:$T$2765,Indicadores!AK220,Ofertas!$AM$748:$AM$2765,Indicadores!$AC$214,Ofertas!$L$748:$L$2765,Indicadores!$AD$216)+SUMIFS(Ofertas!$X$748:$X$2765,Ofertas!$T$748:$T$2765,Indicadores!AK220,Ofertas!$AM$748:$AM$2765,Indicadores!$AC$213,Ofertas!$L$748:$L$2765,Indicadores!$AD$216)+SUMIFS(Ofertas!$X$748:$X$2765,Ofertas!$T$748:$T$2765,Indicadores!AK220,Ofertas!$AM$748:$AM$2765,Indicadores!$AC$212,Ofertas!$L$748:$L$2765,Indicadores!$AD$216)+SUMIFS(Ofertas!$X$748:$X$2765,Ofertas!$T$748:$T$2765,Indicadores!AK220,Ofertas!$AM$748:$AM$2765,Indicadores!$AC$211,Ofertas!$L$748:$L$2765,Indicadores!$AD$216)+SUMIFS(Ofertas!$X$748:$X$2765,Ofertas!$T$748:$T$2765,Indicadores!AK220,Ofertas!$AM$748:$AM$2765,Indicadores!$AC$210,Ofertas!$L$748:$L$2765,Indicadores!$AD$216)+SUMIFS(Ofertas!$X$748:$X$2765,Ofertas!$T$748:$T$2765,Indicadores!AK220,Ofertas!$AM$748:$AM$2765,Indicadores!$AC$209,Ofertas!$L$748:$L$2765,Indicadores!$AD$216)</f>
        <v>21.024000000000001</v>
      </c>
      <c r="AR220" s="19">
        <f>IF($AH$218&lt;&gt;0,AQ220/$AH$218,0)</f>
        <v>3.628822037090583E-2</v>
      </c>
    </row>
    <row r="221" spans="1:44" ht="13.9">
      <c r="A221" s="101" t="s">
        <v>168</v>
      </c>
      <c r="B221" s="22" t="s">
        <v>9411</v>
      </c>
      <c r="C221" s="23">
        <f>COUNTIFS(Ofertas!$T$22:$T$2765,Indicadores!A221,Ofertas!$AK$22:$AK$2765,$B$216)</f>
        <v>0</v>
      </c>
      <c r="D221" s="19">
        <f>C221/$C$218</f>
        <v>0</v>
      </c>
      <c r="E221" s="7">
        <f>SUMIFS(Ofertas!$W$748:$W$2765,Ofertas!$T$748:$T$2765,Indicadores!A221,Ofertas!$AK$748:$AK$2765,Indicadores!$B$216)</f>
        <v>0</v>
      </c>
      <c r="F221" s="19">
        <f>E221/$E$218</f>
        <v>0</v>
      </c>
      <c r="G221" s="7">
        <f>SUMIFS(Ofertas!$X$748:$X$2765,Ofertas!$T$748:$T$2765,Indicadores!A221,Ofertas!$AK$748:$AK$2765,Indicadores!$B$216)</f>
        <v>0</v>
      </c>
      <c r="H221" s="19">
        <f>G221/$G$218</f>
        <v>0</v>
      </c>
      <c r="J221" s="101" t="s">
        <v>168</v>
      </c>
      <c r="K221" s="22" t="s">
        <v>9411</v>
      </c>
      <c r="L221" s="23">
        <f>COUNTIFS(Ofertas!$T$748:$T$2765,Indicadores!J221,Ofertas!$AM$748:$AM$2765,$K$215,Ofertas!$L$748:$L$2765,Indicadores!$L$216)+COUNTIFS(Ofertas!$T$748:$T$2765,Indicadores!J221,Ofertas!$AM$748:$AM$2765,$K$214,Ofertas!$L$748:$L$2765,Indicadores!$L$216)+COUNTIFS(Ofertas!$T$748:$T$2765,Indicadores!J221,Ofertas!$AM$748:$AM$2765,$K$213,Ofertas!$L$748:$L$2765,Indicadores!$L$216)+COUNTIFS(Ofertas!$T$748:$T$2765,Indicadores!J221,Ofertas!$AM$748:$AM$2765,$K$212,Ofertas!$L$748:$L$2765,Indicadores!$L$216)+COUNTIFS(Ofertas!$T$748:$T$2765,Indicadores!J221,Ofertas!$AM$748:$AM$2765,$K$211,Ofertas!$L$748:$L$2765,Indicadores!$L$216)+COUNTIFS(Ofertas!$T$748:$T$2765,Indicadores!J221,Ofertas!$AM$748:$AM$2765,$K$210,Ofertas!$L$748:$L$2765,Indicadores!$L$216)+COUNTIFS(Ofertas!$T$748:$T$2765,Indicadores!J221,Ofertas!$AM$748:$AM$2765,$K$209,Ofertas!$L$748:$L$2765,Indicadores!$L$216)+COUNTIFS(Ofertas!$T$748:$T$2765,Indicadores!J221,Ofertas!$AM$748:$AM$2765,$K$208,Ofertas!$L$748:$L$2765,Indicadores!$L$216)+COUNTIFS(Ofertas!$T$748:$T$2765,Indicadores!J221,Ofertas!$AM$748:$AM$2765,$K$207,Ofertas!$L$748:$L$2765,Indicadores!$L$216)+COUNTIFS(Ofertas!$T$748:$T$2765,Indicadores!J221,Ofertas!$AM$748:$AM$2765,$K$206,Ofertas!$L$748:$L$2765,Indicadores!$L$216)+COUNTIFS(Ofertas!$T$748:$T$2765,Indicadores!J221,Ofertas!$AM$748:$AM$2765,$K$205,Ofertas!$L$748:$L$2765,Indicadores!$L$216)</f>
        <v>1</v>
      </c>
      <c r="M221" s="19">
        <f>L221/$L$218</f>
        <v>1.4285714285714285E-2</v>
      </c>
      <c r="N221" s="7">
        <f>SUMIFS(Ofertas!$W$748:$W$2765,Ofertas!$T$748:$T$2765,Indicadores!J221,Ofertas!$AM$748:$AM$2765,Indicadores!$K$215,Ofertas!$L$748:$L$2765,Indicadores!$L$216)+SUMIFS(Ofertas!$W$748:$W$2765,Ofertas!$T$748:$T$2765,Indicadores!J221,Ofertas!$AM$748:$AM$2765,Indicadores!$K$214,Ofertas!$L$748:$L$2765,Indicadores!$L$216)+SUMIFS(Ofertas!$W$748:$W$2765,Ofertas!$T$748:$T$2765,Indicadores!J221,Ofertas!$AM$748:$AM$2765,Indicadores!$K$213,Ofertas!$L$748:$L$2765,Indicadores!$L$216)+SUMIFS(Ofertas!$W$748:$W$2765,Ofertas!$T$748:$T$2765,Indicadores!J221,Ofertas!$AM$748:$AM$2765,Indicadores!$K$212,Ofertas!$L$748:$L$2765,Indicadores!$L$216)+SUMIFS(Ofertas!$W$748:$W$2765,Ofertas!$T$748:$T$2765,Indicadores!J221,Ofertas!$AM$748:$AM$2765,Indicadores!$K$211,Ofertas!$L$748:$L$2765,Indicadores!$L$216)+SUMIFS(Ofertas!$W$748:$W$2765,Ofertas!$T$748:$T$2765,Indicadores!J221,Ofertas!$AM$748:$AM$2765,Indicadores!$K$210,Ofertas!$L$748:$L$2765,Indicadores!$L$216)+SUMIFS(Ofertas!$W$748:$W$2765,Ofertas!$T$748:$T$2765,Indicadores!J221,Ofertas!$AM$748:$AM$2765,Indicadores!$K$209,Ofertas!$L$748:$L$2765,Indicadores!$L$216)+SUMIFS(Ofertas!$W$748:$W$2765,Ofertas!$T$748:$T$2765,Indicadores!J221,Ofertas!$AM$748:$AM$2765,Indicadores!$K$208,Ofertas!$L$748:$L$2765,Indicadores!$L$216)+SUMIFS(Ofertas!$W$748:$W$2765,Ofertas!$T$748:$T$2765,Indicadores!J221,Ofertas!$AM$748:$AM$2765,Indicadores!$K$207,Ofertas!$L$748:$L$2765,Indicadores!$L$216)+SUMIFS(Ofertas!$W$748:$W$2765,Ofertas!$T$748:$T$2765,Indicadores!J221,Ofertas!$AM$748:$AM$2765,Indicadores!$K$206,Ofertas!$L$748:$L$2765,Indicadores!$L$216)+SUMIFS(Ofertas!$W$748:$W$2765,Ofertas!$T$748:$T$2765,Indicadores!J221,Ofertas!$AM$748:$AM$2765,Indicadores!$K$205,Ofertas!$L$748:$L$2765,Indicadores!$L$216)</f>
        <v>355</v>
      </c>
      <c r="O221" s="96">
        <f>N221/$N$218</f>
        <v>2.5593752438509967E-3</v>
      </c>
      <c r="P221" s="7">
        <f>SUMIFS(Ofertas!$X$748:$X$2765,Ofertas!$T$748:$T$2765,Indicadores!J221,Ofertas!$AM$748:$AM$2765,Indicadores!$K$215,Ofertas!$L$748:$L$2765,Indicadores!$L$216)+SUMIFS(Ofertas!$X$748:$X$2765,Ofertas!$T$748:$T$2765,Indicadores!J221,Ofertas!$AM$748:$AM$2765,Indicadores!$K$214,Ofertas!$L$748:$L$2765,Indicadores!$L$216)+SUMIFS(Ofertas!$X$748:$X$2765,Ofertas!$T$748:$T$2765,Indicadores!J221,Ofertas!$AM$748:$AM$2765,Indicadores!$K$213,Ofertas!$L$748:$L$2765,Indicadores!$L$216)+SUMIFS(Ofertas!$X$748:$X$2765,Ofertas!$T$748:$T$2765,Indicadores!J221,Ofertas!$AM$748:$AM$2765,Indicadores!$K$212,Ofertas!$L$748:$L$2765,Indicadores!$L$216)+SUMIFS(Ofertas!$X$748:$X$2765,Ofertas!$T$748:$T$2765,Indicadores!J221,Ofertas!$AM$748:$AM$2765,Indicadores!$K$211,Ofertas!$L$748:$L$2765,Indicadores!$L$216)+SUMIFS(Ofertas!$X$748:$X$2765,Ofertas!$T$748:$T$2765,Indicadores!J221,Ofertas!$AM$748:$AM$2765,Indicadores!$K$210,Ofertas!$L$748:$L$2765,Indicadores!$L$216)+SUMIFS(Ofertas!$X$748:$X$2765,Ofertas!$T$748:$T$2765,Indicadores!J221,Ofertas!$AM$748:$AM$2765,Indicadores!$K$209,Ofertas!$L$748:$L$2765,Indicadores!$L$216)+SUMIFS(Ofertas!$X$748:$X$2765,Ofertas!$T$748:$T$2765,Indicadores!J221,Ofertas!$AM$748:$AM$2765,Indicadores!$K$208,Ofertas!$L$748:$L$2765,Indicadores!$L$216)+SUMIFS(Ofertas!$X$748:$X$2765,Ofertas!$T$748:$T$2765,Indicadores!J221,Ofertas!$AM$748:$AM$2765,Indicadores!$K$207,Ofertas!$L$748:$L$2765,Indicadores!$L$216)+SUMIFS(Ofertas!$X$748:$X$2765,Ofertas!$T$748:$T$2765,Indicadores!J221,Ofertas!$AM$748:$AM$2765,Indicadores!$K$206,Ofertas!$L$748:$L$2765,Indicadores!$L$216)+SUMIFS(Ofertas!$X$748:$X$2765,Ofertas!$T$748:$T$2765,Indicadores!J221,Ofertas!$AM$748:$AM$2765,Indicadores!$K$205,Ofertas!$L$748:$L$2765,Indicadores!$L$216)</f>
        <v>19</v>
      </c>
      <c r="Q221" s="19">
        <f>P221/$P$218</f>
        <v>4.0175318580530552E-3</v>
      </c>
      <c r="S221" s="101" t="s">
        <v>168</v>
      </c>
      <c r="T221" s="22" t="s">
        <v>9411</v>
      </c>
      <c r="U221" s="23">
        <f>COUNTIFS(Ofertas!$T$748:$T$2765,Indicadores!S221,Ofertas!$AM$748:$AM$2765,$T$215,Ofertas!$L$748:$L$2765,Indicadores!$U$216)+COUNTIFS(Ofertas!$T$748:$T$2765,Indicadores!S221,Ofertas!$AM$748:$AM$2765,$T$214,Ofertas!$L$748:$L$2765,Indicadores!$U$216)+COUNTIFS(Ofertas!$T$748:$T$2765,Indicadores!S221,Ofertas!$AM$748:$AM$2765,$T$213,Ofertas!$L$748:$L$2765,Indicadores!$U$216)+COUNTIFS(Ofertas!$T$748:$T$2765,Indicadores!S221,Ofertas!$AM$748:$AM$2765,$T$212,Ofertas!$L$748:$L$2765,Indicadores!$U$216)+COUNTIFS(Ofertas!$T$748:$T$2765,Indicadores!S221,Ofertas!$AM$748:$AM$2765,$T$211,Ofertas!$L$748:$L$2765,Indicadores!$U$216)+COUNTIFS(Ofertas!$T$748:$T$2765,Indicadores!S221,Ofertas!$AM$748:$AM$2765,$T$210,Ofertas!$L$748:$L$2765,Indicadores!$U$216)+COUNTIFS(Ofertas!$T$748:$T$2765,Indicadores!S221,Ofertas!$AM$748:$AM$2765,$T$209,Ofertas!$L$748:$L$2765,Indicadores!$U$216)+COUNTIFS(Ofertas!$T$748:$T$2765,Indicadores!S221,Ofertas!$AM$748:$AM$2765,$T$208,Ofertas!$L$748:$L$2765,Indicadores!$U$216)+COUNTIFS(Ofertas!$T$748:$T$2765,Indicadores!S221,Ofertas!$AM$748:$AM$2765,$T$207,Ofertas!$L$748:$L$2765,Indicadores!$U$216)+COUNTIFS(Ofertas!$T$748:$T$2765,Indicadores!S221,Ofertas!$AM$748:$AM$2765,$T$206,Ofertas!$L$748:$L$2765,Indicadores!$U$216)+COUNTIFS(Ofertas!$T$748:$T$2765,Indicadores!S221,Ofertas!$AM$748:$AM$2765,$T$205,Ofertas!$L$748:$L$2765,Indicadores!$U$216)</f>
        <v>1</v>
      </c>
      <c r="V221" s="19">
        <f t="shared" si="257"/>
        <v>2.9411764705882353E-2</v>
      </c>
      <c r="W221" s="7">
        <f>SUMIFS(Ofertas!$W$748:$W$2765,Ofertas!$T$748:$T$2765,Indicadores!S221,Ofertas!$AM$748:$AM$2765,Indicadores!$T$215,Ofertas!$L$748:$L$2765,Indicadores!$U$216)+SUMIFS(Ofertas!$W$748:$W$2765,Ofertas!$T$748:$T$2765,Indicadores!S221,Ofertas!$AM$748:$AM$2765,Indicadores!$T$214,Ofertas!$L$748:$L$2765,Indicadores!$U$216)+SUMIFS(Ofertas!$W$748:$W$2765,Ofertas!$T$748:$T$2765,Indicadores!S221,Ofertas!$AM$748:$AM$2765,Indicadores!$T$213,Ofertas!$L$748:$L$2765,Indicadores!$U$216)+SUMIFS(Ofertas!$W$748:$W$2765,Ofertas!$T$748:$T$2765,Indicadores!S221,Ofertas!$AM$748:$AM$2765,Indicadores!$T$212,Ofertas!$L$748:$L$2765,Indicadores!$U$216)+SUMIFS(Ofertas!$W$748:$W$2765,Ofertas!$T$748:$T$2765,Indicadores!S221,Ofertas!$AM$748:$AM$2765,Indicadores!$T$211,Ofertas!$L$748:$L$2765,Indicadores!$U$216)+SUMIFS(Ofertas!$W$748:$W$2765,Ofertas!$T$748:$T$2765,Indicadores!S221,Ofertas!$AM$748:$AM$2765,Indicadores!$T$210,Ofertas!$L$748:$L$2765,Indicadores!$U$216)+SUMIFS(Ofertas!$W$748:$W$2765,Ofertas!$T$748:$T$2765,Indicadores!S221,Ofertas!$AM$748:$AM$2765,Indicadores!$T$209,Ofertas!$L$748:$L$2765,Indicadores!$U$216)+SUMIFS(Ofertas!$W$748:$W$2765,Ofertas!$T$748:$T$2765,Indicadores!S221,Ofertas!$AM$748:$AM$2765,Indicadores!$T$208,Ofertas!$L$748:$L$2765,Indicadores!$U$216)+SUMIFS(Ofertas!$W$748:$W$2765,Ofertas!$T$748:$T$2765,Indicadores!S221,Ofertas!$AM$748:$AM$2765,Indicadores!$T$207,Ofertas!$L$748:$L$2765,Indicadores!$U$216)+SUMIFS(Ofertas!$W$748:$W$2765,Ofertas!$T$748:$T$2765,Indicadores!S221,Ofertas!$AM$748:$AM$2765,Indicadores!$T$206,Ofertas!$L$748:$L$2765,Indicadores!$U$216)+SUMIFS(Ofertas!$W$748:$W$2765,Ofertas!$T$748:$T$2765,Indicadores!S221,Ofertas!$AM$748:$AM$2765,Indicadores!$T$205,Ofertas!$L$748:$L$2765,Indicadores!$U$216)</f>
        <v>8612</v>
      </c>
      <c r="X221" s="96">
        <f t="shared" si="258"/>
        <v>2.9441308830803935E-2</v>
      </c>
      <c r="Y221" s="7">
        <f>SUMIFS(Ofertas!$X$748:$X$2765,Ofertas!$T$748:$T$2765,Indicadores!S221,Ofertas!$AM$748:$AM$2765,Indicadores!$T$215,Ofertas!$L$748:$L$2765,Indicadores!$U$216)+SUMIFS(Ofertas!$X$748:$X$2765,Ofertas!$T$748:$T$2765,Indicadores!S221,Ofertas!$AM$748:$AM$2765,Indicadores!$T$214,Ofertas!$L$748:$L$2765,Indicadores!$U$216)+SUMIFS(Ofertas!$X$748:$X$2765,Ofertas!$T$748:$T$2765,Indicadores!S221,Ofertas!$AM$748:$AM$2765,Indicadores!$T$213,Ofertas!$L$748:$L$2765,Indicadores!$U$216)+SUMIFS(Ofertas!$X$748:$X$2765,Ofertas!$T$748:$T$2765,Indicadores!S221,Ofertas!$AM$748:$AM$2765,Indicadores!$T$212,Ofertas!$L$748:$L$2765,Indicadores!$U$216)+SUMIFS(Ofertas!$X$748:$X$2765,Ofertas!$T$748:$T$2765,Indicadores!S221,Ofertas!$AM$748:$AM$2765,Indicadores!$T$211,Ofertas!$L$748:$L$2765,Indicadores!$U$216)+SUMIFS(Ofertas!$X$748:$X$2765,Ofertas!$T$748:$T$2765,Indicadores!S221,Ofertas!$AM$748:$AM$2765,Indicadores!$T$210,Ofertas!$L$748:$L$2765,Indicadores!$U$216)+SUMIFS(Ofertas!$X$748:$X$2765,Ofertas!$T$748:$T$2765,Indicadores!S221,Ofertas!$AM$748:$AM$2765,Indicadores!$T$209,Ofertas!$L$748:$L$2765,Indicadores!$U$216)+SUMIFS(Ofertas!$X$748:$X$2765,Ofertas!$T$748:$T$2765,Indicadores!S221,Ofertas!$AM$748:$AM$2765,Indicadores!$T$208,Ofertas!$L$748:$L$2765,Indicadores!$U$216)+SUMIFS(Ofertas!$X$748:$X$2765,Ofertas!$T$748:$T$2765,Indicadores!S221,Ofertas!$AM$748:$AM$2765,Indicadores!$T$207,Ofertas!$L$748:$L$2765,Indicadores!$U$216)+SUMIFS(Ofertas!$X$748:$X$2765,Ofertas!$T$748:$T$2765,Indicadores!S221,Ofertas!$AM$748:$AM$2765,Indicadores!$T$206,Ofertas!$L$748:$L$2765,Indicadores!$U$216)+SUMIFS(Ofertas!$X$748:$X$2765,Ofertas!$T$748:$T$2765,Indicadores!S221,Ofertas!$AM$748:$AM$2765,Indicadores!$T$205,Ofertas!$L$748:$L$2765,Indicadores!$U$216)</f>
        <v>292.95008000000001</v>
      </c>
      <c r="Z221" s="19">
        <f>IF($Y$218&lt;&gt;0,Y221/$Y$218,0)</f>
        <v>2.8962746044774012E-2</v>
      </c>
      <c r="AB221" s="101" t="s">
        <v>168</v>
      </c>
      <c r="AC221" s="22" t="s">
        <v>9411</v>
      </c>
      <c r="AD221" s="23">
        <f>COUNTIFS(Ofertas!$T$748:$T$2765,Indicadores!AB221,Ofertas!$AM$748:$AM$2765,$AC$215,Ofertas!$L$748:$L$2765,Indicadores!$AD$216)+COUNTIFS(Ofertas!$T$748:$T$2765,Indicadores!AB221,Ofertas!$AM$748:$AM$2765,$AC$214,Ofertas!$L$748:$L$2765,Indicadores!$AD$216)+COUNTIFS(Ofertas!$T$748:$T$2765,Indicadores!AB221,Ofertas!$AM$748:$AM$2765,$AC$213,Ofertas!$L$748:$L$2765,Indicadores!$AD$216)+COUNTIFS(Ofertas!$T$748:$T$2765,Indicadores!AB221,Ofertas!$AM$748:$AM$2765,$AC$212,Ofertas!$L$748:$L$2765,Indicadores!$AD$216)+COUNTIFS(Ofertas!$T$748:$T$2765,Indicadores!AB221,Ofertas!$AM$748:$AM$2765,$AC$211,Ofertas!$L$748:$L$2765,Indicadores!$AD$216)+COUNTIFS(Ofertas!$T$748:$T$2765,Indicadores!AB221,Ofertas!$AM$748:$AM$2765,$AC$210,Ofertas!$L$748:$L$2765,Indicadores!$AD$216)+COUNTIFS(Ofertas!$T$748:$T$2765,Indicadores!AB221,Ofertas!$AM$748:$AM$2765,$AC$209,Ofertas!$L$748:$L$2765,Indicadores!$AD$216)+COUNTIFS(Ofertas!$T$748:$T$2765,Indicadores!AB221,Ofertas!$AM$748:$AM$2765,$AC$208,Ofertas!$L$748:$L$2765,Indicadores!$AD$216)+COUNTIFS(Ofertas!$T$748:$T$2765,Indicadores!AB221,Ofertas!$AM$748:$AM$2765,$AC$207,Ofertas!$L$748:$L$2765,Indicadores!$AD$216)+COUNTIFS(Ofertas!$T$748:$T$2765,Indicadores!AB221,Ofertas!$AM$748:$AM$2765,$AC$206,Ofertas!$L$748:$L$2765,Indicadores!$AD$216)+COUNTIFS(Ofertas!$T$748:$T$2765,Indicadores!AB221,Ofertas!$AM$748:$AM$2765,$AC$205,Ofertas!$L$748:$L$2765,Indicadores!$AD$216)</f>
        <v>0</v>
      </c>
      <c r="AE221" s="96">
        <f t="shared" si="259"/>
        <v>0</v>
      </c>
      <c r="AF221" s="7">
        <f>SUMIFS(Ofertas!$W$748:$W$2765,Ofertas!$T$748:$T$2765,Indicadores!AB221,Ofertas!$AM$748:$AM$2765,Indicadores!$AC$215,Ofertas!$L$748:$L$2765,Indicadores!$AD$216)+SUMIFS(Ofertas!$W$748:$W$2765,Ofertas!$T$748:$T$2765,Indicadores!AB221,Ofertas!$AM$748:$AM$2765,Indicadores!$AC$214,Ofertas!$L$748:$L$2765,Indicadores!$AD$216)+SUMIFS(Ofertas!$W$748:$W$2765,Ofertas!$T$748:$T$2765,Indicadores!AB221,Ofertas!$AM$748:$AM$2765,Indicadores!$AC$213,Ofertas!$L$748:$L$2765,Indicadores!$AD$216)+SUMIFS(Ofertas!$W$748:$W$2765,Ofertas!$T$748:$T$2765,Indicadores!AB221,Ofertas!$AM$748:$AM$2765,Indicadores!$AC$212,Ofertas!$L$748:$L$2765,Indicadores!$AD$216)+SUMIFS(Ofertas!$W$748:$W$2765,Ofertas!$T$748:$T$2765,Indicadores!AB221,Ofertas!$AM$748:$AM$2765,Indicadores!$AC$211,Ofertas!$L$748:$L$2765,Indicadores!$AD$216)+SUMIFS(Ofertas!$W$748:$W$2765,Ofertas!$T$748:$T$2765,Indicadores!AB221,Ofertas!$AM$748:$AM$2765,Indicadores!$AC$210,Ofertas!$L$748:$L$2765,Indicadores!$AD$216)+SUMIFS(Ofertas!$W$748:$W$2765,Ofertas!$T$748:$T$2765,Indicadores!AB221,Ofertas!$AM$748:$AM$2765,Indicadores!$AC$209,Ofertas!$L$748:$L$2765,Indicadores!$AD$216)+SUMIFS(Ofertas!$W$748:$W$2765,Ofertas!$T$748:$T$2765,Indicadores!AB221,Ofertas!$AM$748:$AM$2765,Indicadores!$AC$208,Ofertas!$L$748:$L$2765,Indicadores!$AD$216)+SUMIFS(Ofertas!$W$748:$W$2765,Ofertas!$T$748:$T$2765,Indicadores!AB221,Ofertas!$AM$748:$AM$2765,Indicadores!$AC$207,Ofertas!$L$748:$L$2765,Indicadores!$AD$216)+SUMIFS(Ofertas!$W$748:$W$2765,Ofertas!$T$748:$T$2765,Indicadores!AB221,Ofertas!$AM$748:$AM$2765,Indicadores!$AC$206,Ofertas!$L$748:$L$2765,Indicadores!$AD$216)+SUMIFS(Ofertas!$W$748:$W$2765,Ofertas!$T$748:$T$2765,Indicadores!AB221,Ofertas!$AM$748:$AM$2765,Indicadores!$AC$205,Ofertas!$L$748:$L$2765,Indicadores!$AD$216)</f>
        <v>0</v>
      </c>
      <c r="AG221" s="96">
        <f t="shared" si="260"/>
        <v>0</v>
      </c>
      <c r="AH221" s="7">
        <f>SUMIFS(Ofertas!$X$748:$X$2765,Ofertas!$T$748:$T$2765,Indicadores!AB221,Ofertas!$AM$748:$AM$2765,Indicadores!$AC$215,Ofertas!$L$748:$L$2765,Indicadores!$AD$216)+SUMIFS(Ofertas!$X$748:$X$2765,Ofertas!$T$748:$T$2765,Indicadores!AB221,Ofertas!$AM$748:$AM$2765,Indicadores!$AC$214,Ofertas!$L$748:$L$2765,Indicadores!$AD$216)+SUMIFS(Ofertas!$X$748:$X$2765,Ofertas!$T$748:$T$2765,Indicadores!AB221,Ofertas!$AM$748:$AM$2765,Indicadores!$AC$213,Ofertas!$L$748:$L$2765,Indicadores!$AD$216)+SUMIFS(Ofertas!$X$748:$X$2765,Ofertas!$T$748:$T$2765,Indicadores!AB221,Ofertas!$AM$748:$AM$2765,Indicadores!$AC$212,Ofertas!$L$748:$L$2765,Indicadores!$AD$216)+SUMIFS(Ofertas!$X$748:$X$2765,Ofertas!$T$748:$T$2765,Indicadores!AB221,Ofertas!$AM$748:$AM$2765,Indicadores!$AC$211,Ofertas!$L$748:$L$2765,Indicadores!$AD$216)+SUMIFS(Ofertas!$X$748:$X$2765,Ofertas!$T$748:$T$2765,Indicadores!AB221,Ofertas!$AM$748:$AM$2765,Indicadores!$AC$210,Ofertas!$L$748:$L$2765,Indicadores!$AD$216)+SUMIFS(Ofertas!$X$748:$X$2765,Ofertas!$T$748:$T$2765,Indicadores!AB221,Ofertas!$AM$748:$AM$2765,Indicadores!$AC$209,Ofertas!$L$748:$L$2765,Indicadores!$AD$216)+SUMIFS(Ofertas!$X$748:$X$2765,Ofertas!$T$748:$T$2765,Indicadores!AB221,Ofertas!$AM$748:$AM$2765,Indicadores!$AC$208,Ofertas!$L$748:$L$2765,Indicadores!$AD$216)+SUMIFS(Ofertas!$X$748:$X$2765,Ofertas!$T$748:$T$2765,Indicadores!AB221,Ofertas!$AM$748:$AM$2765,Indicadores!$AC$207,Ofertas!$L$748:$L$2765,Indicadores!$AD$216)+SUMIFS(Ofertas!$X$748:$X$2765,Ofertas!$T$748:$T$2765,Indicadores!AB221,Ofertas!$AM$748:$AM$2765,Indicadores!$AC$206,Ofertas!$L$748:$L$2765,Indicadores!$AD$216)+SUMIFS(Ofertas!$X$748:$X$2765,Ofertas!$T$748:$T$2765,Indicadores!AB221,Ofertas!$AM$748:$AM$2765,Indicadores!$AC$205,Ofertas!$L$748:$L$2765,Indicadores!$AD$216)</f>
        <v>0</v>
      </c>
      <c r="AI221" s="19">
        <f t="shared" si="261"/>
        <v>0</v>
      </c>
      <c r="AK221" s="101" t="s">
        <v>168</v>
      </c>
      <c r="AL221" s="22" t="s">
        <v>9411</v>
      </c>
      <c r="AM221" s="23">
        <f>COUNTIFS(Ofertas!$T$748:$T$2765,Indicadores!AK221,Ofertas!$AM$748:$AM$2765,$AC$215,Ofertas!$L$748:$L$2765,Indicadores!$AD$216)+COUNTIFS(Ofertas!$T$748:$T$2765,Indicadores!AK221,Ofertas!$AM$748:$AM$2765,$AC$214,Ofertas!$L$748:$L$2765,Indicadores!$AD$216)+COUNTIFS(Ofertas!$T$748:$T$2765,Indicadores!AK221,Ofertas!$AM$748:$AM$2765,$AC$213,Ofertas!$L$748:$L$2765,Indicadores!$AD$216)+COUNTIFS(Ofertas!$T$748:$T$2765,Indicadores!AK221,Ofertas!$AM$748:$AM$2765,$AC$212,Ofertas!$L$748:$L$2765,Indicadores!$AD$216)+COUNTIFS(Ofertas!$T$748:$T$2765,Indicadores!AK221,Ofertas!$AM$748:$AM$2765,$AC$211,Ofertas!$L$748:$L$2765,Indicadores!$AD$216)+COUNTIFS(Ofertas!$T$748:$T$2765,Indicadores!AK221,Ofertas!$AM$748:$AM$2765,$AC$210,Ofertas!$L$748:$L$2765,Indicadores!$AD$216)+COUNTIFS(Ofertas!$T$748:$T$2765,Indicadores!AK221,Ofertas!$AM$748:$AM$2765,$AC$209,Ofertas!$L$748:$L$2765,Indicadores!$AD$216)</f>
        <v>0</v>
      </c>
      <c r="AN221" s="96">
        <f>IF($AD$218&lt;&gt;0,AM221/$AD$218,0)</f>
        <v>0</v>
      </c>
      <c r="AO221" s="7">
        <f>SUMIFS(Ofertas!$W$748:$W$2765,Ofertas!$T$748:$T$2765,Indicadores!AK221,Ofertas!$AM$748:$AM$2765,Indicadores!$AC$215,Ofertas!$L$748:$L$2765,Indicadores!$AD$216)+SUMIFS(Ofertas!$W$748:$W$2765,Ofertas!$T$748:$T$2765,Indicadores!AK221,Ofertas!$AM$748:$AM$2765,Indicadores!$AC$214,Ofertas!$L$748:$L$2765,Indicadores!$AD$216)+SUMIFS(Ofertas!$W$748:$W$2765,Ofertas!$T$748:$T$2765,Indicadores!AK221,Ofertas!$AM$748:$AM$2765,Indicadores!$AC$213,Ofertas!$L$748:$L$2765,Indicadores!$AD$216)+SUMIFS(Ofertas!$W$748:$W$2765,Ofertas!$T$748:$T$2765,Indicadores!AK221,Ofertas!$AM$748:$AM$2765,Indicadores!$AC$212,Ofertas!$L$748:$L$2765,Indicadores!$AD$216)+SUMIFS(Ofertas!$W$748:$W$2765,Ofertas!$T$748:$T$2765,Indicadores!AK221,Ofertas!$AM$748:$AM$2765,Indicadores!$AC$211,Ofertas!$L$748:$L$2765,Indicadores!$AD$216)+SUMIFS(Ofertas!$W$748:$W$2765,Ofertas!$T$748:$T$2765,Indicadores!AK221,Ofertas!$AM$748:$AM$2765,Indicadores!$AC$210,Ofertas!$L$748:$L$2765,Indicadores!$AD$216)+SUMIFS(Ofertas!$W$748:$W$2765,Ofertas!$T$748:$T$2765,Indicadores!AK221,Ofertas!$AM$748:$AM$2765,Indicadores!$AC$209,Ofertas!$L$748:$L$2765,Indicadores!$AD$216)</f>
        <v>0</v>
      </c>
      <c r="AP221" s="96">
        <f>IF($AF$218&lt;&gt;0,AO221/$AF$218,0)</f>
        <v>0</v>
      </c>
      <c r="AQ221" s="7">
        <f>SUMIFS(Ofertas!$X$748:$X$2765,Ofertas!$T$748:$T$2765,Indicadores!AK221,Ofertas!$AM$748:$AM$2765,Indicadores!$AC$215,Ofertas!$L$748:$L$2765,Indicadores!$AD$216)+SUMIFS(Ofertas!$X$748:$X$2765,Ofertas!$T$748:$T$2765,Indicadores!AK221,Ofertas!$AM$748:$AM$2765,Indicadores!$AC$214,Ofertas!$L$748:$L$2765,Indicadores!$AD$216)+SUMIFS(Ofertas!$X$748:$X$2765,Ofertas!$T$748:$T$2765,Indicadores!AK221,Ofertas!$AM$748:$AM$2765,Indicadores!$AC$213,Ofertas!$L$748:$L$2765,Indicadores!$AD$216)+SUMIFS(Ofertas!$X$748:$X$2765,Ofertas!$T$748:$T$2765,Indicadores!AK221,Ofertas!$AM$748:$AM$2765,Indicadores!$AC$212,Ofertas!$L$748:$L$2765,Indicadores!$AD$216)+SUMIFS(Ofertas!$X$748:$X$2765,Ofertas!$T$748:$T$2765,Indicadores!AK221,Ofertas!$AM$748:$AM$2765,Indicadores!$AC$211,Ofertas!$L$748:$L$2765,Indicadores!$AD$216)+SUMIFS(Ofertas!$X$748:$X$2765,Ofertas!$T$748:$T$2765,Indicadores!AK221,Ofertas!$AM$748:$AM$2765,Indicadores!$AC$210,Ofertas!$L$748:$L$2765,Indicadores!$AD$216)+SUMIFS(Ofertas!$X$748:$X$2765,Ofertas!$T$748:$T$2765,Indicadores!AK221,Ofertas!$AM$748:$AM$2765,Indicadores!$AC$209,Ofertas!$L$748:$L$2765,Indicadores!$AD$216)</f>
        <v>0</v>
      </c>
      <c r="AR221" s="19">
        <f>IF($AH$218&lt;&gt;0,AQ221/$AH$218,0)</f>
        <v>0</v>
      </c>
    </row>
    <row r="222" spans="1:44" ht="13.9">
      <c r="A222" s="101" t="s">
        <v>158</v>
      </c>
      <c r="B222" s="22" t="s">
        <v>159</v>
      </c>
      <c r="C222" s="23">
        <f>COUNTIFS(Ofertas!$T$22:$T$2765,Indicadores!A222,Ofertas!$AK$22:$AK$2765,$B$216)</f>
        <v>0</v>
      </c>
      <c r="D222" s="19">
        <f>C222/$C$218</f>
        <v>0</v>
      </c>
      <c r="E222" s="7">
        <f>SUMIFS(Ofertas!$W$748:$W$2765,Ofertas!$T$748:$T$2765,Indicadores!A222,Ofertas!$AK$748:$AK$2765,Indicadores!$B$216)</f>
        <v>0</v>
      </c>
      <c r="F222" s="19">
        <f>E222/$E$218</f>
        <v>0</v>
      </c>
      <c r="G222" s="7">
        <f>SUMIFS(Ofertas!$X$748:$X$2765,Ofertas!$T$748:$T$2765,Indicadores!A222,Ofertas!$AK$748:$AK$2765,Indicadores!$B$216)</f>
        <v>0</v>
      </c>
      <c r="H222" s="19">
        <f>G222/$G$218</f>
        <v>0</v>
      </c>
      <c r="J222" s="101" t="s">
        <v>158</v>
      </c>
      <c r="K222" s="22" t="s">
        <v>159</v>
      </c>
      <c r="L222" s="23">
        <f>COUNTIFS(Ofertas!$T$748:$T$2765,Indicadores!J222,Ofertas!$AM$748:$AM$2765,$K$215,Ofertas!$L$748:$L$2765,Indicadores!$L$216)+COUNTIFS(Ofertas!$T$748:$T$2765,Indicadores!J222,Ofertas!$AM$748:$AM$2765,$K$214,Ofertas!$L$748:$L$2765,Indicadores!$L$216)+COUNTIFS(Ofertas!$T$748:$T$2765,Indicadores!J222,Ofertas!$AM$748:$AM$2765,$K$213,Ofertas!$L$748:$L$2765,Indicadores!$L$216)+COUNTIFS(Ofertas!$T$748:$T$2765,Indicadores!J222,Ofertas!$AM$748:$AM$2765,$K$212,Ofertas!$L$748:$L$2765,Indicadores!$L$216)+COUNTIFS(Ofertas!$T$748:$T$2765,Indicadores!J222,Ofertas!$AM$748:$AM$2765,$K$211,Ofertas!$L$748:$L$2765,Indicadores!$L$216)+COUNTIFS(Ofertas!$T$748:$T$2765,Indicadores!J222,Ofertas!$AM$748:$AM$2765,$K$210,Ofertas!$L$748:$L$2765,Indicadores!$L$216)+COUNTIFS(Ofertas!$T$748:$T$2765,Indicadores!J222,Ofertas!$AM$748:$AM$2765,$K$209,Ofertas!$L$748:$L$2765,Indicadores!$L$216)+COUNTIFS(Ofertas!$T$748:$T$2765,Indicadores!J222,Ofertas!$AM$748:$AM$2765,$K$208,Ofertas!$L$748:$L$2765,Indicadores!$L$216)+COUNTIFS(Ofertas!$T$748:$T$2765,Indicadores!J222,Ofertas!$AM$748:$AM$2765,$K$207,Ofertas!$L$748:$L$2765,Indicadores!$L$216)+COUNTIFS(Ofertas!$T$748:$T$2765,Indicadores!J222,Ofertas!$AM$748:$AM$2765,$K$206,Ofertas!$L$748:$L$2765,Indicadores!$L$216)+COUNTIFS(Ofertas!$T$748:$T$2765,Indicadores!J222,Ofertas!$AM$748:$AM$2765,$K$205,Ofertas!$L$748:$L$2765,Indicadores!$L$216)</f>
        <v>0</v>
      </c>
      <c r="M222" s="19">
        <f>L222/$L$218</f>
        <v>0</v>
      </c>
      <c r="N222" s="7">
        <f>SUMIFS(Ofertas!$W$748:$W$2765,Ofertas!$T$748:$T$2765,Indicadores!J222,Ofertas!$AM$748:$AM$2765,Indicadores!$K$215,Ofertas!$L$748:$L$2765,Indicadores!$L$216)+SUMIFS(Ofertas!$W$748:$W$2765,Ofertas!$T$748:$T$2765,Indicadores!J222,Ofertas!$AM$748:$AM$2765,Indicadores!$K$214,Ofertas!$L$748:$L$2765,Indicadores!$L$216)+SUMIFS(Ofertas!$W$748:$W$2765,Ofertas!$T$748:$T$2765,Indicadores!J222,Ofertas!$AM$748:$AM$2765,Indicadores!$K$213,Ofertas!$L$748:$L$2765,Indicadores!$L$216)+SUMIFS(Ofertas!$W$748:$W$2765,Ofertas!$T$748:$T$2765,Indicadores!J222,Ofertas!$AM$748:$AM$2765,Indicadores!$K$212,Ofertas!$L$748:$L$2765,Indicadores!$L$216)+SUMIFS(Ofertas!$W$748:$W$2765,Ofertas!$T$748:$T$2765,Indicadores!J222,Ofertas!$AM$748:$AM$2765,Indicadores!$K$211,Ofertas!$L$748:$L$2765,Indicadores!$L$216)+SUMIFS(Ofertas!$W$748:$W$2765,Ofertas!$T$748:$T$2765,Indicadores!J222,Ofertas!$AM$748:$AM$2765,Indicadores!$K$210,Ofertas!$L$748:$L$2765,Indicadores!$L$216)+SUMIFS(Ofertas!$W$748:$W$2765,Ofertas!$T$748:$T$2765,Indicadores!J222,Ofertas!$AM$748:$AM$2765,Indicadores!$K$209,Ofertas!$L$748:$L$2765,Indicadores!$L$216)+SUMIFS(Ofertas!$W$748:$W$2765,Ofertas!$T$748:$T$2765,Indicadores!J222,Ofertas!$AM$748:$AM$2765,Indicadores!$K$208,Ofertas!$L$748:$L$2765,Indicadores!$L$216)+SUMIFS(Ofertas!$W$748:$W$2765,Ofertas!$T$748:$T$2765,Indicadores!J222,Ofertas!$AM$748:$AM$2765,Indicadores!$K$207,Ofertas!$L$748:$L$2765,Indicadores!$L$216)+SUMIFS(Ofertas!$W$748:$W$2765,Ofertas!$T$748:$T$2765,Indicadores!J222,Ofertas!$AM$748:$AM$2765,Indicadores!$K$206,Ofertas!$L$748:$L$2765,Indicadores!$L$216)+SUMIFS(Ofertas!$W$748:$W$2765,Ofertas!$T$748:$T$2765,Indicadores!J222,Ofertas!$AM$748:$AM$2765,Indicadores!$K$205,Ofertas!$L$748:$L$2765,Indicadores!$L$216)</f>
        <v>0</v>
      </c>
      <c r="O222" s="96">
        <f>N222/$N$218</f>
        <v>0</v>
      </c>
      <c r="P222" s="7">
        <f>SUMIFS(Ofertas!$X$748:$X$2765,Ofertas!$T$748:$T$2765,Indicadores!J222,Ofertas!$AM$748:$AM$2765,Indicadores!$K$215,Ofertas!$L$748:$L$2765,Indicadores!$L$216)+SUMIFS(Ofertas!$X$748:$X$2765,Ofertas!$T$748:$T$2765,Indicadores!J222,Ofertas!$AM$748:$AM$2765,Indicadores!$K$214,Ofertas!$L$748:$L$2765,Indicadores!$L$216)+SUMIFS(Ofertas!$X$748:$X$2765,Ofertas!$T$748:$T$2765,Indicadores!J222,Ofertas!$AM$748:$AM$2765,Indicadores!$K$213,Ofertas!$L$748:$L$2765,Indicadores!$L$216)+SUMIFS(Ofertas!$X$748:$X$2765,Ofertas!$T$748:$T$2765,Indicadores!J222,Ofertas!$AM$748:$AM$2765,Indicadores!$K$212,Ofertas!$L$748:$L$2765,Indicadores!$L$216)+SUMIFS(Ofertas!$X$748:$X$2765,Ofertas!$T$748:$T$2765,Indicadores!J222,Ofertas!$AM$748:$AM$2765,Indicadores!$K$211,Ofertas!$L$748:$L$2765,Indicadores!$L$216)+SUMIFS(Ofertas!$X$748:$X$2765,Ofertas!$T$748:$T$2765,Indicadores!J222,Ofertas!$AM$748:$AM$2765,Indicadores!$K$210,Ofertas!$L$748:$L$2765,Indicadores!$L$216)+SUMIFS(Ofertas!$X$748:$X$2765,Ofertas!$T$748:$T$2765,Indicadores!J222,Ofertas!$AM$748:$AM$2765,Indicadores!$K$209,Ofertas!$L$748:$L$2765,Indicadores!$L$216)+SUMIFS(Ofertas!$X$748:$X$2765,Ofertas!$T$748:$T$2765,Indicadores!J222,Ofertas!$AM$748:$AM$2765,Indicadores!$K$208,Ofertas!$L$748:$L$2765,Indicadores!$L$216)+SUMIFS(Ofertas!$X$748:$X$2765,Ofertas!$T$748:$T$2765,Indicadores!J222,Ofertas!$AM$748:$AM$2765,Indicadores!$K$207,Ofertas!$L$748:$L$2765,Indicadores!$L$216)+SUMIFS(Ofertas!$X$748:$X$2765,Ofertas!$T$748:$T$2765,Indicadores!J222,Ofertas!$AM$748:$AM$2765,Indicadores!$K$206,Ofertas!$L$748:$L$2765,Indicadores!$L$216)+SUMIFS(Ofertas!$X$748:$X$2765,Ofertas!$T$748:$T$2765,Indicadores!J222,Ofertas!$AM$748:$AM$2765,Indicadores!$K$205,Ofertas!$L$748:$L$2765,Indicadores!$L$216)</f>
        <v>0</v>
      </c>
      <c r="Q222" s="19">
        <f>P222/$P$218</f>
        <v>0</v>
      </c>
      <c r="S222" s="101" t="s">
        <v>158</v>
      </c>
      <c r="T222" s="22" t="s">
        <v>159</v>
      </c>
      <c r="U222" s="23">
        <f>COUNTIFS(Ofertas!$T$748:$T$2765,Indicadores!S222,Ofertas!$AM$748:$AM$2765,$T$215,Ofertas!$L$748:$L$2765,Indicadores!$U$216)+COUNTIFS(Ofertas!$T$748:$T$2765,Indicadores!S222,Ofertas!$AM$748:$AM$2765,$T$214,Ofertas!$L$748:$L$2765,Indicadores!$U$216)+COUNTIFS(Ofertas!$T$748:$T$2765,Indicadores!S222,Ofertas!$AM$748:$AM$2765,$T$213,Ofertas!$L$748:$L$2765,Indicadores!$U$216)+COUNTIFS(Ofertas!$T$748:$T$2765,Indicadores!S222,Ofertas!$AM$748:$AM$2765,$T$212,Ofertas!$L$748:$L$2765,Indicadores!$U$216)+COUNTIFS(Ofertas!$T$748:$T$2765,Indicadores!S222,Ofertas!$AM$748:$AM$2765,$T$211,Ofertas!$L$748:$L$2765,Indicadores!$U$216)+COUNTIFS(Ofertas!$T$748:$T$2765,Indicadores!S222,Ofertas!$AM$748:$AM$2765,$T$210,Ofertas!$L$748:$L$2765,Indicadores!$U$216)+COUNTIFS(Ofertas!$T$748:$T$2765,Indicadores!S222,Ofertas!$AM$748:$AM$2765,$T$209,Ofertas!$L$748:$L$2765,Indicadores!$U$216)+COUNTIFS(Ofertas!$T$748:$T$2765,Indicadores!S222,Ofertas!$AM$748:$AM$2765,$T$208,Ofertas!$L$748:$L$2765,Indicadores!$U$216)+COUNTIFS(Ofertas!$T$748:$T$2765,Indicadores!S222,Ofertas!$AM$748:$AM$2765,$T$207,Ofertas!$L$748:$L$2765,Indicadores!$U$216)+COUNTIFS(Ofertas!$T$748:$T$2765,Indicadores!S222,Ofertas!$AM$748:$AM$2765,$T$206,Ofertas!$L$748:$L$2765,Indicadores!$U$216)+COUNTIFS(Ofertas!$T$748:$T$2765,Indicadores!S222,Ofertas!$AM$748:$AM$2765,$T$205,Ofertas!$L$748:$L$2765,Indicadores!$U$216)</f>
        <v>0</v>
      </c>
      <c r="V222" s="19">
        <f t="shared" si="257"/>
        <v>0</v>
      </c>
      <c r="W222" s="7">
        <f>SUMIFS(Ofertas!$W$748:$W$2765,Ofertas!$T$748:$T$2765,Indicadores!S222,Ofertas!$AM$748:$AM$2765,Indicadores!$T$215,Ofertas!$L$748:$L$2765,Indicadores!$U$216)+SUMIFS(Ofertas!$W$748:$W$2765,Ofertas!$T$748:$T$2765,Indicadores!S222,Ofertas!$AM$748:$AM$2765,Indicadores!$T$214,Ofertas!$L$748:$L$2765,Indicadores!$U$216)+SUMIFS(Ofertas!$W$748:$W$2765,Ofertas!$T$748:$T$2765,Indicadores!S222,Ofertas!$AM$748:$AM$2765,Indicadores!$T$213,Ofertas!$L$748:$L$2765,Indicadores!$U$216)+SUMIFS(Ofertas!$W$748:$W$2765,Ofertas!$T$748:$T$2765,Indicadores!S222,Ofertas!$AM$748:$AM$2765,Indicadores!$T$212,Ofertas!$L$748:$L$2765,Indicadores!$U$216)+SUMIFS(Ofertas!$W$748:$W$2765,Ofertas!$T$748:$T$2765,Indicadores!S222,Ofertas!$AM$748:$AM$2765,Indicadores!$T$211,Ofertas!$L$748:$L$2765,Indicadores!$U$216)+SUMIFS(Ofertas!$W$748:$W$2765,Ofertas!$T$748:$T$2765,Indicadores!S222,Ofertas!$AM$748:$AM$2765,Indicadores!$T$210,Ofertas!$L$748:$L$2765,Indicadores!$U$216)+SUMIFS(Ofertas!$W$748:$W$2765,Ofertas!$T$748:$T$2765,Indicadores!S222,Ofertas!$AM$748:$AM$2765,Indicadores!$T$209,Ofertas!$L$748:$L$2765,Indicadores!$U$216)+SUMIFS(Ofertas!$W$748:$W$2765,Ofertas!$T$748:$T$2765,Indicadores!S222,Ofertas!$AM$748:$AM$2765,Indicadores!$T$208,Ofertas!$L$748:$L$2765,Indicadores!$U$216)+SUMIFS(Ofertas!$W$748:$W$2765,Ofertas!$T$748:$T$2765,Indicadores!S222,Ofertas!$AM$748:$AM$2765,Indicadores!$T$207,Ofertas!$L$748:$L$2765,Indicadores!$U$216)+SUMIFS(Ofertas!$W$748:$W$2765,Ofertas!$T$748:$T$2765,Indicadores!S222,Ofertas!$AM$748:$AM$2765,Indicadores!$T$206,Ofertas!$L$748:$L$2765,Indicadores!$U$216)+SUMIFS(Ofertas!$W$748:$W$2765,Ofertas!$T$748:$T$2765,Indicadores!S222,Ofertas!$AM$748:$AM$2765,Indicadores!$T$205,Ofertas!$L$748:$L$2765,Indicadores!$U$216)</f>
        <v>0</v>
      </c>
      <c r="X222" s="96">
        <f t="shared" si="258"/>
        <v>0</v>
      </c>
      <c r="Y222" s="7">
        <f>SUMIFS(Ofertas!$X$748:$X$2765,Ofertas!$T$748:$T$2765,Indicadores!S222,Ofertas!$AM$748:$AM$2765,Indicadores!$T$215,Ofertas!$L$748:$L$2765,Indicadores!$U$216)+SUMIFS(Ofertas!$X$748:$X$2765,Ofertas!$T$748:$T$2765,Indicadores!S222,Ofertas!$AM$748:$AM$2765,Indicadores!$T$214,Ofertas!$L$748:$L$2765,Indicadores!$U$216)+SUMIFS(Ofertas!$X$748:$X$2765,Ofertas!$T$748:$T$2765,Indicadores!S222,Ofertas!$AM$748:$AM$2765,Indicadores!$T$213,Ofertas!$L$748:$L$2765,Indicadores!$U$216)+SUMIFS(Ofertas!$X$748:$X$2765,Ofertas!$T$748:$T$2765,Indicadores!S222,Ofertas!$AM$748:$AM$2765,Indicadores!$T$212,Ofertas!$L$748:$L$2765,Indicadores!$U$216)+SUMIFS(Ofertas!$X$748:$X$2765,Ofertas!$T$748:$T$2765,Indicadores!S222,Ofertas!$AM$748:$AM$2765,Indicadores!$T$211,Ofertas!$L$748:$L$2765,Indicadores!$U$216)+SUMIFS(Ofertas!$X$748:$X$2765,Ofertas!$T$748:$T$2765,Indicadores!S222,Ofertas!$AM$748:$AM$2765,Indicadores!$T$210,Ofertas!$L$748:$L$2765,Indicadores!$U$216)+SUMIFS(Ofertas!$X$748:$X$2765,Ofertas!$T$748:$T$2765,Indicadores!S222,Ofertas!$AM$748:$AM$2765,Indicadores!$T$209,Ofertas!$L$748:$L$2765,Indicadores!$U$216)+SUMIFS(Ofertas!$X$748:$X$2765,Ofertas!$T$748:$T$2765,Indicadores!S222,Ofertas!$AM$748:$AM$2765,Indicadores!$T$208,Ofertas!$L$748:$L$2765,Indicadores!$U$216)+SUMIFS(Ofertas!$X$748:$X$2765,Ofertas!$T$748:$T$2765,Indicadores!S222,Ofertas!$AM$748:$AM$2765,Indicadores!$T$207,Ofertas!$L$748:$L$2765,Indicadores!$U$216)+SUMIFS(Ofertas!$X$748:$X$2765,Ofertas!$T$748:$T$2765,Indicadores!S222,Ofertas!$AM$748:$AM$2765,Indicadores!$T$206,Ofertas!$L$748:$L$2765,Indicadores!$U$216)+SUMIFS(Ofertas!$X$748:$X$2765,Ofertas!$T$748:$T$2765,Indicadores!S222,Ofertas!$AM$748:$AM$2765,Indicadores!$T$205,Ofertas!$L$748:$L$2765,Indicadores!$U$216)</f>
        <v>0</v>
      </c>
      <c r="Z222" s="19">
        <f>IF($Y$218&lt;&gt;0,Y222/$Y$218,0)</f>
        <v>0</v>
      </c>
      <c r="AB222" s="101" t="s">
        <v>158</v>
      </c>
      <c r="AC222" s="22" t="s">
        <v>159</v>
      </c>
      <c r="AD222" s="23">
        <f>COUNTIFS(Ofertas!$T$748:$T$2765,Indicadores!AB222,Ofertas!$AM$748:$AM$2765,$AC$215,Ofertas!$L$748:$L$2765,Indicadores!$AD$216)+COUNTIFS(Ofertas!$T$748:$T$2765,Indicadores!AB222,Ofertas!$AM$748:$AM$2765,$AC$214,Ofertas!$L$748:$L$2765,Indicadores!$AD$216)+COUNTIFS(Ofertas!$T$748:$T$2765,Indicadores!AB222,Ofertas!$AM$748:$AM$2765,$AC$213,Ofertas!$L$748:$L$2765,Indicadores!$AD$216)+COUNTIFS(Ofertas!$T$748:$T$2765,Indicadores!AB222,Ofertas!$AM$748:$AM$2765,$AC$212,Ofertas!$L$748:$L$2765,Indicadores!$AD$216)+COUNTIFS(Ofertas!$T$748:$T$2765,Indicadores!AB222,Ofertas!$AM$748:$AM$2765,$AC$211,Ofertas!$L$748:$L$2765,Indicadores!$AD$216)+COUNTIFS(Ofertas!$T$748:$T$2765,Indicadores!AB222,Ofertas!$AM$748:$AM$2765,$AC$210,Ofertas!$L$748:$L$2765,Indicadores!$AD$216)+COUNTIFS(Ofertas!$T$748:$T$2765,Indicadores!AB222,Ofertas!$AM$748:$AM$2765,$AC$209,Ofertas!$L$748:$L$2765,Indicadores!$AD$216)+COUNTIFS(Ofertas!$T$748:$T$2765,Indicadores!AB222,Ofertas!$AM$748:$AM$2765,$AC$208,Ofertas!$L$748:$L$2765,Indicadores!$AD$216)+COUNTIFS(Ofertas!$T$748:$T$2765,Indicadores!AB222,Ofertas!$AM$748:$AM$2765,$AC$207,Ofertas!$L$748:$L$2765,Indicadores!$AD$216)+COUNTIFS(Ofertas!$T$748:$T$2765,Indicadores!AB222,Ofertas!$AM$748:$AM$2765,$AC$206,Ofertas!$L$748:$L$2765,Indicadores!$AD$216)+COUNTIFS(Ofertas!$T$748:$T$2765,Indicadores!AB222,Ofertas!$AM$748:$AM$2765,$AC$205,Ofertas!$L$748:$L$2765,Indicadores!$AD$216)</f>
        <v>0</v>
      </c>
      <c r="AE222" s="96">
        <f t="shared" si="259"/>
        <v>0</v>
      </c>
      <c r="AF222" s="7">
        <f>SUMIFS(Ofertas!$W$748:$W$2765,Ofertas!$T$748:$T$2765,Indicadores!AB222,Ofertas!$AM$748:$AM$2765,Indicadores!$AC$215,Ofertas!$L$748:$L$2765,Indicadores!$AD$216)+SUMIFS(Ofertas!$W$748:$W$2765,Ofertas!$T$748:$T$2765,Indicadores!AB222,Ofertas!$AM$748:$AM$2765,Indicadores!$AC$214,Ofertas!$L$748:$L$2765,Indicadores!$AD$216)+SUMIFS(Ofertas!$W$748:$W$2765,Ofertas!$T$748:$T$2765,Indicadores!AB222,Ofertas!$AM$748:$AM$2765,Indicadores!$AC$213,Ofertas!$L$748:$L$2765,Indicadores!$AD$216)+SUMIFS(Ofertas!$W$748:$W$2765,Ofertas!$T$748:$T$2765,Indicadores!AB222,Ofertas!$AM$748:$AM$2765,Indicadores!$AC$212,Ofertas!$L$748:$L$2765,Indicadores!$AD$216)+SUMIFS(Ofertas!$W$748:$W$2765,Ofertas!$T$748:$T$2765,Indicadores!AB222,Ofertas!$AM$748:$AM$2765,Indicadores!$AC$211,Ofertas!$L$748:$L$2765,Indicadores!$AD$216)+SUMIFS(Ofertas!$W$748:$W$2765,Ofertas!$T$748:$T$2765,Indicadores!AB222,Ofertas!$AM$748:$AM$2765,Indicadores!$AC$210,Ofertas!$L$748:$L$2765,Indicadores!$AD$216)+SUMIFS(Ofertas!$W$748:$W$2765,Ofertas!$T$748:$T$2765,Indicadores!AB222,Ofertas!$AM$748:$AM$2765,Indicadores!$AC$209,Ofertas!$L$748:$L$2765,Indicadores!$AD$216)+SUMIFS(Ofertas!$W$748:$W$2765,Ofertas!$T$748:$T$2765,Indicadores!AB222,Ofertas!$AM$748:$AM$2765,Indicadores!$AC$208,Ofertas!$L$748:$L$2765,Indicadores!$AD$216)+SUMIFS(Ofertas!$W$748:$W$2765,Ofertas!$T$748:$T$2765,Indicadores!AB222,Ofertas!$AM$748:$AM$2765,Indicadores!$AC$207,Ofertas!$L$748:$L$2765,Indicadores!$AD$216)+SUMIFS(Ofertas!$W$748:$W$2765,Ofertas!$T$748:$T$2765,Indicadores!AB222,Ofertas!$AM$748:$AM$2765,Indicadores!$AC$206,Ofertas!$L$748:$L$2765,Indicadores!$AD$216)+SUMIFS(Ofertas!$W$748:$W$2765,Ofertas!$T$748:$T$2765,Indicadores!AB222,Ofertas!$AM$748:$AM$2765,Indicadores!$AC$205,Ofertas!$L$748:$L$2765,Indicadores!$AD$216)</f>
        <v>0</v>
      </c>
      <c r="AG222" s="96">
        <f t="shared" si="260"/>
        <v>0</v>
      </c>
      <c r="AH222" s="7">
        <f>SUMIFS(Ofertas!$X$748:$X$2765,Ofertas!$T$748:$T$2765,Indicadores!AB222,Ofertas!$AM$748:$AM$2765,Indicadores!$AC$215,Ofertas!$L$748:$L$2765,Indicadores!$AD$216)+SUMIFS(Ofertas!$X$748:$X$2765,Ofertas!$T$748:$T$2765,Indicadores!AB222,Ofertas!$AM$748:$AM$2765,Indicadores!$AC$214,Ofertas!$L$748:$L$2765,Indicadores!$AD$216)+SUMIFS(Ofertas!$X$748:$X$2765,Ofertas!$T$748:$T$2765,Indicadores!AB222,Ofertas!$AM$748:$AM$2765,Indicadores!$AC$213,Ofertas!$L$748:$L$2765,Indicadores!$AD$216)+SUMIFS(Ofertas!$X$748:$X$2765,Ofertas!$T$748:$T$2765,Indicadores!AB222,Ofertas!$AM$748:$AM$2765,Indicadores!$AC$212,Ofertas!$L$748:$L$2765,Indicadores!$AD$216)+SUMIFS(Ofertas!$X$748:$X$2765,Ofertas!$T$748:$T$2765,Indicadores!AB222,Ofertas!$AM$748:$AM$2765,Indicadores!$AC$211,Ofertas!$L$748:$L$2765,Indicadores!$AD$216)+SUMIFS(Ofertas!$X$748:$X$2765,Ofertas!$T$748:$T$2765,Indicadores!AB222,Ofertas!$AM$748:$AM$2765,Indicadores!$AC$210,Ofertas!$L$748:$L$2765,Indicadores!$AD$216)+SUMIFS(Ofertas!$X$748:$X$2765,Ofertas!$T$748:$T$2765,Indicadores!AB222,Ofertas!$AM$748:$AM$2765,Indicadores!$AC$209,Ofertas!$L$748:$L$2765,Indicadores!$AD$216)+SUMIFS(Ofertas!$X$748:$X$2765,Ofertas!$T$748:$T$2765,Indicadores!AB222,Ofertas!$AM$748:$AM$2765,Indicadores!$AC$208,Ofertas!$L$748:$L$2765,Indicadores!$AD$216)+SUMIFS(Ofertas!$X$748:$X$2765,Ofertas!$T$748:$T$2765,Indicadores!AB222,Ofertas!$AM$748:$AM$2765,Indicadores!$AC$207,Ofertas!$L$748:$L$2765,Indicadores!$AD$216)+SUMIFS(Ofertas!$X$748:$X$2765,Ofertas!$T$748:$T$2765,Indicadores!AB222,Ofertas!$AM$748:$AM$2765,Indicadores!$AC$206,Ofertas!$L$748:$L$2765,Indicadores!$AD$216)+SUMIFS(Ofertas!$X$748:$X$2765,Ofertas!$T$748:$T$2765,Indicadores!AB222,Ofertas!$AM$748:$AM$2765,Indicadores!$AC$205,Ofertas!$L$748:$L$2765,Indicadores!$AD$216)</f>
        <v>0</v>
      </c>
      <c r="AI222" s="19">
        <f t="shared" si="261"/>
        <v>0</v>
      </c>
      <c r="AK222" s="101" t="s">
        <v>158</v>
      </c>
      <c r="AL222" s="22" t="s">
        <v>159</v>
      </c>
      <c r="AM222" s="23">
        <f>COUNTIFS(Ofertas!$T$748:$T$2765,Indicadores!AK222,Ofertas!$AM$748:$AM$2765,$AC$215,Ofertas!$L$748:$L$2765,Indicadores!$AD$216)+COUNTIFS(Ofertas!$T$748:$T$2765,Indicadores!AK222,Ofertas!$AM$748:$AM$2765,$AC$214,Ofertas!$L$748:$L$2765,Indicadores!$AD$216)+COUNTIFS(Ofertas!$T$748:$T$2765,Indicadores!AK222,Ofertas!$AM$748:$AM$2765,$AC$213,Ofertas!$L$748:$L$2765,Indicadores!$AD$216)+COUNTIFS(Ofertas!$T$748:$T$2765,Indicadores!AK222,Ofertas!$AM$748:$AM$2765,$AC$212,Ofertas!$L$748:$L$2765,Indicadores!$AD$216)+COUNTIFS(Ofertas!$T$748:$T$2765,Indicadores!AK222,Ofertas!$AM$748:$AM$2765,$AC$211,Ofertas!$L$748:$L$2765,Indicadores!$AD$216)+COUNTIFS(Ofertas!$T$748:$T$2765,Indicadores!AK222,Ofertas!$AM$748:$AM$2765,$AC$210,Ofertas!$L$748:$L$2765,Indicadores!$AD$216)+COUNTIFS(Ofertas!$T$748:$T$2765,Indicadores!AK222,Ofertas!$AM$748:$AM$2765,$AC$209,Ofertas!$L$748:$L$2765,Indicadores!$AD$216)</f>
        <v>0</v>
      </c>
      <c r="AN222" s="96">
        <f>IF($AD$218&lt;&gt;0,AM222/$AD$218,0)</f>
        <v>0</v>
      </c>
      <c r="AO222" s="7">
        <f>SUMIFS(Ofertas!$W$748:$W$2765,Ofertas!$T$748:$T$2765,Indicadores!AK222,Ofertas!$AM$748:$AM$2765,Indicadores!$AC$215,Ofertas!$L$748:$L$2765,Indicadores!$AD$216)+SUMIFS(Ofertas!$W$748:$W$2765,Ofertas!$T$748:$T$2765,Indicadores!AK222,Ofertas!$AM$748:$AM$2765,Indicadores!$AC$214,Ofertas!$L$748:$L$2765,Indicadores!$AD$216)+SUMIFS(Ofertas!$W$748:$W$2765,Ofertas!$T$748:$T$2765,Indicadores!AK222,Ofertas!$AM$748:$AM$2765,Indicadores!$AC$213,Ofertas!$L$748:$L$2765,Indicadores!$AD$216)+SUMIFS(Ofertas!$W$748:$W$2765,Ofertas!$T$748:$T$2765,Indicadores!AK222,Ofertas!$AM$748:$AM$2765,Indicadores!$AC$212,Ofertas!$L$748:$L$2765,Indicadores!$AD$216)+SUMIFS(Ofertas!$W$748:$W$2765,Ofertas!$T$748:$T$2765,Indicadores!AK222,Ofertas!$AM$748:$AM$2765,Indicadores!$AC$211,Ofertas!$L$748:$L$2765,Indicadores!$AD$216)+SUMIFS(Ofertas!$W$748:$W$2765,Ofertas!$T$748:$T$2765,Indicadores!AK222,Ofertas!$AM$748:$AM$2765,Indicadores!$AC$210,Ofertas!$L$748:$L$2765,Indicadores!$AD$216)+SUMIFS(Ofertas!$W$748:$W$2765,Ofertas!$T$748:$T$2765,Indicadores!AK222,Ofertas!$AM$748:$AM$2765,Indicadores!$AC$209,Ofertas!$L$748:$L$2765,Indicadores!$AD$216)</f>
        <v>0</v>
      </c>
      <c r="AP222" s="96">
        <f>IF($AF$218&lt;&gt;0,AO222/$AF$218,0)</f>
        <v>0</v>
      </c>
      <c r="AQ222" s="7">
        <f>SUMIFS(Ofertas!$X$748:$X$2765,Ofertas!$T$748:$T$2765,Indicadores!AK222,Ofertas!$AM$748:$AM$2765,Indicadores!$AC$215,Ofertas!$L$748:$L$2765,Indicadores!$AD$216)+SUMIFS(Ofertas!$X$748:$X$2765,Ofertas!$T$748:$T$2765,Indicadores!AK222,Ofertas!$AM$748:$AM$2765,Indicadores!$AC$214,Ofertas!$L$748:$L$2765,Indicadores!$AD$216)+SUMIFS(Ofertas!$X$748:$X$2765,Ofertas!$T$748:$T$2765,Indicadores!AK222,Ofertas!$AM$748:$AM$2765,Indicadores!$AC$213,Ofertas!$L$748:$L$2765,Indicadores!$AD$216)+SUMIFS(Ofertas!$X$748:$X$2765,Ofertas!$T$748:$T$2765,Indicadores!AK222,Ofertas!$AM$748:$AM$2765,Indicadores!$AC$212,Ofertas!$L$748:$L$2765,Indicadores!$AD$216)+SUMIFS(Ofertas!$X$748:$X$2765,Ofertas!$T$748:$T$2765,Indicadores!AK222,Ofertas!$AM$748:$AM$2765,Indicadores!$AC$211,Ofertas!$L$748:$L$2765,Indicadores!$AD$216)+SUMIFS(Ofertas!$X$748:$X$2765,Ofertas!$T$748:$T$2765,Indicadores!AK222,Ofertas!$AM$748:$AM$2765,Indicadores!$AC$210,Ofertas!$L$748:$L$2765,Indicadores!$AD$216)+SUMIFS(Ofertas!$X$748:$X$2765,Ofertas!$T$748:$T$2765,Indicadores!AK222,Ofertas!$AM$748:$AM$2765,Indicadores!$AC$209,Ofertas!$L$748:$L$2765,Indicadores!$AD$216)</f>
        <v>0</v>
      </c>
      <c r="AR222" s="19">
        <f>IF($AH$218&lt;&gt;0,AQ222/$AH$218,0)</f>
        <v>0</v>
      </c>
    </row>
    <row r="223" spans="1:44" ht="13.9">
      <c r="A223" s="101" t="s">
        <v>64</v>
      </c>
      <c r="B223" s="22" t="s">
        <v>9412</v>
      </c>
      <c r="C223" s="23">
        <f>COUNTIFS(Ofertas!$T$22:$T$2765,Indicadores!A223,Ofertas!$AK$22:$AK$2765,$B$216)</f>
        <v>0</v>
      </c>
      <c r="D223" s="19">
        <f>C223/$C$218</f>
        <v>0</v>
      </c>
      <c r="E223" s="7">
        <f>SUMIFS(Ofertas!$W$748:$W$2765,Ofertas!$T$748:$T$2765,Indicadores!A223,Ofertas!$AK$748:$AK$2765,Indicadores!$B$216)</f>
        <v>0</v>
      </c>
      <c r="F223" s="19">
        <f>E223/$E$218</f>
        <v>0</v>
      </c>
      <c r="G223" s="7">
        <f>SUMIFS(Ofertas!$X$748:$X$2765,Ofertas!$T$748:$T$2765,Indicadores!A223,Ofertas!$AK$748:$AK$2765,Indicadores!$B$216)</f>
        <v>0</v>
      </c>
      <c r="H223" s="19">
        <f>G223/$G$218</f>
        <v>0</v>
      </c>
      <c r="J223" s="101" t="s">
        <v>64</v>
      </c>
      <c r="K223" s="22" t="s">
        <v>9412</v>
      </c>
      <c r="L223" s="23">
        <f>COUNTIFS(Ofertas!$T$748:$T$2765,Indicadores!J223,Ofertas!$AM$748:$AM$2765,$K$215,Ofertas!$L$748:$L$2765,Indicadores!$L$216)+COUNTIFS(Ofertas!$T$748:$T$2765,Indicadores!J223,Ofertas!$AM$748:$AM$2765,$K$214,Ofertas!$L$748:$L$2765,Indicadores!$L$216)+COUNTIFS(Ofertas!$T$748:$T$2765,Indicadores!J223,Ofertas!$AM$748:$AM$2765,$K$213,Ofertas!$L$748:$L$2765,Indicadores!$L$216)+COUNTIFS(Ofertas!$T$748:$T$2765,Indicadores!J223,Ofertas!$AM$748:$AM$2765,$K$212,Ofertas!$L$748:$L$2765,Indicadores!$L$216)+COUNTIFS(Ofertas!$T$748:$T$2765,Indicadores!J223,Ofertas!$AM$748:$AM$2765,$K$211,Ofertas!$L$748:$L$2765,Indicadores!$L$216)+COUNTIFS(Ofertas!$T$748:$T$2765,Indicadores!J223,Ofertas!$AM$748:$AM$2765,$K$210,Ofertas!$L$748:$L$2765,Indicadores!$L$216)+COUNTIFS(Ofertas!$T$748:$T$2765,Indicadores!J223,Ofertas!$AM$748:$AM$2765,$K$209,Ofertas!$L$748:$L$2765,Indicadores!$L$216)+COUNTIFS(Ofertas!$T$748:$T$2765,Indicadores!J223,Ofertas!$AM$748:$AM$2765,$K$208,Ofertas!$L$748:$L$2765,Indicadores!$L$216)+COUNTIFS(Ofertas!$T$748:$T$2765,Indicadores!J223,Ofertas!$AM$748:$AM$2765,$K$207,Ofertas!$L$748:$L$2765,Indicadores!$L$216)+COUNTIFS(Ofertas!$T$748:$T$2765,Indicadores!J223,Ofertas!$AM$748:$AM$2765,$K$206,Ofertas!$L$748:$L$2765,Indicadores!$L$216)+COUNTIFS(Ofertas!$T$748:$T$2765,Indicadores!J223,Ofertas!$AM$748:$AM$2765,$K$205,Ofertas!$L$748:$L$2765,Indicadores!$L$216)</f>
        <v>0</v>
      </c>
      <c r="M223" s="19">
        <f>L223/$L$218</f>
        <v>0</v>
      </c>
      <c r="N223" s="7">
        <f>SUMIFS(Ofertas!$W$748:$W$2765,Ofertas!$T$748:$T$2765,Indicadores!J223,Ofertas!$AM$748:$AM$2765,Indicadores!$K$215,Ofertas!$L$748:$L$2765,Indicadores!$L$216)+SUMIFS(Ofertas!$W$748:$W$2765,Ofertas!$T$748:$T$2765,Indicadores!J223,Ofertas!$AM$748:$AM$2765,Indicadores!$K$214,Ofertas!$L$748:$L$2765,Indicadores!$L$216)+SUMIFS(Ofertas!$W$748:$W$2765,Ofertas!$T$748:$T$2765,Indicadores!J223,Ofertas!$AM$748:$AM$2765,Indicadores!$K$213,Ofertas!$L$748:$L$2765,Indicadores!$L$216)+SUMIFS(Ofertas!$W$748:$W$2765,Ofertas!$T$748:$T$2765,Indicadores!J223,Ofertas!$AM$748:$AM$2765,Indicadores!$K$212,Ofertas!$L$748:$L$2765,Indicadores!$L$216)+SUMIFS(Ofertas!$W$748:$W$2765,Ofertas!$T$748:$T$2765,Indicadores!J223,Ofertas!$AM$748:$AM$2765,Indicadores!$K$211,Ofertas!$L$748:$L$2765,Indicadores!$L$216)+SUMIFS(Ofertas!$W$748:$W$2765,Ofertas!$T$748:$T$2765,Indicadores!J223,Ofertas!$AM$748:$AM$2765,Indicadores!$K$210,Ofertas!$L$748:$L$2765,Indicadores!$L$216)+SUMIFS(Ofertas!$W$748:$W$2765,Ofertas!$T$748:$T$2765,Indicadores!J223,Ofertas!$AM$748:$AM$2765,Indicadores!$K$209,Ofertas!$L$748:$L$2765,Indicadores!$L$216)+SUMIFS(Ofertas!$W$748:$W$2765,Ofertas!$T$748:$T$2765,Indicadores!J223,Ofertas!$AM$748:$AM$2765,Indicadores!$K$208,Ofertas!$L$748:$L$2765,Indicadores!$L$216)+SUMIFS(Ofertas!$W$748:$W$2765,Ofertas!$T$748:$T$2765,Indicadores!J223,Ofertas!$AM$748:$AM$2765,Indicadores!$K$207,Ofertas!$L$748:$L$2765,Indicadores!$L$216)+SUMIFS(Ofertas!$W$748:$W$2765,Ofertas!$T$748:$T$2765,Indicadores!J223,Ofertas!$AM$748:$AM$2765,Indicadores!$K$206,Ofertas!$L$748:$L$2765,Indicadores!$L$216)+SUMIFS(Ofertas!$W$748:$W$2765,Ofertas!$T$748:$T$2765,Indicadores!J223,Ofertas!$AM$748:$AM$2765,Indicadores!$K$205,Ofertas!$L$748:$L$2765,Indicadores!$L$216)</f>
        <v>0</v>
      </c>
      <c r="O223" s="96">
        <f>N223/$N$218</f>
        <v>0</v>
      </c>
      <c r="P223" s="7">
        <f>SUMIFS(Ofertas!$X$748:$X$2765,Ofertas!$T$748:$T$2765,Indicadores!J223,Ofertas!$AM$748:$AM$2765,Indicadores!$K$215,Ofertas!$L$748:$L$2765,Indicadores!$L$216)+SUMIFS(Ofertas!$X$748:$X$2765,Ofertas!$T$748:$T$2765,Indicadores!J223,Ofertas!$AM$748:$AM$2765,Indicadores!$K$214,Ofertas!$L$748:$L$2765,Indicadores!$L$216)+SUMIFS(Ofertas!$X$748:$X$2765,Ofertas!$T$748:$T$2765,Indicadores!J223,Ofertas!$AM$748:$AM$2765,Indicadores!$K$213,Ofertas!$L$748:$L$2765,Indicadores!$L$216)+SUMIFS(Ofertas!$X$748:$X$2765,Ofertas!$T$748:$T$2765,Indicadores!J223,Ofertas!$AM$748:$AM$2765,Indicadores!$K$212,Ofertas!$L$748:$L$2765,Indicadores!$L$216)+SUMIFS(Ofertas!$X$748:$X$2765,Ofertas!$T$748:$T$2765,Indicadores!J223,Ofertas!$AM$748:$AM$2765,Indicadores!$K$211,Ofertas!$L$748:$L$2765,Indicadores!$L$216)+SUMIFS(Ofertas!$X$748:$X$2765,Ofertas!$T$748:$T$2765,Indicadores!J223,Ofertas!$AM$748:$AM$2765,Indicadores!$K$210,Ofertas!$L$748:$L$2765,Indicadores!$L$216)+SUMIFS(Ofertas!$X$748:$X$2765,Ofertas!$T$748:$T$2765,Indicadores!J223,Ofertas!$AM$748:$AM$2765,Indicadores!$K$209,Ofertas!$L$748:$L$2765,Indicadores!$L$216)+SUMIFS(Ofertas!$X$748:$X$2765,Ofertas!$T$748:$T$2765,Indicadores!J223,Ofertas!$AM$748:$AM$2765,Indicadores!$K$208,Ofertas!$L$748:$L$2765,Indicadores!$L$216)+SUMIFS(Ofertas!$X$748:$X$2765,Ofertas!$T$748:$T$2765,Indicadores!J223,Ofertas!$AM$748:$AM$2765,Indicadores!$K$207,Ofertas!$L$748:$L$2765,Indicadores!$L$216)+SUMIFS(Ofertas!$X$748:$X$2765,Ofertas!$T$748:$T$2765,Indicadores!J223,Ofertas!$AM$748:$AM$2765,Indicadores!$K$206,Ofertas!$L$748:$L$2765,Indicadores!$L$216)+SUMIFS(Ofertas!$X$748:$X$2765,Ofertas!$T$748:$T$2765,Indicadores!J223,Ofertas!$AM$748:$AM$2765,Indicadores!$K$205,Ofertas!$L$748:$L$2765,Indicadores!$L$216)</f>
        <v>0</v>
      </c>
      <c r="Q223" s="19">
        <f>P223/$P$218</f>
        <v>0</v>
      </c>
      <c r="S223" s="101" t="s">
        <v>64</v>
      </c>
      <c r="T223" s="22" t="s">
        <v>9412</v>
      </c>
      <c r="U223" s="23">
        <f>COUNTIFS(Ofertas!$T$748:$T$2765,Indicadores!S223,Ofertas!$AM$748:$AM$2765,$T$215,Ofertas!$L$748:$L$2765,Indicadores!$U$216)+COUNTIFS(Ofertas!$T$748:$T$2765,Indicadores!S223,Ofertas!$AM$748:$AM$2765,$T$214,Ofertas!$L$748:$L$2765,Indicadores!$U$216)+COUNTIFS(Ofertas!$T$748:$T$2765,Indicadores!S223,Ofertas!$AM$748:$AM$2765,$T$213,Ofertas!$L$748:$L$2765,Indicadores!$U$216)+COUNTIFS(Ofertas!$T$748:$T$2765,Indicadores!S223,Ofertas!$AM$748:$AM$2765,$T$212,Ofertas!$L$748:$L$2765,Indicadores!$U$216)+COUNTIFS(Ofertas!$T$748:$T$2765,Indicadores!S223,Ofertas!$AM$748:$AM$2765,$T$211,Ofertas!$L$748:$L$2765,Indicadores!$U$216)+COUNTIFS(Ofertas!$T$748:$T$2765,Indicadores!S223,Ofertas!$AM$748:$AM$2765,$T$210,Ofertas!$L$748:$L$2765,Indicadores!$U$216)+COUNTIFS(Ofertas!$T$748:$T$2765,Indicadores!S223,Ofertas!$AM$748:$AM$2765,$T$209,Ofertas!$L$748:$L$2765,Indicadores!$U$216)+COUNTIFS(Ofertas!$T$748:$T$2765,Indicadores!S223,Ofertas!$AM$748:$AM$2765,$T$208,Ofertas!$L$748:$L$2765,Indicadores!$U$216)+COUNTIFS(Ofertas!$T$748:$T$2765,Indicadores!S223,Ofertas!$AM$748:$AM$2765,$T$207,Ofertas!$L$748:$L$2765,Indicadores!$U$216)+COUNTIFS(Ofertas!$T$748:$T$2765,Indicadores!S223,Ofertas!$AM$748:$AM$2765,$T$206,Ofertas!$L$748:$L$2765,Indicadores!$U$216)+COUNTIFS(Ofertas!$T$748:$T$2765,Indicadores!S223,Ofertas!$AM$748:$AM$2765,$T$205,Ofertas!$L$748:$L$2765,Indicadores!$U$216)</f>
        <v>0</v>
      </c>
      <c r="V223" s="19">
        <f t="shared" si="257"/>
        <v>0</v>
      </c>
      <c r="W223" s="7">
        <f>SUMIFS(Ofertas!$W$748:$W$2765,Ofertas!$T$748:$T$2765,Indicadores!S223,Ofertas!$AM$748:$AM$2765,Indicadores!$T$215,Ofertas!$L$748:$L$2765,Indicadores!$U$216)+SUMIFS(Ofertas!$W$748:$W$2765,Ofertas!$T$748:$T$2765,Indicadores!S223,Ofertas!$AM$748:$AM$2765,Indicadores!$T$214,Ofertas!$L$748:$L$2765,Indicadores!$U$216)+SUMIFS(Ofertas!$W$748:$W$2765,Ofertas!$T$748:$T$2765,Indicadores!S223,Ofertas!$AM$748:$AM$2765,Indicadores!$T$213,Ofertas!$L$748:$L$2765,Indicadores!$U$216)+SUMIFS(Ofertas!$W$748:$W$2765,Ofertas!$T$748:$T$2765,Indicadores!S223,Ofertas!$AM$748:$AM$2765,Indicadores!$T$212,Ofertas!$L$748:$L$2765,Indicadores!$U$216)+SUMIFS(Ofertas!$W$748:$W$2765,Ofertas!$T$748:$T$2765,Indicadores!S223,Ofertas!$AM$748:$AM$2765,Indicadores!$T$211,Ofertas!$L$748:$L$2765,Indicadores!$U$216)+SUMIFS(Ofertas!$W$748:$W$2765,Ofertas!$T$748:$T$2765,Indicadores!S223,Ofertas!$AM$748:$AM$2765,Indicadores!$T$210,Ofertas!$L$748:$L$2765,Indicadores!$U$216)+SUMIFS(Ofertas!$W$748:$W$2765,Ofertas!$T$748:$T$2765,Indicadores!S223,Ofertas!$AM$748:$AM$2765,Indicadores!$T$209,Ofertas!$L$748:$L$2765,Indicadores!$U$216)+SUMIFS(Ofertas!$W$748:$W$2765,Ofertas!$T$748:$T$2765,Indicadores!S223,Ofertas!$AM$748:$AM$2765,Indicadores!$T$208,Ofertas!$L$748:$L$2765,Indicadores!$U$216)+SUMIFS(Ofertas!$W$748:$W$2765,Ofertas!$T$748:$T$2765,Indicadores!S223,Ofertas!$AM$748:$AM$2765,Indicadores!$T$207,Ofertas!$L$748:$L$2765,Indicadores!$U$216)+SUMIFS(Ofertas!$W$748:$W$2765,Ofertas!$T$748:$T$2765,Indicadores!S223,Ofertas!$AM$748:$AM$2765,Indicadores!$T$206,Ofertas!$L$748:$L$2765,Indicadores!$U$216)+SUMIFS(Ofertas!$W$748:$W$2765,Ofertas!$T$748:$T$2765,Indicadores!S223,Ofertas!$AM$748:$AM$2765,Indicadores!$T$205,Ofertas!$L$748:$L$2765,Indicadores!$U$216)</f>
        <v>0</v>
      </c>
      <c r="X223" s="96">
        <f t="shared" si="258"/>
        <v>0</v>
      </c>
      <c r="Y223" s="7">
        <f>SUMIFS(Ofertas!$X$748:$X$2765,Ofertas!$T$748:$T$2765,Indicadores!S223,Ofertas!$AM$748:$AM$2765,Indicadores!$T$215,Ofertas!$L$748:$L$2765,Indicadores!$U$216)+SUMIFS(Ofertas!$X$748:$X$2765,Ofertas!$T$748:$T$2765,Indicadores!S223,Ofertas!$AM$748:$AM$2765,Indicadores!$T$214,Ofertas!$L$748:$L$2765,Indicadores!$U$216)+SUMIFS(Ofertas!$X$748:$X$2765,Ofertas!$T$748:$T$2765,Indicadores!S223,Ofertas!$AM$748:$AM$2765,Indicadores!$T$213,Ofertas!$L$748:$L$2765,Indicadores!$U$216)+SUMIFS(Ofertas!$X$748:$X$2765,Ofertas!$T$748:$T$2765,Indicadores!S223,Ofertas!$AM$748:$AM$2765,Indicadores!$T$212,Ofertas!$L$748:$L$2765,Indicadores!$U$216)+SUMIFS(Ofertas!$X$748:$X$2765,Ofertas!$T$748:$T$2765,Indicadores!S223,Ofertas!$AM$748:$AM$2765,Indicadores!$T$211,Ofertas!$L$748:$L$2765,Indicadores!$U$216)+SUMIFS(Ofertas!$X$748:$X$2765,Ofertas!$T$748:$T$2765,Indicadores!S223,Ofertas!$AM$748:$AM$2765,Indicadores!$T$210,Ofertas!$L$748:$L$2765,Indicadores!$U$216)+SUMIFS(Ofertas!$X$748:$X$2765,Ofertas!$T$748:$T$2765,Indicadores!S223,Ofertas!$AM$748:$AM$2765,Indicadores!$T$209,Ofertas!$L$748:$L$2765,Indicadores!$U$216)+SUMIFS(Ofertas!$X$748:$X$2765,Ofertas!$T$748:$T$2765,Indicadores!S223,Ofertas!$AM$748:$AM$2765,Indicadores!$T$208,Ofertas!$L$748:$L$2765,Indicadores!$U$216)+SUMIFS(Ofertas!$X$748:$X$2765,Ofertas!$T$748:$T$2765,Indicadores!S223,Ofertas!$AM$748:$AM$2765,Indicadores!$T$207,Ofertas!$L$748:$L$2765,Indicadores!$U$216)+SUMIFS(Ofertas!$X$748:$X$2765,Ofertas!$T$748:$T$2765,Indicadores!S223,Ofertas!$AM$748:$AM$2765,Indicadores!$T$206,Ofertas!$L$748:$L$2765,Indicadores!$U$216)+SUMIFS(Ofertas!$X$748:$X$2765,Ofertas!$T$748:$T$2765,Indicadores!S223,Ofertas!$AM$748:$AM$2765,Indicadores!$T$205,Ofertas!$L$748:$L$2765,Indicadores!$U$216)</f>
        <v>0</v>
      </c>
      <c r="Z223" s="19">
        <f>IF($Y$218&lt;&gt;0,Y223/$Y$218,0)</f>
        <v>0</v>
      </c>
      <c r="AB223" s="101" t="s">
        <v>64</v>
      </c>
      <c r="AC223" s="22" t="s">
        <v>9412</v>
      </c>
      <c r="AD223" s="23">
        <f>COUNTIFS(Ofertas!$T$748:$T$2765,Indicadores!AB223,Ofertas!$AM$748:$AM$2765,$AC$215,Ofertas!$L$748:$L$2765,Indicadores!$AD$216)+COUNTIFS(Ofertas!$T$748:$T$2765,Indicadores!AB223,Ofertas!$AM$748:$AM$2765,$AC$214,Ofertas!$L$748:$L$2765,Indicadores!$AD$216)+COUNTIFS(Ofertas!$T$748:$T$2765,Indicadores!AB223,Ofertas!$AM$748:$AM$2765,$AC$213,Ofertas!$L$748:$L$2765,Indicadores!$AD$216)+COUNTIFS(Ofertas!$T$748:$T$2765,Indicadores!AB223,Ofertas!$AM$748:$AM$2765,$AC$212,Ofertas!$L$748:$L$2765,Indicadores!$AD$216)+COUNTIFS(Ofertas!$T$748:$T$2765,Indicadores!AB223,Ofertas!$AM$748:$AM$2765,$AC$211,Ofertas!$L$748:$L$2765,Indicadores!$AD$216)+COUNTIFS(Ofertas!$T$748:$T$2765,Indicadores!AB223,Ofertas!$AM$748:$AM$2765,$AC$210,Ofertas!$L$748:$L$2765,Indicadores!$AD$216)+COUNTIFS(Ofertas!$T$748:$T$2765,Indicadores!AB223,Ofertas!$AM$748:$AM$2765,$AC$209,Ofertas!$L$748:$L$2765,Indicadores!$AD$216)+COUNTIFS(Ofertas!$T$748:$T$2765,Indicadores!AB223,Ofertas!$AM$748:$AM$2765,$AC$208,Ofertas!$L$748:$L$2765,Indicadores!$AD$216)+COUNTIFS(Ofertas!$T$748:$T$2765,Indicadores!AB223,Ofertas!$AM$748:$AM$2765,$AC$207,Ofertas!$L$748:$L$2765,Indicadores!$AD$216)+COUNTIFS(Ofertas!$T$748:$T$2765,Indicadores!AB223,Ofertas!$AM$748:$AM$2765,$AC$206,Ofertas!$L$748:$L$2765,Indicadores!$AD$216)+COUNTIFS(Ofertas!$T$748:$T$2765,Indicadores!AB223,Ofertas!$AM$748:$AM$2765,$AC$205,Ofertas!$L$748:$L$2765,Indicadores!$AD$216)</f>
        <v>0</v>
      </c>
      <c r="AE223" s="96">
        <f t="shared" si="259"/>
        <v>0</v>
      </c>
      <c r="AF223" s="7">
        <f>SUMIFS(Ofertas!$W$748:$W$2765,Ofertas!$T$748:$T$2765,Indicadores!AB223,Ofertas!$AM$748:$AM$2765,Indicadores!$AC$215,Ofertas!$L$748:$L$2765,Indicadores!$AD$216)+SUMIFS(Ofertas!$W$748:$W$2765,Ofertas!$T$748:$T$2765,Indicadores!AB223,Ofertas!$AM$748:$AM$2765,Indicadores!$AC$214,Ofertas!$L$748:$L$2765,Indicadores!$AD$216)+SUMIFS(Ofertas!$W$748:$W$2765,Ofertas!$T$748:$T$2765,Indicadores!AB223,Ofertas!$AM$748:$AM$2765,Indicadores!$AC$213,Ofertas!$L$748:$L$2765,Indicadores!$AD$216)+SUMIFS(Ofertas!$W$748:$W$2765,Ofertas!$T$748:$T$2765,Indicadores!AB223,Ofertas!$AM$748:$AM$2765,Indicadores!$AC$212,Ofertas!$L$748:$L$2765,Indicadores!$AD$216)+SUMIFS(Ofertas!$W$748:$W$2765,Ofertas!$T$748:$T$2765,Indicadores!AB223,Ofertas!$AM$748:$AM$2765,Indicadores!$AC$211,Ofertas!$L$748:$L$2765,Indicadores!$AD$216)+SUMIFS(Ofertas!$W$748:$W$2765,Ofertas!$T$748:$T$2765,Indicadores!AB223,Ofertas!$AM$748:$AM$2765,Indicadores!$AC$210,Ofertas!$L$748:$L$2765,Indicadores!$AD$216)+SUMIFS(Ofertas!$W$748:$W$2765,Ofertas!$T$748:$T$2765,Indicadores!AB223,Ofertas!$AM$748:$AM$2765,Indicadores!$AC$209,Ofertas!$L$748:$L$2765,Indicadores!$AD$216)+SUMIFS(Ofertas!$W$748:$W$2765,Ofertas!$T$748:$T$2765,Indicadores!AB223,Ofertas!$AM$748:$AM$2765,Indicadores!$AC$208,Ofertas!$L$748:$L$2765,Indicadores!$AD$216)+SUMIFS(Ofertas!$W$748:$W$2765,Ofertas!$T$748:$T$2765,Indicadores!AB223,Ofertas!$AM$748:$AM$2765,Indicadores!$AC$207,Ofertas!$L$748:$L$2765,Indicadores!$AD$216)+SUMIFS(Ofertas!$W$748:$W$2765,Ofertas!$T$748:$T$2765,Indicadores!AB223,Ofertas!$AM$748:$AM$2765,Indicadores!$AC$206,Ofertas!$L$748:$L$2765,Indicadores!$AD$216)+SUMIFS(Ofertas!$W$748:$W$2765,Ofertas!$T$748:$T$2765,Indicadores!AB223,Ofertas!$AM$748:$AM$2765,Indicadores!$AC$205,Ofertas!$L$748:$L$2765,Indicadores!$AD$216)</f>
        <v>0</v>
      </c>
      <c r="AG223" s="96">
        <f t="shared" si="260"/>
        <v>0</v>
      </c>
      <c r="AH223" s="7">
        <f>SUMIFS(Ofertas!$X$748:$X$2765,Ofertas!$T$748:$T$2765,Indicadores!AB223,Ofertas!$AM$748:$AM$2765,Indicadores!$AC$215,Ofertas!$L$748:$L$2765,Indicadores!$AD$216)+SUMIFS(Ofertas!$X$748:$X$2765,Ofertas!$T$748:$T$2765,Indicadores!AB223,Ofertas!$AM$748:$AM$2765,Indicadores!$AC$214,Ofertas!$L$748:$L$2765,Indicadores!$AD$216)+SUMIFS(Ofertas!$X$748:$X$2765,Ofertas!$T$748:$T$2765,Indicadores!AB223,Ofertas!$AM$748:$AM$2765,Indicadores!$AC$213,Ofertas!$L$748:$L$2765,Indicadores!$AD$216)+SUMIFS(Ofertas!$X$748:$X$2765,Ofertas!$T$748:$T$2765,Indicadores!AB223,Ofertas!$AM$748:$AM$2765,Indicadores!$AC$212,Ofertas!$L$748:$L$2765,Indicadores!$AD$216)+SUMIFS(Ofertas!$X$748:$X$2765,Ofertas!$T$748:$T$2765,Indicadores!AB223,Ofertas!$AM$748:$AM$2765,Indicadores!$AC$211,Ofertas!$L$748:$L$2765,Indicadores!$AD$216)+SUMIFS(Ofertas!$X$748:$X$2765,Ofertas!$T$748:$T$2765,Indicadores!AB223,Ofertas!$AM$748:$AM$2765,Indicadores!$AC$210,Ofertas!$L$748:$L$2765,Indicadores!$AD$216)+SUMIFS(Ofertas!$X$748:$X$2765,Ofertas!$T$748:$T$2765,Indicadores!AB223,Ofertas!$AM$748:$AM$2765,Indicadores!$AC$209,Ofertas!$L$748:$L$2765,Indicadores!$AD$216)+SUMIFS(Ofertas!$X$748:$X$2765,Ofertas!$T$748:$T$2765,Indicadores!AB223,Ofertas!$AM$748:$AM$2765,Indicadores!$AC$208,Ofertas!$L$748:$L$2765,Indicadores!$AD$216)+SUMIFS(Ofertas!$X$748:$X$2765,Ofertas!$T$748:$T$2765,Indicadores!AB223,Ofertas!$AM$748:$AM$2765,Indicadores!$AC$207,Ofertas!$L$748:$L$2765,Indicadores!$AD$216)+SUMIFS(Ofertas!$X$748:$X$2765,Ofertas!$T$748:$T$2765,Indicadores!AB223,Ofertas!$AM$748:$AM$2765,Indicadores!$AC$206,Ofertas!$L$748:$L$2765,Indicadores!$AD$216)+SUMIFS(Ofertas!$X$748:$X$2765,Ofertas!$T$748:$T$2765,Indicadores!AB223,Ofertas!$AM$748:$AM$2765,Indicadores!$AC$205,Ofertas!$L$748:$L$2765,Indicadores!$AD$216)</f>
        <v>0</v>
      </c>
      <c r="AI223" s="19">
        <f t="shared" si="261"/>
        <v>0</v>
      </c>
      <c r="AK223" s="101" t="s">
        <v>64</v>
      </c>
      <c r="AL223" s="22" t="s">
        <v>9412</v>
      </c>
      <c r="AM223" s="23">
        <f>COUNTIFS(Ofertas!$T$748:$T$2765,Indicadores!AK223,Ofertas!$AM$748:$AM$2765,$AC$215,Ofertas!$L$748:$L$2765,Indicadores!$AD$216)+COUNTIFS(Ofertas!$T$748:$T$2765,Indicadores!AK223,Ofertas!$AM$748:$AM$2765,$AC$214,Ofertas!$L$748:$L$2765,Indicadores!$AD$216)+COUNTIFS(Ofertas!$T$748:$T$2765,Indicadores!AK223,Ofertas!$AM$748:$AM$2765,$AC$213,Ofertas!$L$748:$L$2765,Indicadores!$AD$216)+COUNTIFS(Ofertas!$T$748:$T$2765,Indicadores!AK223,Ofertas!$AM$748:$AM$2765,$AC$212,Ofertas!$L$748:$L$2765,Indicadores!$AD$216)+COUNTIFS(Ofertas!$T$748:$T$2765,Indicadores!AK223,Ofertas!$AM$748:$AM$2765,$AC$211,Ofertas!$L$748:$L$2765,Indicadores!$AD$216)+COUNTIFS(Ofertas!$T$748:$T$2765,Indicadores!AK223,Ofertas!$AM$748:$AM$2765,$AC$210,Ofertas!$L$748:$L$2765,Indicadores!$AD$216)+COUNTIFS(Ofertas!$T$748:$T$2765,Indicadores!AK223,Ofertas!$AM$748:$AM$2765,$AC$209,Ofertas!$L$748:$L$2765,Indicadores!$AD$216)</f>
        <v>0</v>
      </c>
      <c r="AN223" s="96">
        <f>IF($AD$218&lt;&gt;0,AM223/$AD$218,0)</f>
        <v>0</v>
      </c>
      <c r="AO223" s="7">
        <f>SUMIFS(Ofertas!$W$748:$W$2765,Ofertas!$T$748:$T$2765,Indicadores!AK223,Ofertas!$AM$748:$AM$2765,Indicadores!$AC$215,Ofertas!$L$748:$L$2765,Indicadores!$AD$216)+SUMIFS(Ofertas!$W$748:$W$2765,Ofertas!$T$748:$T$2765,Indicadores!AK223,Ofertas!$AM$748:$AM$2765,Indicadores!$AC$214,Ofertas!$L$748:$L$2765,Indicadores!$AD$216)+SUMIFS(Ofertas!$W$748:$W$2765,Ofertas!$T$748:$T$2765,Indicadores!AK223,Ofertas!$AM$748:$AM$2765,Indicadores!$AC$213,Ofertas!$L$748:$L$2765,Indicadores!$AD$216)+SUMIFS(Ofertas!$W$748:$W$2765,Ofertas!$T$748:$T$2765,Indicadores!AK223,Ofertas!$AM$748:$AM$2765,Indicadores!$AC$212,Ofertas!$L$748:$L$2765,Indicadores!$AD$216)+SUMIFS(Ofertas!$W$748:$W$2765,Ofertas!$T$748:$T$2765,Indicadores!AK223,Ofertas!$AM$748:$AM$2765,Indicadores!$AC$211,Ofertas!$L$748:$L$2765,Indicadores!$AD$216)+SUMIFS(Ofertas!$W$748:$W$2765,Ofertas!$T$748:$T$2765,Indicadores!AK223,Ofertas!$AM$748:$AM$2765,Indicadores!$AC$210,Ofertas!$L$748:$L$2765,Indicadores!$AD$216)+SUMIFS(Ofertas!$W$748:$W$2765,Ofertas!$T$748:$T$2765,Indicadores!AK223,Ofertas!$AM$748:$AM$2765,Indicadores!$AC$209,Ofertas!$L$748:$L$2765,Indicadores!$AD$216)</f>
        <v>0</v>
      </c>
      <c r="AP223" s="96">
        <f>IF($AF$218&lt;&gt;0,AO223/$AF$218,0)</f>
        <v>0</v>
      </c>
      <c r="AQ223" s="7">
        <f>SUMIFS(Ofertas!$X$748:$X$2765,Ofertas!$T$748:$T$2765,Indicadores!AK223,Ofertas!$AM$748:$AM$2765,Indicadores!$AC$215,Ofertas!$L$748:$L$2765,Indicadores!$AD$216)+SUMIFS(Ofertas!$X$748:$X$2765,Ofertas!$T$748:$T$2765,Indicadores!AK223,Ofertas!$AM$748:$AM$2765,Indicadores!$AC$214,Ofertas!$L$748:$L$2765,Indicadores!$AD$216)+SUMIFS(Ofertas!$X$748:$X$2765,Ofertas!$T$748:$T$2765,Indicadores!AK223,Ofertas!$AM$748:$AM$2765,Indicadores!$AC$213,Ofertas!$L$748:$L$2765,Indicadores!$AD$216)+SUMIFS(Ofertas!$X$748:$X$2765,Ofertas!$T$748:$T$2765,Indicadores!AK223,Ofertas!$AM$748:$AM$2765,Indicadores!$AC$212,Ofertas!$L$748:$L$2765,Indicadores!$AD$216)+SUMIFS(Ofertas!$X$748:$X$2765,Ofertas!$T$748:$T$2765,Indicadores!AK223,Ofertas!$AM$748:$AM$2765,Indicadores!$AC$211,Ofertas!$L$748:$L$2765,Indicadores!$AD$216)+SUMIFS(Ofertas!$X$748:$X$2765,Ofertas!$T$748:$T$2765,Indicadores!AK223,Ofertas!$AM$748:$AM$2765,Indicadores!$AC$210,Ofertas!$L$748:$L$2765,Indicadores!$AD$216)+SUMIFS(Ofertas!$X$748:$X$2765,Ofertas!$T$748:$T$2765,Indicadores!AK223,Ofertas!$AM$748:$AM$2765,Indicadores!$AC$209,Ofertas!$L$748:$L$2765,Indicadores!$AD$216)</f>
        <v>0</v>
      </c>
      <c r="AR223" s="19">
        <f>IF($AH$218&lt;&gt;0,AQ223/$AH$218,0)</f>
        <v>0</v>
      </c>
    </row>
    <row r="224" spans="1:44" s="97" customFormat="1"/>
    <row r="225" spans="1:44" s="97" customFormat="1">
      <c r="L225" s="97" t="s">
        <v>9415</v>
      </c>
      <c r="M225" s="115" t="s">
        <v>9416</v>
      </c>
      <c r="U225" s="97" t="s">
        <v>9415</v>
      </c>
      <c r="V225" s="115">
        <v>0.1</v>
      </c>
      <c r="AD225" s="97" t="s">
        <v>9415</v>
      </c>
      <c r="AE225" s="115">
        <v>0.3</v>
      </c>
      <c r="AM225" s="97" t="s">
        <v>9415</v>
      </c>
      <c r="AN225" s="115">
        <v>0.3</v>
      </c>
    </row>
    <row r="226" spans="1:44" s="97" customFormat="1"/>
    <row r="227" spans="1:44" s="97" customFormat="1"/>
    <row r="228" spans="1:44" s="97" customFormat="1" ht="13.9">
      <c r="B228" s="98"/>
      <c r="C228" s="107"/>
      <c r="T228" s="97">
        <v>1</v>
      </c>
      <c r="AC228" s="97">
        <v>1</v>
      </c>
      <c r="AL228" s="97">
        <v>1</v>
      </c>
    </row>
    <row r="229" spans="1:44" s="97" customFormat="1" ht="13.9">
      <c r="B229" s="98" t="s">
        <v>9417</v>
      </c>
      <c r="L229" s="100" t="s">
        <v>120</v>
      </c>
      <c r="M229" s="398" t="s">
        <v>9392</v>
      </c>
      <c r="N229" s="399"/>
      <c r="O229" s="399"/>
      <c r="P229" s="399"/>
      <c r="Q229" s="400"/>
      <c r="S229" s="99"/>
      <c r="U229" s="100" t="s">
        <v>123</v>
      </c>
      <c r="V229" s="398" t="s">
        <v>9393</v>
      </c>
      <c r="W229" s="399"/>
      <c r="X229" s="399"/>
      <c r="Y229" s="399"/>
      <c r="Z229" s="400"/>
      <c r="AB229" s="99"/>
      <c r="AD229" s="100" t="s">
        <v>129</v>
      </c>
      <c r="AE229" s="398" t="s">
        <v>9413</v>
      </c>
      <c r="AF229" s="399"/>
      <c r="AG229" s="399"/>
      <c r="AH229" s="399"/>
      <c r="AI229" s="400"/>
      <c r="AK229" s="99"/>
      <c r="AM229" s="100" t="s">
        <v>227</v>
      </c>
      <c r="AN229" s="398" t="s">
        <v>9414</v>
      </c>
      <c r="AO229" s="399"/>
      <c r="AP229" s="399"/>
      <c r="AQ229" s="399"/>
      <c r="AR229" s="400"/>
    </row>
    <row r="230" spans="1:44" ht="13.9">
      <c r="B230" s="4" t="s">
        <v>9418</v>
      </c>
      <c r="C230" s="5" t="s">
        <v>9398</v>
      </c>
      <c r="D230" s="5" t="s">
        <v>9399</v>
      </c>
      <c r="E230" s="5" t="s">
        <v>9400</v>
      </c>
      <c r="F230" s="5" t="s">
        <v>9401</v>
      </c>
      <c r="G230" s="5" t="s">
        <v>9402</v>
      </c>
      <c r="H230" s="5" t="s">
        <v>9403</v>
      </c>
      <c r="K230" s="4" t="s">
        <v>9397</v>
      </c>
      <c r="L230" s="5" t="s">
        <v>9398</v>
      </c>
      <c r="M230" s="5" t="s">
        <v>9399</v>
      </c>
      <c r="N230" s="5" t="s">
        <v>9400</v>
      </c>
      <c r="O230" s="5" t="s">
        <v>9401</v>
      </c>
      <c r="P230" s="5" t="s">
        <v>9402</v>
      </c>
      <c r="Q230" s="5" t="s">
        <v>9403</v>
      </c>
      <c r="S230" s="102"/>
      <c r="T230" s="4" t="s">
        <v>9397</v>
      </c>
      <c r="U230" s="5" t="s">
        <v>9398</v>
      </c>
      <c r="V230" s="5" t="s">
        <v>9399</v>
      </c>
      <c r="W230" s="5" t="s">
        <v>9400</v>
      </c>
      <c r="X230" s="5" t="s">
        <v>9401</v>
      </c>
      <c r="Y230" s="5" t="s">
        <v>9402</v>
      </c>
      <c r="Z230" s="5" t="s">
        <v>9403</v>
      </c>
      <c r="AB230" s="102"/>
      <c r="AC230" s="4" t="s">
        <v>9397</v>
      </c>
      <c r="AD230" s="5" t="s">
        <v>9398</v>
      </c>
      <c r="AE230" s="5" t="s">
        <v>9399</v>
      </c>
      <c r="AF230" s="5" t="s">
        <v>9400</v>
      </c>
      <c r="AG230" s="5" t="s">
        <v>9401</v>
      </c>
      <c r="AH230" s="5" t="s">
        <v>9402</v>
      </c>
      <c r="AI230" s="5" t="s">
        <v>9403</v>
      </c>
      <c r="AK230" s="102"/>
      <c r="AL230" s="4" t="s">
        <v>9397</v>
      </c>
      <c r="AM230" s="5" t="s">
        <v>9398</v>
      </c>
      <c r="AN230" s="5" t="s">
        <v>9399</v>
      </c>
      <c r="AO230" s="5" t="s">
        <v>9400</v>
      </c>
      <c r="AP230" s="5" t="s">
        <v>9401</v>
      </c>
      <c r="AQ230" s="5" t="s">
        <v>9402</v>
      </c>
      <c r="AR230" s="5" t="s">
        <v>9403</v>
      </c>
    </row>
    <row r="231" spans="1:44" ht="13.9">
      <c r="B231" s="25" t="s">
        <v>9405</v>
      </c>
      <c r="C231" s="7">
        <f>SUM(C232:C236)</f>
        <v>2238</v>
      </c>
      <c r="D231" s="19">
        <f>SUM(D232:D236)</f>
        <v>1</v>
      </c>
      <c r="E231" s="7">
        <f t="shared" ref="E231" si="262">SUM(E232:E236)</f>
        <v>6421267.6335920477</v>
      </c>
      <c r="F231" s="19">
        <f>SUM(F232:F236)</f>
        <v>1</v>
      </c>
      <c r="G231" s="7">
        <f>SUM(G232:G236)</f>
        <v>271314.66189932014</v>
      </c>
      <c r="H231" s="19">
        <f t="shared" ref="H231" si="263">SUM(H232:H236)</f>
        <v>1</v>
      </c>
      <c r="K231" s="25" t="s">
        <v>9405</v>
      </c>
      <c r="L231" s="7">
        <f>SUM(L232:L236)</f>
        <v>898</v>
      </c>
      <c r="M231" s="19">
        <f>SUM(M232:M236)</f>
        <v>1</v>
      </c>
      <c r="N231" s="7">
        <f t="shared" ref="N231:Q231" si="264">SUM(N232:N236)</f>
        <v>1277175.9141476033</v>
      </c>
      <c r="O231" s="19">
        <f t="shared" si="264"/>
        <v>1</v>
      </c>
      <c r="P231" s="7">
        <f t="shared" si="264"/>
        <v>49472.347361352746</v>
      </c>
      <c r="Q231" s="19">
        <f t="shared" si="264"/>
        <v>1</v>
      </c>
      <c r="S231" s="104"/>
      <c r="T231" s="25" t="s">
        <v>9405</v>
      </c>
      <c r="U231" s="7">
        <f>SUM(U232:U236)</f>
        <v>339</v>
      </c>
      <c r="V231" s="19">
        <f>SUM(V232:V236)</f>
        <v>1</v>
      </c>
      <c r="W231" s="7">
        <f t="shared" ref="W231:Z231" si="265">SUM(W232:W236)</f>
        <v>1791359.9194444446</v>
      </c>
      <c r="X231" s="19">
        <f t="shared" si="265"/>
        <v>1</v>
      </c>
      <c r="Y231" s="7">
        <f t="shared" si="265"/>
        <v>64352.977219447421</v>
      </c>
      <c r="Z231" s="19">
        <f t="shared" si="265"/>
        <v>1</v>
      </c>
      <c r="AB231" s="104"/>
      <c r="AC231" s="25" t="s">
        <v>9405</v>
      </c>
      <c r="AD231" s="7">
        <f>SUM(AD232:AD236)</f>
        <v>140</v>
      </c>
      <c r="AE231" s="19">
        <f>SUM(AE232:AE236)</f>
        <v>1</v>
      </c>
      <c r="AF231" s="7">
        <f t="shared" ref="AF231:AI231" si="266">SUM(AF232:AF236)</f>
        <v>183351</v>
      </c>
      <c r="AG231" s="19">
        <f t="shared" si="266"/>
        <v>1</v>
      </c>
      <c r="AH231" s="7">
        <f t="shared" si="266"/>
        <v>5359.8435709400001</v>
      </c>
      <c r="AI231" s="19">
        <f t="shared" si="266"/>
        <v>1</v>
      </c>
      <c r="AK231" s="104"/>
      <c r="AL231" s="25" t="s">
        <v>9405</v>
      </c>
      <c r="AM231" s="7">
        <f>SUM(AM232:AM236)</f>
        <v>3</v>
      </c>
      <c r="AN231" s="19">
        <f>SUM(AN232:AN236)</f>
        <v>1</v>
      </c>
      <c r="AO231" s="7">
        <f t="shared" ref="AO231:AR231" si="267">SUM(AO232:AO236)</f>
        <v>0</v>
      </c>
      <c r="AP231" s="19">
        <f t="shared" si="267"/>
        <v>0</v>
      </c>
      <c r="AQ231" s="7">
        <f t="shared" si="267"/>
        <v>0</v>
      </c>
      <c r="AR231" s="19">
        <f t="shared" si="267"/>
        <v>0</v>
      </c>
    </row>
    <row r="232" spans="1:44" ht="13.9">
      <c r="A232" s="101" t="s">
        <v>3</v>
      </c>
      <c r="B232" s="22" t="s">
        <v>9407</v>
      </c>
      <c r="C232" s="23">
        <f>+SUM(C6,C15,C24,C33,C42,C51,C60,C69,C78,C87,C96,C105,C114,C126,C137,C148,C159)</f>
        <v>901</v>
      </c>
      <c r="D232" s="19">
        <f>C232/$C$231</f>
        <v>0.40259159964253799</v>
      </c>
      <c r="E232" s="7">
        <f>+SUM(E6,E15,E24,E33,E42,E51,E60,E69,E78,E87,E96,E105,E114,E126,E137,E148,E159)</f>
        <v>1204058.9474809368</v>
      </c>
      <c r="F232" s="19">
        <f>E232/$E$231</f>
        <v>0.18751109846006964</v>
      </c>
      <c r="G232" s="7">
        <f>+SUM(G6,G15,G24,G33,G42,G51,G60,G69,G78,G87,G96,G105,G114,G126,G137,G148,G159)</f>
        <v>49055.245378179992</v>
      </c>
      <c r="H232" s="19">
        <f>G232/$G$231</f>
        <v>0.18080572953474769</v>
      </c>
      <c r="J232" s="101" t="s">
        <v>3</v>
      </c>
      <c r="K232" s="22" t="s">
        <v>9407</v>
      </c>
      <c r="L232" s="23">
        <f>+SUM(L6,L15,L24,L33,L42,L51,L60,L69,L78,L87,L96,L105,L114)</f>
        <v>416</v>
      </c>
      <c r="M232" s="19">
        <f>L232/$L$231</f>
        <v>0.46325167037861914</v>
      </c>
      <c r="N232" s="7">
        <f>+SUM(N6,N15,N24,N33,N42,N51,N60,N69,N78,N87,N96,N105,N114)</f>
        <v>365535.24748093681</v>
      </c>
      <c r="O232" s="19">
        <f>N232/$N$231</f>
        <v>0.28620587299823746</v>
      </c>
      <c r="P232" s="7">
        <f>+SUM(P6,P15,P24,P33,P42,P51,P60,P69,P78,P87,P96,P105,P114)</f>
        <v>13820.876417859999</v>
      </c>
      <c r="Q232" s="19">
        <f>P232/$P$231</f>
        <v>0.27936568921847271</v>
      </c>
      <c r="S232" s="101" t="s">
        <v>3</v>
      </c>
      <c r="T232" s="22" t="s">
        <v>9407</v>
      </c>
      <c r="U232" s="23">
        <f>+SUM(U6,U15,U24,U33,U42,U51,U60,U69,U78,U87,U96,U105,U114)</f>
        <v>59</v>
      </c>
      <c r="V232" s="19">
        <f>U232/$U$231</f>
        <v>0.17404129793510326</v>
      </c>
      <c r="W232" s="7">
        <f t="shared" ref="W232" si="268">+SUM(W6,W15,W24,W33,W42,W51,W60,W69,W78,W87,W96,W105,W114)</f>
        <v>186123</v>
      </c>
      <c r="X232" s="19">
        <f>W232/$W$231</f>
        <v>0.1039003932039087</v>
      </c>
      <c r="Y232" s="7">
        <f t="shared" ref="Y232" si="269">+SUM(Y6,Y15,Y24,Y33,Y42,Y51,Y60,Y69,Y78,Y87,Y96,Y105,Y114)</f>
        <v>4754.0900551000004</v>
      </c>
      <c r="Z232" s="19">
        <f>Y232/$Y$231</f>
        <v>7.3875215421475765E-2</v>
      </c>
      <c r="AB232" s="101" t="s">
        <v>3</v>
      </c>
      <c r="AC232" s="22" t="s">
        <v>9407</v>
      </c>
      <c r="AD232" s="23">
        <f>+SUM(AD6,AD15,AD24,AD33,AD42,AD51,AD60,AD69,AD78,AD87,AD96,AD105,AD114)</f>
        <v>77</v>
      </c>
      <c r="AE232" s="19">
        <f>AD232/$AD$231</f>
        <v>0.55000000000000004</v>
      </c>
      <c r="AF232" s="7">
        <f t="shared" ref="AF232" si="270">+SUM(AF6,AF15,AF24,AF33,AF42,AF51,AF60,AF69,AF78,AF87,AF96,AF105,AF114)</f>
        <v>73345</v>
      </c>
      <c r="AG232" s="19">
        <f>AF232/$AF$231</f>
        <v>0.40002508849147261</v>
      </c>
      <c r="AH232" s="7">
        <f t="shared" ref="AH232" si="271">+SUM(AH6,AH15,AH24,AH33,AH42,AH51,AH60,AH69,AH78,AH87,AH96,AH105,AH114)</f>
        <v>2339.5100872900002</v>
      </c>
      <c r="AI232" s="19">
        <f>AH232/$AH$231</f>
        <v>0.43648850126417049</v>
      </c>
      <c r="AK232" s="101" t="s">
        <v>3</v>
      </c>
      <c r="AL232" s="22" t="s">
        <v>9407</v>
      </c>
      <c r="AM232" s="23">
        <f>+SUM(AM6,AM15,AM24,AM33,AM42,AM51,AM60,AM69,AM78,AM87,AM96,AM105,AM114)</f>
        <v>1</v>
      </c>
      <c r="AN232" s="19">
        <f>AM232/$AM$231</f>
        <v>0.33333333333333331</v>
      </c>
      <c r="AO232" s="7">
        <f>+SUM(AO6,AO15,AO24,AO33,AO42,AO51,AO60,AO69,AO78,AO87,AO96,AO105,AO114)</f>
        <v>0</v>
      </c>
      <c r="AP232" s="19">
        <f>AO232/$AF$231</f>
        <v>0</v>
      </c>
      <c r="AQ232" s="7">
        <f>+SUM(AQ6,AQ15,AQ24,AQ33,AQ42,AQ51,AQ60,AQ69,AQ78,AQ87,AQ96,AQ105,AQ114)</f>
        <v>0</v>
      </c>
      <c r="AR232" s="19">
        <f>AQ232/$AH$231</f>
        <v>0</v>
      </c>
    </row>
    <row r="233" spans="1:44" ht="13.9">
      <c r="A233" s="101" t="s">
        <v>165</v>
      </c>
      <c r="B233" s="22" t="s">
        <v>9409</v>
      </c>
      <c r="C233" s="23">
        <f>+SUM(C7,C16,C25,C34,C43,C52,C61,C70,C79,C88,C97,C106,C115,C127,C138,C149,C160)</f>
        <v>1169</v>
      </c>
      <c r="D233" s="19">
        <f t="shared" ref="D233:D236" si="272">C233/$C$231</f>
        <v>0.52234137622877574</v>
      </c>
      <c r="E233" s="7">
        <f>+SUM(E7,E16,E25,E34,E43,E52,E61,E70,E79,E88,E97,E106,E115,E127,E138,E149,E160)</f>
        <v>4407794.5861111116</v>
      </c>
      <c r="F233" s="19">
        <f>E233/$E$231</f>
        <v>0.68643682799519101</v>
      </c>
      <c r="G233" s="7">
        <f>+SUM(G7,G16,G25,G34,G43,G52,G61,G70,G79,G88,G97,G106,G115,G127,G138,G149,G160)</f>
        <v>183270.92892150013</v>
      </c>
      <c r="H233" s="19">
        <f t="shared" ref="H233:H236" si="273">G233/$G$231</f>
        <v>0.67549216705991577</v>
      </c>
      <c r="J233" s="101" t="s">
        <v>165</v>
      </c>
      <c r="K233" s="22" t="s">
        <v>9409</v>
      </c>
      <c r="L233" s="23">
        <f>+SUM(L7,L16,L25,L34,L43,L52,L61,L70,L79,L88,L97,L106,L115)</f>
        <v>479</v>
      </c>
      <c r="M233" s="19">
        <f t="shared" ref="M233:M236" si="274">L233/$L$231</f>
        <v>0.53340757238307346</v>
      </c>
      <c r="N233" s="7">
        <f>+SUM(N7,N16,N25,N34,N43,N52,N61,N70,N79,N88,N97,N106,N115)</f>
        <v>909093.66666666663</v>
      </c>
      <c r="O233" s="19">
        <f t="shared" ref="O233:O236" si="275">N233/$N$231</f>
        <v>0.7117998833178768</v>
      </c>
      <c r="P233" s="7">
        <f>+SUM(P7,P16,P25,P34,P43,P52,P61,P70,P79,P88,P97,P106,P115)</f>
        <v>35535.333676452748</v>
      </c>
      <c r="Q233" s="19">
        <f t="shared" ref="Q233:Q236" si="276">P233/$P$231</f>
        <v>0.71828679195061929</v>
      </c>
      <c r="S233" s="101" t="s">
        <v>165</v>
      </c>
      <c r="T233" s="22" t="s">
        <v>9409</v>
      </c>
      <c r="U233" s="23">
        <f>+SUM(U7,U16,U25,U34,U43,U52,U61,U70,U79,U88,U97,U106,U115)</f>
        <v>275</v>
      </c>
      <c r="V233" s="19">
        <f t="shared" ref="V233:V236" si="277">U233/$U$231</f>
        <v>0.8112094395280236</v>
      </c>
      <c r="W233" s="7">
        <f t="shared" ref="W233" si="278">+SUM(W7,W16,W25,W34,W43,W52,W61,W70,W79,W88,W97,W106,W115)</f>
        <v>1553458.9194444446</v>
      </c>
      <c r="X233" s="19">
        <f t="shared" ref="X233:X236" si="279">W233/$W$231</f>
        <v>0.86719530931908961</v>
      </c>
      <c r="Y233" s="7">
        <f t="shared" ref="Y233" si="280">+SUM(Y7,Y16,Y25,Y34,Y43,Y52,Y61,Y70,Y79,Y88,Y97,Y106,Y115)</f>
        <v>57688.275748547421</v>
      </c>
      <c r="Z233" s="19">
        <f t="shared" ref="Z233:Z236" si="281">Y233/$Y$231</f>
        <v>0.89643522710421031</v>
      </c>
      <c r="AB233" s="101" t="s">
        <v>165</v>
      </c>
      <c r="AC233" s="22" t="s">
        <v>9409</v>
      </c>
      <c r="AD233" s="23">
        <f>+SUM(AD7,AD16,AD25,AD34,AD43,AD52,AD61,AD70,AD79,AD88,AD97,AD106,AD115)</f>
        <v>62</v>
      </c>
      <c r="AE233" s="19">
        <f t="shared" ref="AE233:AE236" si="282">AD233/$AD$231</f>
        <v>0.44285714285714284</v>
      </c>
      <c r="AF233" s="7">
        <f t="shared" ref="AF233" si="283">+SUM(AF7,AF16,AF25,AF34,AF43,AF52,AF61,AF70,AF79,AF88,AF97,AF106,AF115)</f>
        <v>105290</v>
      </c>
      <c r="AG233" s="19">
        <f t="shared" ref="AG233:AG236" si="284">AF233/$AF$231</f>
        <v>0.57425375372918608</v>
      </c>
      <c r="AH233" s="7">
        <f t="shared" ref="AH233" si="285">+SUM(AH7,AH16,AH25,AH34,AH43,AH52,AH61,AH70,AH79,AH88,AH97,AH106,AH115)</f>
        <v>2860.3334836499998</v>
      </c>
      <c r="AI233" s="19">
        <f t="shared" ref="AI233:AI236" si="286">AH233/$AH$231</f>
        <v>0.53365988126186292</v>
      </c>
      <c r="AK233" s="101" t="s">
        <v>165</v>
      </c>
      <c r="AL233" s="22" t="s">
        <v>9409</v>
      </c>
      <c r="AM233" s="23">
        <f>+SUM(AM7,AM16,AM25,AM34,AM43,AM52,AM61,AM70,AM79,AM88,AM97,AM106,AM115)</f>
        <v>2</v>
      </c>
      <c r="AN233" s="19">
        <f t="shared" ref="AN233:AN236" si="287">AM233/$AM$231</f>
        <v>0.66666666666666663</v>
      </c>
      <c r="AO233" s="7">
        <f>+SUM(AO7,AO16,AO25,AO34,AO43,AO52,AO61,AO70,AO79,AO88,AO97,AO106,AO115)</f>
        <v>0</v>
      </c>
      <c r="AP233" s="19">
        <f t="shared" ref="AP233:AP236" si="288">AO233/$AF$231</f>
        <v>0</v>
      </c>
      <c r="AQ233" s="7">
        <f>+SUM(AQ7,AQ16,AQ25,AQ34,AQ43,AQ52,AQ61,AQ70,AQ79,AQ88,AQ97,AQ106,AQ115)</f>
        <v>0</v>
      </c>
      <c r="AR233" s="19">
        <f t="shared" ref="AR233:AR236" si="289">AQ233/$AH$231</f>
        <v>0</v>
      </c>
    </row>
    <row r="234" spans="1:44" ht="13.9">
      <c r="A234" s="101" t="s">
        <v>168</v>
      </c>
      <c r="B234" s="22" t="s">
        <v>9411</v>
      </c>
      <c r="C234" s="23">
        <f>+SUM(C8,C17,C26,C35,C44,C53,C62,C71,C80,C89,C98,C107,C116,C128,C139,C150,C161)</f>
        <v>75</v>
      </c>
      <c r="D234" s="119">
        <f t="shared" si="272"/>
        <v>3.351206434316354E-2</v>
      </c>
      <c r="E234" s="7">
        <f>+SUM(E8,E17,E26,E35,E44,E53,E62,E71,E80,E89,E98,E107,E116,E128,E139,E150,E161)</f>
        <v>381309</v>
      </c>
      <c r="F234" s="119">
        <f t="shared" ref="F234:F236" si="290">E234/$E$231</f>
        <v>5.938220017574572E-2</v>
      </c>
      <c r="G234" s="7">
        <f>+SUM(G8,G17,G26,G35,G44,G53,G62,G71,G80,G89,G98,G107,G116,G128,G139,G150,G161)</f>
        <v>19022.052759639999</v>
      </c>
      <c r="H234" s="119">
        <f t="shared" si="273"/>
        <v>7.0110670121833418E-2</v>
      </c>
      <c r="J234" s="101" t="s">
        <v>168</v>
      </c>
      <c r="K234" s="22" t="s">
        <v>9411</v>
      </c>
      <c r="L234" s="23">
        <f>+SUM(L8,L17,L26,L35,L44,L53,L62,L71,L80,L89,L98,L107,L116)</f>
        <v>3</v>
      </c>
      <c r="M234" s="19">
        <f t="shared" si="274"/>
        <v>3.3407572383073497E-3</v>
      </c>
      <c r="N234" s="7">
        <f>+SUM(N8,N17,N26,N35,N44,N53,N62,N71,N80,N89,N98,N107,N116)</f>
        <v>2547</v>
      </c>
      <c r="O234" s="19">
        <f t="shared" si="275"/>
        <v>1.9942436838858543E-3</v>
      </c>
      <c r="P234" s="7">
        <f>+SUM(P8,P17,P26,P35,P44,P53,P62,P71,P80,P89,P98,P107,P116)</f>
        <v>116.13726704</v>
      </c>
      <c r="Q234" s="19">
        <f t="shared" si="276"/>
        <v>2.3475188309080549E-3</v>
      </c>
      <c r="S234" s="101" t="s">
        <v>168</v>
      </c>
      <c r="T234" s="22" t="s">
        <v>9411</v>
      </c>
      <c r="U234" s="23">
        <f>+SUM(U8,U17,U26,U35,U44,U53,U62,U71,U80,U89,U98,U107,U116)</f>
        <v>5</v>
      </c>
      <c r="V234" s="19">
        <f t="shared" si="277"/>
        <v>1.4749262536873156E-2</v>
      </c>
      <c r="W234" s="7">
        <f t="shared" ref="W234" si="291">+SUM(W8,W17,W26,W35,W44,W53,W62,W71,W80,W89,W98,W107,W116)</f>
        <v>51778</v>
      </c>
      <c r="X234" s="19">
        <f t="shared" si="279"/>
        <v>2.8904297477001684E-2</v>
      </c>
      <c r="Y234" s="7">
        <f t="shared" ref="Y234" si="292">+SUM(Y8,Y17,Y26,Y35,Y44,Y53,Y62,Y71,Y80,Y89,Y98,Y107,Y116)</f>
        <v>1910.6114158000003</v>
      </c>
      <c r="Z234" s="19">
        <f t="shared" si="281"/>
        <v>2.9689557474313944E-2</v>
      </c>
      <c r="AB234" s="101" t="s">
        <v>168</v>
      </c>
      <c r="AC234" s="22" t="s">
        <v>9411</v>
      </c>
      <c r="AD234" s="23">
        <f>+SUM(AD8,AD17,AD26,AD35,AD44,AD53,AD62,AD71,AD80,AD89,AD98,AD107,AD116)</f>
        <v>1</v>
      </c>
      <c r="AE234" s="19">
        <f t="shared" si="282"/>
        <v>7.1428571428571426E-3</v>
      </c>
      <c r="AF234" s="7">
        <f t="shared" ref="AF234" si="293">+SUM(AF8,AF17,AF26,AF35,AF44,AF53,AF62,AF71,AF80,AF89,AF98,AF107,AF116)</f>
        <v>4716</v>
      </c>
      <c r="AG234" s="19">
        <f t="shared" si="284"/>
        <v>2.5721157779341263E-2</v>
      </c>
      <c r="AH234" s="7">
        <f t="shared" ref="AH234" si="294">+SUM(AH8,AH17,AH26,AH35,AH44,AH53,AH62,AH71,AH80,AH89,AH98,AH107,AH116)</f>
        <v>160</v>
      </c>
      <c r="AI234" s="19">
        <f t="shared" si="286"/>
        <v>2.9851617473966592E-2</v>
      </c>
      <c r="AK234" s="101" t="s">
        <v>168</v>
      </c>
      <c r="AL234" s="22" t="s">
        <v>9411</v>
      </c>
      <c r="AM234" s="23">
        <f>+SUM(AM8,AM17,AM26,AM35,AM44,AM53,AM62,AM71,AM80,AM89,AM98,AM107,AM116)</f>
        <v>0</v>
      </c>
      <c r="AN234" s="19">
        <f t="shared" si="287"/>
        <v>0</v>
      </c>
      <c r="AO234" s="7">
        <f>+SUM(AO8,AO17,AO26,AO35,AO44,AO53,AO62,AO71,AO80,AO89,AO98,AO107,AO116)</f>
        <v>0</v>
      </c>
      <c r="AP234" s="19">
        <f t="shared" si="288"/>
        <v>0</v>
      </c>
      <c r="AQ234" s="7">
        <f>+SUM(AQ8,AQ17,AQ26,AQ35,AQ44,AQ53,AQ62,AQ71,AQ80,AQ89,AQ98,AQ107,AQ116)</f>
        <v>0</v>
      </c>
      <c r="AR234" s="19">
        <f t="shared" si="289"/>
        <v>0</v>
      </c>
    </row>
    <row r="235" spans="1:44" ht="13.9">
      <c r="A235" s="101" t="s">
        <v>158</v>
      </c>
      <c r="B235" s="22" t="s">
        <v>159</v>
      </c>
      <c r="C235" s="23">
        <f>+SUM(C9,C18,C27,C36,C45,C54,C63,C72,C81,C90,C99,C108,C117,C129,C140,C151,C162)</f>
        <v>72</v>
      </c>
      <c r="D235" s="19">
        <f t="shared" si="272"/>
        <v>3.2171581769436998E-2</v>
      </c>
      <c r="E235" s="7">
        <f>+SUM(E9,E18,E27,E36,E45,E54,E63,E72,E81,E90,E99,E108,E117,E129,E140,E151,E162)</f>
        <v>425305.1</v>
      </c>
      <c r="F235" s="19">
        <f t="shared" si="290"/>
        <v>6.6233822395919184E-2</v>
      </c>
      <c r="G235" s="7">
        <f>+SUM(G9,G18,G27,G36,G45,G54,G63,G72,G81,G90,G99,G108,G117,G129,G140,G151,G162)</f>
        <v>19830.434840000002</v>
      </c>
      <c r="H235" s="19">
        <f t="shared" si="273"/>
        <v>7.3090170288543824E-2</v>
      </c>
      <c r="J235" s="101" t="s">
        <v>158</v>
      </c>
      <c r="K235" s="22" t="s">
        <v>159</v>
      </c>
      <c r="L235" s="23">
        <f>+SUM(L9,L18,L27,L36,L45,L54,L63,L72,L81,L90,L99,L108,L117)</f>
        <v>0</v>
      </c>
      <c r="M235" s="19">
        <f t="shared" si="274"/>
        <v>0</v>
      </c>
      <c r="N235" s="7">
        <f>+SUM(N9,N18,N27,N36,N45,N54,N63,N72,N81,N90,N99,N108,N117)</f>
        <v>0</v>
      </c>
      <c r="O235" s="19">
        <f t="shared" si="275"/>
        <v>0</v>
      </c>
      <c r="P235" s="7">
        <f>+SUM(P9,P18,P27,P36,P45,P54,P63,P72,P81,P90,P99,P108,P117)</f>
        <v>0</v>
      </c>
      <c r="Q235" s="19">
        <f t="shared" si="276"/>
        <v>0</v>
      </c>
      <c r="S235" s="101" t="s">
        <v>158</v>
      </c>
      <c r="T235" s="22" t="s">
        <v>159</v>
      </c>
      <c r="U235" s="23">
        <f>+SUM(U9,U18,U27,U36,U45,U54,U63,U72,U81,U90,U99,U108,U117)</f>
        <v>0</v>
      </c>
      <c r="V235" s="19">
        <f t="shared" si="277"/>
        <v>0</v>
      </c>
      <c r="W235" s="7">
        <f t="shared" ref="W235" si="295">+SUM(W9,W18,W27,W36,W45,W54,W63,W72,W81,W90,W99,W108,W117)</f>
        <v>0</v>
      </c>
      <c r="X235" s="19">
        <f t="shared" si="279"/>
        <v>0</v>
      </c>
      <c r="Y235" s="7">
        <f t="shared" ref="Y235" si="296">+SUM(Y9,Y18,Y27,Y36,Y45,Y54,Y63,Y72,Y81,Y90,Y99,Y108,Y117)</f>
        <v>0</v>
      </c>
      <c r="Z235" s="19">
        <f t="shared" si="281"/>
        <v>0</v>
      </c>
      <c r="AB235" s="101" t="s">
        <v>158</v>
      </c>
      <c r="AC235" s="22" t="s">
        <v>159</v>
      </c>
      <c r="AD235" s="23">
        <f>+SUM(AD9,AD18,AD27,AD36,AD45,AD54,AD63,AD72,AD81,AD90,AD99,AD108,AD117)</f>
        <v>0</v>
      </c>
      <c r="AE235" s="19">
        <f t="shared" si="282"/>
        <v>0</v>
      </c>
      <c r="AF235" s="7">
        <f t="shared" ref="AF235" si="297">+SUM(AF9,AF18,AF27,AF36,AF45,AF54,AF63,AF72,AF81,AF90,AF99,AF108,AF117)</f>
        <v>0</v>
      </c>
      <c r="AG235" s="19">
        <f t="shared" si="284"/>
        <v>0</v>
      </c>
      <c r="AH235" s="7">
        <f t="shared" ref="AH235" si="298">+SUM(AH9,AH18,AH27,AH36,AH45,AH54,AH63,AH72,AH81,AH90,AH99,AH108,AH117)</f>
        <v>0</v>
      </c>
      <c r="AI235" s="19">
        <f t="shared" si="286"/>
        <v>0</v>
      </c>
      <c r="AK235" s="101" t="s">
        <v>158</v>
      </c>
      <c r="AL235" s="22" t="s">
        <v>159</v>
      </c>
      <c r="AM235" s="23">
        <f>+SUM(AM9,AM18,AM27,AM36,AM45,AM54,AM63,AM72,AM81,AM90,AM99,AM108,AM117)</f>
        <v>0</v>
      </c>
      <c r="AN235" s="19">
        <f t="shared" si="287"/>
        <v>0</v>
      </c>
      <c r="AO235" s="7">
        <f>+SUM(AO9,AO18,AO27,AO36,AO45,AO54,AO63,AO72,AO81,AO90,AO99,AO108,AO117)</f>
        <v>0</v>
      </c>
      <c r="AP235" s="19">
        <f t="shared" si="288"/>
        <v>0</v>
      </c>
      <c r="AQ235" s="7">
        <f>+SUM(AQ9,AQ18,AQ27,AQ36,AQ45,AQ54,AQ63,AQ72,AQ81,AQ90,AQ99,AQ108,AQ117)</f>
        <v>0</v>
      </c>
      <c r="AR235" s="19">
        <f t="shared" si="289"/>
        <v>0</v>
      </c>
    </row>
    <row r="236" spans="1:44" ht="13.9">
      <c r="A236" s="101" t="s">
        <v>64</v>
      </c>
      <c r="B236" s="22" t="s">
        <v>9412</v>
      </c>
      <c r="C236" s="23">
        <f>+SUM(C10,C19,C28,C37,C46,C55,C64,C73,C82,C91,C100,C109,C118,C130,C141,C152,C163)</f>
        <v>21</v>
      </c>
      <c r="D236" s="19">
        <f t="shared" si="272"/>
        <v>9.3833780160857902E-3</v>
      </c>
      <c r="E236" s="7">
        <f>+SUM(E10,E19,E28,E37,E46,E55,E64,E73,E82,E91,E100,E109,E118,E130,E141,E152,E163)</f>
        <v>2800</v>
      </c>
      <c r="F236" s="19">
        <f t="shared" si="290"/>
        <v>4.3605097307456163E-4</v>
      </c>
      <c r="G236" s="7">
        <f>+SUM(G10,G19,G28,G37,G46,G55,G64,G73,G82,G91,G100,G109,G118,G130,G141,G152,G163)</f>
        <v>136</v>
      </c>
      <c r="H236" s="19">
        <f t="shared" si="273"/>
        <v>5.0126299495921488E-4</v>
      </c>
      <c r="J236" s="101" t="s">
        <v>64</v>
      </c>
      <c r="K236" s="22" t="s">
        <v>9412</v>
      </c>
      <c r="L236" s="23">
        <f>+SUM(L10,L19,L28,L37,L46,L55,L64,L73,L82,L91,L100,L109,L118)</f>
        <v>0</v>
      </c>
      <c r="M236" s="19">
        <f t="shared" si="274"/>
        <v>0</v>
      </c>
      <c r="N236" s="7">
        <f>+SUM(N10,N19,N28,N37,N46,N55,N64,N73,N82,N91,N100,N109,N118)</f>
        <v>0</v>
      </c>
      <c r="O236" s="19">
        <f t="shared" si="275"/>
        <v>0</v>
      </c>
      <c r="P236" s="7">
        <f>+SUM(P10,P19,P28,P37,P46,P55,P64,P73,P82,P91,P100,P109,P118)</f>
        <v>0</v>
      </c>
      <c r="Q236" s="19">
        <f t="shared" si="276"/>
        <v>0</v>
      </c>
      <c r="S236" s="101" t="s">
        <v>64</v>
      </c>
      <c r="T236" s="22" t="s">
        <v>9412</v>
      </c>
      <c r="U236" s="23">
        <f>+SUM(U10,U19,U28,U37,U46,U55,U64,U73,U82,U91,U100,U109,U118)</f>
        <v>0</v>
      </c>
      <c r="V236" s="19">
        <f t="shared" si="277"/>
        <v>0</v>
      </c>
      <c r="W236" s="7">
        <f t="shared" ref="W236" si="299">+SUM(W10,W19,W28,W37,W46,W55,W64,W73,W82,W91,W100,W109,W118)</f>
        <v>0</v>
      </c>
      <c r="X236" s="19">
        <f t="shared" si="279"/>
        <v>0</v>
      </c>
      <c r="Y236" s="7">
        <f t="shared" ref="Y236" si="300">+SUM(Y10,Y19,Y28,Y37,Y46,Y55,Y64,Y73,Y82,Y91,Y100,Y109,Y118)</f>
        <v>0</v>
      </c>
      <c r="Z236" s="19">
        <f t="shared" si="281"/>
        <v>0</v>
      </c>
      <c r="AB236" s="101" t="s">
        <v>64</v>
      </c>
      <c r="AC236" s="22" t="s">
        <v>9412</v>
      </c>
      <c r="AD236" s="23">
        <f>+SUM(AD10,AD19,AD28,AD37,AD46,AD55,AD64,AD73,AD82,AD91,AD100,AD109,AD118)</f>
        <v>0</v>
      </c>
      <c r="AE236" s="19">
        <f t="shared" si="282"/>
        <v>0</v>
      </c>
      <c r="AF236" s="7">
        <f t="shared" ref="AF236" si="301">+SUM(AF10,AF19,AF28,AF37,AF46,AF55,AF64,AF73,AF82,AF91,AF100,AF109,AF118)</f>
        <v>0</v>
      </c>
      <c r="AG236" s="19">
        <f t="shared" si="284"/>
        <v>0</v>
      </c>
      <c r="AH236" s="7">
        <f t="shared" ref="AH236" si="302">+SUM(AH10,AH19,AH28,AH37,AH46,AH55,AH64,AH73,AH82,AH91,AH100,AH109,AH118)</f>
        <v>0</v>
      </c>
      <c r="AI236" s="19">
        <f t="shared" si="286"/>
        <v>0</v>
      </c>
      <c r="AK236" s="101" t="s">
        <v>64</v>
      </c>
      <c r="AL236" s="22" t="s">
        <v>9412</v>
      </c>
      <c r="AM236" s="23">
        <f>+SUM(AM10,AM19,AM28,AM37,AM46,AM55,AM64,AM73,AM82,AM91,AM100,AM109,AM118)</f>
        <v>0</v>
      </c>
      <c r="AN236" s="19">
        <f t="shared" si="287"/>
        <v>0</v>
      </c>
      <c r="AO236" s="7">
        <f>+SUM(AO10,AO19,AO28,AO37,AO46,AO55,AO64,AO73,AO82,AO91,AO100,AO109,AO118)</f>
        <v>0</v>
      </c>
      <c r="AP236" s="19">
        <f t="shared" si="288"/>
        <v>0</v>
      </c>
      <c r="AQ236" s="7">
        <f>+SUM(AQ10,AQ19,AQ28,AQ37,AQ46,AQ55,AQ64,AQ73,AQ82,AQ91,AQ100,AQ109,AQ118)</f>
        <v>0</v>
      </c>
      <c r="AR236" s="19">
        <f t="shared" si="289"/>
        <v>0</v>
      </c>
    </row>
    <row r="237" spans="1:44" s="97" customFormat="1"/>
    <row r="238" spans="1:44" s="97" customFormat="1">
      <c r="L238" s="97" t="s">
        <v>9415</v>
      </c>
      <c r="M238" s="115" t="s">
        <v>9416</v>
      </c>
      <c r="U238" s="97" t="s">
        <v>9415</v>
      </c>
      <c r="V238" s="115">
        <v>0.1</v>
      </c>
      <c r="AD238" s="97" t="s">
        <v>9415</v>
      </c>
      <c r="AE238" s="115">
        <v>0.3</v>
      </c>
    </row>
    <row r="239" spans="1:44" s="97" customFormat="1"/>
    <row r="240" spans="1:44" s="97" customFormat="1"/>
    <row r="241" spans="2:16" s="97" customFormat="1" ht="30.75" customHeight="1">
      <c r="B241" s="129" t="s">
        <v>9419</v>
      </c>
      <c r="C241" s="5">
        <v>2010</v>
      </c>
      <c r="D241" s="5">
        <v>2011</v>
      </c>
      <c r="E241" s="5">
        <v>2012</v>
      </c>
      <c r="F241" s="5">
        <v>2013</v>
      </c>
      <c r="G241" s="5">
        <v>2014</v>
      </c>
      <c r="H241" s="5">
        <v>2015</v>
      </c>
      <c r="I241" s="5">
        <v>2016</v>
      </c>
      <c r="J241" s="5">
        <v>2017</v>
      </c>
      <c r="K241" s="5">
        <v>2018</v>
      </c>
      <c r="L241" s="5">
        <v>2019</v>
      </c>
      <c r="M241" s="5">
        <v>2020</v>
      </c>
      <c r="N241" s="5">
        <v>2021</v>
      </c>
      <c r="O241" s="5">
        <v>2022</v>
      </c>
      <c r="P241" s="5">
        <v>2023</v>
      </c>
    </row>
    <row r="242" spans="2:16" s="97" customFormat="1" ht="13.9">
      <c r="B242" s="25" t="s">
        <v>9405</v>
      </c>
      <c r="C242" s="7">
        <f>SUM(C243:C247)</f>
        <v>9</v>
      </c>
      <c r="D242" s="19">
        <f>SUM(D243:D247)</f>
        <v>4.0214477211796247E-3</v>
      </c>
      <c r="E242" s="7">
        <f t="shared" ref="E242" si="303">SUM(E243:E247)</f>
        <v>107840.94117647059</v>
      </c>
      <c r="F242" s="19">
        <f>SUM(F243:F247)</f>
        <v>1.6794338334741629E-2</v>
      </c>
      <c r="G242" s="7">
        <f>SUM(G243:G247)</f>
        <v>4048.6264971799997</v>
      </c>
      <c r="H242" s="19">
        <f>SUM(H243:H247)</f>
        <v>1.4922254731232956E-2</v>
      </c>
    </row>
    <row r="243" spans="2:16" s="97" customFormat="1" ht="13.9">
      <c r="B243" s="22" t="s">
        <v>9407</v>
      </c>
      <c r="C243" s="23">
        <f>+SUM(C17,C26,C35,C44,C53,C62,C71,C80,C89,C98,C107,C116,C170)</f>
        <v>9</v>
      </c>
      <c r="D243" s="19">
        <f>C243/$C$231</f>
        <v>4.0214477211796247E-3</v>
      </c>
      <c r="E243" s="7">
        <f>+SUM(E17,E26,E35,E44,E53,E62,E71,E80,E89,E98,E107,E116,E170)</f>
        <v>59041</v>
      </c>
      <c r="F243" s="19">
        <f>E243/$E$231</f>
        <v>9.1946019647482832E-3</v>
      </c>
      <c r="G243" s="7">
        <f>+SUM(G17,G26,G35,G44,G53,G62,G71,G80,G89,G98,G107,G116,G170)</f>
        <v>2186.7486828400001</v>
      </c>
      <c r="H243" s="19">
        <f>G243/$G$231</f>
        <v>8.0598249557610052E-3</v>
      </c>
    </row>
    <row r="244" spans="2:16" s="97" customFormat="1" ht="13.9">
      <c r="B244" s="22" t="s">
        <v>9409</v>
      </c>
      <c r="C244" s="23">
        <f>+SUM(C18,C27,C36,C45,C54,C63,C72,C81,C90,C99,C108,C117,C171)</f>
        <v>0</v>
      </c>
      <c r="D244" s="19">
        <f t="shared" ref="D244:D247" si="304">C244/$C$231</f>
        <v>0</v>
      </c>
      <c r="E244" s="7">
        <f>+SUM(E18,E27,E36,E45,E54,E63,E72,E81,E90,E99,E108,E117,E171)</f>
        <v>0</v>
      </c>
      <c r="F244" s="19">
        <f>E244/$E$231</f>
        <v>0</v>
      </c>
      <c r="G244" s="7">
        <f>+SUM(G18,G27,G36,G45,G54,G63,G72,G81,G90,G99,G108,G117,G171)</f>
        <v>0</v>
      </c>
      <c r="H244" s="19">
        <f t="shared" ref="H244:H247" si="305">G244/$G$231</f>
        <v>0</v>
      </c>
    </row>
    <row r="245" spans="2:16" s="97" customFormat="1" ht="13.9">
      <c r="B245" s="22" t="s">
        <v>9411</v>
      </c>
      <c r="C245" s="23">
        <f>+SUM(C19,C28,C37,C46,C55,C64,C73,C82,C91,C100,C109,C118,C172)</f>
        <v>0</v>
      </c>
      <c r="D245" s="119">
        <f t="shared" si="304"/>
        <v>0</v>
      </c>
      <c r="E245" s="7">
        <f>+SUM(E19,E28,E37,E46,E55,E64,E73,E82,E91,E100,E109,E118,E172)</f>
        <v>0</v>
      </c>
      <c r="F245" s="119">
        <f t="shared" ref="F245:F247" si="306">E245/$E$231</f>
        <v>0</v>
      </c>
      <c r="G245" s="7">
        <f>+SUM(G19,G28,G37,G46,G55,G64,G73,G82,G91,G100,G109,G118,G172)</f>
        <v>0</v>
      </c>
      <c r="H245" s="119">
        <f t="shared" si="305"/>
        <v>0</v>
      </c>
    </row>
    <row r="246" spans="2:16" s="97" customFormat="1" ht="13.9">
      <c r="B246" s="22" t="s">
        <v>159</v>
      </c>
      <c r="C246" s="23">
        <f>+SUM(C20,C29,C38,C47,C56,C65,C74,C83,C92,C101,C110,C119,C173)</f>
        <v>0</v>
      </c>
      <c r="D246" s="19">
        <f t="shared" si="304"/>
        <v>0</v>
      </c>
      <c r="E246" s="7">
        <f>+SUM(E20,E29,E38,E47,E56,E65,E74,E83,E92,E101,E110,E119,E173)</f>
        <v>0</v>
      </c>
      <c r="F246" s="19">
        <f t="shared" si="306"/>
        <v>0</v>
      </c>
      <c r="G246" s="7">
        <f>+SUM(G20,G29,G38,G47,G56,G65,G74,G83,G92,G101,G110,G119,G173)</f>
        <v>0</v>
      </c>
      <c r="H246" s="19">
        <f t="shared" si="305"/>
        <v>0</v>
      </c>
    </row>
    <row r="247" spans="2:16" s="97" customFormat="1" ht="13.9">
      <c r="B247" s="22" t="s">
        <v>9412</v>
      </c>
      <c r="C247" s="23">
        <f>+SUM(C21,C30,C39,C48,C57,C66,C75,C84,C93,C102,C111,C120,C174)</f>
        <v>0</v>
      </c>
      <c r="D247" s="19">
        <f t="shared" si="304"/>
        <v>0</v>
      </c>
      <c r="E247" s="7">
        <f>+SUM(E21,E30,E39,E48,E57,E66,E75,E84,E93,E102,E111,E120,E174)</f>
        <v>48799.941176470587</v>
      </c>
      <c r="F247" s="19">
        <f t="shared" si="306"/>
        <v>7.5997363699933452E-3</v>
      </c>
      <c r="G247" s="7">
        <f>+SUM(G21,G30,G39,G48,G57,G66,G75,G84,G93,G102,G111,G120,G174)</f>
        <v>1861.8778143399995</v>
      </c>
      <c r="H247" s="19">
        <f t="shared" si="305"/>
        <v>6.8624297754719503E-3</v>
      </c>
    </row>
    <row r="248" spans="2:16" s="97" customFormat="1"/>
    <row r="249" spans="2:16" s="97" customFormat="1"/>
    <row r="250" spans="2:16" s="97" customFormat="1"/>
    <row r="251" spans="2:16" s="97" customFormat="1"/>
    <row r="252" spans="2:16" s="97" customFormat="1"/>
    <row r="253" spans="2:16" s="97" customFormat="1"/>
    <row r="254" spans="2:16" s="97" customFormat="1"/>
    <row r="255" spans="2:16" s="97" customFormat="1"/>
    <row r="256" spans="2:16" s="97" customFormat="1"/>
    <row r="257" s="97" customFormat="1"/>
    <row r="258" s="97" customFormat="1"/>
    <row r="259" s="97" customFormat="1"/>
    <row r="260" s="97" customFormat="1"/>
    <row r="261" s="97" customFormat="1"/>
    <row r="262" s="97" customFormat="1"/>
    <row r="263" s="97" customFormat="1"/>
    <row r="264" s="97" customFormat="1"/>
    <row r="265" s="97" customFormat="1"/>
    <row r="266" s="97" customFormat="1"/>
  </sheetData>
  <mergeCells count="67">
    <mergeCell ref="M156:Q156"/>
    <mergeCell ref="V156:Z156"/>
    <mergeCell ref="AE156:AI156"/>
    <mergeCell ref="AN156:AR156"/>
    <mergeCell ref="M229:Q229"/>
    <mergeCell ref="V229:Z229"/>
    <mergeCell ref="AE229:AI229"/>
    <mergeCell ref="B186:G186"/>
    <mergeCell ref="I186:U186"/>
    <mergeCell ref="M216:Q216"/>
    <mergeCell ref="V216:Z216"/>
    <mergeCell ref="AE216:AI216"/>
    <mergeCell ref="V21:Z21"/>
    <mergeCell ref="M39:Q39"/>
    <mergeCell ref="V39:Z39"/>
    <mergeCell ref="M48:Q48"/>
    <mergeCell ref="V48:Z48"/>
    <mergeCell ref="AU2:AV2"/>
    <mergeCell ref="M3:Q3"/>
    <mergeCell ref="AE75:AI75"/>
    <mergeCell ref="V3:Z3"/>
    <mergeCell ref="V30:Z30"/>
    <mergeCell ref="V75:Z75"/>
    <mergeCell ref="AN75:AR75"/>
    <mergeCell ref="M66:Q66"/>
    <mergeCell ref="V66:Z66"/>
    <mergeCell ref="M75:Q75"/>
    <mergeCell ref="V12:Z12"/>
    <mergeCell ref="M30:Q30"/>
    <mergeCell ref="M57:Q57"/>
    <mergeCell ref="V57:Z57"/>
    <mergeCell ref="M12:Q12"/>
    <mergeCell ref="M21:Q21"/>
    <mergeCell ref="M93:Q93"/>
    <mergeCell ref="V93:Z93"/>
    <mergeCell ref="AE93:AI93"/>
    <mergeCell ref="M84:Q84"/>
    <mergeCell ref="V84:Z84"/>
    <mergeCell ref="AE84:AI84"/>
    <mergeCell ref="M102:Q102"/>
    <mergeCell ref="V102:Z102"/>
    <mergeCell ref="AE102:AI102"/>
    <mergeCell ref="M193:Q193"/>
    <mergeCell ref="V193:Z193"/>
    <mergeCell ref="AE193:AI193"/>
    <mergeCell ref="M111:Q111"/>
    <mergeCell ref="V111:Z111"/>
    <mergeCell ref="AE111:AI111"/>
    <mergeCell ref="M145:Q145"/>
    <mergeCell ref="V145:Z145"/>
    <mergeCell ref="AE145:AI145"/>
    <mergeCell ref="M123:Q123"/>
    <mergeCell ref="V123:Z123"/>
    <mergeCell ref="AE123:AI123"/>
    <mergeCell ref="M134:Q134"/>
    <mergeCell ref="AN84:AR84"/>
    <mergeCell ref="AN93:AR93"/>
    <mergeCell ref="AN102:AR102"/>
    <mergeCell ref="AN111:AR111"/>
    <mergeCell ref="AN193:AR193"/>
    <mergeCell ref="AN145:AR145"/>
    <mergeCell ref="AN123:AR123"/>
    <mergeCell ref="V134:Z134"/>
    <mergeCell ref="AE134:AI134"/>
    <mergeCell ref="AN134:AR134"/>
    <mergeCell ref="AN216:AR216"/>
    <mergeCell ref="AN229:AR229"/>
  </mergeCells>
  <conditionalFormatting sqref="M120">
    <cfRule type="cellIs" dxfId="28" priority="35" operator="lessThanOrEqual">
      <formula>$M$114</formula>
    </cfRule>
  </conditionalFormatting>
  <conditionalFormatting sqref="M202">
    <cfRule type="cellIs" dxfId="27" priority="38" operator="lessThanOrEqual">
      <formula>$M$196</formula>
    </cfRule>
  </conditionalFormatting>
  <conditionalFormatting sqref="M225">
    <cfRule type="cellIs" dxfId="26" priority="32" operator="lessThanOrEqual">
      <formula>$M$196</formula>
    </cfRule>
  </conditionalFormatting>
  <conditionalFormatting sqref="M238">
    <cfRule type="cellIs" dxfId="25" priority="25" operator="lessThanOrEqual">
      <formula>$V$232</formula>
    </cfRule>
  </conditionalFormatting>
  <conditionalFormatting sqref="O132">
    <cfRule type="cellIs" dxfId="24" priority="9" operator="lessThanOrEqual">
      <formula>$O$126</formula>
    </cfRule>
  </conditionalFormatting>
  <conditionalFormatting sqref="O143">
    <cfRule type="cellIs" dxfId="23" priority="2" operator="lessThanOrEqual">
      <formula>$O$137</formula>
    </cfRule>
  </conditionalFormatting>
  <conditionalFormatting sqref="O165">
    <cfRule type="cellIs" dxfId="22" priority="5" operator="lessThanOrEqual">
      <formula>$O$159</formula>
    </cfRule>
  </conditionalFormatting>
  <conditionalFormatting sqref="V120">
    <cfRule type="cellIs" dxfId="21" priority="36" operator="lessThanOrEqual">
      <formula>$V$114</formula>
    </cfRule>
  </conditionalFormatting>
  <conditionalFormatting sqref="V202">
    <cfRule type="cellIs" dxfId="20" priority="28" operator="lessThanOrEqual">
      <formula>$V$114</formula>
    </cfRule>
  </conditionalFormatting>
  <conditionalFormatting sqref="V225">
    <cfRule type="cellIs" dxfId="19" priority="27" operator="lessThanOrEqual">
      <formula>$V$114</formula>
    </cfRule>
  </conditionalFormatting>
  <conditionalFormatting sqref="V238">
    <cfRule type="cellIs" dxfId="18" priority="26" operator="lessThanOrEqual">
      <formula>$V$232</formula>
    </cfRule>
  </conditionalFormatting>
  <conditionalFormatting sqref="X132">
    <cfRule type="cellIs" dxfId="17" priority="10" operator="lessThanOrEqual">
      <formula>$X$126</formula>
    </cfRule>
  </conditionalFormatting>
  <conditionalFormatting sqref="X143">
    <cfRule type="cellIs" dxfId="16" priority="3" operator="lessThanOrEqual">
      <formula>$X$137</formula>
    </cfRule>
  </conditionalFormatting>
  <conditionalFormatting sqref="X165">
    <cfRule type="cellIs" dxfId="15" priority="6" operator="lessThanOrEqual">
      <formula>$X$159</formula>
    </cfRule>
  </conditionalFormatting>
  <conditionalFormatting sqref="AE120">
    <cfRule type="cellIs" dxfId="14" priority="37" operator="lessThanOrEqual">
      <formula>$AE$114</formula>
    </cfRule>
  </conditionalFormatting>
  <conditionalFormatting sqref="AE202">
    <cfRule type="cellIs" dxfId="13" priority="40" operator="lessThanOrEqual">
      <formula>$AE$196</formula>
    </cfRule>
  </conditionalFormatting>
  <conditionalFormatting sqref="AE225">
    <cfRule type="cellIs" dxfId="12" priority="34" operator="lessThanOrEqual">
      <formula>$AE$196</formula>
    </cfRule>
  </conditionalFormatting>
  <conditionalFormatting sqref="AE238">
    <cfRule type="cellIs" dxfId="11" priority="31" operator="lessThanOrEqual">
      <formula>$AE$225</formula>
    </cfRule>
  </conditionalFormatting>
  <conditionalFormatting sqref="AG132">
    <cfRule type="cellIs" dxfId="10" priority="8" operator="lessThanOrEqual">
      <formula>$AG$126</formula>
    </cfRule>
  </conditionalFormatting>
  <conditionalFormatting sqref="AG143">
    <cfRule type="cellIs" dxfId="9" priority="4" operator="lessThanOrEqual">
      <formula>$AG$148</formula>
    </cfRule>
  </conditionalFormatting>
  <conditionalFormatting sqref="AG154">
    <cfRule type="cellIs" dxfId="8" priority="1" operator="lessThanOrEqual">
      <formula>$AG$148</formula>
    </cfRule>
  </conditionalFormatting>
  <conditionalFormatting sqref="AG165">
    <cfRule type="cellIs" dxfId="7" priority="7" operator="lessThanOrEqual">
      <formula>$AG$159</formula>
    </cfRule>
  </conditionalFormatting>
  <conditionalFormatting sqref="AN120">
    <cfRule type="cellIs" dxfId="6" priority="23" operator="lessThanOrEqual">
      <formula>$AN$114</formula>
    </cfRule>
  </conditionalFormatting>
  <conditionalFormatting sqref="AN132">
    <cfRule type="cellIs" dxfId="5" priority="13" operator="lessThanOrEqual">
      <formula>$AN$148</formula>
    </cfRule>
  </conditionalFormatting>
  <conditionalFormatting sqref="AN225">
    <cfRule type="cellIs" dxfId="4" priority="22" operator="lessThanOrEqual">
      <formula>$AE$196</formula>
    </cfRule>
  </conditionalFormatting>
  <pageMargins left="0.7" right="0.7" top="0.75" bottom="0.75" header="0.3" footer="0.3"/>
  <pageSetup orientation="portrait" r:id="rId1"/>
  <ignoredErrors>
    <ignoredError sqref="D232 D233:D236 F232:F236 M232:O236 V232:Y236 AE232:AH23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FD3D-BA41-4BC8-80C2-0D677A3BBD55}">
  <sheetPr codeName="Hoja8"/>
  <dimension ref="A3:AK49"/>
  <sheetViews>
    <sheetView workbookViewId="0">
      <selection activeCell="I19" sqref="I19"/>
    </sheetView>
  </sheetViews>
  <sheetFormatPr defaultColWidth="11.42578125" defaultRowHeight="12.75" customHeight="1"/>
  <cols>
    <col min="1" max="1" width="11.42578125" style="97"/>
    <col min="2" max="2" width="7.28515625" style="97" bestFit="1" customWidth="1"/>
    <col min="3" max="3" width="41.85546875" style="97" bestFit="1" customWidth="1"/>
    <col min="4" max="8" width="11.42578125" style="97"/>
    <col min="9" max="9" width="10.7109375" style="97" bestFit="1" customWidth="1"/>
    <col min="10" max="10" width="36.42578125" style="97" bestFit="1" customWidth="1"/>
    <col min="11" max="11" width="48.140625" style="97" bestFit="1" customWidth="1"/>
    <col min="12" max="13" width="11.42578125" style="97"/>
    <col min="14" max="14" width="17.42578125" style="97" customWidth="1"/>
    <col min="15" max="15" width="66" style="97" customWidth="1"/>
    <col min="16" max="16384" width="11.42578125" style="97"/>
  </cols>
  <sheetData>
    <row r="3" spans="1:37" s="53" customFormat="1" ht="15" customHeight="1">
      <c r="A3" s="127"/>
      <c r="B3" s="127"/>
      <c r="C3" s="243"/>
      <c r="D3" s="127"/>
      <c r="E3" s="127"/>
      <c r="F3" s="127"/>
      <c r="G3" s="127"/>
      <c r="H3" s="244"/>
      <c r="I3" s="127"/>
      <c r="J3" s="127"/>
      <c r="K3" s="127"/>
      <c r="L3" s="99"/>
      <c r="M3" s="127"/>
      <c r="N3" s="244"/>
      <c r="O3" s="189"/>
      <c r="P3" s="245"/>
      <c r="Q3" s="189"/>
      <c r="R3" s="246"/>
      <c r="S3" s="247"/>
      <c r="T3" s="189"/>
      <c r="U3" s="116"/>
      <c r="V3" s="246"/>
      <c r="W3" s="189"/>
      <c r="X3" s="212"/>
      <c r="Y3" s="248"/>
      <c r="Z3" s="248"/>
      <c r="AA3" s="248"/>
      <c r="AB3" s="127"/>
      <c r="AC3" s="127"/>
      <c r="AD3" s="127"/>
      <c r="AE3" s="127"/>
      <c r="AF3" s="127"/>
      <c r="AG3" s="127"/>
      <c r="AH3" s="127"/>
      <c r="AI3" s="127"/>
      <c r="AJ3" s="127"/>
      <c r="AK3" s="248"/>
    </row>
    <row r="4" spans="1:37" s="55" customFormat="1" ht="16.5" customHeight="1">
      <c r="A4" s="244"/>
      <c r="B4" s="174" t="s">
        <v>128</v>
      </c>
      <c r="C4" s="249"/>
      <c r="D4" s="127"/>
      <c r="E4" s="127"/>
      <c r="F4" s="127"/>
      <c r="G4" s="127"/>
      <c r="H4" s="244"/>
      <c r="I4" s="174" t="s">
        <v>9420</v>
      </c>
      <c r="J4" s="174"/>
      <c r="K4" s="174"/>
      <c r="L4" s="99"/>
      <c r="M4" s="127"/>
      <c r="N4" s="308" t="s">
        <v>128</v>
      </c>
      <c r="O4" s="309" t="s">
        <v>3007</v>
      </c>
      <c r="P4" s="245"/>
      <c r="Q4" s="244"/>
      <c r="R4" s="250"/>
      <c r="S4" s="244"/>
      <c r="T4" s="244"/>
      <c r="U4" s="117"/>
      <c r="V4" s="250"/>
      <c r="W4" s="244"/>
      <c r="X4" s="251"/>
      <c r="Y4" s="244"/>
      <c r="Z4" s="244"/>
      <c r="AA4" s="244"/>
      <c r="AB4" s="127"/>
      <c r="AC4" s="127"/>
      <c r="AD4" s="127"/>
      <c r="AE4" s="127"/>
      <c r="AF4" s="127"/>
      <c r="AG4" s="127"/>
      <c r="AH4" s="127"/>
      <c r="AI4" s="127"/>
      <c r="AJ4" s="127"/>
      <c r="AK4" s="244"/>
    </row>
    <row r="5" spans="1:37" s="53" customFormat="1" ht="16.5" customHeight="1">
      <c r="A5" s="127"/>
      <c r="B5" s="172" t="s">
        <v>125</v>
      </c>
      <c r="C5" s="173" t="s">
        <v>9421</v>
      </c>
      <c r="D5" s="189"/>
      <c r="E5" s="127"/>
      <c r="F5" s="127"/>
      <c r="G5" s="127"/>
      <c r="H5" s="244"/>
      <c r="I5" s="170" t="s">
        <v>316</v>
      </c>
      <c r="J5" s="175" t="s">
        <v>9422</v>
      </c>
      <c r="K5" s="175" t="s">
        <v>9423</v>
      </c>
      <c r="L5" s="99"/>
      <c r="M5" s="127"/>
      <c r="N5" s="310" t="s">
        <v>125</v>
      </c>
      <c r="O5" s="311" t="s">
        <v>9421</v>
      </c>
      <c r="P5" s="245"/>
      <c r="Q5" s="189"/>
      <c r="R5" s="246"/>
      <c r="S5" s="247"/>
      <c r="T5" s="189"/>
      <c r="U5" s="116"/>
      <c r="V5" s="246"/>
      <c r="W5" s="189"/>
      <c r="X5" s="212"/>
      <c r="Y5" s="248"/>
      <c r="Z5" s="248"/>
      <c r="AA5" s="248"/>
      <c r="AB5" s="127"/>
      <c r="AC5" s="127"/>
      <c r="AD5" s="127"/>
      <c r="AE5" s="127"/>
      <c r="AF5" s="127"/>
      <c r="AG5" s="127"/>
      <c r="AH5" s="127"/>
      <c r="AI5" s="127"/>
      <c r="AJ5" s="127"/>
      <c r="AK5" s="248"/>
    </row>
    <row r="6" spans="1:37" s="53" customFormat="1" ht="16.5" customHeight="1">
      <c r="A6" s="127"/>
      <c r="B6" s="172" t="s">
        <v>102</v>
      </c>
      <c r="C6" s="173" t="s">
        <v>9424</v>
      </c>
      <c r="D6" s="189"/>
      <c r="E6" s="127"/>
      <c r="F6" s="127"/>
      <c r="G6" s="127"/>
      <c r="H6" s="244"/>
      <c r="I6" s="170" t="s">
        <v>652</v>
      </c>
      <c r="J6" s="175" t="s">
        <v>9425</v>
      </c>
      <c r="K6" s="175" t="s">
        <v>9426</v>
      </c>
      <c r="L6" s="99"/>
      <c r="M6" s="127"/>
      <c r="N6" s="310" t="s">
        <v>102</v>
      </c>
      <c r="O6" s="311" t="s">
        <v>9424</v>
      </c>
      <c r="P6" s="245"/>
      <c r="Q6" s="189"/>
      <c r="R6" s="246"/>
      <c r="S6" s="247"/>
      <c r="T6" s="189"/>
      <c r="U6" s="116"/>
      <c r="V6" s="246"/>
      <c r="W6" s="189"/>
      <c r="X6" s="212"/>
      <c r="Y6" s="248"/>
      <c r="Z6" s="248"/>
      <c r="AA6" s="248"/>
      <c r="AB6" s="127"/>
      <c r="AC6" s="127"/>
      <c r="AD6" s="127"/>
      <c r="AE6" s="127"/>
      <c r="AF6" s="127"/>
      <c r="AG6" s="127"/>
      <c r="AH6" s="127"/>
      <c r="AI6" s="127"/>
      <c r="AJ6" s="127"/>
      <c r="AK6" s="248"/>
    </row>
    <row r="7" spans="1:37" s="53" customFormat="1" ht="16.5" customHeight="1">
      <c r="A7" s="248"/>
      <c r="B7" s="172" t="s">
        <v>401</v>
      </c>
      <c r="C7" s="173" t="s">
        <v>9427</v>
      </c>
      <c r="D7" s="189"/>
      <c r="E7" s="127"/>
      <c r="F7" s="127"/>
      <c r="G7" s="127"/>
      <c r="H7" s="244"/>
      <c r="I7" s="170" t="s">
        <v>405</v>
      </c>
      <c r="J7" s="175" t="s">
        <v>9428</v>
      </c>
      <c r="K7" s="175" t="s">
        <v>9426</v>
      </c>
      <c r="L7" s="99"/>
      <c r="M7" s="127"/>
      <c r="N7" s="310" t="s">
        <v>401</v>
      </c>
      <c r="O7" s="311" t="s">
        <v>9427</v>
      </c>
      <c r="P7" s="245"/>
      <c r="Q7" s="189"/>
      <c r="R7" s="246"/>
      <c r="S7" s="247"/>
      <c r="T7" s="189"/>
      <c r="U7" s="118"/>
      <c r="V7" s="246"/>
      <c r="W7" s="248"/>
      <c r="X7" s="248"/>
      <c r="Y7" s="248"/>
      <c r="Z7" s="248"/>
      <c r="AA7" s="248"/>
      <c r="AB7" s="127"/>
      <c r="AC7" s="127"/>
      <c r="AD7" s="127"/>
      <c r="AE7" s="127"/>
      <c r="AF7" s="127"/>
      <c r="AG7" s="127"/>
      <c r="AH7" s="127"/>
      <c r="AI7" s="127"/>
      <c r="AJ7" s="127"/>
      <c r="AK7" s="248"/>
    </row>
    <row r="8" spans="1:37" s="53" customFormat="1" ht="16.5" customHeight="1">
      <c r="A8" s="248"/>
      <c r="B8" s="172" t="s">
        <v>31</v>
      </c>
      <c r="C8" s="173" t="s">
        <v>9429</v>
      </c>
      <c r="D8" s="212"/>
      <c r="E8" s="248"/>
      <c r="F8" s="248"/>
      <c r="G8" s="248"/>
      <c r="H8" s="244"/>
      <c r="I8" s="170" t="s">
        <v>275</v>
      </c>
      <c r="J8" s="175" t="s">
        <v>9430</v>
      </c>
      <c r="K8" s="175" t="s">
        <v>9431</v>
      </c>
      <c r="L8" s="99"/>
      <c r="M8" s="127"/>
      <c r="N8" s="310" t="s">
        <v>31</v>
      </c>
      <c r="O8" s="311" t="s">
        <v>9429</v>
      </c>
      <c r="P8" s="245"/>
      <c r="Q8" s="189"/>
      <c r="R8" s="246"/>
      <c r="S8" s="247"/>
      <c r="T8" s="189"/>
      <c r="U8" s="118"/>
      <c r="V8" s="246"/>
      <c r="W8" s="248"/>
      <c r="X8" s="248"/>
      <c r="Y8" s="248"/>
      <c r="Z8" s="248"/>
      <c r="AA8" s="248"/>
      <c r="AB8" s="127"/>
      <c r="AC8" s="127"/>
      <c r="AD8" s="127"/>
      <c r="AE8" s="127"/>
      <c r="AF8" s="127"/>
      <c r="AG8" s="127"/>
      <c r="AH8" s="127"/>
      <c r="AI8" s="127"/>
      <c r="AJ8" s="127"/>
      <c r="AK8" s="248"/>
    </row>
    <row r="9" spans="1:37" s="53" customFormat="1" ht="16.5" customHeight="1">
      <c r="A9" s="248"/>
      <c r="B9" s="172" t="s">
        <v>25</v>
      </c>
      <c r="C9" s="173" t="s">
        <v>9432</v>
      </c>
      <c r="D9" s="189"/>
      <c r="E9" s="127"/>
      <c r="F9" s="127"/>
      <c r="G9" s="127"/>
      <c r="H9" s="244"/>
      <c r="I9" s="170" t="s">
        <v>389</v>
      </c>
      <c r="J9" s="175" t="s">
        <v>9433</v>
      </c>
      <c r="K9" s="175" t="s">
        <v>9434</v>
      </c>
      <c r="L9" s="99"/>
      <c r="M9" s="127"/>
      <c r="N9" s="310" t="s">
        <v>25</v>
      </c>
      <c r="O9" s="311" t="s">
        <v>9432</v>
      </c>
      <c r="P9" s="245"/>
      <c r="Q9" s="189"/>
      <c r="R9" s="246"/>
      <c r="S9" s="247"/>
      <c r="T9" s="189"/>
      <c r="U9" s="118"/>
      <c r="V9" s="246"/>
      <c r="W9" s="248"/>
      <c r="X9" s="248"/>
      <c r="Y9" s="248"/>
      <c r="Z9" s="248"/>
      <c r="AA9" s="248"/>
      <c r="AB9" s="127"/>
      <c r="AC9" s="127"/>
      <c r="AD9" s="127"/>
      <c r="AE9" s="127"/>
      <c r="AF9" s="127"/>
      <c r="AG9" s="127"/>
      <c r="AH9" s="127"/>
      <c r="AI9" s="127"/>
      <c r="AJ9" s="127"/>
      <c r="AK9" s="248"/>
    </row>
    <row r="10" spans="1:37" s="53" customFormat="1" ht="16.5" customHeight="1">
      <c r="A10" s="248"/>
      <c r="B10" s="172" t="s">
        <v>21</v>
      </c>
      <c r="C10" s="173" t="s">
        <v>9435</v>
      </c>
      <c r="D10" s="189"/>
      <c r="E10" s="127"/>
      <c r="F10" s="127"/>
      <c r="G10" s="127"/>
      <c r="H10" s="244"/>
      <c r="I10" s="170" t="s">
        <v>310</v>
      </c>
      <c r="J10" s="175" t="s">
        <v>9436</v>
      </c>
      <c r="K10" s="175" t="s">
        <v>9437</v>
      </c>
      <c r="L10" s="248"/>
      <c r="M10" s="127"/>
      <c r="N10" s="310" t="s">
        <v>21</v>
      </c>
      <c r="O10" s="311" t="s">
        <v>9435</v>
      </c>
      <c r="P10" s="245"/>
      <c r="Q10" s="189"/>
      <c r="R10" s="246"/>
      <c r="S10" s="247"/>
      <c r="T10" s="189"/>
      <c r="U10" s="118"/>
      <c r="V10" s="246"/>
      <c r="W10" s="248"/>
      <c r="X10" s="248"/>
      <c r="Y10" s="248"/>
      <c r="Z10" s="248"/>
      <c r="AA10" s="248"/>
      <c r="AB10" s="127"/>
      <c r="AC10" s="127"/>
      <c r="AD10" s="127"/>
      <c r="AE10" s="127"/>
      <c r="AF10" s="127"/>
      <c r="AG10" s="127"/>
      <c r="AH10" s="127"/>
      <c r="AI10" s="127"/>
      <c r="AJ10" s="127"/>
      <c r="AK10" s="248"/>
    </row>
    <row r="11" spans="1:37" s="53" customFormat="1" ht="16.5" customHeight="1">
      <c r="A11" s="248"/>
      <c r="B11" s="172" t="s">
        <v>16</v>
      </c>
      <c r="C11" s="173" t="s">
        <v>9438</v>
      </c>
      <c r="D11" s="189"/>
      <c r="E11" s="127"/>
      <c r="F11" s="127"/>
      <c r="G11" s="127"/>
      <c r="H11" s="244"/>
      <c r="I11" s="170" t="s">
        <v>644</v>
      </c>
      <c r="J11" s="175" t="s">
        <v>9439</v>
      </c>
      <c r="K11" s="175" t="s">
        <v>9440</v>
      </c>
      <c r="L11" s="99"/>
      <c r="M11" s="127"/>
      <c r="N11" s="310" t="s">
        <v>16</v>
      </c>
      <c r="O11" s="311" t="s">
        <v>9438</v>
      </c>
      <c r="P11" s="245"/>
      <c r="Q11" s="189"/>
      <c r="R11" s="246"/>
      <c r="S11" s="247"/>
      <c r="T11" s="189"/>
      <c r="U11" s="118"/>
      <c r="V11" s="246"/>
      <c r="W11" s="248"/>
      <c r="X11" s="248"/>
      <c r="Y11" s="248"/>
      <c r="Z11" s="248"/>
      <c r="AA11" s="248"/>
      <c r="AB11" s="127"/>
      <c r="AC11" s="127"/>
      <c r="AD11" s="127"/>
      <c r="AE11" s="127"/>
      <c r="AF11" s="127"/>
      <c r="AG11" s="127"/>
      <c r="AH11" s="127"/>
      <c r="AI11" s="127"/>
      <c r="AJ11" s="127"/>
      <c r="AK11" s="248"/>
    </row>
    <row r="12" spans="1:37" s="53" customFormat="1" ht="16.5" customHeight="1">
      <c r="A12" s="248"/>
      <c r="B12" s="172" t="s">
        <v>48</v>
      </c>
      <c r="C12" s="173" t="s">
        <v>9441</v>
      </c>
      <c r="D12" s="189"/>
      <c r="E12" s="127"/>
      <c r="F12" s="127"/>
      <c r="G12" s="127"/>
      <c r="H12" s="244"/>
      <c r="I12" s="170" t="s">
        <v>259</v>
      </c>
      <c r="J12" s="175" t="s">
        <v>351</v>
      </c>
      <c r="K12" s="175" t="s">
        <v>9442</v>
      </c>
      <c r="L12" s="99"/>
      <c r="M12" s="189"/>
      <c r="N12" s="310" t="s">
        <v>48</v>
      </c>
      <c r="O12" s="311" t="s">
        <v>9441</v>
      </c>
      <c r="P12" s="245"/>
      <c r="Q12" s="189"/>
      <c r="R12" s="246"/>
      <c r="S12" s="247"/>
      <c r="T12" s="189"/>
      <c r="U12" s="118"/>
      <c r="V12" s="246"/>
      <c r="W12" s="248"/>
      <c r="X12" s="248"/>
      <c r="Y12" s="248"/>
      <c r="Z12" s="248"/>
      <c r="AA12" s="248"/>
      <c r="AB12" s="127"/>
      <c r="AC12" s="127"/>
      <c r="AD12" s="127"/>
      <c r="AE12" s="127"/>
      <c r="AF12" s="127"/>
      <c r="AG12" s="127"/>
      <c r="AH12" s="127"/>
      <c r="AI12" s="127"/>
      <c r="AJ12" s="127"/>
      <c r="AK12" s="248"/>
    </row>
    <row r="13" spans="1:37" s="53" customFormat="1" ht="16.5" customHeight="1">
      <c r="A13" s="248"/>
      <c r="B13" s="172" t="s">
        <v>26</v>
      </c>
      <c r="C13" s="173" t="s">
        <v>9443</v>
      </c>
      <c r="D13" s="189"/>
      <c r="E13" s="127"/>
      <c r="F13" s="127"/>
      <c r="G13" s="127"/>
      <c r="H13" s="244"/>
      <c r="I13" s="170" t="s">
        <v>1008</v>
      </c>
      <c r="J13" s="175" t="s">
        <v>9444</v>
      </c>
      <c r="K13" s="175" t="s">
        <v>9445</v>
      </c>
      <c r="L13" s="99"/>
      <c r="M13" s="189"/>
      <c r="N13" s="310" t="s">
        <v>212</v>
      </c>
      <c r="O13" s="311" t="s">
        <v>9446</v>
      </c>
      <c r="P13" s="245"/>
      <c r="Q13" s="189"/>
      <c r="R13" s="246"/>
      <c r="S13" s="247"/>
      <c r="T13" s="189"/>
      <c r="U13" s="118"/>
      <c r="V13" s="246"/>
      <c r="W13" s="248"/>
      <c r="X13" s="248"/>
      <c r="Y13" s="248"/>
      <c r="Z13" s="248"/>
      <c r="AA13" s="248"/>
      <c r="AB13" s="127"/>
      <c r="AC13" s="127"/>
      <c r="AD13" s="127"/>
      <c r="AE13" s="127"/>
      <c r="AF13" s="127"/>
      <c r="AG13" s="127"/>
      <c r="AH13" s="127"/>
      <c r="AI13" s="127"/>
      <c r="AJ13" s="127"/>
      <c r="AK13" s="248"/>
    </row>
    <row r="14" spans="1:37" s="53" customFormat="1" ht="16.5" customHeight="1">
      <c r="A14" s="248"/>
      <c r="B14" s="172" t="s">
        <v>28</v>
      </c>
      <c r="C14" s="173" t="s">
        <v>9447</v>
      </c>
      <c r="D14" s="189"/>
      <c r="E14" s="127"/>
      <c r="F14" s="127"/>
      <c r="G14" s="127"/>
      <c r="H14" s="244"/>
      <c r="I14" s="170" t="s">
        <v>229</v>
      </c>
      <c r="J14" s="175" t="s">
        <v>9448</v>
      </c>
      <c r="K14" s="175" t="s">
        <v>9449</v>
      </c>
      <c r="L14" s="99"/>
      <c r="M14" s="189"/>
      <c r="N14" s="310" t="s">
        <v>28</v>
      </c>
      <c r="O14" s="311" t="s">
        <v>9447</v>
      </c>
      <c r="P14" s="245"/>
      <c r="Q14" s="189"/>
      <c r="R14" s="246"/>
      <c r="S14" s="247"/>
      <c r="T14" s="189"/>
      <c r="U14" s="118"/>
      <c r="V14" s="246"/>
      <c r="W14" s="248"/>
      <c r="X14" s="248"/>
      <c r="Y14" s="248"/>
      <c r="Z14" s="248"/>
      <c r="AA14" s="248"/>
      <c r="AB14" s="127"/>
      <c r="AC14" s="127"/>
      <c r="AD14" s="127"/>
      <c r="AE14" s="127"/>
      <c r="AF14" s="127"/>
      <c r="AG14" s="127"/>
      <c r="AH14" s="127"/>
      <c r="AI14" s="127"/>
      <c r="AJ14" s="127"/>
      <c r="AK14" s="248"/>
    </row>
    <row r="15" spans="1:37" s="53" customFormat="1" ht="16.5" customHeight="1">
      <c r="A15" s="248"/>
      <c r="B15" s="172" t="s">
        <v>275</v>
      </c>
      <c r="C15" s="173" t="s">
        <v>9450</v>
      </c>
      <c r="D15" s="189"/>
      <c r="E15" s="127"/>
      <c r="F15" s="127"/>
      <c r="G15" s="127"/>
      <c r="H15" s="244"/>
      <c r="I15" s="170" t="s">
        <v>837</v>
      </c>
      <c r="J15" s="175" t="s">
        <v>9451</v>
      </c>
      <c r="K15" s="175" t="s">
        <v>9452</v>
      </c>
      <c r="L15" s="99"/>
      <c r="M15" s="189"/>
      <c r="N15" s="310" t="s">
        <v>275</v>
      </c>
      <c r="O15" s="311" t="s">
        <v>9450</v>
      </c>
      <c r="P15" s="245"/>
      <c r="Q15" s="189"/>
      <c r="R15" s="246"/>
      <c r="S15" s="247"/>
      <c r="T15" s="189"/>
      <c r="U15" s="118"/>
      <c r="V15" s="246"/>
      <c r="W15" s="248"/>
      <c r="X15" s="248"/>
      <c r="Y15" s="248"/>
      <c r="Z15" s="248"/>
      <c r="AA15" s="248"/>
      <c r="AB15" s="127"/>
      <c r="AC15" s="127"/>
      <c r="AD15" s="127"/>
      <c r="AE15" s="127"/>
      <c r="AF15" s="127"/>
      <c r="AG15" s="127"/>
      <c r="AH15" s="127"/>
      <c r="AI15" s="127"/>
      <c r="AJ15" s="127"/>
      <c r="AK15" s="248"/>
    </row>
    <row r="16" spans="1:37" s="53" customFormat="1" ht="16.5" customHeight="1">
      <c r="A16" s="248"/>
      <c r="B16" s="172" t="s">
        <v>90</v>
      </c>
      <c r="C16" s="173" t="s">
        <v>9453</v>
      </c>
      <c r="D16" s="189"/>
      <c r="E16" s="127"/>
      <c r="F16" s="127"/>
      <c r="G16" s="127"/>
      <c r="H16" s="244"/>
      <c r="I16" s="170" t="s">
        <v>623</v>
      </c>
      <c r="J16" s="175" t="s">
        <v>9454</v>
      </c>
      <c r="K16" s="175" t="s">
        <v>221</v>
      </c>
      <c r="L16" s="99"/>
      <c r="M16" s="189"/>
      <c r="N16" s="310" t="s">
        <v>389</v>
      </c>
      <c r="O16" s="311" t="s">
        <v>9455</v>
      </c>
      <c r="P16" s="245"/>
      <c r="Q16" s="189"/>
      <c r="R16" s="246"/>
      <c r="S16" s="247"/>
      <c r="T16" s="189"/>
      <c r="U16" s="118"/>
      <c r="V16" s="246"/>
      <c r="W16" s="248"/>
      <c r="X16" s="248"/>
      <c r="Y16" s="248"/>
      <c r="Z16" s="248"/>
      <c r="AA16" s="248"/>
      <c r="AB16" s="127"/>
      <c r="AC16" s="127"/>
      <c r="AD16" s="127"/>
      <c r="AE16" s="127"/>
      <c r="AF16" s="127"/>
      <c r="AG16" s="127"/>
      <c r="AH16" s="127"/>
      <c r="AI16" s="127"/>
      <c r="AJ16" s="127"/>
      <c r="AK16" s="248"/>
    </row>
    <row r="17" spans="1:37" s="53" customFormat="1" ht="16.5" customHeight="1">
      <c r="A17" s="248"/>
      <c r="B17" s="172" t="s">
        <v>8210</v>
      </c>
      <c r="C17" s="173" t="s">
        <v>9456</v>
      </c>
      <c r="D17" s="189"/>
      <c r="E17" s="127"/>
      <c r="F17" s="127"/>
      <c r="G17" s="127"/>
      <c r="H17" s="244"/>
      <c r="I17" s="170" t="s">
        <v>1097</v>
      </c>
      <c r="J17" s="175" t="s">
        <v>9457</v>
      </c>
      <c r="K17" s="175" t="s">
        <v>9458</v>
      </c>
      <c r="L17" s="99"/>
      <c r="M17" s="189"/>
      <c r="N17" s="310" t="s">
        <v>90</v>
      </c>
      <c r="O17" s="311" t="s">
        <v>9453</v>
      </c>
      <c r="P17" s="245"/>
      <c r="Q17" s="189"/>
      <c r="R17" s="246"/>
      <c r="S17" s="247"/>
      <c r="T17" s="189"/>
      <c r="U17" s="118"/>
      <c r="V17" s="246"/>
      <c r="W17" s="248"/>
      <c r="X17" s="248"/>
      <c r="Y17" s="248"/>
      <c r="Z17" s="248"/>
      <c r="AA17" s="248"/>
      <c r="AB17" s="127"/>
      <c r="AC17" s="127"/>
      <c r="AD17" s="127"/>
      <c r="AE17" s="127"/>
      <c r="AF17" s="127"/>
      <c r="AG17" s="127"/>
      <c r="AH17" s="127"/>
      <c r="AI17" s="127"/>
      <c r="AJ17" s="127"/>
      <c r="AK17" s="248"/>
    </row>
    <row r="18" spans="1:37" s="53" customFormat="1" ht="16.5" customHeight="1">
      <c r="A18" s="248"/>
      <c r="B18" s="172" t="s">
        <v>30</v>
      </c>
      <c r="C18" s="173" t="s">
        <v>9459</v>
      </c>
      <c r="D18" s="189"/>
      <c r="E18" s="127"/>
      <c r="F18" s="127"/>
      <c r="G18" s="127"/>
      <c r="H18" s="244"/>
      <c r="I18" s="127"/>
      <c r="J18" s="127"/>
      <c r="K18" s="127"/>
      <c r="L18" s="99"/>
      <c r="M18" s="189"/>
      <c r="N18" s="310" t="s">
        <v>8210</v>
      </c>
      <c r="O18" s="311" t="s">
        <v>9456</v>
      </c>
      <c r="P18" s="245"/>
      <c r="Q18" s="189"/>
      <c r="R18" s="246"/>
      <c r="S18" s="247"/>
      <c r="T18" s="189"/>
      <c r="U18" s="118"/>
      <c r="V18" s="246"/>
      <c r="W18" s="248"/>
      <c r="X18" s="248"/>
      <c r="Y18" s="248"/>
      <c r="Z18" s="248"/>
      <c r="AA18" s="248"/>
      <c r="AB18" s="127"/>
      <c r="AC18" s="127"/>
      <c r="AD18" s="127"/>
      <c r="AE18" s="127"/>
      <c r="AF18" s="127"/>
      <c r="AG18" s="127"/>
      <c r="AH18" s="127"/>
      <c r="AI18" s="127"/>
      <c r="AJ18" s="127"/>
      <c r="AK18" s="248"/>
    </row>
    <row r="19" spans="1:37" s="53" customFormat="1" ht="16.5" customHeight="1">
      <c r="A19" s="248"/>
      <c r="B19" s="172" t="s">
        <v>9460</v>
      </c>
      <c r="C19" s="173" t="s">
        <v>9461</v>
      </c>
      <c r="D19" s="189"/>
      <c r="E19" s="127"/>
      <c r="F19" s="127"/>
      <c r="G19" s="127"/>
      <c r="H19" s="244"/>
      <c r="I19" s="127"/>
      <c r="J19" s="127"/>
      <c r="K19" s="127"/>
      <c r="L19" s="99"/>
      <c r="M19" s="189"/>
      <c r="N19" s="310" t="s">
        <v>30</v>
      </c>
      <c r="O19" s="311" t="s">
        <v>9459</v>
      </c>
      <c r="P19" s="245"/>
      <c r="Q19" s="189"/>
      <c r="R19" s="246"/>
      <c r="S19" s="247"/>
      <c r="T19" s="189"/>
      <c r="U19" s="118"/>
      <c r="V19" s="246"/>
      <c r="W19" s="248"/>
      <c r="X19" s="248"/>
      <c r="Y19" s="248"/>
      <c r="Z19" s="248"/>
      <c r="AA19" s="248"/>
      <c r="AB19" s="127"/>
      <c r="AC19" s="127"/>
      <c r="AD19" s="127"/>
      <c r="AE19" s="127"/>
      <c r="AF19" s="127"/>
      <c r="AG19" s="127"/>
      <c r="AH19" s="127"/>
      <c r="AI19" s="127"/>
      <c r="AJ19" s="127"/>
      <c r="AK19" s="248"/>
    </row>
    <row r="20" spans="1:37" s="53" customFormat="1" ht="16.5" customHeight="1">
      <c r="A20" s="248"/>
      <c r="B20" s="172" t="s">
        <v>64</v>
      </c>
      <c r="C20" s="173" t="s">
        <v>9462</v>
      </c>
      <c r="D20" s="189"/>
      <c r="E20" s="127"/>
      <c r="F20" s="127"/>
      <c r="G20" s="127"/>
      <c r="H20" s="244"/>
      <c r="I20" s="127"/>
      <c r="J20" s="127"/>
      <c r="K20" s="127"/>
      <c r="L20" s="99"/>
      <c r="M20" s="189"/>
      <c r="N20" s="310" t="s">
        <v>9460</v>
      </c>
      <c r="O20" s="311" t="s">
        <v>9461</v>
      </c>
      <c r="P20" s="245"/>
      <c r="Q20" s="189"/>
      <c r="R20" s="246"/>
      <c r="S20" s="247"/>
      <c r="T20" s="189"/>
      <c r="U20" s="118"/>
      <c r="V20" s="246"/>
      <c r="W20" s="248"/>
      <c r="X20" s="248"/>
      <c r="Y20" s="248"/>
      <c r="Z20" s="248"/>
      <c r="AA20" s="248"/>
      <c r="AB20" s="127"/>
      <c r="AC20" s="127"/>
      <c r="AD20" s="127"/>
      <c r="AE20" s="127"/>
      <c r="AF20" s="127"/>
      <c r="AG20" s="127"/>
      <c r="AH20" s="127"/>
      <c r="AI20" s="127"/>
      <c r="AJ20" s="127"/>
      <c r="AK20" s="248"/>
    </row>
    <row r="21" spans="1:37" s="53" customFormat="1" ht="16.5" customHeight="1">
      <c r="A21" s="248"/>
      <c r="B21" s="172" t="s">
        <v>3389</v>
      </c>
      <c r="C21" s="173" t="s">
        <v>9463</v>
      </c>
      <c r="D21" s="189"/>
      <c r="E21" s="127"/>
      <c r="F21" s="127"/>
      <c r="G21" s="127"/>
      <c r="H21" s="244"/>
      <c r="I21" s="127"/>
      <c r="J21" s="127"/>
      <c r="K21" s="127"/>
      <c r="L21" s="99"/>
      <c r="M21" s="189"/>
      <c r="N21" s="310" t="s">
        <v>64</v>
      </c>
      <c r="O21" s="311" t="s">
        <v>9462</v>
      </c>
      <c r="P21" s="245"/>
      <c r="Q21" s="189"/>
      <c r="R21" s="246"/>
      <c r="S21" s="247"/>
      <c r="T21" s="189"/>
      <c r="U21" s="118"/>
      <c r="V21" s="246"/>
      <c r="W21" s="248"/>
      <c r="X21" s="248"/>
      <c r="Y21" s="248"/>
      <c r="Z21" s="248"/>
      <c r="AA21" s="248"/>
      <c r="AB21" s="127"/>
      <c r="AC21" s="127"/>
      <c r="AD21" s="127"/>
      <c r="AE21" s="127"/>
      <c r="AF21" s="127"/>
      <c r="AG21" s="127"/>
      <c r="AH21" s="127"/>
      <c r="AI21" s="127"/>
      <c r="AJ21" s="127"/>
      <c r="AK21" s="248"/>
    </row>
    <row r="22" spans="1:37" s="53" customFormat="1" ht="16.5" customHeight="1">
      <c r="A22" s="248"/>
      <c r="B22" s="172" t="s">
        <v>9464</v>
      </c>
      <c r="C22" s="173" t="s">
        <v>9465</v>
      </c>
      <c r="D22" s="189"/>
      <c r="E22" s="127"/>
      <c r="F22" s="127"/>
      <c r="G22" s="127"/>
      <c r="H22" s="244"/>
      <c r="I22" s="127"/>
      <c r="J22" s="127"/>
      <c r="K22" s="127"/>
      <c r="L22" s="99"/>
      <c r="M22" s="189"/>
      <c r="N22" s="310" t="s">
        <v>3389</v>
      </c>
      <c r="O22" s="311" t="s">
        <v>9463</v>
      </c>
      <c r="P22" s="245"/>
      <c r="Q22" s="189"/>
      <c r="R22" s="246"/>
      <c r="S22" s="247"/>
      <c r="T22" s="189"/>
      <c r="U22" s="118"/>
      <c r="V22" s="246"/>
      <c r="W22" s="248"/>
      <c r="X22" s="248"/>
      <c r="Y22" s="248"/>
      <c r="Z22" s="248"/>
      <c r="AA22" s="248"/>
      <c r="AB22" s="127"/>
      <c r="AC22" s="127"/>
      <c r="AD22" s="127"/>
      <c r="AE22" s="127"/>
      <c r="AF22" s="127"/>
      <c r="AG22" s="127"/>
      <c r="AH22" s="127"/>
      <c r="AI22" s="127"/>
      <c r="AJ22" s="127"/>
      <c r="AK22" s="248"/>
    </row>
    <row r="23" spans="1:37" s="53" customFormat="1" ht="16.5" customHeight="1">
      <c r="A23" s="248"/>
      <c r="B23" s="172" t="s">
        <v>11</v>
      </c>
      <c r="C23" s="173" t="s">
        <v>9466</v>
      </c>
      <c r="D23" s="189"/>
      <c r="E23" s="127"/>
      <c r="F23" s="127"/>
      <c r="G23" s="127"/>
      <c r="H23" s="244"/>
      <c r="I23" s="127"/>
      <c r="J23" s="127"/>
      <c r="K23" s="127"/>
      <c r="L23" s="99"/>
      <c r="M23" s="189"/>
      <c r="N23" s="310" t="s">
        <v>9464</v>
      </c>
      <c r="O23" s="311" t="s">
        <v>9465</v>
      </c>
      <c r="P23" s="245"/>
      <c r="Q23" s="189"/>
      <c r="R23" s="246"/>
      <c r="S23" s="247"/>
      <c r="T23" s="189"/>
      <c r="U23" s="118"/>
      <c r="V23" s="246"/>
      <c r="W23" s="248"/>
      <c r="X23" s="248"/>
      <c r="Y23" s="248"/>
      <c r="Z23" s="248"/>
      <c r="AA23" s="248"/>
      <c r="AB23" s="127"/>
      <c r="AC23" s="127"/>
      <c r="AD23" s="127"/>
      <c r="AE23" s="127"/>
      <c r="AF23" s="127"/>
      <c r="AG23" s="127"/>
      <c r="AH23" s="127"/>
      <c r="AI23" s="127"/>
      <c r="AJ23" s="127"/>
      <c r="AK23" s="248"/>
    </row>
    <row r="24" spans="1:37" s="53" customFormat="1" ht="16.5" customHeight="1">
      <c r="A24" s="248"/>
      <c r="B24" s="172" t="s">
        <v>27</v>
      </c>
      <c r="C24" s="173" t="s">
        <v>9467</v>
      </c>
      <c r="D24" s="189"/>
      <c r="E24" s="127"/>
      <c r="F24" s="127"/>
      <c r="G24" s="127"/>
      <c r="H24" s="244"/>
      <c r="I24" s="127"/>
      <c r="J24" s="127"/>
      <c r="K24" s="127"/>
      <c r="L24" s="99"/>
      <c r="M24" s="189"/>
      <c r="N24" s="310" t="s">
        <v>11</v>
      </c>
      <c r="O24" s="311" t="s">
        <v>9466</v>
      </c>
      <c r="P24" s="245"/>
      <c r="Q24" s="189"/>
      <c r="R24" s="246"/>
      <c r="S24" s="247"/>
      <c r="T24" s="189"/>
      <c r="U24" s="118"/>
      <c r="V24" s="246"/>
      <c r="W24" s="248"/>
      <c r="X24" s="248"/>
      <c r="Y24" s="248"/>
      <c r="Z24" s="248"/>
      <c r="AA24" s="248"/>
      <c r="AB24" s="127"/>
      <c r="AC24" s="127"/>
      <c r="AD24" s="127"/>
      <c r="AE24" s="127"/>
      <c r="AF24" s="127"/>
      <c r="AG24" s="127"/>
      <c r="AH24" s="127"/>
      <c r="AI24" s="127"/>
      <c r="AJ24" s="127"/>
      <c r="AK24" s="248"/>
    </row>
    <row r="25" spans="1:37" s="53" customFormat="1" ht="16.5" customHeight="1">
      <c r="A25" s="248"/>
      <c r="B25" s="172" t="s">
        <v>4650</v>
      </c>
      <c r="C25" s="173" t="s">
        <v>6768</v>
      </c>
      <c r="D25" s="189"/>
      <c r="E25" s="127"/>
      <c r="F25" s="127"/>
      <c r="G25" s="127"/>
      <c r="H25" s="244"/>
      <c r="I25" s="127"/>
      <c r="J25" s="127"/>
      <c r="K25" s="127"/>
      <c r="L25" s="99"/>
      <c r="M25" s="189"/>
      <c r="N25" s="310" t="s">
        <v>27</v>
      </c>
      <c r="O25" s="311" t="s">
        <v>9467</v>
      </c>
      <c r="P25" s="245"/>
      <c r="Q25" s="189"/>
      <c r="R25" s="246"/>
      <c r="S25" s="247"/>
      <c r="T25" s="189"/>
      <c r="U25" s="118"/>
      <c r="V25" s="246"/>
      <c r="W25" s="248"/>
      <c r="X25" s="248"/>
      <c r="Y25" s="248"/>
      <c r="Z25" s="248"/>
      <c r="AA25" s="248"/>
      <c r="AB25" s="127"/>
      <c r="AC25" s="127"/>
      <c r="AD25" s="127"/>
      <c r="AE25" s="127"/>
      <c r="AF25" s="127"/>
      <c r="AG25" s="127"/>
      <c r="AH25" s="127"/>
      <c r="AI25" s="127"/>
      <c r="AJ25" s="127"/>
      <c r="AK25" s="248"/>
    </row>
    <row r="26" spans="1:37" s="53" customFormat="1" ht="16.5" customHeight="1">
      <c r="A26" s="248"/>
      <c r="B26" s="172" t="s">
        <v>12</v>
      </c>
      <c r="C26" s="173" t="s">
        <v>9468</v>
      </c>
      <c r="D26" s="189"/>
      <c r="E26" s="127"/>
      <c r="F26" s="127"/>
      <c r="G26" s="127"/>
      <c r="H26" s="244"/>
      <c r="I26" s="127"/>
      <c r="J26" s="127"/>
      <c r="K26" s="127"/>
      <c r="L26" s="99"/>
      <c r="M26" s="189"/>
      <c r="N26" s="310" t="s">
        <v>4650</v>
      </c>
      <c r="O26" s="311" t="s">
        <v>6768</v>
      </c>
      <c r="P26" s="245"/>
      <c r="Q26" s="189"/>
      <c r="R26" s="246"/>
      <c r="S26" s="247"/>
      <c r="T26" s="189"/>
      <c r="U26" s="118"/>
      <c r="V26" s="246"/>
      <c r="W26" s="248"/>
      <c r="X26" s="248"/>
      <c r="Y26" s="248"/>
      <c r="Z26" s="248"/>
      <c r="AA26" s="248"/>
      <c r="AB26" s="127"/>
      <c r="AC26" s="127"/>
      <c r="AD26" s="127"/>
      <c r="AE26" s="127"/>
      <c r="AF26" s="127"/>
      <c r="AG26" s="127"/>
      <c r="AH26" s="127"/>
      <c r="AI26" s="127"/>
      <c r="AJ26" s="127"/>
      <c r="AK26" s="248"/>
    </row>
    <row r="27" spans="1:37" s="53" customFormat="1" ht="16.5" customHeight="1">
      <c r="A27" s="248"/>
      <c r="B27" s="172" t="s">
        <v>29</v>
      </c>
      <c r="C27" s="173" t="s">
        <v>9469</v>
      </c>
      <c r="D27" s="189"/>
      <c r="E27" s="127"/>
      <c r="F27" s="127"/>
      <c r="G27" s="127"/>
      <c r="H27" s="244"/>
      <c r="I27" s="127"/>
      <c r="J27" s="127"/>
      <c r="K27" s="127"/>
      <c r="L27" s="99"/>
      <c r="M27" s="189"/>
      <c r="N27" s="310" t="s">
        <v>12</v>
      </c>
      <c r="O27" s="311" t="s">
        <v>9468</v>
      </c>
      <c r="P27" s="245"/>
      <c r="Q27" s="189"/>
      <c r="R27" s="246"/>
      <c r="S27" s="247"/>
      <c r="T27" s="189"/>
      <c r="U27" s="118"/>
      <c r="V27" s="246"/>
      <c r="W27" s="248"/>
      <c r="X27" s="248"/>
      <c r="Y27" s="248"/>
      <c r="Z27" s="248"/>
      <c r="AA27" s="248"/>
      <c r="AB27" s="127"/>
      <c r="AC27" s="127"/>
      <c r="AD27" s="127"/>
      <c r="AE27" s="127"/>
      <c r="AF27" s="127"/>
      <c r="AG27" s="127"/>
      <c r="AH27" s="127"/>
      <c r="AI27" s="127"/>
      <c r="AJ27" s="127"/>
      <c r="AK27" s="248"/>
    </row>
    <row r="28" spans="1:37" s="53" customFormat="1" ht="16.5" customHeight="1">
      <c r="A28" s="248"/>
      <c r="B28" s="172"/>
      <c r="C28" s="173"/>
      <c r="D28" s="189"/>
      <c r="E28" s="127"/>
      <c r="F28" s="127"/>
      <c r="G28" s="127"/>
      <c r="H28" s="244"/>
      <c r="I28" s="127"/>
      <c r="J28" s="127"/>
      <c r="K28" s="127"/>
      <c r="L28" s="99"/>
      <c r="M28" s="189"/>
      <c r="N28" s="310" t="s">
        <v>1250</v>
      </c>
      <c r="O28" s="311" t="s">
        <v>9470</v>
      </c>
      <c r="P28" s="245"/>
      <c r="Q28" s="189"/>
      <c r="R28" s="246"/>
      <c r="S28" s="247"/>
      <c r="T28" s="189"/>
      <c r="U28" s="118"/>
      <c r="V28" s="246"/>
      <c r="W28" s="248"/>
      <c r="X28" s="248"/>
      <c r="Y28" s="248"/>
      <c r="Z28" s="248"/>
      <c r="AA28" s="248"/>
      <c r="AB28" s="127"/>
      <c r="AC28" s="127"/>
      <c r="AD28" s="127"/>
      <c r="AE28" s="127"/>
      <c r="AF28" s="127"/>
      <c r="AG28" s="127"/>
      <c r="AH28" s="127"/>
      <c r="AI28" s="127"/>
      <c r="AJ28" s="127"/>
      <c r="AK28" s="248"/>
    </row>
    <row r="29" spans="1:37" s="53" customFormat="1" ht="16.5" customHeight="1">
      <c r="A29" s="248"/>
      <c r="B29" s="172" t="s">
        <v>13</v>
      </c>
      <c r="C29" s="173" t="s">
        <v>9471</v>
      </c>
      <c r="D29" s="189"/>
      <c r="E29" s="127"/>
      <c r="F29" s="127"/>
      <c r="G29" s="127"/>
      <c r="H29" s="244"/>
      <c r="I29" s="127"/>
      <c r="J29" s="127"/>
      <c r="K29" s="127"/>
      <c r="L29" s="99"/>
      <c r="M29" s="189"/>
      <c r="N29" s="310" t="s">
        <v>29</v>
      </c>
      <c r="O29" s="311" t="s">
        <v>9469</v>
      </c>
      <c r="P29" s="245"/>
      <c r="Q29" s="189"/>
      <c r="R29" s="246"/>
      <c r="S29" s="247"/>
      <c r="T29" s="189"/>
      <c r="U29" s="118"/>
      <c r="V29" s="246"/>
      <c r="W29" s="248"/>
      <c r="X29" s="248"/>
      <c r="Y29" s="248"/>
      <c r="Z29" s="248"/>
      <c r="AA29" s="248"/>
      <c r="AB29" s="127"/>
      <c r="AC29" s="127"/>
      <c r="AD29" s="127"/>
      <c r="AE29" s="127"/>
      <c r="AF29" s="127"/>
      <c r="AG29" s="127"/>
      <c r="AH29" s="127"/>
      <c r="AI29" s="127"/>
      <c r="AJ29" s="127"/>
      <c r="AK29" s="248"/>
    </row>
    <row r="30" spans="1:37" s="53" customFormat="1" ht="16.5" customHeight="1">
      <c r="A30" s="248"/>
      <c r="B30" s="172" t="s">
        <v>42</v>
      </c>
      <c r="C30" s="173" t="s">
        <v>9472</v>
      </c>
      <c r="D30" s="189"/>
      <c r="E30" s="127"/>
      <c r="F30" s="127"/>
      <c r="G30" s="127"/>
      <c r="H30" s="244"/>
      <c r="I30" s="127"/>
      <c r="J30" s="127"/>
      <c r="K30" s="127"/>
      <c r="L30" s="99"/>
      <c r="M30" s="189"/>
      <c r="N30" s="310" t="s">
        <v>13</v>
      </c>
      <c r="O30" s="311" t="s">
        <v>9471</v>
      </c>
      <c r="P30" s="245"/>
      <c r="Q30" s="189"/>
      <c r="R30" s="246"/>
      <c r="S30" s="247"/>
      <c r="T30" s="189"/>
      <c r="U30" s="118"/>
      <c r="V30" s="246"/>
      <c r="W30" s="248"/>
      <c r="X30" s="248"/>
      <c r="Y30" s="248"/>
      <c r="Z30" s="248"/>
      <c r="AA30" s="248"/>
      <c r="AB30" s="127"/>
      <c r="AC30" s="127"/>
      <c r="AD30" s="127"/>
      <c r="AE30" s="127"/>
      <c r="AF30" s="127"/>
      <c r="AG30" s="127"/>
      <c r="AH30" s="127"/>
      <c r="AI30" s="127"/>
      <c r="AJ30" s="127"/>
      <c r="AK30" s="248"/>
    </row>
    <row r="31" spans="1:37" s="53" customFormat="1" ht="16.5" customHeight="1">
      <c r="A31" s="248"/>
      <c r="B31" s="172" t="s">
        <v>113</v>
      </c>
      <c r="C31" s="173" t="s">
        <v>9473</v>
      </c>
      <c r="D31" s="189"/>
      <c r="E31" s="127"/>
      <c r="F31" s="127"/>
      <c r="G31" s="127"/>
      <c r="H31" s="244"/>
      <c r="I31" s="127"/>
      <c r="J31" s="127"/>
      <c r="K31" s="127"/>
      <c r="L31" s="99"/>
      <c r="M31" s="189"/>
      <c r="N31" s="310" t="s">
        <v>42</v>
      </c>
      <c r="O31" s="311" t="s">
        <v>9472</v>
      </c>
      <c r="P31" s="245"/>
      <c r="Q31" s="189"/>
      <c r="R31" s="246"/>
      <c r="S31" s="247"/>
      <c r="T31" s="189"/>
      <c r="U31" s="118"/>
      <c r="V31" s="252"/>
      <c r="W31" s="248"/>
      <c r="X31" s="248"/>
      <c r="Y31" s="248"/>
      <c r="Z31" s="248"/>
      <c r="AA31" s="248"/>
      <c r="AB31" s="127"/>
      <c r="AC31" s="127"/>
      <c r="AD31" s="127"/>
      <c r="AE31" s="127"/>
      <c r="AF31" s="127"/>
      <c r="AG31" s="127"/>
      <c r="AH31" s="127"/>
      <c r="AI31" s="127"/>
      <c r="AJ31" s="127"/>
      <c r="AK31" s="248"/>
    </row>
    <row r="32" spans="1:37" s="53" customFormat="1" ht="16.5" customHeight="1">
      <c r="A32" s="248"/>
      <c r="B32" s="172" t="s">
        <v>14</v>
      </c>
      <c r="C32" s="173" t="s">
        <v>9474</v>
      </c>
      <c r="D32" s="189"/>
      <c r="E32" s="127"/>
      <c r="F32" s="127"/>
      <c r="G32" s="127"/>
      <c r="H32" s="244"/>
      <c r="I32" s="127"/>
      <c r="J32" s="127"/>
      <c r="K32" s="127"/>
      <c r="L32" s="99"/>
      <c r="M32" s="189"/>
      <c r="N32" s="310" t="s">
        <v>113</v>
      </c>
      <c r="O32" s="311" t="s">
        <v>9473</v>
      </c>
      <c r="P32" s="245"/>
      <c r="Q32" s="189"/>
      <c r="R32" s="246"/>
      <c r="S32" s="247"/>
      <c r="T32" s="189"/>
      <c r="U32" s="118"/>
      <c r="V32" s="252"/>
      <c r="W32" s="248"/>
      <c r="X32" s="248"/>
      <c r="Y32" s="248"/>
      <c r="Z32" s="248"/>
      <c r="AA32" s="248"/>
      <c r="AB32" s="127"/>
      <c r="AC32" s="127"/>
      <c r="AD32" s="127"/>
      <c r="AE32" s="127"/>
      <c r="AF32" s="127"/>
      <c r="AG32" s="127"/>
      <c r="AH32" s="127"/>
      <c r="AI32" s="127"/>
      <c r="AJ32" s="127"/>
      <c r="AK32" s="248"/>
    </row>
    <row r="33" spans="1:37" s="53" customFormat="1" ht="16.5" customHeight="1">
      <c r="A33" s="248"/>
      <c r="B33" s="172" t="s">
        <v>45</v>
      </c>
      <c r="C33" s="173" t="s">
        <v>9475</v>
      </c>
      <c r="D33" s="189"/>
      <c r="E33" s="127"/>
      <c r="F33" s="127"/>
      <c r="G33" s="127"/>
      <c r="H33" s="244"/>
      <c r="I33" s="127"/>
      <c r="J33" s="127"/>
      <c r="K33" s="127"/>
      <c r="L33" s="99"/>
      <c r="M33" s="189"/>
      <c r="N33" s="310" t="s">
        <v>14</v>
      </c>
      <c r="O33" s="311" t="s">
        <v>9474</v>
      </c>
      <c r="P33" s="245"/>
      <c r="Q33" s="189"/>
      <c r="R33" s="246"/>
      <c r="S33" s="247"/>
      <c r="T33" s="189"/>
      <c r="U33" s="118"/>
      <c r="V33" s="252"/>
      <c r="W33" s="248"/>
      <c r="X33" s="248"/>
      <c r="Y33" s="248"/>
      <c r="Z33" s="248"/>
      <c r="AA33" s="248"/>
      <c r="AB33" s="127"/>
      <c r="AC33" s="127"/>
      <c r="AD33" s="127"/>
      <c r="AE33" s="127"/>
      <c r="AF33" s="127"/>
      <c r="AG33" s="127"/>
      <c r="AH33" s="127"/>
      <c r="AI33" s="127"/>
      <c r="AJ33" s="127"/>
      <c r="AK33" s="248"/>
    </row>
    <row r="34" spans="1:37" s="53" customFormat="1" ht="16.5" customHeight="1">
      <c r="A34" s="248"/>
      <c r="B34" s="172" t="s">
        <v>9</v>
      </c>
      <c r="C34" s="173" t="s">
        <v>167</v>
      </c>
      <c r="D34" s="189"/>
      <c r="E34" s="127"/>
      <c r="F34" s="127"/>
      <c r="G34" s="127"/>
      <c r="H34" s="244"/>
      <c r="I34" s="127"/>
      <c r="J34" s="127"/>
      <c r="K34" s="127"/>
      <c r="L34" s="99"/>
      <c r="M34" s="189"/>
      <c r="N34" s="310" t="s">
        <v>45</v>
      </c>
      <c r="O34" s="311" t="s">
        <v>9475</v>
      </c>
      <c r="P34" s="245"/>
      <c r="Q34" s="189"/>
      <c r="R34" s="246"/>
      <c r="S34" s="247"/>
      <c r="T34" s="189"/>
      <c r="U34" s="118"/>
      <c r="V34" s="252"/>
      <c r="W34" s="248"/>
      <c r="X34" s="248"/>
      <c r="Y34" s="248"/>
      <c r="Z34" s="248"/>
      <c r="AA34" s="248"/>
      <c r="AB34" s="127"/>
      <c r="AC34" s="127"/>
      <c r="AD34" s="127"/>
      <c r="AE34" s="127"/>
      <c r="AF34" s="127"/>
      <c r="AG34" s="127"/>
      <c r="AH34" s="127"/>
      <c r="AI34" s="127"/>
      <c r="AJ34" s="127"/>
      <c r="AK34" s="248"/>
    </row>
    <row r="35" spans="1:37" s="53" customFormat="1" ht="16.5" customHeight="1">
      <c r="A35" s="248"/>
      <c r="B35" s="172" t="s">
        <v>33</v>
      </c>
      <c r="C35" s="173" t="s">
        <v>9476</v>
      </c>
      <c r="D35" s="189"/>
      <c r="E35" s="127"/>
      <c r="F35" s="127"/>
      <c r="G35" s="127"/>
      <c r="H35" s="244"/>
      <c r="I35" s="127"/>
      <c r="J35" s="127"/>
      <c r="K35" s="127"/>
      <c r="L35" s="99"/>
      <c r="M35" s="189"/>
      <c r="N35" s="310" t="s">
        <v>9</v>
      </c>
      <c r="O35" s="311" t="s">
        <v>167</v>
      </c>
      <c r="P35" s="245"/>
      <c r="Q35" s="189"/>
      <c r="R35" s="246"/>
      <c r="S35" s="247"/>
      <c r="T35" s="189"/>
      <c r="U35" s="118"/>
      <c r="V35" s="252"/>
      <c r="W35" s="248"/>
      <c r="X35" s="248"/>
      <c r="Y35" s="248"/>
      <c r="Z35" s="248"/>
      <c r="AA35" s="248"/>
      <c r="AB35" s="127"/>
      <c r="AC35" s="127"/>
      <c r="AD35" s="127"/>
      <c r="AE35" s="127"/>
      <c r="AF35" s="127"/>
      <c r="AG35" s="127"/>
      <c r="AH35" s="127"/>
      <c r="AI35" s="127"/>
      <c r="AJ35" s="127"/>
      <c r="AK35" s="248"/>
    </row>
    <row r="36" spans="1:37" s="53" customFormat="1" ht="16.5" customHeight="1">
      <c r="A36" s="248"/>
      <c r="B36" s="172" t="s">
        <v>1841</v>
      </c>
      <c r="C36" s="173" t="s">
        <v>9477</v>
      </c>
      <c r="D36" s="189"/>
      <c r="E36" s="127"/>
      <c r="F36" s="127"/>
      <c r="G36" s="127"/>
      <c r="H36" s="244"/>
      <c r="I36" s="127"/>
      <c r="J36" s="127"/>
      <c r="K36" s="127"/>
      <c r="L36" s="99"/>
      <c r="M36" s="189"/>
      <c r="N36" s="310" t="s">
        <v>33</v>
      </c>
      <c r="O36" s="311" t="s">
        <v>9476</v>
      </c>
      <c r="P36" s="245"/>
      <c r="Q36" s="189"/>
      <c r="R36" s="246"/>
      <c r="S36" s="247"/>
      <c r="T36" s="189"/>
      <c r="U36" s="118"/>
      <c r="V36" s="252"/>
      <c r="W36" s="248"/>
      <c r="X36" s="248"/>
      <c r="Y36" s="248"/>
      <c r="Z36" s="248"/>
      <c r="AA36" s="248"/>
      <c r="AB36" s="127"/>
      <c r="AC36" s="127"/>
      <c r="AD36" s="127"/>
      <c r="AE36" s="127"/>
      <c r="AF36" s="127"/>
      <c r="AG36" s="127"/>
      <c r="AH36" s="127"/>
      <c r="AI36" s="127"/>
      <c r="AJ36" s="127"/>
      <c r="AK36" s="248"/>
    </row>
    <row r="37" spans="1:37" s="53" customFormat="1" ht="16.5" customHeight="1">
      <c r="A37" s="248"/>
      <c r="B37" s="172" t="s">
        <v>18</v>
      </c>
      <c r="C37" s="173" t="s">
        <v>9478</v>
      </c>
      <c r="D37" s="189"/>
      <c r="E37" s="127"/>
      <c r="F37" s="127"/>
      <c r="G37" s="127"/>
      <c r="H37" s="244"/>
      <c r="I37" s="127"/>
      <c r="J37" s="127"/>
      <c r="K37" s="127"/>
      <c r="L37" s="99"/>
      <c r="M37" s="189"/>
      <c r="N37" s="310" t="s">
        <v>1841</v>
      </c>
      <c r="O37" s="311" t="s">
        <v>9477</v>
      </c>
      <c r="P37" s="245"/>
      <c r="Q37" s="189"/>
      <c r="R37" s="246"/>
      <c r="S37" s="247"/>
      <c r="T37" s="189"/>
      <c r="U37" s="118"/>
      <c r="V37" s="252"/>
      <c r="W37" s="248"/>
      <c r="X37" s="248"/>
      <c r="Y37" s="248"/>
      <c r="Z37" s="248"/>
      <c r="AA37" s="248"/>
      <c r="AB37" s="127"/>
      <c r="AC37" s="127"/>
      <c r="AD37" s="127"/>
      <c r="AE37" s="127"/>
      <c r="AF37" s="127"/>
      <c r="AG37" s="127"/>
      <c r="AH37" s="127"/>
      <c r="AI37" s="127"/>
      <c r="AJ37" s="127"/>
      <c r="AK37" s="248"/>
    </row>
    <row r="38" spans="1:37" s="53" customFormat="1" ht="16.5" customHeight="1">
      <c r="A38" s="248"/>
      <c r="B38" s="172" t="s">
        <v>4903</v>
      </c>
      <c r="C38" s="173" t="s">
        <v>9479</v>
      </c>
      <c r="D38" s="189"/>
      <c r="E38" s="127"/>
      <c r="F38" s="127"/>
      <c r="G38" s="127"/>
      <c r="H38" s="244"/>
      <c r="I38" s="127"/>
      <c r="J38" s="127"/>
      <c r="K38" s="127"/>
      <c r="L38" s="99"/>
      <c r="M38" s="189"/>
      <c r="N38" s="310" t="s">
        <v>18</v>
      </c>
      <c r="O38" s="311" t="s">
        <v>9478</v>
      </c>
      <c r="P38" s="245"/>
      <c r="Q38" s="189"/>
      <c r="R38" s="246"/>
      <c r="S38" s="247"/>
      <c r="T38" s="189"/>
      <c r="U38" s="118"/>
      <c r="V38" s="252"/>
      <c r="W38" s="248"/>
      <c r="X38" s="248"/>
      <c r="Y38" s="248"/>
      <c r="Z38" s="248"/>
      <c r="AA38" s="248"/>
      <c r="AB38" s="127"/>
      <c r="AC38" s="127"/>
      <c r="AD38" s="127"/>
      <c r="AE38" s="127"/>
      <c r="AF38" s="127"/>
      <c r="AG38" s="127"/>
      <c r="AH38" s="127"/>
      <c r="AI38" s="127"/>
      <c r="AJ38" s="127"/>
      <c r="AK38" s="248"/>
    </row>
    <row r="39" spans="1:37" s="53" customFormat="1" ht="16.5" customHeight="1">
      <c r="A39" s="248"/>
      <c r="B39" s="172" t="s">
        <v>777</v>
      </c>
      <c r="C39" s="173" t="s">
        <v>9480</v>
      </c>
      <c r="D39" s="171"/>
      <c r="E39" s="127"/>
      <c r="F39" s="127"/>
      <c r="G39" s="127"/>
      <c r="H39" s="244"/>
      <c r="I39" s="127"/>
      <c r="J39" s="127"/>
      <c r="K39" s="127"/>
      <c r="L39" s="99"/>
      <c r="M39" s="189"/>
      <c r="N39" s="310" t="s">
        <v>4903</v>
      </c>
      <c r="O39" s="311" t="s">
        <v>9479</v>
      </c>
      <c r="P39" s="245"/>
      <c r="Q39" s="189"/>
      <c r="R39" s="246"/>
      <c r="S39" s="247"/>
      <c r="T39" s="189"/>
      <c r="U39" s="118"/>
      <c r="V39" s="252"/>
      <c r="W39" s="248"/>
      <c r="X39" s="248"/>
      <c r="Y39" s="248"/>
      <c r="Z39" s="248"/>
      <c r="AA39" s="248"/>
      <c r="AB39" s="127"/>
      <c r="AC39" s="127"/>
      <c r="AD39" s="127"/>
      <c r="AE39" s="127"/>
      <c r="AF39" s="127"/>
      <c r="AG39" s="127"/>
      <c r="AH39" s="127"/>
      <c r="AI39" s="127"/>
      <c r="AJ39" s="127"/>
      <c r="AK39" s="248"/>
    </row>
    <row r="40" spans="1:37" s="53" customFormat="1" ht="16.5" customHeight="1">
      <c r="A40" s="248"/>
      <c r="B40" s="172" t="s">
        <v>24</v>
      </c>
      <c r="C40" s="173" t="s">
        <v>9481</v>
      </c>
      <c r="D40" s="171"/>
      <c r="E40" s="127"/>
      <c r="F40" s="127"/>
      <c r="G40" s="127"/>
      <c r="H40" s="244"/>
      <c r="I40" s="127"/>
      <c r="J40" s="127"/>
      <c r="K40" s="127"/>
      <c r="L40" s="99"/>
      <c r="M40" s="189"/>
      <c r="N40" s="310" t="s">
        <v>777</v>
      </c>
      <c r="O40" s="311" t="s">
        <v>9480</v>
      </c>
      <c r="P40" s="245"/>
      <c r="Q40" s="189"/>
      <c r="R40" s="246"/>
      <c r="S40" s="247"/>
      <c r="T40" s="189"/>
      <c r="U40" s="118"/>
      <c r="V40" s="252"/>
      <c r="W40" s="248"/>
      <c r="X40" s="248"/>
      <c r="Y40" s="248"/>
      <c r="Z40" s="248"/>
      <c r="AA40" s="248"/>
      <c r="AB40" s="127"/>
      <c r="AC40" s="127"/>
      <c r="AD40" s="127"/>
      <c r="AE40" s="127"/>
      <c r="AF40" s="127"/>
      <c r="AG40" s="127"/>
      <c r="AH40" s="127"/>
      <c r="AI40" s="127"/>
      <c r="AJ40" s="127"/>
      <c r="AK40" s="248"/>
    </row>
    <row r="41" spans="1:37" ht="12.75" customHeight="1">
      <c r="I41" s="127"/>
      <c r="J41" s="127"/>
      <c r="K41" s="127"/>
      <c r="N41" s="310" t="s">
        <v>24</v>
      </c>
      <c r="O41" s="311" t="s">
        <v>9481</v>
      </c>
    </row>
    <row r="43" spans="1:37" ht="13.9">
      <c r="B43" s="174"/>
      <c r="C43" s="249" t="s">
        <v>147</v>
      </c>
    </row>
    <row r="44" spans="1:37" ht="13.9">
      <c r="B44" s="172" t="s">
        <v>158</v>
      </c>
      <c r="C44" s="173" t="s">
        <v>9482</v>
      </c>
    </row>
    <row r="45" spans="1:37" ht="13.9">
      <c r="B45" s="172" t="s">
        <v>64</v>
      </c>
      <c r="C45" s="173" t="s">
        <v>153</v>
      </c>
    </row>
    <row r="46" spans="1:37" ht="13.9">
      <c r="B46" s="172" t="s">
        <v>155</v>
      </c>
      <c r="C46" s="173" t="s">
        <v>9483</v>
      </c>
    </row>
    <row r="47" spans="1:37" ht="13.9">
      <c r="B47" s="172" t="s">
        <v>168</v>
      </c>
      <c r="C47" s="173" t="s">
        <v>5763</v>
      </c>
    </row>
    <row r="48" spans="1:37" ht="13.9">
      <c r="B48" s="172" t="s">
        <v>3</v>
      </c>
      <c r="C48" s="173" t="s">
        <v>162</v>
      </c>
    </row>
    <row r="49" spans="2:3" ht="13.9">
      <c r="B49" s="172" t="s">
        <v>165</v>
      </c>
      <c r="C49" s="173" t="s">
        <v>166</v>
      </c>
    </row>
  </sheetData>
  <sortState xmlns:xlrd2="http://schemas.microsoft.com/office/spreadsheetml/2017/richdata2" ref="I5:K17">
    <sortCondition ref="I5:I17"/>
    <sortCondition ref="J5:J17"/>
  </sortState>
  <conditionalFormatting sqref="O3">
    <cfRule type="cellIs" dxfId="3" priority="1" operator="equal">
      <formula>"NL"</formula>
    </cfRule>
    <cfRule type="cellIs" dxfId="2" priority="2" operator="equal">
      <formula>"DP"</formula>
    </cfRule>
    <cfRule type="cellIs" dxfId="1" priority="3" operator="equal">
      <formula>"PG"</formula>
    </cfRule>
    <cfRule type="cellIs" dxfId="0" priority="4" operator="equal">
      <formula>"PP"</formula>
    </cfRule>
  </conditionalFormatting>
  <pageMargins left="0.7" right="0.7" top="0.75" bottom="0.75" header="0.3" footer="0.3"/>
  <pageSetup paperSize="9" orientation="portrait"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B4:AI24"/>
  <sheetViews>
    <sheetView zoomScaleNormal="100" workbookViewId="0">
      <selection activeCell="G25" sqref="G25"/>
    </sheetView>
  </sheetViews>
  <sheetFormatPr defaultColWidth="11.42578125" defaultRowHeight="13.15"/>
  <cols>
    <col min="15" max="15" width="16.7109375" customWidth="1"/>
    <col min="20" max="20" width="9" customWidth="1"/>
  </cols>
  <sheetData>
    <row r="4" spans="2:35" ht="12.75" customHeight="1">
      <c r="B4" s="406" t="s">
        <v>9484</v>
      </c>
      <c r="C4" s="406"/>
      <c r="D4" s="406"/>
      <c r="E4" s="406"/>
      <c r="F4" s="406"/>
      <c r="G4" s="406"/>
      <c r="L4" s="406" t="s">
        <v>9484</v>
      </c>
      <c r="M4" s="406"/>
      <c r="N4" s="406"/>
      <c r="O4" s="406"/>
      <c r="P4" s="406"/>
      <c r="Q4" s="406"/>
      <c r="U4" s="406" t="s">
        <v>9484</v>
      </c>
      <c r="V4" s="406"/>
      <c r="W4" s="406"/>
      <c r="X4" s="406"/>
      <c r="Y4" s="406"/>
      <c r="Z4" s="406"/>
      <c r="AD4" s="406" t="s">
        <v>9484</v>
      </c>
      <c r="AE4" s="406"/>
      <c r="AF4" s="406"/>
      <c r="AG4" s="406"/>
      <c r="AH4" s="406"/>
      <c r="AI4" s="406"/>
    </row>
    <row r="5" spans="2:35" ht="12.75" customHeight="1">
      <c r="B5" s="407" t="s">
        <v>9485</v>
      </c>
      <c r="C5" s="407"/>
      <c r="D5" s="407"/>
      <c r="E5" s="407"/>
      <c r="F5" s="407"/>
      <c r="G5" s="407"/>
      <c r="L5" s="407" t="s">
        <v>121</v>
      </c>
      <c r="M5" s="407"/>
      <c r="N5" s="407"/>
      <c r="O5" s="407"/>
      <c r="P5" s="407"/>
      <c r="Q5" s="407"/>
      <c r="U5" s="402" t="s">
        <v>9486</v>
      </c>
      <c r="V5" s="403"/>
      <c r="W5" s="403"/>
      <c r="X5" s="403"/>
      <c r="Y5" s="403"/>
      <c r="Z5" s="404"/>
      <c r="AD5" s="402" t="s">
        <v>9487</v>
      </c>
      <c r="AE5" s="403"/>
      <c r="AF5" s="403"/>
      <c r="AG5" s="403"/>
      <c r="AH5" s="403"/>
      <c r="AI5" s="404"/>
    </row>
    <row r="6" spans="2:35">
      <c r="B6" s="14" t="s">
        <v>9488</v>
      </c>
      <c r="C6" s="14" t="s">
        <v>3</v>
      </c>
      <c r="D6" s="14" t="s">
        <v>165</v>
      </c>
      <c r="E6" s="14" t="s">
        <v>168</v>
      </c>
      <c r="F6" s="14" t="s">
        <v>158</v>
      </c>
      <c r="G6" s="14" t="s">
        <v>64</v>
      </c>
      <c r="L6" s="14" t="s">
        <v>9488</v>
      </c>
      <c r="M6" s="14" t="s">
        <v>3</v>
      </c>
      <c r="N6" s="14" t="s">
        <v>165</v>
      </c>
      <c r="O6" s="14" t="s">
        <v>168</v>
      </c>
      <c r="P6" s="14" t="s">
        <v>158</v>
      </c>
      <c r="Q6" s="14" t="s">
        <v>64</v>
      </c>
      <c r="U6" s="14" t="s">
        <v>9488</v>
      </c>
      <c r="V6" s="14" t="s">
        <v>3</v>
      </c>
      <c r="W6" s="14" t="s">
        <v>165</v>
      </c>
      <c r="X6" s="14" t="s">
        <v>168</v>
      </c>
      <c r="Y6" s="14" t="s">
        <v>158</v>
      </c>
      <c r="Z6" s="14" t="s">
        <v>64</v>
      </c>
      <c r="AD6" s="14" t="s">
        <v>9488</v>
      </c>
      <c r="AE6" s="14" t="s">
        <v>3</v>
      </c>
      <c r="AF6" s="14" t="s">
        <v>165</v>
      </c>
      <c r="AG6" s="14" t="s">
        <v>168</v>
      </c>
      <c r="AH6" s="14" t="s">
        <v>158</v>
      </c>
      <c r="AI6" s="14" t="s">
        <v>64</v>
      </c>
    </row>
    <row r="7" spans="2:35">
      <c r="B7" s="16">
        <f>Indicadores!$B$3</f>
        <v>2010</v>
      </c>
      <c r="C7" s="17">
        <f>Indicadores!$C$6</f>
        <v>21</v>
      </c>
      <c r="D7" s="17">
        <f>Indicadores!C7</f>
        <v>30</v>
      </c>
      <c r="E7" s="17">
        <f>Indicadores!C8</f>
        <v>0</v>
      </c>
      <c r="F7" s="17">
        <f>Indicadores!C9</f>
        <v>0</v>
      </c>
      <c r="G7" s="17">
        <f>Indicadores!C10</f>
        <v>0</v>
      </c>
      <c r="L7" s="16">
        <f>Indicadores!$K$3</f>
        <v>2010</v>
      </c>
      <c r="M7" s="17">
        <f>Indicadores!$L$6</f>
        <v>21</v>
      </c>
      <c r="N7" s="17">
        <f>Indicadores!$L$7</f>
        <v>24</v>
      </c>
      <c r="O7" s="17">
        <f>Indicadores!$L$8</f>
        <v>0</v>
      </c>
      <c r="P7" s="17">
        <f>Indicadores!$L$9</f>
        <v>0</v>
      </c>
      <c r="Q7" s="17">
        <f>Indicadores!$L$10</f>
        <v>0</v>
      </c>
      <c r="U7" s="16">
        <f>Indicadores!$T$3</f>
        <v>2010</v>
      </c>
      <c r="V7" s="17">
        <f>Indicadores!$U$6</f>
        <v>0</v>
      </c>
      <c r="W7" s="17">
        <f>Indicadores!$U$7</f>
        <v>6</v>
      </c>
      <c r="X7" s="17">
        <f>Indicadores!$U$8</f>
        <v>0</v>
      </c>
      <c r="Y7" s="17">
        <f>Indicadores!$U$9</f>
        <v>0</v>
      </c>
      <c r="Z7" s="17">
        <f>Indicadores!$U$10</f>
        <v>0</v>
      </c>
      <c r="AD7" s="16">
        <f>Indicadores!$T$3</f>
        <v>2010</v>
      </c>
      <c r="AE7" s="17">
        <f>Indicadores!$AD$6</f>
        <v>0</v>
      </c>
      <c r="AF7" s="17">
        <f>Indicadores!$AD$7</f>
        <v>0</v>
      </c>
      <c r="AG7" s="17">
        <f>Indicadores!$AD$8</f>
        <v>0</v>
      </c>
      <c r="AH7" s="17">
        <f>Indicadores!$AD$9</f>
        <v>0</v>
      </c>
      <c r="AI7" s="17">
        <f>Indicadores!$AD$10</f>
        <v>0</v>
      </c>
    </row>
    <row r="8" spans="2:35">
      <c r="B8" s="16">
        <f>Indicadores!$B$12</f>
        <v>2011</v>
      </c>
      <c r="C8" s="17">
        <f>Indicadores!$C$15</f>
        <v>25</v>
      </c>
      <c r="D8" s="17">
        <f>Indicadores!C16</f>
        <v>25</v>
      </c>
      <c r="E8" s="17">
        <f>Indicadores!C17</f>
        <v>0</v>
      </c>
      <c r="F8" s="17">
        <f>Indicadores!C18</f>
        <v>0</v>
      </c>
      <c r="G8" s="17">
        <f>Indicadores!$C$19</f>
        <v>0</v>
      </c>
      <c r="L8" s="16">
        <f>Indicadores!$K$12</f>
        <v>2011</v>
      </c>
      <c r="M8" s="17">
        <f>Indicadores!$L$15</f>
        <v>25</v>
      </c>
      <c r="N8" s="17">
        <f>Indicadores!$L$16</f>
        <v>17</v>
      </c>
      <c r="O8" s="17">
        <f>Indicadores!$L$17</f>
        <v>0</v>
      </c>
      <c r="P8" s="17">
        <f>Indicadores!$L$18</f>
        <v>0</v>
      </c>
      <c r="Q8" s="17">
        <f>Indicadores!$L$19</f>
        <v>0</v>
      </c>
      <c r="U8" s="16">
        <f>Indicadores!$T$12</f>
        <v>2011</v>
      </c>
      <c r="V8" s="17">
        <f>Indicadores!$U$15</f>
        <v>0</v>
      </c>
      <c r="W8" s="17">
        <f>Indicadores!$U$16</f>
        <v>8</v>
      </c>
      <c r="X8" s="17">
        <f>Indicadores!$U$17</f>
        <v>0</v>
      </c>
      <c r="Y8" s="17">
        <f>Indicadores!$U$18</f>
        <v>0</v>
      </c>
      <c r="Z8" s="17">
        <f>Indicadores!$U$19</f>
        <v>0</v>
      </c>
      <c r="AD8" s="16">
        <f>Indicadores!$T$12</f>
        <v>2011</v>
      </c>
      <c r="AE8" s="17">
        <f>Indicadores!$AD$15</f>
        <v>0</v>
      </c>
      <c r="AF8" s="17">
        <f>Indicadores!$AD$16</f>
        <v>0</v>
      </c>
      <c r="AG8" s="17">
        <f>Indicadores!$AD$17</f>
        <v>0</v>
      </c>
      <c r="AH8" s="17">
        <f>Indicadores!$AD$18</f>
        <v>0</v>
      </c>
      <c r="AI8" s="17">
        <f>Indicadores!$AD$19</f>
        <v>0</v>
      </c>
    </row>
    <row r="9" spans="2:35">
      <c r="B9" s="16">
        <f>Indicadores!$B$21</f>
        <v>2012</v>
      </c>
      <c r="C9" s="17">
        <f>Indicadores!$C$24</f>
        <v>23</v>
      </c>
      <c r="D9" s="17">
        <f>Indicadores!C25</f>
        <v>37</v>
      </c>
      <c r="E9" s="17">
        <f>Indicadores!C26</f>
        <v>0</v>
      </c>
      <c r="F9" s="17">
        <f>Indicadores!C27</f>
        <v>0</v>
      </c>
      <c r="G9" s="17">
        <f>Indicadores!$C$28</f>
        <v>0</v>
      </c>
      <c r="L9" s="16">
        <f>Indicadores!$K$21</f>
        <v>2012</v>
      </c>
      <c r="M9" s="18">
        <f>Indicadores!$L$24</f>
        <v>22</v>
      </c>
      <c r="N9" s="17">
        <f>Indicadores!$L$25</f>
        <v>30</v>
      </c>
      <c r="O9" s="17">
        <f>Indicadores!$L$26</f>
        <v>0</v>
      </c>
      <c r="P9" s="17">
        <f>Indicadores!$L$27</f>
        <v>0</v>
      </c>
      <c r="Q9" s="17">
        <f>Indicadores!$L$28</f>
        <v>0</v>
      </c>
      <c r="U9" s="16">
        <f>Indicadores!$T$21</f>
        <v>2012</v>
      </c>
      <c r="V9" s="17">
        <f>Indicadores!$U$24</f>
        <v>1</v>
      </c>
      <c r="W9" s="17">
        <f>Indicadores!$U$25</f>
        <v>7</v>
      </c>
      <c r="X9" s="17">
        <f>Indicadores!$U$26</f>
        <v>0</v>
      </c>
      <c r="Y9" s="17">
        <f>Indicadores!$U$27</f>
        <v>0</v>
      </c>
      <c r="Z9" s="17">
        <f>Indicadores!$U$28</f>
        <v>0</v>
      </c>
      <c r="AD9" s="16">
        <f>Indicadores!$T$21</f>
        <v>2012</v>
      </c>
      <c r="AE9" s="17">
        <f>Indicadores!$AD$24</f>
        <v>0</v>
      </c>
      <c r="AF9" s="17">
        <f>Indicadores!$AD$25</f>
        <v>0</v>
      </c>
      <c r="AG9" s="17">
        <f>Indicadores!$AD$26</f>
        <v>0</v>
      </c>
      <c r="AH9" s="17">
        <f>Indicadores!$AD$27</f>
        <v>0</v>
      </c>
      <c r="AI9" s="17">
        <f>Indicadores!$AD$28</f>
        <v>0</v>
      </c>
    </row>
    <row r="10" spans="2:35">
      <c r="B10" s="16">
        <f>Indicadores!$B$30</f>
        <v>2013</v>
      </c>
      <c r="C10" s="17">
        <f>Indicadores!$C$33</f>
        <v>21</v>
      </c>
      <c r="D10" s="17">
        <f>Indicadores!C34</f>
        <v>48</v>
      </c>
      <c r="E10" s="17">
        <f>Indicadores!C35</f>
        <v>0</v>
      </c>
      <c r="F10" s="17">
        <f>Indicadores!C36</f>
        <v>0</v>
      </c>
      <c r="G10" s="17">
        <f>Indicadores!$C$37</f>
        <v>0</v>
      </c>
      <c r="L10" s="16">
        <f>Indicadores!$K$30</f>
        <v>2013</v>
      </c>
      <c r="M10" s="17">
        <f>Indicadores!$L$33</f>
        <v>20</v>
      </c>
      <c r="N10" s="17">
        <f>Indicadores!$L$34</f>
        <v>40</v>
      </c>
      <c r="O10" s="17">
        <f>Indicadores!$L$35</f>
        <v>0</v>
      </c>
      <c r="P10" s="17">
        <f>Indicadores!$L$36</f>
        <v>0</v>
      </c>
      <c r="Q10" s="17">
        <f>Indicadores!$L$37</f>
        <v>0</v>
      </c>
      <c r="U10" s="16">
        <f>Indicadores!$T$30</f>
        <v>2013</v>
      </c>
      <c r="V10" s="17">
        <f>Indicadores!$U$33</f>
        <v>1</v>
      </c>
      <c r="W10" s="17">
        <f>Indicadores!$U$34</f>
        <v>8</v>
      </c>
      <c r="X10" s="17">
        <f>Indicadores!$U$35</f>
        <v>0</v>
      </c>
      <c r="Y10" s="17">
        <f>Indicadores!$U$36</f>
        <v>0</v>
      </c>
      <c r="Z10" s="17">
        <f>Indicadores!$U$37</f>
        <v>0</v>
      </c>
      <c r="AD10" s="16">
        <f>Indicadores!$T$30</f>
        <v>2013</v>
      </c>
      <c r="AE10" s="17">
        <f>Indicadores!$AD$33</f>
        <v>0</v>
      </c>
      <c r="AF10" s="17">
        <f>Indicadores!$AD$34</f>
        <v>0</v>
      </c>
      <c r="AG10" s="17">
        <f>Indicadores!$AD$35</f>
        <v>0</v>
      </c>
      <c r="AH10" s="17">
        <f>Indicadores!$AD$36</f>
        <v>0</v>
      </c>
      <c r="AI10" s="17">
        <f>Indicadores!$AD$37</f>
        <v>0</v>
      </c>
    </row>
    <row r="11" spans="2:35">
      <c r="B11" s="16">
        <f>Indicadores!$B$39</f>
        <v>2014</v>
      </c>
      <c r="C11" s="17">
        <f>Indicadores!$C$42</f>
        <v>33</v>
      </c>
      <c r="D11" s="17">
        <f>Indicadores!C43</f>
        <v>54</v>
      </c>
      <c r="E11" s="17">
        <f>Indicadores!C44</f>
        <v>0</v>
      </c>
      <c r="F11" s="17">
        <f>Indicadores!C45</f>
        <v>0</v>
      </c>
      <c r="G11" s="17">
        <f>Indicadores!$C$46</f>
        <v>0</v>
      </c>
      <c r="L11" s="16">
        <f>Indicadores!$K$39</f>
        <v>2014</v>
      </c>
      <c r="M11" s="18">
        <f>Indicadores!$L$42</f>
        <v>30</v>
      </c>
      <c r="N11" s="17">
        <f>Indicadores!$L$43</f>
        <v>34</v>
      </c>
      <c r="O11" s="17">
        <f>Indicadores!$L$44</f>
        <v>0</v>
      </c>
      <c r="P11" s="17">
        <f>Indicadores!$L$45</f>
        <v>0</v>
      </c>
      <c r="Q11" s="17">
        <f>Indicadores!$L$46</f>
        <v>0</v>
      </c>
      <c r="U11" s="16">
        <f>Indicadores!$T$39</f>
        <v>2014</v>
      </c>
      <c r="V11" s="17">
        <f>Indicadores!$U$42</f>
        <v>3</v>
      </c>
      <c r="W11" s="17">
        <f>Indicadores!$U$43</f>
        <v>20</v>
      </c>
      <c r="X11" s="17">
        <f>Indicadores!$U$44</f>
        <v>0</v>
      </c>
      <c r="Y11" s="17">
        <f>Indicadores!$U$45</f>
        <v>0</v>
      </c>
      <c r="Z11" s="17">
        <f>Indicadores!$U$46</f>
        <v>0</v>
      </c>
      <c r="AD11" s="16">
        <f>Indicadores!$T$39</f>
        <v>2014</v>
      </c>
      <c r="AE11" s="17">
        <f>Indicadores!$AD$42</f>
        <v>0</v>
      </c>
      <c r="AF11" s="17">
        <f>Indicadores!$AD$43</f>
        <v>0</v>
      </c>
      <c r="AG11" s="17">
        <f>Indicadores!$AD$44</f>
        <v>0</v>
      </c>
      <c r="AH11" s="17">
        <f>Indicadores!$AD$45</f>
        <v>0</v>
      </c>
      <c r="AI11" s="17">
        <f>Indicadores!$AD$46</f>
        <v>0</v>
      </c>
    </row>
    <row r="12" spans="2:35">
      <c r="B12" s="16">
        <f>Indicadores!$B$48</f>
        <v>2015</v>
      </c>
      <c r="C12" s="17">
        <f>Indicadores!$C$51</f>
        <v>67</v>
      </c>
      <c r="D12" s="17">
        <f>Indicadores!C52</f>
        <v>64</v>
      </c>
      <c r="E12" s="17">
        <f>Indicadores!C53</f>
        <v>0</v>
      </c>
      <c r="F12" s="17">
        <f>Indicadores!C54</f>
        <v>0</v>
      </c>
      <c r="G12" s="17">
        <f>Indicadores!$C$55</f>
        <v>0</v>
      </c>
      <c r="L12" s="16">
        <f>Indicadores!$K$48</f>
        <v>2015</v>
      </c>
      <c r="M12" s="17">
        <f>Indicadores!$L$51</f>
        <v>64</v>
      </c>
      <c r="N12" s="17">
        <f>Indicadores!$L$52</f>
        <v>37</v>
      </c>
      <c r="O12" s="17">
        <f>Indicadores!$L$53</f>
        <v>0</v>
      </c>
      <c r="P12" s="17">
        <f>Indicadores!$L$54</f>
        <v>0</v>
      </c>
      <c r="Q12" s="17">
        <f>Indicadores!$L$55</f>
        <v>0</v>
      </c>
      <c r="U12" s="16">
        <f>Indicadores!$T$48</f>
        <v>2015</v>
      </c>
      <c r="V12" s="17">
        <f>Indicadores!$U$51</f>
        <v>3</v>
      </c>
      <c r="W12" s="17">
        <f>Indicadores!$U$52</f>
        <v>27</v>
      </c>
      <c r="X12" s="17">
        <f>Indicadores!$U$53</f>
        <v>0</v>
      </c>
      <c r="Y12" s="17">
        <f>Indicadores!$U$54</f>
        <v>0</v>
      </c>
      <c r="Z12" s="17">
        <f>Indicadores!$U$55</f>
        <v>0</v>
      </c>
      <c r="AD12" s="16">
        <f>Indicadores!$T$48</f>
        <v>2015</v>
      </c>
      <c r="AE12" s="17">
        <f>Indicadores!$AD$51</f>
        <v>0</v>
      </c>
      <c r="AF12" s="17">
        <f>Indicadores!$AD$52</f>
        <v>0</v>
      </c>
      <c r="AG12" s="17">
        <f>Indicadores!$AD$53</f>
        <v>0</v>
      </c>
      <c r="AH12" s="17">
        <f>Indicadores!$AD$54</f>
        <v>0</v>
      </c>
      <c r="AI12" s="17">
        <f>Indicadores!$AD$55</f>
        <v>0</v>
      </c>
    </row>
    <row r="13" spans="2:35">
      <c r="B13" s="16">
        <v>2016</v>
      </c>
      <c r="C13" s="17">
        <f>Indicadores!$C$60</f>
        <v>52</v>
      </c>
      <c r="D13" s="17">
        <f>Indicadores!C61</f>
        <v>52</v>
      </c>
      <c r="E13" s="17">
        <f>Indicadores!C62</f>
        <v>0</v>
      </c>
      <c r="F13" s="17">
        <f>Indicadores!C63</f>
        <v>0</v>
      </c>
      <c r="G13" s="17">
        <f>Indicadores!$C$64</f>
        <v>0</v>
      </c>
      <c r="L13" s="16">
        <v>2016</v>
      </c>
      <c r="M13" s="17">
        <f>Indicadores!L60</f>
        <v>45</v>
      </c>
      <c r="N13" s="17">
        <f>Indicadores!L61</f>
        <v>30</v>
      </c>
      <c r="O13" s="17">
        <f>Indicadores!L62</f>
        <v>0</v>
      </c>
      <c r="P13" s="17">
        <f>Indicadores!L63</f>
        <v>0</v>
      </c>
      <c r="Q13" s="17">
        <f>Indicadores!L64</f>
        <v>0</v>
      </c>
      <c r="U13" s="16">
        <v>2016</v>
      </c>
      <c r="V13" s="17">
        <f>Indicadores!U60</f>
        <v>7</v>
      </c>
      <c r="W13" s="17">
        <f>Indicadores!U61</f>
        <v>22</v>
      </c>
      <c r="X13" s="17">
        <f>Indicadores!U62</f>
        <v>0</v>
      </c>
      <c r="Y13" s="17">
        <f>Indicadores!U63</f>
        <v>0</v>
      </c>
      <c r="Z13" s="17">
        <f>Indicadores!U64</f>
        <v>0</v>
      </c>
      <c r="AD13" s="16">
        <v>2016</v>
      </c>
      <c r="AE13" s="17">
        <f>Indicadores!AD60</f>
        <v>0</v>
      </c>
      <c r="AF13" s="17">
        <f>Indicadores!AD61</f>
        <v>0</v>
      </c>
      <c r="AG13" s="17">
        <f>Indicadores!AD62</f>
        <v>0</v>
      </c>
      <c r="AH13" s="17">
        <f>Indicadores!AD63</f>
        <v>0</v>
      </c>
      <c r="AI13" s="17">
        <f>Indicadores!AD64</f>
        <v>0</v>
      </c>
    </row>
    <row r="14" spans="2:35">
      <c r="B14" s="16">
        <v>2017</v>
      </c>
      <c r="C14" s="17">
        <f>+Indicadores!C69</f>
        <v>45</v>
      </c>
      <c r="D14" s="17">
        <f>+Indicadores!C70</f>
        <v>99</v>
      </c>
      <c r="E14" s="17">
        <f>+Indicadores!C71</f>
        <v>0</v>
      </c>
      <c r="F14" s="17">
        <f>+Indicadores!C72</f>
        <v>0</v>
      </c>
      <c r="G14" s="17">
        <f>+Indicadores!C73</f>
        <v>0</v>
      </c>
      <c r="L14" s="16">
        <v>2017</v>
      </c>
      <c r="M14" s="17">
        <f>+Indicadores!L69</f>
        <v>23</v>
      </c>
      <c r="N14" s="17">
        <f>+Indicadores!L70</f>
        <v>48</v>
      </c>
      <c r="O14" s="17">
        <f>+Indicadores!L71</f>
        <v>0</v>
      </c>
      <c r="P14" s="17">
        <f>+Indicadores!L72</f>
        <v>0</v>
      </c>
      <c r="Q14" s="17">
        <f>+Indicadores!L73</f>
        <v>0</v>
      </c>
      <c r="U14" s="16">
        <v>2017</v>
      </c>
      <c r="V14" s="17">
        <f>+Indicadores!U69</f>
        <v>22</v>
      </c>
      <c r="W14" s="17">
        <f>+Indicadores!U70</f>
        <v>51</v>
      </c>
      <c r="X14" s="17">
        <f>+Indicadores!U71</f>
        <v>0</v>
      </c>
      <c r="Y14" s="17">
        <f>+Indicadores!U72</f>
        <v>0</v>
      </c>
      <c r="Z14" s="17">
        <f>+Indicadores!U73</f>
        <v>0</v>
      </c>
      <c r="AD14" s="16">
        <v>2017</v>
      </c>
      <c r="AE14" s="17">
        <f>+Indicadores!AD69</f>
        <v>0</v>
      </c>
      <c r="AF14" s="17">
        <f>+Indicadores!AD70</f>
        <v>0</v>
      </c>
      <c r="AG14" s="17">
        <f>+Indicadores!AD71</f>
        <v>0</v>
      </c>
      <c r="AH14" s="17">
        <f>+Indicadores!AD72</f>
        <v>0</v>
      </c>
      <c r="AI14" s="17">
        <f>+Indicadores!AD73</f>
        <v>0</v>
      </c>
    </row>
    <row r="15" spans="2:35">
      <c r="B15" s="16">
        <v>2018</v>
      </c>
      <c r="C15" s="17">
        <f>Indicadores!$C$78</f>
        <v>47</v>
      </c>
      <c r="D15" s="17">
        <f>Indicadores!C79</f>
        <v>97</v>
      </c>
      <c r="E15" s="17">
        <f>Indicadores!C80</f>
        <v>1</v>
      </c>
      <c r="F15" s="17">
        <f>Indicadores!C81</f>
        <v>0</v>
      </c>
      <c r="G15" s="17">
        <f>Indicadores!$C$82</f>
        <v>0</v>
      </c>
      <c r="L15" s="16">
        <v>2018</v>
      </c>
      <c r="M15" s="18">
        <f>Indicadores!$L$78</f>
        <v>37</v>
      </c>
      <c r="N15" s="17">
        <f>Indicadores!$L$79</f>
        <v>63</v>
      </c>
      <c r="O15" s="17">
        <f>Indicadores!$L$80</f>
        <v>1</v>
      </c>
      <c r="P15" s="17">
        <f>Indicadores!$L$81</f>
        <v>0</v>
      </c>
      <c r="Q15" s="17">
        <f>Indicadores!$L$82</f>
        <v>0</v>
      </c>
      <c r="U15" s="16">
        <v>2018</v>
      </c>
      <c r="V15" s="17">
        <f>Indicadores!$U$78</f>
        <v>6</v>
      </c>
      <c r="W15" s="17">
        <f>Indicadores!$U$79</f>
        <v>17</v>
      </c>
      <c r="X15" s="17">
        <f>Indicadores!$U$80</f>
        <v>0</v>
      </c>
      <c r="Y15" s="17">
        <f>Indicadores!$U$81</f>
        <v>0</v>
      </c>
      <c r="Z15" s="17">
        <f>Indicadores!$U$82</f>
        <v>0</v>
      </c>
      <c r="AD15" s="16">
        <v>2018</v>
      </c>
      <c r="AE15" s="17">
        <f>Indicadores!AD$78</f>
        <v>4</v>
      </c>
      <c r="AF15" s="17">
        <f>Indicadores!$AD$79</f>
        <v>17</v>
      </c>
      <c r="AG15" s="17">
        <f>Indicadores!$AD$80</f>
        <v>0</v>
      </c>
      <c r="AH15" s="17">
        <f>Indicadores!$AD$81</f>
        <v>0</v>
      </c>
      <c r="AI15" s="17">
        <f>Indicadores!$AD$82</f>
        <v>0</v>
      </c>
    </row>
    <row r="16" spans="2:35">
      <c r="B16" s="16">
        <v>2019</v>
      </c>
      <c r="C16" s="17">
        <f>Indicadores!$C$87</f>
        <v>36</v>
      </c>
      <c r="D16" s="17">
        <f>Indicadores!C88</f>
        <v>54</v>
      </c>
      <c r="E16" s="17">
        <f>Indicadores!C89</f>
        <v>1</v>
      </c>
      <c r="F16" s="17">
        <f>Indicadores!C90</f>
        <v>0</v>
      </c>
      <c r="G16" s="17">
        <f>Indicadores!$C$91</f>
        <v>0</v>
      </c>
      <c r="L16" s="16">
        <v>2019</v>
      </c>
      <c r="M16" s="17">
        <f>Indicadores!$L$87</f>
        <v>26</v>
      </c>
      <c r="N16" s="17">
        <f>Indicadores!$L$88</f>
        <v>30</v>
      </c>
      <c r="O16" s="17">
        <f>Indicadores!$L$89</f>
        <v>0</v>
      </c>
      <c r="P16" s="17">
        <f>Indicadores!$L$90</f>
        <v>0</v>
      </c>
      <c r="Q16" s="17">
        <f>Indicadores!$L$91</f>
        <v>0</v>
      </c>
      <c r="U16" s="16">
        <v>2019</v>
      </c>
      <c r="V16" s="17">
        <f>Indicadores!$U$87</f>
        <v>2</v>
      </c>
      <c r="W16" s="17">
        <f>Indicadores!$U$88</f>
        <v>12</v>
      </c>
      <c r="X16" s="17">
        <f>Indicadores!$U$89</f>
        <v>1</v>
      </c>
      <c r="Y16" s="17">
        <f>Indicadores!$U$90</f>
        <v>0</v>
      </c>
      <c r="Z16" s="17">
        <f>Indicadores!$U$91</f>
        <v>0</v>
      </c>
      <c r="AD16" s="16">
        <v>2019</v>
      </c>
      <c r="AE16" s="17">
        <f>Indicadores!$AD$87</f>
        <v>8</v>
      </c>
      <c r="AF16" s="17">
        <f>Indicadores!$AD$88</f>
        <v>12</v>
      </c>
      <c r="AG16" s="17">
        <f>Indicadores!$AD$89</f>
        <v>0</v>
      </c>
      <c r="AH16" s="17">
        <f>Indicadores!$AD$90</f>
        <v>0</v>
      </c>
      <c r="AI16" s="17">
        <f>Indicadores!$AD$91</f>
        <v>0</v>
      </c>
    </row>
    <row r="17" spans="2:35">
      <c r="B17" s="16">
        <v>2020</v>
      </c>
      <c r="C17" s="17">
        <f>Indicadores!$C$96</f>
        <v>57</v>
      </c>
      <c r="D17" s="17">
        <f>Indicadores!C97</f>
        <v>79</v>
      </c>
      <c r="E17" s="17">
        <f>Indicadores!C98</f>
        <v>1</v>
      </c>
      <c r="F17" s="17">
        <f>Indicadores!C99</f>
        <v>0</v>
      </c>
      <c r="G17" s="17">
        <f>Indicadores!$C$100</f>
        <v>0</v>
      </c>
      <c r="L17" s="16">
        <v>2020</v>
      </c>
      <c r="M17" s="17">
        <f>Indicadores!L96</f>
        <v>39</v>
      </c>
      <c r="N17" s="17">
        <f>Indicadores!L97</f>
        <v>32</v>
      </c>
      <c r="O17" s="17">
        <f>Indicadores!L98</f>
        <v>1</v>
      </c>
      <c r="P17" s="17">
        <f>Indicadores!L99</f>
        <v>0</v>
      </c>
      <c r="Q17" s="17">
        <f>Indicadores!L100</f>
        <v>0</v>
      </c>
      <c r="U17" s="16">
        <v>2020</v>
      </c>
      <c r="V17" s="17">
        <f>Indicadores!U96</f>
        <v>5</v>
      </c>
      <c r="W17" s="17">
        <f>Indicadores!U97</f>
        <v>34</v>
      </c>
      <c r="X17" s="17">
        <f>Indicadores!U98</f>
        <v>0</v>
      </c>
      <c r="Y17" s="17">
        <f>Indicadores!U99</f>
        <v>0</v>
      </c>
      <c r="Z17" s="17">
        <f>Indicadores!U100</f>
        <v>0</v>
      </c>
      <c r="AD17" s="16">
        <v>2020</v>
      </c>
      <c r="AE17" s="17">
        <f>Indicadores!AD96</f>
        <v>13</v>
      </c>
      <c r="AF17" s="17">
        <f>Indicadores!AD97</f>
        <v>12</v>
      </c>
      <c r="AG17" s="17">
        <f>Indicadores!AD98</f>
        <v>0</v>
      </c>
      <c r="AH17" s="17">
        <f>Indicadores!AD99</f>
        <v>0</v>
      </c>
      <c r="AI17" s="17">
        <f>Indicadores!AD100</f>
        <v>0</v>
      </c>
    </row>
    <row r="18" spans="2:35">
      <c r="B18" s="16">
        <v>2021</v>
      </c>
      <c r="C18" s="17">
        <f>+Indicadores!C105</f>
        <v>44</v>
      </c>
      <c r="D18" s="17">
        <f>+Indicadores!C106</f>
        <v>87</v>
      </c>
      <c r="E18" s="17">
        <f>+Indicadores!C107</f>
        <v>2</v>
      </c>
      <c r="F18" s="17">
        <f>+Indicadores!C99</f>
        <v>0</v>
      </c>
      <c r="G18" s="17">
        <f>+Indicadores!C109</f>
        <v>0</v>
      </c>
      <c r="L18" s="16">
        <v>2021</v>
      </c>
      <c r="M18" s="17">
        <f>+Indicadores!L105</f>
        <v>23</v>
      </c>
      <c r="N18" s="17">
        <f>+Indicadores!L106</f>
        <v>49</v>
      </c>
      <c r="O18" s="17">
        <f>+Indicadores!L107</f>
        <v>1</v>
      </c>
      <c r="P18" s="17">
        <f>+Indicadores!L108</f>
        <v>0</v>
      </c>
      <c r="Q18" s="17">
        <f>+Indicadores!L109</f>
        <v>0</v>
      </c>
      <c r="U18" s="16">
        <v>2021</v>
      </c>
      <c r="V18" s="17">
        <f>+Indicadores!U105</f>
        <v>4</v>
      </c>
      <c r="W18" s="17">
        <f>+Indicadores!U115</f>
        <v>33</v>
      </c>
      <c r="X18" s="17">
        <f>+Indicadores!U116</f>
        <v>3</v>
      </c>
      <c r="Y18" s="17">
        <f>+Indicadores!U117</f>
        <v>0</v>
      </c>
      <c r="Z18" s="17">
        <f>+Indicadores!U118</f>
        <v>0</v>
      </c>
      <c r="AD18" s="16">
        <v>2021</v>
      </c>
      <c r="AE18" s="17">
        <f>+Indicadores!AD105</f>
        <v>17</v>
      </c>
      <c r="AF18" s="17">
        <f>+Indicadores!AD115</f>
        <v>14</v>
      </c>
      <c r="AG18" s="17">
        <f>+Indicadores!AD116</f>
        <v>1</v>
      </c>
      <c r="AH18" s="17">
        <f>+Indicadores!AD117</f>
        <v>0</v>
      </c>
      <c r="AI18" s="17">
        <f>+Indicadores!AD118</f>
        <v>0</v>
      </c>
    </row>
    <row r="19" spans="2:35">
      <c r="B19" s="16">
        <v>2022</v>
      </c>
      <c r="C19" s="17">
        <f>+Indicadores!C114</f>
        <v>81</v>
      </c>
      <c r="D19" s="17">
        <f>+Indicadores!C115</f>
        <v>92</v>
      </c>
      <c r="E19" s="17">
        <f>+Indicadores!C116</f>
        <v>4</v>
      </c>
      <c r="F19" s="17">
        <f>+Indicadores!C117</f>
        <v>0</v>
      </c>
      <c r="G19" s="17">
        <f>+Indicadores!C118</f>
        <v>0</v>
      </c>
      <c r="L19" s="16">
        <v>2022</v>
      </c>
      <c r="M19" s="17">
        <f>+Indicadores!L114</f>
        <v>41</v>
      </c>
      <c r="N19" s="17">
        <f>+Indicadores!L115</f>
        <v>45</v>
      </c>
      <c r="O19" s="17">
        <f>+Indicadores!L116</f>
        <v>0</v>
      </c>
      <c r="P19" s="17">
        <f>+Indicadores!L117</f>
        <v>0</v>
      </c>
      <c r="Q19" s="17">
        <f>+Indicadores!L118</f>
        <v>0</v>
      </c>
      <c r="U19" s="16">
        <v>2022</v>
      </c>
      <c r="V19" s="17">
        <f>+Indicadores!U114</f>
        <v>5</v>
      </c>
      <c r="W19" s="17">
        <f>+Indicadores!U115</f>
        <v>33</v>
      </c>
      <c r="X19" s="17">
        <f>+Indicadores!U116</f>
        <v>3</v>
      </c>
      <c r="Y19" s="17">
        <f>+Indicadores!U117</f>
        <v>0</v>
      </c>
      <c r="Z19" s="17">
        <f>+Indicadores!U118</f>
        <v>0</v>
      </c>
      <c r="AD19" s="16">
        <v>2022</v>
      </c>
      <c r="AE19" s="17">
        <f>+Indicadores!AD114</f>
        <v>35</v>
      </c>
      <c r="AF19" s="17">
        <f>+Indicadores!AD115</f>
        <v>14</v>
      </c>
      <c r="AG19" s="17">
        <f>+Indicadores!AD116</f>
        <v>1</v>
      </c>
      <c r="AH19" s="17">
        <f>+Indicadores!AD117</f>
        <v>0</v>
      </c>
      <c r="AI19" s="17">
        <f>+Indicadores!AD118</f>
        <v>0</v>
      </c>
    </row>
    <row r="20" spans="2:35">
      <c r="B20" s="16">
        <v>2023</v>
      </c>
      <c r="C20" s="17">
        <f>+Indicadores!C148</f>
        <v>152</v>
      </c>
      <c r="D20" s="17">
        <f>+Indicadores!C149</f>
        <v>141</v>
      </c>
      <c r="E20" s="17">
        <f>+Indicadores!C150</f>
        <v>24</v>
      </c>
      <c r="F20" s="17">
        <f>+Indicadores!C151</f>
        <v>37</v>
      </c>
      <c r="G20" s="17">
        <f>+Indicadores!C152</f>
        <v>5</v>
      </c>
      <c r="H20" s="315"/>
      <c r="L20" s="16">
        <v>2023</v>
      </c>
      <c r="M20" s="17">
        <f>+Indicadores!L148</f>
        <v>84</v>
      </c>
      <c r="N20" s="17">
        <f>+Indicadores!L149</f>
        <v>42</v>
      </c>
      <c r="O20" s="17">
        <f>+Indicadores!L150</f>
        <v>6</v>
      </c>
      <c r="P20" s="17">
        <f>+Indicadores!L151</f>
        <v>14</v>
      </c>
      <c r="Q20" s="17">
        <f>+Indicadores!L152</f>
        <v>3</v>
      </c>
      <c r="U20" s="16">
        <v>2023</v>
      </c>
      <c r="V20" s="17">
        <f>+Indicadores!U148</f>
        <v>19</v>
      </c>
      <c r="W20" s="17">
        <f>+Indicadores!U149</f>
        <v>42</v>
      </c>
      <c r="X20" s="17">
        <f>+Indicadores!U150</f>
        <v>9</v>
      </c>
      <c r="Y20" s="17">
        <f>+Indicadores!U151</f>
        <v>13</v>
      </c>
      <c r="Z20" s="17">
        <f>+Indicadores!U152</f>
        <v>1</v>
      </c>
      <c r="AD20" s="16">
        <v>2023</v>
      </c>
      <c r="AE20" s="17">
        <f>+Indicadores!AD148</f>
        <v>49</v>
      </c>
      <c r="AF20" s="17">
        <f>+Indicadores!AD149</f>
        <v>57</v>
      </c>
      <c r="AG20" s="17">
        <f>+Indicadores!AD150</f>
        <v>9</v>
      </c>
      <c r="AH20" s="17">
        <f>+Indicadores!AD151</f>
        <v>10</v>
      </c>
      <c r="AI20" s="17">
        <f>+Indicadores!AD152</f>
        <v>1</v>
      </c>
    </row>
    <row r="21" spans="2:35">
      <c r="B21" s="15"/>
      <c r="C21" s="178"/>
      <c r="D21" s="178"/>
      <c r="E21" s="178"/>
      <c r="F21" s="178"/>
      <c r="G21" s="178"/>
      <c r="H21" s="115"/>
    </row>
    <row r="22" spans="2:35">
      <c r="B22" s="15"/>
      <c r="C22" s="178"/>
      <c r="D22" s="178"/>
      <c r="E22" s="178"/>
      <c r="F22" s="178"/>
      <c r="G22" s="178"/>
    </row>
    <row r="23" spans="2:35">
      <c r="B23" s="15"/>
      <c r="C23" s="178"/>
      <c r="D23" s="178"/>
      <c r="E23" s="178"/>
      <c r="F23" s="178"/>
      <c r="G23" s="178"/>
    </row>
    <row r="24" spans="2:35">
      <c r="B24" s="15"/>
      <c r="C24" s="178"/>
      <c r="D24" s="178"/>
      <c r="E24" s="178"/>
      <c r="F24" s="178"/>
      <c r="G24" s="178"/>
    </row>
  </sheetData>
  <mergeCells count="8">
    <mergeCell ref="AD4:AI4"/>
    <mergeCell ref="AD5:AI5"/>
    <mergeCell ref="B4:G4"/>
    <mergeCell ref="L4:Q4"/>
    <mergeCell ref="L5:Q5"/>
    <mergeCell ref="U4:Z4"/>
    <mergeCell ref="U5:Z5"/>
    <mergeCell ref="B5:G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B99D-7B9A-4B65-AB50-5C3007755A12}">
  <sheetPr codeName="Hoja9"/>
  <dimension ref="B2:D10"/>
  <sheetViews>
    <sheetView workbookViewId="0">
      <selection activeCell="M29" sqref="M29"/>
    </sheetView>
  </sheetViews>
  <sheetFormatPr defaultColWidth="11.42578125" defaultRowHeight="13.15"/>
  <cols>
    <col min="2" max="2" width="20.28515625" customWidth="1"/>
  </cols>
  <sheetData>
    <row r="2" spans="2:4">
      <c r="B2" t="s">
        <v>9489</v>
      </c>
    </row>
    <row r="4" spans="2:4" ht="18" customHeight="1">
      <c r="B4" s="126" t="s">
        <v>9490</v>
      </c>
      <c r="C4" s="126" t="s">
        <v>9399</v>
      </c>
    </row>
    <row r="5" spans="2:4">
      <c r="B5" s="120" t="s">
        <v>9491</v>
      </c>
      <c r="C5" s="121">
        <f>+D5/$D$10</f>
        <v>0.40370668815471394</v>
      </c>
      <c r="D5">
        <v>501</v>
      </c>
    </row>
    <row r="6" spans="2:4">
      <c r="B6" s="122" t="s">
        <v>9492</v>
      </c>
      <c r="C6" s="123">
        <f t="shared" ref="C6:C8" si="0">+D6/$D$10</f>
        <v>0.40290088638195004</v>
      </c>
      <c r="D6">
        <v>500</v>
      </c>
    </row>
    <row r="7" spans="2:4">
      <c r="B7" s="122" t="s">
        <v>9493</v>
      </c>
      <c r="C7" s="123">
        <f t="shared" si="0"/>
        <v>0.13456889605157132</v>
      </c>
      <c r="D7">
        <v>167</v>
      </c>
    </row>
    <row r="8" spans="2:4">
      <c r="B8" s="122" t="s">
        <v>9494</v>
      </c>
      <c r="C8" s="123">
        <f t="shared" si="0"/>
        <v>5.5600322320709106E-2</v>
      </c>
      <c r="D8">
        <v>69</v>
      </c>
    </row>
    <row r="9" spans="2:4">
      <c r="B9" s="124" t="s">
        <v>9495</v>
      </c>
      <c r="C9" s="125">
        <v>0.01</v>
      </c>
      <c r="D9">
        <v>4</v>
      </c>
    </row>
    <row r="10" spans="2:4">
      <c r="D10">
        <f>SUM(D5:D9)</f>
        <v>1241</v>
      </c>
    </row>
  </sheetData>
  <phoneticPr fontId="4" type="noConversion"/>
  <pageMargins left="0.7" right="0.7" top="0.75" bottom="0.75" header="0.3" footer="0.3"/>
  <pageSetup paperSize="9" orientation="portrait"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D45E-9A48-421E-AB57-D61455B3A42A}">
  <sheetPr codeName="Hoja7"/>
  <dimension ref="A1:BQ66"/>
  <sheetViews>
    <sheetView topLeftCell="B1" zoomScale="85" zoomScaleNormal="85" workbookViewId="0">
      <selection activeCell="O23" sqref="O23"/>
    </sheetView>
  </sheetViews>
  <sheetFormatPr defaultColWidth="11.42578125" defaultRowHeight="13.15" outlineLevelCol="1"/>
  <cols>
    <col min="1" max="1" width="11.42578125" style="97"/>
    <col min="2" max="2" width="22.7109375" customWidth="1"/>
    <col min="3" max="15" width="8.85546875" customWidth="1"/>
    <col min="16" max="16" width="11.42578125" style="97"/>
    <col min="17" max="17" width="22.7109375" customWidth="1"/>
    <col min="18" max="18" width="11.85546875" customWidth="1" outlineLevel="1"/>
    <col min="19" max="20" width="15" customWidth="1" outlineLevel="1"/>
    <col min="21" max="21" width="12.28515625" customWidth="1" outlineLevel="1"/>
    <col min="22" max="22" width="11.85546875" customWidth="1" outlineLevel="1"/>
    <col min="23" max="24" width="15" customWidth="1" outlineLevel="1"/>
    <col min="25" max="25" width="12.28515625" customWidth="1" outlineLevel="1"/>
    <col min="26" max="26" width="11.85546875" customWidth="1" outlineLevel="1"/>
    <col min="27" max="28" width="15" customWidth="1" outlineLevel="1"/>
    <col min="29" max="29" width="12.28515625" customWidth="1" outlineLevel="1"/>
    <col min="30" max="30" width="11.85546875" customWidth="1" outlineLevel="1" collapsed="1"/>
    <col min="31" max="32" width="15" customWidth="1" outlineLevel="1"/>
    <col min="33" max="33" width="12.28515625" customWidth="1" outlineLevel="1"/>
    <col min="34" max="34" width="11.42578125" style="97" customWidth="1" outlineLevel="1"/>
    <col min="35" max="36" width="15" style="97" customWidth="1" outlineLevel="1"/>
    <col min="37" max="38" width="11.42578125" style="97" customWidth="1" outlineLevel="1"/>
    <col min="39" max="40" width="15" style="97" customWidth="1" outlineLevel="1"/>
    <col min="41" max="41" width="11.42578125" style="97" customWidth="1" outlineLevel="1"/>
    <col min="42" max="42" width="11.42578125" style="97" customWidth="1" outlineLevel="1" collapsed="1"/>
    <col min="43" max="44" width="15.140625" style="97" customWidth="1" outlineLevel="1"/>
    <col min="45" max="46" width="11.42578125" style="97" customWidth="1" outlineLevel="1"/>
    <col min="47" max="48" width="15.140625" style="97" customWidth="1" outlineLevel="1"/>
    <col min="49" max="50" width="11.42578125" style="97" customWidth="1" outlineLevel="1"/>
    <col min="51" max="52" width="14.85546875" style="97" customWidth="1" outlineLevel="1"/>
    <col min="53" max="53" width="11.42578125" style="97" customWidth="1" outlineLevel="1"/>
    <col min="54" max="54" width="11.42578125" style="97" customWidth="1" outlineLevel="1" collapsed="1"/>
    <col min="55" max="56" width="15" style="97" customWidth="1" outlineLevel="1"/>
    <col min="57" max="58" width="11.42578125" style="97" customWidth="1" outlineLevel="1"/>
    <col min="59" max="59" width="15" style="97" customWidth="1" outlineLevel="1"/>
    <col min="60" max="60" width="15" customWidth="1" outlineLevel="1"/>
    <col min="61" max="62" width="11.42578125" customWidth="1" outlineLevel="1"/>
    <col min="63" max="64" width="15.140625" customWidth="1" outlineLevel="1"/>
    <col min="65" max="65" width="11.42578125" customWidth="1" outlineLevel="1"/>
    <col min="67" max="68" width="15" customWidth="1"/>
  </cols>
  <sheetData>
    <row r="1" spans="1:69" s="97" customFormat="1"/>
    <row r="2" spans="1:69" s="131" customFormat="1" ht="30" customHeight="1">
      <c r="A2" s="130"/>
      <c r="B2" s="132" t="s">
        <v>9394</v>
      </c>
      <c r="C2" s="133">
        <v>2010</v>
      </c>
      <c r="D2" s="133">
        <v>2011</v>
      </c>
      <c r="E2" s="133">
        <v>2012</v>
      </c>
      <c r="F2" s="133">
        <v>2013</v>
      </c>
      <c r="G2" s="133">
        <v>2014</v>
      </c>
      <c r="H2" s="133">
        <v>2015</v>
      </c>
      <c r="I2" s="133">
        <v>2016</v>
      </c>
      <c r="J2" s="133">
        <v>2017</v>
      </c>
      <c r="K2" s="133">
        <v>2018</v>
      </c>
      <c r="L2" s="133">
        <v>2019</v>
      </c>
      <c r="M2" s="133">
        <v>2020</v>
      </c>
      <c r="N2" s="133">
        <v>2021</v>
      </c>
      <c r="O2" s="134">
        <v>44805</v>
      </c>
      <c r="P2" s="130"/>
      <c r="Q2" s="412" t="s">
        <v>9394</v>
      </c>
      <c r="R2" s="411">
        <v>2010</v>
      </c>
      <c r="S2" s="409"/>
      <c r="T2" s="409"/>
      <c r="U2" s="410"/>
      <c r="V2" s="411">
        <v>2011</v>
      </c>
      <c r="W2" s="409"/>
      <c r="X2" s="409"/>
      <c r="Y2" s="410"/>
      <c r="Z2" s="411">
        <v>2012</v>
      </c>
      <c r="AA2" s="409"/>
      <c r="AB2" s="409"/>
      <c r="AC2" s="410"/>
      <c r="AD2" s="411">
        <v>2013</v>
      </c>
      <c r="AE2" s="409"/>
      <c r="AF2" s="409"/>
      <c r="AG2" s="410"/>
      <c r="AH2" s="411">
        <v>2014</v>
      </c>
      <c r="AI2" s="409"/>
      <c r="AJ2" s="409"/>
      <c r="AK2" s="410"/>
      <c r="AL2" s="411">
        <v>2015</v>
      </c>
      <c r="AM2" s="409"/>
      <c r="AN2" s="409"/>
      <c r="AO2" s="410"/>
      <c r="AP2" s="411">
        <v>2016</v>
      </c>
      <c r="AQ2" s="409"/>
      <c r="AR2" s="409"/>
      <c r="AS2" s="410"/>
      <c r="AT2" s="411">
        <v>2017</v>
      </c>
      <c r="AU2" s="409"/>
      <c r="AV2" s="409"/>
      <c r="AW2" s="410"/>
      <c r="AX2" s="411">
        <v>2018</v>
      </c>
      <c r="AY2" s="409"/>
      <c r="AZ2" s="409"/>
      <c r="BA2" s="410"/>
      <c r="BB2" s="411">
        <v>2019</v>
      </c>
      <c r="BC2" s="409"/>
      <c r="BD2" s="409"/>
      <c r="BE2" s="410"/>
      <c r="BF2" s="411">
        <v>2020</v>
      </c>
      <c r="BG2" s="409"/>
      <c r="BH2" s="409"/>
      <c r="BI2" s="410"/>
      <c r="BJ2" s="411">
        <v>2021</v>
      </c>
      <c r="BK2" s="409"/>
      <c r="BL2" s="409"/>
      <c r="BM2" s="410"/>
      <c r="BN2" s="408">
        <v>44805</v>
      </c>
      <c r="BO2" s="409"/>
      <c r="BP2" s="409"/>
      <c r="BQ2" s="410"/>
    </row>
    <row r="3" spans="1:69" s="131" customFormat="1" ht="24.75" customHeight="1">
      <c r="A3" s="130"/>
      <c r="B3" s="135" t="s">
        <v>9496</v>
      </c>
      <c r="C3" s="136">
        <f>+Indicadores!C5</f>
        <v>51</v>
      </c>
      <c r="D3" s="136">
        <f>+Indicadores!C14</f>
        <v>50</v>
      </c>
      <c r="E3" s="136">
        <f>+Indicadores!C23</f>
        <v>60</v>
      </c>
      <c r="F3" s="136">
        <f>+Indicadores!C32</f>
        <v>69</v>
      </c>
      <c r="G3" s="136">
        <f>+Indicadores!C41</f>
        <v>87</v>
      </c>
      <c r="H3" s="136">
        <f>+Indicadores!C50</f>
        <v>131</v>
      </c>
      <c r="I3" s="136">
        <f>+Indicadores!C59</f>
        <v>104</v>
      </c>
      <c r="J3" s="136">
        <f>+Indicadores!C68</f>
        <v>144</v>
      </c>
      <c r="K3" s="136">
        <f>+Indicadores!C77</f>
        <v>145</v>
      </c>
      <c r="L3" s="136">
        <f>+Indicadores!C86</f>
        <v>91</v>
      </c>
      <c r="M3" s="136">
        <f>+Indicadores!C95</f>
        <v>137</v>
      </c>
      <c r="N3" s="136">
        <f>+Indicadores!C104</f>
        <v>133</v>
      </c>
      <c r="O3" s="136">
        <f>+Indicadores!C113-Indicadores!C118</f>
        <v>177</v>
      </c>
      <c r="P3" s="130"/>
      <c r="Q3" s="413"/>
      <c r="R3" s="133" t="s">
        <v>9497</v>
      </c>
      <c r="S3" s="133" t="s">
        <v>9498</v>
      </c>
      <c r="T3" s="133" t="s">
        <v>9499</v>
      </c>
      <c r="U3" s="133" t="s">
        <v>9500</v>
      </c>
      <c r="V3" s="133" t="s">
        <v>9497</v>
      </c>
      <c r="W3" s="133" t="s">
        <v>9498</v>
      </c>
      <c r="X3" s="133" t="s">
        <v>9499</v>
      </c>
      <c r="Y3" s="133" t="s">
        <v>9500</v>
      </c>
      <c r="Z3" s="133" t="s">
        <v>9497</v>
      </c>
      <c r="AA3" s="133" t="s">
        <v>9498</v>
      </c>
      <c r="AB3" s="133" t="s">
        <v>9499</v>
      </c>
      <c r="AC3" s="133" t="s">
        <v>9500</v>
      </c>
      <c r="AD3" s="133" t="s">
        <v>9497</v>
      </c>
      <c r="AE3" s="133" t="s">
        <v>9498</v>
      </c>
      <c r="AF3" s="133" t="s">
        <v>9499</v>
      </c>
      <c r="AG3" s="133" t="s">
        <v>9500</v>
      </c>
      <c r="AH3" s="133" t="s">
        <v>9497</v>
      </c>
      <c r="AI3" s="133" t="s">
        <v>9498</v>
      </c>
      <c r="AJ3" s="133" t="s">
        <v>9499</v>
      </c>
      <c r="AK3" s="133" t="s">
        <v>9500</v>
      </c>
      <c r="AL3" s="133" t="s">
        <v>9497</v>
      </c>
      <c r="AM3" s="133" t="s">
        <v>9498</v>
      </c>
      <c r="AN3" s="133" t="s">
        <v>9499</v>
      </c>
      <c r="AO3" s="133" t="s">
        <v>9500</v>
      </c>
      <c r="AP3" s="133" t="s">
        <v>9497</v>
      </c>
      <c r="AQ3" s="133" t="s">
        <v>9498</v>
      </c>
      <c r="AR3" s="133" t="s">
        <v>9499</v>
      </c>
      <c r="AS3" s="133" t="s">
        <v>9500</v>
      </c>
      <c r="AT3" s="133" t="s">
        <v>9497</v>
      </c>
      <c r="AU3" s="133" t="s">
        <v>9498</v>
      </c>
      <c r="AV3" s="133" t="s">
        <v>9499</v>
      </c>
      <c r="AW3" s="133" t="s">
        <v>9500</v>
      </c>
      <c r="AX3" s="133" t="s">
        <v>9497</v>
      </c>
      <c r="AY3" s="133" t="s">
        <v>9498</v>
      </c>
      <c r="AZ3" s="133" t="s">
        <v>9499</v>
      </c>
      <c r="BA3" s="133" t="s">
        <v>9500</v>
      </c>
      <c r="BB3" s="133" t="s">
        <v>9497</v>
      </c>
      <c r="BC3" s="133" t="s">
        <v>9498</v>
      </c>
      <c r="BD3" s="133" t="s">
        <v>9499</v>
      </c>
      <c r="BE3" s="133" t="s">
        <v>9500</v>
      </c>
      <c r="BF3" s="133" t="s">
        <v>9497</v>
      </c>
      <c r="BG3" s="133" t="s">
        <v>9498</v>
      </c>
      <c r="BH3" s="133" t="s">
        <v>9499</v>
      </c>
      <c r="BI3" s="133" t="s">
        <v>9500</v>
      </c>
      <c r="BJ3" s="133" t="s">
        <v>9497</v>
      </c>
      <c r="BK3" s="133" t="s">
        <v>9498</v>
      </c>
      <c r="BL3" s="133" t="s">
        <v>9499</v>
      </c>
      <c r="BM3" s="133" t="s">
        <v>9500</v>
      </c>
      <c r="BN3" s="133" t="s">
        <v>9497</v>
      </c>
      <c r="BO3" s="133" t="s">
        <v>9498</v>
      </c>
      <c r="BP3" s="133" t="s">
        <v>9499</v>
      </c>
      <c r="BQ3" s="133" t="s">
        <v>9500</v>
      </c>
    </row>
    <row r="4" spans="1:69" s="131" customFormat="1" ht="24.75" customHeight="1">
      <c r="A4" s="130"/>
      <c r="B4" s="135" t="s">
        <v>9407</v>
      </c>
      <c r="C4" s="136">
        <f>+Indicadores!C6</f>
        <v>21</v>
      </c>
      <c r="D4" s="136">
        <f>+Indicadores!C15</f>
        <v>25</v>
      </c>
      <c r="E4" s="136">
        <f>+Indicadores!C24</f>
        <v>23</v>
      </c>
      <c r="F4" s="136">
        <f>+Indicadores!C33</f>
        <v>21</v>
      </c>
      <c r="G4" s="136">
        <f>+Indicadores!C42</f>
        <v>33</v>
      </c>
      <c r="H4" s="136">
        <f>+Indicadores!C51</f>
        <v>67</v>
      </c>
      <c r="I4" s="136">
        <f>+Indicadores!C60</f>
        <v>52</v>
      </c>
      <c r="J4" s="136">
        <f>+Indicadores!C69</f>
        <v>45</v>
      </c>
      <c r="K4" s="136">
        <f>+Indicadores!C78</f>
        <v>47</v>
      </c>
      <c r="L4" s="136">
        <f>+Indicadores!C87</f>
        <v>36</v>
      </c>
      <c r="M4" s="136">
        <f>+Indicadores!C96</f>
        <v>57</v>
      </c>
      <c r="N4" s="136">
        <f>+Indicadores!C105</f>
        <v>44</v>
      </c>
      <c r="O4" s="136">
        <f>+Indicadores!C114</f>
        <v>81</v>
      </c>
      <c r="P4" s="130"/>
      <c r="Q4" s="135" t="s">
        <v>9496</v>
      </c>
      <c r="R4" s="136">
        <v>14</v>
      </c>
      <c r="S4" s="136">
        <v>21</v>
      </c>
      <c r="T4" s="136">
        <v>11</v>
      </c>
      <c r="U4" s="136">
        <v>5</v>
      </c>
      <c r="V4" s="136">
        <v>9</v>
      </c>
      <c r="W4" s="136">
        <v>26</v>
      </c>
      <c r="X4" s="136">
        <v>13</v>
      </c>
      <c r="Y4" s="136">
        <v>2</v>
      </c>
      <c r="Z4" s="136">
        <v>16</v>
      </c>
      <c r="AA4" s="136">
        <v>19</v>
      </c>
      <c r="AB4" s="136">
        <v>20</v>
      </c>
      <c r="AC4" s="136">
        <v>5</v>
      </c>
      <c r="AD4" s="136">
        <v>19</v>
      </c>
      <c r="AE4" s="136">
        <v>27</v>
      </c>
      <c r="AF4" s="136">
        <v>20</v>
      </c>
      <c r="AG4" s="136">
        <v>3</v>
      </c>
      <c r="AH4" s="136">
        <v>23</v>
      </c>
      <c r="AI4" s="136">
        <v>37</v>
      </c>
      <c r="AJ4" s="136">
        <v>21</v>
      </c>
      <c r="AK4" s="136">
        <v>6</v>
      </c>
      <c r="AL4" s="136">
        <v>35</v>
      </c>
      <c r="AM4" s="136">
        <v>64</v>
      </c>
      <c r="AN4" s="136">
        <v>33</v>
      </c>
      <c r="AO4" s="136">
        <v>9</v>
      </c>
      <c r="AP4" s="136">
        <v>18</v>
      </c>
      <c r="AQ4" s="136">
        <v>41</v>
      </c>
      <c r="AR4" s="136">
        <v>33</v>
      </c>
      <c r="AS4" s="136">
        <v>12</v>
      </c>
      <c r="AT4" s="136">
        <v>33</v>
      </c>
      <c r="AU4" s="136">
        <v>64</v>
      </c>
      <c r="AV4" s="136">
        <v>36</v>
      </c>
      <c r="AW4" s="136">
        <v>11</v>
      </c>
      <c r="AX4" s="136">
        <v>37</v>
      </c>
      <c r="AY4" s="136">
        <v>65</v>
      </c>
      <c r="AZ4" s="136">
        <v>39</v>
      </c>
      <c r="BA4" s="136">
        <v>16</v>
      </c>
      <c r="BB4" s="136">
        <v>20</v>
      </c>
      <c r="BC4" s="136">
        <v>34</v>
      </c>
      <c r="BD4" s="136">
        <v>25</v>
      </c>
      <c r="BE4" s="136">
        <v>12</v>
      </c>
      <c r="BF4" s="136">
        <v>27</v>
      </c>
      <c r="BG4" s="136">
        <v>47</v>
      </c>
      <c r="BH4" s="136">
        <v>46</v>
      </c>
      <c r="BI4" s="136">
        <v>17</v>
      </c>
      <c r="BJ4" s="136">
        <v>25</v>
      </c>
      <c r="BK4" s="136">
        <v>50</v>
      </c>
      <c r="BL4" s="136">
        <v>33</v>
      </c>
      <c r="BM4" s="136">
        <v>29</v>
      </c>
      <c r="BN4" s="136">
        <v>30</v>
      </c>
      <c r="BO4" s="136">
        <v>51</v>
      </c>
      <c r="BP4" s="136">
        <v>47</v>
      </c>
      <c r="BQ4" s="136">
        <v>17</v>
      </c>
    </row>
    <row r="5" spans="1:69" s="131" customFormat="1" ht="24.75" customHeight="1">
      <c r="A5" s="130"/>
      <c r="B5" s="135" t="s">
        <v>9501</v>
      </c>
      <c r="C5" s="137">
        <f>+C4/C3</f>
        <v>0.41176470588235292</v>
      </c>
      <c r="D5" s="137">
        <f t="shared" ref="D5:O5" si="0">+D4/D3</f>
        <v>0.5</v>
      </c>
      <c r="E5" s="137">
        <f t="shared" si="0"/>
        <v>0.38333333333333336</v>
      </c>
      <c r="F5" s="137">
        <f t="shared" si="0"/>
        <v>0.30434782608695654</v>
      </c>
      <c r="G5" s="137">
        <f t="shared" si="0"/>
        <v>0.37931034482758619</v>
      </c>
      <c r="H5" s="137">
        <f t="shared" si="0"/>
        <v>0.51145038167938928</v>
      </c>
      <c r="I5" s="137">
        <f t="shared" si="0"/>
        <v>0.5</v>
      </c>
      <c r="J5" s="137">
        <f t="shared" si="0"/>
        <v>0.3125</v>
      </c>
      <c r="K5" s="137">
        <f t="shared" si="0"/>
        <v>0.32413793103448274</v>
      </c>
      <c r="L5" s="137">
        <f t="shared" si="0"/>
        <v>0.39560439560439559</v>
      </c>
      <c r="M5" s="137">
        <f t="shared" si="0"/>
        <v>0.41605839416058393</v>
      </c>
      <c r="N5" s="137">
        <f t="shared" si="0"/>
        <v>0.33082706766917291</v>
      </c>
      <c r="O5" s="137">
        <f t="shared" si="0"/>
        <v>0.4576271186440678</v>
      </c>
      <c r="P5" s="130"/>
      <c r="Q5" s="135" t="s">
        <v>9407</v>
      </c>
      <c r="R5" s="136">
        <v>12</v>
      </c>
      <c r="S5" s="136">
        <v>7</v>
      </c>
      <c r="T5" s="136">
        <v>2</v>
      </c>
      <c r="U5" s="136">
        <f>+Indicadores!R33</f>
        <v>0</v>
      </c>
      <c r="V5" s="136">
        <v>6</v>
      </c>
      <c r="W5" s="136">
        <v>13</v>
      </c>
      <c r="X5" s="136">
        <v>6</v>
      </c>
      <c r="Y5" s="136">
        <v>0</v>
      </c>
      <c r="Z5" s="136">
        <v>10</v>
      </c>
      <c r="AA5" s="136">
        <v>8</v>
      </c>
      <c r="AB5" s="136">
        <v>4</v>
      </c>
      <c r="AC5" s="136">
        <v>1</v>
      </c>
      <c r="AD5" s="136">
        <v>8</v>
      </c>
      <c r="AE5" s="136">
        <v>8</v>
      </c>
      <c r="AF5" s="136">
        <v>5</v>
      </c>
      <c r="AG5" s="136">
        <f>+Indicadores!AD33</f>
        <v>0</v>
      </c>
      <c r="AH5" s="136">
        <v>15</v>
      </c>
      <c r="AI5" s="136">
        <v>12</v>
      </c>
      <c r="AJ5" s="136">
        <v>5</v>
      </c>
      <c r="AK5" s="136">
        <v>1</v>
      </c>
      <c r="AL5" s="136">
        <v>20</v>
      </c>
      <c r="AM5" s="136">
        <v>38</v>
      </c>
      <c r="AN5" s="136">
        <v>11</v>
      </c>
      <c r="AO5" s="136">
        <v>1</v>
      </c>
      <c r="AP5" s="136">
        <v>12</v>
      </c>
      <c r="AQ5" s="136">
        <v>26</v>
      </c>
      <c r="AR5" s="136">
        <v>13</v>
      </c>
      <c r="AS5" s="136">
        <v>1</v>
      </c>
      <c r="AT5" s="136">
        <v>14</v>
      </c>
      <c r="AU5" s="136">
        <v>18</v>
      </c>
      <c r="AV5" s="136">
        <v>12</v>
      </c>
      <c r="AW5" s="136">
        <v>1</v>
      </c>
      <c r="AX5" s="136">
        <v>14</v>
      </c>
      <c r="AY5" s="136">
        <v>22</v>
      </c>
      <c r="AZ5" s="136">
        <v>10</v>
      </c>
      <c r="BA5" s="136">
        <v>3</v>
      </c>
      <c r="BB5" s="136">
        <v>10</v>
      </c>
      <c r="BC5" s="136">
        <v>15</v>
      </c>
      <c r="BD5" s="136">
        <v>9</v>
      </c>
      <c r="BE5" s="136">
        <v>2</v>
      </c>
      <c r="BF5" s="136">
        <v>13</v>
      </c>
      <c r="BG5" s="136">
        <v>25</v>
      </c>
      <c r="BH5" s="136">
        <v>14</v>
      </c>
      <c r="BI5" s="136">
        <v>5</v>
      </c>
      <c r="BJ5" s="136">
        <v>15</v>
      </c>
      <c r="BK5" s="136">
        <v>16</v>
      </c>
      <c r="BL5" s="136">
        <v>12</v>
      </c>
      <c r="BM5" s="136">
        <v>3</v>
      </c>
      <c r="BN5" s="136">
        <v>16</v>
      </c>
      <c r="BO5" s="136">
        <v>23</v>
      </c>
      <c r="BP5" s="136">
        <v>14</v>
      </c>
      <c r="BQ5" s="136">
        <v>2</v>
      </c>
    </row>
    <row r="6" spans="1:69" s="97" customFormat="1" ht="33" customHeight="1">
      <c r="Q6" s="135" t="s">
        <v>9501</v>
      </c>
      <c r="R6" s="137">
        <f>+R5/R4</f>
        <v>0.8571428571428571</v>
      </c>
      <c r="S6" s="137">
        <f t="shared" ref="S6:T6" si="1">+S5/S4</f>
        <v>0.33333333333333331</v>
      </c>
      <c r="T6" s="137">
        <f t="shared" si="1"/>
        <v>0.18181818181818182</v>
      </c>
      <c r="U6" s="137">
        <f t="shared" ref="U6:Y6" si="2">+U5/U4</f>
        <v>0</v>
      </c>
      <c r="V6" s="137">
        <f>+V5/V4</f>
        <v>0.66666666666666663</v>
      </c>
      <c r="W6" s="137">
        <f t="shared" si="2"/>
        <v>0.5</v>
      </c>
      <c r="X6" s="137">
        <f t="shared" si="2"/>
        <v>0.46153846153846156</v>
      </c>
      <c r="Y6" s="137">
        <f t="shared" si="2"/>
        <v>0</v>
      </c>
      <c r="Z6" s="137">
        <f>+Z5/Z4</f>
        <v>0.625</v>
      </c>
      <c r="AA6" s="137">
        <f t="shared" ref="AA6:AC6" si="3">+AA5/AA4</f>
        <v>0.42105263157894735</v>
      </c>
      <c r="AB6" s="137">
        <f t="shared" si="3"/>
        <v>0.2</v>
      </c>
      <c r="AC6" s="137">
        <f t="shared" si="3"/>
        <v>0.2</v>
      </c>
      <c r="AD6" s="137">
        <f>+AD5/AD4</f>
        <v>0.42105263157894735</v>
      </c>
      <c r="AE6" s="137">
        <f t="shared" ref="AE6:AG6" si="4">+AE5/AE4</f>
        <v>0.29629629629629628</v>
      </c>
      <c r="AF6" s="137">
        <f t="shared" si="4"/>
        <v>0.25</v>
      </c>
      <c r="AG6" s="137">
        <f t="shared" si="4"/>
        <v>0</v>
      </c>
      <c r="AH6" s="137">
        <f>+AH5/AH4</f>
        <v>0.65217391304347827</v>
      </c>
      <c r="AI6" s="137">
        <f t="shared" ref="AI6:AK6" si="5">+AI5/AI4</f>
        <v>0.32432432432432434</v>
      </c>
      <c r="AJ6" s="137">
        <f t="shared" si="5"/>
        <v>0.23809523809523808</v>
      </c>
      <c r="AK6" s="137">
        <f t="shared" si="5"/>
        <v>0.16666666666666666</v>
      </c>
      <c r="AL6" s="137">
        <f>+AL5/AL4</f>
        <v>0.5714285714285714</v>
      </c>
      <c r="AM6" s="137">
        <f t="shared" ref="AM6:AO6" si="6">+AM5/AM4</f>
        <v>0.59375</v>
      </c>
      <c r="AN6" s="137">
        <f t="shared" si="6"/>
        <v>0.33333333333333331</v>
      </c>
      <c r="AO6" s="137">
        <f t="shared" si="6"/>
        <v>0.1111111111111111</v>
      </c>
      <c r="AP6" s="137">
        <f>+AP5/AP4</f>
        <v>0.66666666666666663</v>
      </c>
      <c r="AQ6" s="137">
        <f t="shared" ref="AQ6:AS6" si="7">+AQ5/AQ4</f>
        <v>0.63414634146341464</v>
      </c>
      <c r="AR6" s="137">
        <f t="shared" si="7"/>
        <v>0.39393939393939392</v>
      </c>
      <c r="AS6" s="137">
        <f t="shared" si="7"/>
        <v>8.3333333333333329E-2</v>
      </c>
      <c r="AT6" s="137">
        <f>+AT5/AT4</f>
        <v>0.42424242424242425</v>
      </c>
      <c r="AU6" s="137">
        <f t="shared" ref="AU6:AW6" si="8">+AU5/AU4</f>
        <v>0.28125</v>
      </c>
      <c r="AV6" s="137">
        <f t="shared" si="8"/>
        <v>0.33333333333333331</v>
      </c>
      <c r="AW6" s="137">
        <f t="shared" si="8"/>
        <v>9.0909090909090912E-2</v>
      </c>
      <c r="AX6" s="137">
        <f>+AX5/AX4</f>
        <v>0.3783783783783784</v>
      </c>
      <c r="AY6" s="137">
        <f t="shared" ref="AY6:BA6" si="9">+AY5/AY4</f>
        <v>0.33846153846153848</v>
      </c>
      <c r="AZ6" s="137">
        <f t="shared" si="9"/>
        <v>0.25641025641025639</v>
      </c>
      <c r="BA6" s="137">
        <f t="shared" si="9"/>
        <v>0.1875</v>
      </c>
      <c r="BB6" s="137">
        <f>+BB5/BB4</f>
        <v>0.5</v>
      </c>
      <c r="BC6" s="137">
        <f t="shared" ref="BC6:BE6" si="10">+BC5/BC4</f>
        <v>0.44117647058823528</v>
      </c>
      <c r="BD6" s="137">
        <f t="shared" si="10"/>
        <v>0.36</v>
      </c>
      <c r="BE6" s="137">
        <f t="shared" si="10"/>
        <v>0.16666666666666666</v>
      </c>
      <c r="BF6" s="137">
        <f>+BF5/BF4</f>
        <v>0.48148148148148145</v>
      </c>
      <c r="BG6" s="137">
        <f t="shared" ref="BG6:BI6" si="11">+BG5/BG4</f>
        <v>0.53191489361702127</v>
      </c>
      <c r="BH6" s="137">
        <f t="shared" si="11"/>
        <v>0.30434782608695654</v>
      </c>
      <c r="BI6" s="137">
        <f t="shared" si="11"/>
        <v>0.29411764705882354</v>
      </c>
      <c r="BJ6" s="137">
        <f>+BJ5/BJ4</f>
        <v>0.6</v>
      </c>
      <c r="BK6" s="137">
        <f t="shared" ref="BK6:BM6" si="12">+BK5/BK4</f>
        <v>0.32</v>
      </c>
      <c r="BL6" s="137">
        <f t="shared" si="12"/>
        <v>0.36363636363636365</v>
      </c>
      <c r="BM6" s="137">
        <f t="shared" si="12"/>
        <v>0.10344827586206896</v>
      </c>
      <c r="BN6" s="137">
        <f>+BN5/BN4</f>
        <v>0.53333333333333333</v>
      </c>
      <c r="BO6" s="137">
        <f t="shared" ref="BO6:BQ6" si="13">+BO5/BO4</f>
        <v>0.45098039215686275</v>
      </c>
      <c r="BP6" s="137">
        <f t="shared" si="13"/>
        <v>0.2978723404255319</v>
      </c>
      <c r="BQ6" s="137">
        <f t="shared" si="13"/>
        <v>0.11764705882352941</v>
      </c>
    </row>
    <row r="7" spans="1:69" s="97" customFormat="1" ht="6" customHeight="1"/>
    <row r="8" spans="1:69" s="97" customFormat="1" ht="24.75" customHeight="1">
      <c r="B8" s="97" t="s">
        <v>123</v>
      </c>
      <c r="Q8" s="414"/>
      <c r="R8" s="414"/>
      <c r="S8" s="414"/>
      <c r="T8" s="414"/>
      <c r="U8" s="414"/>
      <c r="V8" s="414"/>
      <c r="W8" s="414"/>
      <c r="X8" s="414"/>
      <c r="Y8" s="414"/>
      <c r="Z8" s="414"/>
      <c r="AA8" s="414"/>
      <c r="AB8" s="414"/>
      <c r="AC8" s="414"/>
      <c r="AD8" s="414"/>
      <c r="AE8" s="414"/>
      <c r="AF8" s="414"/>
      <c r="AG8" s="414"/>
    </row>
    <row r="9" spans="1:69" s="97" customFormat="1" ht="24.75" customHeight="1">
      <c r="B9" s="132" t="s">
        <v>9394</v>
      </c>
      <c r="C9" s="133">
        <v>2010</v>
      </c>
      <c r="D9" s="133">
        <v>2011</v>
      </c>
      <c r="E9" s="133">
        <v>2012</v>
      </c>
      <c r="F9" s="133">
        <v>2013</v>
      </c>
      <c r="G9" s="133">
        <v>2014</v>
      </c>
      <c r="H9" s="133">
        <v>2015</v>
      </c>
      <c r="I9" s="133">
        <v>2016</v>
      </c>
      <c r="J9" s="133">
        <v>2017</v>
      </c>
      <c r="K9" s="133">
        <v>2018</v>
      </c>
      <c r="L9" s="133">
        <v>2019</v>
      </c>
      <c r="M9" s="133">
        <v>2020</v>
      </c>
      <c r="N9" s="133">
        <v>2021</v>
      </c>
      <c r="O9" s="134">
        <v>44805</v>
      </c>
      <c r="Q9" s="414"/>
      <c r="R9" s="141"/>
      <c r="S9" s="141"/>
      <c r="T9" s="141"/>
      <c r="U9" s="141"/>
      <c r="V9" s="141"/>
      <c r="W9" s="141"/>
      <c r="X9" s="141"/>
      <c r="Y9" s="141"/>
      <c r="Z9" s="141"/>
      <c r="AA9" s="141"/>
      <c r="AB9" s="141"/>
      <c r="AC9" s="141"/>
      <c r="AD9" s="141"/>
      <c r="AE9" s="141"/>
      <c r="AF9" s="141"/>
      <c r="AG9" s="141"/>
    </row>
    <row r="10" spans="1:69" s="97" customFormat="1" ht="24.75" customHeight="1">
      <c r="B10" s="135" t="s">
        <v>9496</v>
      </c>
      <c r="C10" s="136">
        <f>+Indicadores!U5</f>
        <v>6</v>
      </c>
      <c r="D10" s="136">
        <f>+Indicadores!U14</f>
        <v>8</v>
      </c>
      <c r="E10" s="136">
        <f>+Indicadores!U23</f>
        <v>8</v>
      </c>
      <c r="F10" s="136">
        <f>+Indicadores!U32</f>
        <v>9</v>
      </c>
      <c r="G10" s="136">
        <f>+Indicadores!U41</f>
        <v>23</v>
      </c>
      <c r="H10" s="136">
        <f>+Indicadores!U50</f>
        <v>30</v>
      </c>
      <c r="I10" s="136">
        <f>+Indicadores!U59</f>
        <v>29</v>
      </c>
      <c r="J10" s="136">
        <f>+Indicadores!U68</f>
        <v>73</v>
      </c>
      <c r="K10" s="136">
        <f>+Indicadores!U77</f>
        <v>23</v>
      </c>
      <c r="L10" s="136">
        <f>+Indicadores!U86</f>
        <v>15</v>
      </c>
      <c r="M10" s="136">
        <f>+Indicadores!U95</f>
        <v>39</v>
      </c>
      <c r="N10" s="136">
        <f>+Indicadores!U104</f>
        <v>35</v>
      </c>
      <c r="O10" s="136">
        <f>+Indicadores!U113-Indicadores!U118+Indicadores!AM113</f>
        <v>44</v>
      </c>
      <c r="Q10" s="142"/>
      <c r="R10" s="143"/>
      <c r="S10" s="143"/>
      <c r="T10" s="143"/>
      <c r="U10" s="143"/>
      <c r="V10" s="143"/>
      <c r="W10" s="143"/>
      <c r="X10" s="143"/>
      <c r="Y10" s="143"/>
      <c r="Z10" s="143"/>
      <c r="AA10" s="143"/>
      <c r="AB10" s="143"/>
      <c r="AC10" s="143"/>
      <c r="AD10" s="143"/>
      <c r="AE10" s="143"/>
      <c r="AF10" s="143"/>
      <c r="AG10" s="143"/>
    </row>
    <row r="11" spans="1:69" s="97" customFormat="1" ht="24.75" customHeight="1">
      <c r="B11" s="135" t="s">
        <v>9407</v>
      </c>
      <c r="C11" s="136">
        <f>+Indicadores!U6</f>
        <v>0</v>
      </c>
      <c r="D11" s="136">
        <f>+Indicadores!U15</f>
        <v>0</v>
      </c>
      <c r="E11" s="136">
        <f>+Indicadores!U24</f>
        <v>1</v>
      </c>
      <c r="F11" s="136">
        <f>+Indicadores!U33</f>
        <v>1</v>
      </c>
      <c r="G11" s="136">
        <f>+Indicadores!U42</f>
        <v>3</v>
      </c>
      <c r="H11" s="136">
        <f>+Indicadores!U51</f>
        <v>3</v>
      </c>
      <c r="I11" s="136">
        <f>+Indicadores!U60</f>
        <v>7</v>
      </c>
      <c r="J11" s="136">
        <f>+Indicadores!U69</f>
        <v>22</v>
      </c>
      <c r="K11" s="136">
        <f>+Indicadores!U78</f>
        <v>6</v>
      </c>
      <c r="L11" s="136">
        <f>+Indicadores!U87</f>
        <v>2</v>
      </c>
      <c r="M11" s="136">
        <f>+Indicadores!U96</f>
        <v>5</v>
      </c>
      <c r="N11" s="136">
        <f>+Indicadores!U105</f>
        <v>4</v>
      </c>
      <c r="O11" s="136">
        <f>+Indicadores!U114</f>
        <v>5</v>
      </c>
      <c r="Q11" s="142"/>
      <c r="R11" s="143"/>
      <c r="S11" s="143"/>
      <c r="T11" s="143"/>
      <c r="U11" s="143"/>
      <c r="V11" s="143"/>
      <c r="W11" s="143"/>
      <c r="X11" s="143"/>
      <c r="Y11" s="143"/>
      <c r="Z11" s="143"/>
      <c r="AA11" s="143"/>
      <c r="AB11" s="143"/>
      <c r="AC11" s="143"/>
      <c r="AD11" s="143"/>
      <c r="AE11" s="143"/>
      <c r="AF11" s="143"/>
      <c r="AG11" s="143"/>
    </row>
    <row r="12" spans="1:69" s="97" customFormat="1" ht="24.75" customHeight="1">
      <c r="B12" s="135" t="s">
        <v>9501</v>
      </c>
      <c r="C12" s="137">
        <f>+C11/C10</f>
        <v>0</v>
      </c>
      <c r="D12" s="137">
        <f t="shared" ref="D12" si="14">+D11/D10</f>
        <v>0</v>
      </c>
      <c r="E12" s="137">
        <f t="shared" ref="E12" si="15">+E11/E10</f>
        <v>0.125</v>
      </c>
      <c r="F12" s="137">
        <f t="shared" ref="F12" si="16">+F11/F10</f>
        <v>0.1111111111111111</v>
      </c>
      <c r="G12" s="137">
        <f t="shared" ref="G12" si="17">+G11/G10</f>
        <v>0.13043478260869565</v>
      </c>
      <c r="H12" s="137">
        <f t="shared" ref="H12" si="18">+H11/H10</f>
        <v>0.1</v>
      </c>
      <c r="I12" s="137">
        <f t="shared" ref="I12" si="19">+I11/I10</f>
        <v>0.2413793103448276</v>
      </c>
      <c r="J12" s="137">
        <f t="shared" ref="J12" si="20">+J11/J10</f>
        <v>0.30136986301369861</v>
      </c>
      <c r="K12" s="137">
        <f t="shared" ref="K12" si="21">+K11/K10</f>
        <v>0.2608695652173913</v>
      </c>
      <c r="L12" s="137">
        <f t="shared" ref="L12" si="22">+L11/L10</f>
        <v>0.13333333333333333</v>
      </c>
      <c r="M12" s="137">
        <f t="shared" ref="M12" si="23">+M11/M10</f>
        <v>0.12820512820512819</v>
      </c>
      <c r="N12" s="137">
        <f t="shared" ref="N12" si="24">+N11/N10</f>
        <v>0.11428571428571428</v>
      </c>
      <c r="O12" s="137">
        <f>+O11/O10</f>
        <v>0.11363636363636363</v>
      </c>
      <c r="Q12" s="142"/>
      <c r="R12" s="144"/>
      <c r="S12" s="144"/>
      <c r="T12" s="144"/>
      <c r="U12" s="144"/>
      <c r="V12" s="144"/>
      <c r="W12" s="144"/>
      <c r="X12" s="144"/>
      <c r="Y12" s="144"/>
      <c r="Z12" s="144"/>
      <c r="AA12" s="144"/>
      <c r="AB12" s="144"/>
      <c r="AC12" s="144"/>
      <c r="AD12" s="144"/>
      <c r="AE12" s="144"/>
      <c r="AF12" s="144"/>
      <c r="AG12" s="144"/>
    </row>
    <row r="13" spans="1:69" s="97" customFormat="1" ht="6.75" customHeight="1"/>
    <row r="14" spans="1:69" s="97" customFormat="1" ht="14.45">
      <c r="Q14" s="414"/>
      <c r="R14" s="414"/>
      <c r="S14" s="414"/>
      <c r="T14" s="414"/>
      <c r="U14" s="414"/>
      <c r="V14" s="414"/>
      <c r="W14" s="414"/>
      <c r="X14" s="414"/>
      <c r="Y14" s="414"/>
      <c r="Z14" s="414"/>
      <c r="AA14" s="414"/>
      <c r="AB14" s="414"/>
      <c r="AC14" s="414"/>
      <c r="AD14" s="414"/>
      <c r="AE14" s="414"/>
      <c r="AF14" s="414"/>
      <c r="AG14" s="414"/>
    </row>
    <row r="15" spans="1:69" s="97" customFormat="1" ht="21.75" customHeight="1">
      <c r="B15" s="97" t="s">
        <v>129</v>
      </c>
      <c r="Q15" s="414"/>
      <c r="R15" s="141"/>
      <c r="S15" s="141"/>
      <c r="T15" s="141"/>
      <c r="U15" s="141"/>
      <c r="V15" s="141"/>
      <c r="W15" s="141"/>
      <c r="X15" s="141"/>
      <c r="Y15" s="141"/>
      <c r="Z15" s="141"/>
      <c r="AA15" s="141"/>
      <c r="AB15" s="141"/>
      <c r="AC15" s="141"/>
      <c r="AD15" s="141"/>
      <c r="AE15" s="141"/>
      <c r="AF15" s="141"/>
      <c r="AG15" s="141"/>
    </row>
    <row r="16" spans="1:69" s="97" customFormat="1" ht="24.75" customHeight="1">
      <c r="B16" s="132" t="s">
        <v>9394</v>
      </c>
      <c r="C16" s="133">
        <v>2010</v>
      </c>
      <c r="D16" s="133">
        <v>2011</v>
      </c>
      <c r="E16" s="133">
        <v>2012</v>
      </c>
      <c r="F16" s="133">
        <v>2013</v>
      </c>
      <c r="G16" s="133">
        <v>2014</v>
      </c>
      <c r="H16" s="133">
        <v>2015</v>
      </c>
      <c r="I16" s="133">
        <v>2016</v>
      </c>
      <c r="J16" s="133">
        <v>2017</v>
      </c>
      <c r="K16" s="133">
        <v>2018</v>
      </c>
      <c r="L16" s="133">
        <v>2019</v>
      </c>
      <c r="M16" s="133">
        <v>2020</v>
      </c>
      <c r="N16" s="133">
        <v>2021</v>
      </c>
      <c r="O16" s="134">
        <v>44805</v>
      </c>
      <c r="Q16" s="142"/>
      <c r="R16" s="143"/>
      <c r="S16" s="143"/>
      <c r="T16" s="143"/>
      <c r="U16" s="143"/>
      <c r="V16" s="143"/>
      <c r="W16" s="143"/>
      <c r="X16" s="143"/>
      <c r="Y16" s="143"/>
      <c r="Z16" s="143"/>
      <c r="AA16" s="143"/>
      <c r="AB16" s="143"/>
      <c r="AC16" s="143"/>
      <c r="AD16" s="143"/>
      <c r="AE16" s="143"/>
      <c r="AF16" s="143"/>
      <c r="AG16" s="143"/>
    </row>
    <row r="17" spans="2:33" s="97" customFormat="1" ht="24.75" customHeight="1">
      <c r="B17" s="135" t="s">
        <v>9496</v>
      </c>
      <c r="C17" s="136" t="s">
        <v>134</v>
      </c>
      <c r="D17" s="136" t="s">
        <v>134</v>
      </c>
      <c r="E17" s="136" t="s">
        <v>134</v>
      </c>
      <c r="F17" s="136" t="s">
        <v>134</v>
      </c>
      <c r="G17" s="136" t="s">
        <v>134</v>
      </c>
      <c r="H17" s="136" t="s">
        <v>134</v>
      </c>
      <c r="I17" s="136" t="s">
        <v>134</v>
      </c>
      <c r="J17" s="136" t="s">
        <v>134</v>
      </c>
      <c r="K17" s="136">
        <f>+Indicadores!AD77</f>
        <v>21</v>
      </c>
      <c r="L17" s="136">
        <f>Indicadores!AD86</f>
        <v>20</v>
      </c>
      <c r="M17" s="136">
        <f>+Indicadores!AD95</f>
        <v>25</v>
      </c>
      <c r="N17" s="136">
        <f>+Indicadores!AD104</f>
        <v>24</v>
      </c>
      <c r="O17" s="136">
        <f>+Indicadores!AD113-Indicadores!AD118</f>
        <v>50</v>
      </c>
      <c r="Q17" s="142"/>
      <c r="R17" s="143"/>
      <c r="S17" s="143"/>
      <c r="T17" s="143"/>
      <c r="U17" s="143"/>
      <c r="V17" s="143"/>
      <c r="W17" s="143"/>
      <c r="X17" s="143"/>
      <c r="Y17" s="143"/>
      <c r="Z17" s="143"/>
      <c r="AA17" s="143"/>
      <c r="AB17" s="143"/>
      <c r="AC17" s="143"/>
      <c r="AD17" s="143"/>
      <c r="AE17" s="143"/>
      <c r="AF17" s="143"/>
      <c r="AG17" s="143"/>
    </row>
    <row r="18" spans="2:33" s="97" customFormat="1" ht="24.75" customHeight="1">
      <c r="B18" s="135" t="s">
        <v>9407</v>
      </c>
      <c r="C18" s="136" t="s">
        <v>134</v>
      </c>
      <c r="D18" s="136" t="s">
        <v>134</v>
      </c>
      <c r="E18" s="136" t="s">
        <v>134</v>
      </c>
      <c r="F18" s="136" t="s">
        <v>134</v>
      </c>
      <c r="G18" s="136" t="s">
        <v>134</v>
      </c>
      <c r="H18" s="136" t="s">
        <v>134</v>
      </c>
      <c r="I18" s="136" t="s">
        <v>134</v>
      </c>
      <c r="J18" s="136" t="s">
        <v>134</v>
      </c>
      <c r="K18" s="136">
        <f>+Indicadores!AD78</f>
        <v>4</v>
      </c>
      <c r="L18" s="136">
        <f>Indicadores!AD87</f>
        <v>8</v>
      </c>
      <c r="M18" s="136">
        <f>+Indicadores!AD96</f>
        <v>13</v>
      </c>
      <c r="N18" s="136">
        <f>+Indicadores!AD105</f>
        <v>17</v>
      </c>
      <c r="O18" s="136">
        <f>+Indicadores!AD114</f>
        <v>35</v>
      </c>
      <c r="Q18" s="142"/>
      <c r="R18" s="144"/>
      <c r="S18" s="144"/>
      <c r="T18" s="144"/>
      <c r="U18" s="144"/>
      <c r="V18" s="144"/>
      <c r="W18" s="144"/>
      <c r="X18" s="144"/>
      <c r="Y18" s="144"/>
      <c r="Z18" s="144"/>
      <c r="AA18" s="144"/>
      <c r="AB18" s="144"/>
      <c r="AC18" s="144"/>
      <c r="AD18" s="144"/>
      <c r="AE18" s="144"/>
      <c r="AF18" s="144"/>
      <c r="AG18" s="144"/>
    </row>
    <row r="19" spans="2:33" s="97" customFormat="1" ht="24.75" customHeight="1">
      <c r="B19" s="135" t="s">
        <v>9501</v>
      </c>
      <c r="C19" s="137" t="s">
        <v>134</v>
      </c>
      <c r="D19" s="137" t="s">
        <v>134</v>
      </c>
      <c r="E19" s="137" t="s">
        <v>134</v>
      </c>
      <c r="F19" s="137" t="s">
        <v>134</v>
      </c>
      <c r="G19" s="137" t="s">
        <v>134</v>
      </c>
      <c r="H19" s="137" t="s">
        <v>134</v>
      </c>
      <c r="I19" s="137" t="s">
        <v>134</v>
      </c>
      <c r="J19" s="137" t="s">
        <v>134</v>
      </c>
      <c r="K19" s="137">
        <f t="shared" ref="K19" si="25">+K18/K17</f>
        <v>0.19047619047619047</v>
      </c>
      <c r="L19" s="137">
        <f t="shared" ref="L19" si="26">+L18/L17</f>
        <v>0.4</v>
      </c>
      <c r="M19" s="137">
        <f t="shared" ref="M19" si="27">+M18/M17</f>
        <v>0.52</v>
      </c>
      <c r="N19" s="137">
        <f t="shared" ref="N19" si="28">+N18/N17</f>
        <v>0.70833333333333337</v>
      </c>
      <c r="O19" s="137">
        <f t="shared" ref="O19" si="29">+O18/O17</f>
        <v>0.7</v>
      </c>
    </row>
    <row r="20" spans="2:33" s="97" customFormat="1"/>
    <row r="21" spans="2:33" s="97" customFormat="1" ht="14.45">
      <c r="Q21" s="414"/>
      <c r="R21" s="415"/>
      <c r="S21" s="414"/>
      <c r="T21" s="414"/>
      <c r="U21" s="414"/>
    </row>
    <row r="22" spans="2:33" s="97" customFormat="1" ht="14.45">
      <c r="B22" s="97" t="s">
        <v>120</v>
      </c>
      <c r="Q22" s="414"/>
      <c r="R22" s="141"/>
      <c r="S22" s="141"/>
      <c r="T22" s="141"/>
      <c r="U22" s="141"/>
    </row>
    <row r="23" spans="2:33" s="97" customFormat="1" ht="24.75" customHeight="1">
      <c r="B23" s="132" t="s">
        <v>9394</v>
      </c>
      <c r="C23" s="133">
        <v>2010</v>
      </c>
      <c r="D23" s="133">
        <v>2011</v>
      </c>
      <c r="E23" s="133">
        <v>2012</v>
      </c>
      <c r="F23" s="133">
        <v>2013</v>
      </c>
      <c r="G23" s="133">
        <v>2014</v>
      </c>
      <c r="H23" s="133">
        <v>2015</v>
      </c>
      <c r="I23" s="133">
        <v>2016</v>
      </c>
      <c r="J23" s="133">
        <v>2017</v>
      </c>
      <c r="K23" s="133">
        <v>2018</v>
      </c>
      <c r="L23" s="133">
        <v>2019</v>
      </c>
      <c r="M23" s="133">
        <v>2020</v>
      </c>
      <c r="N23" s="133">
        <v>2021</v>
      </c>
      <c r="O23" s="134">
        <v>44805</v>
      </c>
      <c r="Q23" s="142"/>
      <c r="R23" s="143"/>
      <c r="S23" s="143"/>
      <c r="T23" s="143"/>
      <c r="U23" s="143"/>
    </row>
    <row r="24" spans="2:33" s="97" customFormat="1" ht="24.75" customHeight="1">
      <c r="B24" s="135" t="s">
        <v>9496</v>
      </c>
      <c r="C24" s="136">
        <f>+Indicadores!L5</f>
        <v>45</v>
      </c>
      <c r="D24" s="136">
        <f>+Indicadores!L14</f>
        <v>42</v>
      </c>
      <c r="E24" s="136">
        <f>+Indicadores!L23</f>
        <v>52</v>
      </c>
      <c r="F24" s="136">
        <f>+Indicadores!L32</f>
        <v>60</v>
      </c>
      <c r="G24" s="136">
        <f>+Indicadores!L41</f>
        <v>64</v>
      </c>
      <c r="H24" s="136">
        <f>+Indicadores!L50</f>
        <v>101</v>
      </c>
      <c r="I24" s="136">
        <f>+Indicadores!L59</f>
        <v>75</v>
      </c>
      <c r="J24" s="136">
        <f>+Indicadores!L68</f>
        <v>71</v>
      </c>
      <c r="K24" s="136">
        <f>+Indicadores!L77</f>
        <v>101</v>
      </c>
      <c r="L24" s="136">
        <f>+Indicadores!L86</f>
        <v>56</v>
      </c>
      <c r="M24" s="136">
        <f>+Indicadores!L95</f>
        <v>72</v>
      </c>
      <c r="N24" s="136">
        <f>+Indicadores!L104</f>
        <v>73</v>
      </c>
      <c r="O24" s="136">
        <f>+Indicadores!L113-Indicadores!L118</f>
        <v>86</v>
      </c>
      <c r="Q24" s="142"/>
      <c r="R24" s="143"/>
      <c r="S24" s="143"/>
      <c r="T24" s="143"/>
      <c r="U24" s="143"/>
    </row>
    <row r="25" spans="2:33" s="97" customFormat="1" ht="24.75" customHeight="1">
      <c r="B25" s="135" t="s">
        <v>9407</v>
      </c>
      <c r="C25" s="136">
        <f>+Indicadores!L6</f>
        <v>21</v>
      </c>
      <c r="D25" s="136">
        <f>+Indicadores!L15</f>
        <v>25</v>
      </c>
      <c r="E25" s="136">
        <f>+Indicadores!L24</f>
        <v>22</v>
      </c>
      <c r="F25" s="136">
        <f>+Indicadores!L33</f>
        <v>20</v>
      </c>
      <c r="G25" s="136">
        <f>+Indicadores!L42</f>
        <v>30</v>
      </c>
      <c r="H25" s="136">
        <f>+Indicadores!L51</f>
        <v>64</v>
      </c>
      <c r="I25" s="136">
        <f>+Indicadores!L60</f>
        <v>45</v>
      </c>
      <c r="J25" s="136">
        <f>+Indicadores!L69</f>
        <v>23</v>
      </c>
      <c r="K25" s="136">
        <f>+Indicadores!L78</f>
        <v>37</v>
      </c>
      <c r="L25" s="136">
        <f>+Indicadores!L87</f>
        <v>26</v>
      </c>
      <c r="M25" s="136">
        <f>+Indicadores!L96</f>
        <v>39</v>
      </c>
      <c r="N25" s="136">
        <f>+Indicadores!L105</f>
        <v>23</v>
      </c>
      <c r="O25" s="136">
        <f>+Indicadores!L114</f>
        <v>41</v>
      </c>
      <c r="Q25" s="142"/>
      <c r="R25" s="144"/>
      <c r="S25" s="144"/>
      <c r="T25" s="144"/>
      <c r="U25" s="144"/>
    </row>
    <row r="26" spans="2:33" s="97" customFormat="1" ht="24.75" customHeight="1">
      <c r="B26" s="135" t="s">
        <v>9501</v>
      </c>
      <c r="C26" s="137">
        <f t="shared" ref="C26" si="30">+C25/C24</f>
        <v>0.46666666666666667</v>
      </c>
      <c r="D26" s="137">
        <f t="shared" ref="D26" si="31">+D25/D24</f>
        <v>0.59523809523809523</v>
      </c>
      <c r="E26" s="137">
        <f t="shared" ref="E26" si="32">+E25/E24</f>
        <v>0.42307692307692307</v>
      </c>
      <c r="F26" s="137">
        <f t="shared" ref="F26" si="33">+F25/F24</f>
        <v>0.33333333333333331</v>
      </c>
      <c r="G26" s="137">
        <f t="shared" ref="G26" si="34">+G25/G24</f>
        <v>0.46875</v>
      </c>
      <c r="H26" s="137">
        <f t="shared" ref="H26" si="35">+H25/H24</f>
        <v>0.63366336633663367</v>
      </c>
      <c r="I26" s="137">
        <f t="shared" ref="I26" si="36">+I25/I24</f>
        <v>0.6</v>
      </c>
      <c r="J26" s="137">
        <f t="shared" ref="J26" si="37">+J25/J24</f>
        <v>0.323943661971831</v>
      </c>
      <c r="K26" s="137">
        <f t="shared" ref="K26" si="38">+K25/K24</f>
        <v>0.36633663366336633</v>
      </c>
      <c r="L26" s="137">
        <f t="shared" ref="L26" si="39">+L25/L24</f>
        <v>0.4642857142857143</v>
      </c>
      <c r="M26" s="137">
        <f t="shared" ref="M26" si="40">+M25/M24</f>
        <v>0.54166666666666663</v>
      </c>
      <c r="N26" s="137">
        <f t="shared" ref="N26" si="41">+N25/N24</f>
        <v>0.31506849315068491</v>
      </c>
      <c r="O26" s="137">
        <f t="shared" ref="O26" si="42">+O25/O24</f>
        <v>0.47674418604651164</v>
      </c>
    </row>
    <row r="27" spans="2:33" s="97" customFormat="1"/>
    <row r="28" spans="2:33" s="97" customFormat="1"/>
    <row r="29" spans="2:33" s="97" customFormat="1"/>
    <row r="30" spans="2:33" s="97" customFormat="1"/>
    <row r="31" spans="2:33" s="97" customFormat="1"/>
    <row r="32" spans="2:33" s="97" customFormat="1"/>
    <row r="33" s="97" customFormat="1"/>
    <row r="34" s="97" customFormat="1"/>
    <row r="35" s="97" customFormat="1"/>
    <row r="36" s="97" customFormat="1"/>
    <row r="37" s="97" customFormat="1"/>
    <row r="38" s="97" customFormat="1"/>
    <row r="39" s="97" customFormat="1"/>
    <row r="40" s="97" customFormat="1"/>
    <row r="41" s="97" customFormat="1"/>
    <row r="42" s="97" customFormat="1"/>
    <row r="43" s="97" customFormat="1"/>
    <row r="44" s="97" customFormat="1"/>
    <row r="45" s="97" customFormat="1"/>
    <row r="46" s="97" customFormat="1"/>
    <row r="47" s="97" customFormat="1"/>
    <row r="48" s="97" customFormat="1"/>
    <row r="49" spans="17:33" s="97" customFormat="1"/>
    <row r="50" spans="17:33" s="97" customFormat="1"/>
    <row r="51" spans="17:33" s="97" customFormat="1"/>
    <row r="52" spans="17:33" s="97" customFormat="1"/>
    <row r="53" spans="17:33" s="97" customFormat="1"/>
    <row r="54" spans="17:33" s="97" customFormat="1"/>
    <row r="55" spans="17:33" s="97" customFormat="1"/>
    <row r="56" spans="17:33" s="97" customFormat="1"/>
    <row r="57" spans="17:33" s="97" customFormat="1"/>
    <row r="58" spans="17:33" s="97" customFormat="1"/>
    <row r="59" spans="17:33" s="97" customFormat="1"/>
    <row r="60" spans="17:33" s="97" customFormat="1">
      <c r="Q60"/>
      <c r="R60"/>
      <c r="S60"/>
      <c r="T60"/>
      <c r="U60"/>
      <c r="V60"/>
      <c r="W60"/>
      <c r="X60"/>
      <c r="Y60"/>
      <c r="Z60"/>
      <c r="AA60"/>
      <c r="AB60"/>
      <c r="AC60"/>
      <c r="AD60"/>
      <c r="AE60"/>
      <c r="AF60"/>
      <c r="AG60"/>
    </row>
    <row r="61" spans="17:33" s="97" customFormat="1">
      <c r="Q61"/>
      <c r="R61"/>
      <c r="S61"/>
      <c r="T61"/>
      <c r="U61"/>
      <c r="V61"/>
      <c r="W61"/>
      <c r="X61"/>
      <c r="Y61"/>
      <c r="Z61"/>
      <c r="AA61"/>
      <c r="AB61"/>
      <c r="AC61"/>
      <c r="AD61"/>
      <c r="AE61"/>
      <c r="AF61"/>
      <c r="AG61"/>
    </row>
    <row r="62" spans="17:33" s="97" customFormat="1">
      <c r="Q62"/>
      <c r="R62"/>
      <c r="S62"/>
      <c r="T62"/>
      <c r="U62"/>
      <c r="V62"/>
      <c r="W62"/>
      <c r="X62"/>
      <c r="Y62"/>
      <c r="Z62"/>
      <c r="AA62"/>
      <c r="AB62"/>
      <c r="AC62"/>
      <c r="AD62"/>
      <c r="AE62"/>
      <c r="AF62"/>
      <c r="AG62"/>
    </row>
    <row r="63" spans="17:33" s="97" customFormat="1">
      <c r="Q63"/>
      <c r="R63"/>
      <c r="S63"/>
      <c r="T63"/>
      <c r="U63"/>
      <c r="V63"/>
      <c r="W63"/>
      <c r="X63"/>
      <c r="Y63"/>
      <c r="Z63"/>
      <c r="AA63"/>
      <c r="AB63"/>
      <c r="AC63"/>
      <c r="AD63"/>
      <c r="AE63"/>
      <c r="AF63"/>
      <c r="AG63"/>
    </row>
    <row r="64" spans="17:33" s="97" customFormat="1">
      <c r="Q64"/>
      <c r="R64"/>
      <c r="S64"/>
      <c r="T64"/>
      <c r="U64"/>
      <c r="V64"/>
      <c r="W64"/>
      <c r="X64"/>
      <c r="Y64"/>
      <c r="Z64"/>
      <c r="AA64"/>
      <c r="AB64"/>
      <c r="AC64"/>
      <c r="AD64"/>
      <c r="AE64"/>
      <c r="AF64"/>
      <c r="AG64"/>
    </row>
    <row r="65" spans="17:33" s="97" customFormat="1">
      <c r="Q65"/>
      <c r="R65"/>
      <c r="S65"/>
      <c r="T65"/>
      <c r="U65"/>
      <c r="V65"/>
      <c r="W65"/>
      <c r="X65"/>
      <c r="Y65"/>
      <c r="Z65"/>
      <c r="AA65"/>
      <c r="AB65"/>
      <c r="AC65"/>
      <c r="AD65"/>
      <c r="AE65"/>
      <c r="AF65"/>
      <c r="AG65"/>
    </row>
    <row r="66" spans="17:33" s="97" customFormat="1">
      <c r="Q66"/>
      <c r="R66"/>
      <c r="S66"/>
      <c r="T66"/>
      <c r="U66"/>
      <c r="V66"/>
      <c r="W66"/>
      <c r="X66"/>
      <c r="Y66"/>
      <c r="Z66"/>
      <c r="AA66"/>
      <c r="AB66"/>
      <c r="AC66"/>
      <c r="AD66"/>
      <c r="AE66"/>
      <c r="AF66"/>
      <c r="AG66"/>
    </row>
  </sheetData>
  <mergeCells count="26">
    <mergeCell ref="R8:U8"/>
    <mergeCell ref="V8:Y8"/>
    <mergeCell ref="Z8:AC8"/>
    <mergeCell ref="AD8:AG8"/>
    <mergeCell ref="Q21:Q22"/>
    <mergeCell ref="R21:U21"/>
    <mergeCell ref="Q14:Q15"/>
    <mergeCell ref="R14:U14"/>
    <mergeCell ref="V14:Y14"/>
    <mergeCell ref="Z14:AC14"/>
    <mergeCell ref="AD14:AG14"/>
    <mergeCell ref="Q8:Q9"/>
    <mergeCell ref="AH2:AK2"/>
    <mergeCell ref="AL2:AO2"/>
    <mergeCell ref="AP2:AS2"/>
    <mergeCell ref="Q2:Q3"/>
    <mergeCell ref="R2:U2"/>
    <mergeCell ref="V2:Y2"/>
    <mergeCell ref="Z2:AC2"/>
    <mergeCell ref="AD2:AG2"/>
    <mergeCell ref="BN2:BQ2"/>
    <mergeCell ref="AT2:AW2"/>
    <mergeCell ref="AX2:BA2"/>
    <mergeCell ref="BB2:BE2"/>
    <mergeCell ref="BF2:BI2"/>
    <mergeCell ref="BJ2:BM2"/>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FB09-144F-4A85-B6C8-867D3D5378F9}">
  <dimension ref="A3:C20"/>
  <sheetViews>
    <sheetView workbookViewId="0">
      <selection activeCell="H11" sqref="H11"/>
    </sheetView>
  </sheetViews>
  <sheetFormatPr defaultColWidth="11.42578125" defaultRowHeight="13.15"/>
  <sheetData>
    <row r="3" spans="1:3">
      <c r="A3" s="294"/>
      <c r="B3" s="295"/>
      <c r="C3" s="296"/>
    </row>
    <row r="4" spans="1:3">
      <c r="A4" s="297"/>
      <c r="B4" s="298"/>
      <c r="C4" s="299"/>
    </row>
    <row r="5" spans="1:3">
      <c r="A5" s="297"/>
      <c r="B5" s="298"/>
      <c r="C5" s="299"/>
    </row>
    <row r="6" spans="1:3">
      <c r="A6" s="297"/>
      <c r="B6" s="298"/>
      <c r="C6" s="299"/>
    </row>
    <row r="7" spans="1:3">
      <c r="A7" s="297"/>
      <c r="B7" s="298"/>
      <c r="C7" s="299"/>
    </row>
    <row r="8" spans="1:3">
      <c r="A8" s="297"/>
      <c r="B8" s="298"/>
      <c r="C8" s="299"/>
    </row>
    <row r="9" spans="1:3">
      <c r="A9" s="297"/>
      <c r="B9" s="298"/>
      <c r="C9" s="299"/>
    </row>
    <row r="10" spans="1:3">
      <c r="A10" s="297"/>
      <c r="B10" s="298"/>
      <c r="C10" s="299"/>
    </row>
    <row r="11" spans="1:3">
      <c r="A11" s="297"/>
      <c r="B11" s="298"/>
      <c r="C11" s="299"/>
    </row>
    <row r="12" spans="1:3">
      <c r="A12" s="297"/>
      <c r="B12" s="298"/>
      <c r="C12" s="299"/>
    </row>
    <row r="13" spans="1:3">
      <c r="A13" s="297"/>
      <c r="B13" s="298"/>
      <c r="C13" s="299"/>
    </row>
    <row r="14" spans="1:3">
      <c r="A14" s="297"/>
      <c r="B14" s="298"/>
      <c r="C14" s="299"/>
    </row>
    <row r="15" spans="1:3">
      <c r="A15" s="297"/>
      <c r="B15" s="298"/>
      <c r="C15" s="299"/>
    </row>
    <row r="16" spans="1:3">
      <c r="A16" s="297"/>
      <c r="B16" s="298"/>
      <c r="C16" s="299"/>
    </row>
    <row r="17" spans="1:3">
      <c r="A17" s="297"/>
      <c r="B17" s="298"/>
      <c r="C17" s="299"/>
    </row>
    <row r="18" spans="1:3">
      <c r="A18" s="297"/>
      <c r="B18" s="298"/>
      <c r="C18" s="299"/>
    </row>
    <row r="19" spans="1:3">
      <c r="A19" s="297"/>
      <c r="B19" s="298"/>
      <c r="C19" s="299"/>
    </row>
    <row r="20" spans="1:3">
      <c r="A20" s="300"/>
      <c r="B20" s="301"/>
      <c r="C20" s="30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C409-8433-4171-B086-106406E29790}">
  <dimension ref="A1"/>
  <sheetViews>
    <sheetView workbookViewId="0">
      <selection activeCell="H13" sqref="H13"/>
    </sheetView>
  </sheetViews>
  <sheetFormatPr defaultColWidth="8.85546875" defaultRowHeight="13.15"/>
  <sheetData>
    <row r="1" spans="1:1">
      <c r="A1" t="s">
        <v>9502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5EF8190009A8E4DB1BF8D42D6AB6A11" ma:contentTypeVersion="16" ma:contentTypeDescription="Crear nuevo documento." ma:contentTypeScope="" ma:versionID="220355f7c47c877818cef98dafb715a5">
  <xsd:schema xmlns:xsd="http://www.w3.org/2001/XMLSchema" xmlns:xs="http://www.w3.org/2001/XMLSchema" xmlns:p="http://schemas.microsoft.com/office/2006/metadata/properties" xmlns:ns2="3115a219-17cc-4647-9c8c-28895a089310" xmlns:ns3="f3088587-ca1b-479f-9d78-68f53943e060" targetNamespace="http://schemas.microsoft.com/office/2006/metadata/properties" ma:root="true" ma:fieldsID="9247bfa7ca6ab7ba9a79c26a771b47a8" ns2:_="" ns3:_="">
    <xsd:import namespace="3115a219-17cc-4647-9c8c-28895a089310"/>
    <xsd:import namespace="f3088587-ca1b-479f-9d78-68f53943e06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15a219-17cc-4647-9c8c-28895a089310"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81cd693b-6d26-4b7c-805b-e416a397bbbb}" ma:internalName="TaxCatchAll" ma:showField="CatchAllData" ma:web="3115a219-17cc-4647-9c8c-28895a08931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088587-ca1b-479f-9d78-68f53943e06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02f897d-c6a2-4833-ab42-2b0fd98242c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15a219-17cc-4647-9c8c-28895a089310" xsi:nil="true"/>
    <lcf76f155ced4ddcb4097134ff3c332f xmlns="f3088587-ca1b-479f-9d78-68f53943e0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A5E792-8483-4710-BC3E-D2CC1563105D}"/>
</file>

<file path=customXml/itemProps2.xml><?xml version="1.0" encoding="utf-8"?>
<ds:datastoreItem xmlns:ds="http://schemas.openxmlformats.org/officeDocument/2006/customXml" ds:itemID="{4B8FFB33-2712-4C31-9E68-E4CC8FBA1336}"/>
</file>

<file path=customXml/itemProps3.xml><?xml version="1.0" encoding="utf-8"?>
<ds:datastoreItem xmlns:ds="http://schemas.openxmlformats.org/officeDocument/2006/customXml" ds:itemID="{9C60D44B-9605-4494-993D-0FAC7F4DFBD3}"/>
</file>

<file path=docProps/app.xml><?xml version="1.0" encoding="utf-8"?>
<Properties xmlns="http://schemas.openxmlformats.org/officeDocument/2006/extended-properties" xmlns:vt="http://schemas.openxmlformats.org/officeDocument/2006/docPropsVTypes">
  <Application>Microsoft Excel Online</Application>
  <Manager/>
  <Company>JRI Ingenieria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fletelier</dc:creator>
  <cp:keywords/>
  <dc:description/>
  <cp:lastModifiedBy>David Ceron</cp:lastModifiedBy>
  <cp:revision/>
  <dcterms:created xsi:type="dcterms:W3CDTF">2005-01-11T18:21:42Z</dcterms:created>
  <dcterms:modified xsi:type="dcterms:W3CDTF">2026-03-09T20:07:21Z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96 96 1280 800</vt:lpwstr>
  </property>
  <property fmtid="{D5CDD505-2E9C-101B-9397-08002B2CF9AE}" pid="3" name="ContentTypeId">
    <vt:lpwstr>0x010100E5EF8190009A8E4DB1BF8D42D6AB6A11</vt:lpwstr>
  </property>
  <property fmtid="{D5CDD505-2E9C-101B-9397-08002B2CF9AE}" pid="4" name="MediaServiceImageTags">
    <vt:lpwstr/>
  </property>
</Properties>
</file>